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xr:revisionPtr revIDLastSave="10" documentId="115_{F2EDECD2-1649-4B96-BEA9-20C26D2C1C0E}" xr6:coauthVersionLast="47" xr6:coauthVersionMax="47" xr10:uidLastSave="{1524037F-820A-4BE3-AAB0-EDDA3A0A4E20}"/>
  <bookViews>
    <workbookView xWindow="43080" yWindow="-120" windowWidth="29040" windowHeight="15720" tabRatio="874"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Override" sheetId="113" r:id="rId21"/>
    <sheet name="InpCompany" sheetId="89" r:id="rId22"/>
    <sheet name="Company_PC_inputs" sheetId="90" r:id="rId23"/>
    <sheet name="Ofwat_PC_Interventions" sheetId="91" r:id="rId24"/>
    <sheet name="InpPerformance" sheetId="92" r:id="rId25"/>
    <sheet name="Performance" sheetId="93" r:id="rId26"/>
    <sheet name="Sharing mechanism" sheetId="94" r:id="rId27"/>
    <sheet name="Aggregate calculations" sheetId="95" r:id="rId28"/>
    <sheet name="Model outputs - PC level" sheetId="96" r:id="rId29"/>
    <sheet name="Model outputs - interventions" sheetId="112" r:id="rId30"/>
    <sheet name="Model outputs - Aggregate level" sheetId="97" r:id="rId31"/>
    <sheet name="F_Outputs" sheetId="114" r:id="rId32"/>
    <sheet name="ODI data sheets&gt;&gt;" sheetId="84" r:id="rId33"/>
    <sheet name="App1" sheetId="81" r:id="rId34"/>
    <sheet name="App1b" sheetId="82" r:id="rId35"/>
    <sheet name="PC lists" sheetId="83" state="hidden" r:id="rId36"/>
    <sheet name="App1 change log" sheetId="110" r:id="rId37"/>
    <sheet name="App1b change log" sheetId="111" r:id="rId38"/>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3" hidden="1">'App1'!$A$6:$DE$778</definedName>
    <definedName name="_xlnm._FilterDatabase" localSheetId="36" hidden="1">'App1 change log'!$A$9:$M$508</definedName>
    <definedName name="_xlnm._FilterDatabase" localSheetId="34" hidden="1">App1b!$A$9:$DW$679</definedName>
    <definedName name="_xlnm._FilterDatabase" localSheetId="37" hidden="1">'App1b change log'!$A$9:$M$437</definedName>
    <definedName name="_Order1" hidden="1">255</definedName>
    <definedName name="_Order2" hidden="1">255</definedName>
    <definedName name="Acronyms_DD" localSheetId="33">'App1'!$A$7:$A$683</definedName>
    <definedName name="Acronyms_IIT" localSheetId="33">'App1'!$A$7:$A$683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3">'App1'!$L$7:$L$683</definedName>
    <definedName name="BusinessRet_DD" localSheetId="33">'App1'!$N$7:$N$683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3">'App1'!$Z$7:$Z$683</definedName>
    <definedName name="Enhanced_Cap_DD" localSheetId="33">'App1'!$CP$7:$CT$683</definedName>
    <definedName name="Enhanced_Collar_DD" localSheetId="33">'App1'!$BQ$7:$BU$683</definedName>
    <definedName name="EnhancedRate_Out_DD" localSheetId="33">'App1'!$DB$7:$DB$683</definedName>
    <definedName name="EnhancedRate_Under_DD" localSheetId="33">'App1'!$CX$7:$CX$683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3" hidden="1">{"bal",#N/A,FALSE,"working papers";"income",#N/A,FALSE,"working papers"}</definedName>
    <definedName name="F" localSheetId="34" hidden="1">{"bal",#N/A,FALSE,"working papers";"income",#N/A,FALSE,"working papers"}</definedName>
    <definedName name="F" localSheetId="31" hidden="1">{"bal",#N/A,FALSE,"working papers";"income",#N/A,FALSE,"working papers"}</definedName>
    <definedName name="F" localSheetId="20" hidden="1">{"bal",#N/A,FALSE,"working papers";"income",#N/A,FALSE,"working papers"}</definedName>
    <definedName name="F" localSheetId="29"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3" hidden="1">{"bal",#N/A,FALSE,"working papers";"income",#N/A,FALSE,"working papers"}</definedName>
    <definedName name="fdraf" localSheetId="34" hidden="1">{"bal",#N/A,FALSE,"working papers";"income",#N/A,FALSE,"working papers"}</definedName>
    <definedName name="fdraf" localSheetId="31" hidden="1">{"bal",#N/A,FALSE,"working papers";"income",#N/A,FALSE,"working papers"}</definedName>
    <definedName name="fdraf" localSheetId="20" hidden="1">{"bal",#N/A,FALSE,"working papers";"income",#N/A,FALSE,"working papers"}</definedName>
    <definedName name="fdraf" localSheetId="29"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3" hidden="1">{"bal",#N/A,FALSE,"working papers";"income",#N/A,FALSE,"working papers"}</definedName>
    <definedName name="Fdraft" localSheetId="34" hidden="1">{"bal",#N/A,FALSE,"working papers";"income",#N/A,FALSE,"working papers"}</definedName>
    <definedName name="Fdraft" localSheetId="31" hidden="1">{"bal",#N/A,FALSE,"working papers";"income",#N/A,FALSE,"working papers"}</definedName>
    <definedName name="Fdraft" localSheetId="20" hidden="1">{"bal",#N/A,FALSE,"working papers";"income",#N/A,FALSE,"working papers"}</definedName>
    <definedName name="Fdraft" localSheetId="29"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3">'App1'!$B$7:$B$683</definedName>
    <definedName name="LineRefs_FD_POSTINT">'App1'!$B$7:$B$683</definedName>
    <definedName name="LongTimeline_DD" localSheetId="33">'App1'!$AG$6:$BK$6</definedName>
    <definedName name="MU_DD_App1" localSheetId="33">'App1'!$W$7:$W$683</definedName>
    <definedName name="ODI_Out_DD_IIT" localSheetId="33">'App1'!$CY$7:$CY$683</definedName>
    <definedName name="ODI_Under_DD_App1" localSheetId="33">'App1'!$CU$7:$CU$683</definedName>
    <definedName name="ODI_Under_DD_IIT" localSheetId="33">'App1'!$CU$7:$CU$683</definedName>
    <definedName name="ODICalc_Check_DD" localSheetId="33">'App1'!$DC$7:$DC$683</definedName>
    <definedName name="ODIOperand_Check_DD" localSheetId="33">'App1'!$DD$7:$DD$683</definedName>
    <definedName name="ODIRate_Out_App1b" localSheetId="34">App1b!$DQ$10:$DQ$678</definedName>
    <definedName name="ODIRate_Under_App1b" localSheetId="34">App1b!$DM$10:$DM$678</definedName>
    <definedName name="ODIType_DD_App1" localSheetId="33">'App1'!$R$7:$R$683</definedName>
    <definedName name="Out_Deadband_DD" localSheetId="33">'App1'!$CF$7:$CJ$683</definedName>
    <definedName name="PCData_App1_DD" localSheetId="33">'App1'!$AG$7:$BK$683</definedName>
    <definedName name="PCDescriptions" localSheetId="33">'App1'!$H$7:$H$683</definedName>
    <definedName name="PCDescriptions" localSheetId="34">App1b!$Z$10:$Z$678</definedName>
    <definedName name="PCNames" localSheetId="33">'App1'!$G$7:$G$683</definedName>
    <definedName name="PCNames" localSheetId="34">App1b!$Y$10:$Y$678</definedName>
    <definedName name="PCNames_DD" localSheetId="33">'App1'!$G$7:$G$683</definedName>
    <definedName name="PCNames_FD_POSTINT">'App1'!$G$7:$G$683</definedName>
    <definedName name="PCNames_POSTINT" localSheetId="33">'App1'!$G$7:$G$683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7">'Aggregate calculations'!$A$1:$I$133</definedName>
    <definedName name="_xlnm.Print_Area" localSheetId="36">'App1 change log'!$A$1:$M$358</definedName>
    <definedName name="_xlnm.Print_Area" localSheetId="37">'App1b change log'!$A$1:$M$437</definedName>
    <definedName name="_xlnm.Print_Area" localSheetId="22">Company_PC_inputs!$A$1:$BC$76</definedName>
    <definedName name="_xlnm.Print_Area" localSheetId="16">'Cover (ODI model)'!$A$1:$E$61</definedName>
    <definedName name="_xlnm.Print_Area" localSheetId="1">'Cover (tables)'!$B$1:$C$48</definedName>
    <definedName name="_xlnm.Print_Area" localSheetId="21">InpCompany!$A$1:$H$32</definedName>
    <definedName name="_xlnm.Print_Area" localSheetId="24">InpPerformance!$A$1:$BC$76</definedName>
    <definedName name="_xlnm.Print_Area" localSheetId="0">Introduction!$B$1:$D$38</definedName>
    <definedName name="_xlnm.Print_Area" localSheetId="28">'Model outputs - PC level'!$A$1:$BS$21</definedName>
    <definedName name="_xlnm.Print_Area" localSheetId="23">Ofwat_PC_Interventions!$A$1:$BC$76</definedName>
    <definedName name="_xlnm.Print_Area" localSheetId="25">Performance!$A$1:$BS$335</definedName>
    <definedName name="_xlnm.Print_Area" localSheetId="26">'Sharing mechanism'!$A$1:$L$240</definedName>
    <definedName name="_xlnm.Print_Area" localSheetId="18">ToC!$A$1:$WVB$17</definedName>
    <definedName name="_xlnm.Print_Area" localSheetId="19">Validation!$A$1:$N$32</definedName>
    <definedName name="_xlnm.Print_Area" localSheetId="2">'Validation summary'!$B$1:$E$18</definedName>
    <definedName name="ProfileInps">Validation!$P$5:$X$9</definedName>
    <definedName name="ResidentialRet_DD" localSheetId="33">'App1'!$M$7:$M$683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3" hidden="1">7</definedName>
    <definedName name="RiskHasSettings" localSheetId="34"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3">'App1'!$CK$7:$CO$683</definedName>
    <definedName name="Standard_Collar_DD" localSheetId="33">'App1'!$BV$7:$BZ$683</definedName>
    <definedName name="Under_Deadband_DD" localSheetId="33">'App1'!$CA$7:$CE$683</definedName>
    <definedName name="UniqueIDs_DD" localSheetId="33">'App1'!$C$7:$C$683</definedName>
    <definedName name="UniqueIDs_DD_POSTINT">'App1'!$C$7:$C$683</definedName>
    <definedName name="UniqueIDs_FD_POSTINT">'App1'!$C$7:$C$683</definedName>
    <definedName name="UniqueIDs_FDPOSTINT_App1b">App1b!$U$10:$U$678</definedName>
    <definedName name="UniqueIDs_POSTINT" localSheetId="33">'App1'!$C$7:$C$683</definedName>
    <definedName name="WastewaterNP_DD" localSheetId="33">'App1'!$K$7:$K$683</definedName>
    <definedName name="WaterNP_DD" localSheetId="33">'App1'!$J$7:$J$683</definedName>
    <definedName name="WaterResources_DD" localSheetId="33">'App1'!$I$7:$I$683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3" hidden="1">{"bal",#N/A,FALSE,"working papers";"income",#N/A,FALSE,"working papers"}</definedName>
    <definedName name="wrn.papersdraft" localSheetId="34" hidden="1">{"bal",#N/A,FALSE,"working papers";"income",#N/A,FALSE,"working papers"}</definedName>
    <definedName name="wrn.papersdraft" localSheetId="31" hidden="1">{"bal",#N/A,FALSE,"working papers";"income",#N/A,FALSE,"working papers"}</definedName>
    <definedName name="wrn.papersdraft" localSheetId="20" hidden="1">{"bal",#N/A,FALSE,"working papers";"income",#N/A,FALSE,"working papers"}</definedName>
    <definedName name="wrn.papersdraft" localSheetId="29"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3" hidden="1">{"bal",#N/A,FALSE,"working papers";"income",#N/A,FALSE,"working papers"}</definedName>
    <definedName name="wrn.wpapers." localSheetId="34" hidden="1">{"bal",#N/A,FALSE,"working papers";"income",#N/A,FALSE,"working papers"}</definedName>
    <definedName name="wrn.wpapers." localSheetId="31" hidden="1">{"bal",#N/A,FALSE,"working papers";"income",#N/A,FALSE,"working papers"}</definedName>
    <definedName name="wrn.wpapers." localSheetId="20" hidden="1">{"bal",#N/A,FALSE,"working papers";"income",#N/A,FALSE,"working papers"}</definedName>
    <definedName name="wrn.wpapers." localSheetId="0" hidden="1">{"bal",#N/A,FALSE,"working papers";"income",#N/A,FALSE,"working papers"}</definedName>
    <definedName name="wrn.wpapers." localSheetId="29" hidden="1">{"bal",#N/A,FALSE,"working papers";"income",#N/A,FALSE,"working papers"}</definedName>
    <definedName name="wrn.wpapers." hidden="1">{"bal",#N/A,FALSE,"working papers";"income",#N/A,FALSE,"working papers"}</definedName>
    <definedName name="Y1_DD_App1" localSheetId="33">'App1'!$AQ$7:$AQ$683</definedName>
    <definedName name="Y1_SCap_DD" localSheetId="33">'App1'!$CK$7:$CK$683</definedName>
    <definedName name="Y1_SCollar_DD" localSheetId="33">'App1'!$BV$7:$BV$683</definedName>
    <definedName name="Y2_DD_App1" localSheetId="33">'App1'!$AR$7:$AR$683</definedName>
    <definedName name="Y2_Scap_DD" localSheetId="33">'App1'!$CL$7:$CL$683</definedName>
    <definedName name="Y2_SCollar_DD" localSheetId="33">'App1'!$BW$7:$BW$683</definedName>
    <definedName name="Y3_DD_App1" localSheetId="33">'App1'!$AS$7:$AS$683</definedName>
    <definedName name="Y3_Scap_DD" localSheetId="33">'App1'!$CM$7:$CM$683</definedName>
    <definedName name="Y3_SCollar_DD" localSheetId="33">'App1'!$BX$7:$BX$683</definedName>
    <definedName name="Y4_DD_App1" localSheetId="33">'App1'!$AT$7:$AT$683</definedName>
    <definedName name="Y4_SCap_DD" localSheetId="33">'App1'!$CN$7:$CN$683</definedName>
    <definedName name="Y4_Scollar_DD" localSheetId="33">'App1'!$BY$7:$BY$683</definedName>
    <definedName name="Y5_DD_App1" localSheetId="33">'App1'!$AU$7:$AU$683</definedName>
    <definedName name="Y5_SCap_DD" localSheetId="33">'App1'!$CO$7:$CO$683</definedName>
    <definedName name="Y5_SCollar_DD" localSheetId="33">'App1'!$BZ$7:$BZ$683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3" hidden="1">'App1'!$D$6:$DE$370</definedName>
    <definedName name="Z_3751A3F7_A765_4A4D_A6F4_92205CA8297F_.wvu.FilterData" localSheetId="34"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13" l="1"/>
  <c r="B2" i="113"/>
  <c r="G2" i="114"/>
  <c r="G118" i="114"/>
  <c r="G117" i="114"/>
  <c r="B6" i="113"/>
  <c r="B7" i="113" s="1"/>
  <c r="B8" i="113" s="1"/>
  <c r="B9" i="113" s="1"/>
  <c r="B10" i="113" s="1"/>
  <c r="B11" i="113" s="1"/>
  <c r="B12" i="113" s="1"/>
  <c r="B13" i="113" s="1"/>
  <c r="B14" i="113" s="1"/>
  <c r="B15" i="113" s="1"/>
  <c r="B16" i="113" s="1"/>
  <c r="B17" i="113" s="1"/>
  <c r="B18" i="113" s="1"/>
  <c r="B19" i="113" s="1"/>
  <c r="B20" i="113" s="1"/>
  <c r="B21" i="113" s="1"/>
  <c r="B22" i="113" s="1"/>
  <c r="B23" i="113" s="1"/>
  <c r="B24" i="113" s="1"/>
  <c r="B25" i="113" s="1"/>
  <c r="B26" i="113" s="1"/>
  <c r="B27" i="113" s="1"/>
  <c r="B28" i="113" s="1"/>
  <c r="B29" i="113" s="1"/>
  <c r="B30" i="113" s="1"/>
  <c r="B31" i="113" s="1"/>
  <c r="B32" i="113" s="1"/>
  <c r="B33" i="113" s="1"/>
  <c r="B34" i="113" s="1"/>
  <c r="B35" i="113" s="1"/>
  <c r="B36" i="113" s="1"/>
  <c r="B37" i="113" s="1"/>
  <c r="B38" i="113" s="1"/>
  <c r="B39" i="113" s="1"/>
  <c r="B40" i="113" s="1"/>
  <c r="B41" i="113" s="1"/>
  <c r="B42" i="113" s="1"/>
  <c r="B43" i="113" s="1"/>
  <c r="B44" i="113" s="1"/>
  <c r="B45" i="113" s="1"/>
  <c r="B46" i="113" s="1"/>
  <c r="B47" i="113" s="1"/>
  <c r="B48" i="113" s="1"/>
  <c r="B49" i="113" s="1"/>
  <c r="B50" i="113" s="1"/>
  <c r="B51" i="113" s="1"/>
  <c r="B52" i="113" s="1"/>
  <c r="B53" i="113" s="1"/>
  <c r="B54" i="113" s="1"/>
  <c r="J37" i="31" l="1"/>
  <c r="H37" i="31"/>
  <c r="E37" i="31"/>
  <c r="AL19" i="102" l="1"/>
  <c r="AM18" i="102"/>
  <c r="AB18" i="102"/>
  <c r="AC18" i="102"/>
  <c r="AB19" i="102"/>
  <c r="M18" i="102"/>
  <c r="AL19" i="100"/>
  <c r="AM18" i="100"/>
  <c r="AB19" i="100"/>
  <c r="AC18" i="100"/>
  <c r="M18" i="100"/>
  <c r="AL19" i="31"/>
  <c r="AM18" i="31"/>
  <c r="AC19" i="31"/>
  <c r="AC18" i="31"/>
  <c r="M18" i="31"/>
  <c r="B41" i="34" l="1"/>
  <c r="B46" i="33"/>
  <c r="B25" i="32"/>
  <c r="B49" i="102"/>
  <c r="B49" i="100"/>
  <c r="B49" i="31"/>
  <c r="B52" i="30"/>
  <c r="B78" i="29"/>
  <c r="B25" i="28"/>
  <c r="B42" i="27"/>
  <c r="G12" i="102"/>
  <c r="K19" i="102" s="1"/>
  <c r="M19" i="102" s="1"/>
  <c r="G12" i="100"/>
  <c r="K19" i="100" s="1"/>
  <c r="M19" i="100" s="1"/>
  <c r="G12" i="31"/>
  <c r="K19" i="31" s="1"/>
  <c r="M19" i="31" s="1"/>
  <c r="A439" i="11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58" i="111" s="1"/>
  <c r="A459" i="111" s="1"/>
  <c r="A410" i="110"/>
  <c r="A411" i="110" s="1"/>
  <c r="A412" i="110" s="1"/>
  <c r="A413" i="110" s="1"/>
  <c r="A414" i="110" s="1"/>
  <c r="A415" i="110" s="1"/>
  <c r="A416" i="110" s="1"/>
  <c r="A417" i="110" s="1"/>
  <c r="A418" i="110" s="1"/>
  <c r="A419" i="110" s="1"/>
  <c r="A420" i="110" s="1"/>
  <c r="A421" i="110" s="1"/>
  <c r="A422" i="110" s="1"/>
  <c r="A423" i="110" s="1"/>
  <c r="A424" i="110" s="1"/>
  <c r="A425" i="110" s="1"/>
  <c r="A426" i="110" s="1"/>
  <c r="A427" i="110" s="1"/>
  <c r="A428" i="110" l="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507" i="110" s="1"/>
  <c r="A508" i="110" s="1"/>
  <c r="AK19" i="102"/>
  <c r="AL18" i="102"/>
  <c r="AK18" i="102"/>
  <c r="AA19" i="102"/>
  <c r="AA18" i="102"/>
  <c r="AK19" i="100"/>
  <c r="AL18" i="100"/>
  <c r="AK18" i="100"/>
  <c r="AA19" i="100"/>
  <c r="AB18" i="100"/>
  <c r="AA18" i="100"/>
  <c r="AL18" i="31"/>
  <c r="AK19" i="31"/>
  <c r="AK18" i="31"/>
  <c r="AB18" i="31"/>
  <c r="AA19" i="31"/>
  <c r="AA18" i="31"/>
  <c r="L186" i="94" l="1"/>
  <c r="L185" i="94"/>
  <c r="L184" i="94"/>
  <c r="L183" i="94"/>
  <c r="Q10" i="29" l="1"/>
  <c r="I10" i="29" s="1"/>
  <c r="Q9" i="29"/>
  <c r="I9" i="29" s="1"/>
  <c r="Q6" i="29"/>
  <c r="I6" i="29" s="1"/>
  <c r="X63" i="29" l="1"/>
  <c r="J63" i="29" s="1"/>
  <c r="O63" i="29"/>
  <c r="I63" i="29" s="1"/>
  <c r="X62" i="29"/>
  <c r="J62" i="29" s="1"/>
  <c r="O62" i="29"/>
  <c r="I62" i="29" s="1"/>
  <c r="X61" i="29"/>
  <c r="J61" i="29" s="1"/>
  <c r="O61" i="29"/>
  <c r="I61" i="29" s="1"/>
  <c r="X60" i="29"/>
  <c r="J60" i="29" s="1"/>
  <c r="O60" i="29"/>
  <c r="I60" i="29" s="1"/>
  <c r="X59" i="29"/>
  <c r="J59" i="29" s="1"/>
  <c r="O59" i="29"/>
  <c r="I59" i="29" s="1"/>
  <c r="X58" i="29"/>
  <c r="J58" i="29" s="1"/>
  <c r="O58" i="29"/>
  <c r="I58" i="29" s="1"/>
  <c r="X57" i="29"/>
  <c r="J57" i="29" s="1"/>
  <c r="O57" i="29"/>
  <c r="I57" i="29" s="1"/>
  <c r="X56" i="29"/>
  <c r="J56" i="29" s="1"/>
  <c r="O56" i="29"/>
  <c r="I56" i="29" s="1"/>
  <c r="X55" i="29"/>
  <c r="J55" i="29" s="1"/>
  <c r="O55" i="29"/>
  <c r="I55" i="29" s="1"/>
  <c r="X54" i="29"/>
  <c r="J54" i="29" s="1"/>
  <c r="O54" i="29"/>
  <c r="I54" i="29" s="1"/>
  <c r="X53" i="29"/>
  <c r="J53" i="29" s="1"/>
  <c r="O53" i="29"/>
  <c r="I53" i="29" s="1"/>
  <c r="X52" i="29"/>
  <c r="J52" i="29" s="1"/>
  <c r="O52" i="29"/>
  <c r="I52" i="29" s="1"/>
  <c r="X51" i="29"/>
  <c r="J51" i="29" s="1"/>
  <c r="O51" i="29"/>
  <c r="I51" i="29" s="1"/>
  <c r="X50" i="29"/>
  <c r="J50" i="29" s="1"/>
  <c r="O50" i="29"/>
  <c r="I50" i="29" s="1"/>
  <c r="X49" i="29"/>
  <c r="J49" i="29" s="1"/>
  <c r="O49" i="29"/>
  <c r="I49" i="29" s="1"/>
  <c r="X48" i="29"/>
  <c r="J48" i="29" s="1"/>
  <c r="O48" i="29"/>
  <c r="I48" i="29" s="1"/>
  <c r="X47" i="29"/>
  <c r="J47" i="29" s="1"/>
  <c r="O47" i="29"/>
  <c r="I47" i="29" s="1"/>
  <c r="X46" i="29"/>
  <c r="J46" i="29" s="1"/>
  <c r="O46" i="29"/>
  <c r="I46" i="29" s="1"/>
  <c r="X45" i="29"/>
  <c r="J45" i="29" s="1"/>
  <c r="O45" i="29"/>
  <c r="I45" i="29" s="1"/>
  <c r="X44" i="29"/>
  <c r="J44" i="29" s="1"/>
  <c r="O44" i="29"/>
  <c r="I44" i="29" s="1"/>
  <c r="X43" i="29"/>
  <c r="J43" i="29" s="1"/>
  <c r="O43" i="29"/>
  <c r="I43" i="29" s="1"/>
  <c r="X42" i="29"/>
  <c r="J42" i="29" s="1"/>
  <c r="O42" i="29"/>
  <c r="I42" i="29" s="1"/>
  <c r="X41" i="29"/>
  <c r="J41" i="29" s="1"/>
  <c r="O41" i="29"/>
  <c r="I41" i="29" s="1"/>
  <c r="X40" i="29"/>
  <c r="J40" i="29" s="1"/>
  <c r="O40" i="29"/>
  <c r="I40" i="29" s="1"/>
  <c r="X39" i="29"/>
  <c r="J39" i="29" s="1"/>
  <c r="O39" i="29"/>
  <c r="I39" i="29" s="1"/>
  <c r="X38" i="29"/>
  <c r="J38" i="29" s="1"/>
  <c r="O38" i="29"/>
  <c r="I38" i="29" s="1"/>
  <c r="X37" i="29"/>
  <c r="J37" i="29" s="1"/>
  <c r="O37" i="29"/>
  <c r="I37" i="29" s="1"/>
  <c r="X36" i="29"/>
  <c r="J36" i="29" s="1"/>
  <c r="O36" i="29"/>
  <c r="I36" i="29" s="1"/>
  <c r="X35" i="29"/>
  <c r="J35" i="29" s="1"/>
  <c r="O35" i="29"/>
  <c r="I35" i="29" s="1"/>
  <c r="X34" i="29"/>
  <c r="J34" i="29" s="1"/>
  <c r="O34" i="29"/>
  <c r="I34" i="29" s="1"/>
  <c r="X33" i="29"/>
  <c r="J33" i="29" s="1"/>
  <c r="O33" i="29"/>
  <c r="I33" i="29" s="1"/>
  <c r="X32" i="29"/>
  <c r="J32" i="29" s="1"/>
  <c r="O32" i="29"/>
  <c r="I32" i="29" s="1"/>
  <c r="X31" i="29"/>
  <c r="J31" i="29" s="1"/>
  <c r="O31" i="29"/>
  <c r="I31" i="29" s="1"/>
  <c r="X30" i="29"/>
  <c r="J30" i="29" s="1"/>
  <c r="O30" i="29"/>
  <c r="I30" i="29" s="1"/>
  <c r="X29" i="29"/>
  <c r="J29" i="29" s="1"/>
  <c r="O29" i="29"/>
  <c r="I29" i="29" s="1"/>
  <c r="X28" i="29"/>
  <c r="J28" i="29" s="1"/>
  <c r="O28" i="29"/>
  <c r="I28" i="29" s="1"/>
  <c r="X27" i="29"/>
  <c r="J27" i="29" s="1"/>
  <c r="O27" i="29"/>
  <c r="I27" i="29" s="1"/>
  <c r="X26" i="29"/>
  <c r="J26" i="29" s="1"/>
  <c r="O26" i="29"/>
  <c r="I26" i="29" s="1"/>
  <c r="X25" i="29"/>
  <c r="J25" i="29" s="1"/>
  <c r="O25" i="29"/>
  <c r="I25" i="29" s="1"/>
  <c r="X24" i="29"/>
  <c r="J24" i="29" s="1"/>
  <c r="O24" i="29"/>
  <c r="I24" i="29" s="1"/>
  <c r="X23" i="29"/>
  <c r="J23" i="29" s="1"/>
  <c r="O23" i="29"/>
  <c r="I23" i="29" s="1"/>
  <c r="X22" i="29"/>
  <c r="J22" i="29" s="1"/>
  <c r="O22" i="29"/>
  <c r="I22" i="29" s="1"/>
  <c r="X21" i="29"/>
  <c r="J21" i="29" s="1"/>
  <c r="O21" i="29"/>
  <c r="I21" i="29" s="1"/>
  <c r="X20" i="29"/>
  <c r="J20" i="29" s="1"/>
  <c r="O20" i="29"/>
  <c r="I20" i="29" s="1"/>
  <c r="X19" i="29"/>
  <c r="J19" i="29" s="1"/>
  <c r="O19" i="29"/>
  <c r="I19" i="29" s="1"/>
  <c r="X18" i="29"/>
  <c r="J18" i="29" s="1"/>
  <c r="O18" i="29"/>
  <c r="I18" i="29" s="1"/>
  <c r="X17" i="29"/>
  <c r="J17" i="29" s="1"/>
  <c r="O17" i="29"/>
  <c r="I17" i="29" s="1"/>
  <c r="X16" i="29"/>
  <c r="J16" i="29" s="1"/>
  <c r="O16" i="29"/>
  <c r="I16" i="29" s="1"/>
  <c r="X15" i="29"/>
  <c r="J15" i="29" s="1"/>
  <c r="O15" i="29"/>
  <c r="I15" i="29" s="1"/>
  <c r="O14" i="29"/>
  <c r="I14" i="29" s="1"/>
  <c r="C11" i="108" l="1"/>
  <c r="X14" i="29" l="1"/>
  <c r="J14" i="29" s="1"/>
  <c r="AJ19" i="102"/>
  <c r="AJ18" i="102"/>
  <c r="Z19" i="102"/>
  <c r="Z18" i="102"/>
  <c r="AJ19" i="100"/>
  <c r="AJ18" i="100"/>
  <c r="Z19" i="100"/>
  <c r="Z18" i="100"/>
  <c r="AJ19" i="31"/>
  <c r="G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I13" i="28"/>
  <c r="AH13" i="28"/>
  <c r="AI12" i="28"/>
  <c r="AH12" i="28"/>
  <c r="AI11" i="28"/>
  <c r="AH11" i="28"/>
  <c r="AI10" i="28"/>
  <c r="AH10" i="28"/>
  <c r="AI9" i="28"/>
  <c r="AH9" i="28"/>
  <c r="AI8" i="28"/>
  <c r="AH8" i="28"/>
  <c r="AI7" i="28"/>
  <c r="AH7" i="28"/>
  <c r="AI6" i="28"/>
  <c r="AH6" i="28"/>
  <c r="AJ41" i="26" l="1"/>
  <c r="AJ40" i="26"/>
  <c r="AH41" i="26"/>
  <c r="AH40" i="26"/>
  <c r="AH10" i="26"/>
  <c r="AH15" i="26"/>
  <c r="AH16" i="26"/>
  <c r="AH9" i="26"/>
  <c r="A1" i="112" l="1"/>
  <c r="E105" i="94" l="1"/>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6" i="110" l="1"/>
  <c r="K225" i="110"/>
  <c r="K224" i="110"/>
  <c r="K223" i="110"/>
  <c r="K222" i="110"/>
  <c r="K221" i="110"/>
  <c r="K220" i="110"/>
  <c r="K219" i="110"/>
  <c r="K218" i="110"/>
  <c r="K217" i="110"/>
  <c r="G16" i="93" l="1"/>
  <c r="E16" i="93"/>
  <c r="G19" i="102"/>
  <c r="G18" i="102"/>
  <c r="G19" i="100"/>
  <c r="G18" i="100"/>
  <c r="G18" i="31"/>
  <c r="N18" i="31" s="1"/>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7" i="81"/>
  <c r="Q686" i="81"/>
  <c r="Q685" i="81"/>
  <c r="Q684" i="81"/>
  <c r="Q683" i="81"/>
  <c r="Q682" i="81"/>
  <c r="AL37" i="31" l="1"/>
  <c r="AJ37" i="31"/>
  <c r="AI37" i="31"/>
  <c r="Z37" i="31"/>
  <c r="Y37" i="31"/>
  <c r="AB37" i="31"/>
  <c r="BS3" i="96" l="1"/>
  <c r="BR3" i="96"/>
  <c r="BQ3" i="96"/>
  <c r="BP3" i="96"/>
  <c r="BO3" i="96"/>
  <c r="BN3" i="96"/>
  <c r="BM3" i="96"/>
  <c r="BL3" i="96"/>
  <c r="BK3" i="96"/>
  <c r="BJ3" i="96"/>
  <c r="BI3" i="96"/>
  <c r="BH3" i="96"/>
  <c r="BG3" i="96"/>
  <c r="BF3" i="96"/>
  <c r="BE3" i="96"/>
  <c r="BD3" i="96"/>
  <c r="A1" i="95" l="1"/>
  <c r="F3" i="108"/>
  <c r="A1" i="88" l="1"/>
  <c r="A1" i="97"/>
  <c r="A1" i="96"/>
  <c r="A1" i="94"/>
  <c r="A1" i="93"/>
  <c r="A1" i="92"/>
  <c r="A1" i="91"/>
  <c r="A1" i="90"/>
  <c r="A1" i="89"/>
  <c r="A1" i="87"/>
  <c r="A1" i="86"/>
  <c r="A1" i="85"/>
  <c r="D12" i="28" l="1"/>
  <c r="AO7" i="90" l="1"/>
  <c r="J7" i="90"/>
  <c r="E10" i="31" l="1"/>
  <c r="E9" i="31"/>
  <c r="AH9" i="34"/>
  <c r="AC13" i="32" l="1"/>
  <c r="AC12" i="32"/>
  <c r="AC11" i="32"/>
  <c r="AD9" i="32"/>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l="1"/>
  <c r="N19" i="102"/>
  <c r="R18" i="100"/>
  <c r="R19" i="100"/>
  <c r="D15" i="108"/>
  <c r="S19" i="102"/>
  <c r="S18" i="102"/>
  <c r="C15" i="108"/>
  <c r="R18" i="102"/>
  <c r="R19" i="102"/>
  <c r="N18" i="102"/>
  <c r="N18" i="100"/>
  <c r="AB12" i="27" l="1"/>
  <c r="G40" i="30" l="1"/>
  <c r="G40" i="26"/>
  <c r="W9" i="34" l="1"/>
  <c r="E9" i="34"/>
  <c r="N19" i="31" l="1"/>
  <c r="AB19" i="31"/>
  <c r="H25" i="31" l="1"/>
  <c r="F10" i="26" s="1"/>
  <c r="AH29" i="34" l="1"/>
  <c r="AQ23" i="34"/>
  <c r="AP23" i="34"/>
  <c r="AO23" i="34"/>
  <c r="AM23" i="34"/>
  <c r="AK23" i="34"/>
  <c r="AI23" i="34"/>
  <c r="AH23" i="34"/>
  <c r="AM15" i="34"/>
  <c r="AL15" i="34"/>
  <c r="AK15" i="34"/>
  <c r="AJ15" i="34"/>
  <c r="AI15" i="34"/>
  <c r="AH15" i="34"/>
  <c r="AB15" i="34"/>
  <c r="AA15" i="34"/>
  <c r="Z15" i="34"/>
  <c r="Y15" i="34"/>
  <c r="X15" i="34"/>
  <c r="W15" i="34"/>
  <c r="AI9" i="34"/>
  <c r="X9" i="34"/>
  <c r="AH19" i="100"/>
  <c r="AG19" i="100"/>
  <c r="AF19" i="100"/>
  <c r="AH18" i="100"/>
  <c r="AG18" i="100"/>
  <c r="AF18" i="100"/>
  <c r="AG12" i="100"/>
  <c r="AG37" i="31"/>
  <c r="W37" i="31"/>
  <c r="AG31" i="31"/>
  <c r="AF31" i="31"/>
  <c r="W31" i="31"/>
  <c r="V31" i="31"/>
  <c r="AH25" i="31"/>
  <c r="AG25" i="31"/>
  <c r="X25" i="31"/>
  <c r="W25" i="31"/>
  <c r="AH19" i="31"/>
  <c r="AG19" i="31"/>
  <c r="AF19" i="31"/>
  <c r="X19" i="31"/>
  <c r="W19" i="31"/>
  <c r="V19" i="31"/>
  <c r="AH18" i="31"/>
  <c r="AG18" i="31"/>
  <c r="AF18" i="31"/>
  <c r="X18" i="31"/>
  <c r="W18" i="31"/>
  <c r="V18" i="31"/>
  <c r="AG12" i="31"/>
  <c r="W12" i="31"/>
  <c r="AG10" i="31"/>
  <c r="W10" i="31"/>
  <c r="AG9" i="31"/>
  <c r="W9" i="31"/>
  <c r="S18" i="100" l="1"/>
  <c r="S19" i="31"/>
  <c r="S19" i="100"/>
  <c r="G30" i="27"/>
  <c r="G41" i="26" l="1"/>
  <c r="I23" i="34"/>
  <c r="AN23" i="34" s="1"/>
  <c r="G23" i="34"/>
  <c r="AL23" i="34" s="1"/>
  <c r="E23" i="34"/>
  <c r="AJ23" i="34" s="1"/>
  <c r="W29" i="34"/>
  <c r="AF23" i="34"/>
  <c r="Z23" i="34"/>
  <c r="G11" i="32"/>
  <c r="AB23" i="34"/>
  <c r="AE23" i="34"/>
  <c r="X23" i="34"/>
  <c r="AD23" i="34"/>
  <c r="H13" i="32"/>
  <c r="W23" i="34"/>
  <c r="H12" i="32"/>
  <c r="D10" i="27"/>
  <c r="AJ10" i="27" s="1"/>
  <c r="B10" i="27"/>
  <c r="AH10" i="27" s="1"/>
  <c r="B13" i="30"/>
  <c r="AH13" i="30" s="1"/>
  <c r="D9" i="27"/>
  <c r="AJ9" i="27" s="1"/>
  <c r="B9" i="27"/>
  <c r="AH9" i="27" s="1"/>
  <c r="D12" i="27"/>
  <c r="AJ12" i="27" s="1"/>
  <c r="B12" i="27"/>
  <c r="AH12" i="27" s="1"/>
  <c r="D11" i="27"/>
  <c r="AJ11" i="27" s="1"/>
  <c r="B11" i="27"/>
  <c r="AH11" i="27" s="1"/>
  <c r="S31" i="31"/>
  <c r="R31" i="31"/>
  <c r="H11" i="32" l="1"/>
  <c r="F9" i="27" s="1"/>
  <c r="AB9" i="27" s="1"/>
  <c r="F11" i="27"/>
  <c r="F10" i="27"/>
  <c r="AB10" i="27" s="1"/>
  <c r="AB11" i="27" l="1"/>
  <c r="C18" i="108"/>
  <c r="Q29" i="34"/>
  <c r="P29" i="34"/>
  <c r="P9" i="34"/>
  <c r="AD13" i="32"/>
  <c r="M13" i="32" s="1"/>
  <c r="AD12" i="32"/>
  <c r="M12" i="32" s="1"/>
  <c r="AD10" i="32"/>
  <c r="AJ9" i="34" l="1"/>
  <c r="Q23" i="34"/>
  <c r="P23" i="34"/>
  <c r="P15" i="34"/>
  <c r="Q15" i="34"/>
  <c r="V37" i="31" l="1"/>
  <c r="R37" i="31" s="1"/>
  <c r="AF37" i="31"/>
  <c r="S37" i="31" s="1"/>
  <c r="G10" i="31" l="1"/>
  <c r="G9" i="31"/>
  <c r="AF9" i="31" l="1"/>
  <c r="R10" i="31"/>
  <c r="AF10" i="31"/>
  <c r="AF11" i="31"/>
  <c r="V11" i="31"/>
  <c r="R9" i="31" l="1"/>
  <c r="AB13" i="30"/>
  <c r="L13" i="30" s="1"/>
  <c r="AB9" i="30"/>
  <c r="W6" i="29"/>
  <c r="D11" i="108" s="1"/>
  <c r="J6" i="29" l="1"/>
  <c r="L9" i="30"/>
  <c r="V11" i="28" l="1"/>
  <c r="J11" i="28" s="1"/>
  <c r="V10" i="28"/>
  <c r="J10" i="28" s="1"/>
  <c r="J9" i="28"/>
  <c r="V7" i="28"/>
  <c r="J7" i="28" s="1"/>
  <c r="P13" i="28"/>
  <c r="I13" i="28" s="1"/>
  <c r="P11" i="28"/>
  <c r="I11" i="28" s="1"/>
  <c r="P10" i="28"/>
  <c r="I10" i="28" s="1"/>
  <c r="P9" i="28"/>
  <c r="I9" i="28" s="1"/>
  <c r="P7" i="28"/>
  <c r="I7" i="28" s="1"/>
  <c r="V6" i="28" l="1"/>
  <c r="P6" i="28"/>
  <c r="C10" i="108" l="1"/>
  <c r="I6" i="28"/>
  <c r="J6" i="28"/>
  <c r="D10" i="108"/>
  <c r="AB9" i="26" l="1"/>
  <c r="E9" i="108" l="1"/>
  <c r="E10" i="108"/>
  <c r="E11" i="108"/>
  <c r="E12" i="108"/>
  <c r="E13" i="108"/>
  <c r="E14" i="108"/>
  <c r="E15" i="108"/>
  <c r="E16" i="108"/>
  <c r="E17" i="108"/>
  <c r="E18" i="108"/>
  <c r="E8" i="108"/>
  <c r="F8" i="89"/>
  <c r="F5" i="89"/>
  <c r="H1" i="112" s="1"/>
  <c r="N3" i="34"/>
  <c r="G3" i="33"/>
  <c r="J3" i="32"/>
  <c r="P3" i="102"/>
  <c r="P3" i="100"/>
  <c r="P3" i="31"/>
  <c r="I3" i="30"/>
  <c r="G3" i="29"/>
  <c r="F3" i="28"/>
  <c r="K3" i="27"/>
  <c r="K3" i="26"/>
  <c r="F6" i="89" l="1"/>
  <c r="F98" i="94" s="1"/>
  <c r="F100" i="94"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F158" i="94" l="1"/>
  <c r="L8" i="90"/>
  <c r="N8" i="90"/>
  <c r="M8" i="90"/>
  <c r="O8" i="90"/>
  <c r="B12" i="26"/>
  <c r="AH12" i="26" s="1"/>
  <c r="C15" i="27"/>
  <c r="AI15" i="27" s="1"/>
  <c r="E15" i="27" l="1"/>
  <c r="AK15" i="27" s="1"/>
  <c r="D15" i="27"/>
  <c r="AJ15" i="27" s="1"/>
  <c r="B15" i="27"/>
  <c r="AH15" i="27" s="1"/>
  <c r="R12" i="100"/>
  <c r="AF12" i="100"/>
  <c r="D14" i="108" s="1"/>
  <c r="AJ18" i="31"/>
  <c r="S18" i="31" s="1"/>
  <c r="Z18" i="31"/>
  <c r="R18" i="31" s="1"/>
  <c r="R12" i="102" l="1"/>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110" i="93" s="1"/>
  <c r="O153"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110" i="93" s="1"/>
  <c r="M153"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O39" i="93" l="1"/>
  <c r="O16" i="93"/>
  <c r="M92" i="93"/>
  <c r="M16" i="93"/>
  <c r="N19" i="100"/>
  <c r="R12" i="31"/>
  <c r="M113" i="93"/>
  <c r="M131" i="93" s="1"/>
  <c r="M157" i="93" s="1"/>
  <c r="M177" i="93" s="1"/>
  <c r="M13" i="96"/>
  <c r="O13" i="96"/>
  <c r="O113" i="93"/>
  <c r="O131" i="93" s="1"/>
  <c r="O157" i="93" s="1"/>
  <c r="O177" i="93" s="1"/>
  <c r="M3" i="96"/>
  <c r="M3" i="93"/>
  <c r="M55" i="93"/>
  <c r="M90" i="93"/>
  <c r="M163" i="93"/>
  <c r="M172" i="93" s="1"/>
  <c r="O55" i="93"/>
  <c r="O90" i="93"/>
  <c r="O163" i="93"/>
  <c r="O172" i="93" s="1"/>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O75" i="93"/>
  <c r="M143" i="93"/>
  <c r="M158" i="93" s="1"/>
  <c r="M178" i="93" s="1"/>
  <c r="M85" i="93"/>
  <c r="M75" i="93"/>
  <c r="M119" i="93" l="1"/>
  <c r="M121" i="93" s="1"/>
  <c r="M125" i="93" s="1"/>
  <c r="M128" i="93" s="1"/>
  <c r="O91" i="93"/>
  <c r="O119" i="93"/>
  <c r="O121" i="93" s="1"/>
  <c r="O125" i="93" s="1"/>
  <c r="O128" i="93" s="1"/>
  <c r="M91" i="93"/>
  <c r="O100" i="93"/>
  <c r="O104" i="93" s="1"/>
  <c r="O107" i="93" s="1"/>
  <c r="O94" i="93"/>
  <c r="O98" i="93"/>
  <c r="O87" i="93"/>
  <c r="M98" i="93"/>
  <c r="M87" i="93"/>
  <c r="M100" i="93"/>
  <c r="M104" i="93" s="1"/>
  <c r="M107" i="93" s="1"/>
  <c r="M94" i="93"/>
  <c r="BC3" i="91" l="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D65" i="29"/>
  <c r="E66" i="29" s="1"/>
  <c r="D8" i="28"/>
  <c r="Z19" i="31" l="1"/>
  <c r="AN7" i="90"/>
  <c r="Q9" i="34"/>
  <c r="D18" i="108"/>
  <c r="AM7" i="90"/>
  <c r="AD11" i="32"/>
  <c r="M11" i="32" s="1"/>
  <c r="D7" i="29"/>
  <c r="D8" i="29" s="1"/>
  <c r="BG124" i="93"/>
  <c r="BF106" i="93"/>
  <c r="BG37" i="93"/>
  <c r="BF140" i="93"/>
  <c r="BF154" i="93" s="1"/>
  <c r="BG140" i="93"/>
  <c r="BG154" i="93" s="1"/>
  <c r="BF68" i="93"/>
  <c r="BF110" i="93" s="1"/>
  <c r="BF153" i="93" s="1"/>
  <c r="BG113" i="93"/>
  <c r="BG131" i="93" s="1"/>
  <c r="BG157" i="93" s="1"/>
  <c r="BF126" i="93"/>
  <c r="BG12" i="96"/>
  <c r="BG40" i="93"/>
  <c r="BG90" i="93"/>
  <c r="BG127" i="93"/>
  <c r="BF13" i="96"/>
  <c r="BF40" i="93"/>
  <c r="BF92" i="93"/>
  <c r="BG93" i="93"/>
  <c r="BF178" i="93"/>
  <c r="BF171" i="93"/>
  <c r="BF176" i="93"/>
  <c r="BF131" i="93"/>
  <c r="BF157" i="93" s="1"/>
  <c r="BF119" i="93"/>
  <c r="BF121" i="93" s="1"/>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19" i="96" s="1"/>
  <c r="BG43" i="92"/>
  <c r="BG47" i="92"/>
  <c r="BG57" i="92"/>
  <c r="BG115" i="93" s="1"/>
  <c r="BG69" i="92"/>
  <c r="BG193" i="93" s="1"/>
  <c r="BG73" i="92"/>
  <c r="BG197" i="93" s="1"/>
  <c r="BG34" i="92"/>
  <c r="BG182" i="93" s="1"/>
  <c r="BG183" i="93" s="1"/>
  <c r="BG185" i="93" s="1"/>
  <c r="BG16" i="96"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19" i="96" s="1"/>
  <c r="BF43" i="92"/>
  <c r="BF47" i="92"/>
  <c r="BF57" i="92"/>
  <c r="BF115" i="93" s="1"/>
  <c r="BF69" i="92"/>
  <c r="BF193" i="93" s="1"/>
  <c r="BF73" i="92"/>
  <c r="BF197" i="93" s="1"/>
  <c r="BF34" i="92"/>
  <c r="BF182" i="93" s="1"/>
  <c r="BF183" i="93" s="1"/>
  <c r="BF186" i="93" s="1"/>
  <c r="BF17" i="96" s="1"/>
  <c r="BF44" i="92"/>
  <c r="BF21" i="93" s="1"/>
  <c r="BF49" i="92"/>
  <c r="BF59" i="92"/>
  <c r="BF71" i="93" s="1"/>
  <c r="BF109" i="93" s="1"/>
  <c r="BF70" i="92"/>
  <c r="BF194" i="93" s="1"/>
  <c r="R19" i="31" l="1"/>
  <c r="BG179" i="93"/>
  <c r="BG10" i="96" s="1"/>
  <c r="BG119" i="93"/>
  <c r="BG121" i="93" s="1"/>
  <c r="BF128" i="93"/>
  <c r="BF75" i="93"/>
  <c r="BF87" i="93" s="1"/>
  <c r="BF85" i="93"/>
  <c r="BF179" i="93"/>
  <c r="BF10" i="96" s="1"/>
  <c r="BF185" i="93"/>
  <c r="BF16"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186" i="93"/>
  <c r="BG17" i="96" s="1"/>
  <c r="BG70" i="93"/>
  <c r="BG20" i="93"/>
  <c r="BF24" i="93"/>
  <c r="BF114" i="93"/>
  <c r="BF20" i="93"/>
  <c r="BF70" i="93"/>
  <c r="BG7" i="92"/>
  <c r="BG7" i="93" s="1"/>
  <c r="BG31" i="92"/>
  <c r="BF174" i="93"/>
  <c r="BF9" i="96" s="1"/>
  <c r="BG214" i="93"/>
  <c r="BG100" i="93"/>
  <c r="BG104" i="93" s="1"/>
  <c r="BG107" i="93" s="1"/>
  <c r="BG94" i="93"/>
  <c r="BG98" i="93"/>
  <c r="BG87" i="93"/>
  <c r="BG91" i="93"/>
  <c r="BG224" i="93"/>
  <c r="BG220" i="93"/>
  <c r="BG225" i="93"/>
  <c r="BG223" i="93"/>
  <c r="BG219" i="93"/>
  <c r="BG221" i="93"/>
  <c r="BG222" i="93"/>
  <c r="BF234" i="93"/>
  <c r="BF230" i="93"/>
  <c r="BF233" i="93"/>
  <c r="BF229" i="93"/>
  <c r="BF232" i="93"/>
  <c r="BF228" i="93"/>
  <c r="BF231" i="93"/>
  <c r="BG11" i="90"/>
  <c r="BF11" i="90"/>
  <c r="BG213" i="93" l="1"/>
  <c r="BG210" i="93"/>
  <c r="BG204" i="93"/>
  <c r="BG211" i="93"/>
  <c r="BG212" i="93"/>
  <c r="BG216" i="93"/>
  <c r="BG215" i="93"/>
  <c r="BF98" i="93"/>
  <c r="BG125" i="93"/>
  <c r="BG128" i="93" s="1"/>
  <c r="BF94" i="93"/>
  <c r="BF91" i="93"/>
  <c r="BF100" i="93"/>
  <c r="BF104" i="93" s="1"/>
  <c r="BF107" i="93" s="1"/>
  <c r="AL7" i="90"/>
  <c r="BF216" i="93"/>
  <c r="BF212" i="93"/>
  <c r="BF214" i="93"/>
  <c r="BF211" i="93"/>
  <c r="BF213" i="93"/>
  <c r="BF215" i="93"/>
  <c r="BF210" i="93"/>
  <c r="BF223" i="93"/>
  <c r="BG207" i="93"/>
  <c r="BF221" i="93"/>
  <c r="BF224" i="93"/>
  <c r="BF222" i="93"/>
  <c r="BF219" i="93"/>
  <c r="BG202" i="93"/>
  <c r="BF225" i="93"/>
  <c r="BF220" i="93"/>
  <c r="BG205" i="93"/>
  <c r="BG206" i="93"/>
  <c r="BG201" i="93"/>
  <c r="BF203" i="93"/>
  <c r="BG203" i="93"/>
  <c r="BG229" i="93"/>
  <c r="BG232" i="93"/>
  <c r="BG234" i="93"/>
  <c r="BF205" i="93"/>
  <c r="BF202" i="93"/>
  <c r="BF204" i="93"/>
  <c r="BG231" i="93"/>
  <c r="BG233" i="93"/>
  <c r="BF206" i="93"/>
  <c r="BG228" i="93"/>
  <c r="BG230"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96" i="93" l="1"/>
  <c r="BF56" i="93"/>
  <c r="BF59" i="93" s="1"/>
  <c r="BF38" i="93"/>
  <c r="BF41" i="93" s="1"/>
  <c r="BG97" i="93"/>
  <c r="BG117" i="93"/>
  <c r="BG120" i="93" s="1"/>
  <c r="BG73" i="93"/>
  <c r="BG142" i="93"/>
  <c r="BG56" i="93"/>
  <c r="BG59" i="93" s="1"/>
  <c r="BF117" i="93"/>
  <c r="BF120" i="93" s="1"/>
  <c r="BF97" i="93"/>
  <c r="BF73" i="93"/>
  <c r="BG38" i="93"/>
  <c r="BG41" i="93" s="1"/>
  <c r="E31" i="31"/>
  <c r="F16" i="26" s="1"/>
  <c r="S12" i="31"/>
  <c r="S9" i="31"/>
  <c r="F11" i="31"/>
  <c r="G11" i="31" s="1"/>
  <c r="F15" i="26" s="1"/>
  <c r="S10" i="31"/>
  <c r="F11" i="26" l="1"/>
  <c r="AF25" i="31"/>
  <c r="V25" i="31"/>
  <c r="C13" i="108" s="1"/>
  <c r="AB10" i="26"/>
  <c r="F11" i="30"/>
  <c r="AB11" i="30" s="1"/>
  <c r="L11" i="30" s="1"/>
  <c r="F12" i="30"/>
  <c r="AB12" i="30" s="1"/>
  <c r="L12" i="30" s="1"/>
  <c r="R11" i="31"/>
  <c r="AB16" i="26"/>
  <c r="F13" i="26"/>
  <c r="S25" i="31" l="1"/>
  <c r="D13" i="108"/>
  <c r="P7" i="90"/>
  <c r="AB15" i="26"/>
  <c r="K7" i="90"/>
  <c r="R25" i="31"/>
  <c r="F10" i="30"/>
  <c r="AB10" i="30" s="1"/>
  <c r="L10" i="30" s="1"/>
  <c r="S11" i="31"/>
  <c r="Q7" i="90"/>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N14" i="96"/>
  <c r="L14" i="96"/>
  <c r="K14" i="96"/>
  <c r="J14" i="96"/>
  <c r="N7" i="112" l="1" a="1"/>
  <c r="N7" i="112" s="1"/>
  <c r="D12" i="108"/>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33" i="97"/>
  <c r="E32" i="97"/>
  <c r="E31" i="97"/>
  <c r="E30" i="97"/>
  <c r="E29" i="97"/>
  <c r="E28" i="97"/>
  <c r="E25" i="97"/>
  <c r="E24" i="97"/>
  <c r="E23" i="97"/>
  <c r="E22" i="97"/>
  <c r="E21" i="97"/>
  <c r="E20" i="97"/>
  <c r="E19" i="97"/>
  <c r="A15" i="97"/>
  <c r="E13" i="97"/>
  <c r="E12" i="97"/>
  <c r="E11" i="97"/>
  <c r="E10" i="97"/>
  <c r="E9" i="97"/>
  <c r="E8" i="97"/>
  <c r="E7" i="97"/>
  <c r="H1" i="97"/>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19" i="96" s="1"/>
  <c r="E190" i="93"/>
  <c r="E19" i="96" s="1"/>
  <c r="G182" i="93"/>
  <c r="E182" i="93"/>
  <c r="E168" i="93"/>
  <c r="E167" i="93"/>
  <c r="E166" i="93"/>
  <c r="E164" i="93"/>
  <c r="E163" i="93"/>
  <c r="E162" i="93"/>
  <c r="G161" i="93"/>
  <c r="E161" i="93"/>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P53" i="92"/>
  <c r="BO53" i="92"/>
  <c r="BN53" i="92"/>
  <c r="BM53" i="92"/>
  <c r="BM113" i="93" s="1"/>
  <c r="BL53" i="92"/>
  <c r="BK53" i="92"/>
  <c r="BJ53" i="92"/>
  <c r="BI53" i="92"/>
  <c r="BI113" i="93" s="1"/>
  <c r="BH53" i="92"/>
  <c r="BE53" i="92"/>
  <c r="BD53" i="92"/>
  <c r="BC53" i="92"/>
  <c r="BC113" i="93" s="1"/>
  <c r="BB53" i="92"/>
  <c r="BA53" i="92"/>
  <c r="AZ53" i="92"/>
  <c r="AY53" i="92"/>
  <c r="AY113" i="93" s="1"/>
  <c r="AX53" i="92"/>
  <c r="AW53" i="92"/>
  <c r="AV53" i="92"/>
  <c r="AU53" i="92"/>
  <c r="AU113" i="93" s="1"/>
  <c r="AT53" i="92"/>
  <c r="AS53" i="92"/>
  <c r="AR53" i="92"/>
  <c r="AQ53" i="92"/>
  <c r="AQ113" i="93" s="1"/>
  <c r="AP53" i="92"/>
  <c r="AO53" i="92"/>
  <c r="AN53" i="92"/>
  <c r="AM53" i="92"/>
  <c r="AL53" i="92"/>
  <c r="AK53" i="92"/>
  <c r="AJ53" i="92"/>
  <c r="AI53" i="92"/>
  <c r="AI113" i="93" s="1"/>
  <c r="AH53" i="92"/>
  <c r="AG53" i="92"/>
  <c r="AF53" i="92"/>
  <c r="AE53" i="92"/>
  <c r="AE113" i="93" s="1"/>
  <c r="AD53" i="92"/>
  <c r="AC53" i="92"/>
  <c r="AB53" i="92"/>
  <c r="AA53" i="92"/>
  <c r="AA113" i="93" s="1"/>
  <c r="Z53" i="92"/>
  <c r="Y53" i="92"/>
  <c r="X53" i="92"/>
  <c r="W53" i="92"/>
  <c r="V53" i="92"/>
  <c r="U53" i="92"/>
  <c r="T53" i="92"/>
  <c r="S53" i="92"/>
  <c r="S113" i="93" s="1"/>
  <c r="R53" i="92"/>
  <c r="Q53" i="92"/>
  <c r="P53" i="92"/>
  <c r="N53" i="92"/>
  <c r="N113"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N27" i="92"/>
  <c r="N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G213" i="94" l="1"/>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N7" i="90"/>
  <c r="F12" i="26"/>
  <c r="M7" i="90" s="1"/>
  <c r="L7" i="90"/>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121" i="93" s="1"/>
  <c r="W68" i="93"/>
  <c r="W75" i="93" s="1"/>
  <c r="AM113" i="93"/>
  <c r="AM68" i="93"/>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2" i="96"/>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68" i="93"/>
  <c r="Y113" i="93"/>
  <c r="Y68" i="93"/>
  <c r="AG113" i="93"/>
  <c r="AG68" i="93"/>
  <c r="AS113" i="93"/>
  <c r="AS68" i="93"/>
  <c r="BE113" i="93"/>
  <c r="BE68" i="93"/>
  <c r="BO113" i="93"/>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3" i="96"/>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68" i="93"/>
  <c r="R113" i="93"/>
  <c r="R68" i="93"/>
  <c r="V113" i="93"/>
  <c r="V68" i="93"/>
  <c r="Z113" i="93"/>
  <c r="Z68" i="93"/>
  <c r="AD113" i="93"/>
  <c r="AD68" i="93"/>
  <c r="AH113" i="93"/>
  <c r="AH68" i="93"/>
  <c r="AL113" i="93"/>
  <c r="AL68" i="93"/>
  <c r="AP113" i="93"/>
  <c r="AP68" i="93"/>
  <c r="AT113" i="93"/>
  <c r="AT68" i="93"/>
  <c r="AX113" i="93"/>
  <c r="AX68" i="93"/>
  <c r="BB113" i="93"/>
  <c r="BB68" i="93"/>
  <c r="BH113" i="93"/>
  <c r="BH68" i="93"/>
  <c r="BL113" i="93"/>
  <c r="BL68" i="93"/>
  <c r="BP113" i="93"/>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Q68" i="93"/>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68" i="93"/>
  <c r="U113" i="93"/>
  <c r="U68" i="93"/>
  <c r="AC113" i="93"/>
  <c r="AC68" i="93"/>
  <c r="AK113" i="93"/>
  <c r="AK68" i="93"/>
  <c r="AO113" i="93"/>
  <c r="AO68" i="93"/>
  <c r="AW113" i="93"/>
  <c r="AW68" i="93"/>
  <c r="BA113" i="93"/>
  <c r="BA68" i="93"/>
  <c r="BK113" i="93"/>
  <c r="BK68" i="93"/>
  <c r="BS113" i="93"/>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128" i="95"/>
  <c r="G31" i="97" s="1"/>
  <c r="G126" i="95"/>
  <c r="G29" i="97" s="1"/>
  <c r="G122" i="95"/>
  <c r="G25" i="97" s="1"/>
  <c r="G120" i="95"/>
  <c r="G23" i="97" s="1"/>
  <c r="G118" i="95"/>
  <c r="G21" i="97" s="1"/>
  <c r="G116" i="95"/>
  <c r="G19" i="97" s="1"/>
  <c r="G110" i="95"/>
  <c r="G108" i="95"/>
  <c r="G106" i="95"/>
  <c r="G102" i="95"/>
  <c r="G100" i="95"/>
  <c r="G98" i="95"/>
  <c r="G96" i="95"/>
  <c r="G92" i="95"/>
  <c r="G90" i="95"/>
  <c r="G88" i="95"/>
  <c r="G84" i="95"/>
  <c r="G82" i="95"/>
  <c r="G80" i="95"/>
  <c r="G78" i="95"/>
  <c r="G32" i="95"/>
  <c r="G13" i="97" s="1"/>
  <c r="G30" i="95"/>
  <c r="G11" i="97" s="1"/>
  <c r="G28" i="95"/>
  <c r="G9" i="97" s="1"/>
  <c r="G26" i="95"/>
  <c r="G7" i="97" s="1"/>
  <c r="G91" i="94"/>
  <c r="G45" i="95" s="1"/>
  <c r="G89" i="94"/>
  <c r="G43" i="95" s="1"/>
  <c r="G87" i="94"/>
  <c r="G41" i="95" s="1"/>
  <c r="G83" i="94"/>
  <c r="G14" i="95" s="1"/>
  <c r="G81" i="94"/>
  <c r="G12" i="95" s="1"/>
  <c r="G79" i="94"/>
  <c r="G10" i="95" s="1"/>
  <c r="G77" i="94"/>
  <c r="G8" i="95" s="1"/>
  <c r="G62" i="94"/>
  <c r="G58" i="94"/>
  <c r="G127" i="95"/>
  <c r="G30" i="97" s="1"/>
  <c r="G117" i="95"/>
  <c r="G20" i="97" s="1"/>
  <c r="G105" i="95"/>
  <c r="G93" i="95"/>
  <c r="G83" i="95"/>
  <c r="G131" i="95"/>
  <c r="G34" i="97" s="1"/>
  <c r="G111" i="95"/>
  <c r="G107" i="95"/>
  <c r="G89" i="95"/>
  <c r="G29" i="95"/>
  <c r="G10" i="97" s="1"/>
  <c r="G92" i="94"/>
  <c r="G46" i="95" s="1"/>
  <c r="G82" i="94"/>
  <c r="G13" i="95" s="1"/>
  <c r="G121" i="95"/>
  <c r="G24" i="97" s="1"/>
  <c r="G101" i="95"/>
  <c r="G97" i="95"/>
  <c r="G79" i="95"/>
  <c r="G31" i="95"/>
  <c r="G12" i="97" s="1"/>
  <c r="G86" i="94"/>
  <c r="G40" i="95" s="1"/>
  <c r="G54" i="94"/>
  <c r="G129" i="95"/>
  <c r="G32" i="97" s="1"/>
  <c r="G109" i="95"/>
  <c r="G91" i="95"/>
  <c r="G87" i="95"/>
  <c r="G88" i="94"/>
  <c r="G42" i="95" s="1"/>
  <c r="G90" i="94"/>
  <c r="G44" i="95" s="1"/>
  <c r="G53" i="94"/>
  <c r="G52" i="94"/>
  <c r="G51" i="94"/>
  <c r="G50" i="94"/>
  <c r="G49" i="94"/>
  <c r="G48" i="94"/>
  <c r="G34" i="94"/>
  <c r="G31" i="94"/>
  <c r="G234" i="93"/>
  <c r="G232" i="93"/>
  <c r="G230" i="93"/>
  <c r="G81" i="95"/>
  <c r="G27" i="95"/>
  <c r="G8" i="97" s="1"/>
  <c r="G60" i="94"/>
  <c r="G44" i="94"/>
  <c r="G40" i="94"/>
  <c r="G23" i="94"/>
  <c r="G20" i="94"/>
  <c r="G289" i="93"/>
  <c r="G284" i="93"/>
  <c r="G279" i="93"/>
  <c r="G274" i="93"/>
  <c r="G269" i="93"/>
  <c r="G264" i="93"/>
  <c r="G257" i="93"/>
  <c r="G120" i="94" s="1"/>
  <c r="G254" i="93"/>
  <c r="G117" i="94" s="1"/>
  <c r="G247" i="93"/>
  <c r="G244" i="93"/>
  <c r="G229" i="93"/>
  <c r="G125" i="95"/>
  <c r="G28" i="97" s="1"/>
  <c r="G99" i="95"/>
  <c r="G45" i="94"/>
  <c r="G41" i="94"/>
  <c r="G22" i="94"/>
  <c r="G17" i="94"/>
  <c r="G291" i="93"/>
  <c r="G288" i="93"/>
  <c r="G281" i="93"/>
  <c r="G278" i="93"/>
  <c r="G271" i="93"/>
  <c r="G266" i="93"/>
  <c r="G261" i="93"/>
  <c r="G256" i="93"/>
  <c r="G119" i="94" s="1"/>
  <c r="G251" i="93"/>
  <c r="G114" i="94" s="1"/>
  <c r="G246" i="93"/>
  <c r="G233" i="93"/>
  <c r="G119" i="95"/>
  <c r="G2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N119" i="93"/>
  <c r="N121" i="93" s="1"/>
  <c r="S131" i="93"/>
  <c r="S157" i="93" s="1"/>
  <c r="S177" i="93" s="1"/>
  <c r="S119" i="93"/>
  <c r="S121" i="93" s="1"/>
  <c r="AA131" i="93"/>
  <c r="AA157" i="93" s="1"/>
  <c r="AA177" i="93" s="1"/>
  <c r="AA119" i="93"/>
  <c r="AA121" i="93" s="1"/>
  <c r="AE131" i="93"/>
  <c r="AE157" i="93" s="1"/>
  <c r="AE177" i="93" s="1"/>
  <c r="AE119" i="93"/>
  <c r="AE121" i="93" s="1"/>
  <c r="AI131" i="93"/>
  <c r="AI157" i="93" s="1"/>
  <c r="AI177" i="93" s="1"/>
  <c r="AI119" i="93"/>
  <c r="AI121" i="93" s="1"/>
  <c r="AQ131" i="93"/>
  <c r="AQ157" i="93" s="1"/>
  <c r="AQ177" i="93" s="1"/>
  <c r="AQ119" i="93"/>
  <c r="AQ121" i="93" s="1"/>
  <c r="AU131" i="93"/>
  <c r="AU157" i="93" s="1"/>
  <c r="AU177" i="93" s="1"/>
  <c r="AU119" i="93"/>
  <c r="AU121" i="93" s="1"/>
  <c r="AY131" i="93"/>
  <c r="AY157" i="93" s="1"/>
  <c r="AY177" i="93" s="1"/>
  <c r="AY119" i="93"/>
  <c r="AY121" i="93" s="1"/>
  <c r="BC131" i="93"/>
  <c r="BC157" i="93" s="1"/>
  <c r="BC177" i="93" s="1"/>
  <c r="BC119" i="93"/>
  <c r="BC121" i="93" s="1"/>
  <c r="BI131" i="93"/>
  <c r="BI157" i="93" s="1"/>
  <c r="BI119" i="93"/>
  <c r="BI121" i="93" s="1"/>
  <c r="BM131" i="93"/>
  <c r="BM157" i="93" s="1"/>
  <c r="BM119" i="93"/>
  <c r="BM121" i="93" s="1"/>
  <c r="BQ131" i="93"/>
  <c r="BQ157" i="93" s="1"/>
  <c r="BQ119" i="93"/>
  <c r="BQ121" i="93" s="1"/>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AE68" i="93"/>
  <c r="AU68" i="93"/>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68" i="93"/>
  <c r="P113" i="93"/>
  <c r="P68" i="93"/>
  <c r="T113" i="93"/>
  <c r="T68" i="93"/>
  <c r="X113" i="93"/>
  <c r="X68" i="93"/>
  <c r="AB113" i="93"/>
  <c r="AB68" i="93"/>
  <c r="AF113" i="93"/>
  <c r="AF68" i="93"/>
  <c r="AJ113" i="93"/>
  <c r="AJ68" i="93"/>
  <c r="AN113" i="93"/>
  <c r="AN68" i="93"/>
  <c r="AR113" i="93"/>
  <c r="AR68" i="93"/>
  <c r="AV113" i="93"/>
  <c r="AV68" i="93"/>
  <c r="AZ113" i="93"/>
  <c r="AZ68" i="93"/>
  <c r="BD113" i="93"/>
  <c r="BD68" i="93"/>
  <c r="BJ113" i="93"/>
  <c r="BJ68" i="93"/>
  <c r="BN113" i="93"/>
  <c r="BN68" i="93"/>
  <c r="BR113" i="93"/>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AI68" i="93"/>
  <c r="AY68" i="93"/>
  <c r="BQ68" i="93"/>
  <c r="U79" i="93"/>
  <c r="AK79" i="93"/>
  <c r="BA79" i="93"/>
  <c r="BS79" i="93"/>
  <c r="S80" i="93"/>
  <c r="AI80" i="93"/>
  <c r="AY80" i="93"/>
  <c r="BQ80" i="93"/>
  <c r="G11" i="94" l="1"/>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M7" i="112" a="1"/>
  <c r="M7" i="112" s="1"/>
  <c r="L7" i="112" a="1"/>
  <c r="L7" i="112" s="1"/>
  <c r="N93" i="93"/>
  <c r="E19" i="26"/>
  <c r="AK19" i="26" s="1"/>
  <c r="D19" i="26"/>
  <c r="AJ19" i="26" s="1"/>
  <c r="B19" i="26"/>
  <c r="AH19" i="26" s="1"/>
  <c r="D16" i="30"/>
  <c r="AJ16" i="30" s="1"/>
  <c r="E16" i="30"/>
  <c r="AK16" i="30" s="1"/>
  <c r="B16" i="30"/>
  <c r="AH16" i="30" s="1"/>
  <c r="G117" i="93"/>
  <c r="L93" i="93"/>
  <c r="G97" i="93"/>
  <c r="W131" i="93"/>
  <c r="W157" i="93" s="1"/>
  <c r="W177" i="93" s="1"/>
  <c r="W19" i="26"/>
  <c r="X19" i="26"/>
  <c r="Z19" i="26"/>
  <c r="W16" i="30"/>
  <c r="X16" i="30"/>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C125" i="93"/>
  <c r="BC128" i="93" s="1"/>
  <c r="AU125" i="93"/>
  <c r="AU128" i="93" s="1"/>
  <c r="W125" i="93"/>
  <c r="W128" i="93" s="1"/>
  <c r="BC91" i="93"/>
  <c r="W94" i="93"/>
  <c r="BS179" i="93"/>
  <c r="BN179" i="93"/>
  <c r="Q7" i="96"/>
  <c r="BI174" i="93"/>
  <c r="AL6" i="93"/>
  <c r="AL7" i="96"/>
  <c r="K6" i="93"/>
  <c r="K7" i="96"/>
  <c r="AM6" i="93"/>
  <c r="AM7" i="96"/>
  <c r="P7" i="96"/>
  <c r="P6" i="93"/>
  <c r="J6" i="93"/>
  <c r="J7" i="96"/>
  <c r="BN174" i="93"/>
  <c r="BN9" i="96" s="1"/>
  <c r="BL179" i="93"/>
  <c r="BS174" i="93"/>
  <c r="BS9" i="96" s="1"/>
  <c r="BK174" i="93"/>
  <c r="AE125" i="93"/>
  <c r="AE128" i="93" s="1"/>
  <c r="W91" i="93"/>
  <c r="N125" i="93"/>
  <c r="N128" i="93" s="1"/>
  <c r="N110" i="93"/>
  <c r="N153" i="93" s="1"/>
  <c r="N172" i="93" s="1"/>
  <c r="N75" i="93"/>
  <c r="N91" i="93" s="1"/>
  <c r="N85" i="93"/>
  <c r="BE179" i="93"/>
  <c r="BS119" i="93"/>
  <c r="BS121" i="93" s="1"/>
  <c r="BS125" i="93" s="1"/>
  <c r="BS128" i="93" s="1"/>
  <c r="BS131" i="93"/>
  <c r="BS157" i="93" s="1"/>
  <c r="BA119" i="93"/>
  <c r="BA121" i="93" s="1"/>
  <c r="BA131" i="93"/>
  <c r="BA157" i="93" s="1"/>
  <c r="BA177" i="93" s="1"/>
  <c r="AO119" i="93"/>
  <c r="AO121" i="93" s="1"/>
  <c r="AO125" i="93" s="1"/>
  <c r="AO128" i="93" s="1"/>
  <c r="AO131" i="93"/>
  <c r="AO157" i="93" s="1"/>
  <c r="AO177" i="93" s="1"/>
  <c r="AC131" i="93"/>
  <c r="AC157" i="93" s="1"/>
  <c r="AC177" i="93" s="1"/>
  <c r="AC119" i="93"/>
  <c r="AC121" i="93" s="1"/>
  <c r="BI179" i="93"/>
  <c r="AQ110" i="93"/>
  <c r="AQ153" i="93" s="1"/>
  <c r="AQ172" i="93" s="1"/>
  <c r="AQ85" i="93"/>
  <c r="AQ75" i="93"/>
  <c r="AQ91" i="93" s="1"/>
  <c r="BP110" i="93"/>
  <c r="BP153" i="93" s="1"/>
  <c r="BP85" i="93"/>
  <c r="BP75" i="93"/>
  <c r="BP94" i="93" s="1"/>
  <c r="BH110" i="93"/>
  <c r="BH153" i="93" s="1"/>
  <c r="BH85" i="93"/>
  <c r="BH75" i="93"/>
  <c r="BH91" i="93" s="1"/>
  <c r="AX110" i="93"/>
  <c r="AX153" i="93" s="1"/>
  <c r="AX172" i="93" s="1"/>
  <c r="AX85" i="93"/>
  <c r="AX75" i="93"/>
  <c r="AX91" i="93" s="1"/>
  <c r="AP110" i="93"/>
  <c r="AP153" i="93" s="1"/>
  <c r="AP172" i="93" s="1"/>
  <c r="AP85" i="93"/>
  <c r="AP75" i="93"/>
  <c r="AP91" i="93" s="1"/>
  <c r="AH110" i="93"/>
  <c r="AH153" i="93" s="1"/>
  <c r="AH172" i="93" s="1"/>
  <c r="AH85" i="93"/>
  <c r="AH75" i="93"/>
  <c r="AH91" i="93" s="1"/>
  <c r="Z110" i="93"/>
  <c r="Z153" i="93" s="1"/>
  <c r="Z172" i="93" s="1"/>
  <c r="Z85" i="93"/>
  <c r="Z75" i="93"/>
  <c r="Z91" i="93" s="1"/>
  <c r="R110" i="93"/>
  <c r="R153" i="93" s="1"/>
  <c r="R172" i="93" s="1"/>
  <c r="R85" i="93"/>
  <c r="R75" i="93"/>
  <c r="R94" i="93" s="1"/>
  <c r="BR174" i="93"/>
  <c r="BR9" i="96" s="1"/>
  <c r="BJ174" i="93"/>
  <c r="BE110" i="93"/>
  <c r="BE153" i="93" s="1"/>
  <c r="BE85" i="93"/>
  <c r="BE75" i="93"/>
  <c r="BE91" i="93" s="1"/>
  <c r="AG85" i="93"/>
  <c r="AG110" i="93"/>
  <c r="AG153" i="93" s="1"/>
  <c r="AG172" i="93" s="1"/>
  <c r="AG75" i="93"/>
  <c r="AG94" i="93" s="1"/>
  <c r="Q85" i="93"/>
  <c r="Q110" i="93"/>
  <c r="Q153" i="93" s="1"/>
  <c r="Q172" i="93" s="1"/>
  <c r="Q75" i="93"/>
  <c r="Q94" i="93" s="1"/>
  <c r="BM179" i="93"/>
  <c r="BQ110" i="93"/>
  <c r="BQ153" i="93" s="1"/>
  <c r="BQ75" i="93"/>
  <c r="BQ91" i="93" s="1"/>
  <c r="BQ85" i="93"/>
  <c r="BR119" i="93"/>
  <c r="BR121" i="93" s="1"/>
  <c r="BR131" i="93"/>
  <c r="BR157" i="93" s="1"/>
  <c r="AR131" i="93"/>
  <c r="AR157" i="93" s="1"/>
  <c r="AR177" i="93" s="1"/>
  <c r="AR119" i="93"/>
  <c r="AR121" i="93" s="1"/>
  <c r="AB131" i="93"/>
  <c r="AB157" i="93" s="1"/>
  <c r="AB177" i="93" s="1"/>
  <c r="AB119" i="93"/>
  <c r="AB121" i="93" s="1"/>
  <c r="J131" i="93"/>
  <c r="J157" i="93" s="1"/>
  <c r="J177" i="93" s="1"/>
  <c r="J119" i="93"/>
  <c r="J121" i="93" s="1"/>
  <c r="AE110" i="93"/>
  <c r="AE153" i="93" s="1"/>
  <c r="AE172" i="93" s="1"/>
  <c r="AE75" i="93"/>
  <c r="AE91" i="93" s="1"/>
  <c r="AE85" i="93"/>
  <c r="BC100" i="93"/>
  <c r="BC104" i="93" s="1"/>
  <c r="BC107" i="93" s="1"/>
  <c r="BC98" i="93"/>
  <c r="BC87" i="93"/>
  <c r="BS110" i="93"/>
  <c r="BS153" i="93" s="1"/>
  <c r="BS85" i="93"/>
  <c r="BS75" i="93"/>
  <c r="BS94" i="93" s="1"/>
  <c r="AO110" i="93"/>
  <c r="AO153" i="93" s="1"/>
  <c r="AO172" i="93" s="1"/>
  <c r="AO85" i="93"/>
  <c r="AO75" i="93"/>
  <c r="AO94" i="93" s="1"/>
  <c r="K85" i="93"/>
  <c r="BB131" i="93"/>
  <c r="BB157" i="93" s="1"/>
  <c r="BB177" i="93" s="1"/>
  <c r="BB119" i="93"/>
  <c r="BB121" i="93" s="1"/>
  <c r="AL131" i="93"/>
  <c r="AL157" i="93" s="1"/>
  <c r="AL177" i="93" s="1"/>
  <c r="AL119" i="93"/>
  <c r="AL121" i="93" s="1"/>
  <c r="V131" i="93"/>
  <c r="V157" i="93" s="1"/>
  <c r="V177" i="93" s="1"/>
  <c r="V119" i="93"/>
  <c r="V121" i="93" s="1"/>
  <c r="AS131" i="93"/>
  <c r="AS157" i="93" s="1"/>
  <c r="AS177" i="93" s="1"/>
  <c r="AS119" i="93"/>
  <c r="AS121" i="93" s="1"/>
  <c r="AY110" i="93"/>
  <c r="AY153" i="93" s="1"/>
  <c r="AY172" i="93" s="1"/>
  <c r="AY75" i="93"/>
  <c r="AY85" i="93"/>
  <c r="BD110" i="93"/>
  <c r="BD153" i="93" s="1"/>
  <c r="BD75" i="93"/>
  <c r="BD85" i="93"/>
  <c r="AN110" i="93"/>
  <c r="AN153" i="93" s="1"/>
  <c r="AN172" i="93" s="1"/>
  <c r="AN75" i="93"/>
  <c r="AN91" i="93" s="1"/>
  <c r="AN85" i="93"/>
  <c r="X110" i="93"/>
  <c r="X153" i="93" s="1"/>
  <c r="X172" i="93" s="1"/>
  <c r="X75" i="93"/>
  <c r="X94" i="93" s="1"/>
  <c r="X85" i="93"/>
  <c r="P110" i="93"/>
  <c r="P153" i="93" s="1"/>
  <c r="P172" i="93" s="1"/>
  <c r="P75" i="93"/>
  <c r="P91" i="93" s="1"/>
  <c r="P85" i="93"/>
  <c r="BI125" i="93"/>
  <c r="BI128" i="93" s="1"/>
  <c r="AY125" i="93"/>
  <c r="AY128" i="93" s="1"/>
  <c r="AQ125" i="93"/>
  <c r="AQ128" i="93" s="1"/>
  <c r="AA125" i="93"/>
  <c r="AA128" i="93" s="1"/>
  <c r="S125" i="93"/>
  <c r="S128" i="93" s="1"/>
  <c r="AI110" i="93"/>
  <c r="AI153" i="93" s="1"/>
  <c r="AI172" i="93" s="1"/>
  <c r="AI75" i="93"/>
  <c r="AI94" i="93" s="1"/>
  <c r="AI85" i="93"/>
  <c r="BN119" i="93"/>
  <c r="BN121" i="93" s="1"/>
  <c r="BN131" i="93"/>
  <c r="BN157" i="93" s="1"/>
  <c r="BD131" i="93"/>
  <c r="BD157" i="93" s="1"/>
  <c r="BD119" i="93"/>
  <c r="BD121" i="93" s="1"/>
  <c r="AV119" i="93"/>
  <c r="AV121" i="93" s="1"/>
  <c r="AV131" i="93"/>
  <c r="AV157" i="93" s="1"/>
  <c r="AV177" i="93" s="1"/>
  <c r="AN131" i="93"/>
  <c r="AN157" i="93" s="1"/>
  <c r="AN177" i="93" s="1"/>
  <c r="AN119" i="93"/>
  <c r="AN121" i="93" s="1"/>
  <c r="AF119" i="93"/>
  <c r="AF121" i="93" s="1"/>
  <c r="AF131" i="93"/>
  <c r="AF157" i="93" s="1"/>
  <c r="AF177" i="93" s="1"/>
  <c r="X131" i="93"/>
  <c r="X157" i="93" s="1"/>
  <c r="X177" i="93" s="1"/>
  <c r="X119" i="93"/>
  <c r="X121" i="93" s="1"/>
  <c r="P119" i="93"/>
  <c r="P121"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W75" i="93"/>
  <c r="AW94" i="93" s="1"/>
  <c r="AK110" i="93"/>
  <c r="AK153" i="93" s="1"/>
  <c r="AK172" i="93" s="1"/>
  <c r="AK85" i="93"/>
  <c r="AK75" i="93"/>
  <c r="U110" i="93"/>
  <c r="U153" i="93" s="1"/>
  <c r="U172" i="93" s="1"/>
  <c r="U85" i="93"/>
  <c r="U75" i="93"/>
  <c r="U91" i="93" s="1"/>
  <c r="AA110" i="93"/>
  <c r="AA153" i="93" s="1"/>
  <c r="AA172" i="93" s="1"/>
  <c r="AA85" i="93"/>
  <c r="AA75" i="93"/>
  <c r="AA94" i="93" s="1"/>
  <c r="BP131" i="93"/>
  <c r="BP157" i="93" s="1"/>
  <c r="BP119" i="93"/>
  <c r="BP121" i="93" s="1"/>
  <c r="BH131" i="93"/>
  <c r="BH157" i="93" s="1"/>
  <c r="BH119" i="93"/>
  <c r="BH121" i="93" s="1"/>
  <c r="AX131" i="93"/>
  <c r="AX157" i="93" s="1"/>
  <c r="AX177" i="93" s="1"/>
  <c r="AX119" i="93"/>
  <c r="AX121" i="93" s="1"/>
  <c r="AP131" i="93"/>
  <c r="AP157" i="93" s="1"/>
  <c r="AP177" i="93" s="1"/>
  <c r="AP119" i="93"/>
  <c r="AP121" i="93" s="1"/>
  <c r="AH131" i="93"/>
  <c r="AH157" i="93" s="1"/>
  <c r="AH177" i="93" s="1"/>
  <c r="AH119" i="93"/>
  <c r="AH121" i="93" s="1"/>
  <c r="Z131" i="93"/>
  <c r="Z157" i="93" s="1"/>
  <c r="Z177" i="93" s="1"/>
  <c r="Z119" i="93"/>
  <c r="Z121" i="93" s="1"/>
  <c r="R131" i="93"/>
  <c r="R157" i="93" s="1"/>
  <c r="R177" i="93" s="1"/>
  <c r="R119" i="93"/>
  <c r="R121" i="93" s="1"/>
  <c r="BD174" i="93"/>
  <c r="BE119" i="93"/>
  <c r="BE121" i="93" s="1"/>
  <c r="BE131" i="93"/>
  <c r="BE157" i="93" s="1"/>
  <c r="AG119" i="93"/>
  <c r="AG121" i="93" s="1"/>
  <c r="AG131" i="93"/>
  <c r="AG157" i="93" s="1"/>
  <c r="AG177" i="93" s="1"/>
  <c r="Q119" i="93"/>
  <c r="Q121" i="93" s="1"/>
  <c r="Q131" i="93"/>
  <c r="Q157" i="93" s="1"/>
  <c r="Q177" i="93" s="1"/>
  <c r="BM174" i="93"/>
  <c r="BJ131" i="93"/>
  <c r="BJ157" i="93" s="1"/>
  <c r="BJ119" i="93"/>
  <c r="BJ121" i="93" s="1"/>
  <c r="AZ119" i="93"/>
  <c r="AZ121" i="93" s="1"/>
  <c r="AZ131" i="93"/>
  <c r="AZ157" i="93" s="1"/>
  <c r="AZ177" i="93" s="1"/>
  <c r="AJ119" i="93"/>
  <c r="AJ121" i="93" s="1"/>
  <c r="AJ131" i="93"/>
  <c r="AJ157" i="93" s="1"/>
  <c r="AJ177" i="93" s="1"/>
  <c r="T119" i="93"/>
  <c r="T121" i="93" s="1"/>
  <c r="T131" i="93"/>
  <c r="T157" i="93" s="1"/>
  <c r="T177" i="93" s="1"/>
  <c r="BA110" i="93"/>
  <c r="BA153" i="93" s="1"/>
  <c r="BA172" i="93" s="1"/>
  <c r="BA85" i="93"/>
  <c r="BA75" i="93"/>
  <c r="BA94" i="93" s="1"/>
  <c r="AC110" i="93"/>
  <c r="AC153" i="93" s="1"/>
  <c r="AC172" i="93" s="1"/>
  <c r="AC85" i="93"/>
  <c r="AC75" i="93"/>
  <c r="AC94" i="93" s="1"/>
  <c r="BI110" i="93"/>
  <c r="BI153" i="93" s="1"/>
  <c r="BI85" i="93"/>
  <c r="BI75" i="93"/>
  <c r="BI91" i="93" s="1"/>
  <c r="BL131" i="93"/>
  <c r="BL157" i="93" s="1"/>
  <c r="BL119" i="93"/>
  <c r="BL121" i="93" s="1"/>
  <c r="AT119" i="93"/>
  <c r="AT121" i="93" s="1"/>
  <c r="AT131" i="93"/>
  <c r="AT157" i="93" s="1"/>
  <c r="AT177" i="93" s="1"/>
  <c r="AD131" i="93"/>
  <c r="AD157" i="93" s="1"/>
  <c r="AD177" i="93" s="1"/>
  <c r="AD119" i="93"/>
  <c r="AD121" i="93" s="1"/>
  <c r="BO119" i="93"/>
  <c r="BO121" i="93" s="1"/>
  <c r="BO131" i="93"/>
  <c r="BO157" i="93" s="1"/>
  <c r="Y119" i="93"/>
  <c r="Y121" i="93" s="1"/>
  <c r="Y131" i="93"/>
  <c r="Y157" i="93" s="1"/>
  <c r="Y177" i="93" s="1"/>
  <c r="BN110" i="93"/>
  <c r="BN153" i="93" s="1"/>
  <c r="BN75" i="93"/>
  <c r="BN94" i="93" s="1"/>
  <c r="BN85" i="93"/>
  <c r="AV110" i="93"/>
  <c r="AV153" i="93" s="1"/>
  <c r="AV172" i="93" s="1"/>
  <c r="AV75" i="93"/>
  <c r="AV91" i="93" s="1"/>
  <c r="AV85" i="93"/>
  <c r="AF110" i="93"/>
  <c r="AF153" i="93" s="1"/>
  <c r="AF172" i="93" s="1"/>
  <c r="AF75" i="93"/>
  <c r="AF91" i="93" s="1"/>
  <c r="AF85" i="93"/>
  <c r="BQ125" i="93"/>
  <c r="BQ128" i="93" s="1"/>
  <c r="AI125" i="93"/>
  <c r="AI128" i="93" s="1"/>
  <c r="S110" i="93"/>
  <c r="S153" i="93" s="1"/>
  <c r="S172" i="93" s="1"/>
  <c r="S75" i="93"/>
  <c r="S85" i="93"/>
  <c r="BR110" i="93"/>
  <c r="BR153" i="93" s="1"/>
  <c r="BR75" i="93"/>
  <c r="BR85" i="93"/>
  <c r="BJ85" i="93"/>
  <c r="BJ75" i="93"/>
  <c r="BJ94" i="93" s="1"/>
  <c r="BJ110" i="93"/>
  <c r="BJ153" i="93" s="1"/>
  <c r="AZ110" i="93"/>
  <c r="AZ153" i="93" s="1"/>
  <c r="AZ172" i="93" s="1"/>
  <c r="AZ75" i="93"/>
  <c r="AZ85" i="93"/>
  <c r="AR110" i="93"/>
  <c r="AR153" i="93" s="1"/>
  <c r="AR172" i="93" s="1"/>
  <c r="AR85" i="93"/>
  <c r="AR75" i="93"/>
  <c r="AR94" i="93" s="1"/>
  <c r="AJ110" i="93"/>
  <c r="AJ153" i="93" s="1"/>
  <c r="AJ172" i="93" s="1"/>
  <c r="AJ75" i="93"/>
  <c r="AJ94" i="93" s="1"/>
  <c r="AJ85" i="93"/>
  <c r="AB85" i="93"/>
  <c r="AB75" i="93"/>
  <c r="AB94" i="93" s="1"/>
  <c r="AB110" i="93"/>
  <c r="AB153" i="93" s="1"/>
  <c r="AB172" i="93" s="1"/>
  <c r="T110" i="93"/>
  <c r="T153" i="93" s="1"/>
  <c r="T172" i="93" s="1"/>
  <c r="T75" i="93"/>
  <c r="T91" i="93" s="1"/>
  <c r="T85" i="93"/>
  <c r="J85" i="93"/>
  <c r="J75" i="93"/>
  <c r="J94" i="93" s="1"/>
  <c r="J110" i="93"/>
  <c r="J153" i="93" s="1"/>
  <c r="J172" i="93" s="1"/>
  <c r="BP174" i="93"/>
  <c r="BP179" i="93"/>
  <c r="BH174" i="93"/>
  <c r="BH179" i="93"/>
  <c r="BC94" i="93"/>
  <c r="BQ174" i="93"/>
  <c r="AU110" i="93"/>
  <c r="AU153" i="93" s="1"/>
  <c r="AU172" i="93" s="1"/>
  <c r="AU75" i="93"/>
  <c r="AU91" i="93" s="1"/>
  <c r="AU85" i="93"/>
  <c r="BO174" i="93"/>
  <c r="BK179" i="93"/>
  <c r="W100" i="93"/>
  <c r="W104" i="93" s="1"/>
  <c r="W107" i="93" s="1"/>
  <c r="W98" i="93"/>
  <c r="W87" i="93"/>
  <c r="BK131" i="93"/>
  <c r="BK157" i="93" s="1"/>
  <c r="BK119" i="93"/>
  <c r="BK121" i="93" s="1"/>
  <c r="AW119" i="93"/>
  <c r="AW121" i="93" s="1"/>
  <c r="AW131" i="93"/>
  <c r="AW157" i="93" s="1"/>
  <c r="AW177" i="93" s="1"/>
  <c r="AK119" i="93"/>
  <c r="AK121" i="93" s="1"/>
  <c r="AK131" i="93"/>
  <c r="AK157" i="93" s="1"/>
  <c r="AK177" i="93" s="1"/>
  <c r="U119" i="93"/>
  <c r="U121" i="93" s="1"/>
  <c r="U131" i="93"/>
  <c r="U157" i="93" s="1"/>
  <c r="U177" i="93" s="1"/>
  <c r="BL110" i="93"/>
  <c r="BL153" i="93" s="1"/>
  <c r="BL75" i="93"/>
  <c r="BL85" i="93"/>
  <c r="BB110" i="93"/>
  <c r="BB153" i="93" s="1"/>
  <c r="BB172" i="93" s="1"/>
  <c r="BB85" i="93"/>
  <c r="BB75" i="93"/>
  <c r="BB91" i="93" s="1"/>
  <c r="AT110" i="93"/>
  <c r="AT153" i="93" s="1"/>
  <c r="AT172" i="93" s="1"/>
  <c r="AT75" i="93"/>
  <c r="AT94" i="93" s="1"/>
  <c r="AT85" i="93"/>
  <c r="AL110" i="93"/>
  <c r="AL153" i="93" s="1"/>
  <c r="AL172" i="93" s="1"/>
  <c r="AL85" i="93"/>
  <c r="AL75" i="93"/>
  <c r="AL94" i="93" s="1"/>
  <c r="AD110" i="93"/>
  <c r="AD153" i="93" s="1"/>
  <c r="AD172" i="93" s="1"/>
  <c r="AD75" i="93"/>
  <c r="AD85" i="93"/>
  <c r="V110" i="93"/>
  <c r="V153" i="93" s="1"/>
  <c r="V172" i="93" s="1"/>
  <c r="V85" i="93"/>
  <c r="V75" i="93"/>
  <c r="L85" i="93"/>
  <c r="BR179" i="93"/>
  <c r="BR10" i="96" s="1"/>
  <c r="BJ179" i="93"/>
  <c r="BD179" i="93"/>
  <c r="BO85" i="93"/>
  <c r="BO110" i="93"/>
  <c r="BO153" i="93" s="1"/>
  <c r="BO75" i="93"/>
  <c r="AS110" i="93"/>
  <c r="AS153" i="93" s="1"/>
  <c r="AS172" i="93" s="1"/>
  <c r="AS85" i="93"/>
  <c r="AS75" i="93"/>
  <c r="Y110" i="93"/>
  <c r="Y153" i="93" s="1"/>
  <c r="Y172" i="93" s="1"/>
  <c r="Y85" i="93"/>
  <c r="Y75" i="93"/>
  <c r="Y94" i="93" s="1"/>
  <c r="N6" i="93" l="1"/>
  <c r="L7" i="96"/>
  <c r="O6" i="93"/>
  <c r="K16" i="30"/>
  <c r="M19" i="26"/>
  <c r="O7" i="92"/>
  <c r="O7" i="93" s="1"/>
  <c r="BS10" i="96"/>
  <c r="AX94" i="93"/>
  <c r="AS125" i="93"/>
  <c r="AS128" i="93" s="1"/>
  <c r="BM94" i="93"/>
  <c r="AN94" i="93"/>
  <c r="Z94" i="93"/>
  <c r="BH94" i="93"/>
  <c r="AQ94" i="93"/>
  <c r="BK9" i="96"/>
  <c r="AI91" i="93"/>
  <c r="AL125" i="93"/>
  <c r="AL128" i="93" s="1"/>
  <c r="AY91" i="93"/>
  <c r="AY94" i="93"/>
  <c r="BE125" i="93"/>
  <c r="BE128" i="93" s="1"/>
  <c r="Q91" i="93"/>
  <c r="BA125" i="93"/>
  <c r="BA128" i="93" s="1"/>
  <c r="AP94" i="93"/>
  <c r="V125" i="93"/>
  <c r="V128" i="93" s="1"/>
  <c r="R91" i="93"/>
  <c r="AC125" i="93"/>
  <c r="AC128" i="93" s="1"/>
  <c r="BE94" i="93"/>
  <c r="BN10" i="96"/>
  <c r="X91" i="93"/>
  <c r="BQ94" i="93"/>
  <c r="AB91" i="93"/>
  <c r="BJ91" i="93"/>
  <c r="AG125" i="93"/>
  <c r="AG128" i="93" s="1"/>
  <c r="BN91" i="93"/>
  <c r="AH94" i="93"/>
  <c r="AW91" i="93"/>
  <c r="N94" i="93"/>
  <c r="BI9" i="96"/>
  <c r="BL10" i="96"/>
  <c r="BP91" i="93"/>
  <c r="AT91" i="93"/>
  <c r="U125" i="93"/>
  <c r="U128" i="93" s="1"/>
  <c r="BI94" i="93"/>
  <c r="AW125" i="93"/>
  <c r="AW128" i="93" s="1"/>
  <c r="AL91" i="93"/>
  <c r="AE94" i="93"/>
  <c r="J91" i="93"/>
  <c r="AS87" i="93"/>
  <c r="AS100" i="93"/>
  <c r="AS104" i="93" s="1"/>
  <c r="AS107" i="93" s="1"/>
  <c r="AS98" i="93"/>
  <c r="BK10" i="96"/>
  <c r="AZ98" i="93"/>
  <c r="AZ87" i="93"/>
  <c r="AZ100" i="93"/>
  <c r="AZ104" i="93" s="1"/>
  <c r="AZ107" i="93" s="1"/>
  <c r="AV98" i="93"/>
  <c r="AV100" i="93"/>
  <c r="AV104" i="93" s="1"/>
  <c r="AV107" i="93" s="1"/>
  <c r="AV87" i="93"/>
  <c r="AS91" i="93"/>
  <c r="BM9" i="96"/>
  <c r="AA100" i="93"/>
  <c r="AA104" i="93" s="1"/>
  <c r="AA107" i="93" s="1"/>
  <c r="AA98" i="93"/>
  <c r="AA87" i="93"/>
  <c r="AK87" i="93"/>
  <c r="AK100" i="93"/>
  <c r="AK104" i="93" s="1"/>
  <c r="AK107" i="93" s="1"/>
  <c r="AK98" i="93"/>
  <c r="BL125" i="93"/>
  <c r="BL128" i="93" s="1"/>
  <c r="AI100" i="93"/>
  <c r="AI104" i="93" s="1"/>
  <c r="AI107" i="93" s="1"/>
  <c r="AI98" i="93"/>
  <c r="AI87" i="93"/>
  <c r="AX125" i="93"/>
  <c r="AX128" i="93" s="1"/>
  <c r="X98" i="93"/>
  <c r="X100" i="93"/>
  <c r="X104" i="93" s="1"/>
  <c r="X107" i="93" s="1"/>
  <c r="X87" i="93"/>
  <c r="J125" i="93"/>
  <c r="J128" i="93" s="1"/>
  <c r="AB125" i="93"/>
  <c r="AB128" i="93" s="1"/>
  <c r="AR125" i="93"/>
  <c r="AR128" i="93" s="1"/>
  <c r="BJ125" i="93"/>
  <c r="BJ128" i="93" s="1"/>
  <c r="AG87" i="93"/>
  <c r="AG100" i="93"/>
  <c r="AG104" i="93" s="1"/>
  <c r="AG107" i="93" s="1"/>
  <c r="AG98" i="93"/>
  <c r="AP100" i="93"/>
  <c r="AP104" i="93" s="1"/>
  <c r="AP107" i="93" s="1"/>
  <c r="AP98" i="93"/>
  <c r="AP87" i="93"/>
  <c r="BI10" i="96"/>
  <c r="AG91" i="93"/>
  <c r="BP9" i="96"/>
  <c r="BR98" i="93"/>
  <c r="BR87" i="93"/>
  <c r="BR100" i="93"/>
  <c r="BR104" i="93" s="1"/>
  <c r="BR107" i="93" s="1"/>
  <c r="S100" i="93"/>
  <c r="S104" i="93" s="1"/>
  <c r="S107" i="93" s="1"/>
  <c r="S98" i="93"/>
  <c r="S87" i="93"/>
  <c r="AC87" i="93"/>
  <c r="AC100" i="93"/>
  <c r="AC104" i="93" s="1"/>
  <c r="AC107" i="93" s="1"/>
  <c r="AC98" i="93"/>
  <c r="BR94" i="93"/>
  <c r="BJ10" i="96"/>
  <c r="BH9" i="96"/>
  <c r="T98" i="93"/>
  <c r="T87" i="93"/>
  <c r="T100" i="93"/>
  <c r="T104" i="93" s="1"/>
  <c r="T107" i="93" s="1"/>
  <c r="AR98" i="93"/>
  <c r="AR100" i="93"/>
  <c r="AR104" i="93" s="1"/>
  <c r="AR107" i="93" s="1"/>
  <c r="AR87" i="93"/>
  <c r="AJ91" i="93"/>
  <c r="AZ91" i="93"/>
  <c r="BR91" i="93"/>
  <c r="T94" i="93"/>
  <c r="Y87" i="93"/>
  <c r="Y100" i="93"/>
  <c r="Y104" i="93" s="1"/>
  <c r="Y107" i="93" s="1"/>
  <c r="Y98" i="93"/>
  <c r="AC91" i="93"/>
  <c r="V100" i="93"/>
  <c r="V104" i="93" s="1"/>
  <c r="V107" i="93" s="1"/>
  <c r="V98" i="93"/>
  <c r="V87" i="93"/>
  <c r="AD100" i="93"/>
  <c r="AD104" i="93" s="1"/>
  <c r="AD107" i="93" s="1"/>
  <c r="AD98" i="93"/>
  <c r="AD87" i="93"/>
  <c r="BB100" i="93"/>
  <c r="BB104" i="93" s="1"/>
  <c r="BB107" i="93" s="1"/>
  <c r="BB98" i="93"/>
  <c r="BB87" i="93"/>
  <c r="BL100" i="93"/>
  <c r="BL104" i="93" s="1"/>
  <c r="BL107" i="93" s="1"/>
  <c r="BL98" i="93"/>
  <c r="BL87" i="93"/>
  <c r="AD91" i="93"/>
  <c r="BL91" i="93"/>
  <c r="BO9" i="96"/>
  <c r="AK125" i="93"/>
  <c r="AK128" i="93" s="1"/>
  <c r="BP10" i="96"/>
  <c r="J98" i="93"/>
  <c r="J100" i="93"/>
  <c r="J104" i="93" s="1"/>
  <c r="J107" i="93" s="1"/>
  <c r="J87" i="93"/>
  <c r="AF98" i="93"/>
  <c r="AF100" i="93"/>
  <c r="AF104" i="93" s="1"/>
  <c r="AF107" i="93" s="1"/>
  <c r="AF87" i="93"/>
  <c r="BA87" i="93"/>
  <c r="BA100" i="93"/>
  <c r="BA104" i="93" s="1"/>
  <c r="BA107" i="93" s="1"/>
  <c r="BA98" i="93"/>
  <c r="BD91" i="93"/>
  <c r="U87" i="93"/>
  <c r="U100" i="93"/>
  <c r="U104" i="93" s="1"/>
  <c r="U107" i="93" s="1"/>
  <c r="U98" i="93"/>
  <c r="Z125" i="93"/>
  <c r="Z128" i="93" s="1"/>
  <c r="V94" i="93"/>
  <c r="BB94" i="93"/>
  <c r="BE9" i="96"/>
  <c r="BM100" i="93"/>
  <c r="BM104" i="93" s="1"/>
  <c r="BM107" i="93" s="1"/>
  <c r="BM98" i="93"/>
  <c r="BM87" i="93"/>
  <c r="U94" i="93"/>
  <c r="AH125" i="93"/>
  <c r="AH128" i="93" s="1"/>
  <c r="BL94" i="93"/>
  <c r="AK91" i="93"/>
  <c r="P98" i="93"/>
  <c r="P100" i="93"/>
  <c r="P104" i="93" s="1"/>
  <c r="P107" i="93" s="1"/>
  <c r="P87" i="93"/>
  <c r="BB125" i="93"/>
  <c r="BB128" i="93" s="1"/>
  <c r="BQ100" i="93"/>
  <c r="BQ104" i="93" s="1"/>
  <c r="BQ107" i="93" s="1"/>
  <c r="BQ98" i="93"/>
  <c r="BQ87" i="93"/>
  <c r="P125" i="93"/>
  <c r="P128" i="93" s="1"/>
  <c r="AF125" i="93"/>
  <c r="AF128" i="93" s="1"/>
  <c r="AV125" i="93"/>
  <c r="AV128" i="93" s="1"/>
  <c r="BN125" i="93"/>
  <c r="BN128" i="93" s="1"/>
  <c r="P94" i="93"/>
  <c r="Q87" i="93"/>
  <c r="Q100" i="93"/>
  <c r="Q104" i="93" s="1"/>
  <c r="Q107" i="93" s="1"/>
  <c r="Q98" i="93"/>
  <c r="BJ9" i="96"/>
  <c r="AH100" i="93"/>
  <c r="AH104" i="93" s="1"/>
  <c r="AH107" i="93" s="1"/>
  <c r="AH98" i="93"/>
  <c r="AH87" i="93"/>
  <c r="BP100" i="93"/>
  <c r="BP104" i="93" s="1"/>
  <c r="BP107" i="93" s="1"/>
  <c r="BP98" i="93"/>
  <c r="BP87" i="93"/>
  <c r="AK94" i="93"/>
  <c r="S94" i="93"/>
  <c r="AD94" i="93"/>
  <c r="BD98" i="93"/>
  <c r="BD100" i="93"/>
  <c r="BD104" i="93" s="1"/>
  <c r="BD107" i="93" s="1"/>
  <c r="BD87" i="93"/>
  <c r="AY100" i="93"/>
  <c r="AY104" i="93" s="1"/>
  <c r="AY107" i="93" s="1"/>
  <c r="AY98" i="93"/>
  <c r="AY87" i="93"/>
  <c r="BO94" i="93"/>
  <c r="BS87" i="93"/>
  <c r="BS100" i="93"/>
  <c r="BS104" i="93" s="1"/>
  <c r="BS107" i="93" s="1"/>
  <c r="BS98" i="93"/>
  <c r="T125" i="93"/>
  <c r="T128" i="93" s="1"/>
  <c r="AJ125" i="93"/>
  <c r="AJ128" i="93" s="1"/>
  <c r="AZ125" i="93"/>
  <c r="AZ128" i="93" s="1"/>
  <c r="BR125" i="93"/>
  <c r="BR128" i="93" s="1"/>
  <c r="AF94" i="93"/>
  <c r="Z100" i="93"/>
  <c r="Z104" i="93" s="1"/>
  <c r="Z107" i="93" s="1"/>
  <c r="Z98" i="93"/>
  <c r="Z87" i="93"/>
  <c r="BH100" i="93"/>
  <c r="BH104" i="93" s="1"/>
  <c r="BH107" i="93" s="1"/>
  <c r="BH98" i="93"/>
  <c r="BH87" i="93"/>
  <c r="AQ100" i="93"/>
  <c r="AQ104" i="93" s="1"/>
  <c r="AQ107" i="93" s="1"/>
  <c r="AQ98" i="93"/>
  <c r="AQ87" i="93"/>
  <c r="N100" i="93"/>
  <c r="N104" i="93" s="1"/>
  <c r="N107" i="93" s="1"/>
  <c r="N98" i="93"/>
  <c r="N87" i="93"/>
  <c r="AJ98" i="93"/>
  <c r="AJ87" i="93"/>
  <c r="AJ100" i="93"/>
  <c r="AJ104" i="93" s="1"/>
  <c r="AJ107" i="93" s="1"/>
  <c r="BK87" i="93"/>
  <c r="BK100" i="93"/>
  <c r="BK104" i="93" s="1"/>
  <c r="BK107" i="93" s="1"/>
  <c r="BK98" i="93"/>
  <c r="AD125" i="93"/>
  <c r="AD128" i="93" s="1"/>
  <c r="BO10" i="96"/>
  <c r="AR91" i="93"/>
  <c r="AZ94" i="93"/>
  <c r="BO87" i="93"/>
  <c r="BO100" i="93"/>
  <c r="BO104" i="93" s="1"/>
  <c r="BO107" i="93" s="1"/>
  <c r="BO98" i="93"/>
  <c r="BD10" i="96"/>
  <c r="AL100" i="93"/>
  <c r="AL104" i="93" s="1"/>
  <c r="AL107" i="93" s="1"/>
  <c r="AL98" i="93"/>
  <c r="AL87" i="93"/>
  <c r="AT100" i="93"/>
  <c r="AT104" i="93" s="1"/>
  <c r="AT107" i="93" s="1"/>
  <c r="AT98" i="93"/>
  <c r="AT87" i="93"/>
  <c r="Y125" i="93"/>
  <c r="Y128" i="93" s="1"/>
  <c r="AP125" i="93"/>
  <c r="AP128" i="93" s="1"/>
  <c r="BH125" i="93"/>
  <c r="BH128" i="93" s="1"/>
  <c r="AU100" i="93"/>
  <c r="AU104" i="93" s="1"/>
  <c r="AU107" i="93" s="1"/>
  <c r="AU98" i="93"/>
  <c r="AU87" i="93"/>
  <c r="BQ9" i="96"/>
  <c r="BK125" i="93"/>
  <c r="BK128" i="93" s="1"/>
  <c r="S91" i="93"/>
  <c r="AU94" i="93"/>
  <c r="BH10" i="96"/>
  <c r="AB98" i="93"/>
  <c r="AB100" i="93"/>
  <c r="AB104" i="93" s="1"/>
  <c r="AB107" i="93" s="1"/>
  <c r="AB87" i="93"/>
  <c r="BJ98" i="93"/>
  <c r="BJ100" i="93"/>
  <c r="BJ104" i="93" s="1"/>
  <c r="BJ107" i="93" s="1"/>
  <c r="BJ87" i="93"/>
  <c r="BN98" i="93"/>
  <c r="BN100" i="93"/>
  <c r="BN104" i="93" s="1"/>
  <c r="BN107" i="93" s="1"/>
  <c r="BN87" i="93"/>
  <c r="BO91" i="93"/>
  <c r="BI100" i="93"/>
  <c r="BI104" i="93" s="1"/>
  <c r="BI107" i="93" s="1"/>
  <c r="BI98" i="93"/>
  <c r="BI87" i="93"/>
  <c r="BD94" i="93"/>
  <c r="Q125" i="93"/>
  <c r="Q128" i="93" s="1"/>
  <c r="BO125" i="93"/>
  <c r="BO128" i="93" s="1"/>
  <c r="BD9" i="96"/>
  <c r="AW87" i="93"/>
  <c r="AW100" i="93"/>
  <c r="AW104" i="93" s="1"/>
  <c r="AW107" i="93" s="1"/>
  <c r="AW98" i="93"/>
  <c r="R125" i="93"/>
  <c r="R128" i="93" s="1"/>
  <c r="AT125" i="93"/>
  <c r="AT128" i="93" s="1"/>
  <c r="BQ10" i="96"/>
  <c r="BL9" i="96"/>
  <c r="V91" i="93"/>
  <c r="BP125" i="93"/>
  <c r="BP128" i="93" s="1"/>
  <c r="AS94" i="93"/>
  <c r="AN98" i="93"/>
  <c r="AN100" i="93"/>
  <c r="AN104" i="93" s="1"/>
  <c r="AN107" i="93" s="1"/>
  <c r="AN87" i="93"/>
  <c r="BA91" i="93"/>
  <c r="AO87" i="93"/>
  <c r="AO100" i="93"/>
  <c r="AO104" i="93" s="1"/>
  <c r="AO107" i="93" s="1"/>
  <c r="AO98" i="93"/>
  <c r="AE100" i="93"/>
  <c r="AE104" i="93" s="1"/>
  <c r="AE107" i="93" s="1"/>
  <c r="AE98" i="93"/>
  <c r="AE87" i="93"/>
  <c r="AA91" i="93"/>
  <c r="X125" i="93"/>
  <c r="X128" i="93" s="1"/>
  <c r="AN125" i="93"/>
  <c r="AN128" i="93" s="1"/>
  <c r="BD125" i="93"/>
  <c r="BD128" i="93" s="1"/>
  <c r="AV94" i="93"/>
  <c r="BM10" i="96"/>
  <c r="BE87" i="93"/>
  <c r="BE100" i="93"/>
  <c r="BE104" i="93" s="1"/>
  <c r="BE107" i="93" s="1"/>
  <c r="BE98" i="93"/>
  <c r="AO91" i="93"/>
  <c r="R100" i="93"/>
  <c r="R104" i="93" s="1"/>
  <c r="R107" i="93" s="1"/>
  <c r="R98" i="93"/>
  <c r="R87" i="93"/>
  <c r="AX100" i="93"/>
  <c r="AX104" i="93" s="1"/>
  <c r="AX107" i="93" s="1"/>
  <c r="AX98" i="93"/>
  <c r="AX87" i="93"/>
  <c r="Y91" i="93"/>
  <c r="BS91" i="93"/>
  <c r="BK94" i="93"/>
  <c r="BE10" i="96"/>
  <c r="AA27" i="83" l="1"/>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C13" i="30" l="1"/>
  <c r="AI13" i="30" s="1"/>
  <c r="C9" i="30"/>
  <c r="AI9" i="30" s="1"/>
  <c r="C12" i="30"/>
  <c r="AI12" i="30" s="1"/>
  <c r="C11" i="30"/>
  <c r="AI11" i="30" s="1"/>
  <c r="C10" i="30"/>
  <c r="AI10" i="30" s="1"/>
  <c r="AH24" i="83"/>
  <c r="AH20" i="83"/>
  <c r="AH16" i="83"/>
  <c r="AH12" i="83"/>
  <c r="AH8" i="83"/>
  <c r="AH23" i="83"/>
  <c r="AH19" i="83"/>
  <c r="AH15" i="83"/>
  <c r="AH11" i="83"/>
  <c r="AH22" i="83"/>
  <c r="AH18" i="83"/>
  <c r="AH14" i="83"/>
  <c r="AH10" i="83"/>
  <c r="AH21" i="83"/>
  <c r="AH17" i="83"/>
  <c r="AH13" i="83"/>
  <c r="AH9" i="83"/>
  <c r="E10" i="30" l="1"/>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K13" i="30" l="1"/>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C12" i="32" l="1"/>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W17" i="30"/>
  <c r="X17" i="30"/>
  <c r="Z20" i="26"/>
  <c r="W20" i="26"/>
  <c r="X20" i="26"/>
  <c r="B35" i="83"/>
  <c r="C21" i="26" s="1"/>
  <c r="AI21" i="26" s="1"/>
  <c r="B61" i="83"/>
  <c r="C17" i="27" s="1"/>
  <c r="AI17" i="27" s="1"/>
  <c r="B81" i="83"/>
  <c r="C18" i="30" s="1"/>
  <c r="AI18" i="30" s="1"/>
  <c r="AC27" i="83"/>
  <c r="AK74" i="83"/>
  <c r="AK54" i="83"/>
  <c r="E10" i="27" l="1"/>
  <c r="AK10" i="27" s="1"/>
  <c r="AI10" i="27"/>
  <c r="E11" i="27"/>
  <c r="AK11" i="27" s="1"/>
  <c r="AI11" i="27"/>
  <c r="E12" i="27"/>
  <c r="AK12" i="27" s="1"/>
  <c r="AI12" i="27"/>
  <c r="E9" i="27"/>
  <c r="AK9" i="27" s="1"/>
  <c r="AI9" i="27"/>
  <c r="W13" i="32"/>
  <c r="AK13" i="32"/>
  <c r="W12" i="32"/>
  <c r="AK12" i="32"/>
  <c r="X13" i="32"/>
  <c r="X12" i="32"/>
  <c r="D17" i="27"/>
  <c r="AJ17" i="27" s="1"/>
  <c r="E17" i="27"/>
  <c r="AK17" i="27" s="1"/>
  <c r="B17" i="27"/>
  <c r="AH17" i="27" s="1"/>
  <c r="E21" i="26"/>
  <c r="AK21" i="26" s="1"/>
  <c r="D21" i="26"/>
  <c r="AJ21" i="26" s="1"/>
  <c r="B21" i="26"/>
  <c r="AH21" i="26" s="1"/>
  <c r="D18" i="30"/>
  <c r="AJ18" i="30" s="1"/>
  <c r="E18" i="30"/>
  <c r="AK18" i="30" s="1"/>
  <c r="B18" i="30"/>
  <c r="AH18" i="30" s="1"/>
  <c r="X11" i="32"/>
  <c r="W11" i="32"/>
  <c r="F9" i="32"/>
  <c r="W9" i="32" s="1"/>
  <c r="X9" i="32"/>
  <c r="F10" i="32"/>
  <c r="W10" i="32" s="1"/>
  <c r="X10" i="32"/>
  <c r="X11" i="27"/>
  <c r="X9" i="27"/>
  <c r="X12" i="27"/>
  <c r="X10" i="27"/>
  <c r="W12" i="27"/>
  <c r="M20" i="26"/>
  <c r="X18" i="30"/>
  <c r="W18" i="30"/>
  <c r="W17" i="27"/>
  <c r="X17" i="27"/>
  <c r="K17" i="30"/>
  <c r="Z21" i="26"/>
  <c r="X21" i="26"/>
  <c r="W21" i="26"/>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C14" i="26" s="1"/>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AI14" i="26" l="1"/>
  <c r="Z14" i="26"/>
  <c r="M14" i="26" s="1"/>
  <c r="AB14" i="26"/>
  <c r="E14" i="26"/>
  <c r="AK14" i="26" s="1"/>
  <c r="D14" i="26"/>
  <c r="AJ14" i="26" s="1"/>
  <c r="O16" i="90"/>
  <c r="X14" i="26"/>
  <c r="AC8" i="83"/>
  <c r="E116" i="83" s="1"/>
  <c r="L13" i="32"/>
  <c r="L12" i="32"/>
  <c r="C9" i="26"/>
  <c r="W9" i="26" s="1"/>
  <c r="D22" i="26"/>
  <c r="AJ22" i="26" s="1"/>
  <c r="E22" i="26"/>
  <c r="AK22" i="26" s="1"/>
  <c r="B22" i="26"/>
  <c r="AH22" i="26" s="1"/>
  <c r="E19" i="30"/>
  <c r="AK19" i="30" s="1"/>
  <c r="D19" i="30"/>
  <c r="AJ19" i="30" s="1"/>
  <c r="B19" i="30"/>
  <c r="AH19" i="30" s="1"/>
  <c r="D18" i="27"/>
  <c r="AJ18" i="27" s="1"/>
  <c r="E18" i="27"/>
  <c r="AK18" i="27" s="1"/>
  <c r="B18" i="27"/>
  <c r="AH18" i="27" s="1"/>
  <c r="L10" i="32"/>
  <c r="L11" i="32"/>
  <c r="AC10" i="32"/>
  <c r="M10" i="32" s="1"/>
  <c r="H10" i="32"/>
  <c r="L9" i="32"/>
  <c r="C16" i="108"/>
  <c r="AC9" i="32"/>
  <c r="H9" i="32"/>
  <c r="C12" i="26"/>
  <c r="AF23" i="83"/>
  <c r="AF11" i="83"/>
  <c r="AC11" i="83"/>
  <c r="AC23" i="83"/>
  <c r="C16" i="26"/>
  <c r="AI16" i="26" s="1"/>
  <c r="C10" i="26"/>
  <c r="AI10" i="26" s="1"/>
  <c r="C11" i="26"/>
  <c r="AI11" i="26" s="1"/>
  <c r="W22" i="26"/>
  <c r="X22" i="26"/>
  <c r="Z22" i="26"/>
  <c r="C13" i="26"/>
  <c r="AI13" i="26" s="1"/>
  <c r="X19" i="30"/>
  <c r="W19" i="30"/>
  <c r="C15" i="26"/>
  <c r="AI15" i="26" s="1"/>
  <c r="W18" i="27"/>
  <c r="X18" i="27"/>
  <c r="M21" i="26"/>
  <c r="K18" i="30"/>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AC19" i="83"/>
  <c r="C116" i="83" s="1"/>
  <c r="AC15" i="83"/>
  <c r="O57" i="90" l="1"/>
  <c r="O57" i="92" s="1"/>
  <c r="O115" i="93" s="1"/>
  <c r="O73" i="90"/>
  <c r="O73" i="92" s="1"/>
  <c r="O197" i="93" s="1"/>
  <c r="O50" i="90"/>
  <c r="O50" i="92" s="1"/>
  <c r="O43" i="90"/>
  <c r="O43" i="92" s="1"/>
  <c r="O47" i="90"/>
  <c r="O47" i="92" s="1"/>
  <c r="O72" i="90"/>
  <c r="O72" i="92" s="1"/>
  <c r="O196" i="93" s="1"/>
  <c r="O49" i="90"/>
  <c r="O49" i="92" s="1"/>
  <c r="O69" i="90"/>
  <c r="O69" i="92" s="1"/>
  <c r="O193" i="93" s="1"/>
  <c r="O46" i="90"/>
  <c r="O46" i="92" s="1"/>
  <c r="O23" i="93" s="1"/>
  <c r="O71" i="90"/>
  <c r="O71" i="92" s="1"/>
  <c r="O195" i="93" s="1"/>
  <c r="O40" i="90"/>
  <c r="O40" i="92" s="1"/>
  <c r="O11" i="93" s="1"/>
  <c r="O68" i="90"/>
  <c r="O68" i="92" s="1"/>
  <c r="O192" i="93" s="1"/>
  <c r="O45" i="90"/>
  <c r="O45" i="92" s="1"/>
  <c r="O22" i="93" s="1"/>
  <c r="O70" i="90"/>
  <c r="O70" i="92" s="1"/>
  <c r="O194" i="93" s="1"/>
  <c r="O38" i="90"/>
  <c r="O38" i="92" s="1"/>
  <c r="O10" i="93" s="1"/>
  <c r="O14" i="93" s="1"/>
  <c r="O44" i="90"/>
  <c r="O44" i="92" s="1"/>
  <c r="O21" i="93" s="1"/>
  <c r="O34" i="90"/>
  <c r="O34" i="92" s="1"/>
  <c r="O182" i="93" s="1"/>
  <c r="O183" i="93" s="1"/>
  <c r="O31" i="90"/>
  <c r="O56" i="90"/>
  <c r="O56" i="92" s="1"/>
  <c r="O69" i="93" s="1"/>
  <c r="O96" i="93" s="1"/>
  <c r="O60" i="90"/>
  <c r="O60" i="92" s="1"/>
  <c r="O130" i="93" s="1"/>
  <c r="O33" i="90"/>
  <c r="O33" i="92" s="1"/>
  <c r="O190" i="93" s="1"/>
  <c r="O19" i="96" s="1"/>
  <c r="O74" i="90"/>
  <c r="O74" i="92" s="1"/>
  <c r="O198" i="93" s="1"/>
  <c r="O59" i="90"/>
  <c r="O59" i="92" s="1"/>
  <c r="O71" i="93" s="1"/>
  <c r="O109" i="93" s="1"/>
  <c r="O16" i="91"/>
  <c r="O16" i="92" s="1"/>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M9" i="32"/>
  <c r="D16" i="108"/>
  <c r="Z12" i="26"/>
  <c r="X12" i="26"/>
  <c r="M16" i="90"/>
  <c r="AB12" i="26"/>
  <c r="X10" i="26"/>
  <c r="X16" i="26"/>
  <c r="X11" i="26"/>
  <c r="K19" i="30"/>
  <c r="X15" i="26"/>
  <c r="Z13" i="26"/>
  <c r="X13" i="26"/>
  <c r="X19" i="27"/>
  <c r="W19" i="27"/>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I20" i="27" s="1"/>
  <c r="AF25" i="83"/>
  <c r="AC25" i="83"/>
  <c r="O114" i="93" l="1"/>
  <c r="O24" i="93"/>
  <c r="O5" i="96"/>
  <c r="O5" i="93"/>
  <c r="O70" i="93"/>
  <c r="O20" i="93"/>
  <c r="O26" i="93"/>
  <c r="O30" i="93" s="1"/>
  <c r="O44" i="93"/>
  <c r="O62" i="93"/>
  <c r="O27" i="93"/>
  <c r="O48" i="93" s="1"/>
  <c r="O116" i="93"/>
  <c r="O72" i="93"/>
  <c r="O31" i="92"/>
  <c r="O11" i="90"/>
  <c r="O185" i="93"/>
  <c r="O186" i="93"/>
  <c r="M56" i="90"/>
  <c r="M56" i="92" s="1"/>
  <c r="M69" i="93" s="1"/>
  <c r="M96"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183" i="93" s="1"/>
  <c r="M33" i="90"/>
  <c r="M33" i="92" s="1"/>
  <c r="M190" i="93" s="1"/>
  <c r="M19" i="96" s="1"/>
  <c r="M31" i="90"/>
  <c r="M74" i="90"/>
  <c r="M74" i="92" s="1"/>
  <c r="M198" i="93" s="1"/>
  <c r="M73" i="90"/>
  <c r="M73" i="92" s="1"/>
  <c r="M197" i="93" s="1"/>
  <c r="M12" i="26"/>
  <c r="M16" i="91"/>
  <c r="M16" i="92" s="1"/>
  <c r="Z24" i="26"/>
  <c r="X24" i="26"/>
  <c r="W24" i="26"/>
  <c r="C21" i="30"/>
  <c r="AI21" i="30" s="1"/>
  <c r="K20" i="30"/>
  <c r="M13" i="26"/>
  <c r="M23"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AI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183" i="93" s="1"/>
  <c r="BI33" i="92"/>
  <c r="BI190" i="93" s="1"/>
  <c r="BI19"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183" i="93" s="1"/>
  <c r="BK33" i="92"/>
  <c r="BK190" i="93" s="1"/>
  <c r="BK19"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183" i="93" s="1"/>
  <c r="BL33" i="92"/>
  <c r="BL190" i="93" s="1"/>
  <c r="BL19"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183" i="93" s="1"/>
  <c r="BJ33" i="92"/>
  <c r="BJ190" i="93" s="1"/>
  <c r="BJ19"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O17" i="96" l="1"/>
  <c r="O230" i="93"/>
  <c r="O232" i="93"/>
  <c r="O228" i="93"/>
  <c r="O234" i="93"/>
  <c r="O231" i="93"/>
  <c r="O233" i="93"/>
  <c r="O229" i="93"/>
  <c r="O9" i="93"/>
  <c r="O15" i="93" s="1"/>
  <c r="O17" i="93" s="1"/>
  <c r="O49" i="93" s="1"/>
  <c r="O50" i="93" s="1"/>
  <c r="O11" i="92"/>
  <c r="O148" i="93" s="1"/>
  <c r="O149" i="93" s="1"/>
  <c r="O224" i="93"/>
  <c r="O16" i="96"/>
  <c r="O225" i="93"/>
  <c r="O223" i="93"/>
  <c r="O220" i="93"/>
  <c r="O219" i="93"/>
  <c r="O221" i="93"/>
  <c r="O222" i="93"/>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96" i="93" s="1"/>
  <c r="N47" i="90"/>
  <c r="N47" i="92" s="1"/>
  <c r="N46" i="90"/>
  <c r="N46" i="92" s="1"/>
  <c r="N23" i="93" s="1"/>
  <c r="N44" i="90"/>
  <c r="N44" i="92" s="1"/>
  <c r="N21" i="93" s="1"/>
  <c r="N43" i="90"/>
  <c r="N43" i="92" s="1"/>
  <c r="N45" i="90"/>
  <c r="N45" i="92" s="1"/>
  <c r="N22" i="93" s="1"/>
  <c r="N57" i="90"/>
  <c r="N57" i="92" s="1"/>
  <c r="N115" i="93" s="1"/>
  <c r="N34" i="90"/>
  <c r="N34" i="92" s="1"/>
  <c r="N182" i="93" s="1"/>
  <c r="N183"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96" i="93" s="1"/>
  <c r="R49" i="90"/>
  <c r="R49" i="92" s="1"/>
  <c r="R44" i="90"/>
  <c r="R44" i="92" s="1"/>
  <c r="R21" i="93" s="1"/>
  <c r="R40" i="90"/>
  <c r="R40" i="92" s="1"/>
  <c r="R11" i="93" s="1"/>
  <c r="R34" i="90"/>
  <c r="R34" i="92" s="1"/>
  <c r="R182" i="93" s="1"/>
  <c r="R183" i="93" s="1"/>
  <c r="R31" i="90"/>
  <c r="R45" i="90"/>
  <c r="R45" i="92" s="1"/>
  <c r="R22" i="93" s="1"/>
  <c r="R43" i="90"/>
  <c r="R43" i="92" s="1"/>
  <c r="R38" i="90"/>
  <c r="R38" i="92" s="1"/>
  <c r="R10" i="93" s="1"/>
  <c r="R14" i="93" s="1"/>
  <c r="R46" i="90"/>
  <c r="R46" i="92" s="1"/>
  <c r="R23" i="93" s="1"/>
  <c r="R33" i="90"/>
  <c r="R33" i="92" s="1"/>
  <c r="R190" i="93" s="1"/>
  <c r="R19" i="96"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96"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183" i="93" s="1"/>
  <c r="AO33" i="90"/>
  <c r="AO33" i="92" s="1"/>
  <c r="AO190" i="93" s="1"/>
  <c r="AO19"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96" i="93" s="1"/>
  <c r="S49" i="90"/>
  <c r="S49" i="92" s="1"/>
  <c r="S69" i="90"/>
  <c r="S68" i="90"/>
  <c r="S68" i="92" s="1"/>
  <c r="S192" i="93" s="1"/>
  <c r="S47" i="90"/>
  <c r="S47" i="92" s="1"/>
  <c r="S45" i="90"/>
  <c r="S45" i="92" s="1"/>
  <c r="S22" i="93" s="1"/>
  <c r="S43" i="90"/>
  <c r="S43" i="92" s="1"/>
  <c r="S38" i="90"/>
  <c r="S38" i="92" s="1"/>
  <c r="S10" i="93" s="1"/>
  <c r="S14" i="93" s="1"/>
  <c r="S33" i="90"/>
  <c r="S33" i="92" s="1"/>
  <c r="S190" i="93" s="1"/>
  <c r="S19" i="96" s="1"/>
  <c r="S46" i="90"/>
  <c r="S46" i="92" s="1"/>
  <c r="S23" i="93" s="1"/>
  <c r="S44" i="90"/>
  <c r="S44" i="92" s="1"/>
  <c r="S21" i="93" s="1"/>
  <c r="S40" i="90"/>
  <c r="S40" i="92" s="1"/>
  <c r="S11" i="93" s="1"/>
  <c r="S34" i="90"/>
  <c r="S34" i="92" s="1"/>
  <c r="S182" i="93" s="1"/>
  <c r="S183"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96"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183" i="93" s="1"/>
  <c r="Q33" i="90"/>
  <c r="Q33" i="92" s="1"/>
  <c r="Q190" i="93" s="1"/>
  <c r="Q19"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96" i="93" s="1"/>
  <c r="AP49" i="90"/>
  <c r="AP49" i="92" s="1"/>
  <c r="AP46" i="90"/>
  <c r="AP46" i="92" s="1"/>
  <c r="AP23" i="93" s="1"/>
  <c r="AP44" i="90"/>
  <c r="AP44" i="92" s="1"/>
  <c r="AP21" i="93" s="1"/>
  <c r="AP40" i="90"/>
  <c r="AP40" i="92" s="1"/>
  <c r="AP11" i="93" s="1"/>
  <c r="AP34" i="90"/>
  <c r="AP34" i="92" s="1"/>
  <c r="AP182" i="93" s="1"/>
  <c r="AP183" i="93" s="1"/>
  <c r="AP31" i="90"/>
  <c r="AP45" i="90"/>
  <c r="AP45" i="92" s="1"/>
  <c r="AP22" i="93" s="1"/>
  <c r="AP43" i="90"/>
  <c r="AP43" i="92" s="1"/>
  <c r="AP38" i="90"/>
  <c r="AP38" i="92" s="1"/>
  <c r="AP10" i="93" s="1"/>
  <c r="AP14" i="93" s="1"/>
  <c r="AP33" i="90"/>
  <c r="AP33" i="92" s="1"/>
  <c r="AP190" i="93" s="1"/>
  <c r="AP19"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183" i="93" s="1"/>
  <c r="K33" i="90"/>
  <c r="K33" i="92" s="1"/>
  <c r="K190" i="93" s="1"/>
  <c r="K19"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96" i="93" s="1"/>
  <c r="V49" i="90"/>
  <c r="V49" i="92" s="1"/>
  <c r="V46" i="90"/>
  <c r="V46" i="92" s="1"/>
  <c r="V23" i="93" s="1"/>
  <c r="V44" i="90"/>
  <c r="V44" i="92" s="1"/>
  <c r="V21" i="93" s="1"/>
  <c r="V40" i="90"/>
  <c r="V40" i="92" s="1"/>
  <c r="V11" i="93" s="1"/>
  <c r="V34" i="90"/>
  <c r="V34" i="92" s="1"/>
  <c r="V182" i="93" s="1"/>
  <c r="V183" i="93" s="1"/>
  <c r="V31" i="90"/>
  <c r="V45" i="90"/>
  <c r="V45" i="92" s="1"/>
  <c r="V22" i="93" s="1"/>
  <c r="V43" i="90"/>
  <c r="V43" i="92" s="1"/>
  <c r="V38" i="90"/>
  <c r="V38" i="92" s="1"/>
  <c r="V10" i="93" s="1"/>
  <c r="V14" i="93" s="1"/>
  <c r="V33" i="90"/>
  <c r="V33" i="92" s="1"/>
  <c r="V190" i="93" s="1"/>
  <c r="V19"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96"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19"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96"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183" i="93" s="1"/>
  <c r="AS46" i="90"/>
  <c r="AS46" i="92" s="1"/>
  <c r="AS23" i="93" s="1"/>
  <c r="AS38" i="90"/>
  <c r="AS38" i="92" s="1"/>
  <c r="AS10" i="93" s="1"/>
  <c r="AS14" i="93" s="1"/>
  <c r="AS33" i="90"/>
  <c r="AS33" i="92" s="1"/>
  <c r="AS190" i="93" s="1"/>
  <c r="AS19"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183" i="93" s="1"/>
  <c r="AM31" i="90"/>
  <c r="AM33" i="90"/>
  <c r="AM33" i="92" s="1"/>
  <c r="AM190" i="93" s="1"/>
  <c r="AM19" i="96" s="1"/>
  <c r="U73" i="90"/>
  <c r="U73" i="92" s="1"/>
  <c r="U197" i="93" s="1"/>
  <c r="U71" i="90"/>
  <c r="U71" i="92" s="1"/>
  <c r="U195" i="93" s="1"/>
  <c r="U69" i="90"/>
  <c r="U74" i="90"/>
  <c r="U74" i="92" s="1"/>
  <c r="U198" i="93" s="1"/>
  <c r="U72" i="90"/>
  <c r="U72" i="92" s="1"/>
  <c r="U196" i="93" s="1"/>
  <c r="U59" i="90"/>
  <c r="U59" i="92" s="1"/>
  <c r="U71" i="93" s="1"/>
  <c r="U109" i="93" s="1"/>
  <c r="U56" i="90"/>
  <c r="U56" i="92" s="1"/>
  <c r="U69" i="93" s="1"/>
  <c r="U96"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183" i="93" s="1"/>
  <c r="U43" i="90"/>
  <c r="U43" i="92" s="1"/>
  <c r="U47" i="90"/>
  <c r="U47" i="92" s="1"/>
  <c r="U38" i="90"/>
  <c r="U38" i="92" s="1"/>
  <c r="U10" i="93" s="1"/>
  <c r="U14" i="93" s="1"/>
  <c r="U31" i="90"/>
  <c r="U33" i="90"/>
  <c r="U33" i="92" s="1"/>
  <c r="U190" i="93" s="1"/>
  <c r="U19"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96"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19" i="96" s="1"/>
  <c r="T44" i="90"/>
  <c r="T44" i="92" s="1"/>
  <c r="T21" i="93" s="1"/>
  <c r="T40" i="90"/>
  <c r="T40" i="92" s="1"/>
  <c r="T11" i="93" s="1"/>
  <c r="T34" i="90"/>
  <c r="T34" i="92" s="1"/>
  <c r="T182" i="93" s="1"/>
  <c r="T183"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96"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183" i="93" s="1"/>
  <c r="P33" i="90"/>
  <c r="P33" i="92" s="1"/>
  <c r="P190" i="93" s="1"/>
  <c r="P19"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96"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19" i="96" s="1"/>
  <c r="AR44" i="90"/>
  <c r="AR44" i="92" s="1"/>
  <c r="AR21" i="93" s="1"/>
  <c r="AR40" i="90"/>
  <c r="AR40" i="92" s="1"/>
  <c r="AR11" i="93" s="1"/>
  <c r="AR34" i="90"/>
  <c r="AR34" i="92" s="1"/>
  <c r="AR182" i="93" s="1"/>
  <c r="AR183"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96"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19" i="96" s="1"/>
  <c r="AQ46" i="90"/>
  <c r="AQ46" i="92" s="1"/>
  <c r="AQ23" i="93" s="1"/>
  <c r="AQ40" i="90"/>
  <c r="AQ40" i="92" s="1"/>
  <c r="AQ11" i="93" s="1"/>
  <c r="AQ31" i="90"/>
  <c r="AQ34" i="90"/>
  <c r="AQ34" i="92" s="1"/>
  <c r="AQ182" i="93" s="1"/>
  <c r="AQ183"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183" i="93" s="1"/>
  <c r="L33" i="90"/>
  <c r="L33" i="92" s="1"/>
  <c r="L190" i="93" s="1"/>
  <c r="L19"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96"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19"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19"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96"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183" i="93" s="1"/>
  <c r="AN33" i="90"/>
  <c r="AN33" i="92" s="1"/>
  <c r="AN190" i="93" s="1"/>
  <c r="AN19"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96"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183" i="93" s="1"/>
  <c r="AL33" i="90"/>
  <c r="AL33" i="92" s="1"/>
  <c r="AL190" i="93" s="1"/>
  <c r="AL19"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W22" i="30"/>
  <c r="X22" i="30"/>
  <c r="M24" i="26"/>
  <c r="X21" i="30"/>
  <c r="W21" i="30"/>
  <c r="X21" i="27"/>
  <c r="W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183" i="93" s="1"/>
  <c r="BN70" i="92"/>
  <c r="BN194" i="93" s="1"/>
  <c r="BN59" i="92"/>
  <c r="BN71" i="93" s="1"/>
  <c r="BN109" i="93" s="1"/>
  <c r="BN38" i="92"/>
  <c r="BN10" i="93" s="1"/>
  <c r="BN14" i="93" s="1"/>
  <c r="BN71" i="92"/>
  <c r="BN195" i="93" s="1"/>
  <c r="BN60" i="92"/>
  <c r="BN130" i="93" s="1"/>
  <c r="BN40" i="92"/>
  <c r="BN11" i="93" s="1"/>
  <c r="BN33" i="92"/>
  <c r="BN190" i="93" s="1"/>
  <c r="BN19"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19" i="96" s="1"/>
  <c r="BM70" i="92"/>
  <c r="BM194" i="93" s="1"/>
  <c r="BM59" i="92"/>
  <c r="BM71" i="93" s="1"/>
  <c r="BM109" i="93" s="1"/>
  <c r="BM38" i="92"/>
  <c r="BM10" i="93" s="1"/>
  <c r="BM14" i="93" s="1"/>
  <c r="BM73" i="92"/>
  <c r="BM197" i="93" s="1"/>
  <c r="BM69" i="92"/>
  <c r="BM193" i="93" s="1"/>
  <c r="BM50" i="92"/>
  <c r="BM34" i="92"/>
  <c r="BM182" i="93" s="1"/>
  <c r="BM183" i="93" s="1"/>
  <c r="BM71" i="92"/>
  <c r="BM195" i="93" s="1"/>
  <c r="BM40" i="92"/>
  <c r="BM11" i="93" s="1"/>
  <c r="BM60" i="92"/>
  <c r="BM130" i="93" s="1"/>
  <c r="BM16" i="91"/>
  <c r="B86" i="83"/>
  <c r="C23" i="30" s="1"/>
  <c r="AI23" i="30" s="1"/>
  <c r="W16" i="90"/>
  <c r="B66" i="83"/>
  <c r="C22" i="27" s="1"/>
  <c r="AI22" i="27" s="1"/>
  <c r="B40" i="83"/>
  <c r="C26" i="26" s="1"/>
  <c r="AI26" i="26" s="1"/>
  <c r="K7" i="92"/>
  <c r="K7" i="93" s="1"/>
  <c r="BE73" i="92"/>
  <c r="BE197" i="93" s="1"/>
  <c r="BE71" i="92"/>
  <c r="BE195" i="93" s="1"/>
  <c r="BE60" i="92"/>
  <c r="BE130" i="93" s="1"/>
  <c r="BE50" i="92"/>
  <c r="BE38" i="92"/>
  <c r="BE10" i="93" s="1"/>
  <c r="BE14" i="93" s="1"/>
  <c r="BE33" i="92"/>
  <c r="BE190" i="93" s="1"/>
  <c r="BE19" i="96" s="1"/>
  <c r="BE74" i="92"/>
  <c r="BE198" i="93" s="1"/>
  <c r="BE72" i="92"/>
  <c r="BE196" i="93" s="1"/>
  <c r="BE70" i="92"/>
  <c r="BE194" i="93" s="1"/>
  <c r="BE68" i="92"/>
  <c r="BE192" i="93" s="1"/>
  <c r="BE59" i="92"/>
  <c r="BE71" i="93" s="1"/>
  <c r="BE109" i="93" s="1"/>
  <c r="BE49" i="92"/>
  <c r="BE40" i="92"/>
  <c r="BE11" i="93" s="1"/>
  <c r="BE34" i="92"/>
  <c r="BE182" i="93" s="1"/>
  <c r="BE183" i="93" s="1"/>
  <c r="Q7" i="92"/>
  <c r="Q7" i="93" s="1"/>
  <c r="AN7" i="92"/>
  <c r="AN7" i="93" s="1"/>
  <c r="BD73" i="92"/>
  <c r="BD197" i="93" s="1"/>
  <c r="BD33" i="92"/>
  <c r="BD190" i="93" s="1"/>
  <c r="BD19"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183"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183" i="93" s="1"/>
  <c r="BH186" i="93" s="1"/>
  <c r="BH17" i="96"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19"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186" i="93"/>
  <c r="BJ17" i="96" s="1"/>
  <c r="BJ185" i="93"/>
  <c r="BJ16" i="96" s="1"/>
  <c r="BJ62" i="93"/>
  <c r="BJ27" i="93"/>
  <c r="BJ48" i="93" s="1"/>
  <c r="BJ49" i="93" s="1"/>
  <c r="BJ50" i="93" s="1"/>
  <c r="BJ211" i="93"/>
  <c r="BJ202" i="93"/>
  <c r="BJ215" i="93"/>
  <c r="BJ206" i="93"/>
  <c r="BL185" i="93"/>
  <c r="BL16" i="96" s="1"/>
  <c r="BL186" i="93"/>
  <c r="BL17" i="96" s="1"/>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185" i="93"/>
  <c r="BK16" i="96" s="1"/>
  <c r="BK186" i="93"/>
  <c r="BK17" i="96" s="1"/>
  <c r="BK62" i="93"/>
  <c r="BK27" i="93"/>
  <c r="BK48" i="93" s="1"/>
  <c r="BK49" i="93" s="1"/>
  <c r="BK50" i="93" s="1"/>
  <c r="BK202" i="93"/>
  <c r="BK211" i="93"/>
  <c r="BK206" i="93"/>
  <c r="BK215" i="93"/>
  <c r="BK70" i="93"/>
  <c r="BK20" i="93"/>
  <c r="BK114" i="93"/>
  <c r="BK24" i="93"/>
  <c r="BI185" i="93"/>
  <c r="BI16" i="96" s="1"/>
  <c r="BI186" i="93"/>
  <c r="BI17" i="96" s="1"/>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O51" i="93" l="1"/>
  <c r="O52" i="93" s="1"/>
  <c r="O142" i="93" s="1"/>
  <c r="O117" i="93"/>
  <c r="O120" i="93" s="1"/>
  <c r="O73" i="93"/>
  <c r="O97" i="93"/>
  <c r="O31" i="93"/>
  <c r="O32" i="93" s="1"/>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96"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19" i="96" s="1"/>
  <c r="AU45" i="90"/>
  <c r="AU45" i="92" s="1"/>
  <c r="AU22" i="93" s="1"/>
  <c r="AU34" i="90"/>
  <c r="AU34" i="92" s="1"/>
  <c r="AU182" i="93" s="1"/>
  <c r="AU183"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96"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19" i="96" s="1"/>
  <c r="W47" i="90"/>
  <c r="W47" i="92" s="1"/>
  <c r="W40" i="90"/>
  <c r="W40" i="92" s="1"/>
  <c r="W11" i="93" s="1"/>
  <c r="W31" i="90"/>
  <c r="W34" i="90"/>
  <c r="W34" i="92" s="1"/>
  <c r="W182" i="93" s="1"/>
  <c r="W183"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W22" i="27"/>
  <c r="X22"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86" i="93"/>
  <c r="BM17" i="96" s="1"/>
  <c r="BM185" i="93"/>
  <c r="BM16" i="96" s="1"/>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186" i="93"/>
  <c r="BN17" i="96" s="1"/>
  <c r="BN185" i="93"/>
  <c r="BN16" i="96" s="1"/>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19" i="96" s="1"/>
  <c r="BO50" i="92"/>
  <c r="BO69" i="92"/>
  <c r="BO193" i="93" s="1"/>
  <c r="BO34" i="92"/>
  <c r="BO182" i="93" s="1"/>
  <c r="BO183"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BH185" i="93"/>
  <c r="P16" i="92"/>
  <c r="P5" i="96" s="1"/>
  <c r="BH114" i="93"/>
  <c r="BH20" i="93"/>
  <c r="BH27" i="93"/>
  <c r="BH48" i="93" s="1"/>
  <c r="BH49" i="93" s="1"/>
  <c r="X16" i="90"/>
  <c r="X17" i="90"/>
  <c r="X17" i="91" s="1"/>
  <c r="X17" i="92" s="1"/>
  <c r="B67" i="83"/>
  <c r="C23" i="27" s="1"/>
  <c r="AI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L230" i="93"/>
  <c r="BL231" i="93"/>
  <c r="BL229" i="93"/>
  <c r="BL234" i="93"/>
  <c r="BL233" i="93"/>
  <c r="BL232" i="93"/>
  <c r="BL228" i="93"/>
  <c r="BJ225" i="93"/>
  <c r="BJ222" i="93"/>
  <c r="BJ221" i="93"/>
  <c r="BJ220" i="93"/>
  <c r="BJ219" i="93"/>
  <c r="BJ223" i="93"/>
  <c r="BJ224" i="93"/>
  <c r="BH230" i="93"/>
  <c r="BH233" i="93"/>
  <c r="BH234" i="93"/>
  <c r="BH231" i="93"/>
  <c r="BH232" i="93"/>
  <c r="BI222" i="93"/>
  <c r="BI223" i="93"/>
  <c r="BI221" i="93"/>
  <c r="BI224" i="93"/>
  <c r="BI225" i="93"/>
  <c r="BK225" i="93"/>
  <c r="BK224" i="93"/>
  <c r="BK223" i="93"/>
  <c r="BK222" i="93"/>
  <c r="BK221" i="93"/>
  <c r="BK220" i="93"/>
  <c r="BK219"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18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186" i="93"/>
  <c r="BD185" i="93"/>
  <c r="BD70" i="93"/>
  <c r="BD20" i="93"/>
  <c r="BE31" i="92"/>
  <c r="BE11" i="90"/>
  <c r="BE116" i="93"/>
  <c r="BE72" i="93"/>
  <c r="S20" i="93"/>
  <c r="S70" i="93"/>
  <c r="AO44" i="93"/>
  <c r="AO26" i="93"/>
  <c r="AO30"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28" i="93"/>
  <c r="BH201" i="93"/>
  <c r="BH210" i="93"/>
  <c r="AL16" i="92"/>
  <c r="AT16" i="92"/>
  <c r="BE201" i="93"/>
  <c r="BE210" i="93"/>
  <c r="BI201" i="93"/>
  <c r="BI228"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O56" i="93" l="1"/>
  <c r="O59" i="93" s="1"/>
  <c r="O63" i="93" s="1"/>
  <c r="O156" i="93" s="1"/>
  <c r="O176" i="93" s="1"/>
  <c r="O179" i="93" s="1"/>
  <c r="O212" i="93" s="1"/>
  <c r="O33" i="93"/>
  <c r="O34" i="93" s="1"/>
  <c r="O139" i="93" s="1"/>
  <c r="AU5" i="96"/>
  <c r="M17" i="93"/>
  <c r="M117" i="93" s="1"/>
  <c r="M120" i="93" s="1"/>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96"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19" i="96" s="1"/>
  <c r="AV45" i="90"/>
  <c r="AV45" i="92" s="1"/>
  <c r="AV22" i="93" s="1"/>
  <c r="AV44" i="90"/>
  <c r="AV44" i="92" s="1"/>
  <c r="AV21" i="93" s="1"/>
  <c r="AV40" i="90"/>
  <c r="AV40" i="92" s="1"/>
  <c r="AV11" i="93" s="1"/>
  <c r="AV34" i="90"/>
  <c r="AV34" i="92" s="1"/>
  <c r="AV182" i="93" s="1"/>
  <c r="AV183"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96"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19" i="96" s="1"/>
  <c r="X47" i="90"/>
  <c r="X47" i="92" s="1"/>
  <c r="X44" i="90"/>
  <c r="X44" i="92" s="1"/>
  <c r="X21" i="93" s="1"/>
  <c r="X40" i="90"/>
  <c r="X40" i="92" s="1"/>
  <c r="X11" i="93" s="1"/>
  <c r="X34" i="90"/>
  <c r="X34" i="92" s="1"/>
  <c r="X182" i="93" s="1"/>
  <c r="X183" i="93" s="1"/>
  <c r="X31" i="90"/>
  <c r="E23" i="27"/>
  <c r="AK23" i="27" s="1"/>
  <c r="D23" i="27"/>
  <c r="AJ23" i="27" s="1"/>
  <c r="B23" i="27"/>
  <c r="AH23" i="27" s="1"/>
  <c r="AU11" i="90"/>
  <c r="AU24" i="93"/>
  <c r="AU27" i="93"/>
  <c r="AU48" i="93" s="1"/>
  <c r="AU44" i="93"/>
  <c r="AU72" i="93"/>
  <c r="P5" i="93"/>
  <c r="AU70" i="93"/>
  <c r="Z27" i="26"/>
  <c r="X27" i="26"/>
  <c r="W27" i="26"/>
  <c r="X24" i="30"/>
  <c r="W24" i="30"/>
  <c r="X23" i="27"/>
  <c r="W23" i="27"/>
  <c r="K23" i="30"/>
  <c r="M26" i="26"/>
  <c r="W44" i="93"/>
  <c r="W5" i="93"/>
  <c r="W116" i="93"/>
  <c r="W27" i="93"/>
  <c r="W48" i="93" s="1"/>
  <c r="J9" i="93"/>
  <c r="BH17" i="93"/>
  <c r="BH97" i="93" s="1"/>
  <c r="BH224" i="93"/>
  <c r="BH16" i="96"/>
  <c r="BE219" i="93"/>
  <c r="BE16" i="96"/>
  <c r="BE228" i="93"/>
  <c r="BE17" i="96"/>
  <c r="BD219" i="93"/>
  <c r="BD16"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183" i="93" s="1"/>
  <c r="BP72" i="92"/>
  <c r="BP196" i="93" s="1"/>
  <c r="BP68" i="92"/>
  <c r="BP192" i="93" s="1"/>
  <c r="BP49" i="92"/>
  <c r="BP33" i="92"/>
  <c r="BP190" i="93" s="1"/>
  <c r="BP19"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185" i="93"/>
  <c r="BO16" i="96" s="1"/>
  <c r="BO186" i="93"/>
  <c r="BO17" i="96" s="1"/>
  <c r="BO201" i="93"/>
  <c r="BO210" i="93"/>
  <c r="BO116" i="93"/>
  <c r="BO72" i="93"/>
  <c r="BN225" i="93"/>
  <c r="BN221" i="93"/>
  <c r="BN222" i="93"/>
  <c r="BN224" i="93"/>
  <c r="BN219" i="93"/>
  <c r="BN223" i="93"/>
  <c r="BN220" i="93"/>
  <c r="BN5" i="96"/>
  <c r="BN5" i="93"/>
  <c r="BM220" i="93"/>
  <c r="BM219" i="93"/>
  <c r="BM225" i="93"/>
  <c r="BM224" i="93"/>
  <c r="BM223" i="93"/>
  <c r="BM222" i="93"/>
  <c r="BM221" i="93"/>
  <c r="BM5" i="96"/>
  <c r="BM5" i="93"/>
  <c r="BH221" i="93"/>
  <c r="BH222" i="93"/>
  <c r="BH219" i="93"/>
  <c r="BH225" i="93"/>
  <c r="BH223"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AI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222" i="93"/>
  <c r="BD223" i="93"/>
  <c r="BD225" i="93"/>
  <c r="BD221" i="93"/>
  <c r="BD224" i="93"/>
  <c r="BD51" i="93"/>
  <c r="BD52" i="93"/>
  <c r="BD142" i="93" s="1"/>
  <c r="BD63" i="93"/>
  <c r="BD156" i="93" s="1"/>
  <c r="AR9" i="93"/>
  <c r="AR15" i="93" s="1"/>
  <c r="AR11" i="92"/>
  <c r="AR148" i="93" s="1"/>
  <c r="AR149" i="93" s="1"/>
  <c r="AP9" i="93"/>
  <c r="AP15" i="93" s="1"/>
  <c r="AP11" i="92"/>
  <c r="AP148" i="93" s="1"/>
  <c r="AP149" i="93" s="1"/>
  <c r="K9" i="93"/>
  <c r="K15" i="93" s="1"/>
  <c r="K17"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0" i="93"/>
  <c r="BH229" i="93"/>
  <c r="BH202" i="93"/>
  <c r="BH211" i="93"/>
  <c r="AU17" i="92"/>
  <c r="BI229" i="93"/>
  <c r="BI202" i="93"/>
  <c r="BI220" i="93"/>
  <c r="BI211" i="93"/>
  <c r="AT5" i="96"/>
  <c r="AT5" i="93"/>
  <c r="AL5" i="96"/>
  <c r="AL5" i="93"/>
  <c r="BE220" i="93"/>
  <c r="BE229" i="93"/>
  <c r="BE211" i="93"/>
  <c r="BE202" i="93"/>
  <c r="BD229" i="93"/>
  <c r="BD220" i="93"/>
  <c r="BD202" i="93"/>
  <c r="BD211" i="93"/>
  <c r="BH5" i="96"/>
  <c r="BH5" i="93"/>
  <c r="AN17" i="92"/>
  <c r="BE5" i="96"/>
  <c r="BE5" i="93"/>
  <c r="O213" i="93" l="1"/>
  <c r="O216" i="93"/>
  <c r="O215" i="93"/>
  <c r="O10" i="96"/>
  <c r="O210" i="93"/>
  <c r="O211" i="93"/>
  <c r="O214" i="93"/>
  <c r="O38" i="93"/>
  <c r="O41" i="93" s="1"/>
  <c r="O45" i="93" s="1"/>
  <c r="O152" i="93" s="1"/>
  <c r="O171" i="93" s="1"/>
  <c r="O174" i="93" s="1"/>
  <c r="O9" i="96" s="1"/>
  <c r="J15" i="93"/>
  <c r="J17" i="93" s="1"/>
  <c r="J73" i="93" s="1"/>
  <c r="M31" i="93"/>
  <c r="M32" i="93" s="1"/>
  <c r="M33" i="93" s="1"/>
  <c r="M34" i="93" s="1"/>
  <c r="M139" i="93" s="1"/>
  <c r="M49" i="93"/>
  <c r="M50" i="93" s="1"/>
  <c r="M51" i="93" s="1"/>
  <c r="M52" i="93" s="1"/>
  <c r="M142" i="93" s="1"/>
  <c r="R17" i="93"/>
  <c r="R97" i="93" s="1"/>
  <c r="V17" i="93"/>
  <c r="V73" i="93" s="1"/>
  <c r="M97" i="93"/>
  <c r="S17" i="93"/>
  <c r="S97" i="93" s="1"/>
  <c r="AU17" i="93"/>
  <c r="AU31" i="93" s="1"/>
  <c r="AU32" i="93" s="1"/>
  <c r="AU33" i="93" s="1"/>
  <c r="AU34" i="93" s="1"/>
  <c r="AU139" i="93" s="1"/>
  <c r="AR17" i="93"/>
  <c r="AR97" i="93" s="1"/>
  <c r="M73" i="93"/>
  <c r="AP17" i="93"/>
  <c r="AP49" i="93" s="1"/>
  <c r="AP50" i="93" s="1"/>
  <c r="T17" i="93"/>
  <c r="T97" i="93" s="1"/>
  <c r="AT17" i="93"/>
  <c r="AT49" i="93" s="1"/>
  <c r="AT50" i="93" s="1"/>
  <c r="AT51" i="93" s="1"/>
  <c r="AT52" i="93" s="1"/>
  <c r="AT142" i="93" s="1"/>
  <c r="AS17" i="93"/>
  <c r="AS73" i="93" s="1"/>
  <c r="U17" i="93"/>
  <c r="U97" i="93" s="1"/>
  <c r="AN17" i="93"/>
  <c r="AN31" i="93" s="1"/>
  <c r="AN32" i="93" s="1"/>
  <c r="AN33" i="93" s="1"/>
  <c r="AN34" i="93" s="1"/>
  <c r="AN139" i="93" s="1"/>
  <c r="N17" i="93"/>
  <c r="N117" i="93" s="1"/>
  <c r="N120" i="93" s="1"/>
  <c r="AO17" i="93"/>
  <c r="AO49" i="93" s="1"/>
  <c r="AO50" i="93" s="1"/>
  <c r="AO51" i="93" s="1"/>
  <c r="AO52" i="93" s="1"/>
  <c r="AO142" i="93" s="1"/>
  <c r="P17" i="93"/>
  <c r="P117" i="93" s="1"/>
  <c r="P120" i="93" s="1"/>
  <c r="AL17" i="93"/>
  <c r="AL31" i="93" s="1"/>
  <c r="AL32" i="93" s="1"/>
  <c r="AL33" i="93" s="1"/>
  <c r="AL34" i="93" s="1"/>
  <c r="Q17" i="93"/>
  <c r="Q73" i="93" s="1"/>
  <c r="AM17" i="93"/>
  <c r="AM31" i="93" s="1"/>
  <c r="AM32" i="93" s="1"/>
  <c r="AM33" i="93" s="1"/>
  <c r="AM34" i="93" s="1"/>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96"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183" i="93" s="1"/>
  <c r="Y46" i="90"/>
  <c r="Y46" i="92" s="1"/>
  <c r="Y23" i="93" s="1"/>
  <c r="Y38" i="90"/>
  <c r="Y38" i="92" s="1"/>
  <c r="Y10" i="93" s="1"/>
  <c r="Y14" i="93" s="1"/>
  <c r="Y33" i="90"/>
  <c r="Y33" i="92" s="1"/>
  <c r="Y190" i="93" s="1"/>
  <c r="Y19"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96"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183" i="93" s="1"/>
  <c r="AW33" i="90"/>
  <c r="AW33" i="92" s="1"/>
  <c r="AW190" i="93" s="1"/>
  <c r="AW19" i="96" s="1"/>
  <c r="AW43" i="90"/>
  <c r="AW43" i="92" s="1"/>
  <c r="AW46" i="90"/>
  <c r="AW46" i="92" s="1"/>
  <c r="AW23" i="93" s="1"/>
  <c r="AW38" i="90"/>
  <c r="AW38" i="92" s="1"/>
  <c r="AW10" i="93" s="1"/>
  <c r="AW14" i="93" s="1"/>
  <c r="AW31" i="90"/>
  <c r="BH52" i="93"/>
  <c r="BH142" i="93" s="1"/>
  <c r="BH51" i="93"/>
  <c r="BH117" i="93"/>
  <c r="BH120" i="93" s="1"/>
  <c r="K24" i="30"/>
  <c r="X28" i="26"/>
  <c r="W28" i="26"/>
  <c r="Z28" i="26"/>
  <c r="X24" i="27"/>
  <c r="W24" i="27"/>
  <c r="X25" i="30"/>
  <c r="W25" i="30"/>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185" i="93"/>
  <c r="BP16" i="96" s="1"/>
  <c r="BP186" i="93"/>
  <c r="BP17" i="96" s="1"/>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19" i="96" s="1"/>
  <c r="BQ73" i="92"/>
  <c r="BQ197" i="93" s="1"/>
  <c r="BQ69" i="92"/>
  <c r="BQ193" i="93" s="1"/>
  <c r="BQ50" i="92"/>
  <c r="BQ34" i="92"/>
  <c r="BQ182" i="93" s="1"/>
  <c r="BQ183"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AI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AI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L75" i="93" s="1"/>
  <c r="BE117" i="93"/>
  <c r="BE120" i="93" s="1"/>
  <c r="BE97" i="93"/>
  <c r="BE73" i="93"/>
  <c r="K31" i="93"/>
  <c r="K32" i="93" s="1"/>
  <c r="K97" i="93"/>
  <c r="K73" i="93"/>
  <c r="K75" i="93" s="1"/>
  <c r="K117" i="93"/>
  <c r="BD117" i="93"/>
  <c r="BD120" i="93" s="1"/>
  <c r="BD97" i="93"/>
  <c r="BD73" i="93"/>
  <c r="AQ97" i="93"/>
  <c r="AQ117" i="93"/>
  <c r="AQ120" i="93" s="1"/>
  <c r="AQ73" i="93"/>
  <c r="BE56" i="93"/>
  <c r="BE59" i="93" s="1"/>
  <c r="L49" i="93"/>
  <c r="L50" i="93" s="1"/>
  <c r="AQ31" i="93"/>
  <c r="AQ32" i="93" s="1"/>
  <c r="BD56" i="93"/>
  <c r="BD59" i="93" s="1"/>
  <c r="AQ49" i="93"/>
  <c r="AQ50" i="93" s="1"/>
  <c r="K49" i="93"/>
  <c r="K50" i="93" s="1"/>
  <c r="L31" i="93"/>
  <c r="L32" i="93" s="1"/>
  <c r="AO31" i="93"/>
  <c r="AO32" i="93" s="1"/>
  <c r="BH7" i="96"/>
  <c r="AW6" i="93"/>
  <c r="AW7" i="96"/>
  <c r="U7" i="96"/>
  <c r="U6" i="93"/>
  <c r="AU6" i="93"/>
  <c r="AU7" i="96"/>
  <c r="AN7" i="96"/>
  <c r="AN6" i="93"/>
  <c r="O203" i="93" l="1"/>
  <c r="O204" i="93"/>
  <c r="O205" i="93"/>
  <c r="O201" i="93"/>
  <c r="O206" i="93"/>
  <c r="O202" i="93"/>
  <c r="O207" i="93"/>
  <c r="AU49" i="93"/>
  <c r="AU50" i="93" s="1"/>
  <c r="AU51" i="93" s="1"/>
  <c r="AU52" i="93" s="1"/>
  <c r="Q31" i="93"/>
  <c r="Q32" i="93" s="1"/>
  <c r="M56" i="93"/>
  <c r="M59" i="93" s="1"/>
  <c r="M63" i="93" s="1"/>
  <c r="M156" i="93" s="1"/>
  <c r="M176" i="93" s="1"/>
  <c r="M179" i="93" s="1"/>
  <c r="M213" i="93" s="1"/>
  <c r="AT31" i="93"/>
  <c r="AT32" i="93" s="1"/>
  <c r="AT33" i="93" s="1"/>
  <c r="AT34" i="93" s="1"/>
  <c r="AT139" i="93" s="1"/>
  <c r="AU117" i="93"/>
  <c r="AU120" i="93" s="1"/>
  <c r="R117" i="93"/>
  <c r="R120" i="93" s="1"/>
  <c r="AU73" i="93"/>
  <c r="R49" i="93"/>
  <c r="R50" i="93" s="1"/>
  <c r="R51" i="93" s="1"/>
  <c r="R52" i="93" s="1"/>
  <c r="R142" i="93" s="1"/>
  <c r="T31" i="93"/>
  <c r="T32" i="93" s="1"/>
  <c r="T33" i="93" s="1"/>
  <c r="T34" i="93" s="1"/>
  <c r="T139" i="93" s="1"/>
  <c r="AU97" i="93"/>
  <c r="AT97" i="93"/>
  <c r="V31" i="93"/>
  <c r="V32" i="93" s="1"/>
  <c r="V33" i="93" s="1"/>
  <c r="AT73" i="93"/>
  <c r="N31" i="93"/>
  <c r="N32" i="93" s="1"/>
  <c r="N33" i="93" s="1"/>
  <c r="N34" i="93" s="1"/>
  <c r="K120" i="93"/>
  <c r="K119" i="93"/>
  <c r="K94" i="93"/>
  <c r="K98" i="93"/>
  <c r="K100" i="93"/>
  <c r="K104" i="93" s="1"/>
  <c r="K107" i="93" s="1"/>
  <c r="K110" i="93" s="1"/>
  <c r="K153" i="93" s="1"/>
  <c r="K172" i="93" s="1"/>
  <c r="K91" i="93"/>
  <c r="K87" i="93"/>
  <c r="AN49" i="93"/>
  <c r="AN50" i="93" s="1"/>
  <c r="AN51" i="93" s="1"/>
  <c r="AN52" i="93" s="1"/>
  <c r="AN142" i="93" s="1"/>
  <c r="AN73" i="93"/>
  <c r="AL49" i="93"/>
  <c r="AL50" i="93" s="1"/>
  <c r="AL51" i="93" s="1"/>
  <c r="AL52" i="93" s="1"/>
  <c r="AL142" i="93" s="1"/>
  <c r="AL117" i="93"/>
  <c r="AL120" i="93" s="1"/>
  <c r="AO73" i="93"/>
  <c r="AN97" i="93"/>
  <c r="S31" i="93"/>
  <c r="S32" i="93" s="1"/>
  <c r="S33" i="93" s="1"/>
  <c r="S34" i="93" s="1"/>
  <c r="S139" i="93" s="1"/>
  <c r="U31" i="93"/>
  <c r="U32" i="93" s="1"/>
  <c r="U33" i="93" s="1"/>
  <c r="U34" i="93" s="1"/>
  <c r="U139" i="93" s="1"/>
  <c r="AN117" i="93"/>
  <c r="AN120" i="93" s="1"/>
  <c r="AM117" i="93"/>
  <c r="AM120" i="93" s="1"/>
  <c r="AM97" i="93"/>
  <c r="AM49" i="93"/>
  <c r="AM50" i="93" s="1"/>
  <c r="AM51" i="93" s="1"/>
  <c r="AM52" i="93" s="1"/>
  <c r="AM142" i="93" s="1"/>
  <c r="AM73" i="93"/>
  <c r="AM75" i="93" s="1"/>
  <c r="AM94" i="93" s="1"/>
  <c r="AL97" i="93"/>
  <c r="AL73" i="93"/>
  <c r="Q49" i="93"/>
  <c r="Q50" i="93" s="1"/>
  <c r="Q51" i="93" s="1"/>
  <c r="Q52" i="93" s="1"/>
  <c r="Q142" i="93" s="1"/>
  <c r="P31" i="93"/>
  <c r="P32" i="93" s="1"/>
  <c r="P33" i="93" s="1"/>
  <c r="P34" i="93" s="1"/>
  <c r="P139" i="93" s="1"/>
  <c r="AP117" i="93"/>
  <c r="AP120" i="93" s="1"/>
  <c r="AS49" i="93"/>
  <c r="AS50" i="93" s="1"/>
  <c r="AS51" i="93" s="1"/>
  <c r="AS52" i="93" s="1"/>
  <c r="AT117" i="93"/>
  <c r="AT120" i="93" s="1"/>
  <c r="AR31" i="93"/>
  <c r="AR32" i="93" s="1"/>
  <c r="AR33" i="93" s="1"/>
  <c r="AR34" i="93" s="1"/>
  <c r="AO117" i="93"/>
  <c r="AO120" i="93" s="1"/>
  <c r="AO97" i="93"/>
  <c r="J31" i="93"/>
  <c r="J32" i="93" s="1"/>
  <c r="J33" i="93" s="1"/>
  <c r="J34" i="93" s="1"/>
  <c r="J139" i="93" s="1"/>
  <c r="J49" i="93"/>
  <c r="J50" i="93" s="1"/>
  <c r="J51" i="93" s="1"/>
  <c r="J52" i="93" s="1"/>
  <c r="J142" i="93" s="1"/>
  <c r="AS31" i="93"/>
  <c r="AS32" i="93" s="1"/>
  <c r="AS33" i="93" s="1"/>
  <c r="AS34" i="93" s="1"/>
  <c r="AS139" i="93" s="1"/>
  <c r="AP73" i="93"/>
  <c r="AP31" i="93"/>
  <c r="AP32" i="93" s="1"/>
  <c r="AP33" i="93" s="1"/>
  <c r="AP34" i="93" s="1"/>
  <c r="AP139" i="93" s="1"/>
  <c r="AP97" i="93"/>
  <c r="N49" i="93"/>
  <c r="N50" i="93" s="1"/>
  <c r="N51" i="93" s="1"/>
  <c r="N52" i="93" s="1"/>
  <c r="N142" i="93" s="1"/>
  <c r="S49" i="93"/>
  <c r="S50" i="93" s="1"/>
  <c r="S51" i="93" s="1"/>
  <c r="S52" i="93" s="1"/>
  <c r="S142" i="93" s="1"/>
  <c r="T49" i="93"/>
  <c r="T50" i="93" s="1"/>
  <c r="T51" i="93" s="1"/>
  <c r="T52" i="93" s="1"/>
  <c r="T142" i="93" s="1"/>
  <c r="AR49" i="93"/>
  <c r="AR50" i="93" s="1"/>
  <c r="AR51" i="93" s="1"/>
  <c r="AR52" i="93" s="1"/>
  <c r="AR142" i="93" s="1"/>
  <c r="P49" i="93"/>
  <c r="P50" i="93" s="1"/>
  <c r="P51" i="93" s="1"/>
  <c r="P52" i="93" s="1"/>
  <c r="P142" i="93" s="1"/>
  <c r="AP51" i="93"/>
  <c r="AP52" i="93" s="1"/>
  <c r="AP142" i="93" s="1"/>
  <c r="R31" i="93"/>
  <c r="R32" i="93" s="1"/>
  <c r="R33" i="93" s="1"/>
  <c r="R34" i="93" s="1"/>
  <c r="R139" i="93" s="1"/>
  <c r="U49" i="93"/>
  <c r="U50" i="93" s="1"/>
  <c r="U51" i="93" s="1"/>
  <c r="U52" i="93" s="1"/>
  <c r="U142" i="93" s="1"/>
  <c r="V49" i="93"/>
  <c r="V50" i="93" s="1"/>
  <c r="V51" i="93" s="1"/>
  <c r="V52" i="93" s="1"/>
  <c r="V142" i="93" s="1"/>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W117" i="93" s="1"/>
  <c r="W120" i="93" s="1"/>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96" i="93" s="1"/>
  <c r="Z49" i="90"/>
  <c r="Z49" i="92" s="1"/>
  <c r="Z44" i="90"/>
  <c r="Z44" i="92" s="1"/>
  <c r="Z21" i="93" s="1"/>
  <c r="Z40" i="90"/>
  <c r="Z40" i="92" s="1"/>
  <c r="Z11" i="93" s="1"/>
  <c r="Z34" i="90"/>
  <c r="Z34" i="92" s="1"/>
  <c r="Z182" i="93" s="1"/>
  <c r="Z183" i="93" s="1"/>
  <c r="Z31" i="90"/>
  <c r="Z46" i="90"/>
  <c r="Z46" i="92" s="1"/>
  <c r="Z23" i="93" s="1"/>
  <c r="Z45" i="90"/>
  <c r="Z45" i="92" s="1"/>
  <c r="Z22" i="93" s="1"/>
  <c r="Z43" i="90"/>
  <c r="Z43" i="92" s="1"/>
  <c r="Z38" i="90"/>
  <c r="Z38" i="92" s="1"/>
  <c r="Z10" i="93" s="1"/>
  <c r="Z14" i="93" s="1"/>
  <c r="Z33" i="90"/>
  <c r="Z33" i="92" s="1"/>
  <c r="Z190" i="93" s="1"/>
  <c r="Z19"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96" i="93" s="1"/>
  <c r="AX49" i="90"/>
  <c r="AX49" i="92" s="1"/>
  <c r="AX44" i="90"/>
  <c r="AX44" i="92" s="1"/>
  <c r="AX21" i="93" s="1"/>
  <c r="AX40" i="90"/>
  <c r="AX40" i="92" s="1"/>
  <c r="AX11" i="93" s="1"/>
  <c r="AX34" i="90"/>
  <c r="AX34" i="92" s="1"/>
  <c r="AX182" i="93" s="1"/>
  <c r="AX183" i="93" s="1"/>
  <c r="AX31" i="90"/>
  <c r="AX46" i="90"/>
  <c r="AX46" i="92" s="1"/>
  <c r="AX23" i="93" s="1"/>
  <c r="AX43" i="90"/>
  <c r="AX43" i="92" s="1"/>
  <c r="AX38" i="90"/>
  <c r="AX38" i="92" s="1"/>
  <c r="AX10" i="93" s="1"/>
  <c r="AX14" i="93" s="1"/>
  <c r="AX33" i="90"/>
  <c r="AX33" i="92" s="1"/>
  <c r="AX190" i="93" s="1"/>
  <c r="AX19"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02" i="93" s="1"/>
  <c r="Z25" i="27"/>
  <c r="W25" i="27"/>
  <c r="X25" i="27"/>
  <c r="W29" i="26"/>
  <c r="Z29" i="26"/>
  <c r="X29" i="26"/>
  <c r="K25" i="30"/>
  <c r="M28" i="26"/>
  <c r="W26" i="30"/>
  <c r="X26" i="30"/>
  <c r="AN38" i="93"/>
  <c r="AN41" i="93" s="1"/>
  <c r="AN45" i="93" s="1"/>
  <c r="AN152" i="93" s="1"/>
  <c r="AN171" i="93" s="1"/>
  <c r="AN174" i="93" s="1"/>
  <c r="AN202" i="93" s="1"/>
  <c r="BO38" i="93"/>
  <c r="BO41" i="93" s="1"/>
  <c r="AL139" i="93"/>
  <c r="AL38" i="93"/>
  <c r="AL41" i="93" s="1"/>
  <c r="AL45" i="93" s="1"/>
  <c r="AL152" i="93" s="1"/>
  <c r="AL171" i="93" s="1"/>
  <c r="AL174" i="93" s="1"/>
  <c r="AL205"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183"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19" i="96" s="1"/>
  <c r="BR16" i="91"/>
  <c r="BQ7" i="96"/>
  <c r="BQ6" i="93"/>
  <c r="BQ16" i="92"/>
  <c r="BQ11" i="90"/>
  <c r="BQ31" i="92"/>
  <c r="BQ185" i="93"/>
  <c r="BQ16" i="96" s="1"/>
  <c r="BQ186" i="93"/>
  <c r="BQ17" i="96" s="1"/>
  <c r="BQ207" i="93"/>
  <c r="BQ216" i="93"/>
  <c r="BP232" i="93"/>
  <c r="BP228" i="93"/>
  <c r="BP230" i="93"/>
  <c r="BP233" i="93"/>
  <c r="BP231" i="93"/>
  <c r="BP234" i="93"/>
  <c r="BP229" i="93"/>
  <c r="BO56" i="93"/>
  <c r="BO59" i="93" s="1"/>
  <c r="AM119" i="93"/>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11" i="92"/>
  <c r="AV148" i="93" s="1"/>
  <c r="AV149" i="93" s="1"/>
  <c r="AW116" i="93"/>
  <c r="AW72" i="93"/>
  <c r="AW114" i="93"/>
  <c r="AW24" i="93"/>
  <c r="B70" i="83"/>
  <c r="C26" i="27" s="1"/>
  <c r="AI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AI30" i="26" s="1"/>
  <c r="AM139" i="93"/>
  <c r="AM38" i="93"/>
  <c r="AM41" i="93" s="1"/>
  <c r="AM45" i="93" s="1"/>
  <c r="AM152" i="93" s="1"/>
  <c r="AM171" i="93" s="1"/>
  <c r="AO56" i="93"/>
  <c r="AO59" i="93" s="1"/>
  <c r="AO63" i="93" s="1"/>
  <c r="AO156" i="93" s="1"/>
  <c r="AO176" i="93" s="1"/>
  <c r="AO179" i="93" s="1"/>
  <c r="AO214" i="93" s="1"/>
  <c r="AT56" i="93"/>
  <c r="AT59" i="93" s="1"/>
  <c r="AT63" i="93" s="1"/>
  <c r="AT156" i="93" s="1"/>
  <c r="AT176" i="93" s="1"/>
  <c r="AT179" i="93" s="1"/>
  <c r="AU38" i="93"/>
  <c r="AU41" i="93" s="1"/>
  <c r="AU45" i="93" s="1"/>
  <c r="AU152" i="93" s="1"/>
  <c r="AU171" i="93" s="1"/>
  <c r="AU174" i="93" s="1"/>
  <c r="K33" i="93"/>
  <c r="K34" i="93" s="1"/>
  <c r="AO45" i="93"/>
  <c r="AO152" i="93" s="1"/>
  <c r="AO171" i="93" s="1"/>
  <c r="AO174" i="93" s="1"/>
  <c r="AO34" i="93"/>
  <c r="AO139" i="93" s="1"/>
  <c r="AO33" i="93"/>
  <c r="L33" i="93"/>
  <c r="L34" i="93" s="1"/>
  <c r="L139" i="93" s="1"/>
  <c r="K51" i="93"/>
  <c r="K52" i="93" s="1"/>
  <c r="K142" i="93" s="1"/>
  <c r="L94" i="93"/>
  <c r="L91" i="93"/>
  <c r="L87" i="93"/>
  <c r="AQ51" i="93"/>
  <c r="AQ52" i="93" s="1"/>
  <c r="AQ142" i="93" s="1"/>
  <c r="AQ33" i="93"/>
  <c r="AQ34" i="93" s="1"/>
  <c r="AQ139" i="93" s="1"/>
  <c r="L119" i="93"/>
  <c r="L120" i="93"/>
  <c r="L51" i="93"/>
  <c r="L52" i="93" s="1"/>
  <c r="Q33" i="93" l="1"/>
  <c r="Q34" i="93" s="1"/>
  <c r="M186" i="93"/>
  <c r="M230" i="93" s="1"/>
  <c r="X15" i="93"/>
  <c r="X17" i="93" s="1"/>
  <c r="X97" i="93" s="1"/>
  <c r="M210" i="93"/>
  <c r="M216" i="93"/>
  <c r="W31" i="93"/>
  <c r="W32" i="93" s="1"/>
  <c r="W33" i="93" s="1"/>
  <c r="W34" i="93" s="1"/>
  <c r="W139" i="93" s="1"/>
  <c r="M212" i="93"/>
  <c r="M211" i="93"/>
  <c r="M214" i="93"/>
  <c r="M10" i="96"/>
  <c r="M215" i="93"/>
  <c r="K96" i="93"/>
  <c r="V34" i="93"/>
  <c r="V139" i="93" s="1"/>
  <c r="K121" i="93"/>
  <c r="K125" i="93" s="1"/>
  <c r="K128" i="93" s="1"/>
  <c r="K131" i="93" s="1"/>
  <c r="K157" i="93" s="1"/>
  <c r="K177" i="93" s="1"/>
  <c r="AP56" i="93"/>
  <c r="AP59" i="93" s="1"/>
  <c r="AP63" i="93" s="1"/>
  <c r="AP156" i="93" s="1"/>
  <c r="AP176" i="93" s="1"/>
  <c r="AP179" i="93" s="1"/>
  <c r="AP186" i="93" s="1"/>
  <c r="AP233" i="93" s="1"/>
  <c r="V56" i="93"/>
  <c r="V59" i="93" s="1"/>
  <c r="V63" i="93" s="1"/>
  <c r="V156" i="93" s="1"/>
  <c r="V176" i="93" s="1"/>
  <c r="V179" i="93" s="1"/>
  <c r="V215" i="93" s="1"/>
  <c r="T56" i="93"/>
  <c r="T59" i="93" s="1"/>
  <c r="T63" i="93" s="1"/>
  <c r="T156" i="93" s="1"/>
  <c r="T176" i="93" s="1"/>
  <c r="T179" i="93" s="1"/>
  <c r="T10" i="96" s="1"/>
  <c r="S56" i="93"/>
  <c r="S59" i="93" s="1"/>
  <c r="S63" i="93" s="1"/>
  <c r="S156" i="93" s="1"/>
  <c r="S176" i="93" s="1"/>
  <c r="S179" i="93" s="1"/>
  <c r="S210" i="93" s="1"/>
  <c r="U56" i="93"/>
  <c r="U59" i="93" s="1"/>
  <c r="U63" i="93" s="1"/>
  <c r="U156" i="93" s="1"/>
  <c r="U176" i="93" s="1"/>
  <c r="U179" i="93" s="1"/>
  <c r="U214" i="93" s="1"/>
  <c r="AM91" i="93"/>
  <c r="J56" i="93"/>
  <c r="J59" i="93" s="1"/>
  <c r="J63" i="93" s="1"/>
  <c r="J156" i="93" s="1"/>
  <c r="J176" i="93" s="1"/>
  <c r="J179" i="93" s="1"/>
  <c r="J211" i="93" s="1"/>
  <c r="P56" i="93"/>
  <c r="P59" i="93" s="1"/>
  <c r="P63" i="93" s="1"/>
  <c r="P156" i="93" s="1"/>
  <c r="P176" i="93" s="1"/>
  <c r="P179" i="93" s="1"/>
  <c r="P186" i="93" s="1"/>
  <c r="P17" i="96" s="1"/>
  <c r="AS38" i="93"/>
  <c r="AS41" i="93" s="1"/>
  <c r="AS45" i="93" s="1"/>
  <c r="AS152" i="93" s="1"/>
  <c r="AS171" i="93" s="1"/>
  <c r="AS174" i="93" s="1"/>
  <c r="AS185" i="93" s="1"/>
  <c r="AS16" i="96" s="1"/>
  <c r="AM87" i="93"/>
  <c r="N56" i="93"/>
  <c r="N59" i="93" s="1"/>
  <c r="N63" i="93" s="1"/>
  <c r="N156" i="93" s="1"/>
  <c r="N176" i="93" s="1"/>
  <c r="N179" i="93" s="1"/>
  <c r="N215" i="93" s="1"/>
  <c r="AR56" i="93"/>
  <c r="AR59" i="93" s="1"/>
  <c r="AR63" i="93" s="1"/>
  <c r="AR156" i="93" s="1"/>
  <c r="AR176" i="93" s="1"/>
  <c r="AR179" i="93" s="1"/>
  <c r="AR186" i="93" s="1"/>
  <c r="AR17" i="96" s="1"/>
  <c r="R38" i="93"/>
  <c r="R41" i="93" s="1"/>
  <c r="R45" i="93" s="1"/>
  <c r="R152" i="93" s="1"/>
  <c r="R171" i="93" s="1"/>
  <c r="R174" i="93" s="1"/>
  <c r="R204" i="93" s="1"/>
  <c r="W49" i="93"/>
  <c r="W50"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96" i="93" s="1"/>
  <c r="AY49" i="90"/>
  <c r="AY49" i="92" s="1"/>
  <c r="AY60" i="90"/>
  <c r="AY60" i="92" s="1"/>
  <c r="AY130" i="93" s="1"/>
  <c r="AY46" i="90"/>
  <c r="AY46" i="92" s="1"/>
  <c r="AY23" i="93" s="1"/>
  <c r="AY43" i="90"/>
  <c r="AY43" i="92" s="1"/>
  <c r="AY38" i="90"/>
  <c r="AY38" i="92" s="1"/>
  <c r="AY10" i="93" s="1"/>
  <c r="AY14" i="93" s="1"/>
  <c r="AY33" i="90"/>
  <c r="AY33" i="92" s="1"/>
  <c r="AY190" i="93" s="1"/>
  <c r="AY19" i="96" s="1"/>
  <c r="AY47" i="90"/>
  <c r="AY47" i="92" s="1"/>
  <c r="AY45" i="90"/>
  <c r="AY45" i="92" s="1"/>
  <c r="AY22" i="93" s="1"/>
  <c r="AY44" i="90"/>
  <c r="AY44" i="92" s="1"/>
  <c r="AY21" i="93" s="1"/>
  <c r="AY40" i="90"/>
  <c r="AY40" i="92" s="1"/>
  <c r="AY11" i="93" s="1"/>
  <c r="AY31" i="90"/>
  <c r="AY34" i="90"/>
  <c r="AY34" i="92" s="1"/>
  <c r="AY182" i="93" s="1"/>
  <c r="AY183"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96"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19" i="96" s="1"/>
  <c r="AA47" i="90"/>
  <c r="AA47" i="92" s="1"/>
  <c r="AA34" i="90"/>
  <c r="AA34" i="92" s="1"/>
  <c r="AA182" i="93" s="1"/>
  <c r="AA183" i="93" s="1"/>
  <c r="AA31" i="90"/>
  <c r="AA44" i="90"/>
  <c r="AA44" i="92" s="1"/>
  <c r="AA21" i="93" s="1"/>
  <c r="AA40" i="90"/>
  <c r="AA40" i="92" s="1"/>
  <c r="AA11" i="93" s="1"/>
  <c r="AE26" i="27"/>
  <c r="AN207" i="93"/>
  <c r="K56" i="93"/>
  <c r="K59" i="93" s="1"/>
  <c r="K63" i="93" s="1"/>
  <c r="K156" i="93" s="1"/>
  <c r="K176" i="93" s="1"/>
  <c r="M185" i="93"/>
  <c r="M221" i="93" s="1"/>
  <c r="M204" i="93"/>
  <c r="M201" i="93"/>
  <c r="M203" i="93"/>
  <c r="M206" i="93"/>
  <c r="M207" i="93"/>
  <c r="M9" i="96"/>
  <c r="M205" i="93"/>
  <c r="AN206" i="93"/>
  <c r="AN203" i="93"/>
  <c r="AN201" i="93"/>
  <c r="AN9" i="96"/>
  <c r="AN204" i="93"/>
  <c r="AN205" i="93"/>
  <c r="AN185" i="93"/>
  <c r="AN16" i="96" s="1"/>
  <c r="M25" i="27"/>
  <c r="Z30" i="26"/>
  <c r="X30" i="26"/>
  <c r="W30" i="26"/>
  <c r="K26" i="30"/>
  <c r="M29" i="26"/>
  <c r="W27" i="30"/>
  <c r="X27" i="30"/>
  <c r="AD26" i="27"/>
  <c r="X26" i="27"/>
  <c r="Z26" i="27"/>
  <c r="W26" i="27"/>
  <c r="J38" i="93"/>
  <c r="J41" i="93" s="1"/>
  <c r="J45" i="93" s="1"/>
  <c r="J152" i="93" s="1"/>
  <c r="J171" i="93" s="1"/>
  <c r="J174" i="93" s="1"/>
  <c r="BP38" i="93"/>
  <c r="BP41" i="93" s="1"/>
  <c r="AL185" i="93"/>
  <c r="AL16" i="96" s="1"/>
  <c r="AL207" i="93"/>
  <c r="AL9" i="96"/>
  <c r="AL204" i="93"/>
  <c r="AL206" i="93"/>
  <c r="AL202" i="93"/>
  <c r="AL203" i="93"/>
  <c r="AL201" i="93"/>
  <c r="AO212" i="93"/>
  <c r="AO215" i="93"/>
  <c r="AO186" i="93"/>
  <c r="AO17" i="96" s="1"/>
  <c r="AO213" i="93"/>
  <c r="AO211" i="93"/>
  <c r="AO210" i="93"/>
  <c r="AO10" i="96"/>
  <c r="AO216" i="93"/>
  <c r="AT10" i="96"/>
  <c r="AT212" i="93"/>
  <c r="AT216" i="93"/>
  <c r="AT215" i="93"/>
  <c r="AT210" i="93"/>
  <c r="AT214" i="93"/>
  <c r="AT186" i="93"/>
  <c r="AT17" i="96" s="1"/>
  <c r="AT213" i="93"/>
  <c r="AT211" i="93"/>
  <c r="BR7" i="96"/>
  <c r="BR6" i="93"/>
  <c r="BP56" i="93"/>
  <c r="BP59" i="93" s="1"/>
  <c r="BQ11" i="92"/>
  <c r="BQ148" i="93" s="1"/>
  <c r="BQ149" i="93" s="1"/>
  <c r="BQ9" i="93"/>
  <c r="BQ15" i="93" s="1"/>
  <c r="BQ17" i="93" s="1"/>
  <c r="BR16" i="92"/>
  <c r="BR214" i="93"/>
  <c r="BR205" i="93"/>
  <c r="BR186" i="93"/>
  <c r="BR17" i="96" s="1"/>
  <c r="BR185" i="93"/>
  <c r="BR16" i="96" s="1"/>
  <c r="BR216" i="93"/>
  <c r="BR207" i="93"/>
  <c r="BR114" i="93"/>
  <c r="BR24" i="93"/>
  <c r="AO9" i="96"/>
  <c r="AO203" i="93"/>
  <c r="AO207" i="93"/>
  <c r="AO201" i="93"/>
  <c r="AO185" i="93"/>
  <c r="AO16" i="96" s="1"/>
  <c r="AO204" i="93"/>
  <c r="AO205" i="93"/>
  <c r="AO206" i="93"/>
  <c r="AO202" i="93"/>
  <c r="AU9" i="96"/>
  <c r="AU206" i="93"/>
  <c r="AU201" i="93"/>
  <c r="AU204" i="93"/>
  <c r="AU205" i="93"/>
  <c r="AU185" i="93"/>
  <c r="AU16" i="96" s="1"/>
  <c r="AU207" i="93"/>
  <c r="AU203" i="93"/>
  <c r="AU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19" i="96" s="1"/>
  <c r="BS71" i="92"/>
  <c r="BS195" i="93" s="1"/>
  <c r="BS60" i="92"/>
  <c r="BS130" i="93" s="1"/>
  <c r="BS40" i="92"/>
  <c r="BS11" i="93" s="1"/>
  <c r="BS49" i="92"/>
  <c r="BS73" i="92"/>
  <c r="BS197" i="93" s="1"/>
  <c r="BS69" i="92"/>
  <c r="BS193" i="93" s="1"/>
  <c r="BS34" i="92"/>
  <c r="BS182" i="93" s="1"/>
  <c r="BS183"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Z16" i="90"/>
  <c r="Z70" i="93"/>
  <c r="Z20" i="93"/>
  <c r="Z27" i="93"/>
  <c r="Z48" i="93" s="1"/>
  <c r="Z62" i="93"/>
  <c r="AX16" i="92"/>
  <c r="AV97" i="93"/>
  <c r="AV73" i="93"/>
  <c r="AV117" i="93"/>
  <c r="AV120" i="93" s="1"/>
  <c r="AV49" i="93"/>
  <c r="AV31" i="93"/>
  <c r="AV32" i="93" s="1"/>
  <c r="AV33" i="93" s="1"/>
  <c r="AV34" i="93" s="1"/>
  <c r="AV139"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AI31" i="26" s="1"/>
  <c r="Z16" i="92"/>
  <c r="AA17" i="92"/>
  <c r="AX116" i="93"/>
  <c r="AX72" i="93"/>
  <c r="AX11" i="90"/>
  <c r="AX31" i="92"/>
  <c r="B71" i="83"/>
  <c r="C27" i="27" s="1"/>
  <c r="AI27" i="27" s="1"/>
  <c r="AY6" i="93"/>
  <c r="AY7" i="96"/>
  <c r="Y9" i="93"/>
  <c r="Y15" i="93" s="1"/>
  <c r="Y11" i="92"/>
  <c r="Y148" i="93" s="1"/>
  <c r="Y149" i="93" s="1"/>
  <c r="AX24" i="93"/>
  <c r="AX114" i="93"/>
  <c r="Y5" i="93"/>
  <c r="Y5" i="96"/>
  <c r="K139" i="93"/>
  <c r="K38" i="93"/>
  <c r="K41" i="93" s="1"/>
  <c r="K45" i="93" s="1"/>
  <c r="K152" i="93" s="1"/>
  <c r="K171" i="93" s="1"/>
  <c r="K174" i="93" s="1"/>
  <c r="AN56" i="93"/>
  <c r="AN59" i="93" s="1"/>
  <c r="AN63" i="93" s="1"/>
  <c r="AN156" i="93" s="1"/>
  <c r="AN176" i="93" s="1"/>
  <c r="AN179" i="93" s="1"/>
  <c r="AN10" i="96" s="1"/>
  <c r="AM56" i="93"/>
  <c r="AM59" i="93" s="1"/>
  <c r="AM63" i="93" s="1"/>
  <c r="AM156" i="93" s="1"/>
  <c r="AM176" i="93" s="1"/>
  <c r="AL56" i="93"/>
  <c r="AL59" i="93" s="1"/>
  <c r="AL63" i="93" s="1"/>
  <c r="AL156" i="93" s="1"/>
  <c r="AL176" i="93" s="1"/>
  <c r="AL179" i="93" s="1"/>
  <c r="AL214" i="93" s="1"/>
  <c r="AQ56" i="93"/>
  <c r="AQ59" i="93" s="1"/>
  <c r="AQ63" i="93" s="1"/>
  <c r="AQ156" i="93" s="1"/>
  <c r="AQ176" i="93" s="1"/>
  <c r="AQ179" i="93" s="1"/>
  <c r="AQ186" i="93" s="1"/>
  <c r="AQ17" i="96" s="1"/>
  <c r="AS142" i="93"/>
  <c r="AS56" i="93"/>
  <c r="AS59" i="93" s="1"/>
  <c r="AS63" i="93" s="1"/>
  <c r="AS156" i="93" s="1"/>
  <c r="AS176" i="93" s="1"/>
  <c r="AS179" i="93" s="1"/>
  <c r="AQ38" i="93"/>
  <c r="AQ41" i="93" s="1"/>
  <c r="AQ45" i="93" s="1"/>
  <c r="AQ152" i="93" s="1"/>
  <c r="AQ171" i="93" s="1"/>
  <c r="AQ174" i="93" s="1"/>
  <c r="AQ185" i="93" s="1"/>
  <c r="AO38" i="93"/>
  <c r="AO41" i="93" s="1"/>
  <c r="AP38" i="93"/>
  <c r="AP41" i="93" s="1"/>
  <c r="AP45" i="93" s="1"/>
  <c r="AP152" i="93" s="1"/>
  <c r="AP171" i="93" s="1"/>
  <c r="AP174" i="93" s="1"/>
  <c r="AP185" i="93" s="1"/>
  <c r="AT38" i="93"/>
  <c r="AT41" i="93" s="1"/>
  <c r="AT45" i="93" s="1"/>
  <c r="AT152" i="93" s="1"/>
  <c r="AT171" i="93" s="1"/>
  <c r="AT174" i="93" s="1"/>
  <c r="AU142" i="93"/>
  <c r="AU56" i="93"/>
  <c r="AU59" i="93" s="1"/>
  <c r="AU63" i="93" s="1"/>
  <c r="AU156" i="93" s="1"/>
  <c r="AU176" i="93" s="1"/>
  <c r="AU179" i="93" s="1"/>
  <c r="T38" i="93"/>
  <c r="T41" i="93" s="1"/>
  <c r="T45" i="93" s="1"/>
  <c r="T152" i="93" s="1"/>
  <c r="T171" i="93" s="1"/>
  <c r="T174" i="93" s="1"/>
  <c r="S38" i="93"/>
  <c r="S41" i="93" s="1"/>
  <c r="S45" i="93" s="1"/>
  <c r="S152" i="93" s="1"/>
  <c r="S171" i="93" s="1"/>
  <c r="S174" i="93" s="1"/>
  <c r="R56" i="93"/>
  <c r="R59" i="93" s="1"/>
  <c r="R63" i="93" s="1"/>
  <c r="R156" i="93" s="1"/>
  <c r="R176" i="93" s="1"/>
  <c r="R179" i="93" s="1"/>
  <c r="U38" i="93"/>
  <c r="U41" i="93" s="1"/>
  <c r="U45" i="93" s="1"/>
  <c r="U152" i="93" s="1"/>
  <c r="U171" i="93" s="1"/>
  <c r="U174" i="93" s="1"/>
  <c r="L142" i="93"/>
  <c r="L56" i="93"/>
  <c r="L38" i="93"/>
  <c r="Q56" i="93"/>
  <c r="Q59" i="93" s="1"/>
  <c r="Q63" i="93" s="1"/>
  <c r="Q156" i="93" s="1"/>
  <c r="Q176" i="93" s="1"/>
  <c r="Q179" i="93" s="1"/>
  <c r="P38" i="93"/>
  <c r="P41" i="93" s="1"/>
  <c r="P45" i="93" s="1"/>
  <c r="P152" i="93" s="1"/>
  <c r="P171" i="93" s="1"/>
  <c r="P174" i="93" s="1"/>
  <c r="N139" i="93"/>
  <c r="N38" i="93"/>
  <c r="N41" i="93" s="1"/>
  <c r="N45" i="93" s="1"/>
  <c r="N152" i="93" s="1"/>
  <c r="N171" i="93" s="1"/>
  <c r="N174" i="93" s="1"/>
  <c r="L121" i="93"/>
  <c r="L125" i="93" s="1"/>
  <c r="L128" i="93" s="1"/>
  <c r="L131" i="93" s="1"/>
  <c r="L157" i="93" s="1"/>
  <c r="L177" i="93" s="1"/>
  <c r="L96" i="93"/>
  <c r="L98" i="93" s="1"/>
  <c r="L100" i="93" s="1"/>
  <c r="L104" i="93" s="1"/>
  <c r="L107" i="93" s="1"/>
  <c r="L110" i="93" s="1"/>
  <c r="L153" i="93" s="1"/>
  <c r="L172" i="93" s="1"/>
  <c r="X31" i="93" l="1"/>
  <c r="X32" i="93" s="1"/>
  <c r="X33" i="93" s="1"/>
  <c r="X34" i="93" s="1"/>
  <c r="X139" i="93" s="1"/>
  <c r="X49" i="93"/>
  <c r="X50" i="93" s="1"/>
  <c r="M231" i="93"/>
  <c r="Q139" i="93"/>
  <c r="Q38" i="93"/>
  <c r="Q41" i="93" s="1"/>
  <c r="Q45" i="93" s="1"/>
  <c r="Q152" i="93" s="1"/>
  <c r="Q171" i="93" s="1"/>
  <c r="Q174" i="93" s="1"/>
  <c r="Q202" i="93" s="1"/>
  <c r="M229" i="93"/>
  <c r="M232" i="93"/>
  <c r="M234" i="93"/>
  <c r="X73" i="93"/>
  <c r="X117" i="93"/>
  <c r="X120" i="93" s="1"/>
  <c r="M228" i="93"/>
  <c r="M17" i="96"/>
  <c r="M233" i="93"/>
  <c r="L45" i="93"/>
  <c r="L152" i="93" s="1"/>
  <c r="L171" i="93" s="1"/>
  <c r="L174" i="93" s="1"/>
  <c r="L9" i="96" s="1"/>
  <c r="L41" i="93"/>
  <c r="AP215" i="93"/>
  <c r="AP211" i="93"/>
  <c r="AP214" i="93"/>
  <c r="AP212" i="93"/>
  <c r="AP210" i="93"/>
  <c r="AP231" i="93"/>
  <c r="AP232" i="93"/>
  <c r="AP234" i="93"/>
  <c r="AP17" i="96"/>
  <c r="AP213" i="93"/>
  <c r="AP228" i="93"/>
  <c r="AP216" i="93"/>
  <c r="AP10" i="96"/>
  <c r="AP229" i="93"/>
  <c r="AP230" i="93"/>
  <c r="AM96" i="93"/>
  <c r="AM98" i="93" s="1"/>
  <c r="AM100" i="93" s="1"/>
  <c r="AM104" i="93" s="1"/>
  <c r="AM107" i="93" s="1"/>
  <c r="AM110" i="93" s="1"/>
  <c r="AM153" i="93" s="1"/>
  <c r="AM172" i="93" s="1"/>
  <c r="AM174" i="93" s="1"/>
  <c r="AM204" i="93" s="1"/>
  <c r="W38" i="93"/>
  <c r="W41" i="93" s="1"/>
  <c r="W45" i="93" s="1"/>
  <c r="W152" i="93" s="1"/>
  <c r="W171" i="93" s="1"/>
  <c r="W174" i="93" s="1"/>
  <c r="W201" i="93" s="1"/>
  <c r="S214" i="93"/>
  <c r="L59" i="93"/>
  <c r="L63" i="93" s="1"/>
  <c r="L156" i="93" s="1"/>
  <c r="L176" i="93" s="1"/>
  <c r="L179" i="93" s="1"/>
  <c r="L213" i="93" s="1"/>
  <c r="V38" i="93"/>
  <c r="V41" i="93" s="1"/>
  <c r="V45" i="93" s="1"/>
  <c r="V152" i="93" s="1"/>
  <c r="V171" i="93" s="1"/>
  <c r="V174" i="93" s="1"/>
  <c r="V203" i="93" s="1"/>
  <c r="U210" i="93"/>
  <c r="T214" i="93"/>
  <c r="T216" i="93"/>
  <c r="T215" i="93"/>
  <c r="T186" i="93"/>
  <c r="T17" i="96" s="1"/>
  <c r="T213" i="93"/>
  <c r="T212" i="93"/>
  <c r="T211" i="93"/>
  <c r="T210" i="93"/>
  <c r="K179" i="93"/>
  <c r="K10" i="96" s="1"/>
  <c r="V216" i="93"/>
  <c r="V214" i="93"/>
  <c r="V186" i="93"/>
  <c r="V17" i="96" s="1"/>
  <c r="V212" i="93"/>
  <c r="V211" i="93"/>
  <c r="V210" i="93"/>
  <c r="V10" i="96"/>
  <c r="V213" i="93"/>
  <c r="AR210" i="93"/>
  <c r="AR216" i="93"/>
  <c r="AR213" i="93"/>
  <c r="AR215" i="93"/>
  <c r="S212" i="93"/>
  <c r="S216" i="93"/>
  <c r="AR211" i="93"/>
  <c r="AR212" i="93"/>
  <c r="AR10" i="96"/>
  <c r="S213" i="93"/>
  <c r="S215" i="93"/>
  <c r="S211" i="93"/>
  <c r="S10" i="96"/>
  <c r="AR214" i="93"/>
  <c r="S186" i="93"/>
  <c r="S17" i="96" s="1"/>
  <c r="AS9" i="96"/>
  <c r="U215" i="93"/>
  <c r="J213" i="93"/>
  <c r="J10" i="96"/>
  <c r="AS223" i="93"/>
  <c r="U216" i="93"/>
  <c r="U213" i="93"/>
  <c r="AS225" i="93"/>
  <c r="U211" i="93"/>
  <c r="U186" i="93"/>
  <c r="U233" i="93" s="1"/>
  <c r="AS219" i="93"/>
  <c r="AS207" i="93"/>
  <c r="U212" i="93"/>
  <c r="U10" i="96"/>
  <c r="J215" i="93"/>
  <c r="J214" i="93"/>
  <c r="J216" i="93"/>
  <c r="J186" i="93"/>
  <c r="J17" i="96" s="1"/>
  <c r="J210" i="93"/>
  <c r="J212" i="93"/>
  <c r="R205" i="93"/>
  <c r="R206" i="93"/>
  <c r="R202" i="93"/>
  <c r="R9" i="96"/>
  <c r="R203" i="93"/>
  <c r="R185" i="93"/>
  <c r="R16" i="96" s="1"/>
  <c r="R201" i="93"/>
  <c r="R207" i="93"/>
  <c r="P213" i="93"/>
  <c r="P210" i="93"/>
  <c r="P212" i="93"/>
  <c r="P215" i="93"/>
  <c r="P214" i="93"/>
  <c r="P211" i="93"/>
  <c r="P216" i="93"/>
  <c r="P10" i="96"/>
  <c r="AS204" i="93"/>
  <c r="AS201" i="93"/>
  <c r="AS222" i="93"/>
  <c r="AS202" i="93"/>
  <c r="AS221" i="93"/>
  <c r="AS205" i="93"/>
  <c r="AS220" i="93"/>
  <c r="AS203" i="93"/>
  <c r="AS224" i="93"/>
  <c r="AS206" i="93"/>
  <c r="N186" i="93"/>
  <c r="N17" i="96" s="1"/>
  <c r="N214" i="93"/>
  <c r="N210" i="93"/>
  <c r="N213" i="93"/>
  <c r="N10" i="96"/>
  <c r="N211" i="93"/>
  <c r="N216" i="93"/>
  <c r="N212" i="93"/>
  <c r="W51" i="93"/>
  <c r="W52" i="93" s="1"/>
  <c r="W142" i="93" s="1"/>
  <c r="AW17" i="93"/>
  <c r="AW97" i="93" s="1"/>
  <c r="Y17" i="93"/>
  <c r="Y73" i="93" s="1"/>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96"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19" i="96" s="1"/>
  <c r="AB47" i="90"/>
  <c r="AB47" i="92" s="1"/>
  <c r="AB44" i="90"/>
  <c r="AB44" i="92" s="1"/>
  <c r="AB21" i="93" s="1"/>
  <c r="AB40" i="90"/>
  <c r="AB40" i="92" s="1"/>
  <c r="AB11" i="93" s="1"/>
  <c r="AB34" i="90"/>
  <c r="AB34" i="92" s="1"/>
  <c r="AB182" i="93" s="1"/>
  <c r="AB183"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96"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19" i="96" s="1"/>
  <c r="AZ45" i="90"/>
  <c r="AZ45" i="92" s="1"/>
  <c r="AZ22" i="93" s="1"/>
  <c r="AZ44" i="90"/>
  <c r="AZ44" i="92" s="1"/>
  <c r="AZ21" i="93" s="1"/>
  <c r="AZ40" i="90"/>
  <c r="AZ40" i="92" s="1"/>
  <c r="AZ11" i="93" s="1"/>
  <c r="AZ34" i="90"/>
  <c r="AZ34" i="92" s="1"/>
  <c r="AZ182" i="93" s="1"/>
  <c r="AZ183" i="93" s="1"/>
  <c r="AZ31" i="90"/>
  <c r="AE27" i="27"/>
  <c r="AP225" i="93"/>
  <c r="AP219" i="93"/>
  <c r="AP224" i="93"/>
  <c r="AP221" i="93"/>
  <c r="AP16" i="96"/>
  <c r="AP222" i="93"/>
  <c r="AP223" i="93"/>
  <c r="AP220" i="93"/>
  <c r="AP9" i="96"/>
  <c r="AP204" i="93"/>
  <c r="AP201" i="93"/>
  <c r="AP206" i="93"/>
  <c r="AP207" i="93"/>
  <c r="AP205" i="93"/>
  <c r="AP203" i="93"/>
  <c r="AP202" i="93"/>
  <c r="N26" i="27"/>
  <c r="M225" i="93"/>
  <c r="M220" i="93"/>
  <c r="M219" i="93"/>
  <c r="M224" i="93"/>
  <c r="M223" i="93"/>
  <c r="M16" i="96"/>
  <c r="M222" i="93"/>
  <c r="AN225" i="93"/>
  <c r="AN224" i="93"/>
  <c r="AN223" i="93"/>
  <c r="AN221" i="93"/>
  <c r="AN222" i="93"/>
  <c r="AN220" i="93"/>
  <c r="AN219" i="93"/>
  <c r="AL223" i="93"/>
  <c r="AN212" i="93"/>
  <c r="AN214" i="93"/>
  <c r="AN186" i="93"/>
  <c r="AN17" i="96" s="1"/>
  <c r="AN215" i="93"/>
  <c r="AN213" i="93"/>
  <c r="AN216" i="93"/>
  <c r="AN211" i="93"/>
  <c r="AN210" i="93"/>
  <c r="M26" i="27"/>
  <c r="X31" i="26"/>
  <c r="W31" i="26"/>
  <c r="Z31" i="26"/>
  <c r="Z27" i="27"/>
  <c r="X27" i="27"/>
  <c r="AD27" i="27"/>
  <c r="W27" i="27"/>
  <c r="K27" i="30"/>
  <c r="W28" i="30"/>
  <c r="X28" i="30"/>
  <c r="M30" i="26"/>
  <c r="J9" i="96"/>
  <c r="J204" i="93"/>
  <c r="J203" i="93"/>
  <c r="J201" i="93"/>
  <c r="J205" i="93"/>
  <c r="J207" i="93"/>
  <c r="J202" i="93"/>
  <c r="J185" i="93"/>
  <c r="J206" i="93"/>
  <c r="H26" i="27"/>
  <c r="AQ212" i="93"/>
  <c r="AQ213" i="93"/>
  <c r="AQ234" i="93"/>
  <c r="AQ230" i="93"/>
  <c r="AQ215" i="93"/>
  <c r="AQ214" i="93"/>
  <c r="AQ231" i="93"/>
  <c r="AQ232" i="93"/>
  <c r="AQ216" i="93"/>
  <c r="AQ10" i="96"/>
  <c r="AQ229" i="93"/>
  <c r="AQ228" i="93"/>
  <c r="AQ211" i="93"/>
  <c r="AQ210" i="93"/>
  <c r="AQ233" i="93"/>
  <c r="AL225" i="93"/>
  <c r="AQ219" i="93"/>
  <c r="AQ16" i="96"/>
  <c r="AQ221" i="93"/>
  <c r="AQ220" i="93"/>
  <c r="AQ223" i="93"/>
  <c r="AQ225" i="93"/>
  <c r="AQ224" i="93"/>
  <c r="AQ222" i="93"/>
  <c r="AL221" i="93"/>
  <c r="AL219" i="93"/>
  <c r="AO232" i="93"/>
  <c r="AL222" i="93"/>
  <c r="AO230" i="93"/>
  <c r="AO229" i="93"/>
  <c r="AO228" i="93"/>
  <c r="AO231" i="93"/>
  <c r="AO233" i="93"/>
  <c r="AO234" i="93"/>
  <c r="AV50" i="93"/>
  <c r="AV51" i="93" s="1"/>
  <c r="AV52" i="93" s="1"/>
  <c r="AL224" i="93"/>
  <c r="AL220" i="93"/>
  <c r="AL212" i="93"/>
  <c r="AL211" i="93"/>
  <c r="AL210" i="93"/>
  <c r="AL215" i="93"/>
  <c r="AL10" i="96"/>
  <c r="AL186" i="93"/>
  <c r="AL17" i="96" s="1"/>
  <c r="AL213" i="93"/>
  <c r="AL216" i="93"/>
  <c r="AS10" i="96"/>
  <c r="AS186" i="93"/>
  <c r="AS17" i="96" s="1"/>
  <c r="AS215" i="93"/>
  <c r="AS216" i="93"/>
  <c r="AS214" i="93"/>
  <c r="AS213" i="93"/>
  <c r="AS210" i="93"/>
  <c r="AS212" i="93"/>
  <c r="AS211" i="93"/>
  <c r="U9" i="96"/>
  <c r="U206" i="93"/>
  <c r="U203" i="93"/>
  <c r="U205" i="93"/>
  <c r="U207" i="93"/>
  <c r="U204" i="93"/>
  <c r="U185" i="93"/>
  <c r="U16" i="96" s="1"/>
  <c r="U201" i="93"/>
  <c r="U202" i="93"/>
  <c r="R10" i="96"/>
  <c r="R216" i="93"/>
  <c r="R210" i="93"/>
  <c r="R215" i="93"/>
  <c r="R186" i="93"/>
  <c r="R17" i="96" s="1"/>
  <c r="R214" i="93"/>
  <c r="R213" i="93"/>
  <c r="R212" i="93"/>
  <c r="R211" i="93"/>
  <c r="P9" i="96"/>
  <c r="P202" i="93"/>
  <c r="P205" i="93"/>
  <c r="P204" i="93"/>
  <c r="P206" i="93"/>
  <c r="P201" i="93"/>
  <c r="P185" i="93"/>
  <c r="P16" i="96" s="1"/>
  <c r="P207" i="93"/>
  <c r="P203" i="93"/>
  <c r="S9" i="96"/>
  <c r="S204" i="93"/>
  <c r="S207" i="93"/>
  <c r="S205" i="93"/>
  <c r="S201" i="93"/>
  <c r="S185" i="93"/>
  <c r="S16" i="96" s="1"/>
  <c r="S206" i="93"/>
  <c r="S203" i="93"/>
  <c r="S202" i="93"/>
  <c r="AQ9" i="96"/>
  <c r="AQ207" i="93"/>
  <c r="AQ203" i="93"/>
  <c r="AQ205" i="93"/>
  <c r="AQ204" i="93"/>
  <c r="AQ201" i="93"/>
  <c r="AQ206" i="93"/>
  <c r="AQ202" i="93"/>
  <c r="K9" i="96"/>
  <c r="K202" i="93"/>
  <c r="K201" i="93"/>
  <c r="K203" i="93"/>
  <c r="K207" i="93"/>
  <c r="K204" i="93"/>
  <c r="K185" i="93"/>
  <c r="K16" i="96" s="1"/>
  <c r="K206" i="93"/>
  <c r="K205" i="93"/>
  <c r="BS7" i="96"/>
  <c r="BS6" i="93"/>
  <c r="BS16" i="92"/>
  <c r="BS215" i="93"/>
  <c r="BS206" i="93"/>
  <c r="BS214" i="93"/>
  <c r="BS205" i="93"/>
  <c r="BS216" i="93"/>
  <c r="BS207" i="93"/>
  <c r="BQ56" i="93"/>
  <c r="BQ59" i="93" s="1"/>
  <c r="AU219" i="93"/>
  <c r="AU224" i="93"/>
  <c r="AU221" i="93"/>
  <c r="AU225" i="93"/>
  <c r="AU223" i="93"/>
  <c r="AU220" i="93"/>
  <c r="AU222" i="93"/>
  <c r="BR223" i="93"/>
  <c r="BR219" i="93"/>
  <c r="BR220" i="93"/>
  <c r="BR222" i="93"/>
  <c r="BR221" i="93"/>
  <c r="BR225" i="93"/>
  <c r="BR224" i="93"/>
  <c r="BR5" i="96"/>
  <c r="BR5" i="93"/>
  <c r="AT228" i="93"/>
  <c r="AT234" i="93"/>
  <c r="AT230" i="93"/>
  <c r="AT229" i="93"/>
  <c r="AT232" i="93"/>
  <c r="AT233" i="93"/>
  <c r="AT231" i="93"/>
  <c r="T9" i="96"/>
  <c r="T207" i="93"/>
  <c r="T206" i="93"/>
  <c r="T204" i="93"/>
  <c r="T205" i="93"/>
  <c r="T201" i="93"/>
  <c r="T185" i="93"/>
  <c r="T16" i="96" s="1"/>
  <c r="T203" i="93"/>
  <c r="T202" i="93"/>
  <c r="AR9" i="96"/>
  <c r="AR185" i="93"/>
  <c r="AR16" i="96" s="1"/>
  <c r="AR203" i="93"/>
  <c r="AR204" i="93"/>
  <c r="AR207" i="93"/>
  <c r="AR205" i="93"/>
  <c r="AR206" i="93"/>
  <c r="AR201" i="93"/>
  <c r="AR202" i="93"/>
  <c r="AM179" i="93"/>
  <c r="BS62" i="93"/>
  <c r="BS27" i="93"/>
  <c r="BS48" i="93" s="1"/>
  <c r="BS49" i="93" s="1"/>
  <c r="BS50" i="93" s="1"/>
  <c r="BS26" i="93"/>
  <c r="BS30" i="93" s="1"/>
  <c r="BS31" i="93" s="1"/>
  <c r="BS32" i="93" s="1"/>
  <c r="BS44" i="93"/>
  <c r="BS204" i="93"/>
  <c r="BS213" i="93"/>
  <c r="BS116" i="93"/>
  <c r="BS72" i="93"/>
  <c r="BS70" i="93"/>
  <c r="BS20" i="93"/>
  <c r="BS114" i="93"/>
  <c r="BS24" i="93"/>
  <c r="BQ38" i="93"/>
  <c r="BQ41" i="93" s="1"/>
  <c r="AR228" i="93"/>
  <c r="AR231" i="93"/>
  <c r="AR234" i="93"/>
  <c r="AR230" i="93"/>
  <c r="AR229" i="93"/>
  <c r="AR233" i="93"/>
  <c r="AR232" i="93"/>
  <c r="BR231" i="93"/>
  <c r="BR230" i="93"/>
  <c r="BR229" i="93"/>
  <c r="BR234" i="93"/>
  <c r="BR228" i="93"/>
  <c r="BR232" i="93"/>
  <c r="BR233" i="93"/>
  <c r="Q10" i="96"/>
  <c r="Q211" i="93"/>
  <c r="Q214" i="93"/>
  <c r="Q215" i="93"/>
  <c r="Q216" i="93"/>
  <c r="Q186" i="93"/>
  <c r="Q17" i="96" s="1"/>
  <c r="Q213" i="93"/>
  <c r="Q210" i="93"/>
  <c r="Q212" i="93"/>
  <c r="BR33" i="93"/>
  <c r="BR45" i="93"/>
  <c r="BR152" i="93" s="1"/>
  <c r="BR34" i="93"/>
  <c r="BR139" i="93" s="1"/>
  <c r="BS185" i="93"/>
  <c r="BS16" i="96" s="1"/>
  <c r="BS186" i="93"/>
  <c r="BS17" i="96" s="1"/>
  <c r="BS11" i="90"/>
  <c r="BS31" i="92"/>
  <c r="BQ97" i="93"/>
  <c r="BQ117" i="93"/>
  <c r="BQ120" i="93" s="1"/>
  <c r="BQ73" i="93"/>
  <c r="AT9" i="96"/>
  <c r="AT207" i="93"/>
  <c r="AT204" i="93"/>
  <c r="AT185" i="93"/>
  <c r="AT16" i="96" s="1"/>
  <c r="AT205" i="93"/>
  <c r="AT206" i="93"/>
  <c r="AT203" i="93"/>
  <c r="AT201" i="93"/>
  <c r="AT202" i="93"/>
  <c r="N9" i="96"/>
  <c r="N204" i="93"/>
  <c r="N207" i="93"/>
  <c r="N185" i="93"/>
  <c r="N16" i="96" s="1"/>
  <c r="N202" i="93"/>
  <c r="N201" i="93"/>
  <c r="N205" i="93"/>
  <c r="N206" i="93"/>
  <c r="N203" i="93"/>
  <c r="AU10" i="96"/>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P229" i="93"/>
  <c r="P230" i="93"/>
  <c r="P232" i="93"/>
  <c r="P233" i="93"/>
  <c r="P231" i="93"/>
  <c r="P228" i="93"/>
  <c r="P234" i="93"/>
  <c r="AZ17" i="90"/>
  <c r="AZ17" i="91" s="1"/>
  <c r="AZ17" i="92" s="1"/>
  <c r="BA16" i="90"/>
  <c r="BA17" i="90"/>
  <c r="BA17" i="91" s="1"/>
  <c r="BA17" i="92" s="1"/>
  <c r="AV38" i="93"/>
  <c r="AV41" i="93" s="1"/>
  <c r="AV45" i="93" s="1"/>
  <c r="AV152" i="93" s="1"/>
  <c r="AV171" i="93" s="1"/>
  <c r="AV174" i="93" s="1"/>
  <c r="AA5" i="93"/>
  <c r="AA5" i="96"/>
  <c r="AA116" i="93"/>
  <c r="AA72" i="93"/>
  <c r="B72" i="83"/>
  <c r="C28" i="27" s="1"/>
  <c r="AI28" i="27" s="1"/>
  <c r="B46" i="83"/>
  <c r="C32" i="26" s="1"/>
  <c r="AI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Q207" i="93" l="1"/>
  <c r="Q9" i="96"/>
  <c r="Q204" i="93"/>
  <c r="Q203" i="93"/>
  <c r="Q205" i="93"/>
  <c r="Q206" i="93"/>
  <c r="Q201" i="93"/>
  <c r="Q185" i="93"/>
  <c r="Q225" i="93" s="1"/>
  <c r="H21" i="26"/>
  <c r="AE21" i="26" s="1"/>
  <c r="H20" i="26"/>
  <c r="H19" i="26"/>
  <c r="AM185" i="93"/>
  <c r="AM16" i="96" s="1"/>
  <c r="W206" i="93"/>
  <c r="W185" i="93"/>
  <c r="W16" i="96" s="1"/>
  <c r="K186" i="93"/>
  <c r="K17" i="96" s="1"/>
  <c r="W207" i="93"/>
  <c r="AM206" i="93"/>
  <c r="AM205" i="93"/>
  <c r="AM9" i="96"/>
  <c r="AM202" i="93"/>
  <c r="AM201" i="93"/>
  <c r="AM207" i="93"/>
  <c r="AM203" i="93"/>
  <c r="W203" i="93"/>
  <c r="W204" i="93"/>
  <c r="W9" i="96"/>
  <c r="W205" i="93"/>
  <c r="W202" i="93"/>
  <c r="K214" i="93"/>
  <c r="V206" i="93"/>
  <c r="V205" i="93"/>
  <c r="V201" i="93"/>
  <c r="V185" i="93"/>
  <c r="V16" i="96" s="1"/>
  <c r="S228" i="93"/>
  <c r="V207" i="93"/>
  <c r="V202" i="93"/>
  <c r="V9" i="96"/>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Y49" i="93"/>
  <c r="Y50" i="93" s="1"/>
  <c r="Y51" i="93" s="1"/>
  <c r="Y52" i="93" s="1"/>
  <c r="Y142" i="93" s="1"/>
  <c r="W56" i="93"/>
  <c r="W59" i="93" s="1"/>
  <c r="W63" i="93" s="1"/>
  <c r="W156" i="93" s="1"/>
  <c r="W176" i="93" s="1"/>
  <c r="W179" i="93" s="1"/>
  <c r="W186" i="93" s="1"/>
  <c r="AW49" i="93"/>
  <c r="AW50" i="93" s="1"/>
  <c r="AW51" i="93" s="1"/>
  <c r="AW52" i="93" s="1"/>
  <c r="AW142" i="93" s="1"/>
  <c r="AW31" i="93"/>
  <c r="AW32" i="93" s="1"/>
  <c r="AW33" i="93" s="1"/>
  <c r="AW34" i="93" s="1"/>
  <c r="AW139" i="93" s="1"/>
  <c r="Y31" i="93"/>
  <c r="Y32" i="93" s="1"/>
  <c r="Y33" i="93" s="1"/>
  <c r="Y34" i="93" s="1"/>
  <c r="Y139" i="93" s="1"/>
  <c r="Y117" i="93"/>
  <c r="Y120" i="93" s="1"/>
  <c r="Y97" i="93"/>
  <c r="Z17" i="93"/>
  <c r="Z73" i="93" s="1"/>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96"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183" i="93" s="1"/>
  <c r="BA31" i="90"/>
  <c r="BA43" i="90"/>
  <c r="BA43" i="92" s="1"/>
  <c r="BA38" i="90"/>
  <c r="BA38" i="92" s="1"/>
  <c r="BA10" i="93" s="1"/>
  <c r="BA14" i="93" s="1"/>
  <c r="BA33" i="90"/>
  <c r="BA33" i="92" s="1"/>
  <c r="BA190" i="93" s="1"/>
  <c r="BA19"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96"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183" i="93" s="1"/>
  <c r="AC33" i="90"/>
  <c r="AC33" i="92" s="1"/>
  <c r="AC190" i="93" s="1"/>
  <c r="AC19"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J225" i="93"/>
  <c r="J220" i="93"/>
  <c r="J221" i="93"/>
  <c r="J222" i="93"/>
  <c r="J219" i="93"/>
  <c r="J223" i="93"/>
  <c r="J224" i="93"/>
  <c r="H27" i="27"/>
  <c r="L214" i="93"/>
  <c r="L186" i="93"/>
  <c r="L17" i="96" s="1"/>
  <c r="L212" i="93"/>
  <c r="L216" i="93"/>
  <c r="L211" i="93"/>
  <c r="L210" i="93"/>
  <c r="L10" i="96"/>
  <c r="L215" i="93"/>
  <c r="L203" i="93"/>
  <c r="X51" i="93"/>
  <c r="X52" i="93" s="1"/>
  <c r="X142" i="93" s="1"/>
  <c r="L185" i="93"/>
  <c r="L16" i="96" s="1"/>
  <c r="AV142" i="93"/>
  <c r="AV56" i="93"/>
  <c r="AV59" i="93" s="1"/>
  <c r="AV63" i="93" s="1"/>
  <c r="AV156" i="93" s="1"/>
  <c r="AV176" i="93" s="1"/>
  <c r="AV179" i="93" s="1"/>
  <c r="AV211" i="93" s="1"/>
  <c r="AL230" i="93"/>
  <c r="AL229" i="93"/>
  <c r="AL231" i="93"/>
  <c r="AL233" i="93"/>
  <c r="AL228" i="93"/>
  <c r="AL234" i="93"/>
  <c r="AL232" i="93"/>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H13" i="26"/>
  <c r="AE13" i="26" s="1"/>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H15" i="26"/>
  <c r="AE15" i="26" s="1"/>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9" i="96"/>
  <c r="AV202" i="93"/>
  <c r="AV205" i="93"/>
  <c r="AV207" i="93"/>
  <c r="AV185" i="93"/>
  <c r="AV16" i="96" s="1"/>
  <c r="AV203" i="93"/>
  <c r="AV204" i="93"/>
  <c r="AV206" i="93"/>
  <c r="AV201" i="93"/>
  <c r="BR56" i="93"/>
  <c r="BR59" i="93" s="1"/>
  <c r="BS233" i="93"/>
  <c r="BS228" i="93"/>
  <c r="BS234" i="93"/>
  <c r="BS232" i="93"/>
  <c r="BS230" i="93"/>
  <c r="BS229" i="93"/>
  <c r="BS231" i="93"/>
  <c r="AM10" i="96"/>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X185" i="93" s="1"/>
  <c r="AZ114" i="93"/>
  <c r="AZ24" i="93"/>
  <c r="AY5" i="93"/>
  <c r="AY5" i="96"/>
  <c r="AB16" i="92"/>
  <c r="AB114" i="93"/>
  <c r="AB24" i="93"/>
  <c r="AZ70" i="93"/>
  <c r="AZ20" i="93"/>
  <c r="AA11" i="92"/>
  <c r="AA148" i="93" s="1"/>
  <c r="AA149" i="93" s="1"/>
  <c r="AA9" i="93"/>
  <c r="AA15" i="93" s="1"/>
  <c r="AY9" i="93"/>
  <c r="AY15" i="93" s="1"/>
  <c r="AY17" i="93" s="1"/>
  <c r="AY11" i="92"/>
  <c r="AY148" i="93" s="1"/>
  <c r="AY149" i="93" s="1"/>
  <c r="AZ26" i="93"/>
  <c r="AZ30" i="93" s="1"/>
  <c r="AZ44" i="93"/>
  <c r="AZ27" i="93"/>
  <c r="AZ48" i="93" s="1"/>
  <c r="AZ62" i="93"/>
  <c r="B93" i="83"/>
  <c r="C30" i="30" s="1"/>
  <c r="AI30" i="30" s="1"/>
  <c r="B47" i="83"/>
  <c r="C33" i="26" s="1"/>
  <c r="AI33" i="26" s="1"/>
  <c r="AX49" i="93"/>
  <c r="AX50" i="93" s="1"/>
  <c r="AX117" i="93"/>
  <c r="AX120" i="93" s="1"/>
  <c r="AX97" i="93"/>
  <c r="AX73" i="93"/>
  <c r="AZ16" i="92"/>
  <c r="AZ116" i="93"/>
  <c r="AZ72" i="93"/>
  <c r="AB31" i="92"/>
  <c r="AB11" i="90"/>
  <c r="AB26" i="93"/>
  <c r="AB30" i="93" s="1"/>
  <c r="AB44" i="93"/>
  <c r="AX31" i="93"/>
  <c r="AX32" i="93" s="1"/>
  <c r="B73" i="83"/>
  <c r="AC6" i="93"/>
  <c r="AC7" i="96"/>
  <c r="AZ31" i="92"/>
  <c r="AZ11" i="90"/>
  <c r="AC16" i="91"/>
  <c r="AC7" i="92"/>
  <c r="AC7" i="93" s="1"/>
  <c r="AZ185" i="93"/>
  <c r="AZ16" i="96" s="1"/>
  <c r="AZ186" i="93"/>
  <c r="AZ17" i="96" s="1"/>
  <c r="AB27" i="93"/>
  <c r="AB48" i="93" s="1"/>
  <c r="AB62" i="93"/>
  <c r="AB116" i="93"/>
  <c r="AB72" i="93"/>
  <c r="AB20" i="93"/>
  <c r="AB70" i="93"/>
  <c r="AD16" i="90"/>
  <c r="AD17" i="90"/>
  <c r="AD17" i="91" s="1"/>
  <c r="AE19" i="26" l="1"/>
  <c r="AE20" i="26"/>
  <c r="Q221" i="93"/>
  <c r="Q222" i="93"/>
  <c r="Q224" i="93"/>
  <c r="Q220" i="93"/>
  <c r="Q223" i="93"/>
  <c r="W219" i="93"/>
  <c r="Q219" i="93"/>
  <c r="Q16" i="96"/>
  <c r="H16" i="26" s="1"/>
  <c r="K232" i="93"/>
  <c r="AM222" i="93"/>
  <c r="AM224" i="93"/>
  <c r="AM220" i="93"/>
  <c r="AM221" i="93"/>
  <c r="W224" i="93"/>
  <c r="W223" i="93"/>
  <c r="W225" i="93"/>
  <c r="W221" i="93"/>
  <c r="W222" i="93"/>
  <c r="W220" i="93"/>
  <c r="AM219" i="93"/>
  <c r="AM225" i="93"/>
  <c r="AM223" i="93"/>
  <c r="H23" i="26"/>
  <c r="H22" i="26"/>
  <c r="K234" i="93"/>
  <c r="K231" i="93"/>
  <c r="K229" i="93"/>
  <c r="K230" i="93"/>
  <c r="K233" i="93"/>
  <c r="K228" i="93"/>
  <c r="V221" i="93"/>
  <c r="V225" i="93"/>
  <c r="V222" i="93"/>
  <c r="V219" i="93"/>
  <c r="V220" i="93"/>
  <c r="V223" i="93"/>
  <c r="V224" i="93"/>
  <c r="AD20" i="26"/>
  <c r="AD21" i="26"/>
  <c r="N21" i="26" s="1"/>
  <c r="Y38" i="93"/>
  <c r="Y41" i="93" s="1"/>
  <c r="Y45" i="93" s="1"/>
  <c r="Y152" i="93" s="1"/>
  <c r="Y171" i="93" s="1"/>
  <c r="Y174" i="93" s="1"/>
  <c r="Y185" i="93" s="1"/>
  <c r="Y222" i="93" s="1"/>
  <c r="W215" i="93"/>
  <c r="AW38" i="93"/>
  <c r="AW41" i="93" s="1"/>
  <c r="AW45" i="93" s="1"/>
  <c r="AW152" i="93" s="1"/>
  <c r="AW171" i="93" s="1"/>
  <c r="AW174" i="93" s="1"/>
  <c r="AW204" i="93" s="1"/>
  <c r="W10" i="96"/>
  <c r="W210" i="93"/>
  <c r="W211" i="93"/>
  <c r="W17" i="96"/>
  <c r="H24" i="26" s="1"/>
  <c r="W234" i="93"/>
  <c r="W228" i="93"/>
  <c r="W229" i="93"/>
  <c r="W230" i="93"/>
  <c r="W231" i="93"/>
  <c r="W233" i="93"/>
  <c r="W232" i="93"/>
  <c r="W212" i="93"/>
  <c r="W216" i="93"/>
  <c r="W214" i="93"/>
  <c r="W213" i="93"/>
  <c r="Z31" i="93"/>
  <c r="Z32" i="93" s="1"/>
  <c r="Z33" i="93" s="1"/>
  <c r="Z34" i="93" s="1"/>
  <c r="Z139" i="93" s="1"/>
  <c r="Z97" i="93"/>
  <c r="Z49" i="93"/>
  <c r="Z50" i="93" s="1"/>
  <c r="Z51" i="93" s="1"/>
  <c r="Z52" i="93" s="1"/>
  <c r="Z142" i="93" s="1"/>
  <c r="Z117" i="93"/>
  <c r="Z120" i="93" s="1"/>
  <c r="AA17" i="93"/>
  <c r="AA117" i="93" s="1"/>
  <c r="AA120" i="93" s="1"/>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96" i="93" s="1"/>
  <c r="AD49" i="90"/>
  <c r="AD49" i="92" s="1"/>
  <c r="AD44" i="90"/>
  <c r="AD44" i="92" s="1"/>
  <c r="AD21" i="93" s="1"/>
  <c r="AD40" i="90"/>
  <c r="AD40" i="92" s="1"/>
  <c r="AD11" i="93" s="1"/>
  <c r="AD34" i="90"/>
  <c r="AD34" i="92" s="1"/>
  <c r="AD182" i="93" s="1"/>
  <c r="AD183" i="93" s="1"/>
  <c r="AD31" i="90"/>
  <c r="AD46" i="90"/>
  <c r="AD46" i="92" s="1"/>
  <c r="AD23" i="93" s="1"/>
  <c r="AD45" i="90"/>
  <c r="AD45" i="92" s="1"/>
  <c r="AD22" i="93" s="1"/>
  <c r="AD43" i="90"/>
  <c r="AD43" i="92" s="1"/>
  <c r="AD38" i="90"/>
  <c r="AD38" i="92" s="1"/>
  <c r="AD10" i="93" s="1"/>
  <c r="AD14" i="93" s="1"/>
  <c r="AD33" i="90"/>
  <c r="AD33" i="92" s="1"/>
  <c r="AD190" i="93" s="1"/>
  <c r="AD19"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96" i="93" s="1"/>
  <c r="BB49" i="90"/>
  <c r="BB49" i="92" s="1"/>
  <c r="BB44" i="90"/>
  <c r="BB44" i="92" s="1"/>
  <c r="BB21" i="93" s="1"/>
  <c r="BB40" i="90"/>
  <c r="BB40" i="92" s="1"/>
  <c r="BB11" i="93" s="1"/>
  <c r="BB34" i="90"/>
  <c r="BB34" i="92" s="1"/>
  <c r="BB182" i="93" s="1"/>
  <c r="BB183" i="93" s="1"/>
  <c r="BB31" i="90"/>
  <c r="BB43" i="90"/>
  <c r="BB43" i="92" s="1"/>
  <c r="BB38" i="90"/>
  <c r="BB38" i="92" s="1"/>
  <c r="BB10" i="93" s="1"/>
  <c r="BB14" i="93" s="1"/>
  <c r="BB33" i="90"/>
  <c r="BB33" i="92" s="1"/>
  <c r="BB190" i="93" s="1"/>
  <c r="BB19" i="96" s="1"/>
  <c r="BB46" i="90"/>
  <c r="BB46" i="92" s="1"/>
  <c r="BB23" i="93" s="1"/>
  <c r="N28" i="27"/>
  <c r="X16" i="96"/>
  <c r="X219" i="93"/>
  <c r="X221" i="93"/>
  <c r="X220" i="93"/>
  <c r="X222" i="93"/>
  <c r="X225" i="93"/>
  <c r="X224" i="93"/>
  <c r="X223" i="93"/>
  <c r="X9" i="96"/>
  <c r="X203" i="93"/>
  <c r="X201" i="93"/>
  <c r="X204" i="93"/>
  <c r="X205" i="93"/>
  <c r="X206" i="93"/>
  <c r="X207" i="93"/>
  <c r="X202" i="93"/>
  <c r="AD19" i="26"/>
  <c r="AD15" i="26"/>
  <c r="N15" i="26" s="1"/>
  <c r="AD13" i="26"/>
  <c r="N13" i="26" s="1"/>
  <c r="K29" i="30"/>
  <c r="X33" i="26"/>
  <c r="Z33" i="26"/>
  <c r="W33" i="26"/>
  <c r="M28" i="27"/>
  <c r="M32" i="26"/>
  <c r="X30" i="30"/>
  <c r="W30" i="30"/>
  <c r="H9" i="26"/>
  <c r="H28" i="27"/>
  <c r="X56" i="93"/>
  <c r="X59" i="93" s="1"/>
  <c r="X63" i="93" s="1"/>
  <c r="X156" i="93" s="1"/>
  <c r="L230" i="93"/>
  <c r="L228" i="93"/>
  <c r="L229" i="93"/>
  <c r="L233" i="93"/>
  <c r="L232" i="93"/>
  <c r="L223" i="93"/>
  <c r="L231" i="93"/>
  <c r="L234" i="93"/>
  <c r="L222" i="93"/>
  <c r="AV214" i="93"/>
  <c r="AV213" i="93"/>
  <c r="L224" i="93"/>
  <c r="AV212" i="93"/>
  <c r="AV10" i="96"/>
  <c r="L225" i="93"/>
  <c r="L219" i="93"/>
  <c r="L220" i="93"/>
  <c r="L221" i="93"/>
  <c r="AV186" i="93"/>
  <c r="AV17" i="96" s="1"/>
  <c r="AV210" i="93"/>
  <c r="AV216" i="93"/>
  <c r="AV215" i="93"/>
  <c r="H10" i="26"/>
  <c r="H11" i="26"/>
  <c r="BS56" i="93"/>
  <c r="BS59" i="93" s="1"/>
  <c r="BS38" i="93"/>
  <c r="BS41" i="93"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32" i="93" s="1"/>
  <c r="BA27" i="93"/>
  <c r="BA48" i="93" s="1"/>
  <c r="BA62" i="93"/>
  <c r="BA24" i="93"/>
  <c r="BA114" i="93"/>
  <c r="BA72" i="93"/>
  <c r="BA116" i="93"/>
  <c r="BB6" i="93"/>
  <c r="BB7" i="96"/>
  <c r="BA70" i="93"/>
  <c r="BA20" i="93"/>
  <c r="BB16" i="91"/>
  <c r="BB7" i="92"/>
  <c r="BB7" i="93" s="1"/>
  <c r="BA186" i="93"/>
  <c r="BA17" i="96" s="1"/>
  <c r="BA185" i="93"/>
  <c r="BA16" i="96" s="1"/>
  <c r="BC16" i="90"/>
  <c r="BC17" i="90"/>
  <c r="BC17" i="91" s="1"/>
  <c r="BC17" i="92" s="1"/>
  <c r="AW56" i="93"/>
  <c r="AW59" i="93" s="1"/>
  <c r="AW63" i="93" s="1"/>
  <c r="AW156" i="93" s="1"/>
  <c r="AW176" i="93" s="1"/>
  <c r="AW179" i="93" s="1"/>
  <c r="AZ228" i="93"/>
  <c r="AZ232" i="93"/>
  <c r="AZ234" i="93"/>
  <c r="AZ229" i="93"/>
  <c r="AZ231" i="93"/>
  <c r="AZ230" i="93"/>
  <c r="AZ233" i="93"/>
  <c r="AD17" i="92"/>
  <c r="AC27" i="93"/>
  <c r="AC48" i="93" s="1"/>
  <c r="AC62" i="93"/>
  <c r="AC26" i="93"/>
  <c r="AC30" i="93" s="1"/>
  <c r="AC44" i="93"/>
  <c r="AC24" i="93"/>
  <c r="AC114" i="93"/>
  <c r="AB9" i="93"/>
  <c r="AB15" i="93" s="1"/>
  <c r="AB11" i="92"/>
  <c r="AB148" i="93" s="1"/>
  <c r="AB149" i="93" s="1"/>
  <c r="AY49" i="93"/>
  <c r="AY50" i="93" s="1"/>
  <c r="AY97" i="93"/>
  <c r="AY73" i="93"/>
  <c r="AY117" i="93"/>
  <c r="AY120" i="93" s="1"/>
  <c r="AC31" i="92"/>
  <c r="AC11" i="90"/>
  <c r="AC72" i="93"/>
  <c r="AC116" i="93"/>
  <c r="AX33" i="93"/>
  <c r="AX34" i="93" s="1"/>
  <c r="AX139" i="93" s="1"/>
  <c r="Y56" i="93"/>
  <c r="Y59" i="93" s="1"/>
  <c r="Y63" i="93" s="1"/>
  <c r="Y156" i="93" s="1"/>
  <c r="Y176" i="93" s="1"/>
  <c r="Y179" i="93" s="1"/>
  <c r="Y186" i="93" s="1"/>
  <c r="AX51" i="93"/>
  <c r="AX52" i="93" s="1"/>
  <c r="AX142" i="93" s="1"/>
  <c r="AE16" i="90"/>
  <c r="AE17" i="90"/>
  <c r="AE17" i="91" s="1"/>
  <c r="AE17" i="92" s="1"/>
  <c r="B94" i="83"/>
  <c r="C31" i="30" s="1"/>
  <c r="AI31" i="30" s="1"/>
  <c r="AZ219" i="93"/>
  <c r="AZ225" i="93"/>
  <c r="AZ221" i="93"/>
  <c r="AZ224" i="93"/>
  <c r="AZ222" i="93"/>
  <c r="AZ220" i="93"/>
  <c r="AZ223" i="93"/>
  <c r="AC20" i="93"/>
  <c r="AC70" i="93"/>
  <c r="AZ9" i="93"/>
  <c r="AZ15" i="93" s="1"/>
  <c r="AZ11" i="92"/>
  <c r="AZ148" i="93" s="1"/>
  <c r="AZ149" i="93" s="1"/>
  <c r="AY31" i="93"/>
  <c r="AY32" i="93" s="1"/>
  <c r="AB5" i="96"/>
  <c r="AB5" i="93"/>
  <c r="AD16" i="91"/>
  <c r="AD16" i="92" s="1"/>
  <c r="AD7" i="92"/>
  <c r="AD7" i="93" s="1"/>
  <c r="AC16" i="92"/>
  <c r="AZ5" i="93"/>
  <c r="AZ5" i="96"/>
  <c r="B48" i="83"/>
  <c r="C34" i="26" s="1"/>
  <c r="AI34" i="26" s="1"/>
  <c r="N20" i="26" l="1"/>
  <c r="AW185" i="93"/>
  <c r="AW16" i="96" s="1"/>
  <c r="N19" i="26"/>
  <c r="AE11" i="26"/>
  <c r="AE10" i="26"/>
  <c r="AE16" i="26"/>
  <c r="AE9" i="26"/>
  <c r="AD23" i="26"/>
  <c r="AE22" i="26"/>
  <c r="AD16" i="26"/>
  <c r="AD22" i="26"/>
  <c r="AE23" i="26"/>
  <c r="Y16" i="96"/>
  <c r="Y205" i="93"/>
  <c r="Y9" i="96"/>
  <c r="Y221" i="93"/>
  <c r="Y206" i="93"/>
  <c r="Y219" i="93"/>
  <c r="Y202" i="93"/>
  <c r="Y224" i="93"/>
  <c r="Y201" i="93"/>
  <c r="Y225" i="93"/>
  <c r="AW9" i="96"/>
  <c r="AW202" i="93"/>
  <c r="AW207" i="93"/>
  <c r="AW203" i="93"/>
  <c r="AW205" i="93"/>
  <c r="AW206" i="93"/>
  <c r="AW201" i="93"/>
  <c r="Y207" i="93"/>
  <c r="Y223" i="93"/>
  <c r="Y203" i="93"/>
  <c r="Y220" i="93"/>
  <c r="AA49" i="93"/>
  <c r="AA50" i="93" s="1"/>
  <c r="AA51" i="93" s="1"/>
  <c r="AA52" i="93" s="1"/>
  <c r="Y204" i="93"/>
  <c r="AA73" i="93"/>
  <c r="Z38" i="93"/>
  <c r="Z41" i="93" s="1"/>
  <c r="Z45" i="93" s="1"/>
  <c r="Z152" i="93" s="1"/>
  <c r="Z171" i="93" s="1"/>
  <c r="Z174" i="93" s="1"/>
  <c r="Z9" i="96" s="1"/>
  <c r="AE24" i="26"/>
  <c r="AD24" i="26"/>
  <c r="AA31" i="93"/>
  <c r="AA32" i="93" s="1"/>
  <c r="AA33" i="93" s="1"/>
  <c r="AA34" i="93" s="1"/>
  <c r="AA139" i="93" s="1"/>
  <c r="AA97" i="93"/>
  <c r="AZ17" i="93"/>
  <c r="AZ73" i="93" s="1"/>
  <c r="AB17" i="93"/>
  <c r="AB117" i="93" s="1"/>
  <c r="AB120" i="93" s="1"/>
  <c r="X176" i="93"/>
  <c r="X179" i="93"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96"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19" i="96" s="1"/>
  <c r="BC46" i="90"/>
  <c r="BC46" i="92" s="1"/>
  <c r="BC23" i="93" s="1"/>
  <c r="BC44" i="90"/>
  <c r="BC44" i="92" s="1"/>
  <c r="BC21" i="93" s="1"/>
  <c r="BC31" i="90"/>
  <c r="BC40" i="90"/>
  <c r="BC40" i="92" s="1"/>
  <c r="BC11" i="93" s="1"/>
  <c r="BC34" i="90"/>
  <c r="BC34" i="92" s="1"/>
  <c r="BC182" i="93" s="1"/>
  <c r="BC183"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96"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19" i="96" s="1"/>
  <c r="AE44" i="90"/>
  <c r="AE44" i="92" s="1"/>
  <c r="AE21" i="93" s="1"/>
  <c r="AE40" i="90"/>
  <c r="AE40" i="92" s="1"/>
  <c r="AE11" i="93" s="1"/>
  <c r="AE31" i="90"/>
  <c r="AE34" i="90"/>
  <c r="AE34" i="92" s="1"/>
  <c r="AE182" i="93" s="1"/>
  <c r="AE183" i="93" s="1"/>
  <c r="Y17" i="96"/>
  <c r="Y228" i="93"/>
  <c r="Y234" i="93"/>
  <c r="Y230" i="93"/>
  <c r="Y229" i="93"/>
  <c r="Y233" i="93"/>
  <c r="Y231" i="93"/>
  <c r="Y232" i="93"/>
  <c r="Y10" i="96"/>
  <c r="Y214" i="93"/>
  <c r="Y215" i="93"/>
  <c r="Y213" i="93"/>
  <c r="Y211" i="93"/>
  <c r="Y210" i="93"/>
  <c r="Y216" i="93"/>
  <c r="Y212" i="93"/>
  <c r="AD9" i="26"/>
  <c r="AD11" i="26"/>
  <c r="AD10" i="26"/>
  <c r="AV233" i="93"/>
  <c r="K30" i="30"/>
  <c r="X34" i="26"/>
  <c r="W34" i="26"/>
  <c r="Z34" i="26"/>
  <c r="W31" i="30"/>
  <c r="X31" i="30"/>
  <c r="M33" i="26"/>
  <c r="AV231" i="93"/>
  <c r="AV232" i="93"/>
  <c r="AV229" i="93"/>
  <c r="AV230" i="93"/>
  <c r="AV234" i="93"/>
  <c r="AV228" i="93"/>
  <c r="AW10" i="96"/>
  <c r="AW216" i="93"/>
  <c r="AW210" i="93"/>
  <c r="AW213" i="93"/>
  <c r="AW214" i="93"/>
  <c r="AW211" i="93"/>
  <c r="AW186" i="93"/>
  <c r="AW17" i="96" s="1"/>
  <c r="AW215" i="93"/>
  <c r="AW212" i="93"/>
  <c r="BC6" i="93"/>
  <c r="BC7" i="96"/>
  <c r="BA228" i="93"/>
  <c r="BA234" i="93"/>
  <c r="BA229" i="93"/>
  <c r="BA232" i="93"/>
  <c r="BA230" i="93"/>
  <c r="BA233" i="93"/>
  <c r="BA231" i="93"/>
  <c r="BC7" i="92"/>
  <c r="BC7" i="93" s="1"/>
  <c r="BC16" i="91"/>
  <c r="BB185" i="93"/>
  <c r="BB16" i="96" s="1"/>
  <c r="BB186" i="93"/>
  <c r="BB17" i="96" s="1"/>
  <c r="BB20" i="93"/>
  <c r="BB70" i="93"/>
  <c r="BB16" i="92"/>
  <c r="BB116" i="93"/>
  <c r="BB72" i="93"/>
  <c r="BA11" i="92"/>
  <c r="BA148" i="93" s="1"/>
  <c r="BA149" i="93" s="1"/>
  <c r="BA9" i="93"/>
  <c r="BA15" i="93" s="1"/>
  <c r="BA17" i="93" s="1"/>
  <c r="BB31" i="92"/>
  <c r="BB11" i="90"/>
  <c r="BA34" i="93"/>
  <c r="BA139" i="93" s="1"/>
  <c r="BA33" i="93"/>
  <c r="BA45" i="93"/>
  <c r="BA152" i="93" s="1"/>
  <c r="BA171" i="93" s="1"/>
  <c r="BA174" i="93" s="1"/>
  <c r="BA5" i="93"/>
  <c r="BA5" i="96"/>
  <c r="BA223" i="93"/>
  <c r="BA219" i="93"/>
  <c r="BA220" i="93"/>
  <c r="BA222" i="93"/>
  <c r="BA225" i="93"/>
  <c r="BA224" i="93"/>
  <c r="BA221" i="93"/>
  <c r="BB114" i="93"/>
  <c r="BB24" i="93"/>
  <c r="BB26" i="93"/>
  <c r="BB30" i="93" s="1"/>
  <c r="BB31" i="93" s="1"/>
  <c r="BB32" i="93" s="1"/>
  <c r="BB44" i="93"/>
  <c r="BB62" i="93"/>
  <c r="BB27" i="93"/>
  <c r="BB48" i="93" s="1"/>
  <c r="AX38" i="93"/>
  <c r="AX41" i="93" s="1"/>
  <c r="AX45" i="93" s="1"/>
  <c r="AX152" i="93" s="1"/>
  <c r="AX171" i="93" s="1"/>
  <c r="AX174" i="93"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B49" i="83"/>
  <c r="C35" i="26" s="1"/>
  <c r="AI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AD6" i="93"/>
  <c r="AD7" i="96"/>
  <c r="AW221" i="93" l="1"/>
  <c r="AW220" i="93"/>
  <c r="AW225" i="93"/>
  <c r="AW222" i="93"/>
  <c r="AW224" i="93"/>
  <c r="AW219" i="93"/>
  <c r="AW223" i="93"/>
  <c r="N10" i="26"/>
  <c r="N9" i="26"/>
  <c r="N11" i="26"/>
  <c r="N16" i="26"/>
  <c r="N22" i="26"/>
  <c r="N23" i="26"/>
  <c r="AZ31" i="93"/>
  <c r="AZ32" i="93" s="1"/>
  <c r="AZ34" i="93" s="1"/>
  <c r="AZ139" i="93" s="1"/>
  <c r="H26" i="26"/>
  <c r="AE26" i="26" s="1"/>
  <c r="Z185" i="93"/>
  <c r="Z16" i="96" s="1"/>
  <c r="Z204" i="93"/>
  <c r="AA38" i="93"/>
  <c r="AA41" i="93" s="1"/>
  <c r="AA45" i="93" s="1"/>
  <c r="AA152" i="93" s="1"/>
  <c r="AA171" i="93" s="1"/>
  <c r="AA174" i="93" s="1"/>
  <c r="AA204" i="93" s="1"/>
  <c r="AB49" i="93"/>
  <c r="AB50" i="93" s="1"/>
  <c r="AB51" i="93" s="1"/>
  <c r="AB52" i="93" s="1"/>
  <c r="AB142" i="93" s="1"/>
  <c r="Z206" i="93"/>
  <c r="Z205" i="93"/>
  <c r="Z201" i="93"/>
  <c r="Z207" i="93"/>
  <c r="Z203" i="93"/>
  <c r="Z202" i="93"/>
  <c r="N24" i="26"/>
  <c r="AZ97" i="93"/>
  <c r="AZ117" i="93"/>
  <c r="AZ120" i="93" s="1"/>
  <c r="AZ49" i="93"/>
  <c r="AZ50" i="93" s="1"/>
  <c r="AZ51" i="93" s="1"/>
  <c r="AZ52" i="93" s="1"/>
  <c r="AZ142" i="93" s="1"/>
  <c r="AB31" i="93"/>
  <c r="AB32" i="93" s="1"/>
  <c r="AB73" i="93"/>
  <c r="AB97" i="93"/>
  <c r="AC17" i="93"/>
  <c r="AC73" i="93" s="1"/>
  <c r="X186" i="93"/>
  <c r="X10" i="96"/>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96"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19" i="96" s="1"/>
  <c r="AF44" i="90"/>
  <c r="AF44" i="92" s="1"/>
  <c r="AF21" i="93" s="1"/>
  <c r="AF40" i="90"/>
  <c r="AF40" i="92" s="1"/>
  <c r="AF11" i="93" s="1"/>
  <c r="AF34" i="90"/>
  <c r="AF34" i="92" s="1"/>
  <c r="AF182" i="93" s="1"/>
  <c r="AF183"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AA211" i="93" s="1"/>
  <c r="Z10" i="96"/>
  <c r="Z215" i="93"/>
  <c r="Z211" i="93"/>
  <c r="Z213" i="93"/>
  <c r="Z212" i="93"/>
  <c r="Z216" i="93"/>
  <c r="Z214" i="93"/>
  <c r="Z210" i="93"/>
  <c r="Z186" i="93"/>
  <c r="Z17" i="96" s="1"/>
  <c r="AW234" i="93"/>
  <c r="AW232" i="93"/>
  <c r="AW231" i="93"/>
  <c r="AW233" i="93"/>
  <c r="AW229" i="93"/>
  <c r="AW228" i="93"/>
  <c r="AW230" i="93"/>
  <c r="AX9" i="96"/>
  <c r="AX204" i="93"/>
  <c r="AX203" i="93"/>
  <c r="AX206" i="93"/>
  <c r="AX207" i="93"/>
  <c r="AX205" i="93"/>
  <c r="AX202" i="93"/>
  <c r="AX185" i="93"/>
  <c r="AX16" i="96" s="1"/>
  <c r="AX201" i="93"/>
  <c r="BA9" i="96"/>
  <c r="BA205" i="93"/>
  <c r="BA207" i="93"/>
  <c r="BA202" i="93"/>
  <c r="BA204" i="93"/>
  <c r="BA203" i="93"/>
  <c r="BA201" i="93"/>
  <c r="BA206" i="93"/>
  <c r="AX10" i="96"/>
  <c r="AX186" i="93"/>
  <c r="AX17" i="96" s="1"/>
  <c r="AX215" i="93"/>
  <c r="AX214" i="93"/>
  <c r="AX210" i="93"/>
  <c r="AX211" i="93"/>
  <c r="AX216" i="93"/>
  <c r="AX213" i="93"/>
  <c r="AX212" i="93"/>
  <c r="BB5" i="96"/>
  <c r="BB5" i="93"/>
  <c r="BB223" i="93"/>
  <c r="BB222" i="93"/>
  <c r="BB220" i="93"/>
  <c r="BB225" i="93"/>
  <c r="BB224" i="93"/>
  <c r="BB221" i="93"/>
  <c r="BB219" i="93"/>
  <c r="BC185" i="93"/>
  <c r="BC16" i="96" s="1"/>
  <c r="BC186" i="93"/>
  <c r="BC17" i="96" s="1"/>
  <c r="BA38" i="93"/>
  <c r="BA41" i="93" s="1"/>
  <c r="BB9" i="93"/>
  <c r="BB15" i="93" s="1"/>
  <c r="BB17" i="93" s="1"/>
  <c r="BB11" i="92"/>
  <c r="BB148" i="93" s="1"/>
  <c r="BB149" i="93" s="1"/>
  <c r="BC16" i="92"/>
  <c r="BC20" i="93"/>
  <c r="BC70" i="93"/>
  <c r="BC11" i="90"/>
  <c r="BC31" i="92"/>
  <c r="BB45" i="93"/>
  <c r="BB152" i="93" s="1"/>
  <c r="BB171" i="93" s="1"/>
  <c r="BB174" i="93" s="1"/>
  <c r="BB34" i="93"/>
  <c r="BB139" i="93" s="1"/>
  <c r="BB33" i="93"/>
  <c r="BA49" i="93"/>
  <c r="BA50" i="93" s="1"/>
  <c r="BA73" i="93"/>
  <c r="BA117" i="93"/>
  <c r="BA120" i="93" s="1"/>
  <c r="BA97" i="93"/>
  <c r="BB228" i="93"/>
  <c r="BB231" i="93"/>
  <c r="BB232" i="93"/>
  <c r="BB229" i="93"/>
  <c r="BB233" i="93"/>
  <c r="BB230" i="93"/>
  <c r="BB234" i="93"/>
  <c r="BC44" i="93"/>
  <c r="BC26" i="93"/>
  <c r="BC30" i="93" s="1"/>
  <c r="BC27" i="93"/>
  <c r="BC48" i="93" s="1"/>
  <c r="BC49" i="93" s="1"/>
  <c r="BC50" i="93" s="1"/>
  <c r="BC62" i="93"/>
  <c r="BC24" i="93"/>
  <c r="BC114" i="93"/>
  <c r="BC72" i="93"/>
  <c r="BC116" i="93"/>
  <c r="AY56" i="93"/>
  <c r="AY59" i="93" s="1"/>
  <c r="AY63" i="93" s="1"/>
  <c r="AY156" i="93" s="1"/>
  <c r="AY176" i="93" s="1"/>
  <c r="AY179" i="93" s="1"/>
  <c r="AY38" i="93"/>
  <c r="AY41" i="93" s="1"/>
  <c r="AY45" i="93" s="1"/>
  <c r="AY152" i="93" s="1"/>
  <c r="AY171" i="93" s="1"/>
  <c r="AY174" i="93"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AI36" i="26" s="1"/>
  <c r="B96" i="83"/>
  <c r="C33" i="30" s="1"/>
  <c r="AI33" i="30" s="1"/>
  <c r="AE27" i="93"/>
  <c r="AE48" i="93" s="1"/>
  <c r="AE62" i="93"/>
  <c r="AG16" i="90"/>
  <c r="AG17" i="90"/>
  <c r="AG17" i="91" s="1"/>
  <c r="AG17" i="92" s="1"/>
  <c r="AZ38" i="93" l="1"/>
  <c r="AZ41" i="93" s="1"/>
  <c r="AZ45" i="93" s="1"/>
  <c r="AZ152" i="93" s="1"/>
  <c r="AZ171" i="93" s="1"/>
  <c r="AZ174" i="93" s="1"/>
  <c r="AZ9" i="96" s="1"/>
  <c r="AZ33" i="93"/>
  <c r="Z224" i="93"/>
  <c r="AD26" i="26"/>
  <c r="N26" i="26" s="1"/>
  <c r="H27" i="26"/>
  <c r="AE27" i="26" s="1"/>
  <c r="Z223" i="93"/>
  <c r="Z220" i="93"/>
  <c r="Z222" i="93"/>
  <c r="Z225" i="93"/>
  <c r="Z219" i="93"/>
  <c r="Z221" i="93"/>
  <c r="AA185" i="93"/>
  <c r="AA16" i="96" s="1"/>
  <c r="AA203" i="93"/>
  <c r="AA205" i="93"/>
  <c r="AA207" i="93"/>
  <c r="AA206" i="93"/>
  <c r="AA201" i="93"/>
  <c r="AA9" i="96"/>
  <c r="AA202" i="93"/>
  <c r="AC49" i="93"/>
  <c r="AC50" i="93" s="1"/>
  <c r="AC51" i="93" s="1"/>
  <c r="AC52" i="93" s="1"/>
  <c r="AC142" i="93" s="1"/>
  <c r="AC31" i="93"/>
  <c r="AC32" i="93" s="1"/>
  <c r="AC33" i="93" s="1"/>
  <c r="AC34" i="93" s="1"/>
  <c r="AC139" i="93" s="1"/>
  <c r="AB34" i="93"/>
  <c r="AB45" i="93"/>
  <c r="AB152" i="93" s="1"/>
  <c r="AB171" i="93" s="1"/>
  <c r="AB174" i="93" s="1"/>
  <c r="AB33" i="93"/>
  <c r="AC97" i="93"/>
  <c r="AC117" i="93"/>
  <c r="AC120" i="93" s="1"/>
  <c r="AD17" i="93"/>
  <c r="AD73" i="93" s="1"/>
  <c r="X231" i="93"/>
  <c r="X233" i="93"/>
  <c r="X17" i="96"/>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96"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183" i="93" s="1"/>
  <c r="AG47" i="90"/>
  <c r="AG47" i="92" s="1"/>
  <c r="AG45" i="90"/>
  <c r="AG45" i="92" s="1"/>
  <c r="AG22" i="93" s="1"/>
  <c r="AG31" i="90"/>
  <c r="AG43" i="90"/>
  <c r="AG43" i="92" s="1"/>
  <c r="AG38" i="90"/>
  <c r="AG38" i="92" s="1"/>
  <c r="AG10" i="93" s="1"/>
  <c r="AG14" i="93" s="1"/>
  <c r="AG33" i="90"/>
  <c r="AG33" i="92" s="1"/>
  <c r="AG190" i="93" s="1"/>
  <c r="AG19" i="96" s="1"/>
  <c r="D33" i="30"/>
  <c r="AJ33" i="30" s="1"/>
  <c r="E33" i="30"/>
  <c r="AK33" i="30" s="1"/>
  <c r="B33" i="30"/>
  <c r="AH33" i="30" s="1"/>
  <c r="X36" i="26"/>
  <c r="Z36" i="26"/>
  <c r="W36" i="26"/>
  <c r="M35" i="26"/>
  <c r="X33" i="30"/>
  <c r="W33" i="30"/>
  <c r="K32" i="30"/>
  <c r="AA186" i="93"/>
  <c r="AA17" i="96" s="1"/>
  <c r="AA216" i="93"/>
  <c r="AA210" i="93"/>
  <c r="AA215" i="93"/>
  <c r="AA212" i="93"/>
  <c r="AA214" i="93"/>
  <c r="AA10" i="96"/>
  <c r="AA213" i="93"/>
  <c r="AY9" i="96"/>
  <c r="AY206" i="93"/>
  <c r="AY207" i="93"/>
  <c r="AY203" i="93"/>
  <c r="AY185" i="93"/>
  <c r="AY16" i="96" s="1"/>
  <c r="AY201" i="93"/>
  <c r="AY204" i="93"/>
  <c r="AY205" i="93"/>
  <c r="AY202" i="93"/>
  <c r="AY10" i="96"/>
  <c r="AY211" i="93"/>
  <c r="AY214" i="93"/>
  <c r="AY213" i="93"/>
  <c r="AY210" i="93"/>
  <c r="AY215" i="93"/>
  <c r="AY216" i="93"/>
  <c r="AY212" i="93"/>
  <c r="AY186" i="93"/>
  <c r="AY17" i="96" s="1"/>
  <c r="AX231" i="93"/>
  <c r="AX230" i="93"/>
  <c r="AX232" i="93"/>
  <c r="AX234" i="93"/>
  <c r="AX229" i="93"/>
  <c r="AX228" i="93"/>
  <c r="AX233" i="93"/>
  <c r="BB9" i="96"/>
  <c r="BB201" i="93"/>
  <c r="BB205" i="93"/>
  <c r="BB206" i="93"/>
  <c r="BB203" i="93"/>
  <c r="BB202" i="93"/>
  <c r="BB204" i="93"/>
  <c r="BB207" i="93"/>
  <c r="AX223" i="93"/>
  <c r="AX220" i="93"/>
  <c r="AX225" i="93"/>
  <c r="AX222" i="93"/>
  <c r="AX221" i="93"/>
  <c r="AX219" i="93"/>
  <c r="AX224" i="93"/>
  <c r="Z231" i="93"/>
  <c r="Z229" i="93"/>
  <c r="Z232" i="93"/>
  <c r="Z230" i="93"/>
  <c r="Z234" i="93"/>
  <c r="Z228" i="93"/>
  <c r="Z233" i="93"/>
  <c r="BC228" i="93"/>
  <c r="BC229" i="93"/>
  <c r="BC232" i="93"/>
  <c r="BC231" i="93"/>
  <c r="BC230" i="93"/>
  <c r="BC234" i="93"/>
  <c r="BC233" i="93"/>
  <c r="BA52" i="93"/>
  <c r="BA142" i="93" s="1"/>
  <c r="BA63" i="93"/>
  <c r="BA156" i="93" s="1"/>
  <c r="BA176" i="93" s="1"/>
  <c r="BA179" i="93" s="1"/>
  <c r="BA51" i="93"/>
  <c r="BC5" i="93"/>
  <c r="BC5" i="96"/>
  <c r="BC220" i="93"/>
  <c r="BC221" i="93"/>
  <c r="BC224" i="93"/>
  <c r="BC222" i="93"/>
  <c r="BC223" i="93"/>
  <c r="BC219" i="93"/>
  <c r="BC225" i="93"/>
  <c r="BB38" i="93"/>
  <c r="BB41" i="93" s="1"/>
  <c r="BC9" i="93"/>
  <c r="BC11" i="92"/>
  <c r="BC148" i="93" s="1"/>
  <c r="BC149" i="93" s="1"/>
  <c r="BC51" i="93"/>
  <c r="BC52" i="93"/>
  <c r="BC142" i="93" s="1"/>
  <c r="BC63" i="93"/>
  <c r="BC156" i="93" s="1"/>
  <c r="BC176" i="93" s="1"/>
  <c r="BC179" i="93" s="1"/>
  <c r="BB49" i="93"/>
  <c r="BB50" i="93" s="1"/>
  <c r="BB117" i="93"/>
  <c r="BB120" i="93" s="1"/>
  <c r="BB73" i="93"/>
  <c r="BB97" i="93"/>
  <c r="AG7" i="96"/>
  <c r="AG6" i="93"/>
  <c r="AG16" i="91"/>
  <c r="AG7" i="92"/>
  <c r="AG7" i="93" s="1"/>
  <c r="B97" i="83"/>
  <c r="C34" i="30" s="1"/>
  <c r="AI34" i="30" s="1"/>
  <c r="B51" i="83"/>
  <c r="C37" i="26" s="1"/>
  <c r="AI37" i="26" s="1"/>
  <c r="AZ56" i="93"/>
  <c r="AZ59" i="93" s="1"/>
  <c r="AZ63" i="93" s="1"/>
  <c r="AZ156" i="93" s="1"/>
  <c r="AZ176" i="93" s="1"/>
  <c r="AZ179" i="93" s="1"/>
  <c r="AB56" i="93"/>
  <c r="AB59" i="93" s="1"/>
  <c r="AB63" i="93" s="1"/>
  <c r="AB156" i="93" s="1"/>
  <c r="AB176" i="93" s="1"/>
  <c r="AB179" i="93" s="1"/>
  <c r="AB186" i="93" s="1"/>
  <c r="AF16" i="92"/>
  <c r="AF116" i="93"/>
  <c r="AF72" i="93"/>
  <c r="AF62" i="93"/>
  <c r="AF27" i="93"/>
  <c r="AF48" i="93" s="1"/>
  <c r="AE11" i="92"/>
  <c r="AE148" i="93" s="1"/>
  <c r="AE149" i="93" s="1"/>
  <c r="AE9" i="93"/>
  <c r="AE15" i="93" s="1"/>
  <c r="AE17" i="93" s="1"/>
  <c r="AH16" i="90"/>
  <c r="AH17" i="90"/>
  <c r="AH17" i="91" s="1"/>
  <c r="AH17" i="92" s="1"/>
  <c r="AE5" i="96"/>
  <c r="AE5" i="93"/>
  <c r="AF44" i="93"/>
  <c r="AF26" i="93"/>
  <c r="AF30" i="93" s="1"/>
  <c r="AF70" i="93"/>
  <c r="AF20" i="93"/>
  <c r="AF11" i="90"/>
  <c r="AF31" i="92"/>
  <c r="AF114" i="93"/>
  <c r="AF24" i="93"/>
  <c r="AZ202" i="93" l="1"/>
  <c r="AZ201" i="93"/>
  <c r="AZ206" i="93"/>
  <c r="AZ207" i="93"/>
  <c r="AZ203" i="93"/>
  <c r="AZ204" i="93"/>
  <c r="AZ205" i="93"/>
  <c r="BC15" i="93"/>
  <c r="BC17" i="93" s="1"/>
  <c r="BC117" i="93" s="1"/>
  <c r="BC120" i="93" s="1"/>
  <c r="AA219" i="93"/>
  <c r="H25" i="26"/>
  <c r="H28" i="26"/>
  <c r="AE28" i="26" s="1"/>
  <c r="AA224" i="93"/>
  <c r="AA221" i="93"/>
  <c r="AA222" i="93"/>
  <c r="AA223" i="93"/>
  <c r="AA225" i="93"/>
  <c r="AA220" i="93"/>
  <c r="AC38" i="93"/>
  <c r="AC41" i="93" s="1"/>
  <c r="AC45" i="93" s="1"/>
  <c r="AC152" i="93" s="1"/>
  <c r="AC171" i="93" s="1"/>
  <c r="AC174" i="93" s="1"/>
  <c r="AC204" i="93" s="1"/>
  <c r="AD31" i="93"/>
  <c r="AD32" i="93" s="1"/>
  <c r="AD33" i="93" s="1"/>
  <c r="AD34" i="93" s="1"/>
  <c r="AD139" i="93" s="1"/>
  <c r="AB139" i="93"/>
  <c r="AB38" i="93"/>
  <c r="AB41" i="93" s="1"/>
  <c r="AB185" i="93"/>
  <c r="AB205" i="93"/>
  <c r="AB201" i="93"/>
  <c r="AB9" i="96"/>
  <c r="AB206" i="93"/>
  <c r="AB207" i="93"/>
  <c r="AB202" i="93"/>
  <c r="AB203" i="93"/>
  <c r="AB204" i="93"/>
  <c r="AD49" i="93"/>
  <c r="AD50" i="93" s="1"/>
  <c r="AD51" i="93" s="1"/>
  <c r="AD52" i="93" s="1"/>
  <c r="AD142" i="93"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96" i="93" s="1"/>
  <c r="AH49" i="90"/>
  <c r="AH49" i="92" s="1"/>
  <c r="AH44" i="90"/>
  <c r="AH44" i="92" s="1"/>
  <c r="AH21" i="93" s="1"/>
  <c r="AH40" i="90"/>
  <c r="AH40" i="92" s="1"/>
  <c r="AH11" i="93" s="1"/>
  <c r="AH34" i="90"/>
  <c r="AH34" i="92" s="1"/>
  <c r="AH182" i="93" s="1"/>
  <c r="AH183" i="93" s="1"/>
  <c r="AH31" i="90"/>
  <c r="AH45" i="90"/>
  <c r="AH45" i="92" s="1"/>
  <c r="AH22" i="93" s="1"/>
  <c r="AH43" i="90"/>
  <c r="AH43" i="92" s="1"/>
  <c r="AH38" i="90"/>
  <c r="AH38" i="92" s="1"/>
  <c r="AH10" i="93" s="1"/>
  <c r="AH14" i="93" s="1"/>
  <c r="AH33" i="90"/>
  <c r="AH33" i="92" s="1"/>
  <c r="AH190" i="93" s="1"/>
  <c r="AH19" i="96" s="1"/>
  <c r="AH46" i="90"/>
  <c r="AH46" i="92" s="1"/>
  <c r="AH23" i="93" s="1"/>
  <c r="D34" i="30"/>
  <c r="AJ34" i="30" s="1"/>
  <c r="E34" i="30"/>
  <c r="AK34" i="30" s="1"/>
  <c r="B34" i="30"/>
  <c r="AH34" i="30" s="1"/>
  <c r="AE37" i="26"/>
  <c r="AB17" i="96"/>
  <c r="AB228" i="93"/>
  <c r="AB233" i="93"/>
  <c r="AB231" i="93"/>
  <c r="AB234" i="93"/>
  <c r="AB230" i="93"/>
  <c r="AB232" i="93"/>
  <c r="AB229" i="93"/>
  <c r="AB10" i="96"/>
  <c r="AB214" i="93"/>
  <c r="AB215" i="93"/>
  <c r="AB216" i="93"/>
  <c r="AB211" i="93"/>
  <c r="AB213" i="93"/>
  <c r="AB210" i="93"/>
  <c r="AB212" i="93"/>
  <c r="AD27" i="26"/>
  <c r="N27" i="26" s="1"/>
  <c r="X34" i="30"/>
  <c r="W34" i="30"/>
  <c r="K33" i="30"/>
  <c r="M36" i="26"/>
  <c r="AD37" i="26"/>
  <c r="X37" i="26"/>
  <c r="W37" i="26"/>
  <c r="Z37" i="26"/>
  <c r="AA232" i="93"/>
  <c r="AA230" i="93"/>
  <c r="AA233" i="93"/>
  <c r="AA228" i="93"/>
  <c r="AA231" i="93"/>
  <c r="AA229" i="93"/>
  <c r="BA10" i="96"/>
  <c r="BA210" i="93"/>
  <c r="BA215" i="93"/>
  <c r="BA212" i="93"/>
  <c r="BA216" i="93"/>
  <c r="BA211" i="93"/>
  <c r="BA213" i="93"/>
  <c r="BA214" i="93"/>
  <c r="AY224" i="93"/>
  <c r="AY220" i="93"/>
  <c r="AY222" i="93"/>
  <c r="AY223" i="93"/>
  <c r="AY221" i="93"/>
  <c r="AY219" i="93"/>
  <c r="AY225" i="93"/>
  <c r="BC56" i="93"/>
  <c r="BC59" i="93" s="1"/>
  <c r="AZ10" i="96"/>
  <c r="AZ216" i="93"/>
  <c r="AZ210" i="93"/>
  <c r="AZ213" i="93"/>
  <c r="AZ215" i="93"/>
  <c r="AZ214" i="93"/>
  <c r="AZ211" i="93"/>
  <c r="AZ212" i="93"/>
  <c r="BC10" i="96"/>
  <c r="BC210" i="93"/>
  <c r="BC211" i="93"/>
  <c r="BC216" i="93"/>
  <c r="BC215" i="93"/>
  <c r="BC213" i="93"/>
  <c r="BC212" i="93"/>
  <c r="BC214" i="93"/>
  <c r="AY234" i="93"/>
  <c r="AY232" i="93"/>
  <c r="AY228" i="93"/>
  <c r="AY230" i="93"/>
  <c r="AY233" i="93"/>
  <c r="AY229" i="93"/>
  <c r="AY231" i="93"/>
  <c r="BA56" i="93"/>
  <c r="BA59" i="93" s="1"/>
  <c r="BB51" i="93"/>
  <c r="BB52" i="93"/>
  <c r="BB142" i="93" s="1"/>
  <c r="BB63" i="93"/>
  <c r="BB156" i="93" s="1"/>
  <c r="BB176" i="93" s="1"/>
  <c r="BB179" i="93" s="1"/>
  <c r="BC31" i="93"/>
  <c r="BC32" i="93" s="1"/>
  <c r="AI16" i="90"/>
  <c r="AI17" i="90"/>
  <c r="AI17" i="91" s="1"/>
  <c r="B52" i="83"/>
  <c r="C38" i="26" s="1"/>
  <c r="AI38" i="26" s="1"/>
  <c r="AC56" i="93"/>
  <c r="AC59" i="93" s="1"/>
  <c r="AC63" i="93" s="1"/>
  <c r="AC156" i="93" s="1"/>
  <c r="AC176" i="93" s="1"/>
  <c r="AC179" i="93"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E31" i="93"/>
  <c r="AE32" i="93" s="1"/>
  <c r="AG27" i="93"/>
  <c r="AG48" i="93" s="1"/>
  <c r="AG62" i="93"/>
  <c r="AG70" i="93"/>
  <c r="AG20" i="93"/>
  <c r="AE49" i="93"/>
  <c r="AE50" i="93" s="1"/>
  <c r="B98" i="83"/>
  <c r="C35" i="30" s="1"/>
  <c r="AI35" i="30" s="1"/>
  <c r="AG11" i="90"/>
  <c r="AG31" i="92"/>
  <c r="AG16" i="92"/>
  <c r="AG44" i="93"/>
  <c r="AG26" i="93"/>
  <c r="AG30" i="93" s="1"/>
  <c r="AD25" i="26" l="1"/>
  <c r="AF51" i="93"/>
  <c r="AF52" i="93"/>
  <c r="AF142" i="93" s="1"/>
  <c r="AF63" i="93"/>
  <c r="AF156" i="93" s="1"/>
  <c r="AF176" i="93" s="1"/>
  <c r="AF179" i="93" s="1"/>
  <c r="AF10" i="96" s="1"/>
  <c r="BC73" i="93"/>
  <c r="BC97" i="93"/>
  <c r="AE25" i="26"/>
  <c r="AC203" i="93"/>
  <c r="AD28" i="26"/>
  <c r="N28" i="26" s="1"/>
  <c r="AC206" i="93"/>
  <c r="AC185" i="93"/>
  <c r="AC16" i="96" s="1"/>
  <c r="AC202" i="93"/>
  <c r="AC205" i="93"/>
  <c r="AC207" i="93"/>
  <c r="AC201" i="93"/>
  <c r="AC9" i="96"/>
  <c r="AD56" i="93"/>
  <c r="AD59" i="93" s="1"/>
  <c r="AD63" i="93" s="1"/>
  <c r="AD156" i="93" s="1"/>
  <c r="AD176" i="93" s="1"/>
  <c r="AD179" i="93" s="1"/>
  <c r="AD216" i="93" s="1"/>
  <c r="AB219" i="93"/>
  <c r="AB221" i="93"/>
  <c r="AB224" i="93"/>
  <c r="AB220" i="93"/>
  <c r="AB16" i="96"/>
  <c r="AB223" i="93"/>
  <c r="AB222" i="93"/>
  <c r="AB225" i="93"/>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96"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19" i="96" s="1"/>
  <c r="AI46" i="90"/>
  <c r="AI46" i="92" s="1"/>
  <c r="AI23" i="93" s="1"/>
  <c r="AI44" i="90"/>
  <c r="AI44" i="92" s="1"/>
  <c r="AI21" i="93" s="1"/>
  <c r="AI40" i="90"/>
  <c r="AI40" i="92" s="1"/>
  <c r="AI11" i="93" s="1"/>
  <c r="AI34" i="90"/>
  <c r="AI34" i="92" s="1"/>
  <c r="AI182" i="93" s="1"/>
  <c r="AI183"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H37" i="26"/>
  <c r="AC10" i="96"/>
  <c r="AC212" i="93"/>
  <c r="AC213" i="93"/>
  <c r="AC210" i="93"/>
  <c r="AC216" i="93"/>
  <c r="AC214" i="93"/>
  <c r="AC211" i="93"/>
  <c r="AC186" i="93"/>
  <c r="AC17" i="96" s="1"/>
  <c r="AC215" i="93"/>
  <c r="BB10" i="96"/>
  <c r="BB213" i="93"/>
  <c r="BB212" i="93"/>
  <c r="BB214" i="93"/>
  <c r="BB211" i="93"/>
  <c r="BB215" i="93"/>
  <c r="BB216" i="93"/>
  <c r="BB210" i="93"/>
  <c r="BB56" i="93"/>
  <c r="BB59" i="93" s="1"/>
  <c r="B53" i="83"/>
  <c r="BC33" i="93"/>
  <c r="BC34" i="93"/>
  <c r="BC139" i="93" s="1"/>
  <c r="BC45" i="93"/>
  <c r="BC152" i="93" s="1"/>
  <c r="BC171" i="93" s="1"/>
  <c r="BC174" i="93" s="1"/>
  <c r="AJ16" i="90"/>
  <c r="AJ17" i="90"/>
  <c r="AJ17" i="91" s="1"/>
  <c r="AJ17" i="92" s="1"/>
  <c r="AH62" i="93"/>
  <c r="AH27" i="93"/>
  <c r="AH48" i="93" s="1"/>
  <c r="AH116" i="93"/>
  <c r="AH72" i="93"/>
  <c r="AH185" i="93"/>
  <c r="AH16" i="96" s="1"/>
  <c r="AH186" i="93"/>
  <c r="AH17" i="96" s="1"/>
  <c r="AF31" i="93"/>
  <c r="AF32" i="93" s="1"/>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24" i="93"/>
  <c r="AH114" i="93"/>
  <c r="B99" i="83"/>
  <c r="C36" i="30" s="1"/>
  <c r="AI36" i="30" s="1"/>
  <c r="AD38" i="93"/>
  <c r="AD41" i="93" s="1"/>
  <c r="AD45" i="93" s="1"/>
  <c r="AD152" i="93" s="1"/>
  <c r="AD171" i="93" s="1"/>
  <c r="AD174" i="93" s="1"/>
  <c r="AE33" i="93"/>
  <c r="AE34" i="93" s="1"/>
  <c r="AE139" i="93" s="1"/>
  <c r="AH16" i="92"/>
  <c r="AH70" i="93"/>
  <c r="AH20" i="93"/>
  <c r="N25" i="26" l="1"/>
  <c r="AF56" i="93"/>
  <c r="AF59" i="93" s="1"/>
  <c r="AF186" i="93"/>
  <c r="AF17" i="96" s="1"/>
  <c r="AF211" i="93"/>
  <c r="AF214" i="93"/>
  <c r="AF210" i="93"/>
  <c r="AF213" i="93"/>
  <c r="AF216" i="93"/>
  <c r="AF215" i="93"/>
  <c r="AF212" i="93"/>
  <c r="H29" i="26"/>
  <c r="AD29" i="26" s="1"/>
  <c r="AG15" i="93"/>
  <c r="AG17" i="93" s="1"/>
  <c r="AG97" i="93" s="1"/>
  <c r="AC219" i="93"/>
  <c r="AC224" i="93"/>
  <c r="AC222" i="93"/>
  <c r="AC225" i="93"/>
  <c r="AC221" i="93"/>
  <c r="AC223" i="93"/>
  <c r="AC220" i="93"/>
  <c r="AD10" i="96"/>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96"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19" i="96" s="1"/>
  <c r="AJ44" i="90"/>
  <c r="AJ44" i="92" s="1"/>
  <c r="AJ21" i="93" s="1"/>
  <c r="AJ40" i="90"/>
  <c r="AJ40" i="92" s="1"/>
  <c r="AJ11" i="93" s="1"/>
  <c r="AJ34" i="90"/>
  <c r="AJ34" i="92" s="1"/>
  <c r="AJ182" i="93" s="1"/>
  <c r="AJ183" i="93" s="1"/>
  <c r="AJ31" i="90"/>
  <c r="D36" i="30"/>
  <c r="AJ36" i="30" s="1"/>
  <c r="E36" i="30"/>
  <c r="AK36" i="30" s="1"/>
  <c r="B36" i="30"/>
  <c r="AH36" i="30" s="1"/>
  <c r="N38" i="26"/>
  <c r="K35" i="30"/>
  <c r="X36" i="30"/>
  <c r="W36" i="30"/>
  <c r="M38" i="26"/>
  <c r="H38" i="26"/>
  <c r="AD9" i="96"/>
  <c r="AD203" i="93"/>
  <c r="AD185" i="93"/>
  <c r="AD16" i="96" s="1"/>
  <c r="AD204" i="93"/>
  <c r="AD205" i="93"/>
  <c r="AD202" i="93"/>
  <c r="AD201" i="93"/>
  <c r="AD206" i="93"/>
  <c r="AD207" i="93"/>
  <c r="BC9" i="96"/>
  <c r="BC207" i="93"/>
  <c r="BC203" i="93"/>
  <c r="BC205" i="93"/>
  <c r="BC201" i="93"/>
  <c r="BC206" i="93"/>
  <c r="BC204" i="93"/>
  <c r="BC202" i="93"/>
  <c r="AC230" i="93"/>
  <c r="AC232" i="93"/>
  <c r="AC228" i="93"/>
  <c r="AC233" i="93"/>
  <c r="AC234" i="93"/>
  <c r="AC231" i="93"/>
  <c r="AC229" i="93"/>
  <c r="H30" i="26"/>
  <c r="AE30" i="26" s="1"/>
  <c r="BC38" i="93"/>
  <c r="BC41" i="93" s="1"/>
  <c r="AJ16" i="91"/>
  <c r="AJ7" i="92"/>
  <c r="AJ7" i="93" s="1"/>
  <c r="AK16" i="90"/>
  <c r="AK17" i="90"/>
  <c r="AK17" i="91" s="1"/>
  <c r="AK17" i="92" s="1"/>
  <c r="AJ7" i="96"/>
  <c r="AJ6" i="93"/>
  <c r="AI5" i="96"/>
  <c r="AI5" i="93"/>
  <c r="AI185" i="93"/>
  <c r="AI16" i="96" s="1"/>
  <c r="AI186" i="93"/>
  <c r="AI17" i="96" s="1"/>
  <c r="AI20" i="93"/>
  <c r="AI70" i="93"/>
  <c r="AH228" i="93"/>
  <c r="AH230" i="93"/>
  <c r="AH231" i="93"/>
  <c r="AH233" i="93"/>
  <c r="AH232" i="93"/>
  <c r="AH229" i="93"/>
  <c r="AH234" i="93"/>
  <c r="AI62" i="93"/>
  <c r="AI27" i="93"/>
  <c r="AI48" i="93" s="1"/>
  <c r="AI49" i="93" s="1"/>
  <c r="AI50" i="93" s="1"/>
  <c r="AH5" i="93"/>
  <c r="AH5" i="96"/>
  <c r="B100" i="83"/>
  <c r="C37" i="30" s="1"/>
  <c r="AI37" i="30" s="1"/>
  <c r="AE56" i="93"/>
  <c r="AE59" i="93" s="1"/>
  <c r="AE63" i="93" s="1"/>
  <c r="AE156" i="93" s="1"/>
  <c r="AE176" i="93" s="1"/>
  <c r="AE179" i="93" s="1"/>
  <c r="AI44" i="93"/>
  <c r="AI26" i="93"/>
  <c r="AI30" i="93" s="1"/>
  <c r="AI31" i="93" s="1"/>
  <c r="AI32" i="93" s="1"/>
  <c r="AI72" i="93"/>
  <c r="AI116" i="93"/>
  <c r="AH219" i="93"/>
  <c r="AH221" i="93"/>
  <c r="AH224" i="93"/>
  <c r="AH222" i="93"/>
  <c r="AH220" i="93"/>
  <c r="AH225" i="93"/>
  <c r="AH223" i="93"/>
  <c r="AI6" i="93"/>
  <c r="AI7" i="96"/>
  <c r="AE38" i="93"/>
  <c r="AE41" i="93" s="1"/>
  <c r="AE45" i="93" s="1"/>
  <c r="AE152" i="93" s="1"/>
  <c r="AE171" i="93" s="1"/>
  <c r="AE174" i="93" s="1"/>
  <c r="AH9" i="93"/>
  <c r="AH15" i="93" s="1"/>
  <c r="AH17" i="93" s="1"/>
  <c r="AH11" i="92"/>
  <c r="AH148" i="93" s="1"/>
  <c r="AH149" i="93" s="1"/>
  <c r="AI31" i="92"/>
  <c r="AI11" i="90"/>
  <c r="AI24" i="93"/>
  <c r="AI114" i="93"/>
  <c r="AF33" i="93"/>
  <c r="AF34" i="93" s="1"/>
  <c r="AF139" i="93" s="1"/>
  <c r="H36" i="26" l="1"/>
  <c r="AE36" i="26" s="1"/>
  <c r="AF228" i="93"/>
  <c r="AF234" i="93"/>
  <c r="AF230" i="93"/>
  <c r="AF231" i="93"/>
  <c r="AF232" i="93"/>
  <c r="AF233" i="93"/>
  <c r="AF229" i="93"/>
  <c r="AE29" i="26"/>
  <c r="N29" i="26" s="1"/>
  <c r="AD228" i="93"/>
  <c r="AG31" i="93"/>
  <c r="AG32" i="93" s="1"/>
  <c r="AG33" i="93" s="1"/>
  <c r="AG34" i="93" s="1"/>
  <c r="AG139" i="93" s="1"/>
  <c r="AD229" i="93"/>
  <c r="AD230" i="93"/>
  <c r="AD232" i="93"/>
  <c r="H31" i="26"/>
  <c r="AE31" i="26" s="1"/>
  <c r="AD231" i="93"/>
  <c r="AD234" i="93"/>
  <c r="AD233" i="93"/>
  <c r="AG117" i="93"/>
  <c r="AG120" i="93" s="1"/>
  <c r="AG49" i="93"/>
  <c r="AG50" i="93" s="1"/>
  <c r="AG51"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96"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183" i="93" s="1"/>
  <c r="AK43" i="90"/>
  <c r="AK43" i="92" s="1"/>
  <c r="AK38" i="90"/>
  <c r="AK38" i="92" s="1"/>
  <c r="AK10" i="93" s="1"/>
  <c r="AK14" i="93" s="1"/>
  <c r="AK31" i="90"/>
  <c r="AK33" i="90"/>
  <c r="AK33" i="92" s="1"/>
  <c r="AK190" i="93" s="1"/>
  <c r="AK19" i="96" s="1"/>
  <c r="AK45" i="90"/>
  <c r="AK45" i="92" s="1"/>
  <c r="AK22" i="93" s="1"/>
  <c r="D37" i="30"/>
  <c r="AJ37" i="30" s="1"/>
  <c r="E37" i="30"/>
  <c r="AK37" i="30" s="1"/>
  <c r="B37" i="30"/>
  <c r="AH37" i="30" s="1"/>
  <c r="AD30" i="26"/>
  <c r="N30" i="26" s="1"/>
  <c r="K36" i="30"/>
  <c r="X37" i="30"/>
  <c r="W37" i="30"/>
  <c r="H35" i="26"/>
  <c r="AE35" i="26" s="1"/>
  <c r="AE9" i="96"/>
  <c r="AE201" i="93"/>
  <c r="AE205" i="93"/>
  <c r="AE203" i="93"/>
  <c r="AE206" i="93"/>
  <c r="AE202" i="93"/>
  <c r="AE204" i="93"/>
  <c r="AE207" i="93"/>
  <c r="AE185" i="93"/>
  <c r="AE16" i="96" s="1"/>
  <c r="AE10" i="96"/>
  <c r="AE210" i="93"/>
  <c r="AE214" i="93"/>
  <c r="AE212" i="93"/>
  <c r="AE215" i="93"/>
  <c r="AE186" i="93"/>
  <c r="AE17" i="96" s="1"/>
  <c r="AE211" i="93"/>
  <c r="AE213" i="93"/>
  <c r="AE216" i="93"/>
  <c r="AD225" i="93"/>
  <c r="AD222" i="93"/>
  <c r="AD223" i="93"/>
  <c r="AD219" i="93"/>
  <c r="AD224" i="93"/>
  <c r="AD221" i="93"/>
  <c r="AD220" i="93"/>
  <c r="AJ16" i="92"/>
  <c r="AJ20" i="93"/>
  <c r="AJ70" i="93"/>
  <c r="AJ11" i="90"/>
  <c r="AJ31" i="92"/>
  <c r="AJ185" i="93"/>
  <c r="AJ16" i="96" s="1"/>
  <c r="AJ186" i="93"/>
  <c r="AJ17" i="96" s="1"/>
  <c r="AK6" i="93"/>
  <c r="E7" i="112" s="1" a="1"/>
  <c r="E7" i="112" s="1"/>
  <c r="AK7" i="96"/>
  <c r="AJ27" i="93"/>
  <c r="AJ48" i="93" s="1"/>
  <c r="AJ49" i="93" s="1"/>
  <c r="AJ50" i="93" s="1"/>
  <c r="AJ62" i="93"/>
  <c r="AK7" i="92"/>
  <c r="AK7" i="93" s="1"/>
  <c r="K7" i="112" s="1" a="1"/>
  <c r="AK16" i="91"/>
  <c r="AJ44" i="93"/>
  <c r="AJ26" i="93"/>
  <c r="AJ30" i="93" s="1"/>
  <c r="AJ31" i="93" s="1"/>
  <c r="AJ32" i="93" s="1"/>
  <c r="AJ116" i="93"/>
  <c r="AJ72" i="93"/>
  <c r="AJ24" i="93"/>
  <c r="AJ114" i="93"/>
  <c r="B101" i="83"/>
  <c r="C38" i="30" s="1"/>
  <c r="AI38" i="30" s="1"/>
  <c r="AI9" i="93"/>
  <c r="AI15" i="93" s="1"/>
  <c r="AI17" i="93" s="1"/>
  <c r="AI11" i="92"/>
  <c r="AI148" i="93" s="1"/>
  <c r="AI149" i="93" s="1"/>
  <c r="AH73" i="93"/>
  <c r="AH97" i="93"/>
  <c r="AH117" i="93"/>
  <c r="AH120" i="93" s="1"/>
  <c r="AH31" i="93"/>
  <c r="AH32" i="93" s="1"/>
  <c r="AI228" i="93"/>
  <c r="AI230" i="93"/>
  <c r="AI232" i="93"/>
  <c r="AI234" i="93"/>
  <c r="AI231" i="93"/>
  <c r="AI229" i="93"/>
  <c r="AI233" i="93"/>
  <c r="AF38" i="93"/>
  <c r="AF41" i="93" s="1"/>
  <c r="AF45" i="93" s="1"/>
  <c r="AF152" i="93" s="1"/>
  <c r="AF171" i="93" s="1"/>
  <c r="AF174" i="93" s="1"/>
  <c r="AI33" i="93"/>
  <c r="AI34" i="93"/>
  <c r="AI139" i="93" s="1"/>
  <c r="AI45" i="93"/>
  <c r="AI152" i="93" s="1"/>
  <c r="AI171" i="93" s="1"/>
  <c r="AI174" i="93" s="1"/>
  <c r="AI219" i="93"/>
  <c r="AI225" i="93"/>
  <c r="AI220" i="93"/>
  <c r="AI221" i="93"/>
  <c r="AI222" i="93"/>
  <c r="AI223" i="93"/>
  <c r="AI224" i="93"/>
  <c r="AH49" i="93"/>
  <c r="AH50" i="93" s="1"/>
  <c r="AI52" i="93"/>
  <c r="AI142" i="93" s="1"/>
  <c r="AI51" i="93"/>
  <c r="AI63" i="93"/>
  <c r="AI156" i="93" s="1"/>
  <c r="AI176" i="93" s="1"/>
  <c r="AI179" i="93" s="1"/>
  <c r="G70" i="114" l="1"/>
  <c r="G64" i="114"/>
  <c r="G58" i="114"/>
  <c r="G52" i="114"/>
  <c r="G46" i="114"/>
  <c r="G40" i="114"/>
  <c r="G34" i="114"/>
  <c r="G28" i="114"/>
  <c r="G66" i="114"/>
  <c r="G54" i="114"/>
  <c r="G48" i="114"/>
  <c r="G36" i="114"/>
  <c r="G30" i="114"/>
  <c r="G69" i="114"/>
  <c r="G63" i="114"/>
  <c r="G57" i="114"/>
  <c r="G51" i="114"/>
  <c r="G45" i="114"/>
  <c r="G39" i="114"/>
  <c r="G33" i="114"/>
  <c r="G27" i="114"/>
  <c r="G68" i="114"/>
  <c r="G62" i="114"/>
  <c r="G56" i="114"/>
  <c r="G50" i="114"/>
  <c r="G44" i="114"/>
  <c r="G38" i="114"/>
  <c r="G32" i="114"/>
  <c r="G26" i="114"/>
  <c r="G67" i="114"/>
  <c r="G61" i="114"/>
  <c r="G55" i="114"/>
  <c r="G49" i="114"/>
  <c r="G43" i="114"/>
  <c r="G37" i="114"/>
  <c r="G31" i="114"/>
  <c r="G60" i="114"/>
  <c r="G42" i="114"/>
  <c r="G65" i="114"/>
  <c r="G59" i="114"/>
  <c r="G53" i="114"/>
  <c r="G47" i="114"/>
  <c r="G41" i="114"/>
  <c r="G35" i="114"/>
  <c r="G29" i="114"/>
  <c r="AD36" i="26"/>
  <c r="N36" i="26" s="1"/>
  <c r="K7" i="112"/>
  <c r="AD31" i="26"/>
  <c r="N31" i="26" s="1"/>
  <c r="AG52" i="93"/>
  <c r="AG142" i="93" s="1"/>
  <c r="AG63" i="93"/>
  <c r="AG156" i="93" s="1"/>
  <c r="AG176" i="93" s="1"/>
  <c r="AG179" i="93" s="1"/>
  <c r="AG210" i="93" s="1"/>
  <c r="D38" i="30"/>
  <c r="AJ38" i="30" s="1"/>
  <c r="E38" i="30"/>
  <c r="AK38" i="30" s="1"/>
  <c r="B38" i="30"/>
  <c r="AH38" i="30" s="1"/>
  <c r="AD35" i="26"/>
  <c r="N35" i="26" s="1"/>
  <c r="K37" i="30"/>
  <c r="X38" i="30"/>
  <c r="W38" i="30"/>
  <c r="AI9" i="96"/>
  <c r="AI202" i="93"/>
  <c r="AI205" i="93"/>
  <c r="AI201" i="93"/>
  <c r="AI204" i="93"/>
  <c r="AI203" i="93"/>
  <c r="AI207" i="93"/>
  <c r="AI206" i="93"/>
  <c r="AE229" i="93"/>
  <c r="AE230" i="93"/>
  <c r="AE233" i="93"/>
  <c r="AE232" i="93"/>
  <c r="AE228" i="93"/>
  <c r="H32" i="26"/>
  <c r="AE32" i="26" s="1"/>
  <c r="AE234" i="93"/>
  <c r="AE231" i="93"/>
  <c r="AE219" i="93"/>
  <c r="AE224" i="93"/>
  <c r="AE221" i="93"/>
  <c r="AE225" i="93"/>
  <c r="AE223" i="93"/>
  <c r="AE222" i="93"/>
  <c r="AE220" i="93"/>
  <c r="AI10" i="96"/>
  <c r="AI210" i="93"/>
  <c r="AI214" i="93"/>
  <c r="AI215" i="93"/>
  <c r="AI213" i="93"/>
  <c r="AI212" i="93"/>
  <c r="AI216" i="93"/>
  <c r="AI211" i="93"/>
  <c r="AF9" i="96"/>
  <c r="AF203" i="93"/>
  <c r="AF202" i="93"/>
  <c r="AF185" i="93"/>
  <c r="AF16" i="96" s="1"/>
  <c r="H33" i="26" s="1"/>
  <c r="AE33" i="26" s="1"/>
  <c r="AF201" i="93"/>
  <c r="AF207" i="93"/>
  <c r="AF206" i="93"/>
  <c r="AF205" i="93"/>
  <c r="AF204" i="93"/>
  <c r="AK185" i="93"/>
  <c r="AK16" i="96" s="1"/>
  <c r="AK186" i="93"/>
  <c r="AK17" i="96" s="1"/>
  <c r="AK11" i="90"/>
  <c r="AK31" i="92"/>
  <c r="AK44" i="93"/>
  <c r="AK26" i="93"/>
  <c r="AK30" i="93" s="1"/>
  <c r="AK31" i="93" s="1"/>
  <c r="AK32"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50" i="93" s="1"/>
  <c r="AK114" i="93"/>
  <c r="AK24" i="93"/>
  <c r="AK116" i="93"/>
  <c r="AK72" i="93"/>
  <c r="B102" i="83"/>
  <c r="B103" i="83" s="1"/>
  <c r="B104" i="83" s="1"/>
  <c r="AJ34" i="93"/>
  <c r="AJ139" i="93" s="1"/>
  <c r="AJ33" i="93"/>
  <c r="AJ45" i="93"/>
  <c r="AJ152" i="93" s="1"/>
  <c r="AJ171" i="93" s="1"/>
  <c r="AJ174" i="93" s="1"/>
  <c r="AJ51" i="93"/>
  <c r="AJ52" i="93"/>
  <c r="AJ142" i="93" s="1"/>
  <c r="AJ63" i="93"/>
  <c r="AJ156" i="93" s="1"/>
  <c r="AJ176" i="93" s="1"/>
  <c r="AJ179" i="93" s="1"/>
  <c r="AJ228" i="93"/>
  <c r="AJ229" i="93"/>
  <c r="AJ231" i="93"/>
  <c r="AJ234" i="93"/>
  <c r="AJ233" i="93"/>
  <c r="AJ230" i="93"/>
  <c r="AJ232" i="93"/>
  <c r="AG38" i="93"/>
  <c r="AG41" i="93" s="1"/>
  <c r="AG45" i="93" s="1"/>
  <c r="AG152" i="93" s="1"/>
  <c r="AG171" i="93" s="1"/>
  <c r="AG174" i="93" s="1"/>
  <c r="AI73" i="93"/>
  <c r="AI97" i="93"/>
  <c r="AI117" i="93"/>
  <c r="AI120" i="93" s="1"/>
  <c r="AI38" i="93"/>
  <c r="AI41" i="93" s="1"/>
  <c r="AI56" i="93"/>
  <c r="AI59" i="93" s="1"/>
  <c r="AH52" i="93"/>
  <c r="AH142" i="93" s="1"/>
  <c r="AH63" i="93"/>
  <c r="AH156" i="93" s="1"/>
  <c r="AH176" i="93" s="1"/>
  <c r="AH179" i="93" s="1"/>
  <c r="AH51" i="93"/>
  <c r="AH33" i="93"/>
  <c r="AH34" i="93" s="1"/>
  <c r="AH139" i="93" s="1"/>
  <c r="G25" i="114" l="1"/>
  <c r="AG56" i="93"/>
  <c r="AG59" i="93" s="1"/>
  <c r="AG216" i="93"/>
  <c r="AG214" i="93"/>
  <c r="AG212" i="93"/>
  <c r="AG215" i="93"/>
  <c r="AG211" i="93"/>
  <c r="AG213" i="93"/>
  <c r="AG10" i="96"/>
  <c r="AG186" i="93"/>
  <c r="AH10" i="96"/>
  <c r="AH213" i="93"/>
  <c r="AH214" i="93"/>
  <c r="AH210" i="93"/>
  <c r="AH211" i="93"/>
  <c r="AH216" i="93"/>
  <c r="AH212" i="93"/>
  <c r="AH215" i="93"/>
  <c r="AD33" i="26"/>
  <c r="N33" i="26" s="1"/>
  <c r="AD32" i="26"/>
  <c r="N32" i="26" s="1"/>
  <c r="C12" i="108"/>
  <c r="K38" i="30"/>
  <c r="AJ38" i="93"/>
  <c r="AJ41" i="93" s="1"/>
  <c r="AJ56" i="93"/>
  <c r="AJ59" i="93" s="1"/>
  <c r="AG9" i="96"/>
  <c r="AG185" i="93"/>
  <c r="AG16" i="96" s="1"/>
  <c r="AG201" i="93"/>
  <c r="AG207" i="93"/>
  <c r="AG202" i="93"/>
  <c r="AG204" i="93"/>
  <c r="AG203" i="93"/>
  <c r="AG205" i="93"/>
  <c r="AG206" i="93"/>
  <c r="AF223" i="93"/>
  <c r="AF221" i="93"/>
  <c r="AF224" i="93"/>
  <c r="AF219" i="93"/>
  <c r="AF222" i="93"/>
  <c r="AF225" i="93"/>
  <c r="AF220" i="93"/>
  <c r="AJ10" i="96"/>
  <c r="AJ215" i="93"/>
  <c r="AJ210" i="93"/>
  <c r="AJ211" i="93"/>
  <c r="AJ216" i="93"/>
  <c r="AJ214" i="93"/>
  <c r="AJ213" i="93"/>
  <c r="AJ212" i="93"/>
  <c r="AJ9" i="96"/>
  <c r="AJ202" i="93"/>
  <c r="AJ207" i="93"/>
  <c r="AJ201" i="93"/>
  <c r="AJ206" i="93"/>
  <c r="AJ205" i="93"/>
  <c r="AJ204" i="93"/>
  <c r="AJ203" i="93"/>
  <c r="AK45" i="93"/>
  <c r="AK152" i="93" s="1"/>
  <c r="AK171" i="93" s="1"/>
  <c r="AK174" i="93" s="1"/>
  <c r="AK34" i="93"/>
  <c r="AK139" i="93" s="1"/>
  <c r="AK33" i="93"/>
  <c r="AK228" i="93"/>
  <c r="AK229" i="93"/>
  <c r="AK230" i="93"/>
  <c r="AK232" i="93"/>
  <c r="AK233" i="93"/>
  <c r="AK234" i="93"/>
  <c r="AK231" i="93"/>
  <c r="AK5" i="96"/>
  <c r="H24" i="27" s="1"/>
  <c r="AK5" i="93"/>
  <c r="F7" i="112" s="1" a="1"/>
  <c r="AJ73" i="93"/>
  <c r="AJ117" i="93"/>
  <c r="AJ120" i="93" s="1"/>
  <c r="AJ97" i="93"/>
  <c r="AK220" i="93"/>
  <c r="AK219" i="93"/>
  <c r="AK223" i="93"/>
  <c r="AK224" i="93"/>
  <c r="AK222" i="93"/>
  <c r="AK225" i="93"/>
  <c r="AK221" i="93"/>
  <c r="AK51" i="93"/>
  <c r="AK52" i="93"/>
  <c r="AK142" i="93" s="1"/>
  <c r="AK63" i="93"/>
  <c r="AK156" i="93" s="1"/>
  <c r="AK176" i="93" s="1"/>
  <c r="AK179" i="93" s="1"/>
  <c r="AK11" i="92"/>
  <c r="AK148" i="93" s="1"/>
  <c r="AK149" i="93" s="1"/>
  <c r="AK9" i="93"/>
  <c r="AK15" i="93" s="1"/>
  <c r="AK17" i="93" s="1"/>
  <c r="AH38" i="93"/>
  <c r="AH41" i="93" s="1"/>
  <c r="AH45" i="93" s="1"/>
  <c r="AH152" i="93" s="1"/>
  <c r="AH171" i="93" s="1"/>
  <c r="AH174" i="93" s="1"/>
  <c r="AH56" i="93"/>
  <c r="AH59" i="93" s="1"/>
  <c r="F107" i="114" l="1"/>
  <c r="F95" i="114"/>
  <c r="F83" i="114"/>
  <c r="F65" i="114"/>
  <c r="F59" i="114"/>
  <c r="F53" i="114"/>
  <c r="F47" i="114"/>
  <c r="F41" i="114"/>
  <c r="F35" i="114"/>
  <c r="F29" i="114"/>
  <c r="F106" i="114"/>
  <c r="F94" i="114"/>
  <c r="F82" i="114"/>
  <c r="F105" i="114"/>
  <c r="F93" i="114"/>
  <c r="F81" i="114"/>
  <c r="F70" i="114"/>
  <c r="F64" i="114"/>
  <c r="F58" i="114"/>
  <c r="F52" i="114"/>
  <c r="F46" i="114"/>
  <c r="F40" i="114"/>
  <c r="F34" i="114"/>
  <c r="F28" i="114"/>
  <c r="F111" i="114"/>
  <c r="F75" i="114"/>
  <c r="F61" i="114"/>
  <c r="F49" i="114"/>
  <c r="F43" i="114"/>
  <c r="F31" i="114"/>
  <c r="F110" i="114"/>
  <c r="F86" i="114"/>
  <c r="F74" i="114"/>
  <c r="F109" i="114"/>
  <c r="F97" i="114"/>
  <c r="F85" i="114"/>
  <c r="F73" i="114"/>
  <c r="F66" i="114"/>
  <c r="F60" i="114"/>
  <c r="F54" i="114"/>
  <c r="F48" i="114"/>
  <c r="F42" i="114"/>
  <c r="F36" i="114"/>
  <c r="F30" i="114"/>
  <c r="F116" i="114"/>
  <c r="F104" i="114"/>
  <c r="F92" i="114"/>
  <c r="F80" i="114"/>
  <c r="F115" i="114"/>
  <c r="F103" i="114"/>
  <c r="F91" i="114"/>
  <c r="F79" i="114"/>
  <c r="F69" i="114"/>
  <c r="F63" i="114"/>
  <c r="F57" i="114"/>
  <c r="F51" i="114"/>
  <c r="F45" i="114"/>
  <c r="F39" i="114"/>
  <c r="F33" i="114"/>
  <c r="F27" i="114"/>
  <c r="F114" i="114"/>
  <c r="F102" i="114"/>
  <c r="F90" i="114"/>
  <c r="F78" i="114"/>
  <c r="F113" i="114"/>
  <c r="F101" i="114"/>
  <c r="F89" i="114"/>
  <c r="F77" i="114"/>
  <c r="F68" i="114"/>
  <c r="F62" i="114"/>
  <c r="F56" i="114"/>
  <c r="F50" i="114"/>
  <c r="F44" i="114"/>
  <c r="F38" i="114"/>
  <c r="F32" i="114"/>
  <c r="F26" i="114"/>
  <c r="F112" i="114"/>
  <c r="F100" i="114"/>
  <c r="F88" i="114"/>
  <c r="F76" i="114"/>
  <c r="F99" i="114"/>
  <c r="F87" i="114"/>
  <c r="F67" i="114"/>
  <c r="F55" i="114"/>
  <c r="F37" i="114"/>
  <c r="F98" i="114"/>
  <c r="F108" i="114"/>
  <c r="F96" i="114"/>
  <c r="F84" i="114"/>
  <c r="F72" i="114"/>
  <c r="AE24" i="27"/>
  <c r="G7" i="112" a="1"/>
  <c r="G7" i="112" s="1"/>
  <c r="F7" i="112"/>
  <c r="O11" i="112"/>
  <c r="O15" i="112"/>
  <c r="O19" i="112"/>
  <c r="O23" i="112"/>
  <c r="O8" i="112"/>
  <c r="O16" i="112"/>
  <c r="O20" i="112"/>
  <c r="O13" i="112"/>
  <c r="O21" i="112"/>
  <c r="O14" i="112"/>
  <c r="O22" i="112"/>
  <c r="O9" i="112"/>
  <c r="O17" i="112"/>
  <c r="O18" i="112"/>
  <c r="AG17" i="96"/>
  <c r="H34" i="26" s="1"/>
  <c r="AE34" i="26" s="1"/>
  <c r="AG228" i="93"/>
  <c r="H228" i="93" s="1"/>
  <c r="F269" i="93" s="1"/>
  <c r="F223" i="94" s="1"/>
  <c r="AG232" i="93"/>
  <c r="H232" i="93" s="1"/>
  <c r="F273" i="93" s="1"/>
  <c r="F227" i="94" s="1"/>
  <c r="AG234" i="93"/>
  <c r="H234" i="93" s="1"/>
  <c r="F275" i="93" s="1"/>
  <c r="F229" i="94" s="1"/>
  <c r="AG229" i="93"/>
  <c r="H229" i="93" s="1"/>
  <c r="F270" i="93" s="1"/>
  <c r="F224" i="94" s="1"/>
  <c r="AG231" i="93"/>
  <c r="H231" i="93" s="1"/>
  <c r="F272" i="93" s="1"/>
  <c r="F226" i="94" s="1"/>
  <c r="AG230" i="93"/>
  <c r="H230" i="93" s="1"/>
  <c r="F271" i="93" s="1"/>
  <c r="F225" i="94" s="1"/>
  <c r="AG233" i="93"/>
  <c r="H233" i="93" s="1"/>
  <c r="F274" i="93" s="1"/>
  <c r="F228" i="94" s="1"/>
  <c r="AH9" i="96"/>
  <c r="AH205" i="93"/>
  <c r="AH203" i="93"/>
  <c r="AH201" i="93"/>
  <c r="AH202" i="93"/>
  <c r="AH204" i="93"/>
  <c r="AH207" i="93"/>
  <c r="AH206" i="93"/>
  <c r="H12" i="27"/>
  <c r="AD24" i="27"/>
  <c r="H12" i="26"/>
  <c r="AE12" i="26" s="1"/>
  <c r="H14" i="26"/>
  <c r="AE14" i="26" s="1"/>
  <c r="H25" i="27"/>
  <c r="AE25" i="27" s="1"/>
  <c r="H15" i="27"/>
  <c r="H16" i="27"/>
  <c r="H21" i="27"/>
  <c r="H19" i="27"/>
  <c r="H9" i="27"/>
  <c r="H11" i="27"/>
  <c r="H17" i="27"/>
  <c r="H10" i="27"/>
  <c r="H20" i="27"/>
  <c r="H18" i="27"/>
  <c r="H23" i="27"/>
  <c r="H22" i="27"/>
  <c r="AK10" i="96"/>
  <c r="AK211" i="93"/>
  <c r="H211" i="93" s="1"/>
  <c r="F252" i="93" s="1"/>
  <c r="F115" i="94" s="1"/>
  <c r="J145" i="94" s="1"/>
  <c r="AK213" i="93"/>
  <c r="H213" i="93" s="1"/>
  <c r="F254" i="93" s="1"/>
  <c r="F117" i="94" s="1"/>
  <c r="K147" i="94" s="1"/>
  <c r="AK216" i="93"/>
  <c r="H216" i="93" s="1"/>
  <c r="F257" i="93" s="1"/>
  <c r="F120" i="94" s="1"/>
  <c r="L150" i="94" s="1"/>
  <c r="L189" i="94" s="1"/>
  <c r="AK215" i="93"/>
  <c r="H215" i="93" s="1"/>
  <c r="F256" i="93" s="1"/>
  <c r="F119" i="94" s="1"/>
  <c r="L149" i="94" s="1"/>
  <c r="L188" i="94" s="1"/>
  <c r="AK212" i="93"/>
  <c r="H212" i="93" s="1"/>
  <c r="F253" i="93" s="1"/>
  <c r="F116" i="94" s="1"/>
  <c r="K146" i="94" s="1"/>
  <c r="AK214" i="93"/>
  <c r="H214" i="93" s="1"/>
  <c r="F255" i="93" s="1"/>
  <c r="F118" i="94" s="1"/>
  <c r="L148" i="94" s="1"/>
  <c r="L187" i="94" s="1"/>
  <c r="AK210" i="93"/>
  <c r="H210" i="93" s="1"/>
  <c r="F251" i="93" s="1"/>
  <c r="F114" i="94" s="1"/>
  <c r="AK9" i="96"/>
  <c r="AK203" i="93"/>
  <c r="AK205" i="93"/>
  <c r="AK206" i="93"/>
  <c r="AK201" i="93"/>
  <c r="AK207" i="93"/>
  <c r="AK202" i="93"/>
  <c r="AK204" i="93"/>
  <c r="AG224" i="93"/>
  <c r="H224" i="93" s="1"/>
  <c r="F265" i="93" s="1"/>
  <c r="AG221" i="93"/>
  <c r="H221" i="93" s="1"/>
  <c r="F262" i="93" s="1"/>
  <c r="AG220" i="93"/>
  <c r="H220" i="93" s="1"/>
  <c r="F261" i="93" s="1"/>
  <c r="AG225" i="93"/>
  <c r="H225" i="93" s="1"/>
  <c r="F266" i="93" s="1"/>
  <c r="AG223" i="93"/>
  <c r="H223" i="93" s="1"/>
  <c r="F264" i="93" s="1"/>
  <c r="AG219" i="93"/>
  <c r="H219" i="93" s="1"/>
  <c r="F260" i="93" s="1"/>
  <c r="AG222" i="93"/>
  <c r="H222" i="93" s="1"/>
  <c r="F263" i="93" s="1"/>
  <c r="AK56" i="93"/>
  <c r="AK59" i="93" s="1"/>
  <c r="AK38" i="93"/>
  <c r="AK41" i="93" s="1"/>
  <c r="AK73" i="93"/>
  <c r="AK117" i="93"/>
  <c r="AK120" i="93" s="1"/>
  <c r="AK97" i="93"/>
  <c r="O7" i="112" l="1"/>
  <c r="F71" i="114"/>
  <c r="F25" i="114"/>
  <c r="AE11" i="27"/>
  <c r="AE9" i="27"/>
  <c r="AE22" i="27"/>
  <c r="AE19" i="27"/>
  <c r="AE12" i="27"/>
  <c r="AE23" i="27"/>
  <c r="AE21" i="27"/>
  <c r="AE18" i="27"/>
  <c r="AE16" i="27"/>
  <c r="AE17" i="27"/>
  <c r="AE20" i="27"/>
  <c r="AE15" i="27"/>
  <c r="AE10" i="27"/>
  <c r="O34" i="112"/>
  <c r="O26" i="112"/>
  <c r="O29" i="112"/>
  <c r="O33" i="112"/>
  <c r="O30" i="112"/>
  <c r="O32" i="112"/>
  <c r="O25" i="112"/>
  <c r="O28" i="112"/>
  <c r="O31" i="112"/>
  <c r="O24" i="112"/>
  <c r="O27" i="112"/>
  <c r="O10" i="112"/>
  <c r="O12" i="112"/>
  <c r="O45" i="112"/>
  <c r="O44" i="112"/>
  <c r="O50" i="112"/>
  <c r="O36" i="112"/>
  <c r="O51" i="112"/>
  <c r="O46" i="112"/>
  <c r="O35" i="112"/>
  <c r="O37" i="112"/>
  <c r="O39" i="112"/>
  <c r="O52" i="112"/>
  <c r="O38" i="112"/>
  <c r="O40" i="112"/>
  <c r="O41" i="112"/>
  <c r="O48" i="112"/>
  <c r="O47" i="112"/>
  <c r="O43" i="112"/>
  <c r="O42" i="112"/>
  <c r="O49" i="112"/>
  <c r="P7" i="112" a="1"/>
  <c r="L152" i="94"/>
  <c r="K152" i="94"/>
  <c r="K167" i="94" s="1"/>
  <c r="F122" i="94"/>
  <c r="J144" i="94"/>
  <c r="F312" i="93"/>
  <c r="F199" i="94" s="1"/>
  <c r="F313" i="93"/>
  <c r="F200" i="94" s="1"/>
  <c r="F290" i="93"/>
  <c r="F235" i="94" s="1"/>
  <c r="F289" i="93"/>
  <c r="F234" i="94" s="1"/>
  <c r="F288" i="93"/>
  <c r="F233" i="94" s="1"/>
  <c r="F291" i="93"/>
  <c r="F236" i="94" s="1"/>
  <c r="F292" i="93"/>
  <c r="F237" i="94" s="1"/>
  <c r="F287" i="93"/>
  <c r="F232" i="94" s="1"/>
  <c r="F293" i="93"/>
  <c r="F238" i="94" s="1"/>
  <c r="AD34" i="26"/>
  <c r="N34" i="26" s="1"/>
  <c r="H202" i="93"/>
  <c r="F243" i="93" s="1"/>
  <c r="H204" i="93"/>
  <c r="F245" i="93" s="1"/>
  <c r="H207" i="93"/>
  <c r="F248" i="93" s="1"/>
  <c r="H203" i="93"/>
  <c r="F244" i="93" s="1"/>
  <c r="H205" i="93"/>
  <c r="F246" i="93" s="1"/>
  <c r="H201" i="93"/>
  <c r="F242" i="93" s="1"/>
  <c r="H206" i="93"/>
  <c r="F247" i="93" s="1"/>
  <c r="N24" i="27"/>
  <c r="AD10" i="27"/>
  <c r="AD9" i="27"/>
  <c r="AD11" i="27"/>
  <c r="AD12" i="27"/>
  <c r="AD25" i="27"/>
  <c r="AD16" i="27"/>
  <c r="AD22" i="27"/>
  <c r="AD15" i="27"/>
  <c r="AD20" i="27"/>
  <c r="AD23" i="27"/>
  <c r="AD17" i="27"/>
  <c r="AD19" i="27"/>
  <c r="AD18" i="27"/>
  <c r="AD21" i="27"/>
  <c r="AD14" i="26"/>
  <c r="N14" i="26" s="1"/>
  <c r="AD12" i="26"/>
  <c r="N12" i="26" s="1"/>
  <c r="F311" i="93"/>
  <c r="F198" i="94" s="1"/>
  <c r="F309" i="93"/>
  <c r="F196" i="94" s="1"/>
  <c r="F310" i="93"/>
  <c r="F197" i="94" s="1"/>
  <c r="F308" i="93"/>
  <c r="F195" i="94" s="1"/>
  <c r="F307" i="93"/>
  <c r="F194" i="94" s="1"/>
  <c r="N9" i="27" l="1"/>
  <c r="G93" i="114"/>
  <c r="G81" i="114"/>
  <c r="G103" i="114"/>
  <c r="G85" i="114"/>
  <c r="G114" i="114"/>
  <c r="G108" i="114"/>
  <c r="G102" i="114"/>
  <c r="G96" i="114"/>
  <c r="G90" i="114"/>
  <c r="G84" i="114"/>
  <c r="G78" i="114"/>
  <c r="G72" i="114"/>
  <c r="G113" i="114"/>
  <c r="G107" i="114"/>
  <c r="G101" i="114"/>
  <c r="G95" i="114"/>
  <c r="G89" i="114"/>
  <c r="G83" i="114"/>
  <c r="G77" i="114"/>
  <c r="G106" i="114"/>
  <c r="G100" i="114"/>
  <c r="G88" i="114"/>
  <c r="G76" i="114"/>
  <c r="G111" i="114"/>
  <c r="G105" i="114"/>
  <c r="G99" i="114"/>
  <c r="G87" i="114"/>
  <c r="G75" i="114"/>
  <c r="G115" i="114"/>
  <c r="G97" i="114"/>
  <c r="G73" i="114"/>
  <c r="G116" i="114"/>
  <c r="G110" i="114"/>
  <c r="G104" i="114"/>
  <c r="G98" i="114"/>
  <c r="G92" i="114"/>
  <c r="G86" i="114"/>
  <c r="G80" i="114"/>
  <c r="G74" i="114"/>
  <c r="G109" i="114"/>
  <c r="G91" i="114"/>
  <c r="G79" i="114"/>
  <c r="G112" i="114"/>
  <c r="G94" i="114"/>
  <c r="G82" i="114"/>
  <c r="N11" i="27"/>
  <c r="N15" i="27"/>
  <c r="N10" i="27"/>
  <c r="F333" i="93"/>
  <c r="F75" i="95" s="1"/>
  <c r="F332" i="93"/>
  <c r="F74" i="95" s="1"/>
  <c r="P7" i="112"/>
  <c r="J152" i="94"/>
  <c r="J165" i="94" s="1"/>
  <c r="K168" i="94"/>
  <c r="K170" i="94"/>
  <c r="K165" i="94"/>
  <c r="K169" i="94"/>
  <c r="K166" i="94"/>
  <c r="K171" i="94"/>
  <c r="F8" i="94"/>
  <c r="J17" i="94" s="1"/>
  <c r="F104" i="94"/>
  <c r="F125" i="94" s="1"/>
  <c r="J134" i="94" s="1"/>
  <c r="F281" i="93"/>
  <c r="F321" i="93" s="1"/>
  <c r="F63" i="95" s="1"/>
  <c r="F107" i="94"/>
  <c r="F128" i="94" s="1"/>
  <c r="K137" i="94" s="1"/>
  <c r="F282" i="93"/>
  <c r="F322" i="93" s="1"/>
  <c r="F64" i="95" s="1"/>
  <c r="F108" i="94"/>
  <c r="F129" i="94" s="1"/>
  <c r="L138" i="94" s="1"/>
  <c r="F9" i="94"/>
  <c r="J18" i="94" s="1"/>
  <c r="F105" i="94"/>
  <c r="F126" i="94" s="1"/>
  <c r="J135" i="94" s="1"/>
  <c r="F10" i="94"/>
  <c r="K19" i="94" s="1"/>
  <c r="F106" i="94"/>
  <c r="F127" i="94" s="1"/>
  <c r="K136" i="94" s="1"/>
  <c r="F283" i="93"/>
  <c r="F323" i="93" s="1"/>
  <c r="F65" i="95" s="1"/>
  <c r="F109" i="94"/>
  <c r="F130" i="94" s="1"/>
  <c r="L139" i="94" s="1"/>
  <c r="F14" i="94"/>
  <c r="L23" i="94" s="1"/>
  <c r="F110" i="94"/>
  <c r="F330" i="93"/>
  <c r="F72" i="95" s="1"/>
  <c r="F327" i="93"/>
  <c r="F69" i="95" s="1"/>
  <c r="F329" i="93"/>
  <c r="F71" i="95" s="1"/>
  <c r="F328" i="93"/>
  <c r="F70" i="95" s="1"/>
  <c r="F331" i="93"/>
  <c r="F73" i="95" s="1"/>
  <c r="F11" i="94"/>
  <c r="K20" i="94" s="1"/>
  <c r="F301" i="93"/>
  <c r="F71" i="94" s="1"/>
  <c r="F299" i="93"/>
  <c r="F69" i="94" s="1"/>
  <c r="F279" i="93"/>
  <c r="F319" i="93" s="1"/>
  <c r="F61" i="95" s="1"/>
  <c r="F280" i="93"/>
  <c r="F320" i="93" s="1"/>
  <c r="F62" i="95" s="1"/>
  <c r="F304" i="93"/>
  <c r="F74" i="94" s="1"/>
  <c r="F284" i="93"/>
  <c r="F324" i="93" s="1"/>
  <c r="F66" i="95" s="1"/>
  <c r="F300" i="93"/>
  <c r="F70" i="94" s="1"/>
  <c r="F12" i="94"/>
  <c r="L21" i="94" s="1"/>
  <c r="F302" i="93"/>
  <c r="F72" i="94" s="1"/>
  <c r="F278" i="93"/>
  <c r="F318" i="93" s="1"/>
  <c r="F60" i="95" s="1"/>
  <c r="F298" i="93"/>
  <c r="F68" i="94" s="1"/>
  <c r="F303" i="93"/>
  <c r="F73" i="94" s="1"/>
  <c r="F13" i="94"/>
  <c r="L22" i="94" s="1"/>
  <c r="N16" i="27"/>
  <c r="N18" i="27"/>
  <c r="N17" i="27"/>
  <c r="N20" i="27"/>
  <c r="N12" i="27"/>
  <c r="N21" i="27"/>
  <c r="N19" i="27"/>
  <c r="N23" i="27"/>
  <c r="N22" i="27"/>
  <c r="N25" i="27"/>
  <c r="D8" i="108"/>
  <c r="D9" i="108"/>
  <c r="G71" i="114" l="1"/>
  <c r="J142" i="94"/>
  <c r="J156" i="94" s="1"/>
  <c r="J159" i="94" s="1"/>
  <c r="J25" i="94"/>
  <c r="J39" i="94" s="1"/>
  <c r="J167" i="94"/>
  <c r="J166" i="94"/>
  <c r="J171" i="94"/>
  <c r="J168" i="94"/>
  <c r="J169" i="94"/>
  <c r="J170" i="94"/>
  <c r="K25" i="94"/>
  <c r="K39" i="94" s="1"/>
  <c r="F131" i="94"/>
  <c r="L140" i="94" s="1"/>
  <c r="K142" i="94"/>
  <c r="K156" i="94" s="1"/>
  <c r="K159" i="94" s="1"/>
  <c r="F112" i="94"/>
  <c r="L25" i="94"/>
  <c r="L39" i="94" s="1"/>
  <c r="L48" i="94" s="1"/>
  <c r="L57" i="94" s="1"/>
  <c r="L142" i="94" l="1"/>
  <c r="J44" i="94"/>
  <c r="J40" i="94"/>
  <c r="J45" i="94"/>
  <c r="J41" i="94"/>
  <c r="J43" i="94"/>
  <c r="K43" i="94"/>
  <c r="J42" i="94"/>
  <c r="J32" i="94"/>
  <c r="J34" i="94" s="1"/>
  <c r="J48" i="94" s="1"/>
  <c r="J57" i="94" s="1"/>
  <c r="K40" i="94"/>
  <c r="K44" i="94"/>
  <c r="K42" i="94"/>
  <c r="K45" i="94"/>
  <c r="K32" i="94"/>
  <c r="K34" i="94" s="1"/>
  <c r="K48" i="94" s="1"/>
  <c r="K57" i="94" s="1"/>
  <c r="K41" i="94"/>
  <c r="K179" i="94"/>
  <c r="K188" i="94" s="1"/>
  <c r="K178" i="94"/>
  <c r="K187" i="94" s="1"/>
  <c r="K180" i="94"/>
  <c r="K189" i="94" s="1"/>
  <c r="K174" i="94"/>
  <c r="K183" i="94" s="1"/>
  <c r="K176" i="94"/>
  <c r="K185" i="94" s="1"/>
  <c r="K177" i="94"/>
  <c r="K186" i="94" s="1"/>
  <c r="K175" i="94"/>
  <c r="K184" i="94" s="1"/>
  <c r="J180" i="94"/>
  <c r="J189" i="94" s="1"/>
  <c r="J178" i="94"/>
  <c r="J187" i="94" s="1"/>
  <c r="J177" i="94"/>
  <c r="J186" i="94" s="1"/>
  <c r="J175" i="94"/>
  <c r="J184" i="94" s="1"/>
  <c r="J176" i="94"/>
  <c r="J185" i="94" s="1"/>
  <c r="J179" i="94"/>
  <c r="J188" i="94" s="1"/>
  <c r="J174" i="94"/>
  <c r="J183" i="94" s="1"/>
  <c r="L43" i="94"/>
  <c r="L52" i="94" s="1"/>
  <c r="L61" i="94" s="1"/>
  <c r="L42" i="94"/>
  <c r="L51" i="94" s="1"/>
  <c r="L60" i="94" s="1"/>
  <c r="L40" i="94"/>
  <c r="L49" i="94" s="1"/>
  <c r="L58" i="94" s="1"/>
  <c r="L44" i="94"/>
  <c r="L53" i="94" s="1"/>
  <c r="L62" i="94" s="1"/>
  <c r="L41" i="94"/>
  <c r="L50" i="94" s="1"/>
  <c r="L59" i="94" s="1"/>
  <c r="L45" i="94"/>
  <c r="L54" i="94" s="1"/>
  <c r="L63" i="94" s="1"/>
  <c r="J49" i="94" l="1"/>
  <c r="J58" i="94" s="1"/>
  <c r="J51" i="94"/>
  <c r="J60" i="94" s="1"/>
  <c r="J53" i="94"/>
  <c r="J62" i="94" s="1"/>
  <c r="J54" i="94"/>
  <c r="J63" i="94" s="1"/>
  <c r="J50" i="94"/>
  <c r="J59" i="94" s="1"/>
  <c r="H57" i="94"/>
  <c r="F77" i="94" s="1"/>
  <c r="F8" i="95" s="1"/>
  <c r="J52" i="94"/>
  <c r="J61" i="94" s="1"/>
  <c r="K51" i="94"/>
  <c r="K60" i="94" s="1"/>
  <c r="K54" i="94"/>
  <c r="K63" i="94" s="1"/>
  <c r="K53" i="94"/>
  <c r="K62" i="94" s="1"/>
  <c r="K50" i="94"/>
  <c r="K59" i="94" s="1"/>
  <c r="K49" i="94"/>
  <c r="K58" i="94" s="1"/>
  <c r="K52" i="94"/>
  <c r="K61" i="94" s="1"/>
  <c r="H185" i="94"/>
  <c r="H186" i="94"/>
  <c r="H189" i="94"/>
  <c r="H184" i="94"/>
  <c r="H188" i="94"/>
  <c r="H187" i="94"/>
  <c r="H183" i="94"/>
  <c r="F52" i="95" l="1"/>
  <c r="F108" i="95" s="1"/>
  <c r="F215" i="94"/>
  <c r="F206" i="94"/>
  <c r="F55" i="95"/>
  <c r="F111" i="95" s="1"/>
  <c r="F209" i="94"/>
  <c r="F218" i="94"/>
  <c r="F50" i="95"/>
  <c r="F97" i="95" s="1"/>
  <c r="F213" i="94"/>
  <c r="F204" i="94"/>
  <c r="F19" i="95"/>
  <c r="F205" i="94"/>
  <c r="F214" i="94"/>
  <c r="F203" i="94"/>
  <c r="F212" i="94"/>
  <c r="F53" i="95"/>
  <c r="F109" i="95" s="1"/>
  <c r="F207" i="94"/>
  <c r="F216" i="94"/>
  <c r="F22" i="95"/>
  <c r="F208" i="94"/>
  <c r="F217" i="94"/>
  <c r="H58" i="94"/>
  <c r="F78" i="94" s="1"/>
  <c r="F9" i="95" s="1"/>
  <c r="H61" i="94"/>
  <c r="F90" i="94" s="1"/>
  <c r="F44" i="95" s="1"/>
  <c r="F82" i="95" s="1"/>
  <c r="H60" i="94"/>
  <c r="F80" i="94" s="1"/>
  <c r="F11" i="95" s="1"/>
  <c r="H63" i="94"/>
  <c r="F92" i="94" s="1"/>
  <c r="F46" i="95" s="1"/>
  <c r="F84" i="95" s="1"/>
  <c r="H62" i="94"/>
  <c r="F91" i="94" s="1"/>
  <c r="F45" i="95" s="1"/>
  <c r="F92" i="95" s="1"/>
  <c r="F86" i="94"/>
  <c r="F40" i="95" s="1"/>
  <c r="F78" i="95" s="1"/>
  <c r="H59" i="94"/>
  <c r="F79" i="94" s="1"/>
  <c r="F10" i="95" s="1"/>
  <c r="F51" i="95"/>
  <c r="F107" i="95" s="1"/>
  <c r="F18" i="95"/>
  <c r="F20" i="95"/>
  <c r="F54" i="95"/>
  <c r="F110" i="95" s="1"/>
  <c r="F23" i="95"/>
  <c r="F21" i="95"/>
  <c r="F17" i="95"/>
  <c r="F26" i="95" s="1"/>
  <c r="F7" i="97" s="1"/>
  <c r="G4" i="114" s="1"/>
  <c r="F49" i="95"/>
  <c r="F96" i="95" s="1"/>
  <c r="F102" i="95" l="1"/>
  <c r="F122" i="95" s="1"/>
  <c r="F25" i="97" s="1"/>
  <c r="F116" i="95"/>
  <c r="F19" i="97" s="1"/>
  <c r="F106" i="95"/>
  <c r="F100" i="95"/>
  <c r="F120" i="95" s="1"/>
  <c r="F23" i="97" s="1"/>
  <c r="F99" i="95"/>
  <c r="F28" i="95"/>
  <c r="F9" i="97" s="1"/>
  <c r="F27" i="95"/>
  <c r="F8" i="97" s="1"/>
  <c r="F81" i="94"/>
  <c r="F12" i="95" s="1"/>
  <c r="F30" i="95" s="1"/>
  <c r="F11" i="97" s="1"/>
  <c r="F87" i="94"/>
  <c r="F41" i="95" s="1"/>
  <c r="F88" i="95" s="1"/>
  <c r="F93" i="95"/>
  <c r="F131" i="95" s="1"/>
  <c r="F34" i="97" s="1"/>
  <c r="F89" i="94"/>
  <c r="F43" i="95" s="1"/>
  <c r="F90" i="95" s="1"/>
  <c r="F128" i="95" s="1"/>
  <c r="F31" i="97" s="1"/>
  <c r="F87" i="95"/>
  <c r="F91" i="95"/>
  <c r="F129" i="95" s="1"/>
  <c r="F32" i="97" s="1"/>
  <c r="F29" i="95"/>
  <c r="F10" i="97" s="1"/>
  <c r="F83" i="94"/>
  <c r="F14" i="95" s="1"/>
  <c r="F32" i="95" s="1"/>
  <c r="F13" i="97" s="1"/>
  <c r="F130" i="95"/>
  <c r="F33" i="97" s="1"/>
  <c r="F82" i="94"/>
  <c r="F13" i="95" s="1"/>
  <c r="F31" i="95" s="1"/>
  <c r="F12" i="97" s="1"/>
  <c r="F83" i="95"/>
  <c r="F88" i="94"/>
  <c r="F42" i="95" s="1"/>
  <c r="F89" i="95" s="1"/>
  <c r="F127" i="95" s="1"/>
  <c r="F30" i="97" s="1"/>
  <c r="F98" i="95"/>
  <c r="F101" i="95"/>
  <c r="F105" i="95"/>
  <c r="C10" i="33"/>
  <c r="AC10" i="33" s="1"/>
  <c r="J10" i="33" s="1"/>
  <c r="G5" i="114" l="1"/>
  <c r="G8" i="114"/>
  <c r="G6" i="114"/>
  <c r="G21" i="114"/>
  <c r="G24" i="114"/>
  <c r="G23" i="114"/>
  <c r="G15" i="114"/>
  <c r="G10" i="114"/>
  <c r="G9" i="114"/>
  <c r="G7" i="114"/>
  <c r="G11" i="114"/>
  <c r="G20" i="114"/>
  <c r="G22" i="114"/>
  <c r="C25" i="33"/>
  <c r="AC25" i="33" s="1"/>
  <c r="J25" i="33" s="1"/>
  <c r="G17" i="114"/>
  <c r="F126" i="95"/>
  <c r="F29" i="97" s="1"/>
  <c r="C12" i="33"/>
  <c r="AC12" i="33" s="1"/>
  <c r="J12" i="33" s="1"/>
  <c r="C11" i="33"/>
  <c r="AC11" i="33" s="1"/>
  <c r="J11" i="33" s="1"/>
  <c r="C19" i="33"/>
  <c r="AC19" i="33" s="1"/>
  <c r="J19" i="33" s="1"/>
  <c r="F79" i="95"/>
  <c r="F117" i="95" s="1"/>
  <c r="F20" i="97" s="1"/>
  <c r="F81" i="95"/>
  <c r="F119" i="95" s="1"/>
  <c r="F22" i="97" s="1"/>
  <c r="C13" i="33"/>
  <c r="AC13" i="33" s="1"/>
  <c r="J13" i="33" s="1"/>
  <c r="C23" i="33"/>
  <c r="AC23" i="33" s="1"/>
  <c r="J23" i="33" s="1"/>
  <c r="C33" i="33"/>
  <c r="AC33" i="33" s="1"/>
  <c r="J33" i="33" s="1"/>
  <c r="F125" i="95"/>
  <c r="F28" i="97" s="1"/>
  <c r="C15" i="33"/>
  <c r="AC15" i="33" s="1"/>
  <c r="J15" i="33" s="1"/>
  <c r="F121" i="95"/>
  <c r="F24" i="97" s="1"/>
  <c r="F80" i="95"/>
  <c r="F118" i="95" s="1"/>
  <c r="F21" i="97" s="1"/>
  <c r="C30" i="33"/>
  <c r="AC30" i="33" s="1"/>
  <c r="J30" i="33" s="1"/>
  <c r="C14" i="33"/>
  <c r="AC14" i="33" s="1"/>
  <c r="J14" i="33" s="1"/>
  <c r="C16" i="33"/>
  <c r="AC16" i="33" s="1"/>
  <c r="J16" i="33" s="1"/>
  <c r="C34" i="33"/>
  <c r="AC34" i="33" s="1"/>
  <c r="J34" i="33" s="1"/>
  <c r="C32" i="33"/>
  <c r="AC32" i="33" s="1"/>
  <c r="J32" i="33" s="1"/>
  <c r="C31" i="33"/>
  <c r="AC31" i="33" s="1"/>
  <c r="J31" i="33" s="1"/>
  <c r="G14" i="114" l="1"/>
  <c r="G13" i="114"/>
  <c r="G16" i="114"/>
  <c r="G19" i="114"/>
  <c r="G12" i="114"/>
  <c r="G18" i="114"/>
  <c r="C29" i="33"/>
  <c r="AC29" i="33" s="1"/>
  <c r="J29" i="33" s="1"/>
  <c r="C20" i="33"/>
  <c r="AC20" i="33" s="1"/>
  <c r="J20" i="33" s="1"/>
  <c r="C28" i="33"/>
  <c r="AC28" i="33" s="1"/>
  <c r="J28" i="33" s="1"/>
  <c r="C22" i="33"/>
  <c r="AC22" i="33" s="1"/>
  <c r="J22" i="33" s="1"/>
  <c r="C24" i="33"/>
  <c r="AC24" i="33" s="1"/>
  <c r="J24" i="33" s="1"/>
  <c r="C21" i="33"/>
  <c r="AC21" i="33" s="1"/>
  <c r="J21" i="33" s="1"/>
  <c r="D17" i="108" l="1"/>
  <c r="Z20" i="27" l="1"/>
  <c r="M20" i="27" s="1"/>
  <c r="Z21" i="27"/>
  <c r="M21" i="27" s="1"/>
  <c r="Z9" i="27" l="1"/>
  <c r="Z16" i="26"/>
  <c r="M16" i="26" s="1"/>
  <c r="Z17" i="27"/>
  <c r="M17" i="27" s="1"/>
  <c r="Z15" i="27"/>
  <c r="M15" i="27" s="1"/>
  <c r="Z22" i="27"/>
  <c r="M22" i="27" s="1"/>
  <c r="Z10" i="26"/>
  <c r="M10" i="26" s="1"/>
  <c r="Z24" i="27"/>
  <c r="M24" i="27" s="1"/>
  <c r="M9" i="27" l="1"/>
  <c r="Z16" i="27"/>
  <c r="M16" i="27" s="1"/>
  <c r="Z15" i="26"/>
  <c r="M15" i="26" s="1"/>
  <c r="Z18" i="27"/>
  <c r="M18" i="27" s="1"/>
  <c r="Z9" i="26"/>
  <c r="Z11" i="27"/>
  <c r="M11" i="27" s="1"/>
  <c r="Z11" i="26"/>
  <c r="M11" i="26" s="1"/>
  <c r="Z12" i="27"/>
  <c r="M12" i="27" s="1"/>
  <c r="Z23" i="27"/>
  <c r="M23" i="27" s="1"/>
  <c r="M9" i="26" l="1"/>
  <c r="C8" i="108"/>
  <c r="Z10" i="27"/>
  <c r="M10" i="27" l="1"/>
  <c r="Z19" i="27"/>
  <c r="M19" i="27" s="1"/>
  <c r="C9" i="10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900-000001000000}">
      <text>
        <r>
          <rPr>
            <b/>
            <sz val="9"/>
            <color indexed="81"/>
            <rFont val="Tahoma"/>
            <family val="2"/>
          </rPr>
          <t>Author:</t>
        </r>
        <r>
          <rPr>
            <sz val="9"/>
            <color indexed="81"/>
            <rFont val="Tahoma"/>
            <family val="2"/>
          </rPr>
          <t xml:space="preserve">
population in column 3 and consumption in column 4</t>
        </r>
      </text>
    </comment>
    <comment ref="F25" authorId="0" shapeId="0" xr:uid="{00000000-0006-0000-0900-000002000000}">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C9832D99-2831-4CD4-8D20-2FB3A9810E52}">
      <text>
        <r>
          <rPr>
            <b/>
            <sz val="9"/>
            <color indexed="81"/>
            <rFont val="Tahoma"/>
            <family val="2"/>
          </rPr>
          <t>Author:</t>
        </r>
        <r>
          <rPr>
            <sz val="9"/>
            <color indexed="81"/>
            <rFont val="Tahoma"/>
            <family val="2"/>
          </rPr>
          <t xml:space="preserve">
1 = Strategic Outline Case</t>
        </r>
      </text>
    </comment>
    <comment ref="AS504" authorId="0" shapeId="0" xr:uid="{37835292-0900-4529-B954-D11FB4CDB9C5}">
      <text>
        <r>
          <rPr>
            <b/>
            <sz val="9"/>
            <color indexed="81"/>
            <rFont val="Tahoma"/>
            <family val="2"/>
          </rPr>
          <t>Author:</t>
        </r>
        <r>
          <rPr>
            <sz val="9"/>
            <color indexed="81"/>
            <rFont val="Tahoma"/>
            <family val="2"/>
          </rPr>
          <t xml:space="preserve">
1 = Outline Business Case</t>
        </r>
      </text>
    </comment>
    <comment ref="AT504" authorId="0" shapeId="0" xr:uid="{7EA7B46E-B6E4-43AC-8EDF-869107335BF2}">
      <text>
        <r>
          <rPr>
            <b/>
            <sz val="9"/>
            <color indexed="81"/>
            <rFont val="Tahoma"/>
            <family val="2"/>
          </rPr>
          <t>Author:</t>
        </r>
        <r>
          <rPr>
            <sz val="9"/>
            <color indexed="81"/>
            <rFont val="Tahoma"/>
            <family val="2"/>
          </rPr>
          <t xml:space="preserve">
1 = Full Business Case</t>
        </r>
      </text>
    </comment>
    <comment ref="AT527" authorId="0" shapeId="0" xr:uid="{9DE1EBE6-BC2C-423B-AE5B-F462859091A6}">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1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<sst xmlns="http://schemas.openxmlformats.org/spreadsheetml/2006/main" count="61690" uniqueCount="5186">
  <si>
    <t>2023-24 Annual performance report tables</t>
  </si>
  <si>
    <t>Introduction</t>
  </si>
  <si>
    <r>
      <t xml:space="preserve">Companies are required to prepare an annual performance report for which we have set out the minimum requirement in the Regulatory Accounting Guidelines. The purpose of this spreadsheet is to allow companies to submit the outcomes tables required as part of that report in a format to allow us to process the data provided. Companies should complete these tables and the embedded model and return them to us at the same time as they submit their annual performance report. This should be as soon as reasonably practicable and no later than </t>
    </r>
    <r>
      <rPr>
        <sz val="12"/>
        <color theme="8"/>
        <rFont val="Calibri"/>
        <family val="2"/>
      </rPr>
      <t>Monday 15 July 2024</t>
    </r>
    <r>
      <rPr>
        <sz val="12"/>
        <color theme="1"/>
        <rFont val="Calibri"/>
        <family val="2"/>
      </rPr>
      <t>.</t>
    </r>
  </si>
  <si>
    <t>Instructions for use</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</si>
  <si>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</si>
  <si>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</si>
  <si>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</si>
  <si>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</si>
  <si>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</si>
  <si>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</si>
  <si>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</si>
  <si>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</si>
  <si>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</si>
  <si>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</si>
  <si>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</si>
  <si>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</si>
  <si>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</si>
  <si>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</si>
  <si>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the 2023-24 Annual performance report tables template please email to: </t>
    </r>
    <r>
      <rPr>
        <sz val="12"/>
        <color rgb="FF0078C9"/>
        <rFont val="Calibri"/>
        <family val="2"/>
      </rPr>
      <t>annual.reporting@ofwat.gov.uk</t>
    </r>
    <r>
      <rPr>
        <sz val="12"/>
        <color theme="1"/>
        <rFont val="Calibri"/>
        <family val="2"/>
      </rPr>
      <t>.</t>
    </r>
  </si>
  <si>
    <t>Submissions</t>
  </si>
  <si>
    <r>
      <t>Your completed spreadsheet should be uploaded to the '</t>
    </r>
    <r>
      <rPr>
        <b/>
        <sz val="12"/>
        <color theme="4"/>
        <rFont val="Calibri"/>
        <family val="2"/>
      </rPr>
      <t>July APR 2024</t>
    </r>
    <r>
      <rPr>
        <sz val="12"/>
        <color theme="1"/>
        <rFont val="Calibri"/>
        <family val="2"/>
      </rPr>
      <t xml:space="preserve">' folder in your company's area of our SharePoint DCS website. If you require any assistance with this, please contact </t>
    </r>
    <r>
      <rPr>
        <sz val="12"/>
        <color rgb="FF0078C9"/>
        <rFont val="Calibri"/>
        <family val="2"/>
      </rPr>
      <t>annual.reporting@ofwat.gov.uk.</t>
    </r>
  </si>
  <si>
    <t>Links to additional information / guidance</t>
  </si>
  <si>
    <t>Further detail is included in IN 24/01 Expectations for monopoly company annual performance reporting 2023-24</t>
  </si>
  <si>
    <t>RAG 4.12 - Guideline for the table definitions in the annual performance report</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</si>
  <si>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</si>
  <si>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</si>
  <si>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</si>
  <si>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</si>
  <si>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</si>
  <si>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</si>
  <si>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</si>
  <si>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</si>
  <si>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</si>
  <si>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</si>
  <si>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</si>
  <si>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</si>
  <si>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</si>
  <si>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</si>
  <si>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</si>
  <si>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</si>
  <si>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</si>
  <si>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</si>
  <si>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</si>
  <si>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</si>
  <si>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</si>
  <si>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</si>
  <si>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</si>
  <si>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</si>
  <si>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</si>
  <si>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</si>
  <si>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</si>
  <si>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</si>
  <si>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</si>
  <si>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</si>
  <si>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</si>
  <si>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</si>
  <si>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</si>
  <si>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</si>
  <si>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</si>
  <si>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</si>
  <si>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</si>
  <si>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</si>
  <si>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</si>
  <si>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</si>
  <si>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</si>
  <si>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</si>
  <si>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</si>
  <si>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</si>
  <si>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</si>
  <si>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</si>
  <si>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</si>
  <si>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</si>
  <si>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</si>
  <si>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</si>
  <si>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</si>
  <si>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</si>
  <si>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</si>
  <si>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</si>
  <si>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</si>
  <si>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</si>
  <si>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</si>
  <si>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Proforma 3F</t>
  </si>
  <si>
    <t>Amended formulae for calculated cells in row 3F.9 to round performance to 1 decimal place.</t>
  </si>
  <si>
    <t>Proforma 3C</t>
  </si>
  <si>
    <t>Removed validation in 3C.4 to allow negative values for Annual net promoter score</t>
  </si>
  <si>
    <t xml:space="preserve">New cells added in column 11c for 2023-24 leakage and PCC. Formula in column 11c included to pick up 2023-24 PCC from row 3F.4. Amended formulae in rows 3F.5 and 3F.6 column 12 so that leakage and PCC performance now takes the 3 year rolling average for 2021-22, 2022-23 and 2023-24 from columns 11a to 11c. </t>
  </si>
  <si>
    <t>Amended formulae for calculated cells in row 3F.9 to round performance to 3 decimal places.</t>
  </si>
  <si>
    <t>Data validation checks</t>
  </si>
  <si>
    <t>2023-24</t>
  </si>
  <si>
    <t>Select the 12 months ended 31 March 2024 from the drop down list</t>
  </si>
  <si>
    <t>Southern Water</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</si>
  <si>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</si>
  <si>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</si>
  <si>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</si>
  <si>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</si>
  <si>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</si>
  <si>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</si>
  <si>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</si>
  <si>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</si>
  <si>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</si>
  <si>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</si>
  <si>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</si>
  <si>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</si>
  <si>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</si>
  <si>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</si>
  <si>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</si>
  <si>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</si>
  <si>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</si>
  <si>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</si>
  <si>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</si>
  <si>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</si>
  <si>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</si>
  <si>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</si>
  <si>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</si>
  <si>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</si>
  <si>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</si>
  <si>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</si>
  <si>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</si>
  <si>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 xml:space="preserve">Outperformance or underperformance payment
</t>
  </si>
  <si>
    <t>Forecast of total 2020-25 outperformance or underperformance payment</t>
  </si>
  <si>
    <t>RAG 4 reference</t>
  </si>
  <si>
    <t>Completeness</t>
  </si>
  <si>
    <t>Consistency</t>
  </si>
  <si>
    <t>£m</t>
  </si>
  <si>
    <t>Please complete all cells in the row</t>
  </si>
  <si>
    <t>Value cannot be negative</t>
  </si>
  <si>
    <t>Please check table 3F / model</t>
  </si>
  <si>
    <t>Common PCs</t>
  </si>
  <si>
    <t>Check entry in column G</t>
  </si>
  <si>
    <t>Common PCs - Water (Financial)</t>
  </si>
  <si>
    <t>Water quality compliance (CRI)</t>
  </si>
  <si>
    <t>No</t>
  </si>
  <si>
    <t>3A.1</t>
  </si>
  <si>
    <t>APR3A_01</t>
  </si>
  <si>
    <t>APR3A_07</t>
  </si>
  <si>
    <t>APR3A_13</t>
  </si>
  <si>
    <t>APR3A_19</t>
  </si>
  <si>
    <t>Water supply interruptions</t>
  </si>
  <si>
    <t>3A.2</t>
  </si>
  <si>
    <t>APR3A_02</t>
  </si>
  <si>
    <t>APR3A_08</t>
  </si>
  <si>
    <t>APR3A_14</t>
  </si>
  <si>
    <t>APR3A_20</t>
  </si>
  <si>
    <t>3A.3</t>
  </si>
  <si>
    <t>APR3A_03</t>
  </si>
  <si>
    <t>APR3A_09</t>
  </si>
  <si>
    <t>APR3A_15</t>
  </si>
  <si>
    <t>APR3A_21</t>
  </si>
  <si>
    <t>APR3A_03A</t>
  </si>
  <si>
    <t>APR3A_09A</t>
  </si>
  <si>
    <t>APR3A_15A</t>
  </si>
  <si>
    <t>APR3A_21A</t>
  </si>
  <si>
    <t>3A.4</t>
  </si>
  <si>
    <t>APR3A_04</t>
  </si>
  <si>
    <t>APR3A_10</t>
  </si>
  <si>
    <t>APR3A_16</t>
  </si>
  <si>
    <t>APR3A_22</t>
  </si>
  <si>
    <t>APR3A_04A</t>
  </si>
  <si>
    <t>APR3A_10A</t>
  </si>
  <si>
    <t>APR3A_16A</t>
  </si>
  <si>
    <t>APR3A_22A</t>
  </si>
  <si>
    <t>Mains repairs</t>
  </si>
  <si>
    <t>3A.5</t>
  </si>
  <si>
    <t>APR3A_05</t>
  </si>
  <si>
    <t>APR3A_11</t>
  </si>
  <si>
    <t>APR3A_17</t>
  </si>
  <si>
    <t>APR3A_23</t>
  </si>
  <si>
    <t>Unplanned outage</t>
  </si>
  <si>
    <t>Yes</t>
  </si>
  <si>
    <t>3A.6</t>
  </si>
  <si>
    <t>APR3A_06</t>
  </si>
  <si>
    <t>APR3A_12</t>
  </si>
  <si>
    <t>APR3A_18</t>
  </si>
  <si>
    <t>APR3A_24</t>
  </si>
  <si>
    <t>Bespoke PCs</t>
  </si>
  <si>
    <t>Bespoke PCs - Water and Retail (Financial)</t>
  </si>
  <si>
    <t>3A.7</t>
  </si>
  <si>
    <t>APR3A_27</t>
  </si>
  <si>
    <t>APR3A_47</t>
  </si>
  <si>
    <t>APR3A_67</t>
  </si>
  <si>
    <t>APR3A_87</t>
  </si>
  <si>
    <t>3A.8</t>
  </si>
  <si>
    <t>APR3A_28</t>
  </si>
  <si>
    <t>APR3A_48</t>
  </si>
  <si>
    <t>APR3A_68</t>
  </si>
  <si>
    <t>APR3A_88</t>
  </si>
  <si>
    <t>3A.9</t>
  </si>
  <si>
    <t>APR3A_29</t>
  </si>
  <si>
    <t>APR3A_49</t>
  </si>
  <si>
    <t>APR3A_69</t>
  </si>
  <si>
    <t>APR3A_89</t>
  </si>
  <si>
    <t>3A.10</t>
  </si>
  <si>
    <t>APR3A_30</t>
  </si>
  <si>
    <t>APR3A_50</t>
  </si>
  <si>
    <t>APR3A_70</t>
  </si>
  <si>
    <t>APR3A_90</t>
  </si>
  <si>
    <t>3A.11</t>
  </si>
  <si>
    <t>APR3A_31</t>
  </si>
  <si>
    <t>APR3A_51</t>
  </si>
  <si>
    <t>APR3A_71</t>
  </si>
  <si>
    <t>APR3A_91</t>
  </si>
  <si>
    <t>3A.12</t>
  </si>
  <si>
    <t>APR3A_32</t>
  </si>
  <si>
    <t>APR3A_52</t>
  </si>
  <si>
    <t>APR3A_72</t>
  </si>
  <si>
    <t>APR3A_92</t>
  </si>
  <si>
    <t>3A.13</t>
  </si>
  <si>
    <t>APR3A_33</t>
  </si>
  <si>
    <t>APR3A_53</t>
  </si>
  <si>
    <t>APR3A_73</t>
  </si>
  <si>
    <t>APR3A_93</t>
  </si>
  <si>
    <t>-</t>
  </si>
  <si>
    <t>3A.14</t>
  </si>
  <si>
    <t>APR3A_34</t>
  </si>
  <si>
    <t>APR3A_54</t>
  </si>
  <si>
    <t>APR3A_74</t>
  </si>
  <si>
    <t>APR3A_94</t>
  </si>
  <si>
    <t>3A.15</t>
  </si>
  <si>
    <t>APR3A_35</t>
  </si>
  <si>
    <t>APR3A_55</t>
  </si>
  <si>
    <t>APR3A_75</t>
  </si>
  <si>
    <t>APR3A_95</t>
  </si>
  <si>
    <t>3A.16</t>
  </si>
  <si>
    <t>APR3A_36</t>
  </si>
  <si>
    <t>APR3A_56</t>
  </si>
  <si>
    <t>APR3A_76</t>
  </si>
  <si>
    <t>APR3A_96</t>
  </si>
  <si>
    <t>3A.17</t>
  </si>
  <si>
    <t>APR3A_37</t>
  </si>
  <si>
    <t>APR3A_57</t>
  </si>
  <si>
    <t>APR3A_77</t>
  </si>
  <si>
    <t>APR3A_97</t>
  </si>
  <si>
    <t>3A.18</t>
  </si>
  <si>
    <t>APR3A_38</t>
  </si>
  <si>
    <t>APR3A_58</t>
  </si>
  <si>
    <t>APR3A_78</t>
  </si>
  <si>
    <t>APR3A_98</t>
  </si>
  <si>
    <t>3A.19</t>
  </si>
  <si>
    <t>APR3A_39</t>
  </si>
  <si>
    <t>APR3A_59</t>
  </si>
  <si>
    <t>APR3A_79</t>
  </si>
  <si>
    <t>APR3A_99</t>
  </si>
  <si>
    <t>3A.20</t>
  </si>
  <si>
    <t>APR3A_40</t>
  </si>
  <si>
    <t>APR3A_60</t>
  </si>
  <si>
    <t>APR3A_80</t>
  </si>
  <si>
    <t>APR3A_100</t>
  </si>
  <si>
    <t>3A.21</t>
  </si>
  <si>
    <t>APR3A_41</t>
  </si>
  <si>
    <t>APR3A_61</t>
  </si>
  <si>
    <t>APR3A_81</t>
  </si>
  <si>
    <t>APR3A_101</t>
  </si>
  <si>
    <t>3A.22</t>
  </si>
  <si>
    <t>APR3A_42</t>
  </si>
  <si>
    <t>APR3A_62</t>
  </si>
  <si>
    <t>APR3A_82</t>
  </si>
  <si>
    <t>APR3A_102</t>
  </si>
  <si>
    <t>3A.23</t>
  </si>
  <si>
    <t>APR3A_43</t>
  </si>
  <si>
    <t>APR3A_63</t>
  </si>
  <si>
    <t>APR3A_83</t>
  </si>
  <si>
    <t>APR3A_103</t>
  </si>
  <si>
    <t>3A.24</t>
  </si>
  <si>
    <t>APR3A_44</t>
  </si>
  <si>
    <t>APR3A_64</t>
  </si>
  <si>
    <t>APR3A_84</t>
  </si>
  <si>
    <t>APR3A_104</t>
  </si>
  <si>
    <t>3A.25</t>
  </si>
  <si>
    <t>APR3A_45</t>
  </si>
  <si>
    <t>APR3A_65</t>
  </si>
  <si>
    <t>APR3A_85</t>
  </si>
  <si>
    <t>APR3A_105</t>
  </si>
  <si>
    <t>3A.26</t>
  </si>
  <si>
    <t>APR3A_46</t>
  </si>
  <si>
    <t>APR3A_66</t>
  </si>
  <si>
    <t>APR3A_86</t>
  </si>
  <si>
    <t>APR3A_106</t>
  </si>
  <si>
    <t>Financial water performance commitments achieved</t>
  </si>
  <si>
    <t>%</t>
  </si>
  <si>
    <t>3A.27</t>
  </si>
  <si>
    <t>APR3A_25</t>
  </si>
  <si>
    <t>Overall performance commitments achieved (excluding C-MEX and D-MEX)</t>
  </si>
  <si>
    <t>3A.28</t>
  </si>
  <si>
    <t>APR3A_26</t>
  </si>
  <si>
    <t>Key to cells:</t>
  </si>
  <si>
    <t>Input cell</t>
  </si>
  <si>
    <t>Input cell with data from another APR table</t>
  </si>
  <si>
    <t>Copied cell</t>
  </si>
  <si>
    <t>Calculation cell</t>
  </si>
  <si>
    <t>Please refer to RAG 4.12 - Guideline for the table definitions in the annual performance report for the reporting year 2023-24</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</si>
  <si>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</si>
  <si>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</si>
  <si>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</si>
  <si>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</si>
  <si>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</si>
  <si>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</si>
  <si>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</si>
  <si>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</si>
  <si>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</si>
  <si>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t>
  </si>
  <si>
    <t>APR3B_05</t>
  </si>
  <si>
    <t>APR3B_09</t>
  </si>
  <si>
    <t>APR3B_13</t>
  </si>
  <si>
    <t>3B.2</t>
  </si>
  <si>
    <t>APR3B_02</t>
  </si>
  <si>
    <t>APR3B_06</t>
  </si>
  <si>
    <t>APR3B_10</t>
  </si>
  <si>
    <t>APR3B_14</t>
  </si>
  <si>
    <t>3B.3</t>
  </si>
  <si>
    <t>APR3B_03</t>
  </si>
  <si>
    <t>APR3B_07</t>
  </si>
  <si>
    <t>APR3B_11</t>
  </si>
  <si>
    <t>APR3B_15</t>
  </si>
  <si>
    <t>3B.4</t>
  </si>
  <si>
    <t>APR3B_04</t>
  </si>
  <si>
    <t>APR3B_08</t>
  </si>
  <si>
    <t>APR3B_12</t>
  </si>
  <si>
    <t>APR3B_16</t>
  </si>
  <si>
    <t>Bespoke PCs - Wastewater (Financial)</t>
  </si>
  <si>
    <t>3B.5</t>
  </si>
  <si>
    <t>APR3B_18</t>
  </si>
  <si>
    <t>APR3B_32</t>
  </si>
  <si>
    <t>APR3B_46</t>
  </si>
  <si>
    <t>APR3B_60</t>
  </si>
  <si>
    <t>3B.6</t>
  </si>
  <si>
    <t>APR3B_19</t>
  </si>
  <si>
    <t>APR3B_33</t>
  </si>
  <si>
    <t>APR3B_47</t>
  </si>
  <si>
    <t>APR3B_61</t>
  </si>
  <si>
    <t>3B.7</t>
  </si>
  <si>
    <t>APR3B_20</t>
  </si>
  <si>
    <t>APR3B_34</t>
  </si>
  <si>
    <t>APR3B_48</t>
  </si>
  <si>
    <t>APR3B_62</t>
  </si>
  <si>
    <t>3B.8</t>
  </si>
  <si>
    <t>APR3B_21</t>
  </si>
  <si>
    <t>APR3B_35</t>
  </si>
  <si>
    <t>APR3B_49</t>
  </si>
  <si>
    <t>APR3B_63</t>
  </si>
  <si>
    <t>3B.9</t>
  </si>
  <si>
    <t>APR3B_22</t>
  </si>
  <si>
    <t>APR3B_36</t>
  </si>
  <si>
    <t>APR3B_50</t>
  </si>
  <si>
    <t>APR3B_64</t>
  </si>
  <si>
    <t>3B.10</t>
  </si>
  <si>
    <t>APR3B_23</t>
  </si>
  <si>
    <t>APR3B_37</t>
  </si>
  <si>
    <t>APR3B_51</t>
  </si>
  <si>
    <t>APR3B_65</t>
  </si>
  <si>
    <t>3B.11</t>
  </si>
  <si>
    <t>APR3B_24</t>
  </si>
  <si>
    <t>APR3B_38</t>
  </si>
  <si>
    <t>APR3B_52</t>
  </si>
  <si>
    <t>APR3B_66</t>
  </si>
  <si>
    <t>3B.12</t>
  </si>
  <si>
    <t>APR3B_25</t>
  </si>
  <si>
    <t>APR3B_39</t>
  </si>
  <si>
    <t>APR3B_53</t>
  </si>
  <si>
    <t>APR3B_67</t>
  </si>
  <si>
    <t>3B.13</t>
  </si>
  <si>
    <t>APR3B_26</t>
  </si>
  <si>
    <t>APR3B_40</t>
  </si>
  <si>
    <t>APR3B_54</t>
  </si>
  <si>
    <t>APR3B_68</t>
  </si>
  <si>
    <t>3B.14</t>
  </si>
  <si>
    <t>APR3B_27</t>
  </si>
  <si>
    <t>APR3B_41</t>
  </si>
  <si>
    <t>APR3B_55</t>
  </si>
  <si>
    <t>APR3B_69</t>
  </si>
  <si>
    <t>3B.15</t>
  </si>
  <si>
    <t>APR3B_28</t>
  </si>
  <si>
    <t>APR3B_42</t>
  </si>
  <si>
    <t>APR3B_56</t>
  </si>
  <si>
    <t>APR3B_70</t>
  </si>
  <si>
    <t>3B.16</t>
  </si>
  <si>
    <t>APR3B_29</t>
  </si>
  <si>
    <t>APR3B_43</t>
  </si>
  <si>
    <t>APR3B_57</t>
  </si>
  <si>
    <t>APR3B_71</t>
  </si>
  <si>
    <t>3B.17</t>
  </si>
  <si>
    <t>APR3B_30</t>
  </si>
  <si>
    <t>APR3B_44</t>
  </si>
  <si>
    <t>APR3B_58</t>
  </si>
  <si>
    <t>APR3B_72</t>
  </si>
  <si>
    <t>3B.18</t>
  </si>
  <si>
    <t>APR3B_31</t>
  </si>
  <si>
    <t>APR3B_45</t>
  </si>
  <si>
    <t>APR3B_59</t>
  </si>
  <si>
    <t>APR3B_73</t>
  </si>
  <si>
    <t>Financial wastewater performance commitments achieved</t>
  </si>
  <si>
    <t>3B.19</t>
  </si>
  <si>
    <t>APR3B_17</t>
  </si>
  <si>
    <t>Please complete cell</t>
  </si>
  <si>
    <t>Item</t>
  </si>
  <si>
    <t>Value</t>
  </si>
  <si>
    <t>Annual customer satisfaction score for the customer service survey</t>
  </si>
  <si>
    <t>Number</t>
  </si>
  <si>
    <t>3C.1</t>
  </si>
  <si>
    <t>APR3C_01</t>
  </si>
  <si>
    <t>Annual customer satisfaction score for the customer experience survey</t>
  </si>
  <si>
    <t>3C.2</t>
  </si>
  <si>
    <t>APR3C_02</t>
  </si>
  <si>
    <t>Annual C-MeX score</t>
  </si>
  <si>
    <t>3C.3</t>
  </si>
  <si>
    <t>APR3C_03</t>
  </si>
  <si>
    <t>Annual net promoter score</t>
  </si>
  <si>
    <t>3C.4</t>
  </si>
  <si>
    <t>APR3C_04</t>
  </si>
  <si>
    <t>Total household complaints</t>
  </si>
  <si>
    <t>3C.5</t>
  </si>
  <si>
    <t>APR3C_05</t>
  </si>
  <si>
    <t>Total connected household properties</t>
  </si>
  <si>
    <t>3C.6</t>
  </si>
  <si>
    <t>APR3C_06</t>
  </si>
  <si>
    <t>Total household complaints per 10,000 connections</t>
  </si>
  <si>
    <t>3C.7</t>
  </si>
  <si>
    <t>APR3C_07</t>
  </si>
  <si>
    <t>Confirmation of communication channels offered</t>
  </si>
  <si>
    <t>TRUE or FALSE</t>
  </si>
  <si>
    <t>3C.8</t>
  </si>
  <si>
    <t>APR3C_08</t>
  </si>
  <si>
    <t>Qualitative component annual results</t>
  </si>
  <si>
    <t>3D.1</t>
  </si>
  <si>
    <t>APR3D_01</t>
  </si>
  <si>
    <t>Quantitative component annual results</t>
  </si>
  <si>
    <t>3D.2</t>
  </si>
  <si>
    <t>APR3D_02</t>
  </si>
  <si>
    <t>D-MeX score</t>
  </si>
  <si>
    <t>3D.3</t>
  </si>
  <si>
    <t>APR3D_03</t>
  </si>
  <si>
    <t>Developer services revenue (water)</t>
  </si>
  <si>
    <t>3D.4</t>
  </si>
  <si>
    <t>APR3D_04</t>
  </si>
  <si>
    <t>Developer services revenue (wastewater)</t>
  </si>
  <si>
    <t>3D.5</t>
  </si>
  <si>
    <t>APR3D_05</t>
  </si>
  <si>
    <t>Calculating the D-MeX quantitative component</t>
  </si>
  <si>
    <t>Water UK performance metric</t>
  </si>
  <si>
    <t>Reporting period
(1 April to 31 March)</t>
  </si>
  <si>
    <t>Quantitative score (annual)</t>
  </si>
  <si>
    <t>Please complete relevant cell(s) in the row</t>
  </si>
  <si>
    <t>W1.1</t>
  </si>
  <si>
    <t>3D.W1</t>
  </si>
  <si>
    <t>W3.1</t>
  </si>
  <si>
    <t>3D.W2</t>
  </si>
  <si>
    <t>W4.1</t>
  </si>
  <si>
    <t>3D.W3</t>
  </si>
  <si>
    <t>W6.1</t>
  </si>
  <si>
    <t>3D.W4</t>
  </si>
  <si>
    <t>W7.1</t>
  </si>
  <si>
    <t>3D.W5</t>
  </si>
  <si>
    <t>W8.1</t>
  </si>
  <si>
    <t>3D.W6</t>
  </si>
  <si>
    <t>W17.1</t>
  </si>
  <si>
    <t>3D.W7</t>
  </si>
  <si>
    <t>W17.2</t>
  </si>
  <si>
    <t>3D.W8</t>
  </si>
  <si>
    <t>W18.1</t>
  </si>
  <si>
    <t>3D.W9</t>
  </si>
  <si>
    <t>W20.1</t>
  </si>
  <si>
    <t>3D.W10</t>
  </si>
  <si>
    <t>W21.1</t>
  </si>
  <si>
    <t>3D.W11</t>
  </si>
  <si>
    <t>W23.1</t>
  </si>
  <si>
    <t>3D.W12</t>
  </si>
  <si>
    <t>W24.1</t>
  </si>
  <si>
    <t>3D.W13</t>
  </si>
  <si>
    <t>W26.1</t>
  </si>
  <si>
    <t>3D.W14</t>
  </si>
  <si>
    <t>W27.1</t>
  </si>
  <si>
    <t>3D.W15</t>
  </si>
  <si>
    <t>W30.1</t>
  </si>
  <si>
    <t>3D.W16</t>
  </si>
  <si>
    <t>S1.1</t>
  </si>
  <si>
    <t>3D.W17</t>
  </si>
  <si>
    <t>S3.1</t>
  </si>
  <si>
    <t>3D.W18</t>
  </si>
  <si>
    <t>S4.1</t>
  </si>
  <si>
    <t>3D.W19</t>
  </si>
  <si>
    <t>S7.1</t>
  </si>
  <si>
    <t>3D.W20</t>
  </si>
  <si>
    <t>SN2.2</t>
  </si>
  <si>
    <t>3D.W21</t>
  </si>
  <si>
    <t>SN4.1</t>
  </si>
  <si>
    <t>3D.W22</t>
  </si>
  <si>
    <t>WN1.1</t>
  </si>
  <si>
    <t>3D.W23</t>
  </si>
  <si>
    <t>WN2.2</t>
  </si>
  <si>
    <t>3D.W24</t>
  </si>
  <si>
    <t>WN4.1</t>
  </si>
  <si>
    <t>3D.W25</t>
  </si>
  <si>
    <t>WN4.2</t>
  </si>
  <si>
    <t>3D.W26</t>
  </si>
  <si>
    <t>WN4.3</t>
  </si>
  <si>
    <t>3D.W27</t>
  </si>
  <si>
    <t>SAM - 3/1</t>
  </si>
  <si>
    <t>3D.W28</t>
  </si>
  <si>
    <t>SAM - 4/1</t>
  </si>
  <si>
    <t>3D.W29</t>
  </si>
  <si>
    <t>SLPM - S1/2</t>
  </si>
  <si>
    <t>3D.W30</t>
  </si>
  <si>
    <t>SLPM - S2/2a</t>
  </si>
  <si>
    <t>3D.W31</t>
  </si>
  <si>
    <t>SLPM - S2/2b</t>
  </si>
  <si>
    <t>3D.W32</t>
  </si>
  <si>
    <t>SLPM - S3</t>
  </si>
  <si>
    <t>3D.W33</t>
  </si>
  <si>
    <t>SLPM - S4/1</t>
  </si>
  <si>
    <t>3D.W34</t>
  </si>
  <si>
    <t>SLPM - S5/1a</t>
  </si>
  <si>
    <t>3D.W35</t>
  </si>
  <si>
    <t>SLPM - S7/1</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</si>
  <si>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</si>
  <si>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</si>
  <si>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</si>
  <si>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</si>
  <si>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</si>
  <si>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</si>
  <si>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</si>
  <si>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</si>
  <si>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</si>
  <si>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</si>
  <si>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</si>
  <si>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</si>
  <si>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</si>
  <si>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</si>
  <si>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</si>
  <si>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</si>
  <si>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</si>
  <si>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</si>
  <si>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</si>
  <si>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</si>
  <si>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</si>
  <si>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</si>
  <si>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</si>
  <si>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</si>
  <si>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</si>
  <si>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t>
  </si>
  <si>
    <t>APR3E_06</t>
  </si>
  <si>
    <t>Priority services for customers in vulnerable circumstances - PSR reach</t>
  </si>
  <si>
    <t>3E.2</t>
  </si>
  <si>
    <t>APP4014RR</t>
  </si>
  <si>
    <t>APR3E_07</t>
  </si>
  <si>
    <t>Priority services for customers in vulnerable circumstances - Attempted contacts</t>
  </si>
  <si>
    <t>3E.3</t>
  </si>
  <si>
    <t>APR3E_03</t>
  </si>
  <si>
    <t>APR3E_08</t>
  </si>
  <si>
    <t>Priority services for customers in vulnerable circumstances - Actual contacts</t>
  </si>
  <si>
    <t>3E.4</t>
  </si>
  <si>
    <t>APR3E_04</t>
  </si>
  <si>
    <t>APR3E_09</t>
  </si>
  <si>
    <t>3E.5</t>
  </si>
  <si>
    <t>APR3E_05</t>
  </si>
  <si>
    <t>APR3E_10</t>
  </si>
  <si>
    <t xml:space="preserve">Bespoke PCs </t>
  </si>
  <si>
    <t>3E.6</t>
  </si>
  <si>
    <t>APR3E_12</t>
  </si>
  <si>
    <t>APR3E_35</t>
  </si>
  <si>
    <t>3E.7</t>
  </si>
  <si>
    <t>APR3E_13</t>
  </si>
  <si>
    <t>APR3E_36</t>
  </si>
  <si>
    <t>3E.8</t>
  </si>
  <si>
    <t>APR3E_14</t>
  </si>
  <si>
    <t>APR3E_37</t>
  </si>
  <si>
    <t>3E.9</t>
  </si>
  <si>
    <t>APR3E_15</t>
  </si>
  <si>
    <t>APR3E_38</t>
  </si>
  <si>
    <t>3E.10</t>
  </si>
  <si>
    <t>APR3E_16</t>
  </si>
  <si>
    <t>APR3E_39</t>
  </si>
  <si>
    <t>3E.11</t>
  </si>
  <si>
    <t>APR3E_17</t>
  </si>
  <si>
    <t>APR3E_40</t>
  </si>
  <si>
    <t>3E.12</t>
  </si>
  <si>
    <t>APR3E_18</t>
  </si>
  <si>
    <t>APR3E_41</t>
  </si>
  <si>
    <t>3E.13</t>
  </si>
  <si>
    <t>APR3E_19</t>
  </si>
  <si>
    <t>APR3E_42</t>
  </si>
  <si>
    <t>3E.14</t>
  </si>
  <si>
    <t>APR3E_20</t>
  </si>
  <si>
    <t>APR3E_43</t>
  </si>
  <si>
    <t>3E.15</t>
  </si>
  <si>
    <t>APR3E_21</t>
  </si>
  <si>
    <t>APR3E_44</t>
  </si>
  <si>
    <t>3E.16</t>
  </si>
  <si>
    <t>APR3E_22</t>
  </si>
  <si>
    <t>APR3E_45</t>
  </si>
  <si>
    <t>3E.17</t>
  </si>
  <si>
    <t>APR3E_23</t>
  </si>
  <si>
    <t>APR3E_46</t>
  </si>
  <si>
    <t>Met</t>
  </si>
  <si>
    <t>3E.18</t>
  </si>
  <si>
    <t>APR3E_24</t>
  </si>
  <si>
    <t>APR3E_47</t>
  </si>
  <si>
    <t>3E.19</t>
  </si>
  <si>
    <t>APR3E_25</t>
  </si>
  <si>
    <t>APR3E_48</t>
  </si>
  <si>
    <t>3E.20</t>
  </si>
  <si>
    <t>APR3E_26</t>
  </si>
  <si>
    <t>APR3E_49</t>
  </si>
  <si>
    <t>3E.21</t>
  </si>
  <si>
    <t>APR3E_27</t>
  </si>
  <si>
    <t>APR3E_50</t>
  </si>
  <si>
    <t>3E.22</t>
  </si>
  <si>
    <t>APR3E_28</t>
  </si>
  <si>
    <t>APR3E_51</t>
  </si>
  <si>
    <t>3E.23</t>
  </si>
  <si>
    <t>APR3E_29</t>
  </si>
  <si>
    <t>APR3E_52</t>
  </si>
  <si>
    <t>3E.24</t>
  </si>
  <si>
    <t>APR3E_30</t>
  </si>
  <si>
    <t>APR3E_53</t>
  </si>
  <si>
    <t>3E.25</t>
  </si>
  <si>
    <t>APR3E_31</t>
  </si>
  <si>
    <t>APR3E_54</t>
  </si>
  <si>
    <t>3E.26</t>
  </si>
  <si>
    <t>APR3E_32</t>
  </si>
  <si>
    <t>APR3E_55</t>
  </si>
  <si>
    <t>3E.27</t>
  </si>
  <si>
    <t>APR3E_33</t>
  </si>
  <si>
    <t>APR3E_56</t>
  </si>
  <si>
    <t>3E.28</t>
  </si>
  <si>
    <t>APR3E_34</t>
  </si>
  <si>
    <t>APR3E_57</t>
  </si>
  <si>
    <t>Non-financial performance commitments achieved</t>
  </si>
  <si>
    <t>3E.29</t>
  </si>
  <si>
    <t>APR3E_11</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</si>
  <si>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</si>
  <si>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</si>
  <si>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</si>
  <si>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</si>
  <si>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</si>
  <si>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</si>
  <si>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</si>
  <si>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</si>
  <si>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</si>
  <si>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</si>
  <si>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APR3F_03</t>
  </si>
  <si>
    <t>APR3F_07</t>
  </si>
  <si>
    <t>Mains repairs - Proactive</t>
  </si>
  <si>
    <t>3F.2</t>
  </si>
  <si>
    <t>APR3F_04</t>
  </si>
  <si>
    <t>APR3F_08</t>
  </si>
  <si>
    <t>3F.3</t>
  </si>
  <si>
    <t>APR3F_05</t>
  </si>
  <si>
    <t>Per capita consumption (PCC)</t>
  </si>
  <si>
    <t>lpd</t>
  </si>
  <si>
    <t>Total household population (000s) and household consumption (Ml/d)</t>
  </si>
  <si>
    <t>3F.4</t>
  </si>
  <si>
    <t>APR3F_02</t>
  </si>
  <si>
    <t>APR3F_06</t>
  </si>
  <si>
    <t>APR3F_10</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</si>
  <si>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</si>
  <si>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</si>
  <si>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</si>
  <si>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</si>
  <si>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</si>
  <si>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</si>
  <si>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</si>
  <si>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</si>
  <si>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</si>
  <si>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</si>
  <si>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</si>
  <si>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</si>
  <si>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actual
(2024-25)</t>
  </si>
  <si>
    <t>Performance level 3 year average (current and previous 2 years)</t>
  </si>
  <si>
    <t>Calculated performance level to compare against PCLs</t>
  </si>
  <si>
    <t>Performance commitments measured against a calculated baseline</t>
  </si>
  <si>
    <t>Leakage</t>
  </si>
  <si>
    <t>Ml/d</t>
  </si>
  <si>
    <t>3F.5</t>
  </si>
  <si>
    <t>APR3F_24</t>
  </si>
  <si>
    <t>APR3F_11</t>
  </si>
  <si>
    <t>APR3F_25</t>
  </si>
  <si>
    <t>3F.6</t>
  </si>
  <si>
    <t>APR3F_26</t>
  </si>
  <si>
    <t>APR3F_27</t>
  </si>
  <si>
    <t>Standardising data numerical value</t>
  </si>
  <si>
    <t>Total minutes lost</t>
  </si>
  <si>
    <t>Number of properties supply interrupted</t>
  </si>
  <si>
    <t>Calculated performance level</t>
  </si>
  <si>
    <t>Average number of minutes lost per property per year</t>
  </si>
  <si>
    <t>Number of properties (thousands)</t>
  </si>
  <si>
    <t>3F.7</t>
  </si>
  <si>
    <t>APR3F_13</t>
  </si>
  <si>
    <t>APR3F_14</t>
  </si>
  <si>
    <t>Current company level peak week production capacity (PWPC) 
Ml/d</t>
  </si>
  <si>
    <t>Reduction in company level PWPC 
Ml/d</t>
  </si>
  <si>
    <t>Outage proportion of PWPC 
%</t>
  </si>
  <si>
    <t>Unplanned or planned outage</t>
  </si>
  <si>
    <t>3F.8</t>
  </si>
  <si>
    <t>APR3F_15</t>
  </si>
  <si>
    <t>APR3F_16</t>
  </si>
  <si>
    <t>APR3F_17</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</si>
  <si>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</si>
  <si>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</si>
  <si>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</si>
  <si>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</si>
  <si>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</si>
  <si>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</si>
  <si>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</si>
  <si>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</si>
  <si>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</si>
  <si>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</si>
  <si>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APR3F_18</t>
  </si>
  <si>
    <t>APR3F_19</t>
  </si>
  <si>
    <t>APR3F_21</t>
  </si>
  <si>
    <t>APR3F_22</t>
  </si>
  <si>
    <t>APR3F_23</t>
  </si>
  <si>
    <t>See RAG Guidance</t>
  </si>
  <si>
    <t>APR3F_02A</t>
  </si>
  <si>
    <t>APR3F_06A</t>
  </si>
  <si>
    <t>APR3F_10A</t>
  </si>
  <si>
    <t>APR3F_24A</t>
  </si>
  <si>
    <t>APR3F_11A</t>
  </si>
  <si>
    <t>APR3F_25A</t>
  </si>
  <si>
    <t>APR3F_26A</t>
  </si>
  <si>
    <t>APR3F_27A</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</si>
  <si>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</si>
  <si>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</si>
  <si>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</si>
  <si>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</si>
  <si>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</si>
  <si>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</si>
  <si>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</si>
  <si>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APR3G_02</t>
  </si>
  <si>
    <t>APR3G_05</t>
  </si>
  <si>
    <t>Internal sewer flooding - company reactively identified (ie neighbouring properties)</t>
  </si>
  <si>
    <t>3G.2</t>
  </si>
  <si>
    <t>APR3G_03</t>
  </si>
  <si>
    <t>APR3G_06</t>
  </si>
  <si>
    <t>Internal sewer flooding</t>
  </si>
  <si>
    <t>3G.3</t>
  </si>
  <si>
    <t>APR3G_04</t>
  </si>
  <si>
    <t>APR3G_07</t>
  </si>
  <si>
    <t>Pollution incidents</t>
  </si>
  <si>
    <t>Pollution incidents per 10,000 km of sewer length</t>
  </si>
  <si>
    <t>Sewer length in km</t>
  </si>
  <si>
    <t>3G.4</t>
  </si>
  <si>
    <t>APR3G_08</t>
  </si>
  <si>
    <t>APR3G_09</t>
  </si>
  <si>
    <t>APR3G_10</t>
  </si>
  <si>
    <t>Sewer collapses</t>
  </si>
  <si>
    <t>Number of sewer collapses per 1,000 km of all sewers</t>
  </si>
  <si>
    <t>3G.5</t>
  </si>
  <si>
    <t>APR3G_11</t>
  </si>
  <si>
    <t>APR3G_12</t>
  </si>
  <si>
    <t>APR3G_13</t>
  </si>
  <si>
    <t xml:space="preserve"> Summary information on outcome delivery incentive payments</t>
  </si>
  <si>
    <t>Initial calculation of performance payments (excluding CMEX and DMEX)</t>
  </si>
  <si>
    <t>Please review model inputs</t>
  </si>
  <si>
    <t>£m (2017-18 prices)</t>
  </si>
  <si>
    <t>Initial calculation of in period revenue adjustment by price control</t>
  </si>
  <si>
    <t>Water resources</t>
  </si>
  <si>
    <t>3H.1</t>
  </si>
  <si>
    <t>APR3H_WR01</t>
  </si>
  <si>
    <t>Water network plus</t>
  </si>
  <si>
    <t>3H.2</t>
  </si>
  <si>
    <t>APR3H_WN02</t>
  </si>
  <si>
    <t>Wastewater network plus</t>
  </si>
  <si>
    <t>3H.3</t>
  </si>
  <si>
    <t>APR3H_WWN03</t>
  </si>
  <si>
    <t>Bioresources (sludge)</t>
  </si>
  <si>
    <t>3H.4</t>
  </si>
  <si>
    <t>APR3H_BIO04</t>
  </si>
  <si>
    <t>Residential retail</t>
  </si>
  <si>
    <t>3H.5</t>
  </si>
  <si>
    <t>APR3H_RR05</t>
  </si>
  <si>
    <t>Business retail</t>
  </si>
  <si>
    <t>3H.6</t>
  </si>
  <si>
    <t>APR3H_BR06</t>
  </si>
  <si>
    <t>Dummy control</t>
  </si>
  <si>
    <t>3H.7</t>
  </si>
  <si>
    <t>APR3H_DC07</t>
  </si>
  <si>
    <t>Initial calculation of end of period revenue adjustment by price control</t>
  </si>
  <si>
    <t>3H.8</t>
  </si>
  <si>
    <t>APR3H_WR08</t>
  </si>
  <si>
    <t>3H.9</t>
  </si>
  <si>
    <t>APR3H_WN09</t>
  </si>
  <si>
    <t>3H.10</t>
  </si>
  <si>
    <t>APR3H_WWN10</t>
  </si>
  <si>
    <t>3H.11</t>
  </si>
  <si>
    <t>APR3H_BIO11</t>
  </si>
  <si>
    <t>3H.12</t>
  </si>
  <si>
    <t>APR3H_RR12</t>
  </si>
  <si>
    <t>3H.13</t>
  </si>
  <si>
    <t>APR3H_BR13</t>
  </si>
  <si>
    <t>3H.14</t>
  </si>
  <si>
    <t>APR3H_DC14</t>
  </si>
  <si>
    <t>Initial calculation of end of period RCV adjustment by price control</t>
  </si>
  <si>
    <t>3H.15</t>
  </si>
  <si>
    <t>APR3H_WR15</t>
  </si>
  <si>
    <t>3H.16</t>
  </si>
  <si>
    <t>APR3H_WN16</t>
  </si>
  <si>
    <t>3H.17</t>
  </si>
  <si>
    <t>APR3H_WWN17</t>
  </si>
  <si>
    <t>3H.18</t>
  </si>
  <si>
    <t>APR3H_BIO18</t>
  </si>
  <si>
    <t>3H.19</t>
  </si>
  <si>
    <t>APR3H_RR19</t>
  </si>
  <si>
    <t>3H.20</t>
  </si>
  <si>
    <t>APR3H_BR20</t>
  </si>
  <si>
    <t>3H.21</t>
  </si>
  <si>
    <t>APR3H_DC21</t>
  </si>
  <si>
    <t>Please complete cell(s)</t>
  </si>
  <si>
    <t>Please check inputs</t>
  </si>
  <si>
    <t>Planned outage</t>
  </si>
  <si>
    <t>3I.1</t>
  </si>
  <si>
    <t>APR3I_01</t>
  </si>
  <si>
    <t>APR3I_02</t>
  </si>
  <si>
    <t>APR3I_03</t>
  </si>
  <si>
    <t>Deployable output</t>
  </si>
  <si>
    <t>Outage allowance</t>
  </si>
  <si>
    <t>Dry year demand</t>
  </si>
  <si>
    <t>Target headroom</t>
  </si>
  <si>
    <t>Total population supplied</t>
  </si>
  <si>
    <t>Customers at risk</t>
  </si>
  <si>
    <t>Values cannot be negative</t>
  </si>
  <si>
    <t>Risk of severe restrictions in drought</t>
  </si>
  <si>
    <t>3I.2</t>
  </si>
  <si>
    <t>APR3I_04</t>
  </si>
  <si>
    <t>APR3I_05</t>
  </si>
  <si>
    <t>APR3I_06</t>
  </si>
  <si>
    <t>APR3I_07</t>
  </si>
  <si>
    <t>APR3I_08</t>
  </si>
  <si>
    <t>APR3I_09</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</si>
  <si>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</si>
  <si>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</si>
  <si>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</si>
  <si>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</si>
  <si>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</si>
  <si>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</si>
  <si>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</si>
  <si>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</si>
  <si>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</si>
  <si>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</si>
  <si>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</si>
  <si>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</si>
  <si>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</si>
  <si>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</si>
  <si>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APR3I_10</t>
  </si>
  <si>
    <t>APR3I_11</t>
  </si>
  <si>
    <t>APR3I_12</t>
  </si>
  <si>
    <t>APR3I_13</t>
  </si>
  <si>
    <t>APR3I_14</t>
  </si>
  <si>
    <t>APR3I_15</t>
  </si>
  <si>
    <t>APR3I_16</t>
  </si>
  <si>
    <t>APR3I_17</t>
  </si>
  <si>
    <t>APR3I_18</t>
  </si>
  <si>
    <t>APR3I_19</t>
  </si>
  <si>
    <t>Number of patch repairs or relining undertaken on sewer and not included in reported sewer collapses.</t>
  </si>
  <si>
    <t>3I.4</t>
  </si>
  <si>
    <t>APR3I_20</t>
  </si>
  <si>
    <t>Workbook title:</t>
  </si>
  <si>
    <t>PR19IPD01_ ODI-performance-model-v1.11.xlsx</t>
  </si>
  <si>
    <t>Version:</t>
  </si>
  <si>
    <t>Filename:</t>
  </si>
  <si>
    <t>Date:</t>
  </si>
  <si>
    <t>Author:</t>
  </si>
  <si>
    <t>Ofwat</t>
  </si>
  <si>
    <t>Author contact information:</t>
  </si>
  <si>
    <t>annual.reporting@ofwat.gov.uk</t>
  </si>
  <si>
    <t>Summary of workbook:</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</si>
  <si>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calculates the outperformance or underperformance payments earned by a company in the relevant reporting year.
While almost all calculations take place each year, some payments are applied during the period ('in-period') or are delayed and applied at the end of the 2020-25 period ('end of period'). As such we will use this model as an input into the in-period revenue adjustments we will make during the 2020-25 period, as well as the end of period adjustments to be applied as part of PR24.
Worksheet </t>
    </r>
    <r>
      <rPr>
        <b/>
        <sz val="11"/>
        <rFont val="Calibri"/>
        <family val="2"/>
      </rPr>
      <t>App1</t>
    </r>
    <r>
      <rPr>
        <sz val="11"/>
        <color theme="1"/>
        <rFont val="Calibri"/>
        <family val="2"/>
      </rPr>
      <t xml:space="preserve"> contains the performance commitments levels and other information for bespoke performance commitments. </t>
    </r>
    <r>
      <rPr>
        <b/>
        <sz val="11"/>
        <rFont val="Calibri"/>
        <family val="2"/>
      </rPr>
      <t>App1b</t>
    </r>
    <r>
      <rPr>
        <sz val="11"/>
        <color theme="1"/>
        <rFont val="Calibri"/>
        <family val="2"/>
      </rPr>
      <t xml:space="preserve"> contains the performance commitments levels and other information for the common performance commitments.</t>
    </r>
  </si>
  <si>
    <t>Known limitations:</t>
  </si>
  <si>
    <t>This model is for use in reporting 2023-24 actual performance only.</t>
  </si>
  <si>
    <t>Instructions:</t>
  </si>
  <si>
    <r>
      <t xml:space="preserve">The model forms part of the annual performance reporting process. Actual reporting year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 3H.
However, to facilitate these calculations and those relating to RCV adjustments, inputs are also required in the following sheets:
- </t>
    </r>
    <r>
      <rPr>
        <b/>
        <sz val="11"/>
        <color theme="1"/>
        <rFont val="Calibri"/>
        <family val="2"/>
      </rPr>
      <t>InpCompany:</t>
    </r>
    <r>
      <rPr>
        <sz val="11"/>
        <color theme="1"/>
        <rFont val="Calibri"/>
        <family val="2"/>
      </rPr>
      <t xml:space="preserve"> Regulatory Capital Values in £m and 2017-18 prices;
- </t>
    </r>
    <r>
      <rPr>
        <b/>
        <sz val="11"/>
        <color theme="1"/>
        <rFont val="Calibri"/>
        <family val="2"/>
      </rPr>
      <t>Company_PC_inputs:</t>
    </r>
    <r>
      <rPr>
        <sz val="11"/>
        <color theme="1"/>
        <rFont val="Calibri"/>
        <family val="2"/>
      </rPr>
      <t xml:space="preserve"> rows 23 to 29 for override values for payments that are earned or incurred where ODIs do not have standard calculations. As set out in the reconciliation rulebook, companies should provide separate explanations and calculation steps in their commentaries;
- </t>
    </r>
    <r>
      <rPr>
        <b/>
        <sz val="11"/>
        <color theme="1"/>
        <rFont val="Calibri"/>
        <family val="2"/>
      </rPr>
      <t xml:space="preserve">Company_PC_inputs: </t>
    </r>
    <r>
      <rPr>
        <sz val="11"/>
        <color theme="1"/>
        <rFont val="Calibri"/>
        <family val="2"/>
      </rPr>
      <t xml:space="preserve">row 36 relating to whether financial incentives apply or accrue for the reporting year. This field is important for those PCs where financial payments are to be made in 2024-25 only; and
- </t>
    </r>
    <r>
      <rPr>
        <b/>
        <sz val="11"/>
        <color theme="1"/>
        <rFont val="Calibri"/>
        <family val="2"/>
      </rPr>
      <t xml:space="preserve">Company_PC_inputs: </t>
    </r>
    <r>
      <rPr>
        <sz val="11"/>
        <color theme="1"/>
        <rFont val="Calibri"/>
        <family val="2"/>
      </rPr>
      <t xml:space="preserve">rows 53, 54 and 63 to 65 for enhanced ODIs.
Subsequent adjustments (such as voluntary deferrals of payments, taxation, inflation and time value of money) are dealt with in the separate </t>
    </r>
    <r>
      <rPr>
        <b/>
        <sz val="11"/>
        <color theme="3"/>
        <rFont val="Calibri"/>
        <family val="2"/>
      </rPr>
      <t>PR19 In-period adjustments model</t>
    </r>
    <r>
      <rPr>
        <sz val="11"/>
        <color theme="1"/>
        <rFont val="Calibri"/>
        <family val="2"/>
      </rPr>
      <t xml:space="preserve"> under the process for in-period determinations, or in the models that will apply at PR24.
This model applies an aggregate sharing mechanism for outperformance payments (and underperformance payments for Hafren Dyfrdwy only) as set out in the PR19 final determinations.</t>
    </r>
  </si>
  <si>
    <t>Changes</t>
  </si>
  <si>
    <t>Below are details of changes to the model from earlier versions.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</si>
  <si>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</si>
  <si>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</si>
  <si>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</si>
  <si>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</si>
  <si>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</si>
  <si>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</si>
  <si>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</si>
  <si>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</si>
  <si>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</si>
  <si>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</si>
  <si>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</si>
  <si>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</si>
  <si>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</si>
  <si>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</si>
  <si>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</si>
  <si>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</si>
  <si>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</si>
  <si>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</si>
  <si>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</si>
  <si>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</si>
  <si>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</si>
  <si>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</si>
  <si>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</si>
  <si>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</si>
  <si>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</si>
  <si>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</si>
  <si>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</si>
  <si>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</si>
  <si>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</si>
  <si>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</si>
  <si>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</si>
  <si>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</si>
  <si>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</si>
  <si>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</si>
  <si>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</si>
  <si>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</si>
  <si>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</si>
  <si>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</si>
  <si>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</si>
  <si>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</si>
  <si>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</si>
  <si>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</si>
  <si>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</si>
  <si>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</si>
  <si>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</si>
  <si>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</si>
  <si>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</si>
  <si>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</si>
  <si>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</si>
  <si>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</si>
  <si>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References:</t>
  </si>
  <si>
    <t>Annual Performance Report tables 3A and 3B and PR19 final determination outcomes performance commitment appendices for each company updated for the CMA's final determination for the 4 appellant companies Anglian Water, Northumbrian Water, Yorkshire Water and Bristol Water</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</si>
  <si>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</si>
  <si>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</si>
  <si>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</si>
  <si>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</si>
  <si>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</si>
  <si>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</si>
  <si>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</si>
  <si>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</si>
  <si>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</si>
  <si>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</si>
  <si>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</si>
  <si>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</si>
  <si>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</si>
  <si>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</si>
  <si>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</si>
  <si>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</si>
  <si>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</si>
  <si>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</si>
  <si>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</si>
  <si>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</si>
  <si>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</si>
  <si>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</si>
  <si>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</si>
  <si>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</si>
  <si>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</si>
  <si>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</si>
  <si>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</si>
  <si>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</si>
  <si>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</si>
  <si>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</si>
  <si>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</si>
  <si>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</si>
  <si>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</si>
  <si>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</si>
  <si>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</si>
  <si>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Model documentation sheet</t>
  </si>
  <si>
    <t>Inputs from the company and Ofwat which are used in calculating ODI payments.</t>
  </si>
  <si>
    <t>Takes from Company_PC_Inputs unless Ofwat makes an intervention</t>
  </si>
  <si>
    <t>Provides outputs at a PC level before any sharing adjustments are made</t>
  </si>
  <si>
    <t>Style Guide</t>
  </si>
  <si>
    <t>Company_PC_Inputs</t>
  </si>
  <si>
    <t>Model outputs - interventions</t>
  </si>
  <si>
    <t>Explanation of different formatting types</t>
  </si>
  <si>
    <t>ODI payments due based on the company's performance.</t>
  </si>
  <si>
    <t>Summary of Ofwat interventions for Ofwat use.</t>
  </si>
  <si>
    <t>ToC</t>
  </si>
  <si>
    <t>Ofwat_PC_Interventions</t>
  </si>
  <si>
    <t>Table of contents</t>
  </si>
  <si>
    <t>Sheet to provide for Ofwat to make interventions if necessary</t>
  </si>
  <si>
    <t>ODI payments after taking account of sharing mechanism.</t>
  </si>
  <si>
    <t>The in-period revenue, end-of-period  revenue, and end-of-period RCV adjustments to be made as a result of ODI performance between 2020-21 and 2024-25 for each relevant price control.</t>
  </si>
  <si>
    <t>Validation</t>
  </si>
  <si>
    <t>Aggregate calculations</t>
  </si>
  <si>
    <t>F_Outputs</t>
  </si>
  <si>
    <t>Validation data</t>
  </si>
  <si>
    <t>Net ODI payments (in-period, revenue and RCV).</t>
  </si>
  <si>
    <t>F_Output sheet for Ofwat use.</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</si>
  <si>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</si>
  <si>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</si>
  <si>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</si>
  <si>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</si>
  <si>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</si>
  <si>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</si>
  <si>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</si>
  <si>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</si>
  <si>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</si>
  <si>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</si>
  <si>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</si>
  <si>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</si>
  <si>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</si>
  <si>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</si>
  <si>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</si>
  <si>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</si>
  <si>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</si>
  <si>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</si>
  <si>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</si>
  <si>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</si>
  <si>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</si>
  <si>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</si>
  <si>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</si>
  <si>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Select year</t>
  </si>
  <si>
    <t>Select company</t>
  </si>
  <si>
    <t>WaSC</t>
  </si>
  <si>
    <t>0</t>
  </si>
  <si>
    <t>NFI</t>
  </si>
  <si>
    <t>Revenue</t>
  </si>
  <si>
    <t>In-period</t>
  </si>
  <si>
    <t>Up</t>
  </si>
  <si>
    <t>Water</t>
  </si>
  <si>
    <t>2020-21</t>
  </si>
  <si>
    <t>HDD</t>
  </si>
  <si>
    <t>Anglian Water</t>
  </si>
  <si>
    <t>ANH</t>
  </si>
  <si>
    <t>HH:MM:SS</t>
  </si>
  <si>
    <t>Out</t>
  </si>
  <si>
    <t>RCV</t>
  </si>
  <si>
    <t>End of period</t>
  </si>
  <si>
    <t>Down</t>
  </si>
  <si>
    <t>Wastewater</t>
  </si>
  <si>
    <t>2021-22</t>
  </si>
  <si>
    <t>Dŵr Cymru</t>
  </si>
  <si>
    <t>WSH</t>
  </si>
  <si>
    <t>Months</t>
  </si>
  <si>
    <t>Under</t>
  </si>
  <si>
    <t>2022-23</t>
  </si>
  <si>
    <t>Hafren Dyfrdwy</t>
  </si>
  <si>
    <t>time</t>
  </si>
  <si>
    <t>Out &amp; under</t>
  </si>
  <si>
    <t>Northumbrian Water</t>
  </si>
  <si>
    <t>NES</t>
  </si>
  <si>
    <t>nr</t>
  </si>
  <si>
    <t>2024-25</t>
  </si>
  <si>
    <t>Severn Trent Water</t>
  </si>
  <si>
    <t>SVE</t>
  </si>
  <si>
    <t>km</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</si>
  <si>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</si>
  <si>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</si>
  <si>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</si>
  <si>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</si>
  <si>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</si>
  <si>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</si>
  <si>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</si>
  <si>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</si>
  <si>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</si>
  <si>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</si>
  <si>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</si>
  <si>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</si>
  <si>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</si>
  <si>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</si>
  <si>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</si>
  <si>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</si>
  <si>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</si>
  <si>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</si>
  <si>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</si>
  <si>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</si>
  <si>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</si>
  <si>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</si>
  <si>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</si>
  <si>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</si>
  <si>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</si>
  <si>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</si>
  <si>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</si>
  <si>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</si>
  <si>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</si>
  <si>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</si>
  <si>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</si>
  <si>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</si>
  <si>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</si>
  <si>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</si>
  <si>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</si>
  <si>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</si>
  <si>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</si>
  <si>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</si>
  <si>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</si>
  <si>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</si>
  <si>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</si>
  <si>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</si>
  <si>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</si>
  <si>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</si>
  <si>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</si>
  <si>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</si>
  <si>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</si>
  <si>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</si>
  <si>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</si>
  <si>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Ref</t>
  </si>
  <si>
    <t>Table number / ODI model worksheet</t>
  </si>
  <si>
    <t>Cell</t>
  </si>
  <si>
    <t>Item description</t>
  </si>
  <si>
    <t>Action / change made</t>
  </si>
  <si>
    <t>Change category</t>
  </si>
  <si>
    <t>DD / FD</t>
  </si>
  <si>
    <t>Y36</t>
  </si>
  <si>
    <t>PR19SRN_WN13: Long term supply demand schemes: Financial incentives apply or accrue this year?</t>
  </si>
  <si>
    <t>Changed from TRUE to FALSE as this PC applies in 2024-25 only.</t>
  </si>
  <si>
    <t>Change for modelling purposes</t>
  </si>
  <si>
    <t>DD</t>
  </si>
  <si>
    <t>APR_3F</t>
  </si>
  <si>
    <t>F12</t>
  </si>
  <si>
    <t>Per capita consumption (PCC): Performance level - Actual (current reporting year): Total household consumption</t>
  </si>
  <si>
    <t>Changed from 258.5 to 340.248987665266 as per the company's forecast performance in PR24 Business plan table OUT8. This corrects the company's input in this model that sets the overall performance level to match the PCL for 2023-24 so that a £0.000m payment is calculated.</t>
  </si>
  <si>
    <t>Ofwat intervention</t>
  </si>
  <si>
    <t>Accrued ODI payments</t>
  </si>
  <si>
    <t>As accrued payments are not used in the calculations performed in the 2023-24 ODI performance model, all historic accrued payments and any company inputs have been removed from this model.</t>
  </si>
  <si>
    <t>N27</t>
  </si>
  <si>
    <t>PR19SRN_WR01: Per capita consumption: Standard underperformance payments overrides (must be negative)</t>
  </si>
  <si>
    <t>Included an intervention of -£1.1214m to reflect our draft determination decision relating to the impact of Covid on per capita consumption during the 2020-25 period as explained in PR24 draft determinations: Accounting for past delivery and set out in the Override_Additional info sheet of the 2024-25 ODI performance model.</t>
  </si>
  <si>
    <t>FD</t>
  </si>
  <si>
    <t>AU36</t>
  </si>
  <si>
    <t>PR19SRN_WWN12: Improve the number of Bathing waters to at least ‘Good’ (Cost Adjustment Claim): Financial incentives apply or accrue this year?</t>
  </si>
  <si>
    <t>Changed from TRUE to FALSE as this PC applies in 2024-25 only. This intervention changes the ODI payment from £2.382m to £0.000m for 2023-24.</t>
  </si>
  <si>
    <t>AV36</t>
  </si>
  <si>
    <t>PR19SRN_WWN13: Improve the bathing waters at ‘Excellent’ quality (Cost Adjustment Claim): Financial incentives apply or accrue this year?</t>
  </si>
  <si>
    <t>Changed from TRUE to FALSE as this PC applies in 2024-25 only. This intervention changes the ODI payment from £3.573m to £0.000m for 2023-24.</t>
  </si>
  <si>
    <t>Included an intervention of £0.000m to reflect our final determination decision relating to the impact of Covid on per capita consumption during the 2020-25 period as explained in PR24 final determinations: Accounting for past delivery and set out in the Override_Additional info sheet of the 2024-25 ODI performance model.
We have applied our intervention on PCC for the whole 2020-25 period as a 5 year total payment in the 2024-25 final determination ODI performance model.</t>
  </si>
  <si>
    <t>Table number / Model worksheet</t>
  </si>
  <si>
    <t>DD or FD</t>
  </si>
  <si>
    <t>APR_3A</t>
  </si>
  <si>
    <t>APR_3B</t>
  </si>
  <si>
    <t>Company error correction</t>
  </si>
  <si>
    <t>APR_3C</t>
  </si>
  <si>
    <t>Ofwat error correction</t>
  </si>
  <si>
    <t>APR_3D</t>
  </si>
  <si>
    <t>APR_3E</t>
  </si>
  <si>
    <t>APR_3F.1</t>
  </si>
  <si>
    <t>APR_3F.2</t>
  </si>
  <si>
    <t>APR_3G</t>
  </si>
  <si>
    <t>APR_3I</t>
  </si>
  <si>
    <t>Constant</t>
  </si>
  <si>
    <t>Total</t>
  </si>
  <si>
    <t>Ofwat company acronym</t>
  </si>
  <si>
    <t>Financial year</t>
  </si>
  <si>
    <t>Price base for ODI rates</t>
  </si>
  <si>
    <t>2017-18</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</si>
  <si>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</si>
  <si>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</si>
  <si>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</si>
  <si>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</si>
  <si>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</si>
  <si>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</si>
  <si>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</si>
  <si>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</si>
  <si>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</si>
  <si>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</si>
  <si>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</si>
  <si>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</si>
  <si>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</si>
  <si>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</si>
  <si>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</si>
  <si>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</si>
  <si>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</si>
  <si>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</si>
  <si>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</si>
  <si>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</si>
  <si>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</si>
  <si>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</si>
  <si>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</si>
  <si>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</si>
  <si>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</si>
  <si>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</si>
  <si>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</si>
  <si>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</si>
  <si>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</si>
  <si>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</si>
  <si>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</si>
  <si>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</si>
  <si>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</si>
  <si>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</si>
  <si>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</si>
  <si>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</si>
  <si>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</si>
  <si>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</si>
  <si>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</si>
  <si>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</si>
  <si>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</si>
  <si>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</si>
  <si>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</si>
  <si>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</si>
  <si>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</si>
  <si>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</si>
  <si>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</si>
  <si>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</si>
  <si>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</si>
  <si>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</si>
  <si>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</si>
  <si>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</si>
  <si>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</si>
  <si>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</si>
  <si>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</si>
  <si>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</si>
  <si>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</si>
  <si>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</si>
  <si>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</si>
  <si>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</si>
  <si>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</si>
  <si>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</si>
  <si>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</si>
  <si>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</si>
  <si>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</si>
  <si>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</si>
  <si>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</si>
  <si>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</si>
  <si>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</si>
  <si>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</si>
  <si>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</si>
  <si>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</si>
  <si>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</si>
  <si>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</si>
  <si>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</si>
  <si>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</si>
  <si>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</si>
  <si>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</si>
  <si>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</si>
  <si>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</si>
  <si>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</si>
  <si>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</si>
  <si>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</si>
  <si>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</si>
  <si>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</si>
  <si>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</si>
  <si>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</si>
  <si>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</si>
  <si>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</si>
  <si>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</si>
  <si>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</si>
  <si>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</si>
  <si>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</si>
  <si>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</si>
  <si>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</si>
  <si>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</si>
  <si>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</si>
  <si>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</si>
  <si>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</si>
  <si>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</si>
  <si>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</si>
  <si>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</si>
  <si>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</si>
  <si>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</si>
  <si>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</si>
  <si>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</si>
  <si>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</si>
  <si>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</si>
  <si>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</si>
  <si>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</si>
  <si>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</si>
  <si>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t>In-period payments this year?</t>
  </si>
  <si>
    <t>Total outperformance payments to be applied in-period</t>
  </si>
  <si>
    <t>Total underperformance payments to be applied in-period</t>
  </si>
  <si>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</si>
  <si>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</si>
  <si>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</si>
  <si>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</si>
  <si>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</si>
  <si>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</si>
  <si>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</si>
  <si>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</si>
  <si>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</si>
  <si>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</si>
  <si>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</si>
  <si>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</si>
  <si>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</si>
  <si>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</si>
  <si>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</si>
  <si>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</si>
  <si>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</si>
  <si>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</si>
  <si>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</si>
  <si>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</si>
  <si>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</si>
  <si>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</si>
  <si>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</si>
  <si>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</si>
  <si>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</si>
  <si>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</si>
  <si>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</si>
  <si>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</si>
  <si>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</si>
  <si>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</si>
  <si>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</si>
  <si>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</si>
  <si>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</si>
  <si>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</si>
  <si>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</si>
  <si>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</si>
  <si>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</si>
  <si>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</si>
  <si>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</si>
  <si>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</si>
  <si>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</si>
  <si>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</si>
  <si>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</si>
  <si>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</si>
  <si>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</si>
  <si>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</si>
  <si>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</si>
  <si>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</si>
  <si>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</si>
  <si>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</si>
  <si>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</si>
  <si>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</si>
  <si>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</si>
  <si>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</si>
  <si>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</si>
  <si>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</si>
  <si>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</si>
  <si>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</si>
  <si>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</si>
  <si>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</si>
  <si>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</si>
  <si>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</si>
  <si>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</si>
  <si>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</si>
  <si>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</si>
  <si>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</si>
  <si>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</si>
  <si>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</si>
  <si>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</si>
  <si>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</si>
  <si>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</si>
  <si>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</si>
  <si>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</si>
  <si>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</si>
  <si>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</si>
  <si>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</si>
  <si>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</si>
  <si>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</si>
  <si>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</si>
  <si>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</si>
  <si>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</si>
  <si>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</si>
  <si>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</si>
  <si>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</si>
  <si>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</si>
  <si>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</si>
  <si>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</si>
  <si>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</si>
  <si>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</si>
  <si>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</si>
  <si>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</si>
  <si>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</si>
  <si>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</si>
  <si>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</si>
  <si>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</si>
  <si>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</si>
  <si>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</si>
  <si>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</si>
  <si>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</si>
  <si>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</si>
  <si>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Proportion of end of period outperformance payments to be paid through the RCV - Water network plus</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</si>
  <si>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</si>
  <si>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</si>
  <si>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</si>
  <si>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</si>
  <si>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</si>
  <si>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</si>
  <si>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</si>
  <si>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Proportion of end of period underperformance payments to be paid through the RCV - Water network plus</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</si>
  <si>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</si>
  <si>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</si>
  <si>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</si>
  <si>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</si>
  <si>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</si>
  <si>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Wholesale water</t>
  </si>
  <si>
    <t>Wholesale wastewater</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</si>
  <si>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</si>
  <si>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</si>
  <si>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</si>
  <si>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</si>
  <si>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</si>
  <si>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</si>
  <si>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</si>
  <si>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</si>
  <si>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</si>
  <si>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</si>
  <si>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</si>
  <si>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</si>
  <si>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</si>
  <si>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</si>
  <si>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</si>
  <si>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</si>
  <si>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</si>
  <si>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</si>
  <si>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</si>
  <si>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</si>
  <si>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</si>
  <si>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</si>
  <si>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</si>
  <si>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</si>
  <si>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</si>
  <si>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</si>
  <si>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</si>
  <si>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</si>
  <si>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</si>
  <si>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</si>
  <si>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</si>
  <si>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</si>
  <si>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</si>
  <si>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</si>
  <si>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</si>
  <si>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</si>
  <si>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</si>
  <si>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</si>
  <si>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</si>
  <si>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</si>
  <si>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</si>
  <si>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</si>
  <si>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</si>
  <si>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</si>
  <si>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</si>
  <si>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</si>
  <si>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</si>
  <si>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</si>
  <si>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</si>
  <si>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</si>
  <si>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</si>
  <si>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</si>
  <si>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</si>
  <si>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</si>
  <si>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</si>
  <si>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</si>
  <si>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</si>
  <si>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</si>
  <si>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</si>
  <si>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</si>
  <si>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</si>
  <si>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</si>
  <si>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</si>
  <si>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</si>
  <si>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</si>
  <si>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</si>
  <si>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</si>
  <si>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</si>
  <si>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</si>
  <si>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</si>
  <si>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</si>
  <si>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</si>
  <si>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</si>
  <si>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</si>
  <si>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</si>
  <si>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</si>
  <si>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</si>
  <si>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</si>
  <si>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</si>
  <si>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</si>
  <si>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</si>
  <si>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</si>
  <si>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</si>
  <si>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</si>
  <si>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</si>
  <si>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</si>
  <si>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</si>
  <si>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</si>
  <si>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</si>
  <si>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</si>
  <si>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</si>
  <si>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</si>
  <si>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</si>
  <si>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</si>
  <si>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</si>
  <si>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</si>
  <si>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</si>
  <si>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</si>
  <si>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</si>
  <si>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</si>
  <si>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</si>
  <si>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</si>
  <si>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</si>
  <si>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</si>
  <si>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</si>
  <si>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</si>
  <si>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</si>
  <si>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</si>
  <si>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</si>
  <si>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</si>
  <si>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</si>
  <si>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</si>
  <si>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</si>
  <si>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</si>
  <si>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</si>
  <si>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</si>
  <si>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</si>
  <si>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</si>
  <si>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</si>
  <si>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</si>
  <si>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</si>
  <si>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</si>
  <si>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</si>
  <si>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</si>
  <si>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</si>
  <si>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</si>
  <si>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</si>
  <si>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</si>
  <si>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</si>
  <si>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</si>
  <si>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</si>
  <si>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</si>
  <si>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</si>
  <si>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</si>
  <si>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</si>
  <si>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</si>
  <si>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</si>
  <si>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</si>
  <si>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</si>
  <si>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</si>
  <si>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</si>
  <si>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</si>
  <si>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</si>
  <si>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</si>
  <si>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</si>
  <si>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</si>
  <si>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</si>
  <si>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</si>
  <si>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</si>
  <si>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</si>
  <si>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</si>
  <si>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</si>
  <si>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</si>
  <si>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</si>
  <si>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</si>
  <si>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</si>
  <si>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</si>
  <si>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</si>
  <si>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</si>
  <si>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</si>
  <si>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</si>
  <si>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</si>
  <si>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</si>
  <si>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</si>
  <si>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</si>
  <si>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</si>
  <si>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</si>
  <si>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</si>
  <si>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</si>
  <si>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</si>
  <si>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</si>
  <si>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</si>
  <si>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</si>
  <si>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</si>
  <si>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</si>
  <si>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</si>
  <si>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</si>
  <si>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</si>
  <si>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</si>
  <si>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</si>
  <si>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</si>
  <si>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Revenue adjustments - Net ODI payments (to be applied end of period) - Water resources</t>
  </si>
  <si>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</si>
  <si>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</si>
  <si>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</si>
  <si>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</si>
  <si>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</si>
  <si>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</si>
  <si>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</si>
  <si>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</si>
  <si>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</si>
  <si>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</si>
  <si>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</si>
  <si>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</si>
  <si>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</si>
  <si>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</si>
  <si>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ODI payments for each performance commitment before any sharing of outperformance with customers</t>
  </si>
  <si>
    <t>Any overrides</t>
  </si>
  <si>
    <t>Any validation issues</t>
  </si>
  <si>
    <t>Any Ofwat interventions</t>
  </si>
  <si>
    <t>Unique ID</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</si>
  <si>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</si>
  <si>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</si>
  <si>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</si>
  <si>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</si>
  <si>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</si>
  <si>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</si>
  <si>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</si>
  <si>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</si>
  <si>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</si>
  <si>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Net ODI payments to be applied in-period</t>
  </si>
  <si>
    <t>These payments will be applied in-period using the 'in-period adjustments model' which will deal with taxation, time value of money, inflation and any voluntary deferrals</t>
  </si>
  <si>
    <t xml:space="preserve">Revenue adjustments </t>
  </si>
  <si>
    <t>These payments will be applied at the end of the 2020-25 period in the relevant PR24 revenue and RCV models</t>
  </si>
  <si>
    <t>Reference</t>
  </si>
  <si>
    <t>Model</t>
  </si>
  <si>
    <t>Description_input</t>
  </si>
  <si>
    <t>PR24PD01_OUT</t>
  </si>
  <si>
    <t>C_PR24PD01_APR3H_WR01_PR24</t>
  </si>
  <si>
    <t>Summary information on outcome delivery incentive payments - Initial calculation of in-period revenue adjustment by price control - Water resources</t>
  </si>
  <si>
    <t>Price Review 2024</t>
  </si>
  <si>
    <t>C_PR24PD01_APR3H_WN02_PR24</t>
  </si>
  <si>
    <t>Summary information on outcome delivery incentive payments - Initial calculation of in-period revenue adjustment by price control - Water network plus</t>
  </si>
  <si>
    <t>C_PR24PD01_APR3H_WWN03_PR24</t>
  </si>
  <si>
    <t>Summary information on outcome delivery incentive payments - Initial calculation of in-period revenue adjustment by price control - Wastewater network plus</t>
  </si>
  <si>
    <t>C_PR24PD01_APR3H_BIO04_PR24</t>
  </si>
  <si>
    <t>Summary information on outcome delivery incentive payments - Initial calculation of in-period revenue adjustment by price control - Bioresources (sludge)</t>
  </si>
  <si>
    <t>C_PR24PD01_APR3H_RR05_PR24</t>
  </si>
  <si>
    <t>Summary information on outcome delivery incentive payments - Initial calculation of in-period revenue adjustment by price control - Residential retail</t>
  </si>
  <si>
    <t>C_PR24PD01_APR3H_BR06_PR24</t>
  </si>
  <si>
    <t>Summary information on outcome delivery incentive payments - Initial calculation of in-period revenue adjustment by price control - Business retail</t>
  </si>
  <si>
    <t>C_PR24PD01_APR3H_DC07_PR24</t>
  </si>
  <si>
    <t>Summary information on outcome delivery incentive payments - Initial calculation of in-period revenue adjustment by price control - Additional control</t>
  </si>
  <si>
    <t>C_PR24PD01_APR3H_WR08_PR24</t>
  </si>
  <si>
    <t>Summary information on outcome delivery incentive payments - Initial calculation of end of period revenue adjustment by price control - Water resources</t>
  </si>
  <si>
    <t>C_PR24PD01_APR3H_WN09_PR24</t>
  </si>
  <si>
    <t>Summary information on outcome delivery incentive payments - Initial calculation of end of period revenue adjustment by price control - Water network plus</t>
  </si>
  <si>
    <t>C_PR24PD01_APR3H_WWN10_PR24</t>
  </si>
  <si>
    <t>Summary information on outcome delivery incentive payments - Initial calculation of end of period revenue adjustment by price control - Wastewater network plus</t>
  </si>
  <si>
    <t>C_PR24PD01_APR3H_BIO11_PR24</t>
  </si>
  <si>
    <t>Summary information on outcome delivery incentive payments - Initial calculation of end of period revenue adjustment by price control - Bioresources (sludge)</t>
  </si>
  <si>
    <t>C_PR24PD01_APR3H_RR12_PR24</t>
  </si>
  <si>
    <t>Summary information on outcome delivery incentive payments - Initial calculation of end of period revenue adjustment by price control - Residential retail</t>
  </si>
  <si>
    <t>C_PR24PD01_APR3H_BR13_PR24</t>
  </si>
  <si>
    <t>Summary information on outcome delivery incentive payments - Initial calculation of end of period revenue adjustment by price control - Business retail</t>
  </si>
  <si>
    <t>C_PR24PD01_APR3H_DC14_PR24</t>
  </si>
  <si>
    <t>Summary information on outcome delivery incentive payments - Initial calculation of end of period revenue adjustment by price control - Additional control</t>
  </si>
  <si>
    <t>C_PR24PD01_APR3H_WR15_PR24</t>
  </si>
  <si>
    <t>Summary information on outcome delivery incentive payments - Initial calculation of end of period RCV adjustment by price control - Water resources</t>
  </si>
  <si>
    <t>C_PR24PD01_APR3H_WN16_PR24</t>
  </si>
  <si>
    <t>Summary information on outcome delivery incentive payments - Initial calculation of end of period RCV adjustment by price control - Water network plus</t>
  </si>
  <si>
    <t>C_PR24PD01_APR3H_WWN17_PR24</t>
  </si>
  <si>
    <t>Summary information on outcome delivery incentive payments - Initial calculation of end of period RCV adjustment by price control - Wastewater network plus</t>
  </si>
  <si>
    <t>C_PR24PD01_APR3H_BIO18_PR24</t>
  </si>
  <si>
    <t>Summary information on outcome delivery incentive payments - Initial calculation of end of period RCV adjustment by price control - Bioresources (sludge)</t>
  </si>
  <si>
    <t>C_PR24PD01_APR3H_RR19_PR24</t>
  </si>
  <si>
    <t>Summary information on outcome delivery incentive payments - Initial calculation of end of period RCV adjustment by price control - Residential retail</t>
  </si>
  <si>
    <t>C_PR24PD01_APR3H_BR20_PR24</t>
  </si>
  <si>
    <t>Summary information on outcome delivery incentive payments - Initial calculation of end of period RCV adjustment by price control - Business retail</t>
  </si>
  <si>
    <t>C_PR24PD01_APR3H_DC21_PR24</t>
  </si>
  <si>
    <t>Summary information on outcome delivery incentive payments - Initial calculation of end of period RCV adjustment by price control - Additional control</t>
  </si>
  <si>
    <t>C_PR24PD01_APR3A_01_PR24</t>
  </si>
  <si>
    <t>Common PCs from PR19 - Water quality compliance (CRI) - Performance</t>
  </si>
  <si>
    <t>C_PR24PD01_APR3A_02_PR24</t>
  </si>
  <si>
    <t>Common PCs from PR19 -  Water supply interruptions  - Performance</t>
  </si>
  <si>
    <t>C_PR24PD01_APR3A_03_PR24</t>
  </si>
  <si>
    <t>Common PCs from PR19 - Leakage  - Performance</t>
  </si>
  <si>
    <t>C_PR24PD01_APR3A_03A_PR24</t>
  </si>
  <si>
    <t>Common PCs from PR19 - Leakage  - Performance - second region</t>
  </si>
  <si>
    <t>C_PR24PD01_APR3A_04_PR24</t>
  </si>
  <si>
    <t>Common PCs from PR19 -  Per capita consumption  - Performance</t>
  </si>
  <si>
    <t>C_PR24PD01_APR3A_04A_PR24</t>
  </si>
  <si>
    <t>Common PCs from PR19 -  Per capita consumption  - Performance - second region</t>
  </si>
  <si>
    <t>C_PR24PD01_APR3A_05_PR24</t>
  </si>
  <si>
    <t>Common PCs from PR19 -  Mains repairs  - Performance</t>
  </si>
  <si>
    <t>C_PR24PD01_APR3A_06_PR24</t>
  </si>
  <si>
    <t>Common PCs from PR19 - Unplanned outage - Performance</t>
  </si>
  <si>
    <t>C_PR24PD01_APR3A_27_PR24</t>
  </si>
  <si>
    <t>Water and retail bespoke PCs from PR19 - Performance - Option 1 (see table for details)</t>
  </si>
  <si>
    <t>C_PR24PD01_APR3A_28_PR24</t>
  </si>
  <si>
    <t>Water and retail bespoke PCs from PR19 - Performance - Option 2 (see table for details)</t>
  </si>
  <si>
    <t>C_PR24PD01_APR3A_29_PR24</t>
  </si>
  <si>
    <t>Water and retail bespoke PCs from PR19 - Performance - Option 3 (see table for details)</t>
  </si>
  <si>
    <t>C_PR24PD01_APR3A_30_PR24</t>
  </si>
  <si>
    <t>Water and retail bespoke PCs from PR19 - Performance - Option 4 (see table for details)</t>
  </si>
  <si>
    <t>C_PR24PD01_APR3A_31_PR24</t>
  </si>
  <si>
    <t>Water and retail bespoke PCs from PR19 - Performance - Option 5 (see table for details)</t>
  </si>
  <si>
    <t>C_PR24PD01_APR3A_32_PR24</t>
  </si>
  <si>
    <t>Water and retail bespoke PCs from PR19 - Performance - Option 6 (see table for details)</t>
  </si>
  <si>
    <t>C_PR24PD01_APR3A_33_PR24</t>
  </si>
  <si>
    <t>Water and retail bespoke PCs from PR19 - Performance - Option 7 (see table for details)</t>
  </si>
  <si>
    <t>C_PR24PD01_APR3A_34_PR24</t>
  </si>
  <si>
    <t>Water and retail bespoke PCs from PR19 - Performance - Option 8 (see table for details)</t>
  </si>
  <si>
    <t>C_PR24PD01_APR3A_35_PR24</t>
  </si>
  <si>
    <t>Water and retail bespoke PCs from PR19 - Performance - Option 9 (see table for details)</t>
  </si>
  <si>
    <t>C_PR24PD01_APR3A_36_PR24</t>
  </si>
  <si>
    <t>Water and retail bespoke PCs from PR19 - Performance - Option 10 (see table for details)</t>
  </si>
  <si>
    <t>C_PR24PD01_APR3A_37_PR24</t>
  </si>
  <si>
    <t>Water and retail bespoke PCs from PR19 - Performance - Option 11 (see table for details)</t>
  </si>
  <si>
    <t>C_PR24PD01_APR3A_38_PR24</t>
  </si>
  <si>
    <t>Water and retail bespoke PCs from PR19 - Performance - Option 12 (see table for details)</t>
  </si>
  <si>
    <t>C_PR24PD01_APR3A_39_PR24</t>
  </si>
  <si>
    <t>Water and retail bespoke PCs from PR19 - Performance - Option 13 (see table for details)</t>
  </si>
  <si>
    <t>C_PR24PD01_APR3A_40_PR24</t>
  </si>
  <si>
    <t>Water and retail bespoke PCs from PR19 - Performance - Option 14 (see table for details)</t>
  </si>
  <si>
    <t>C_PR24PD01_APR3A_41_PR24</t>
  </si>
  <si>
    <t>Water and retail bespoke PCs from PR19 - Performance - Option 15 (see table for details)</t>
  </si>
  <si>
    <t>C_PR24PD01_APR3A_42_PR24</t>
  </si>
  <si>
    <t>Water and retail bespoke PCs from PR19 - Performance - Option 16 (see table for details)</t>
  </si>
  <si>
    <t>C_PR24PD01_APR3A_43_PR24</t>
  </si>
  <si>
    <t>Water and retail bespoke PCs from PR19 - Performance - Option 17 (see table for details)</t>
  </si>
  <si>
    <t>C_PR24PD01_APR3A_44_PR24</t>
  </si>
  <si>
    <t>Water and retail bespoke PCs from PR19 - Performance - Option 18 (see table for details)</t>
  </si>
  <si>
    <t>C_PR24PD01_APR3A_45_PR24</t>
  </si>
  <si>
    <t>Water and retail bespoke PCs from PR19 - Performance - Option 19 (see table for details)</t>
  </si>
  <si>
    <t>C_PR24PD01_APR3A_46_PR24</t>
  </si>
  <si>
    <t>Water and retail bespoke PCs from PR19 - Performance - Option 20 (see table for details)</t>
  </si>
  <si>
    <t>C_PR24PD01_APR3B_01_PR24</t>
  </si>
  <si>
    <t>Common PCs from PR19 - Internal sewer flooding  - Performance</t>
  </si>
  <si>
    <t>C_PR24PD01_APR3B_02_PR24</t>
  </si>
  <si>
    <t>Common PCs from PR19 -  Pollution incidents  - Performance</t>
  </si>
  <si>
    <t>C_PR24PD01_APR3B_03_PR24</t>
  </si>
  <si>
    <t>Common PCs from PR19 -  Sewer collapses - Performance</t>
  </si>
  <si>
    <t>C_PR24PD01_APR3B_04_PR24</t>
  </si>
  <si>
    <t>Common PCs from PR19 - Treatment works compliance - Performance</t>
  </si>
  <si>
    <t>C_PR24PD01_APR3B_18_PR24</t>
  </si>
  <si>
    <t>Wastewater bespoke PCs from PR19 - Performance - Option 1 (see table for details)</t>
  </si>
  <si>
    <t>C_PR24PD01_APR3B_19_PR24</t>
  </si>
  <si>
    <t>Wastewater bespoke PCs from PR19 - Performance - Option 2 (see table for details)</t>
  </si>
  <si>
    <t>C_PR24PD01_APR3B_20_PR24</t>
  </si>
  <si>
    <t>Wastewater bespoke PCs from PR19 - Performance - Option 3 (see table for details)</t>
  </si>
  <si>
    <t>C_PR24PD01_APR3B_21_PR24</t>
  </si>
  <si>
    <t>Wastewater bespoke PCs from PR19 - Performance - Option 4 (see table for details)</t>
  </si>
  <si>
    <t>C_PR24PD01_APR3B_22_PR24</t>
  </si>
  <si>
    <t>Wastewater bespoke PCs from PR19 - Performance - Option 5 (see table for details)</t>
  </si>
  <si>
    <t>C_PR24PD01_APR3B_23_PR24</t>
  </si>
  <si>
    <t>Wastewater bespoke PCs from PR19 - Performance - Option 6 (see table for details)</t>
  </si>
  <si>
    <t>C_PR24PD01_APR3B_24_PR24</t>
  </si>
  <si>
    <t>Wastewater bespoke PCs from PR19 - Performance - Option 7 (see table for details)</t>
  </si>
  <si>
    <t>C_PR24PD01_APR3B_25_PR24</t>
  </si>
  <si>
    <t>Wastewater bespoke PCs from PR19 - Performance - Option 8 (see table for details)</t>
  </si>
  <si>
    <t>C_PR24PD01_APR3B_26_PR24</t>
  </si>
  <si>
    <t>Wastewater bespoke PCs from PR19 - Performance - Option 9 (see table for details)</t>
  </si>
  <si>
    <t>C_PR24PD01_APR3B_27_PR24</t>
  </si>
  <si>
    <t>Wastewater bespoke PCs from PR19 - Performance - Option 10 (see table for details)</t>
  </si>
  <si>
    <t>C_PR24PD01_APR3B_28_PR24</t>
  </si>
  <si>
    <t>Wastewater bespoke PCs from PR19 - Performance - Option 11 (see table for details)</t>
  </si>
  <si>
    <t>C_PR24PD01_APR3B_29_PR24</t>
  </si>
  <si>
    <t>Wastewater bespoke PCs from PR19 - Performance - Option 12 (see table for details)</t>
  </si>
  <si>
    <t>C_PR24PD01_APR3B_30_PR24</t>
  </si>
  <si>
    <t>Wastewater bespoke PCs from PR19 - Performance - Option 13 (see table for details)</t>
  </si>
  <si>
    <t>C_PR24PD01_APR3B_31_PR24</t>
  </si>
  <si>
    <t>Wastewater bespoke PCs from PR19 - Performance - Option 14 (see table for details)</t>
  </si>
  <si>
    <t>C_PR24PD01_APR3A_13_PR24</t>
  </si>
  <si>
    <t>Common PCs from PR19 - Water quality compliance (CRI) - Payment</t>
  </si>
  <si>
    <t>C_PR24PD01_APR3A_14_PR24</t>
  </si>
  <si>
    <t>Common PCs from PR19 -  Water supply interruptions  - Payment</t>
  </si>
  <si>
    <t>C_PR24PD01_APR3A_15_PR24</t>
  </si>
  <si>
    <t>Common PCs from PR19 - Leakage  - Payment</t>
  </si>
  <si>
    <t>C_PR24PD01_APR3A_15A_PR24</t>
  </si>
  <si>
    <t>Common PCs from PR19 - Leakage  - Payment - second region</t>
  </si>
  <si>
    <t>C_PR24PD01_APR3A_16_PR24</t>
  </si>
  <si>
    <t>Common PCs from PR19 -  Per capita consumption  - Payment</t>
  </si>
  <si>
    <t>C_PR24PD01_APR3A_16A_PR24</t>
  </si>
  <si>
    <t>Common PCs from PR19 -  Per capita consumption  - Payment - second region</t>
  </si>
  <si>
    <t>C_PR24PD01_APR3A_17_PR24</t>
  </si>
  <si>
    <t>Common PCs from PR19 -  Mains repairs  - Payment</t>
  </si>
  <si>
    <t>C_PR24PD01_APR3A_18_PR24</t>
  </si>
  <si>
    <t>Common PCs from PR19 - Unplanned outage - Payment</t>
  </si>
  <si>
    <t>C_PR24PD01_APR3A_67_PR24</t>
  </si>
  <si>
    <t>Water and retail bespoke PCs from PR19 - Payment - Option 1 (see table for details)</t>
  </si>
  <si>
    <t>C_PR24PD01_APR3A_68_PR24</t>
  </si>
  <si>
    <t>Water and retail bespoke PCs from PR19 - Payment - Option 2 (see table for details)</t>
  </si>
  <si>
    <t>C_PR24PD01_APR3A_69_PR24</t>
  </si>
  <si>
    <t>Water and retail bespoke PCs from PR19 - Payment - Option 3 (see table for details)</t>
  </si>
  <si>
    <t>C_PR24PD01_APR3A_70_PR24</t>
  </si>
  <si>
    <t>Water and retail bespoke PCs from PR19 - Payment - Option 4 (see table for details)</t>
  </si>
  <si>
    <t>C_PR24PD01_APR3A_71_PR24</t>
  </si>
  <si>
    <t>Water and retail bespoke PCs from PR19 - Payment - Option 5 (see table for details)</t>
  </si>
  <si>
    <t>C_PR24PD01_APR3A_72_PR24</t>
  </si>
  <si>
    <t>Water and retail bespoke PCs from PR19 - Payment - Option 6 (see table for details)</t>
  </si>
  <si>
    <t>C_PR24PD01_APR3A_73_PR24</t>
  </si>
  <si>
    <t>Water and retail bespoke PCs from PR19 - Payment - Option 7 (see table for details)</t>
  </si>
  <si>
    <t>C_PR24PD01_APR3A_74_PR24</t>
  </si>
  <si>
    <t>Water and retail bespoke PCs from PR19 - Payment - Option 8 (see table for details)</t>
  </si>
  <si>
    <t>C_PR24PD01_APR3A_75_PR24</t>
  </si>
  <si>
    <t>Water and retail bespoke PCs from PR19 - Payment - Option 9 (see table for details)</t>
  </si>
  <si>
    <t>C_PR24PD01_APR3A_76_PR24</t>
  </si>
  <si>
    <t>Water and retail bespoke PCs from PR19 - Payment - Option 10 (see table for details)</t>
  </si>
  <si>
    <t>C_PR24PD01_APR3A_77_PR24</t>
  </si>
  <si>
    <t>Water and retail bespoke PCs from PR19 - Payment - Option 11 (see table for details)</t>
  </si>
  <si>
    <t>C_PR24PD01_APR3A_78_PR24</t>
  </si>
  <si>
    <t>Water and retail bespoke PCs from PR19 - Payment - Option 12 (see table for details)</t>
  </si>
  <si>
    <t>C_PR24PD01_APR3A_79_PR24</t>
  </si>
  <si>
    <t>Water and retail bespoke PCs from PR19 - Payment - Option 13 (see table for details)</t>
  </si>
  <si>
    <t>C_PR24PD01_APR3A_80_PR24</t>
  </si>
  <si>
    <t>Water and retail bespoke PCs from PR19 - Payment - Option 14 (see table for details)</t>
  </si>
  <si>
    <t>C_PR24PD01_APR3A_81_PR24</t>
  </si>
  <si>
    <t>Water and retail bespoke PCs from PR19 - Payment - Option 15 (see table for details)</t>
  </si>
  <si>
    <t>C_PR24PD01_APR3A_82_PR24</t>
  </si>
  <si>
    <t>Water and retail bespoke PCs from PR19 - Payment - Option 16 (see table for details)</t>
  </si>
  <si>
    <t>C_PR24PD01_APR3A_83_PR24</t>
  </si>
  <si>
    <t>Water and retail bespoke PCs from PR19 - Payment - Option 17 (see table for details)</t>
  </si>
  <si>
    <t>C_PR24PD01_APR3A_84_PR24</t>
  </si>
  <si>
    <t>Water and retail bespoke PCs from PR19 - Payment - Option 18 (see table for details)</t>
  </si>
  <si>
    <t>C_PR24PD01_APR3A_85_PR24</t>
  </si>
  <si>
    <t>Water and retail bespoke PCs from PR19 - Payment - Option 19 (see table for details)</t>
  </si>
  <si>
    <t>C_PR24PD01_APR3A_86_PR24</t>
  </si>
  <si>
    <t>Water and retail bespoke PCs from PR19 - Payment - Option 20 (see table for details)</t>
  </si>
  <si>
    <t>C_PR24PD01_APR3B_09_PR24</t>
  </si>
  <si>
    <t>Common PCs from PR19 - Internal sewer flooding  - Payment</t>
  </si>
  <si>
    <t>C_PR24PD01_APR3B_10_PR24</t>
  </si>
  <si>
    <t>Common PCs from PR19 -  Pollution incidents  - Payment</t>
  </si>
  <si>
    <t>C_PR24PD01_APR3B_11_PR24</t>
  </si>
  <si>
    <t>Common PCs from PR19 -  Sewer collapses - Payment</t>
  </si>
  <si>
    <t>C_PR24PD01_APR3B_12_PR24</t>
  </si>
  <si>
    <t>Common PCs from PR19 - Treatment works compliance - Payment</t>
  </si>
  <si>
    <t>C_PR24PD01_APR3B_46_PR24</t>
  </si>
  <si>
    <t>Wastewater bespoke PCs from PR19 - Payment - Option 1 (see table for details)</t>
  </si>
  <si>
    <t>C_PR24PD01_APR3B_47_PR24</t>
  </si>
  <si>
    <t>Wastewater bespoke PCs from PR19 - Payment - Option 2 (see table for details)</t>
  </si>
  <si>
    <t>C_PR24PD01_APR3B_48_PR24</t>
  </si>
  <si>
    <t>Wastewater bespoke PCs from PR19 - Payment - Option 3 (see table for details)</t>
  </si>
  <si>
    <t>C_PR24PD01_APR3B_49_PR24</t>
  </si>
  <si>
    <t>Wastewater bespoke PCs from PR19 - Payment - Option 4 (see table for details)</t>
  </si>
  <si>
    <t>C_PR24PD01_APR3B_50_PR24</t>
  </si>
  <si>
    <t>Wastewater bespoke PCs from PR19 - Payment - Option 5 (see table for details)</t>
  </si>
  <si>
    <t>C_PR24PD01_APR3B_51_PR24</t>
  </si>
  <si>
    <t>Wastewater bespoke PCs from PR19 - Payment - Option 6 (see table for details)</t>
  </si>
  <si>
    <t>C_PR24PD01_APR3B_52_PR24</t>
  </si>
  <si>
    <t>Wastewater bespoke PCs from PR19 - Payment - Option 7 (see table for details)</t>
  </si>
  <si>
    <t>C_PR24PD01_APR3B_53_PR24</t>
  </si>
  <si>
    <t>Wastewater bespoke PCs from PR19 - Payment - Option 8 (see table for details)</t>
  </si>
  <si>
    <t>C_PR24PD01_APR3B_54_PR24</t>
  </si>
  <si>
    <t>Wastewater bespoke PCs from PR19 - Payment - Option 9 (see table for details)</t>
  </si>
  <si>
    <t>C_PR24PD01_APR3B_55_PR24</t>
  </si>
  <si>
    <t>Wastewater bespoke PCs from PR19 - Payment - Option 10 (see table for details)</t>
  </si>
  <si>
    <t>C_PR24PD01_APR3B_56_PR24</t>
  </si>
  <si>
    <t>Wastewater bespoke PCs from PR19 - Payment - Option 11 (see table for details)</t>
  </si>
  <si>
    <t>C_PR24PD01_APR3B_57_PR24</t>
  </si>
  <si>
    <t>Wastewater bespoke PCs from PR19 - Payment - Option 12 (see table for details)</t>
  </si>
  <si>
    <t>C_PR24PD01_APR3B_58_PR24</t>
  </si>
  <si>
    <t>Wastewater bespoke PCs from PR19 - Payment - Option 13 (see table for details)</t>
  </si>
  <si>
    <t>C_PR24PD01_APR3B_59_PR24</t>
  </si>
  <si>
    <t>Wastewater bespoke PCs from PR19 - Payment - Option 14 (see table for details)</t>
  </si>
  <si>
    <t>PR24QA_PR24PD01_OUT1</t>
  </si>
  <si>
    <t>Date &amp; Time for Model - PR24PD01</t>
  </si>
  <si>
    <t>PR24QA_PR24PD01_OUT2</t>
  </si>
  <si>
    <t>Name of Model - PR24PD01</t>
  </si>
  <si>
    <t>PR24QA_PR24PD01_OUT3</t>
  </si>
  <si>
    <t>F_Inputs time stamp - PR24PD01</t>
  </si>
  <si>
    <t>PR24QA_PR24PD01_OUT4</t>
  </si>
  <si>
    <t>Model override switch for - PR24PD01</t>
  </si>
  <si>
    <t>Bespoke performance commitments (PCs) and outcome delivery incentives (ODIs) information</t>
  </si>
  <si>
    <t>Calculated</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</si>
  <si>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</si>
  <si>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</si>
  <si>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</si>
  <si>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</si>
  <si>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</si>
  <si>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</si>
  <si>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</si>
  <si>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</si>
  <si>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</si>
  <si>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</si>
  <si>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</si>
  <si>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</si>
  <si>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</si>
  <si>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</si>
  <si>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</si>
  <si>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</si>
  <si>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</si>
  <si>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t>PC name</t>
  </si>
  <si>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</si>
  <si>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</si>
  <si>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</si>
  <si>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</si>
  <si>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</si>
  <si>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</si>
  <si>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</si>
  <si>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</si>
  <si>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</si>
  <si>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</si>
  <si>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</si>
  <si>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</si>
  <si>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</si>
  <si>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</si>
  <si>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</si>
  <si>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</si>
  <si>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</si>
  <si>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</si>
  <si>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</si>
  <si>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</si>
  <si>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</si>
  <si>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</si>
  <si>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</si>
  <si>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</si>
  <si>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</si>
  <si>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</si>
  <si>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</si>
  <si>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</si>
  <si>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</si>
  <si>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</si>
  <si>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</si>
  <si>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</si>
  <si>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</si>
  <si>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</si>
  <si>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</si>
  <si>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</si>
  <si>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</si>
  <si>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</si>
  <si>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</si>
  <si>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</si>
  <si>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</si>
  <si>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</si>
  <si>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</si>
  <si>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</si>
  <si>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</si>
  <si>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</si>
  <si>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</si>
  <si>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</si>
  <si>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</si>
  <si>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</si>
  <si>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</si>
  <si>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</si>
  <si>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</si>
  <si>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</si>
  <si>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</si>
  <si>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</si>
  <si>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</si>
  <si>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</si>
  <si>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</si>
  <si>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</si>
  <si>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</si>
  <si>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PR19AFW_R-B1</t>
  </si>
  <si>
    <t>R-B1</t>
  </si>
  <si>
    <t>Per capita consumption</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</si>
  <si>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</si>
  <si>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</si>
  <si>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</si>
  <si>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</si>
  <si>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</si>
  <si>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</si>
  <si>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</si>
  <si>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</si>
  <si>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</si>
  <si>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</si>
  <si>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</si>
  <si>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</si>
  <si>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</si>
  <si>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</si>
  <si>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</si>
  <si>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</si>
  <si>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</si>
  <si>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</si>
  <si>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</si>
  <si>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</si>
  <si>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</si>
  <si>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</si>
  <si>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</si>
  <si>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</si>
  <si>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</si>
  <si>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</si>
  <si>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</si>
  <si>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</si>
  <si>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</si>
  <si>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</si>
  <si>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</si>
  <si>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</si>
  <si>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</si>
  <si>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</si>
  <si>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</si>
  <si>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</si>
  <si>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</si>
  <si>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</si>
  <si>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</si>
  <si>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</si>
  <si>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</si>
  <si>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</si>
  <si>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</si>
  <si>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</si>
  <si>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</si>
  <si>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</si>
  <si>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</si>
  <si>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</si>
  <si>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</si>
  <si>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</si>
  <si>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</si>
  <si>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</si>
  <si>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</si>
  <si>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</si>
  <si>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</si>
  <si>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</si>
  <si>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</si>
  <si>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</si>
  <si>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</si>
  <si>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</si>
  <si>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</si>
  <si>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</si>
  <si>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</si>
  <si>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</si>
  <si>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</si>
  <si>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</si>
  <si>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</si>
  <si>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</si>
  <si>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</si>
  <si>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</si>
  <si>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</si>
  <si>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</si>
  <si>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</si>
  <si>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</si>
  <si>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</si>
  <si>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</si>
  <si>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</si>
  <si>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</si>
  <si>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</si>
  <si>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</si>
  <si>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</si>
  <si>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</si>
  <si>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</si>
  <si>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</si>
  <si>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</si>
  <si>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</si>
  <si>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</si>
  <si>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</si>
  <si>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</si>
  <si>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</si>
  <si>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</si>
  <si>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</si>
  <si>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</si>
  <si>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</si>
  <si>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</si>
  <si>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</si>
  <si>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</si>
  <si>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</si>
  <si>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</si>
  <si>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</si>
  <si>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</si>
  <si>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</si>
  <si>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</si>
  <si>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</si>
  <si>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</si>
  <si>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</si>
  <si>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</si>
  <si>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</si>
  <si>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</si>
  <si>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</si>
  <si>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</si>
  <si>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</si>
  <si>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</si>
  <si>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</si>
  <si>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</si>
  <si>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</si>
  <si>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</si>
  <si>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</si>
  <si>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</si>
  <si>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</si>
  <si>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</si>
  <si>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</si>
  <si>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</si>
  <si>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</si>
  <si>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</si>
  <si>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</si>
  <si>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</si>
  <si>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</si>
  <si>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</si>
  <si>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</si>
  <si>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</si>
  <si>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</si>
  <si>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</si>
  <si>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</si>
  <si>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</si>
  <si>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</si>
  <si>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</si>
  <si>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</si>
  <si>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</si>
  <si>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</si>
  <si>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</si>
  <si>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</si>
  <si>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</si>
  <si>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</si>
  <si>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</si>
  <si>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</si>
  <si>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</si>
  <si>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</si>
  <si>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</si>
  <si>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PR19ANH_6</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</si>
  <si>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</si>
  <si>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</si>
  <si>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</si>
  <si>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</si>
  <si>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</si>
  <si>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</si>
  <si>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</si>
  <si>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</si>
  <si>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</si>
  <si>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</si>
  <si>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</si>
  <si>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</si>
  <si>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</si>
  <si>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</si>
  <si>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</si>
  <si>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</si>
  <si>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</si>
  <si>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</si>
  <si>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</si>
  <si>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</si>
  <si>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</si>
  <si>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</si>
  <si>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</si>
  <si>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</si>
  <si>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</si>
  <si>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</si>
  <si>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</si>
  <si>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</si>
  <si>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</si>
  <si>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</si>
  <si>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</si>
  <si>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</si>
  <si>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</si>
  <si>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</si>
  <si>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</si>
  <si>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</si>
  <si>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</si>
  <si>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</si>
  <si>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</si>
  <si>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</si>
  <si>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</si>
  <si>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</si>
  <si>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</si>
  <si>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</si>
  <si>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</si>
  <si>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</si>
  <si>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</si>
  <si>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</si>
  <si>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</si>
  <si>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</si>
  <si>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</si>
  <si>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</si>
  <si>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</si>
  <si>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</si>
  <si>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</si>
  <si>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</si>
  <si>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</si>
  <si>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</si>
  <si>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</si>
  <si>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</si>
  <si>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</si>
  <si>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</si>
  <si>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</si>
  <si>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</si>
  <si>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</si>
  <si>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</si>
  <si>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</si>
  <si>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</si>
  <si>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</si>
  <si>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</si>
  <si>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</si>
  <si>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</si>
  <si>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</si>
  <si>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</si>
  <si>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</si>
  <si>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</si>
  <si>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</si>
  <si>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</si>
  <si>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</si>
  <si>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</si>
  <si>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</si>
  <si>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</si>
  <si>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</si>
  <si>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</si>
  <si>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</si>
  <si>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</si>
  <si>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</si>
  <si>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</si>
  <si>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</si>
  <si>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</si>
  <si>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</si>
  <si>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</si>
  <si>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</si>
  <si>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</si>
  <si>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</si>
  <si>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</si>
  <si>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</si>
  <si>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</si>
  <si>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</si>
  <si>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</si>
  <si>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</si>
  <si>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</si>
  <si>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</si>
  <si>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</si>
  <si>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</si>
  <si>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</si>
  <si>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</si>
  <si>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</si>
  <si>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</si>
  <si>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</si>
  <si>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</si>
  <si>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</si>
  <si>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</si>
  <si>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</si>
  <si>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PR19ANH_39</t>
  </si>
  <si>
    <t>Internal interconnection delivery</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</si>
  <si>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</si>
  <si>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</si>
  <si>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</si>
  <si>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</si>
  <si>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</si>
  <si>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</si>
  <si>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</si>
  <si>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</si>
  <si>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</si>
  <si>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</si>
  <si>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</si>
  <si>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</si>
  <si>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</si>
  <si>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</si>
  <si>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</si>
  <si>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</si>
  <si>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</si>
  <si>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</si>
  <si>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</si>
  <si>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</si>
  <si>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</si>
  <si>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</si>
  <si>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</si>
  <si>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</si>
  <si>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</si>
  <si>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</si>
  <si>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</si>
  <si>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</si>
  <si>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</si>
  <si>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</si>
  <si>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</si>
  <si>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</si>
  <si>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</si>
  <si>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</si>
  <si>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</si>
  <si>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</si>
  <si>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</si>
  <si>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</si>
  <si>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</si>
  <si>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</si>
  <si>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</si>
  <si>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</si>
  <si>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</si>
  <si>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</si>
  <si>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</si>
  <si>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</si>
  <si>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</si>
  <si>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</si>
  <si>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</si>
  <si>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</si>
  <si>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</si>
  <si>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</si>
  <si>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</si>
  <si>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</si>
  <si>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</si>
  <si>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</si>
  <si>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</si>
  <si>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</si>
  <si>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</si>
  <si>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</si>
  <si>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</si>
  <si>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</si>
  <si>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</si>
  <si>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</si>
  <si>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</si>
  <si>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</si>
  <si>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</si>
  <si>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</si>
  <si>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</si>
  <si>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</si>
  <si>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</si>
  <si>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</si>
  <si>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</si>
  <si>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</si>
  <si>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</si>
  <si>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</si>
  <si>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</si>
  <si>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</si>
  <si>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</si>
  <si>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</si>
  <si>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</si>
  <si>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</si>
  <si>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</si>
  <si>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</si>
  <si>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</si>
  <si>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</si>
  <si>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</si>
  <si>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</si>
  <si>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</si>
  <si>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</si>
  <si>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</si>
  <si>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</si>
  <si>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</si>
  <si>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</si>
  <si>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</si>
  <si>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</si>
  <si>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</si>
  <si>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</si>
  <si>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</si>
  <si>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</si>
  <si>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</si>
  <si>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</si>
  <si>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PR19BRL_PC19</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</si>
  <si>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</si>
  <si>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</si>
  <si>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</si>
  <si>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</si>
  <si>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</si>
  <si>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</si>
  <si>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</si>
  <si>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</si>
  <si>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</si>
  <si>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</si>
  <si>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</si>
  <si>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</si>
  <si>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</si>
  <si>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</si>
  <si>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</si>
  <si>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</si>
  <si>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</si>
  <si>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</si>
  <si>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</si>
  <si>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</si>
  <si>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</si>
  <si>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</si>
  <si>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</si>
  <si>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</si>
  <si>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</si>
  <si>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</si>
  <si>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</si>
  <si>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</si>
  <si>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</si>
  <si>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</si>
  <si>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</si>
  <si>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</si>
  <si>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</si>
  <si>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</si>
  <si>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</si>
  <si>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</si>
  <si>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</si>
  <si>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</si>
  <si>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</si>
  <si>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</si>
  <si>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</si>
  <si>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</si>
  <si>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</si>
  <si>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</si>
  <si>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</si>
  <si>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</si>
  <si>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</si>
  <si>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</si>
  <si>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</si>
  <si>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</si>
  <si>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</si>
  <si>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</si>
  <si>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</si>
  <si>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</si>
  <si>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</si>
  <si>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</si>
  <si>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</si>
  <si>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</si>
  <si>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</si>
  <si>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</si>
  <si>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</si>
  <si>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</si>
  <si>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</si>
  <si>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</si>
  <si>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</si>
  <si>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</si>
  <si>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</si>
  <si>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</si>
  <si>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</si>
  <si>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</si>
  <si>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</si>
  <si>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</si>
  <si>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</si>
  <si>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</si>
  <si>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</si>
  <si>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</si>
  <si>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</si>
  <si>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</si>
  <si>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</si>
  <si>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</si>
  <si>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</si>
  <si>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</si>
  <si>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</si>
  <si>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PR19HDD_B3</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</si>
  <si>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</si>
  <si>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</si>
  <si>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</si>
  <si>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</si>
  <si>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</si>
  <si>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</si>
  <si>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</si>
  <si>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</si>
  <si>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</si>
  <si>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</si>
  <si>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</si>
  <si>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</si>
  <si>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</si>
  <si>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</si>
  <si>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</si>
  <si>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</si>
  <si>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</si>
  <si>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</si>
  <si>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</si>
  <si>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PR19HDD_C1</t>
  </si>
  <si>
    <t>Thriving environment</t>
  </si>
  <si>
    <t>C1</t>
  </si>
  <si>
    <t>Length of river water quality improved</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</si>
  <si>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</si>
  <si>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</si>
  <si>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</si>
  <si>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</si>
  <si>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</si>
  <si>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</si>
  <si>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</si>
  <si>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</si>
  <si>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</si>
  <si>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</si>
  <si>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</si>
  <si>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</si>
  <si>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</si>
  <si>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</si>
  <si>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</si>
  <si>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</si>
  <si>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</si>
  <si>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</si>
  <si>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</si>
  <si>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</si>
  <si>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</si>
  <si>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</si>
  <si>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</si>
  <si>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</si>
  <si>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</si>
  <si>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</si>
  <si>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</si>
  <si>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</si>
  <si>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</si>
  <si>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</si>
  <si>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</si>
  <si>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</si>
  <si>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</si>
  <si>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</si>
  <si>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</si>
  <si>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</si>
  <si>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</si>
  <si>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</si>
  <si>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</si>
  <si>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</si>
  <si>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</si>
  <si>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</si>
  <si>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</si>
  <si>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</si>
  <si>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</si>
  <si>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</si>
  <si>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</si>
  <si>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</si>
  <si>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</si>
  <si>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</si>
  <si>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</si>
  <si>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</si>
  <si>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</si>
  <si>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</si>
  <si>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</si>
  <si>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</si>
  <si>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</si>
  <si>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</si>
  <si>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</si>
  <si>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</si>
  <si>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</si>
  <si>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</si>
  <si>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</si>
  <si>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</si>
  <si>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</si>
  <si>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</si>
  <si>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</si>
  <si>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</si>
  <si>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</si>
  <si>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</si>
  <si>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</si>
  <si>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</si>
  <si>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</si>
  <si>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</si>
  <si>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</si>
  <si>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</si>
  <si>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</si>
  <si>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</si>
  <si>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</si>
  <si>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</si>
  <si>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</si>
  <si>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</si>
  <si>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</si>
  <si>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</si>
  <si>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</si>
  <si>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</si>
  <si>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</si>
  <si>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</si>
  <si>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</si>
  <si>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</si>
  <si>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</si>
  <si>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</si>
  <si>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</si>
  <si>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In-Period</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</si>
  <si>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</si>
  <si>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</si>
  <si>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</si>
  <si>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</si>
  <si>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</si>
  <si>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</si>
  <si>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</si>
  <si>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</si>
  <si>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</si>
  <si>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</si>
  <si>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</si>
  <si>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</si>
  <si>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</si>
  <si>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</si>
  <si>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</si>
  <si>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</si>
  <si>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</si>
  <si>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</si>
  <si>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</si>
  <si>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</si>
  <si>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</si>
  <si>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</si>
  <si>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</si>
  <si>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</si>
  <si>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PR19NES_COM07</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</si>
  <si>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</si>
  <si>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</si>
  <si>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</si>
  <si>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</si>
  <si>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</si>
  <si>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</si>
  <si>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</si>
  <si>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</si>
  <si>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</si>
  <si>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</si>
  <si>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</si>
  <si>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</si>
  <si>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</si>
  <si>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</si>
  <si>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</si>
  <si>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</si>
  <si>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</si>
  <si>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</si>
  <si>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</si>
  <si>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</si>
  <si>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</si>
  <si>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</si>
  <si>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</si>
  <si>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</si>
  <si>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</si>
  <si>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</si>
  <si>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</si>
  <si>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</si>
  <si>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</si>
  <si>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</si>
  <si>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</si>
  <si>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</si>
  <si>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</si>
  <si>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</si>
  <si>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</si>
  <si>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</si>
  <si>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</si>
  <si>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</si>
  <si>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</si>
  <si>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</si>
  <si>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</si>
  <si>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</si>
  <si>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</si>
  <si>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</si>
  <si>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</si>
  <si>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</si>
  <si>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</si>
  <si>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</si>
  <si>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</si>
  <si>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</si>
  <si>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</si>
  <si>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</si>
  <si>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</si>
  <si>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</si>
  <si>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</si>
  <si>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</si>
  <si>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</si>
  <si>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</si>
  <si>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</si>
  <si>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</si>
  <si>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</si>
  <si>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</si>
  <si>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</si>
  <si>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</si>
  <si>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</si>
  <si>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</si>
  <si>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</si>
  <si>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</si>
  <si>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</si>
  <si>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</si>
  <si>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</si>
  <si>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</si>
  <si>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</si>
  <si>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</si>
  <si>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</si>
  <si>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</si>
  <si>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</si>
  <si>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</si>
  <si>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</si>
  <si>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</si>
  <si>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</si>
  <si>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</si>
  <si>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</si>
  <si>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</si>
  <si>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</si>
  <si>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</si>
  <si>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</si>
  <si>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</si>
  <si>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</si>
  <si>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</si>
  <si>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</si>
  <si>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</si>
  <si>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</si>
  <si>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</si>
  <si>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</si>
  <si>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</si>
  <si>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</si>
  <si>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</si>
  <si>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</si>
  <si>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</si>
  <si>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</si>
  <si>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</si>
  <si>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</si>
  <si>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</si>
  <si>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</si>
  <si>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</si>
  <si>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</si>
  <si>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</si>
  <si>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</si>
  <si>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</si>
  <si>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</si>
  <si>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</si>
  <si>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</si>
  <si>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</si>
  <si>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</si>
  <si>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</si>
  <si>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</si>
  <si>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</si>
  <si>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</si>
  <si>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</si>
  <si>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</si>
  <si>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</si>
  <si>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</si>
  <si>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</si>
  <si>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</si>
  <si>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</si>
  <si>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</si>
  <si>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</si>
  <si>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</si>
  <si>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</si>
  <si>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</si>
  <si>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</si>
  <si>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</si>
  <si>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</si>
  <si>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</si>
  <si>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</si>
  <si>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</si>
  <si>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</si>
  <si>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</si>
  <si>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</si>
  <si>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</si>
  <si>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</si>
  <si>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</si>
  <si>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</si>
  <si>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</si>
  <si>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</si>
  <si>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</si>
  <si>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</si>
  <si>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</si>
  <si>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</si>
  <si>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</si>
  <si>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</si>
  <si>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</si>
  <si>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</si>
  <si>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</si>
  <si>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</si>
  <si>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</si>
  <si>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</si>
  <si>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</si>
  <si>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</si>
  <si>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</si>
  <si>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</si>
  <si>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</si>
  <si>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</si>
  <si>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</si>
  <si>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</si>
  <si>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</si>
  <si>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</si>
  <si>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</si>
  <si>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</si>
  <si>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</si>
  <si>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</si>
  <si>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</si>
  <si>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</si>
  <si>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</si>
  <si>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</si>
  <si>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</si>
  <si>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</si>
  <si>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</si>
  <si>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</si>
  <si>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PR19NES_BES27</t>
  </si>
  <si>
    <t>BES27</t>
  </si>
  <si>
    <t>Delivery wastewater resilience enhancement programme</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</si>
  <si>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</si>
  <si>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</si>
  <si>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</si>
  <si>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</si>
  <si>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</si>
  <si>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</si>
  <si>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</si>
  <si>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</si>
  <si>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</si>
  <si>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</si>
  <si>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</si>
  <si>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</si>
  <si>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</si>
  <si>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</si>
  <si>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</si>
  <si>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</si>
  <si>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</si>
  <si>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</si>
  <si>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</si>
  <si>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</si>
  <si>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</si>
  <si>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</si>
  <si>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</si>
  <si>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</si>
  <si>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</si>
  <si>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</si>
  <si>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</si>
  <si>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PR19PRT_PRT-Water Resources 03</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</si>
  <si>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</si>
  <si>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</si>
  <si>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</si>
  <si>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</si>
  <si>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</si>
  <si>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</si>
  <si>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</si>
  <si>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</si>
  <si>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</si>
  <si>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</si>
  <si>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</si>
  <si>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</si>
  <si>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</si>
  <si>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</si>
  <si>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</si>
  <si>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</si>
  <si>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</si>
  <si>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</si>
  <si>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</si>
  <si>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</si>
  <si>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</si>
  <si>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</si>
  <si>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</si>
  <si>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</si>
  <si>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</si>
  <si>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</si>
  <si>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</si>
  <si>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</si>
  <si>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</si>
  <si>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</si>
  <si>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</si>
  <si>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</si>
  <si>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</si>
  <si>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</si>
  <si>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</si>
  <si>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</si>
  <si>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</si>
  <si>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</si>
  <si>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</si>
  <si>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</si>
  <si>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</si>
  <si>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</si>
  <si>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</si>
  <si>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</si>
  <si>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</si>
  <si>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</si>
  <si>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</si>
  <si>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</si>
  <si>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</si>
  <si>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</si>
  <si>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</si>
  <si>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</si>
  <si>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</si>
  <si>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</si>
  <si>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</si>
  <si>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</si>
  <si>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</si>
  <si>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</si>
  <si>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</si>
  <si>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</si>
  <si>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</si>
  <si>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</si>
  <si>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</si>
  <si>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</si>
  <si>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</si>
  <si>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</si>
  <si>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</si>
  <si>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</si>
  <si>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</si>
  <si>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</si>
  <si>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</si>
  <si>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</si>
  <si>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</si>
  <si>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</si>
  <si>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</si>
  <si>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</si>
  <si>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</si>
  <si>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</si>
  <si>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</si>
  <si>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</si>
  <si>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</si>
  <si>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</si>
  <si>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</si>
  <si>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</si>
  <si>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</si>
  <si>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</si>
  <si>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</si>
  <si>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</si>
  <si>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</si>
  <si>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</si>
  <si>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</si>
  <si>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</si>
  <si>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</si>
  <si>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</si>
  <si>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</si>
  <si>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</si>
  <si>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</si>
  <si>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</si>
  <si>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</si>
  <si>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</si>
  <si>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</si>
  <si>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</si>
  <si>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</si>
  <si>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</si>
  <si>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</si>
  <si>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</si>
  <si>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</si>
  <si>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</si>
  <si>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</si>
  <si>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</si>
  <si>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</si>
  <si>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</si>
  <si>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</si>
  <si>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</si>
  <si>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</si>
  <si>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</si>
  <si>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</si>
  <si>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</si>
  <si>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</si>
  <si>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</si>
  <si>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</si>
  <si>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</si>
  <si>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</si>
  <si>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</si>
  <si>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</si>
  <si>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</si>
  <si>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</si>
  <si>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</si>
  <si>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</si>
  <si>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</si>
  <si>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</si>
  <si>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</si>
  <si>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</si>
  <si>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</si>
  <si>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</si>
  <si>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</si>
  <si>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</si>
  <si>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</si>
  <si>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</si>
  <si>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</si>
  <si>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</si>
  <si>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</si>
  <si>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</si>
  <si>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</si>
  <si>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</si>
  <si>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</si>
  <si>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</si>
  <si>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</si>
  <si>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</si>
  <si>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</si>
  <si>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</si>
  <si>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</si>
  <si>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</si>
  <si>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</si>
  <si>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</si>
  <si>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</si>
  <si>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</si>
  <si>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</si>
  <si>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</si>
  <si>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</si>
  <si>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</si>
  <si>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</si>
  <si>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</si>
  <si>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</si>
  <si>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</si>
  <si>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</si>
  <si>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</si>
  <si>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PR19SES_E.1</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</si>
  <si>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</si>
  <si>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</si>
  <si>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</si>
  <si>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</si>
  <si>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</si>
  <si>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</si>
  <si>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</si>
  <si>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</si>
  <si>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</si>
  <si>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</si>
  <si>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</si>
  <si>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</si>
  <si>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</si>
  <si>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</si>
  <si>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</si>
  <si>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</si>
  <si>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</si>
  <si>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</si>
  <si>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</si>
  <si>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</si>
  <si>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</si>
  <si>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</si>
  <si>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</si>
  <si>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</si>
  <si>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</si>
  <si>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</si>
  <si>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</si>
  <si>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</si>
  <si>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</si>
  <si>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</si>
  <si>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</si>
  <si>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</si>
  <si>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</si>
  <si>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</si>
  <si>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</si>
  <si>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</si>
  <si>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</si>
  <si>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</si>
  <si>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</si>
  <si>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</si>
  <si>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</si>
  <si>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</si>
  <si>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</si>
  <si>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</si>
  <si>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</si>
  <si>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</si>
  <si>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</si>
  <si>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</si>
  <si>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</si>
  <si>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</si>
  <si>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</si>
  <si>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</si>
  <si>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</si>
  <si>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</si>
  <si>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</si>
  <si>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</si>
  <si>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</si>
  <si>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</si>
  <si>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</si>
  <si>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</si>
  <si>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PR19SEW_E.1</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</si>
  <si>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</si>
  <si>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</si>
  <si>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</si>
  <si>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</si>
  <si>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</si>
  <si>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</si>
  <si>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</si>
  <si>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</si>
  <si>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</si>
  <si>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</si>
  <si>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</si>
  <si>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</si>
  <si>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</si>
  <si>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</si>
  <si>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</si>
  <si>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</si>
  <si>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</si>
  <si>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</si>
  <si>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</si>
  <si>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</si>
  <si>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</si>
  <si>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</si>
  <si>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</si>
  <si>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</si>
  <si>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</si>
  <si>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</si>
  <si>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</si>
  <si>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</si>
  <si>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</si>
  <si>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</si>
  <si>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</si>
  <si>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</si>
  <si>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</si>
  <si>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</si>
  <si>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</si>
  <si>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</si>
  <si>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</si>
  <si>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</si>
  <si>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</si>
  <si>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</si>
  <si>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</si>
  <si>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</si>
  <si>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</si>
  <si>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</si>
  <si>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</si>
  <si>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</si>
  <si>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</si>
  <si>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</si>
  <si>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</si>
  <si>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</si>
  <si>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</si>
  <si>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</si>
  <si>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</si>
  <si>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</si>
  <si>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</si>
  <si>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</si>
  <si>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</si>
  <si>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</si>
  <si>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</si>
  <si>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</si>
  <si>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</si>
  <si>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</si>
  <si>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</si>
  <si>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</si>
  <si>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</si>
  <si>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</si>
  <si>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</si>
  <si>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</si>
  <si>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</si>
  <si>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</si>
  <si>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</si>
  <si>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</si>
  <si>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</si>
  <si>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</si>
  <si>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</si>
  <si>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</si>
  <si>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</si>
  <si>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</si>
  <si>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</si>
  <si>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</si>
  <si>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PR19SEW_L.3</t>
  </si>
  <si>
    <t>L.3</t>
  </si>
  <si>
    <t>Voids – business properties</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</si>
  <si>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</si>
  <si>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</si>
  <si>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</si>
  <si>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</si>
  <si>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</si>
  <si>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</si>
  <si>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</si>
  <si>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</si>
  <si>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</si>
  <si>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</si>
  <si>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</si>
  <si>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</si>
  <si>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</si>
  <si>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</si>
  <si>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</si>
  <si>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</si>
  <si>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</si>
  <si>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</si>
  <si>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</si>
  <si>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</si>
  <si>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</si>
  <si>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</si>
  <si>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</si>
  <si>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</si>
  <si>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</si>
  <si>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</si>
  <si>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</si>
  <si>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</si>
  <si>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</si>
  <si>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</si>
  <si>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</si>
  <si>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</si>
  <si>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</si>
  <si>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</si>
  <si>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</si>
  <si>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</si>
  <si>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</si>
  <si>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</si>
  <si>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</si>
  <si>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</si>
  <si>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</si>
  <si>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</si>
  <si>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</si>
  <si>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</si>
  <si>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</si>
  <si>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</si>
  <si>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</si>
  <si>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</si>
  <si>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</si>
  <si>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</si>
  <si>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</si>
  <si>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</si>
  <si>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</si>
  <si>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</si>
  <si>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</si>
  <si>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</si>
  <si>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</si>
  <si>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</si>
  <si>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</si>
  <si>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</si>
  <si>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</si>
  <si>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PR19SRN_WR01</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</si>
  <si>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</si>
  <si>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</si>
  <si>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</si>
  <si>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</si>
  <si>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</si>
  <si>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</si>
  <si>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</si>
  <si>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</si>
  <si>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</si>
  <si>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</si>
  <si>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</si>
  <si>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</si>
  <si>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</si>
  <si>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</si>
  <si>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</si>
  <si>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</si>
  <si>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</si>
  <si>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</si>
  <si>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</si>
  <si>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</si>
  <si>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</si>
  <si>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</si>
  <si>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</si>
  <si>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</si>
  <si>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</si>
  <si>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</si>
  <si>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</si>
  <si>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</si>
  <si>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</si>
  <si>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</si>
  <si>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</si>
  <si>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</si>
  <si>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</si>
  <si>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</si>
  <si>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</si>
  <si>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</si>
  <si>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</si>
  <si>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</si>
  <si>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</si>
  <si>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</si>
  <si>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</si>
  <si>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</si>
  <si>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</si>
  <si>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</si>
  <si>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</si>
  <si>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</si>
  <si>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</si>
  <si>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</si>
  <si>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</si>
  <si>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</si>
  <si>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</si>
  <si>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</si>
  <si>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</si>
  <si>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</si>
  <si>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</si>
  <si>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</si>
  <si>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</si>
  <si>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</si>
  <si>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</si>
  <si>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</si>
  <si>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</si>
  <si>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</si>
  <si>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</si>
  <si>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</si>
  <si>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</si>
  <si>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</si>
  <si>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</si>
  <si>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</si>
  <si>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</si>
  <si>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</si>
  <si>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</si>
  <si>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</si>
  <si>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</si>
  <si>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</si>
  <si>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</si>
  <si>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</si>
  <si>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</si>
  <si>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</si>
  <si>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</si>
  <si>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</si>
  <si>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</si>
  <si>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</si>
  <si>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</si>
  <si>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</si>
  <si>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</si>
  <si>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</si>
  <si>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</si>
  <si>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</si>
  <si>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</si>
  <si>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</si>
  <si>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</si>
  <si>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</si>
  <si>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</si>
  <si>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</si>
  <si>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</si>
  <si>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</si>
  <si>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</si>
  <si>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</si>
  <si>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</si>
  <si>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</si>
  <si>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</si>
  <si>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</si>
  <si>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</si>
  <si>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</si>
  <si>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</si>
  <si>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</si>
  <si>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</si>
  <si>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</si>
  <si>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</si>
  <si>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</si>
  <si>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</si>
  <si>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</si>
  <si>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</si>
  <si>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</si>
  <si>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</si>
  <si>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</si>
  <si>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</si>
  <si>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</si>
  <si>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</si>
  <si>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</si>
  <si>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</si>
  <si>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</si>
  <si>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</si>
  <si>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</si>
  <si>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</si>
  <si>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</si>
  <si>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</si>
  <si>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</si>
  <si>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</si>
  <si>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</si>
  <si>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</si>
  <si>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</si>
  <si>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</si>
  <si>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</si>
  <si>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</si>
  <si>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</si>
  <si>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</si>
  <si>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</si>
  <si>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</si>
  <si>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</si>
  <si>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</si>
  <si>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</si>
  <si>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</si>
  <si>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</si>
  <si>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</si>
  <si>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</si>
  <si>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</si>
  <si>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</si>
  <si>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</si>
  <si>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</si>
  <si>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</si>
  <si>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</si>
  <si>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</si>
  <si>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</si>
  <si>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</si>
  <si>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</si>
  <si>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</si>
  <si>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</si>
  <si>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</si>
  <si>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</si>
  <si>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</si>
  <si>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</si>
  <si>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</si>
  <si>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</si>
  <si>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</si>
  <si>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</si>
  <si>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</si>
  <si>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</si>
  <si>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</si>
  <si>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</si>
  <si>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</si>
  <si>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</si>
  <si>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</si>
  <si>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</si>
  <si>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</si>
  <si>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</si>
  <si>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</si>
  <si>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</si>
  <si>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</si>
  <si>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</si>
  <si>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</si>
  <si>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</si>
  <si>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</si>
  <si>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</si>
  <si>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</si>
  <si>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</si>
  <si>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</si>
  <si>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</si>
  <si>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</si>
  <si>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</si>
  <si>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</si>
  <si>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</si>
  <si>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</si>
  <si>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</si>
  <si>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</si>
  <si>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</si>
  <si>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</si>
  <si>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</si>
  <si>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</si>
  <si>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</si>
  <si>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</si>
  <si>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</si>
  <si>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</si>
  <si>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</si>
  <si>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PR19SRN_WWN16</t>
  </si>
  <si>
    <t>WWN16</t>
  </si>
  <si>
    <t>Thanet Sewers</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</si>
  <si>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</si>
  <si>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</si>
  <si>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</si>
  <si>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</si>
  <si>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</si>
  <si>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</si>
  <si>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</si>
  <si>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</si>
  <si>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</si>
  <si>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</si>
  <si>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</si>
  <si>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</si>
  <si>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</si>
  <si>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</si>
  <si>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</si>
  <si>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</si>
  <si>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</si>
  <si>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</si>
  <si>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</si>
  <si>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</si>
  <si>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</si>
  <si>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</si>
  <si>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</si>
  <si>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</si>
  <si>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</si>
  <si>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</si>
  <si>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</si>
  <si>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</si>
  <si>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</si>
  <si>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</si>
  <si>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</si>
  <si>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</si>
  <si>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</si>
  <si>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</si>
  <si>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</si>
  <si>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</si>
  <si>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</si>
  <si>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</si>
  <si>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</si>
  <si>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</si>
  <si>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</si>
  <si>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</si>
  <si>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</si>
  <si>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</si>
  <si>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</si>
  <si>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</si>
  <si>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</si>
  <si>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</si>
  <si>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</si>
  <si>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</si>
  <si>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</si>
  <si>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</si>
  <si>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</si>
  <si>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</si>
  <si>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PR19SSC_C3</t>
  </si>
  <si>
    <t>Per capita consumption South Staffs region</t>
  </si>
  <si>
    <t>The average water consumption of residential customers in the South Staffs supply region.</t>
  </si>
  <si>
    <t>Litres per person per day, 3 yr average</t>
  </si>
  <si>
    <t>PR19SSC_C4</t>
  </si>
  <si>
    <t>Per capita consumption Cambridge region</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</si>
  <si>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</si>
  <si>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</si>
  <si>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</si>
  <si>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</si>
  <si>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</si>
  <si>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</si>
  <si>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</si>
  <si>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</si>
  <si>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</si>
  <si>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</si>
  <si>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</si>
  <si>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</si>
  <si>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</si>
  <si>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</si>
  <si>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</si>
  <si>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</si>
  <si>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</si>
  <si>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</si>
  <si>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</si>
  <si>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</si>
  <si>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</si>
  <si>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</si>
  <si>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</si>
  <si>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</si>
  <si>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</si>
  <si>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</si>
  <si>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</si>
  <si>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</si>
  <si>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</si>
  <si>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</si>
  <si>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</si>
  <si>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</si>
  <si>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</si>
  <si>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</si>
  <si>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</si>
  <si>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</si>
  <si>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</si>
  <si>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</si>
  <si>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</si>
  <si>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</si>
  <si>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</si>
  <si>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</si>
  <si>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</si>
  <si>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</si>
  <si>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</si>
  <si>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</si>
  <si>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</si>
  <si>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</si>
  <si>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</si>
  <si>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</si>
  <si>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</si>
  <si>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</si>
  <si>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</si>
  <si>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</si>
  <si>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</si>
  <si>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</si>
  <si>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</si>
  <si>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</si>
  <si>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</si>
  <si>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</si>
  <si>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</si>
  <si>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</si>
  <si>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</si>
  <si>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</si>
  <si>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</si>
  <si>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</si>
  <si>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</si>
  <si>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</si>
  <si>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</si>
  <si>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</si>
  <si>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</si>
  <si>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</si>
  <si>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</si>
  <si>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</si>
  <si>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</si>
  <si>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</si>
  <si>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</si>
  <si>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</si>
  <si>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</si>
  <si>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</si>
  <si>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</si>
  <si>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</si>
  <si>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</si>
  <si>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</si>
  <si>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</si>
  <si>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</si>
  <si>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</si>
  <si>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</si>
  <si>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</si>
  <si>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</si>
  <si>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</si>
  <si>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</si>
  <si>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</si>
  <si>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</si>
  <si>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</si>
  <si>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</si>
  <si>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</si>
  <si>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</si>
  <si>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</si>
  <si>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</si>
  <si>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</si>
  <si>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</si>
  <si>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</si>
  <si>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</si>
  <si>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</si>
  <si>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</si>
  <si>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</si>
  <si>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</si>
  <si>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</si>
  <si>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</si>
  <si>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</si>
  <si>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</si>
  <si>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</si>
  <si>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</si>
  <si>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</si>
  <si>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</si>
  <si>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</si>
  <si>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</si>
  <si>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</si>
  <si>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</si>
  <si>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</si>
  <si>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</si>
  <si>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</si>
  <si>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</si>
  <si>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</si>
  <si>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</si>
  <si>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</si>
  <si>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</si>
  <si>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</si>
  <si>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</si>
  <si>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</si>
  <si>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</si>
  <si>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</si>
  <si>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</si>
  <si>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</si>
  <si>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</si>
  <si>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</si>
  <si>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</si>
  <si>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</si>
  <si>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</si>
  <si>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</si>
  <si>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</si>
  <si>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</si>
  <si>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</si>
  <si>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</si>
  <si>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</si>
  <si>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</si>
  <si>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</si>
  <si>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</si>
  <si>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</si>
  <si>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</si>
  <si>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</si>
  <si>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</si>
  <si>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</si>
  <si>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</si>
  <si>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</si>
  <si>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</si>
  <si>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</si>
  <si>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</si>
  <si>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</si>
  <si>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</si>
  <si>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</si>
  <si>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</si>
  <si>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</si>
  <si>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</si>
  <si>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</si>
  <si>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</si>
  <si>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</si>
  <si>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</si>
  <si>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PR19SVE_G03</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</si>
  <si>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</si>
  <si>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</si>
  <si>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</si>
  <si>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</si>
  <si>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</si>
  <si>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</si>
  <si>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</si>
  <si>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</si>
  <si>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</si>
  <si>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</si>
  <si>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</si>
  <si>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</si>
  <si>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</si>
  <si>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</si>
  <si>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</si>
  <si>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</si>
  <si>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</si>
  <si>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</si>
  <si>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</si>
  <si>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</si>
  <si>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</si>
  <si>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</si>
  <si>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</si>
  <si>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</si>
  <si>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</si>
  <si>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</si>
  <si>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</si>
  <si>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</si>
  <si>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</si>
  <si>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</si>
  <si>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</si>
  <si>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</si>
  <si>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</si>
  <si>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</si>
  <si>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</si>
  <si>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</si>
  <si>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</si>
  <si>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</si>
  <si>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</si>
  <si>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</si>
  <si>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</si>
  <si>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</si>
  <si>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</si>
  <si>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</si>
  <si>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</si>
  <si>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</si>
  <si>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</si>
  <si>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</si>
  <si>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</si>
  <si>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</si>
  <si>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</si>
  <si>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</si>
  <si>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</si>
  <si>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</si>
  <si>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</si>
  <si>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</si>
  <si>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</si>
  <si>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</si>
  <si>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</si>
  <si>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</si>
  <si>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</si>
  <si>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</si>
  <si>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</si>
  <si>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</si>
  <si>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</si>
  <si>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</si>
  <si>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</si>
  <si>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</si>
  <si>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</si>
  <si>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</si>
  <si>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</si>
  <si>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</si>
  <si>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</si>
  <si>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</si>
  <si>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</si>
  <si>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</si>
  <si>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</si>
  <si>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</si>
  <si>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PR19SWB_PC C1</t>
  </si>
  <si>
    <t>Available and Sufficient Resources</t>
  </si>
  <si>
    <t>PC C1</t>
  </si>
  <si>
    <t>Water restrictions placed on customers</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</si>
  <si>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</si>
  <si>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</si>
  <si>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</si>
  <si>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</si>
  <si>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</si>
  <si>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PR19SWB_PC C3</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</si>
  <si>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</si>
  <si>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</si>
  <si>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</si>
  <si>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</si>
  <si>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</si>
  <si>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</si>
  <si>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</si>
  <si>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</si>
  <si>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</si>
  <si>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</si>
  <si>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</si>
  <si>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</si>
  <si>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</si>
  <si>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</si>
  <si>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</si>
  <si>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</si>
  <si>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</si>
  <si>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</si>
  <si>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</si>
  <si>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</si>
  <si>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</si>
  <si>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</si>
  <si>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</si>
  <si>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</si>
  <si>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</si>
  <si>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</si>
  <si>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</si>
  <si>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</si>
  <si>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</si>
  <si>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</si>
  <si>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</si>
  <si>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</si>
  <si>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</si>
  <si>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</si>
  <si>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</si>
  <si>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</si>
  <si>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</si>
  <si>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</si>
  <si>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</si>
  <si>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</si>
  <si>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</si>
  <si>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</si>
  <si>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</si>
  <si>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</si>
  <si>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</si>
  <si>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</si>
  <si>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</si>
  <si>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</si>
  <si>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</si>
  <si>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</si>
  <si>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</si>
  <si>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</si>
  <si>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</si>
  <si>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</si>
  <si>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</si>
  <si>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</si>
  <si>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</si>
  <si>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</si>
  <si>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</si>
  <si>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</si>
  <si>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</si>
  <si>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</si>
  <si>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</si>
  <si>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</si>
  <si>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</si>
  <si>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</si>
  <si>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</si>
  <si>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</si>
  <si>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</si>
  <si>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</si>
  <si>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</si>
  <si>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</si>
  <si>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</si>
  <si>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</si>
  <si>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</si>
  <si>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</si>
  <si>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</si>
  <si>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</si>
  <si>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</si>
  <si>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</si>
  <si>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</si>
  <si>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</si>
  <si>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</si>
  <si>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</si>
  <si>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</si>
  <si>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</si>
  <si>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</si>
  <si>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</si>
  <si>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</si>
  <si>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</si>
  <si>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</si>
  <si>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</si>
  <si>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</si>
  <si>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</si>
  <si>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</si>
  <si>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</si>
  <si>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</si>
  <si>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</si>
  <si>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</si>
  <si>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</si>
  <si>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</si>
  <si>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</si>
  <si>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</si>
  <si>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</si>
  <si>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</si>
  <si>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</si>
  <si>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</si>
  <si>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</si>
  <si>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</si>
  <si>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PR19SWB_PC F5</t>
  </si>
  <si>
    <t>PC F5</t>
  </si>
  <si>
    <t>Biodiversity - Enhancement</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</si>
  <si>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</si>
  <si>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</si>
  <si>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</si>
  <si>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</si>
  <si>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</si>
  <si>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PR19SWB_PC H1</t>
  </si>
  <si>
    <t>Benefitting the Community</t>
  </si>
  <si>
    <t>PC H1</t>
  </si>
  <si>
    <t>Bathing water quality</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</si>
  <si>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</si>
  <si>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</si>
  <si>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</si>
  <si>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</si>
  <si>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</si>
  <si>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</si>
  <si>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</si>
  <si>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</si>
  <si>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</si>
  <si>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</si>
  <si>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</si>
  <si>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</si>
  <si>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</si>
  <si>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</si>
  <si>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</si>
  <si>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</si>
  <si>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</si>
  <si>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</si>
  <si>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</si>
  <si>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</si>
  <si>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</si>
  <si>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</si>
  <si>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</si>
  <si>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</si>
  <si>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</si>
  <si>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</si>
  <si>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</si>
  <si>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</si>
  <si>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</si>
  <si>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</si>
  <si>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</si>
  <si>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</si>
  <si>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</si>
  <si>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</si>
  <si>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</si>
  <si>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</si>
  <si>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</si>
  <si>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</si>
  <si>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</si>
  <si>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</si>
  <si>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</si>
  <si>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</si>
  <si>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</si>
  <si>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</si>
  <si>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</si>
  <si>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</si>
  <si>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</si>
  <si>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</si>
  <si>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</si>
  <si>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</si>
  <si>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</si>
  <si>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</si>
  <si>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</si>
  <si>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</si>
  <si>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</si>
  <si>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</si>
  <si>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</si>
  <si>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</si>
  <si>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</si>
  <si>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</si>
  <si>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</si>
  <si>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</si>
  <si>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</si>
  <si>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</si>
  <si>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</si>
  <si>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</si>
  <si>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</si>
  <si>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PR19TMS_BW05</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</si>
  <si>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</si>
  <si>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</si>
  <si>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</si>
  <si>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</si>
  <si>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</si>
  <si>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</si>
  <si>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</si>
  <si>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</si>
  <si>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</si>
  <si>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</si>
  <si>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</si>
  <si>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</si>
  <si>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</si>
  <si>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</si>
  <si>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</si>
  <si>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</si>
  <si>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</si>
  <si>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</si>
  <si>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</si>
  <si>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</si>
  <si>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</si>
  <si>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</si>
  <si>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</si>
  <si>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</si>
  <si>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</si>
  <si>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</si>
  <si>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</si>
  <si>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</si>
  <si>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</si>
  <si>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</si>
  <si>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</si>
  <si>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</si>
  <si>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</si>
  <si>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</si>
  <si>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</si>
  <si>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</si>
  <si>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</si>
  <si>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</si>
  <si>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</si>
  <si>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</si>
  <si>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</si>
  <si>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</si>
  <si>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</si>
  <si>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</si>
  <si>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</si>
  <si>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</si>
  <si>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</si>
  <si>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</si>
  <si>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</si>
  <si>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</si>
  <si>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</si>
  <si>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</si>
  <si>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</si>
  <si>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</si>
  <si>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</si>
  <si>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</si>
  <si>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</si>
  <si>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</si>
  <si>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</si>
  <si>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</si>
  <si>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</si>
  <si>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</si>
  <si>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</si>
  <si>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</si>
  <si>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</si>
  <si>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</si>
  <si>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</si>
  <si>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</si>
  <si>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</si>
  <si>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</si>
  <si>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</si>
  <si>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</si>
  <si>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</si>
  <si>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</si>
  <si>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</si>
  <si>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</si>
  <si>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</si>
  <si>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</si>
  <si>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</si>
  <si>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</si>
  <si>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</si>
  <si>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</si>
  <si>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</si>
  <si>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</si>
  <si>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</si>
  <si>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</si>
  <si>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</si>
  <si>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</si>
  <si>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</si>
  <si>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</si>
  <si>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</si>
  <si>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</si>
  <si>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</si>
  <si>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</si>
  <si>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</si>
  <si>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</si>
  <si>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</si>
  <si>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</si>
  <si>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</si>
  <si>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</si>
  <si>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</si>
  <si>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</si>
  <si>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</si>
  <si>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</si>
  <si>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</si>
  <si>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</si>
  <si>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</si>
  <si>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</si>
  <si>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</si>
  <si>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</si>
  <si>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</si>
  <si>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</si>
  <si>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</si>
  <si>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</si>
  <si>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</si>
  <si>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</si>
  <si>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</si>
  <si>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</si>
  <si>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</si>
  <si>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</si>
  <si>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</si>
  <si>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</si>
  <si>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</si>
  <si>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</si>
  <si>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</si>
  <si>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</si>
  <si>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</si>
  <si>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</si>
  <si>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</si>
  <si>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</si>
  <si>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</si>
  <si>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</si>
  <si>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</si>
  <si>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</si>
  <si>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</si>
  <si>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</si>
  <si>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</si>
  <si>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</si>
  <si>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</si>
  <si>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</si>
  <si>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</si>
  <si>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</si>
  <si>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</si>
  <si>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</si>
  <si>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</si>
  <si>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</si>
  <si>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</si>
  <si>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</si>
  <si>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</si>
  <si>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</si>
  <si>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</si>
  <si>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</si>
  <si>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</si>
  <si>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</si>
  <si>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</si>
  <si>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</si>
  <si>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</si>
  <si>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</si>
  <si>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</si>
  <si>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</si>
  <si>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</si>
  <si>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</si>
  <si>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</si>
  <si>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</si>
  <si>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</si>
  <si>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</si>
  <si>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</si>
  <si>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</si>
  <si>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</si>
  <si>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</si>
  <si>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</si>
  <si>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</si>
  <si>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</si>
  <si>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</si>
  <si>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</si>
  <si>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</si>
  <si>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</si>
  <si>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</si>
  <si>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</si>
  <si>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</si>
  <si>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</si>
  <si>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</si>
  <si>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</si>
  <si>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</si>
  <si>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</si>
  <si>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PR19TMS_ET07</t>
  </si>
  <si>
    <t>ET07</t>
  </si>
  <si>
    <t>Managing early handback of Tideway project land</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</si>
  <si>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</si>
  <si>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</si>
  <si>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</si>
  <si>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</si>
  <si>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</si>
  <si>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</si>
  <si>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</si>
  <si>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</si>
  <si>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</si>
  <si>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</si>
  <si>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</si>
  <si>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</si>
  <si>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</si>
  <si>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</si>
  <si>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</si>
  <si>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</si>
  <si>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</si>
  <si>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</si>
  <si>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</si>
  <si>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</si>
  <si>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</si>
  <si>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</si>
  <si>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</si>
  <si>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</si>
  <si>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</si>
  <si>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</si>
  <si>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</si>
  <si>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</si>
  <si>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</si>
  <si>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</si>
  <si>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</si>
  <si>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</si>
  <si>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</si>
  <si>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</si>
  <si>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</si>
  <si>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</si>
  <si>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</si>
  <si>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</si>
  <si>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</si>
  <si>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PR19UUW_B05-WN</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</si>
  <si>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</si>
  <si>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</si>
  <si>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</si>
  <si>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</si>
  <si>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</si>
  <si>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</si>
  <si>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</si>
  <si>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</si>
  <si>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</si>
  <si>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</si>
  <si>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</si>
  <si>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</si>
  <si>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</si>
  <si>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</si>
  <si>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PR19UUW_B09-DP</t>
  </si>
  <si>
    <t>B09-DP</t>
  </si>
  <si>
    <t>Manchester and Pennine resilience</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</si>
  <si>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</si>
  <si>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</si>
  <si>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</si>
  <si>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</si>
  <si>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</si>
  <si>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</si>
  <si>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</si>
  <si>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</si>
  <si>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</si>
  <si>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</si>
  <si>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</si>
  <si>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</si>
  <si>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</si>
  <si>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</si>
  <si>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</si>
  <si>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</si>
  <si>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</si>
  <si>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</si>
  <si>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</si>
  <si>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</si>
  <si>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</si>
  <si>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</si>
  <si>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</si>
  <si>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</si>
  <si>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</si>
  <si>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</si>
  <si>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</si>
  <si>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</si>
  <si>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</si>
  <si>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</si>
  <si>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</si>
  <si>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</si>
  <si>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</si>
  <si>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</si>
  <si>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</si>
  <si>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PR19UUW_C06-WWN</t>
  </si>
  <si>
    <t>C06-WWN</t>
  </si>
  <si>
    <t>Protecting the environment from the impact of growth and new development</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</si>
  <si>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</si>
  <si>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</si>
  <si>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</si>
  <si>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</si>
  <si>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</si>
  <si>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</si>
  <si>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</si>
  <si>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</si>
  <si>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</si>
  <si>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</si>
  <si>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</si>
  <si>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</si>
  <si>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</si>
  <si>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</si>
  <si>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</si>
  <si>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</si>
  <si>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</si>
  <si>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</si>
  <si>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</si>
  <si>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</si>
  <si>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</si>
  <si>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</si>
  <si>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</si>
  <si>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</si>
  <si>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</si>
  <si>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</si>
  <si>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</si>
  <si>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</si>
  <si>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</si>
  <si>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</si>
  <si>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</si>
  <si>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</si>
  <si>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</si>
  <si>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</si>
  <si>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</si>
  <si>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</si>
  <si>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</si>
  <si>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</si>
  <si>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</si>
  <si>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</si>
  <si>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</si>
  <si>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</si>
  <si>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</si>
  <si>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</si>
  <si>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</si>
  <si>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</si>
  <si>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</si>
  <si>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</si>
  <si>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</si>
  <si>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</si>
  <si>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</si>
  <si>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</si>
  <si>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</si>
  <si>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</si>
  <si>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</si>
  <si>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</si>
  <si>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</si>
  <si>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</si>
  <si>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</si>
  <si>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</si>
  <si>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</si>
  <si>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</si>
  <si>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</si>
  <si>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</si>
  <si>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</si>
  <si>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</si>
  <si>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PR19UUW_E07-DP</t>
  </si>
  <si>
    <t>E07-DP</t>
  </si>
  <si>
    <t>Successful delivery of direct procurement of Manchester and Pennine resilience</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</si>
  <si>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</si>
  <si>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</si>
  <si>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</si>
  <si>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</si>
  <si>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</si>
  <si>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</si>
  <si>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</si>
  <si>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</si>
  <si>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</si>
  <si>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</si>
  <si>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</si>
  <si>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</si>
  <si>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</si>
  <si>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</si>
  <si>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</si>
  <si>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</si>
  <si>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</si>
  <si>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</si>
  <si>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</si>
  <si>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</si>
  <si>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</si>
  <si>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</si>
  <si>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</si>
  <si>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</si>
  <si>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</si>
  <si>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</si>
  <si>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</si>
  <si>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</si>
  <si>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</si>
  <si>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</si>
  <si>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</si>
  <si>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</si>
  <si>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</si>
  <si>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</si>
  <si>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</si>
  <si>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</si>
  <si>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</si>
  <si>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</si>
  <si>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</si>
  <si>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</si>
  <si>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</si>
  <si>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</si>
  <si>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</si>
  <si>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</si>
  <si>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</si>
  <si>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</si>
  <si>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</si>
  <si>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</si>
  <si>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</si>
  <si>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</si>
  <si>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</si>
  <si>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</si>
  <si>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</si>
  <si>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</si>
  <si>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</si>
  <si>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</si>
  <si>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</si>
  <si>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</si>
  <si>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</si>
  <si>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</si>
  <si>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</si>
  <si>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</si>
  <si>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</si>
  <si>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</si>
  <si>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</si>
  <si>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</si>
  <si>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</si>
  <si>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</si>
  <si>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</si>
  <si>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</si>
  <si>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</si>
  <si>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</si>
  <si>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</si>
  <si>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</si>
  <si>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</si>
  <si>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</si>
  <si>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</si>
  <si>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</si>
  <si>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</si>
  <si>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</si>
  <si>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</si>
  <si>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</si>
  <si>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</si>
  <si>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</si>
  <si>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</si>
  <si>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</si>
  <si>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</si>
  <si>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PR19WSH_En5</t>
  </si>
  <si>
    <t>En5</t>
  </si>
  <si>
    <t>Average amount of water used by each person that lives in a residential property (litres per head per day). Three-year average.</t>
  </si>
  <si>
    <t>PR19WSH_En6</t>
  </si>
  <si>
    <t>En6</t>
  </si>
  <si>
    <t>km of river improved</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</si>
  <si>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</si>
  <si>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</si>
  <si>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</si>
  <si>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</si>
  <si>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</si>
  <si>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</si>
  <si>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</si>
  <si>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</si>
  <si>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</si>
  <si>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</si>
  <si>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</si>
  <si>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</si>
  <si>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</si>
  <si>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</si>
  <si>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</si>
  <si>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</si>
  <si>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</si>
  <si>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</si>
  <si>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</si>
  <si>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</si>
  <si>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</si>
  <si>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</si>
  <si>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</si>
  <si>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</si>
  <si>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</si>
  <si>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</si>
  <si>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</si>
  <si>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</si>
  <si>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</si>
  <si>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</si>
  <si>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</si>
  <si>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</si>
  <si>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</si>
  <si>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</si>
  <si>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</si>
  <si>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</si>
  <si>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</si>
  <si>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</si>
  <si>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</si>
  <si>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</si>
  <si>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</si>
  <si>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</si>
  <si>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</si>
  <si>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</si>
  <si>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</si>
  <si>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</si>
  <si>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</si>
  <si>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</si>
  <si>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</si>
  <si>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</si>
  <si>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</si>
  <si>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</si>
  <si>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</si>
  <si>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</si>
  <si>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</si>
  <si>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</si>
  <si>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</si>
  <si>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</si>
  <si>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</si>
  <si>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</si>
  <si>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</si>
  <si>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</si>
  <si>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</si>
  <si>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</si>
  <si>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</si>
  <si>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</si>
  <si>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</si>
  <si>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</si>
  <si>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</si>
  <si>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</si>
  <si>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</si>
  <si>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</si>
  <si>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</si>
  <si>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</si>
  <si>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</si>
  <si>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</si>
  <si>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</si>
  <si>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</si>
  <si>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</si>
  <si>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</si>
  <si>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</si>
  <si>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</si>
  <si>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</si>
  <si>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</si>
  <si>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</si>
  <si>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</si>
  <si>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</si>
  <si>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</si>
  <si>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</si>
  <si>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</si>
  <si>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</si>
  <si>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</si>
  <si>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</si>
  <si>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</si>
  <si>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</si>
  <si>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</si>
  <si>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</si>
  <si>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</si>
  <si>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</si>
  <si>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</si>
  <si>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</si>
  <si>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</si>
  <si>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</si>
  <si>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</si>
  <si>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</si>
  <si>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</si>
  <si>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</si>
  <si>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</si>
  <si>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</si>
  <si>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</si>
  <si>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</si>
  <si>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</si>
  <si>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</si>
  <si>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</si>
  <si>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</si>
  <si>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</si>
  <si>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</si>
  <si>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</si>
  <si>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</si>
  <si>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</si>
  <si>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</si>
  <si>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</si>
  <si>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</si>
  <si>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</si>
  <si>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</si>
  <si>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</si>
  <si>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</si>
  <si>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</si>
  <si>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</si>
  <si>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</si>
  <si>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</si>
  <si>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</si>
  <si>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</si>
  <si>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</si>
  <si>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</si>
  <si>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</si>
  <si>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</si>
  <si>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</si>
  <si>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</si>
  <si>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</si>
  <si>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</si>
  <si>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</si>
  <si>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</si>
  <si>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</si>
  <si>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</si>
  <si>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</si>
  <si>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</si>
  <si>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</si>
  <si>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</si>
  <si>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</si>
  <si>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</si>
  <si>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</si>
  <si>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</si>
  <si>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</si>
  <si>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</si>
  <si>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</si>
  <si>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</si>
  <si>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</si>
  <si>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</si>
  <si>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</si>
  <si>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</si>
  <si>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</si>
  <si>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</si>
  <si>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</si>
  <si>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</si>
  <si>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</si>
  <si>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</si>
  <si>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</si>
  <si>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</si>
  <si>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</si>
  <si>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</si>
  <si>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</si>
  <si>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</si>
  <si>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</si>
  <si>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</si>
  <si>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</si>
  <si>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</si>
  <si>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</si>
  <si>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</si>
  <si>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</si>
  <si>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</si>
  <si>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</si>
  <si>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</si>
  <si>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</si>
  <si>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</si>
  <si>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</si>
  <si>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</si>
  <si>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</si>
  <si>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</si>
  <si>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</si>
  <si>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</si>
  <si>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</si>
  <si>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</si>
  <si>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</si>
  <si>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</si>
  <si>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</si>
  <si>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</si>
  <si>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</si>
  <si>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</si>
  <si>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</si>
  <si>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</si>
  <si>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</si>
  <si>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</si>
  <si>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</si>
  <si>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</si>
  <si>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</si>
  <si>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</si>
  <si>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</si>
  <si>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</si>
  <si>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</si>
  <si>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PR19WSX_W2</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</si>
  <si>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</si>
  <si>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</si>
  <si>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</si>
  <si>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</si>
  <si>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</si>
  <si>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</si>
  <si>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</si>
  <si>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</si>
  <si>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</si>
  <si>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</si>
  <si>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</si>
  <si>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</si>
  <si>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</si>
  <si>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</si>
  <si>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</si>
  <si>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</si>
  <si>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</si>
  <si>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</si>
  <si>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</si>
  <si>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</si>
  <si>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</si>
  <si>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</si>
  <si>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</si>
  <si>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</si>
  <si>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</si>
  <si>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</si>
  <si>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</si>
  <si>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</si>
  <si>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</si>
  <si>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</si>
  <si>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</si>
  <si>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</si>
  <si>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</si>
  <si>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</si>
  <si>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</si>
  <si>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</si>
  <si>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</si>
  <si>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</si>
  <si>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</si>
  <si>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</si>
  <si>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</si>
  <si>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</si>
  <si>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</si>
  <si>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</si>
  <si>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</si>
  <si>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</si>
  <si>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</si>
  <si>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</si>
  <si>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</si>
  <si>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</si>
  <si>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</si>
  <si>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</si>
  <si>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</si>
  <si>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</si>
  <si>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</si>
  <si>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</si>
  <si>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</si>
  <si>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</si>
  <si>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</si>
  <si>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</si>
  <si>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</si>
  <si>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</si>
  <si>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</si>
  <si>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</si>
  <si>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</si>
  <si>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</si>
  <si>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</si>
  <si>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</si>
  <si>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</si>
  <si>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</si>
  <si>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</si>
  <si>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</si>
  <si>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</si>
  <si>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</si>
  <si>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</si>
  <si>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</si>
  <si>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</si>
  <si>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</si>
  <si>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</si>
  <si>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</si>
  <si>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</si>
  <si>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</si>
  <si>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</si>
  <si>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</si>
  <si>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</si>
  <si>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</si>
  <si>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</si>
  <si>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</si>
  <si>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</si>
  <si>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</si>
  <si>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</si>
  <si>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</si>
  <si>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</si>
  <si>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</si>
  <si>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</si>
  <si>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</si>
  <si>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</si>
  <si>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</si>
  <si>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</si>
  <si>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</si>
  <si>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</si>
  <si>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</si>
  <si>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</si>
  <si>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</si>
  <si>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</si>
  <si>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</si>
  <si>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</si>
  <si>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</si>
  <si>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</si>
  <si>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</si>
  <si>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</si>
  <si>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</si>
  <si>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</si>
  <si>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</si>
  <si>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</si>
  <si>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</si>
  <si>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</si>
  <si>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</si>
  <si>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</si>
  <si>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</si>
  <si>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</si>
  <si>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</si>
  <si>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</si>
  <si>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</si>
  <si>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</si>
  <si>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</si>
  <si>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</si>
  <si>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</si>
  <si>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</si>
  <si>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</si>
  <si>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</si>
  <si>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</si>
  <si>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</si>
  <si>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</si>
  <si>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</si>
  <si>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</si>
  <si>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</si>
  <si>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</si>
  <si>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</si>
  <si>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</si>
  <si>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</si>
  <si>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</si>
  <si>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</si>
  <si>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</si>
  <si>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</si>
  <si>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</si>
  <si>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</si>
  <si>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</si>
  <si>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</si>
  <si>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</si>
  <si>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</si>
  <si>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</si>
  <si>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</si>
  <si>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</si>
  <si>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</si>
  <si>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</si>
  <si>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</si>
  <si>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</si>
  <si>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</si>
  <si>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</si>
  <si>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</si>
  <si>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</si>
  <si>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</si>
  <si>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</si>
  <si>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</si>
  <si>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</si>
  <si>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</si>
  <si>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</si>
  <si>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</si>
  <si>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</si>
  <si>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</si>
  <si>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</si>
  <si>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</si>
  <si>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</si>
  <si>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</si>
  <si>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</si>
  <si>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</si>
  <si>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</si>
  <si>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</si>
  <si>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</si>
  <si>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</si>
  <si>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</si>
  <si>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</si>
  <si>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</si>
  <si>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</si>
  <si>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</si>
  <si>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</si>
  <si>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</si>
  <si>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</si>
  <si>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</si>
  <si>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</si>
  <si>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</si>
  <si>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</si>
  <si>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</si>
  <si>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</si>
  <si>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</si>
  <si>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</si>
  <si>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</si>
  <si>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</si>
  <si>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</si>
  <si>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</si>
  <si>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</si>
  <si>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</si>
  <si>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</si>
  <si>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</si>
  <si>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</si>
  <si>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</si>
  <si>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</si>
  <si>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</si>
  <si>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</si>
  <si>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</si>
  <si>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</si>
  <si>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</si>
  <si>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</si>
  <si>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</si>
  <si>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</si>
  <si>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</si>
  <si>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</si>
  <si>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</si>
  <si>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</si>
  <si>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</si>
  <si>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</si>
  <si>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</si>
  <si>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</si>
  <si>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</si>
  <si>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</si>
  <si>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</si>
  <si>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</si>
  <si>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</si>
  <si>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</si>
  <si>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PR19YKY_25</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</si>
  <si>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</si>
  <si>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</si>
  <si>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</si>
  <si>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</si>
  <si>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</si>
  <si>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</si>
  <si>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</si>
  <si>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</si>
  <si>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</si>
  <si>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</si>
  <si>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</si>
  <si>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</si>
  <si>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</si>
  <si>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</si>
  <si>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</si>
  <si>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</si>
  <si>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</si>
  <si>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</si>
  <si>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</si>
  <si>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</si>
  <si>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</si>
  <si>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</si>
  <si>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</si>
  <si>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</si>
  <si>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</si>
  <si>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</si>
  <si>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</si>
  <si>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</si>
  <si>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</si>
  <si>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</si>
  <si>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</si>
  <si>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</si>
  <si>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</si>
  <si>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</si>
  <si>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</si>
  <si>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</si>
  <si>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</si>
  <si>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</si>
  <si>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</si>
  <si>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</si>
  <si>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</si>
  <si>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</si>
  <si>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</si>
  <si>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</si>
  <si>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</si>
  <si>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</si>
  <si>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</si>
  <si>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</si>
  <si>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</si>
  <si>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</si>
  <si>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</si>
  <si>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</si>
  <si>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</si>
  <si>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</si>
  <si>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</si>
  <si>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</si>
  <si>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</si>
  <si>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</si>
  <si>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</si>
  <si>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</si>
  <si>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</si>
  <si>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</si>
  <si>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</si>
  <si>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</si>
  <si>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</si>
  <si>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</si>
  <si>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</si>
  <si>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</si>
  <si>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</si>
  <si>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PR19TMS_LWI01</t>
  </si>
  <si>
    <t>To incentivise the delivery of planned trunk main renewals in specific locations covered by the London water network allowance.</t>
  </si>
  <si>
    <t>PR19 Conditional allowance</t>
  </si>
  <si>
    <t>Trunk mains renewal (London network conditional allowance)</t>
  </si>
  <si>
    <t>The length in km of trunk mains renewed.</t>
  </si>
  <si>
    <t>Asset health / leakage</t>
  </si>
  <si>
    <t>km of trunk mains renewed</t>
  </si>
  <si>
    <t>PR19TMS_LWI02</t>
  </si>
  <si>
    <t>To deliver a strategy on how we will operate in the future and the strategic direction for our London Network.</t>
  </si>
  <si>
    <t>Future London strategy (London network conditional allowance)</t>
  </si>
  <si>
    <t>Reporting of progress against the delivery of a baseline of work (in outputs) committed as part of Thames Water's Gate 4 London Water Network Improvement submission that comprises Thames Water's London Future Strategy workstream.</t>
  </si>
  <si>
    <t>Number of outputs delivered</t>
  </si>
  <si>
    <t>All outputs delivered</t>
  </si>
  <si>
    <t>PR19TMS_LWI03</t>
  </si>
  <si>
    <t>To improve our understanding of mains performance leading to better management of our London network. This reputational PC will incentivise the provision of high evidential standards to support proposed investments in the 2020-25 price control period.</t>
  </si>
  <si>
    <t>Data validation (London network conditional allowance)</t>
  </si>
  <si>
    <t>Reporting of progress against the delivery of a baseline of work (in outputs) committed as part of Thames Water's Gate 4 London Water Network Improvement submission that comprises Thames Water's Data Validation workstream.</t>
  </si>
  <si>
    <t>259 samples</t>
  </si>
  <si>
    <t>741 samples and 1 report</t>
  </si>
  <si>
    <t>PR19UUW_HWDPC-WN</t>
  </si>
  <si>
    <t>To incentivise the company to deliver a competitive procurement that maximises value for money to customers through the procurement process itself.</t>
  </si>
  <si>
    <t>DPC: Pre-procurement Incentive for the Haweswater Aqueduct Resilience Programme</t>
  </si>
  <si>
    <t>Provision of Haweswater Aqueduct Resilience Programme by way of Direct Procurement for Customers is expected to deliver financial savings and promote innovation. This performance related mechanism aims to incentivise United Utilities Water Limited ("United Utilities) to deliver a successful procurement that maximises the competition and bidder interest.</t>
  </si>
  <si>
    <t>Value for money achieved</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</si>
  <si>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</si>
  <si>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</si>
  <si>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</si>
  <si>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</si>
  <si>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</si>
  <si>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</si>
  <si>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</si>
  <si>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</si>
  <si>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</si>
  <si>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</si>
  <si>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</si>
  <si>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</si>
  <si>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</si>
  <si>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</si>
  <si>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</si>
  <si>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</si>
  <si>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</si>
  <si>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</si>
  <si>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</si>
  <si>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</si>
  <si>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</si>
  <si>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</si>
  <si>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</si>
  <si>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</si>
  <si>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</si>
  <si>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</si>
  <si>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</si>
  <si>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</si>
  <si>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</si>
  <si>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</si>
  <si>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</si>
  <si>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Financial</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</si>
  <si>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</si>
  <si>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</si>
  <si>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</si>
  <si>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</si>
  <si>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</si>
  <si>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</si>
  <si>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</si>
  <si>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</si>
  <si>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</si>
  <si>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</si>
  <si>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</si>
  <si>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</si>
  <si>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</si>
  <si>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</si>
  <si>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</si>
  <si>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</si>
  <si>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</si>
  <si>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</si>
  <si>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</si>
  <si>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</si>
  <si>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</si>
  <si>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</si>
  <si>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</si>
  <si>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</si>
  <si>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</si>
  <si>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</si>
  <si>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</si>
  <si>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</si>
  <si>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</si>
  <si>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</si>
  <si>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</si>
  <si>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</si>
  <si>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</si>
  <si>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</si>
  <si>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</si>
  <si>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</si>
  <si>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</si>
  <si>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</si>
  <si>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</si>
  <si>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</si>
  <si>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</si>
  <si>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</si>
  <si>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</si>
  <si>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</si>
  <si>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End of Period</t>
  </si>
  <si>
    <t>3.0 / 35 / 90</t>
  </si>
  <si>
    <t>4.3 / 35 / 90</t>
  </si>
  <si>
    <t>6.1 / 17.5 / 45</t>
  </si>
  <si>
    <t>6.6 / 35 / 90</t>
  </si>
  <si>
    <t>7.1 / 35 / 90</t>
  </si>
  <si>
    <t>7.5 / 35 / 90</t>
  </si>
  <si>
    <t>8.0 / 35 / 90</t>
  </si>
  <si>
    <t>End of AMP</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</si>
  <si>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</si>
  <si>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</si>
  <si>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</si>
  <si>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</si>
  <si>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</si>
  <si>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</si>
  <si>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</si>
  <si>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</si>
  <si>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</si>
  <si>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</si>
  <si>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</si>
  <si>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</si>
  <si>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</si>
  <si>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</si>
  <si>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</si>
  <si>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</si>
  <si>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</si>
  <si>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</si>
  <si>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</si>
  <si>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</si>
  <si>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</si>
  <si>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</si>
  <si>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</si>
  <si>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</si>
  <si>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</si>
  <si>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</si>
  <si>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</si>
  <si>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</si>
  <si>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</si>
  <si>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</si>
  <si>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</si>
  <si>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</si>
  <si>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</si>
  <si>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</si>
  <si>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</si>
  <si>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</si>
  <si>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</si>
  <si>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</si>
  <si>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</si>
  <si>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</si>
  <si>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</si>
  <si>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</si>
  <si>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Change Log</t>
  </si>
  <si>
    <t>Key:</t>
  </si>
  <si>
    <t>Links</t>
  </si>
  <si>
    <t>CMA changes from Ofwat FD</t>
  </si>
  <si>
    <t>CMA Final Report</t>
  </si>
  <si>
    <t>CMA Summary Report</t>
  </si>
  <si>
    <t>Ofwat changes pre 28 May 2021</t>
  </si>
  <si>
    <t>Ofwat changes post 28 May 2021</t>
  </si>
  <si>
    <t>Ofwat changes post 2022 In-Period Determination</t>
  </si>
  <si>
    <t>Ofwat changes post 2023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</si>
  <si>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</si>
  <si>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</si>
  <si>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</si>
  <si>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</si>
  <si>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</si>
  <si>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</si>
  <si>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</si>
  <si>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</si>
  <si>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</si>
  <si>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</si>
  <si>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</si>
  <si>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</si>
  <si>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</si>
  <si>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</si>
  <si>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</si>
  <si>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</si>
  <si>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</si>
  <si>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</si>
  <si>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</si>
  <si>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</si>
  <si>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</si>
  <si>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</si>
  <si>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</si>
  <si>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</si>
  <si>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</si>
  <si>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</si>
  <si>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</si>
  <si>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</si>
  <si>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</si>
  <si>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</si>
  <si>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</si>
  <si>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</si>
  <si>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</si>
  <si>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</si>
  <si>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</si>
  <si>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</si>
  <si>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</si>
  <si>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</si>
  <si>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</si>
  <si>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</si>
  <si>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</si>
  <si>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</si>
  <si>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</si>
  <si>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</si>
  <si>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</si>
  <si>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</si>
  <si>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</si>
  <si>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</si>
  <si>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</si>
  <si>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</si>
  <si>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</si>
  <si>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</si>
  <si>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</si>
  <si>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</si>
  <si>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</si>
  <si>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</si>
  <si>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</si>
  <si>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</si>
  <si>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</si>
  <si>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</si>
  <si>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</si>
  <si>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</si>
  <si>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</si>
  <si>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</si>
  <si>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</si>
  <si>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</si>
  <si>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</si>
  <si>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</si>
  <si>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</si>
  <si>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</si>
  <si>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</si>
  <si>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2020-25</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</si>
  <si>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</si>
  <si>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</si>
  <si>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</si>
  <si>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</si>
  <si>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</si>
  <si>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</si>
  <si>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</si>
  <si>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</si>
  <si>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</si>
  <si>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</si>
  <si>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</si>
  <si>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</si>
  <si>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</si>
  <si>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</si>
  <si>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</si>
  <si>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</si>
  <si>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</si>
  <si>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</si>
  <si>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</si>
  <si>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</si>
  <si>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</si>
  <si>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</si>
  <si>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</si>
  <si>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</si>
  <si>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</si>
  <si>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</si>
  <si>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</si>
  <si>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</si>
  <si>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</si>
  <si>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</si>
  <si>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</si>
  <si>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</si>
  <si>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</si>
  <si>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</si>
  <si>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</si>
  <si>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</si>
  <si>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</si>
  <si>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</si>
  <si>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</si>
  <si>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</si>
  <si>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</si>
  <si>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</si>
  <si>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</si>
  <si>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</si>
  <si>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</si>
  <si>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</si>
  <si>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</si>
  <si>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</si>
  <si>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</si>
  <si>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</si>
  <si>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</si>
  <si>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</si>
  <si>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</si>
  <si>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</si>
  <si>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</si>
  <si>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</si>
  <si>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</si>
  <si>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</si>
  <si>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</si>
  <si>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</si>
  <si>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</si>
  <si>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</si>
  <si>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</si>
  <si>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</si>
  <si>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</si>
  <si>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</si>
  <si>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</si>
  <si>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</si>
  <si>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</si>
  <si>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</si>
  <si>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</si>
  <si>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</si>
  <si>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</si>
  <si>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</si>
  <si>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</si>
  <si>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</si>
  <si>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</si>
  <si>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</si>
  <si>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</si>
  <si>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</si>
  <si>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</si>
  <si>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</si>
  <si>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</si>
  <si>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</si>
  <si>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</si>
  <si>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</si>
  <si>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</si>
  <si>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</si>
  <si>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</si>
  <si>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</si>
  <si>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</si>
  <si>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</si>
  <si>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</si>
  <si>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</si>
  <si>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</si>
  <si>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</si>
  <si>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</si>
  <si>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</si>
  <si>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</si>
  <si>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</si>
  <si>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</si>
  <si>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</si>
  <si>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</si>
  <si>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</si>
  <si>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</si>
  <si>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</si>
  <si>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</si>
  <si>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</si>
  <si>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</si>
  <si>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</si>
  <si>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</si>
  <si>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</si>
  <si>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</si>
  <si>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</si>
  <si>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</si>
  <si>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</si>
  <si>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</si>
  <si>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</si>
  <si>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</si>
  <si>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</si>
  <si>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</si>
  <si>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Changed to reflect the PR19FD as advised by UUW.</t>
  </si>
  <si>
    <t>SEW / IPD22</t>
  </si>
  <si>
    <t>Changed to reflect IPD22 final determination as advised by SEW.</t>
  </si>
  <si>
    <t>Annex 2 change to change annual cap for lead pipe replacements to cumulative cap.</t>
  </si>
  <si>
    <t xml:space="preserve"> 1 (Strategic Outline Case)</t>
  </si>
  <si>
    <t>Changed for consistency with other years i.e. to enable the model to avoid returning error #values due to the PCLs being text.</t>
  </si>
  <si>
    <t xml:space="preserve"> 1 (Outline Business Case)</t>
  </si>
  <si>
    <t>Changed to enable the model to avoid returning error #values due to the PCLs being text.</t>
  </si>
  <si>
    <t>1 (Full Business Case)</t>
  </si>
  <si>
    <t>1st May 2023 contract award (signed and fully effective)</t>
  </si>
  <si>
    <t>SEW / IPD23</t>
  </si>
  <si>
    <t>Changed advised by SEW. Target updated by the Environment Agency.</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</si>
  <si>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</si>
  <si>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</si>
  <si>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</si>
  <si>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</si>
  <si>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</si>
  <si>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</si>
  <si>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</si>
  <si>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</si>
  <si>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</si>
  <si>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</si>
  <si>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</si>
  <si>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</si>
  <si>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</si>
  <si>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</si>
  <si>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</si>
  <si>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</si>
  <si>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</si>
  <si>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</si>
  <si>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</si>
  <si>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</si>
  <si>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</si>
  <si>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</si>
  <si>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</si>
  <si>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</si>
  <si>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</si>
  <si>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</si>
  <si>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</si>
  <si>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</si>
  <si>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</si>
  <si>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</si>
  <si>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</si>
  <si>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</si>
  <si>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</si>
  <si>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</si>
  <si>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</si>
  <si>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</si>
  <si>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</si>
  <si>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</si>
  <si>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</si>
  <si>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</si>
  <si>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</si>
  <si>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</si>
  <si>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</si>
  <si>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</si>
  <si>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</si>
  <si>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</si>
  <si>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</si>
  <si>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</si>
  <si>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</si>
  <si>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</si>
  <si>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</si>
  <si>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</si>
  <si>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</si>
  <si>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</si>
  <si>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</si>
  <si>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</si>
  <si>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advised by BRL. The standard underperformance rate should be -£0.262m as amended by the CMA, not -£0.191m.</t>
  </si>
  <si>
    <t>Changed advised by BRL. The rate for additional underperformance should be -£0.191m not -£0.262m.</t>
  </si>
  <si>
    <t>TMS conditional allowance</t>
  </si>
  <si>
    <t>Notice of intention to change: PR19 final determinations: Thames Water - Outcomes performance commitment appendix in relation to the conditional allowance of £300 million to enhance the performance of the London water network.</t>
  </si>
  <si>
    <t>Changed advised by ANH to correct a typographical error in the model. PR19FD Outcomes appendix confirms that the value should be -£10.944m not -£10.994m.</t>
  </si>
  <si>
    <t>Changed advised by ANH to reflect the CMA's intention that the higher underperformance incentive rate should be applied first.</t>
  </si>
  <si>
    <t>Changed initiated by ANH and agreed by YKY to reflect the CMA's intention that the higher underperformance incentive rate should be applied first.</t>
  </si>
  <si>
    <t>InpOverride</t>
  </si>
  <si>
    <t>Ofwat overrides relating to interventions, changes made for modelling purposes or to correct company / Ofwat errors.</t>
  </si>
  <si>
    <t>PR24PD01 FD Outcome delivery incentives model 2023-24 - Southern Water</t>
  </si>
  <si>
    <t>This model is part of our final determinations setting out the price, service, and incentive package for water companies for the period 2025-30. It should be read together with the other documents and information that we have now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</si>
</sst>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
    <numFmt numFmtId="165" formatCode="0.000"/>
    <numFmt numFmtId="166" formatCode="_-* #,##0_-;\-* #,##0_-;_-* &quot;-&quot;??_-;_-@_-"/>
    <numFmt numFmtId="167" formatCode="0.0%"/>
    <numFmt numFmtId="168" formatCode="#,##0_);\(#,##0\);&quot;-  &quot;;&quot; &quot;@&quot; &quot;"/>
    <numFmt numFmtId="169" formatCode="[$-F400]h:mm:ss\ AM/PM"/>
    <numFmt numFmtId="170" formatCode="#,##0.0"/>
    <numFmt numFmtId="171" formatCode="#,##0.000000"/>
    <numFmt numFmtId="172" formatCode="#,##0.000"/>
    <numFmt numFmtId="173" formatCode="#,##0.0000"/>
    <numFmt numFmtId="174" formatCode="0.000000"/>
    <numFmt numFmtId="175" formatCode="_(* #,##0.00_);_(* \(#,##0.00\);_(* &quot;-&quot;??_);_(@_)"/>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198">
    <font>
      <sz val="11"/>
      <color theme="1"/>
      <name val="Arial"/>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sz val="10"/>
      <color indexed="81"/>
      <name val="Calibri"/>
      <family val="2"/>
    </font>
    <font>
      <u/>
      <sz val="10"/>
      <color indexed="81"/>
      <name val="Calibri"/>
      <family val="2"/>
    </font>
    <font>
      <b/>
      <sz val="10"/>
      <color indexed="81"/>
      <name val="Calibri"/>
      <family val="2"/>
    </font>
    <font>
      <b/>
      <sz val="10"/>
      <color rgb="FF003595"/>
      <name val="Calibri"/>
      <family val="2"/>
    </font>
    <font>
      <sz val="15"/>
      <color rgb="FFFF0000"/>
      <name val="Franklin Gothic Demi"/>
      <family val="2"/>
    </font>
    <font>
      <b/>
      <sz val="11"/>
      <color theme="3"/>
      <name val="Calibr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sz val="12"/>
      <color theme="8"/>
      <name val="Calibri"/>
      <family val="2"/>
    </font>
    <font>
      <u/>
      <sz val="11"/>
      <color theme="10"/>
      <name val="Krub"/>
    </font>
    <font>
      <strike/>
      <sz val="11"/>
      <color rgb="FFFF0000"/>
      <name val="Calibri"/>
      <family val="2"/>
    </font>
    <font>
      <sz val="11"/>
      <color theme="4"/>
      <name val="Calibri"/>
      <family val="2"/>
    </font>
    <font>
      <b/>
      <sz val="11"/>
      <name val="Calibri"/>
      <family val="2"/>
    </font>
    <font>
      <u/>
      <sz val="12"/>
      <color theme="10"/>
      <name val="Calibri"/>
      <family val="2"/>
    </font>
    <font>
      <b/>
      <sz val="11"/>
      <color theme="9"/>
      <name val="Calibri"/>
      <family val="2"/>
    </font>
    <font>
      <b/>
      <sz val="14"/>
      <color theme="1"/>
      <name val="Calibri"/>
      <family val="2"/>
    </font>
    <font>
      <b/>
      <sz val="11"/>
      <color theme="0"/>
      <name val="Calibri"/>
      <family val="2"/>
    </font>
  </fonts>
  <fills count="6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
      <patternFill patternType="solid">
        <fgColor theme="6"/>
        <bgColor indexed="64"/>
      </patternFill>
    </fill>
    <fill>
      <gradientFill degree="45">
        <stop position="0">
          <color rgb="FFDCBDD9"/>
        </stop>
        <stop position="1">
          <color rgb="FFF4AA00"/>
        </stop>
      </gradientFill>
    </fill>
    <fill>
      <gradientFill degree="45">
        <stop position="0">
          <color rgb="FFDBFF6F"/>
        </stop>
        <stop position="1">
          <color rgb="FFF4AA00"/>
        </stop>
      </gradientFill>
    </fill>
    <fill>
      <patternFill patternType="solid">
        <fgColor rgb="FFF4AA00"/>
        <bgColor indexed="64"/>
      </patternFill>
    </fill>
    <fill>
      <patternFill patternType="solid">
        <fgColor rgb="FFC00000"/>
        <bgColor indexed="64"/>
      </patternFill>
    </fill>
  </fills>
  <borders count="135">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ck">
        <color rgb="FF003595"/>
      </left>
      <right style="thick">
        <color rgb="FF003595"/>
      </right>
      <top style="thick">
        <color rgb="FF003595"/>
      </top>
      <bottom style="thick">
        <color rgb="FF003595"/>
      </bottom>
      <diagonal/>
    </border>
    <border>
      <left/>
      <right style="thin">
        <color rgb="FF003595"/>
      </right>
      <top style="thin">
        <color rgb="FF003595"/>
      </top>
      <bottom style="thin">
        <color rgb="FF003595"/>
      </bottom>
      <diagonal/>
    </border>
    <border>
      <left style="thick">
        <color rgb="FF003595"/>
      </left>
      <right/>
      <top style="thick">
        <color rgb="FF003595"/>
      </top>
      <bottom style="thick">
        <color rgb="FF003595"/>
      </bottom>
      <diagonal/>
    </border>
    <border>
      <left/>
      <right style="thick">
        <color rgb="FF003595"/>
      </right>
      <top style="thick">
        <color rgb="FF003595"/>
      </top>
      <bottom style="thick">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style="thin">
        <color rgb="FF003595"/>
      </left>
      <right style="thin">
        <color rgb="FF003595"/>
      </right>
      <top style="thick">
        <color rgb="FF003595"/>
      </top>
      <bottom style="thin">
        <color rgb="FF003595"/>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thin">
        <color rgb="FF003595"/>
      </left>
      <right style="thick">
        <color rgb="FF003595"/>
      </right>
      <top style="thin">
        <color rgb="FF003595"/>
      </top>
      <bottom style="thin">
        <color rgb="FF003595"/>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style="medium">
        <color rgb="FFC00000"/>
      </right>
      <top style="thin">
        <color rgb="FFC00000"/>
      </top>
      <bottom style="medium">
        <color rgb="FFC00000"/>
      </bottom>
      <diagonal/>
    </border>
  </borders>
  <cellStyleXfs count="71">
    <xf numFmtId="0" fontId="0" fillId="0" borderId="0"/>
    <xf numFmtId="0" fontId="4" fillId="0" borderId="0" applyNumberFormat="0" applyFont="0" applyFill="0" applyBorder="0" applyAlignment="0" applyProtection="0"/>
    <xf numFmtId="0" fontId="4" fillId="0" borderId="0"/>
    <xf numFmtId="0" fontId="4" fillId="0" borderId="0"/>
    <xf numFmtId="0" fontId="4" fillId="0" borderId="0" applyNumberFormat="0" applyFont="0" applyFill="0" applyBorder="0" applyAlignment="0" applyProtection="0"/>
    <xf numFmtId="37" fontId="9" fillId="3" borderId="4">
      <alignment horizontal="left"/>
    </xf>
    <xf numFmtId="37" fontId="10" fillId="3" borderId="5"/>
    <xf numFmtId="0" fontId="4" fillId="3" borderId="6" applyNumberFormat="0" applyBorder="0"/>
    <xf numFmtId="0" fontId="4" fillId="3" borderId="6" applyNumberFormat="0" applyBorder="0"/>
    <xf numFmtId="43" fontId="4" fillId="0" borderId="0" applyFont="0" applyFill="0" applyBorder="0" applyAlignment="0" applyProtection="0"/>
    <xf numFmtId="0" fontId="11" fillId="3" borderId="7"/>
    <xf numFmtId="37" fontId="4" fillId="3" borderId="0">
      <alignment horizontal="right"/>
    </xf>
    <xf numFmtId="37" fontId="4" fillId="3" borderId="0">
      <alignment horizontal="right"/>
    </xf>
    <xf numFmtId="0" fontId="12" fillId="0" borderId="0"/>
    <xf numFmtId="0" fontId="5" fillId="0" borderId="0" applyNumberFormat="0" applyBorder="0" applyProtection="0"/>
    <xf numFmtId="0" fontId="6" fillId="0" borderId="0"/>
    <xf numFmtId="0" fontId="4" fillId="0" borderId="0"/>
    <xf numFmtId="0" fontId="4" fillId="0" borderId="0"/>
    <xf numFmtId="0" fontId="13" fillId="0" borderId="0"/>
    <xf numFmtId="0" fontId="14" fillId="0" borderId="0"/>
    <xf numFmtId="40" fontId="15" fillId="2" borderId="0">
      <alignment horizontal="right"/>
    </xf>
    <xf numFmtId="0" fontId="16" fillId="2" borderId="0">
      <alignment horizontal="right"/>
    </xf>
    <xf numFmtId="0" fontId="17" fillId="2" borderId="2"/>
    <xf numFmtId="0" fontId="17" fillId="0" borderId="0" applyBorder="0">
      <alignment horizontal="centerContinuous"/>
    </xf>
    <xf numFmtId="0" fontId="18" fillId="0" borderId="0" applyBorder="0">
      <alignment horizontal="centerContinuous"/>
    </xf>
    <xf numFmtId="9" fontId="4" fillId="0" borderId="0" applyFont="0" applyFill="0" applyBorder="0" applyAlignment="0" applyProtection="0"/>
    <xf numFmtId="37" fontId="19" fillId="4" borderId="8"/>
    <xf numFmtId="0" fontId="20" fillId="0" borderId="9">
      <alignment horizontal="right"/>
    </xf>
    <xf numFmtId="0" fontId="21" fillId="0" borderId="10" applyNumberFormat="0" applyFill="0" applyAlignment="0" applyProtection="0"/>
    <xf numFmtId="0" fontId="22" fillId="0" borderId="11" applyNumberFormat="0" applyFill="0" applyAlignment="0" applyProtection="0"/>
    <xf numFmtId="0" fontId="17" fillId="2" borderId="12"/>
    <xf numFmtId="0" fontId="13" fillId="0" borderId="0"/>
    <xf numFmtId="0" fontId="6" fillId="0" borderId="0"/>
    <xf numFmtId="0" fontId="6" fillId="0" borderId="0"/>
    <xf numFmtId="0" fontId="22" fillId="0" borderId="11" applyNumberFormat="0" applyFill="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2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26" fillId="0" borderId="0"/>
    <xf numFmtId="0" fontId="6" fillId="0" borderId="0"/>
    <xf numFmtId="168" fontId="6" fillId="0" borderId="0" applyFont="0" applyFill="0" applyBorder="0" applyProtection="0">
      <alignment vertical="top"/>
    </xf>
    <xf numFmtId="9" fontId="6" fillId="0" borderId="0" applyFont="0" applyFill="0" applyBorder="0" applyAlignment="0" applyProtection="0"/>
    <xf numFmtId="168" fontId="6" fillId="0" borderId="0" applyFont="0" applyFill="0" applyBorder="0" applyProtection="0">
      <alignment vertical="top"/>
    </xf>
    <xf numFmtId="0" fontId="56" fillId="0" borderId="0"/>
    <xf numFmtId="175" fontId="6" fillId="0" borderId="0" applyFont="0" applyFill="0" applyBorder="0" applyAlignment="0" applyProtection="0"/>
    <xf numFmtId="0" fontId="6" fillId="0" borderId="0"/>
    <xf numFmtId="0" fontId="56" fillId="0" borderId="0"/>
    <xf numFmtId="0" fontId="2" fillId="0" borderId="0"/>
    <xf numFmtId="0" fontId="76" fillId="8" borderId="0" applyNumberFormat="0" applyBorder="0" applyAlignment="0" applyProtection="0"/>
    <xf numFmtId="0" fontId="55" fillId="0" borderId="0"/>
    <xf numFmtId="0" fontId="78" fillId="0" borderId="0" applyNumberFormat="0" applyFill="0" applyAlignment="0" applyProtection="0"/>
    <xf numFmtId="0" fontId="81" fillId="8" borderId="0" applyNumberFormat="0" applyAlignment="0" applyProtection="0"/>
    <xf numFmtId="0" fontId="82" fillId="0" borderId="0" applyNumberFormat="0" applyFill="0" applyAlignment="0" applyProtection="0"/>
    <xf numFmtId="0" fontId="59" fillId="0" borderId="0" applyNumberFormat="0" applyBorder="0" applyAlignment="0" applyProtection="0"/>
    <xf numFmtId="0" fontId="83" fillId="0" borderId="0" applyNumberFormat="0" applyBorder="0" applyAlignment="0" applyProtection="0"/>
    <xf numFmtId="0" fontId="55" fillId="0" borderId="0" applyNumberFormat="0" applyBorder="0" applyAlignment="0" applyProtection="0"/>
    <xf numFmtId="0" fontId="84" fillId="0" borderId="0" applyNumberFormat="0" applyBorder="0" applyAlignment="0" applyProtection="0"/>
    <xf numFmtId="0" fontId="55" fillId="17" borderId="0" applyNumberFormat="0" applyAlignment="0" applyProtection="0"/>
    <xf numFmtId="0" fontId="60" fillId="10" borderId="0" applyNumberFormat="0" applyAlignment="0" applyProtection="0"/>
    <xf numFmtId="168" fontId="55" fillId="0" borderId="0" applyFont="0" applyFill="0" applyBorder="0" applyProtection="0">
      <alignment vertical="top"/>
    </xf>
    <xf numFmtId="177" fontId="9" fillId="0" borderId="0" applyNumberFormat="0" applyFill="0" applyBorder="0" applyProtection="0">
      <alignment vertical="top"/>
    </xf>
    <xf numFmtId="0" fontId="87" fillId="0" borderId="0" applyNumberFormat="0" applyFill="0" applyBorder="0" applyProtection="0">
      <alignment vertical="top"/>
    </xf>
    <xf numFmtId="0" fontId="4" fillId="0" borderId="0" applyNumberFormat="0" applyFill="0" applyBorder="0" applyProtection="0">
      <alignment horizontal="right" vertical="top"/>
    </xf>
    <xf numFmtId="179" fontId="53" fillId="8" borderId="0" applyNumberFormat="0">
      <alignment horizontal="left"/>
    </xf>
    <xf numFmtId="0" fontId="60" fillId="9" borderId="0" applyNumberFormat="0"/>
    <xf numFmtId="0" fontId="104" fillId="0" borderId="0" applyNumberFormat="0" applyFill="0" applyBorder="0" applyAlignment="0" applyProtection="0"/>
    <xf numFmtId="0" fontId="6" fillId="0" borderId="0"/>
    <xf numFmtId="0" fontId="6" fillId="0" borderId="0"/>
  </cellStyleXfs>
  <cellXfs count="2156">
    <xf numFmtId="0" fontId="0" fillId="0" borderId="0" xfId="0"/>
    <xf numFmtId="0" fontId="23"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wrapText="1"/>
    </xf>
    <xf numFmtId="0" fontId="27" fillId="0" borderId="0" xfId="0" applyFont="1" applyAlignment="1">
      <alignment horizontal="left" vertical="center"/>
    </xf>
    <xf numFmtId="0" fontId="25" fillId="0" borderId="0" xfId="0" applyFont="1" applyAlignment="1">
      <alignment vertical="center" wrapText="1"/>
    </xf>
    <xf numFmtId="0" fontId="28" fillId="0" borderId="0" xfId="0" applyFont="1" applyAlignment="1">
      <alignment vertical="center" wrapText="1"/>
    </xf>
    <xf numFmtId="0" fontId="24" fillId="0" borderId="0" xfId="0" applyFont="1" applyAlignment="1">
      <alignment horizontal="left" vertical="center" wrapText="1"/>
    </xf>
    <xf numFmtId="0" fontId="0" fillId="0" borderId="0" xfId="0" applyAlignment="1">
      <alignment vertical="center"/>
    </xf>
    <xf numFmtId="0" fontId="31" fillId="13" borderId="18" xfId="15" applyFont="1" applyFill="1" applyBorder="1" applyAlignment="1">
      <alignment vertical="center"/>
    </xf>
    <xf numFmtId="0" fontId="3" fillId="0" borderId="0" xfId="0" applyFont="1" applyAlignment="1">
      <alignment vertical="center"/>
    </xf>
    <xf numFmtId="0" fontId="41" fillId="0" borderId="0" xfId="29" applyFont="1" applyBorder="1" applyAlignment="1">
      <alignment horizontal="center" vertical="center" wrapText="1"/>
    </xf>
    <xf numFmtId="0" fontId="40" fillId="0" borderId="0" xfId="0" applyFont="1" applyAlignment="1">
      <alignment horizontal="center" vertical="center" wrapText="1"/>
    </xf>
    <xf numFmtId="0" fontId="32" fillId="0" borderId="0" xfId="0" applyFont="1" applyAlignment="1">
      <alignment horizontal="center" vertical="center" wrapText="1"/>
    </xf>
    <xf numFmtId="0" fontId="43" fillId="0" borderId="0" xfId="29" applyFont="1" applyBorder="1" applyAlignment="1">
      <alignment vertical="center" wrapText="1"/>
    </xf>
    <xf numFmtId="0" fontId="37" fillId="0" borderId="0" xfId="0" applyFont="1" applyAlignment="1">
      <alignment vertical="center" wrapText="1"/>
    </xf>
    <xf numFmtId="0" fontId="45" fillId="0" borderId="0" xfId="29" applyFont="1" applyBorder="1" applyAlignment="1">
      <alignment vertical="center" wrapText="1"/>
    </xf>
    <xf numFmtId="0" fontId="37" fillId="0" borderId="0" xfId="0" applyFont="1" applyAlignment="1">
      <alignment vertical="center"/>
    </xf>
    <xf numFmtId="0" fontId="43" fillId="0" borderId="0" xfId="0" applyFont="1" applyAlignment="1">
      <alignment horizontal="left" vertical="center" wrapText="1"/>
    </xf>
    <xf numFmtId="0" fontId="35" fillId="0" borderId="0" xfId="0" applyFont="1" applyAlignment="1">
      <alignment vertical="center"/>
    </xf>
    <xf numFmtId="0" fontId="43" fillId="0" borderId="0" xfId="29" applyFont="1" applyBorder="1" applyAlignment="1">
      <alignment horizontal="left" vertical="center" wrapText="1"/>
    </xf>
    <xf numFmtId="0" fontId="35" fillId="0" borderId="0" xfId="0" applyFont="1" applyAlignment="1">
      <alignment horizontal="left" vertical="center" wrapText="1"/>
    </xf>
    <xf numFmtId="0" fontId="29" fillId="0" borderId="0" xfId="0" applyFont="1" applyAlignment="1">
      <alignment vertical="center"/>
    </xf>
    <xf numFmtId="0" fontId="40" fillId="5" borderId="0" xfId="0" applyFont="1" applyFill="1" applyAlignment="1">
      <alignment horizontal="center" vertical="center" wrapText="1"/>
    </xf>
    <xf numFmtId="0" fontId="47" fillId="0" borderId="0" xfId="16" applyFont="1" applyAlignment="1">
      <alignment horizontal="center" vertical="center" wrapText="1"/>
    </xf>
    <xf numFmtId="0" fontId="44" fillId="0" borderId="0" xfId="0" applyFont="1" applyAlignment="1">
      <alignment vertical="center"/>
    </xf>
    <xf numFmtId="0" fontId="48" fillId="0" borderId="0" xfId="0" applyFont="1" applyAlignment="1">
      <alignment horizontal="center"/>
    </xf>
    <xf numFmtId="0" fontId="29" fillId="0" borderId="0" xfId="0" applyFont="1"/>
    <xf numFmtId="0" fontId="40" fillId="0" borderId="0" xfId="0" applyFont="1" applyAlignment="1">
      <alignment vertical="center" wrapText="1"/>
    </xf>
    <xf numFmtId="3" fontId="40" fillId="0" borderId="0" xfId="0" applyNumberFormat="1" applyFont="1" applyAlignment="1">
      <alignment horizontal="center" vertical="center" wrapText="1"/>
    </xf>
    <xf numFmtId="9" fontId="40" fillId="0" borderId="0" xfId="0" applyNumberFormat="1" applyFont="1" applyAlignment="1">
      <alignment horizontal="center" vertical="center" wrapText="1"/>
    </xf>
    <xf numFmtId="0" fontId="49" fillId="0" borderId="0" xfId="16" applyFont="1" applyAlignment="1">
      <alignment vertical="center" wrapText="1"/>
    </xf>
    <xf numFmtId="9" fontId="40" fillId="0" borderId="0" xfId="0" applyNumberFormat="1" applyFont="1" applyAlignment="1">
      <alignment vertical="center" wrapText="1"/>
    </xf>
    <xf numFmtId="0" fontId="49" fillId="0" borderId="0" xfId="16" applyFont="1" applyAlignment="1">
      <alignment horizontal="center" vertical="center" wrapText="1"/>
    </xf>
    <xf numFmtId="166" fontId="50" fillId="0" borderId="0" xfId="36" applyNumberFormat="1" applyFont="1" applyFill="1" applyBorder="1" applyAlignment="1"/>
    <xf numFmtId="0" fontId="39" fillId="0" borderId="0" xfId="0" applyFont="1" applyAlignment="1">
      <alignment vertical="center" wrapText="1"/>
    </xf>
    <xf numFmtId="0" fontId="37" fillId="0" borderId="0" xfId="0" applyFont="1" applyAlignment="1">
      <alignment horizontal="center" vertical="center"/>
    </xf>
    <xf numFmtId="0" fontId="34" fillId="0" borderId="0" xfId="0" applyFont="1" applyAlignment="1">
      <alignment wrapText="1"/>
    </xf>
    <xf numFmtId="166" fontId="34" fillId="0" borderId="0" xfId="36" applyNumberFormat="1" applyFont="1" applyBorder="1"/>
    <xf numFmtId="167" fontId="34" fillId="0" borderId="0" xfId="35" applyNumberFormat="1" applyFont="1" applyBorder="1"/>
    <xf numFmtId="0" fontId="38" fillId="0" borderId="0" xfId="0" applyFont="1"/>
    <xf numFmtId="0" fontId="38" fillId="0" borderId="0" xfId="0" applyFont="1" applyAlignment="1">
      <alignment vertical="center" wrapText="1"/>
    </xf>
    <xf numFmtId="0" fontId="37" fillId="5" borderId="19" xfId="0" applyFont="1" applyFill="1" applyBorder="1" applyAlignment="1">
      <alignment vertical="center"/>
    </xf>
    <xf numFmtId="0" fontId="37" fillId="5" borderId="19" xfId="0" applyFont="1" applyFill="1" applyBorder="1" applyAlignment="1">
      <alignment vertical="center" wrapText="1"/>
    </xf>
    <xf numFmtId="0" fontId="38" fillId="0" borderId="0" xfId="0" applyFont="1" applyAlignment="1">
      <alignment horizontal="left" vertical="center" wrapText="1"/>
    </xf>
    <xf numFmtId="0" fontId="53" fillId="8" borderId="0" xfId="42" applyFont="1" applyFill="1" applyAlignment="1">
      <alignment horizontal="left" vertical="center"/>
    </xf>
    <xf numFmtId="0" fontId="55" fillId="0" borderId="0" xfId="42" applyFont="1" applyAlignment="1">
      <alignment vertical="center" wrapText="1"/>
    </xf>
    <xf numFmtId="0" fontId="4" fillId="0" borderId="0" xfId="42" applyFont="1" applyAlignment="1">
      <alignment horizontal="left" vertical="center" wrapText="1"/>
    </xf>
    <xf numFmtId="0" fontId="53" fillId="0" borderId="0" xfId="42" applyFont="1" applyAlignment="1">
      <alignment horizontal="left" vertical="center"/>
    </xf>
    <xf numFmtId="0" fontId="53" fillId="0" borderId="0" xfId="42" applyFont="1" applyAlignment="1">
      <alignment horizontal="left" vertical="center" wrapText="1"/>
    </xf>
    <xf numFmtId="0" fontId="53" fillId="0" borderId="0" xfId="42" applyFont="1" applyAlignment="1">
      <alignment horizontal="center" vertical="center" wrapText="1"/>
    </xf>
    <xf numFmtId="0" fontId="53" fillId="0" borderId="0" xfId="42" applyFont="1" applyAlignment="1">
      <alignment horizontal="right" vertical="center" wrapText="1"/>
    </xf>
    <xf numFmtId="0" fontId="53" fillId="0" borderId="0" xfId="42" applyFont="1" applyAlignment="1">
      <alignment horizontal="center" vertical="center"/>
    </xf>
    <xf numFmtId="0" fontId="53" fillId="0" borderId="0" xfId="42" applyFont="1" applyAlignment="1">
      <alignment horizontal="right" vertical="center"/>
    </xf>
    <xf numFmtId="0" fontId="57" fillId="0" borderId="0" xfId="42" applyFont="1" applyAlignment="1">
      <alignment vertical="center" wrapText="1"/>
    </xf>
    <xf numFmtId="0" fontId="52" fillId="0" borderId="0" xfId="42" applyFont="1" applyAlignment="1">
      <alignment wrapText="1"/>
    </xf>
    <xf numFmtId="0" fontId="58" fillId="0" borderId="0" xfId="42" applyFont="1" applyAlignment="1">
      <alignment wrapText="1"/>
    </xf>
    <xf numFmtId="0" fontId="55" fillId="0" borderId="0" xfId="42" applyFont="1" applyAlignment="1">
      <alignment wrapText="1"/>
    </xf>
    <xf numFmtId="0" fontId="4" fillId="0" borderId="0" xfId="42" applyFont="1" applyAlignment="1">
      <alignment horizontal="center" vertical="top" wrapText="1"/>
    </xf>
    <xf numFmtId="0" fontId="8" fillId="0" borderId="0" xfId="42" applyFont="1"/>
    <xf numFmtId="167" fontId="4" fillId="10" borderId="46" xfId="42" applyNumberFormat="1" applyFont="1" applyFill="1" applyBorder="1" applyAlignment="1">
      <alignment horizontal="right" vertical="top" wrapText="1"/>
    </xf>
    <xf numFmtId="0" fontId="55" fillId="0" borderId="0" xfId="42" applyFont="1" applyAlignment="1">
      <alignment horizontal="left" vertical="top" wrapText="1"/>
    </xf>
    <xf numFmtId="0" fontId="55" fillId="0" borderId="0" xfId="42" applyFont="1" applyAlignment="1">
      <alignment horizontal="center" vertical="top" wrapText="1"/>
    </xf>
    <xf numFmtId="0" fontId="55" fillId="0" borderId="0" xfId="42" applyFont="1" applyAlignment="1">
      <alignment horizontal="right" vertical="top" wrapText="1"/>
    </xf>
    <xf numFmtId="0" fontId="65" fillId="0" borderId="0" xfId="42" applyFont="1" applyAlignment="1">
      <alignment horizontal="left" vertical="top" wrapText="1"/>
    </xf>
    <xf numFmtId="0" fontId="64" fillId="0" borderId="0" xfId="42" applyFont="1" applyAlignment="1">
      <alignment horizontal="center" vertical="top" wrapText="1"/>
    </xf>
    <xf numFmtId="0" fontId="64" fillId="0" borderId="0" xfId="42" applyFont="1" applyAlignment="1">
      <alignment horizontal="right" vertical="top" wrapText="1"/>
    </xf>
    <xf numFmtId="0" fontId="66" fillId="0" borderId="0" xfId="42" applyFont="1" applyAlignment="1">
      <alignment horizontal="right" vertical="top" wrapText="1"/>
    </xf>
    <xf numFmtId="0" fontId="66" fillId="0" borderId="0" xfId="42" applyFont="1" applyAlignment="1">
      <alignment horizontal="center" vertical="top" wrapText="1"/>
    </xf>
    <xf numFmtId="0" fontId="53" fillId="0" borderId="43" xfId="42" applyFont="1" applyBorder="1" applyAlignment="1">
      <alignment horizontal="left" vertical="center"/>
    </xf>
    <xf numFmtId="0" fontId="53" fillId="0" borderId="44" xfId="42" applyFont="1" applyBorder="1" applyAlignment="1">
      <alignment horizontal="left" vertical="center" wrapText="1"/>
    </xf>
    <xf numFmtId="0" fontId="69" fillId="18" borderId="0" xfId="42" applyFont="1" applyFill="1" applyAlignment="1">
      <alignment vertical="center"/>
    </xf>
    <xf numFmtId="0" fontId="69" fillId="18" borderId="43" xfId="42" applyFont="1" applyFill="1" applyBorder="1" applyAlignment="1">
      <alignment vertical="center"/>
    </xf>
    <xf numFmtId="0" fontId="69" fillId="18" borderId="44" xfId="42" applyFont="1" applyFill="1" applyBorder="1" applyAlignment="1">
      <alignment vertical="center"/>
    </xf>
    <xf numFmtId="0" fontId="4" fillId="17" borderId="43" xfId="42" applyFont="1" applyFill="1" applyBorder="1" applyAlignment="1">
      <alignment horizontal="right" vertical="top" wrapText="1"/>
    </xf>
    <xf numFmtId="0" fontId="4" fillId="17" borderId="44" xfId="42" applyFont="1" applyFill="1" applyBorder="1" applyAlignment="1">
      <alignment horizontal="right" vertical="top" wrapText="1"/>
    </xf>
    <xf numFmtId="173" fontId="4" fillId="17" borderId="43" xfId="42" applyNumberFormat="1" applyFont="1" applyFill="1" applyBorder="1" applyAlignment="1">
      <alignment horizontal="right" vertical="top" wrapText="1"/>
    </xf>
    <xf numFmtId="0" fontId="4" fillId="17" borderId="44" xfId="42" applyFont="1" applyFill="1" applyBorder="1" applyAlignment="1">
      <alignment horizontal="left" vertical="top" wrapText="1"/>
    </xf>
    <xf numFmtId="0" fontId="4" fillId="17" borderId="43" xfId="42" applyFont="1" applyFill="1" applyBorder="1" applyAlignment="1">
      <alignment horizontal="right" vertical="center" wrapText="1"/>
    </xf>
    <xf numFmtId="0" fontId="4" fillId="17" borderId="44" xfId="42" applyFont="1" applyFill="1" applyBorder="1" applyAlignment="1">
      <alignment horizontal="right" vertical="center" wrapText="1"/>
    </xf>
    <xf numFmtId="0" fontId="56" fillId="0" borderId="0" xfId="49"/>
    <xf numFmtId="3" fontId="4" fillId="0" borderId="0" xfId="42" applyNumberFormat="1" applyFont="1" applyAlignment="1">
      <alignment horizontal="left" vertical="top" wrapText="1"/>
    </xf>
    <xf numFmtId="0" fontId="4" fillId="0" borderId="21" xfId="42" applyFont="1" applyBorder="1" applyAlignment="1">
      <alignment horizontal="right" vertical="center" wrapText="1"/>
    </xf>
    <xf numFmtId="0" fontId="72" fillId="0" borderId="0" xfId="3" applyFont="1" applyAlignment="1">
      <alignment vertical="center"/>
    </xf>
    <xf numFmtId="0" fontId="4" fillId="0" borderId="0" xfId="3" applyAlignment="1">
      <alignment vertical="center"/>
    </xf>
    <xf numFmtId="0" fontId="55" fillId="0" borderId="0" xfId="15" applyFont="1" applyAlignment="1">
      <alignment horizontal="center" vertical="center"/>
    </xf>
    <xf numFmtId="0" fontId="55" fillId="0" borderId="0" xfId="49" applyFont="1"/>
    <xf numFmtId="0" fontId="55" fillId="0" borderId="0" xfId="49" applyFont="1" applyAlignment="1">
      <alignment horizontal="left"/>
    </xf>
    <xf numFmtId="165" fontId="55" fillId="0" borderId="0" xfId="49" applyNumberFormat="1" applyFont="1" applyAlignment="1">
      <alignment horizontal="left"/>
    </xf>
    <xf numFmtId="0" fontId="4" fillId="0" borderId="0" xfId="3"/>
    <xf numFmtId="0" fontId="4" fillId="17" borderId="0" xfId="42" applyFont="1" applyFill="1" applyAlignment="1">
      <alignment horizontal="left" vertical="top" wrapText="1"/>
    </xf>
    <xf numFmtId="0" fontId="4" fillId="17" borderId="0" xfId="42" applyFont="1" applyFill="1" applyAlignment="1">
      <alignment horizontal="center" vertical="top" wrapText="1"/>
    </xf>
    <xf numFmtId="167" fontId="4" fillId="17" borderId="43" xfId="42" applyNumberFormat="1" applyFont="1" applyFill="1" applyBorder="1" applyAlignment="1">
      <alignment horizontal="right" vertical="top" wrapText="1"/>
    </xf>
    <xf numFmtId="167" fontId="4" fillId="17" borderId="0" xfId="42" applyNumberFormat="1" applyFont="1" applyFill="1" applyAlignment="1">
      <alignment horizontal="right" vertical="top" wrapText="1"/>
    </xf>
    <xf numFmtId="167" fontId="4" fillId="17" borderId="44" xfId="42" applyNumberFormat="1" applyFont="1" applyFill="1" applyBorder="1" applyAlignment="1">
      <alignment horizontal="right" vertical="top" wrapText="1"/>
    </xf>
    <xf numFmtId="0" fontId="4" fillId="17" borderId="43" xfId="42" applyFont="1" applyFill="1" applyBorder="1" applyAlignment="1">
      <alignment horizontal="center" vertical="top" wrapText="1"/>
    </xf>
    <xf numFmtId="0" fontId="4" fillId="17" borderId="44" xfId="42" applyFont="1" applyFill="1" applyBorder="1" applyAlignment="1">
      <alignment horizontal="center" vertical="top" wrapText="1"/>
    </xf>
    <xf numFmtId="0" fontId="4" fillId="17" borderId="0" xfId="42" applyFont="1" applyFill="1" applyAlignment="1">
      <alignment horizontal="right" vertical="top" wrapText="1"/>
    </xf>
    <xf numFmtId="3" fontId="62" fillId="17" borderId="44" xfId="42" applyNumberFormat="1" applyFont="1" applyFill="1" applyBorder="1" applyAlignment="1">
      <alignment horizontal="right" vertical="top" wrapText="1"/>
    </xf>
    <xf numFmtId="0" fontId="4" fillId="17" borderId="46" xfId="42" applyFont="1" applyFill="1" applyBorder="1" applyAlignment="1">
      <alignment horizontal="left" vertical="top" wrapText="1"/>
    </xf>
    <xf numFmtId="0" fontId="4" fillId="17" borderId="46" xfId="42" applyFont="1" applyFill="1" applyBorder="1" applyAlignment="1">
      <alignment horizontal="center" vertical="top" wrapText="1"/>
    </xf>
    <xf numFmtId="0" fontId="4" fillId="17" borderId="0" xfId="42" applyFont="1" applyFill="1" applyAlignment="1">
      <alignment horizontal="right" vertical="center" wrapText="1"/>
    </xf>
    <xf numFmtId="0" fontId="4" fillId="17" borderId="52" xfId="42" applyFont="1" applyFill="1" applyBorder="1" applyAlignment="1">
      <alignment horizontal="right" vertical="center" wrapText="1"/>
    </xf>
    <xf numFmtId="0" fontId="4" fillId="17" borderId="53" xfId="42" applyFont="1" applyFill="1" applyBorder="1" applyAlignment="1">
      <alignment horizontal="right" vertical="center" wrapText="1"/>
    </xf>
    <xf numFmtId="173" fontId="4" fillId="17" borderId="0" xfId="42" applyNumberFormat="1" applyFont="1" applyFill="1" applyAlignment="1">
      <alignment horizontal="right" vertical="top" wrapText="1"/>
    </xf>
    <xf numFmtId="173" fontId="4" fillId="17" borderId="46" xfId="42" applyNumberFormat="1" applyFont="1" applyFill="1" applyBorder="1" applyAlignment="1">
      <alignment horizontal="right" vertical="top" wrapText="1"/>
    </xf>
    <xf numFmtId="172" fontId="4" fillId="17" borderId="46" xfId="42" applyNumberFormat="1" applyFont="1" applyFill="1" applyBorder="1" applyAlignment="1">
      <alignment horizontal="right" vertical="top" wrapText="1"/>
    </xf>
    <xf numFmtId="49" fontId="4" fillId="17" borderId="46" xfId="42" applyNumberFormat="1" applyFont="1" applyFill="1" applyBorder="1" applyAlignment="1">
      <alignment horizontal="center" vertical="top" wrapText="1"/>
    </xf>
    <xf numFmtId="3" fontId="4" fillId="17" borderId="43" xfId="42" applyNumberFormat="1" applyFont="1" applyFill="1" applyBorder="1" applyAlignment="1">
      <alignment horizontal="right" vertical="center" wrapText="1"/>
    </xf>
    <xf numFmtId="3" fontId="4" fillId="17" borderId="52" xfId="42" applyNumberFormat="1" applyFont="1" applyFill="1" applyBorder="1" applyAlignment="1">
      <alignment horizontal="right" vertical="center" wrapText="1"/>
    </xf>
    <xf numFmtId="3" fontId="4" fillId="17" borderId="44" xfId="42" applyNumberFormat="1" applyFont="1" applyFill="1" applyBorder="1" applyAlignment="1">
      <alignment horizontal="right" vertical="center" wrapText="1"/>
    </xf>
    <xf numFmtId="0" fontId="62" fillId="17" borderId="44" xfId="42" applyFont="1" applyFill="1" applyBorder="1" applyAlignment="1">
      <alignment horizontal="right" vertical="top" wrapText="1"/>
    </xf>
    <xf numFmtId="3" fontId="4" fillId="17" borderId="0" xfId="42" applyNumberFormat="1" applyFont="1" applyFill="1" applyAlignment="1">
      <alignment horizontal="right" vertical="top" wrapText="1"/>
    </xf>
    <xf numFmtId="0" fontId="42" fillId="0" borderId="0" xfId="50" applyFont="1" applyAlignment="1">
      <alignment vertical="center"/>
    </xf>
    <xf numFmtId="0" fontId="46" fillId="0" borderId="0" xfId="50" applyFont="1" applyAlignment="1">
      <alignment vertical="center"/>
    </xf>
    <xf numFmtId="0" fontId="30" fillId="0" borderId="0" xfId="50" applyFont="1" applyAlignment="1">
      <alignment vertical="center"/>
    </xf>
    <xf numFmtId="0" fontId="42" fillId="0" borderId="0" xfId="50" applyFont="1" applyAlignment="1">
      <alignment horizontal="left" vertical="center"/>
    </xf>
    <xf numFmtId="0" fontId="73" fillId="0" borderId="0" xfId="50" applyFont="1" applyAlignment="1">
      <alignment vertical="center"/>
    </xf>
    <xf numFmtId="0" fontId="42" fillId="23" borderId="0" xfId="50" applyFont="1" applyFill="1" applyAlignment="1">
      <alignment horizontal="left" vertical="center"/>
    </xf>
    <xf numFmtId="0" fontId="42" fillId="23" borderId="0" xfId="50" applyFont="1" applyFill="1" applyAlignment="1">
      <alignment vertical="center"/>
    </xf>
    <xf numFmtId="0" fontId="42" fillId="0" borderId="0" xfId="50" applyFont="1" applyAlignment="1">
      <alignment horizontal="center" vertical="center"/>
    </xf>
    <xf numFmtId="0" fontId="30" fillId="23" borderId="0" xfId="50" applyFont="1" applyFill="1" applyAlignment="1">
      <alignment vertical="center"/>
    </xf>
    <xf numFmtId="0" fontId="73" fillId="23" borderId="0" xfId="50" applyFont="1" applyFill="1" applyAlignment="1">
      <alignment vertical="center"/>
    </xf>
    <xf numFmtId="0" fontId="30" fillId="12" borderId="0" xfId="50" applyFont="1" applyFill="1" applyAlignment="1">
      <alignment vertical="center"/>
    </xf>
    <xf numFmtId="0" fontId="42" fillId="12" borderId="0" xfId="50" applyFont="1" applyFill="1" applyAlignment="1">
      <alignment vertical="center"/>
    </xf>
    <xf numFmtId="0" fontId="42" fillId="12" borderId="0" xfId="50" applyFont="1" applyFill="1" applyAlignment="1">
      <alignment horizontal="left" vertical="center"/>
    </xf>
    <xf numFmtId="0" fontId="73" fillId="12" borderId="0" xfId="50" applyFont="1" applyFill="1" applyAlignment="1">
      <alignment vertical="center"/>
    </xf>
    <xf numFmtId="0" fontId="42" fillId="15" borderId="0" xfId="50" applyFont="1" applyFill="1" applyAlignment="1">
      <alignment horizontal="left" vertical="center"/>
    </xf>
    <xf numFmtId="0" fontId="73" fillId="15" borderId="0" xfId="50" applyFont="1" applyFill="1" applyAlignment="1">
      <alignment vertical="center"/>
    </xf>
    <xf numFmtId="0" fontId="30" fillId="24" borderId="0" xfId="50" applyFont="1" applyFill="1" applyAlignment="1">
      <alignment vertical="center"/>
    </xf>
    <xf numFmtId="0" fontId="42" fillId="24" borderId="0" xfId="50" applyFont="1" applyFill="1" applyAlignment="1">
      <alignment vertical="center"/>
    </xf>
    <xf numFmtId="0" fontId="42" fillId="24" borderId="0" xfId="50" applyFont="1" applyFill="1" applyAlignment="1">
      <alignment horizontal="left" vertical="center"/>
    </xf>
    <xf numFmtId="0" fontId="73" fillId="24" borderId="0" xfId="50" applyFont="1" applyFill="1" applyAlignment="1">
      <alignment vertical="center"/>
    </xf>
    <xf numFmtId="0" fontId="73" fillId="0" borderId="0" xfId="50" applyFont="1" applyAlignment="1">
      <alignment horizontal="left" vertical="center"/>
    </xf>
    <xf numFmtId="0" fontId="73" fillId="23" borderId="0" xfId="50" applyFont="1" applyFill="1" applyAlignment="1">
      <alignment horizontal="left" vertical="center"/>
    </xf>
    <xf numFmtId="0" fontId="73" fillId="12" borderId="0" xfId="50" applyFont="1" applyFill="1" applyAlignment="1">
      <alignment horizontal="left" vertical="center"/>
    </xf>
    <xf numFmtId="0" fontId="73" fillId="24" borderId="0" xfId="50" applyFont="1" applyFill="1" applyAlignment="1">
      <alignment horizontal="left" vertical="center"/>
    </xf>
    <xf numFmtId="0" fontId="73" fillId="15" borderId="0" xfId="50" applyFont="1" applyFill="1" applyAlignment="1">
      <alignment horizontal="left" vertical="center"/>
    </xf>
    <xf numFmtId="0" fontId="73" fillId="25" borderId="0" xfId="50" applyFont="1" applyFill="1" applyAlignment="1">
      <alignment horizontal="left" vertical="center"/>
    </xf>
    <xf numFmtId="0" fontId="73" fillId="25" borderId="0" xfId="50" applyFont="1" applyFill="1" applyAlignment="1">
      <alignment vertical="center"/>
    </xf>
    <xf numFmtId="0" fontId="42" fillId="25" borderId="0" xfId="50" applyFont="1" applyFill="1" applyAlignment="1">
      <alignment vertical="center"/>
    </xf>
    <xf numFmtId="0" fontId="42" fillId="25" borderId="0" xfId="50" applyFont="1" applyFill="1" applyAlignment="1">
      <alignment horizontal="left" vertical="center"/>
    </xf>
    <xf numFmtId="0" fontId="42" fillId="26" borderId="0" xfId="50" applyFont="1" applyFill="1" applyAlignment="1">
      <alignment horizontal="left" vertical="center"/>
    </xf>
    <xf numFmtId="0" fontId="42" fillId="26" borderId="0" xfId="50" applyFont="1" applyFill="1" applyAlignment="1">
      <alignment vertical="center"/>
    </xf>
    <xf numFmtId="0" fontId="42" fillId="23" borderId="77" xfId="50" applyFont="1" applyFill="1" applyBorder="1" applyAlignment="1">
      <alignment horizontal="left" vertical="center"/>
    </xf>
    <xf numFmtId="0" fontId="42" fillId="23" borderId="77" xfId="50" applyFont="1" applyFill="1" applyBorder="1" applyAlignment="1">
      <alignment vertical="center"/>
    </xf>
    <xf numFmtId="0" fontId="42" fillId="26" borderId="77" xfId="50" applyFont="1" applyFill="1" applyBorder="1" applyAlignment="1">
      <alignment vertical="center"/>
    </xf>
    <xf numFmtId="0" fontId="42" fillId="26" borderId="77" xfId="50" applyFont="1" applyFill="1" applyBorder="1" applyAlignment="1">
      <alignment horizontal="left" vertical="center"/>
    </xf>
    <xf numFmtId="0" fontId="42" fillId="12" borderId="77" xfId="50" applyFont="1" applyFill="1" applyBorder="1" applyAlignment="1">
      <alignment vertical="center"/>
    </xf>
    <xf numFmtId="0" fontId="73" fillId="25" borderId="0" xfId="50" applyFont="1" applyFill="1" applyAlignment="1">
      <alignment horizontal="center" vertical="center"/>
    </xf>
    <xf numFmtId="0" fontId="73" fillId="25" borderId="77" xfId="50" applyFont="1" applyFill="1" applyBorder="1" applyAlignment="1">
      <alignment vertical="center"/>
    </xf>
    <xf numFmtId="0" fontId="73" fillId="25" borderId="77" xfId="50" applyFont="1" applyFill="1" applyBorder="1" applyAlignment="1">
      <alignment horizontal="center" vertical="center"/>
    </xf>
    <xf numFmtId="0" fontId="42" fillId="25" borderId="77" xfId="50" applyFont="1" applyFill="1" applyBorder="1" applyAlignment="1">
      <alignment vertical="center"/>
    </xf>
    <xf numFmtId="0" fontId="42" fillId="12" borderId="77" xfId="50" applyFont="1" applyFill="1" applyBorder="1" applyAlignment="1">
      <alignment horizontal="left" vertical="center"/>
    </xf>
    <xf numFmtId="0" fontId="42" fillId="24" borderId="77" xfId="50" applyFont="1" applyFill="1" applyBorder="1" applyAlignment="1">
      <alignment horizontal="left" vertical="center"/>
    </xf>
    <xf numFmtId="0" fontId="42" fillId="24" borderId="77" xfId="50" applyFont="1" applyFill="1" applyBorder="1" applyAlignment="1">
      <alignment vertical="center"/>
    </xf>
    <xf numFmtId="0" fontId="73" fillId="15" borderId="0" xfId="50" applyFont="1" applyFill="1" applyAlignment="1">
      <alignment horizontal="left" vertical="center" wrapText="1"/>
    </xf>
    <xf numFmtId="0" fontId="73" fillId="27" borderId="0" xfId="50" applyFont="1" applyFill="1" applyAlignment="1">
      <alignment vertical="center"/>
    </xf>
    <xf numFmtId="0" fontId="42" fillId="27" borderId="0" xfId="50" applyFont="1" applyFill="1" applyAlignment="1">
      <alignment vertical="center"/>
    </xf>
    <xf numFmtId="0" fontId="42" fillId="27" borderId="0" xfId="50" applyFont="1" applyFill="1" applyAlignment="1">
      <alignment horizontal="left" vertical="center"/>
    </xf>
    <xf numFmtId="0" fontId="42" fillId="27" borderId="77" xfId="50" applyFont="1" applyFill="1" applyBorder="1" applyAlignment="1">
      <alignment vertical="center"/>
    </xf>
    <xf numFmtId="0" fontId="73" fillId="27" borderId="0" xfId="50" applyFont="1" applyFill="1" applyAlignment="1">
      <alignment horizontal="left" vertical="center"/>
    </xf>
    <xf numFmtId="0" fontId="74" fillId="26" borderId="0" xfId="50" applyFont="1" applyFill="1" applyAlignment="1">
      <alignment horizontal="left" vertical="center"/>
    </xf>
    <xf numFmtId="0" fontId="74" fillId="26" borderId="0" xfId="50" applyFont="1" applyFill="1" applyAlignment="1">
      <alignment vertical="center"/>
    </xf>
    <xf numFmtId="0" fontId="73" fillId="0" borderId="0" xfId="50" applyFont="1" applyAlignment="1">
      <alignment horizontal="left" vertical="center" wrapText="1"/>
    </xf>
    <xf numFmtId="0" fontId="76" fillId="8" borderId="0" xfId="51"/>
    <xf numFmtId="0" fontId="77" fillId="8" borderId="78" xfId="52" applyFont="1" applyFill="1" applyBorder="1"/>
    <xf numFmtId="0" fontId="55" fillId="0" borderId="0" xfId="52"/>
    <xf numFmtId="0" fontId="77" fillId="8" borderId="0" xfId="52" applyFont="1" applyFill="1"/>
    <xf numFmtId="0" fontId="55" fillId="8" borderId="0" xfId="52" applyFill="1"/>
    <xf numFmtId="0" fontId="55" fillId="5" borderId="0" xfId="52" applyFill="1"/>
    <xf numFmtId="0" fontId="55" fillId="5" borderId="0" xfId="52" applyFill="1" applyAlignment="1">
      <alignment vertical="center"/>
    </xf>
    <xf numFmtId="0" fontId="0" fillId="5" borderId="0" xfId="0" applyFill="1"/>
    <xf numFmtId="0" fontId="79" fillId="5" borderId="0" xfId="0" applyFont="1" applyFill="1" applyAlignment="1">
      <alignment vertical="top"/>
    </xf>
    <xf numFmtId="0" fontId="80" fillId="5" borderId="0" xfId="0" applyFont="1" applyFill="1" applyAlignment="1">
      <alignment vertical="top"/>
    </xf>
    <xf numFmtId="0" fontId="81" fillId="8" borderId="0" xfId="54"/>
    <xf numFmtId="0" fontId="78" fillId="5" borderId="0" xfId="53" applyFill="1"/>
    <xf numFmtId="0" fontId="85" fillId="32" borderId="0" xfId="0" applyFont="1" applyFill="1" applyAlignment="1">
      <alignment horizontal="left" vertical="center"/>
    </xf>
    <xf numFmtId="0" fontId="85" fillId="32" borderId="0" xfId="0" applyFont="1" applyFill="1" applyAlignment="1">
      <alignment horizontal="right" vertical="center"/>
    </xf>
    <xf numFmtId="0" fontId="86" fillId="5" borderId="0" xfId="0" applyFont="1" applyFill="1" applyAlignment="1">
      <alignment horizontal="left" vertical="center"/>
    </xf>
    <xf numFmtId="168" fontId="55" fillId="5" borderId="0" xfId="62" applyFont="1" applyFill="1">
      <alignment vertical="top"/>
    </xf>
    <xf numFmtId="168" fontId="55" fillId="5" borderId="0" xfId="62" applyFont="1" applyFill="1" applyBorder="1">
      <alignment vertical="top"/>
    </xf>
    <xf numFmtId="168" fontId="4" fillId="5" borderId="0" xfId="62" applyFont="1" applyFill="1" applyBorder="1">
      <alignment vertical="top"/>
    </xf>
    <xf numFmtId="168" fontId="55" fillId="0" borderId="0" xfId="62" applyFont="1">
      <alignment vertical="top"/>
    </xf>
    <xf numFmtId="0" fontId="9" fillId="9" borderId="0" xfId="63" applyNumberFormat="1" applyFill="1">
      <alignment vertical="top"/>
    </xf>
    <xf numFmtId="0" fontId="87" fillId="9" borderId="0" xfId="64" applyFill="1">
      <alignment vertical="top"/>
    </xf>
    <xf numFmtId="0" fontId="88" fillId="9" borderId="0" xfId="64" applyFont="1" applyFill="1">
      <alignment vertical="top"/>
    </xf>
    <xf numFmtId="0" fontId="4" fillId="9" borderId="0" xfId="65" applyFill="1" applyAlignment="1">
      <alignment horizontal="left" vertical="top"/>
    </xf>
    <xf numFmtId="0" fontId="4" fillId="9" borderId="0" xfId="0" applyFont="1" applyFill="1" applyAlignment="1">
      <alignment vertical="top"/>
    </xf>
    <xf numFmtId="0" fontId="89" fillId="5" borderId="0" xfId="0" applyFont="1" applyFill="1" applyAlignment="1">
      <alignment horizontal="left" vertical="center" wrapText="1"/>
    </xf>
    <xf numFmtId="168" fontId="55" fillId="0" borderId="0" xfId="62">
      <alignment vertical="top"/>
    </xf>
    <xf numFmtId="0" fontId="90" fillId="9" borderId="13" xfId="0" applyFont="1" applyFill="1" applyBorder="1" applyAlignment="1">
      <alignment horizontal="left" vertical="center" wrapText="1"/>
    </xf>
    <xf numFmtId="0" fontId="89" fillId="36" borderId="13" xfId="0" applyFont="1" applyFill="1" applyBorder="1" applyAlignment="1">
      <alignment horizontal="left" vertical="center" wrapText="1"/>
    </xf>
    <xf numFmtId="0" fontId="89" fillId="5" borderId="79" xfId="0" applyFont="1" applyFill="1" applyBorder="1" applyAlignment="1">
      <alignment horizontal="left" vertical="center" wrapText="1"/>
    </xf>
    <xf numFmtId="0" fontId="89" fillId="5" borderId="80" xfId="0" applyFont="1" applyFill="1" applyBorder="1" applyAlignment="1">
      <alignment horizontal="left" vertical="center" wrapText="1"/>
    </xf>
    <xf numFmtId="0" fontId="89" fillId="5" borderId="81" xfId="0" applyFont="1" applyFill="1" applyBorder="1" applyAlignment="1">
      <alignment horizontal="left" vertical="center" wrapText="1"/>
    </xf>
    <xf numFmtId="0" fontId="89" fillId="5" borderId="14" xfId="0" applyFont="1" applyFill="1" applyBorder="1" applyAlignment="1">
      <alignment horizontal="left" vertical="center" wrapText="1"/>
    </xf>
    <xf numFmtId="0" fontId="89" fillId="5" borderId="82" xfId="0" applyFont="1" applyFill="1" applyBorder="1" applyAlignment="1">
      <alignment horizontal="left" vertical="center" wrapText="1"/>
    </xf>
    <xf numFmtId="0" fontId="89" fillId="0" borderId="81" xfId="0" applyFont="1" applyBorder="1" applyAlignment="1">
      <alignment horizontal="left" vertical="center" wrapText="1"/>
    </xf>
    <xf numFmtId="168" fontId="91" fillId="37" borderId="0" xfId="52" applyNumberFormat="1" applyFont="1" applyFill="1" applyAlignment="1">
      <alignment horizontal="left" vertical="center"/>
    </xf>
    <xf numFmtId="0" fontId="91" fillId="0" borderId="0" xfId="52" applyFont="1" applyAlignment="1">
      <alignment horizontal="left" vertical="center"/>
    </xf>
    <xf numFmtId="0" fontId="92" fillId="0" borderId="0" xfId="0" applyFont="1" applyAlignment="1">
      <alignment horizontal="left" vertical="center"/>
    </xf>
    <xf numFmtId="0" fontId="55" fillId="5" borderId="0" xfId="0" applyFont="1" applyFill="1" applyAlignment="1">
      <alignment vertical="center"/>
    </xf>
    <xf numFmtId="0" fontId="87" fillId="10" borderId="0" xfId="64" applyFill="1" applyAlignment="1">
      <alignment horizontal="left" vertical="center"/>
    </xf>
    <xf numFmtId="0" fontId="4" fillId="10" borderId="0" xfId="65" applyFill="1" applyAlignment="1">
      <alignment horizontal="left" vertical="center"/>
    </xf>
    <xf numFmtId="0" fontId="4" fillId="10" borderId="0" xfId="0" applyFont="1" applyFill="1" applyAlignment="1">
      <alignment horizontal="left" vertical="center"/>
    </xf>
    <xf numFmtId="0" fontId="4" fillId="0" borderId="0" xfId="0" applyFont="1" applyAlignment="1">
      <alignment horizontal="left" vertical="center"/>
    </xf>
    <xf numFmtId="0" fontId="55" fillId="5" borderId="0" xfId="0" applyFont="1" applyFill="1"/>
    <xf numFmtId="0" fontId="55" fillId="0" borderId="0" xfId="0" applyFont="1"/>
    <xf numFmtId="0" fontId="93" fillId="5" borderId="0" xfId="0" applyFont="1" applyFill="1"/>
    <xf numFmtId="0" fontId="94" fillId="5" borderId="0" xfId="0" applyFont="1" applyFill="1"/>
    <xf numFmtId="0" fontId="95" fillId="5" borderId="0" xfId="0" applyFont="1" applyFill="1"/>
    <xf numFmtId="3" fontId="75" fillId="5" borderId="0" xfId="0" applyNumberFormat="1" applyFont="1" applyFill="1" applyAlignment="1">
      <alignment horizontal="center" vertical="center"/>
    </xf>
    <xf numFmtId="168" fontId="91" fillId="37" borderId="0" xfId="52" applyNumberFormat="1" applyFont="1" applyFill="1" applyAlignment="1" applyProtection="1">
      <alignment horizontal="left" vertical="center"/>
      <protection locked="0"/>
    </xf>
    <xf numFmtId="0" fontId="55" fillId="5" borderId="0" xfId="0" applyFont="1" applyFill="1" applyAlignment="1" applyProtection="1">
      <alignment vertical="center"/>
      <protection locked="0"/>
    </xf>
    <xf numFmtId="0" fontId="55" fillId="5" borderId="0" xfId="0" applyFont="1" applyFill="1" applyProtection="1">
      <protection locked="0"/>
    </xf>
    <xf numFmtId="0" fontId="95" fillId="5" borderId="0" xfId="0" applyFont="1" applyFill="1" applyAlignment="1">
      <alignment vertical="center"/>
    </xf>
    <xf numFmtId="0" fontId="55" fillId="5" borderId="0" xfId="0" applyFont="1" applyFill="1" applyAlignment="1">
      <alignment horizontal="left"/>
    </xf>
    <xf numFmtId="0" fontId="55" fillId="5" borderId="0" xfId="0" applyFont="1" applyFill="1" applyAlignment="1" applyProtection="1">
      <alignment horizontal="left"/>
      <protection locked="0"/>
    </xf>
    <xf numFmtId="0" fontId="55" fillId="0" borderId="0" xfId="0" applyFont="1" applyAlignment="1">
      <alignment vertical="center"/>
    </xf>
    <xf numFmtId="0" fontId="55" fillId="0" borderId="0" xfId="0" applyFont="1" applyAlignment="1" applyProtection="1">
      <alignment vertical="center"/>
      <protection locked="0"/>
    </xf>
    <xf numFmtId="0" fontId="87" fillId="9" borderId="0" xfId="64" applyFill="1" applyProtection="1">
      <alignment vertical="top"/>
    </xf>
    <xf numFmtId="0" fontId="88" fillId="9" borderId="0" xfId="64" applyFont="1" applyFill="1" applyProtection="1">
      <alignment vertical="top"/>
    </xf>
    <xf numFmtId="0" fontId="4" fillId="9" borderId="0" xfId="65" applyFill="1" applyAlignment="1" applyProtection="1">
      <alignment horizontal="left" vertical="top"/>
    </xf>
    <xf numFmtId="0" fontId="4" fillId="9" borderId="0" xfId="0" applyFont="1" applyFill="1" applyAlignment="1" applyProtection="1">
      <alignment vertical="top"/>
      <protection locked="0"/>
    </xf>
    <xf numFmtId="0" fontId="55" fillId="5" borderId="0" xfId="0" applyFont="1" applyFill="1" applyAlignment="1">
      <alignment horizontal="right" vertical="center"/>
    </xf>
    <xf numFmtId="0" fontId="96" fillId="5" borderId="0" xfId="0" applyFont="1" applyFill="1" applyAlignment="1">
      <alignment horizontal="left" vertical="center"/>
    </xf>
    <xf numFmtId="0" fontId="4" fillId="5" borderId="0" xfId="0" applyFont="1" applyFill="1" applyAlignment="1">
      <alignment vertical="center"/>
    </xf>
    <xf numFmtId="0" fontId="97" fillId="5" borderId="0" xfId="0" applyFont="1" applyFill="1" applyAlignment="1">
      <alignment vertical="center"/>
    </xf>
    <xf numFmtId="0" fontId="97" fillId="5" borderId="0" xfId="0" applyFont="1" applyFill="1" applyAlignment="1">
      <alignment horizontal="left"/>
    </xf>
    <xf numFmtId="0" fontId="63" fillId="5" borderId="0" xfId="0" applyFont="1" applyFill="1" applyAlignment="1">
      <alignment vertical="center"/>
    </xf>
    <xf numFmtId="0" fontId="91" fillId="8" borderId="0" xfId="0" applyFont="1" applyFill="1" applyAlignment="1">
      <alignment horizontal="left" vertical="center"/>
    </xf>
    <xf numFmtId="0" fontId="91" fillId="0" borderId="0" xfId="0" applyFont="1" applyAlignment="1">
      <alignment horizontal="left" vertical="center"/>
    </xf>
    <xf numFmtId="0" fontId="4" fillId="5" borderId="0" xfId="0" applyFont="1" applyFill="1" applyAlignment="1">
      <alignment vertical="top"/>
    </xf>
    <xf numFmtId="165" fontId="55" fillId="5" borderId="0" xfId="0" applyNumberFormat="1" applyFont="1" applyFill="1"/>
    <xf numFmtId="0" fontId="97" fillId="5" borderId="0" xfId="0" applyFont="1" applyFill="1"/>
    <xf numFmtId="0" fontId="98" fillId="5" borderId="0" xfId="0" applyFont="1" applyFill="1"/>
    <xf numFmtId="0" fontId="92" fillId="32" borderId="0" xfId="0" applyFont="1" applyFill="1" applyAlignment="1">
      <alignment horizontal="left" vertical="center"/>
    </xf>
    <xf numFmtId="0" fontId="99" fillId="32" borderId="0" xfId="64" applyFont="1" applyFill="1" applyAlignment="1">
      <alignment horizontal="left" vertical="center"/>
    </xf>
    <xf numFmtId="0" fontId="100" fillId="32" borderId="0" xfId="65" applyFont="1" applyFill="1" applyAlignment="1">
      <alignment horizontal="left" vertical="center"/>
    </xf>
    <xf numFmtId="165" fontId="92" fillId="0" borderId="0" xfId="0" applyNumberFormat="1" applyFont="1" applyAlignment="1">
      <alignment horizontal="left" vertical="center"/>
    </xf>
    <xf numFmtId="0" fontId="55" fillId="5" borderId="0" xfId="0" applyFont="1" applyFill="1" applyAlignment="1">
      <alignment horizontal="left" vertical="center"/>
    </xf>
    <xf numFmtId="0" fontId="101" fillId="0" borderId="0" xfId="0" applyFont="1"/>
    <xf numFmtId="0" fontId="102" fillId="8" borderId="0" xfId="64" applyFont="1" applyFill="1" applyAlignment="1">
      <alignment horizontal="left" vertical="center"/>
    </xf>
    <xf numFmtId="0" fontId="86" fillId="8" borderId="0" xfId="65" applyFont="1" applyFill="1" applyAlignment="1">
      <alignment horizontal="left" vertical="center"/>
    </xf>
    <xf numFmtId="0" fontId="103" fillId="8" borderId="0" xfId="0" applyFont="1" applyFill="1" applyAlignment="1">
      <alignment horizontal="left" vertical="center"/>
    </xf>
    <xf numFmtId="0" fontId="103" fillId="0" borderId="0" xfId="0" applyFont="1" applyAlignment="1">
      <alignment horizontal="left" vertical="center"/>
    </xf>
    <xf numFmtId="0" fontId="53" fillId="8" borderId="0" xfId="66" applyNumberFormat="1" applyAlignment="1"/>
    <xf numFmtId="0" fontId="86" fillId="32" borderId="0" xfId="0" applyFont="1" applyFill="1" applyAlignment="1">
      <alignment horizontal="left" vertical="center"/>
    </xf>
    <xf numFmtId="0" fontId="90" fillId="9" borderId="13" xfId="0" applyFont="1" applyFill="1" applyBorder="1" applyAlignment="1">
      <alignment horizontal="right" vertical="center" wrapText="1"/>
    </xf>
    <xf numFmtId="0" fontId="89" fillId="36" borderId="13" xfId="0" applyFont="1" applyFill="1" applyBorder="1" applyAlignment="1">
      <alignment horizontal="right" vertical="center" wrapText="1"/>
    </xf>
    <xf numFmtId="0" fontId="51" fillId="8" borderId="0" xfId="42" applyFont="1" applyFill="1" applyAlignment="1">
      <alignment horizontal="right" vertical="center"/>
    </xf>
    <xf numFmtId="0" fontId="53" fillId="8" borderId="0" xfId="42" applyFont="1" applyFill="1" applyAlignment="1">
      <alignment horizontal="right" vertical="center"/>
    </xf>
    <xf numFmtId="0" fontId="33" fillId="23" borderId="0" xfId="50" applyFont="1" applyFill="1" applyAlignment="1">
      <alignment horizontal="left" vertical="center"/>
    </xf>
    <xf numFmtId="0" fontId="105" fillId="42" borderId="0" xfId="50" applyFont="1" applyFill="1" applyAlignment="1">
      <alignment horizontal="left" vertical="center"/>
    </xf>
    <xf numFmtId="0" fontId="105" fillId="42" borderId="77" xfId="50" applyFont="1" applyFill="1" applyBorder="1" applyAlignment="1">
      <alignment horizontal="left" vertical="center"/>
    </xf>
    <xf numFmtId="10" fontId="29" fillId="0" borderId="0" xfId="0" applyNumberFormat="1" applyFont="1" applyAlignment="1">
      <alignment vertical="center"/>
    </xf>
    <xf numFmtId="0" fontId="29" fillId="5" borderId="0" xfId="0" applyFont="1" applyFill="1" applyAlignment="1">
      <alignment vertical="center" wrapText="1"/>
    </xf>
    <xf numFmtId="0" fontId="89" fillId="36" borderId="13" xfId="0" quotePrefix="1" applyFont="1" applyFill="1" applyBorder="1" applyAlignment="1">
      <alignment horizontal="left" vertical="center" wrapText="1"/>
    </xf>
    <xf numFmtId="0" fontId="29" fillId="5" borderId="0" xfId="0" applyFont="1" applyFill="1" applyAlignment="1">
      <alignment vertical="center"/>
    </xf>
    <xf numFmtId="0" fontId="4" fillId="5" borderId="0" xfId="0" applyFont="1" applyFill="1" applyAlignment="1" applyProtection="1">
      <alignment vertical="center"/>
      <protection locked="0"/>
    </xf>
    <xf numFmtId="168" fontId="91" fillId="5" borderId="0" xfId="52" applyNumberFormat="1" applyFont="1" applyFill="1" applyAlignment="1" applyProtection="1">
      <alignment horizontal="left" vertical="center"/>
      <protection locked="0"/>
    </xf>
    <xf numFmtId="0" fontId="96" fillId="5" borderId="0" xfId="0" applyFont="1" applyFill="1" applyAlignment="1" applyProtection="1">
      <alignment horizontal="left" vertical="center"/>
      <protection locked="0"/>
    </xf>
    <xf numFmtId="168" fontId="91" fillId="5" borderId="0" xfId="52" applyNumberFormat="1" applyFont="1" applyFill="1" applyAlignment="1">
      <alignment horizontal="left" vertical="center"/>
    </xf>
    <xf numFmtId="0" fontId="105" fillId="43" borderId="0" xfId="50" applyFont="1" applyFill="1" applyAlignment="1">
      <alignment horizontal="left" vertical="center"/>
    </xf>
    <xf numFmtId="165" fontId="40" fillId="5" borderId="0" xfId="0" applyNumberFormat="1" applyFont="1" applyFill="1" applyAlignment="1">
      <alignment horizontal="center" vertical="center" wrapText="1"/>
    </xf>
    <xf numFmtId="0" fontId="46" fillId="5" borderId="0" xfId="0" applyFont="1" applyFill="1" applyAlignment="1">
      <alignment horizontal="center" vertical="center" wrapText="1"/>
    </xf>
    <xf numFmtId="169" fontId="40" fillId="5" borderId="0" xfId="0" applyNumberFormat="1" applyFont="1" applyFill="1" applyAlignment="1">
      <alignment horizontal="center" vertical="center" wrapText="1"/>
    </xf>
    <xf numFmtId="10" fontId="46" fillId="5" borderId="0" xfId="0" applyNumberFormat="1" applyFont="1" applyFill="1" applyAlignment="1">
      <alignment horizontal="center" vertical="center" wrapText="1"/>
    </xf>
    <xf numFmtId="9" fontId="46" fillId="5" borderId="0" xfId="35" applyFont="1" applyFill="1" applyBorder="1" applyAlignment="1">
      <alignment horizontal="center" vertical="center" wrapText="1"/>
    </xf>
    <xf numFmtId="165" fontId="46" fillId="5" borderId="0" xfId="0" applyNumberFormat="1" applyFont="1" applyFill="1" applyAlignment="1">
      <alignment horizontal="center" vertical="center" wrapText="1"/>
    </xf>
    <xf numFmtId="0" fontId="37" fillId="0" borderId="0" xfId="0" applyFont="1" applyAlignment="1">
      <alignment horizontal="right" vertical="center"/>
    </xf>
    <xf numFmtId="165" fontId="33" fillId="5" borderId="0" xfId="0" applyNumberFormat="1" applyFont="1" applyFill="1" applyAlignment="1">
      <alignment horizontal="center" vertical="center" wrapText="1"/>
    </xf>
    <xf numFmtId="165" fontId="40" fillId="7" borderId="0" xfId="0" applyNumberFormat="1" applyFont="1" applyFill="1" applyAlignment="1">
      <alignment horizontal="center" vertical="center" wrapText="1"/>
    </xf>
    <xf numFmtId="0" fontId="44" fillId="5" borderId="19" xfId="0" applyFont="1" applyFill="1" applyBorder="1" applyAlignment="1">
      <alignment vertical="center"/>
    </xf>
    <xf numFmtId="0" fontId="37" fillId="5" borderId="19" xfId="0" applyFont="1" applyFill="1" applyBorder="1" applyAlignment="1">
      <alignment horizontal="left" vertical="center"/>
    </xf>
    <xf numFmtId="0" fontId="31" fillId="13" borderId="88" xfId="15" applyFont="1" applyFill="1" applyBorder="1" applyAlignment="1">
      <alignment vertical="center"/>
    </xf>
    <xf numFmtId="0" fontId="53" fillId="8" borderId="0" xfId="0" applyFont="1" applyFill="1" applyAlignment="1">
      <alignment horizontal="right" vertical="center"/>
    </xf>
    <xf numFmtId="0" fontId="30" fillId="0" borderId="0" xfId="0" applyFont="1" applyAlignment="1">
      <alignment vertical="center"/>
    </xf>
    <xf numFmtId="0" fontId="0" fillId="5" borderId="0" xfId="0" applyFill="1" applyAlignment="1">
      <alignment vertical="center"/>
    </xf>
    <xf numFmtId="0" fontId="110" fillId="5" borderId="89" xfId="0" applyFont="1" applyFill="1" applyBorder="1" applyAlignment="1">
      <alignment horizontal="center" vertical="center" textRotation="90" wrapText="1"/>
    </xf>
    <xf numFmtId="0" fontId="111" fillId="0" borderId="0" xfId="0" applyFont="1" applyAlignment="1">
      <alignment horizontal="center" vertical="center"/>
    </xf>
    <xf numFmtId="0" fontId="111" fillId="5" borderId="0" xfId="0" applyFont="1" applyFill="1" applyAlignment="1">
      <alignment horizontal="center" vertical="center"/>
    </xf>
    <xf numFmtId="0" fontId="111" fillId="5" borderId="0" xfId="0" applyFont="1" applyFill="1" applyAlignment="1">
      <alignment vertical="center"/>
    </xf>
    <xf numFmtId="0" fontId="112" fillId="5" borderId="0" xfId="0" applyFont="1" applyFill="1"/>
    <xf numFmtId="0" fontId="112" fillId="5" borderId="0" xfId="0" applyFont="1" applyFill="1" applyAlignment="1">
      <alignment vertical="center"/>
    </xf>
    <xf numFmtId="0" fontId="113" fillId="5" borderId="0" xfId="16" applyFont="1" applyFill="1" applyAlignment="1">
      <alignment horizontal="center" vertical="center" wrapText="1"/>
    </xf>
    <xf numFmtId="0" fontId="110" fillId="5" borderId="0" xfId="0" applyFont="1" applyFill="1" applyAlignment="1">
      <alignment horizontal="center" vertical="center" wrapText="1"/>
    </xf>
    <xf numFmtId="0" fontId="113" fillId="5" borderId="0" xfId="29" applyFont="1" applyFill="1" applyBorder="1" applyAlignment="1">
      <alignment vertical="center" wrapText="1"/>
    </xf>
    <xf numFmtId="165" fontId="110" fillId="5" borderId="0" xfId="0" applyNumberFormat="1" applyFont="1" applyFill="1"/>
    <xf numFmtId="0" fontId="40" fillId="0" borderId="90" xfId="0" applyFont="1" applyBorder="1" applyAlignment="1">
      <alignment horizontal="left" vertical="center" wrapText="1"/>
    </xf>
    <xf numFmtId="0" fontId="33" fillId="7" borderId="90" xfId="0" applyFont="1" applyFill="1" applyBorder="1" applyAlignment="1">
      <alignment horizontal="center" vertical="center" wrapText="1"/>
    </xf>
    <xf numFmtId="0" fontId="40" fillId="7" borderId="90" xfId="0" applyFont="1" applyFill="1" applyBorder="1" applyAlignment="1">
      <alignment horizontal="center" vertical="center" wrapText="1"/>
    </xf>
    <xf numFmtId="0" fontId="40" fillId="0" borderId="90" xfId="0" quotePrefix="1" applyFont="1" applyBorder="1" applyAlignment="1">
      <alignment horizontal="left" vertical="center" wrapText="1"/>
    </xf>
    <xf numFmtId="0" fontId="41" fillId="0" borderId="90" xfId="29" applyFont="1" applyBorder="1" applyAlignment="1">
      <alignment horizontal="center" vertical="center" wrapText="1"/>
    </xf>
    <xf numFmtId="0" fontId="40" fillId="0" borderId="90" xfId="0" applyFont="1" applyBorder="1" applyAlignment="1">
      <alignment horizontal="center" vertical="center" wrapText="1"/>
    </xf>
    <xf numFmtId="0" fontId="30" fillId="5" borderId="0" xfId="0" applyFont="1" applyFill="1" applyAlignment="1">
      <alignment vertical="center"/>
    </xf>
    <xf numFmtId="0" fontId="31" fillId="13" borderId="0" xfId="28" applyFont="1" applyFill="1" applyBorder="1" applyAlignment="1">
      <alignment vertical="center"/>
    </xf>
    <xf numFmtId="0" fontId="114" fillId="13" borderId="0" xfId="0" applyFont="1" applyFill="1" applyAlignment="1">
      <alignment vertical="center" wrapText="1"/>
    </xf>
    <xf numFmtId="0" fontId="43" fillId="13" borderId="0" xfId="29" applyFont="1" applyFill="1" applyBorder="1" applyAlignment="1">
      <alignment vertical="center" wrapText="1"/>
    </xf>
    <xf numFmtId="0" fontId="108" fillId="13" borderId="0" xfId="0" applyFont="1" applyFill="1" applyAlignment="1">
      <alignment vertical="center"/>
    </xf>
    <xf numFmtId="0" fontId="110" fillId="5" borderId="90" xfId="0" applyFont="1" applyFill="1" applyBorder="1" applyAlignment="1">
      <alignment horizontal="center" vertical="center" textRotation="90" wrapText="1"/>
    </xf>
    <xf numFmtId="0" fontId="61" fillId="0" borderId="90" xfId="0" applyFont="1" applyBorder="1" applyAlignment="1">
      <alignment horizontal="center" vertical="center"/>
    </xf>
    <xf numFmtId="0" fontId="43" fillId="13" borderId="0" xfId="29" applyFont="1" applyFill="1" applyBorder="1" applyAlignment="1">
      <alignment horizontal="left" vertical="center" wrapText="1"/>
    </xf>
    <xf numFmtId="0" fontId="33" fillId="0" borderId="90" xfId="0" applyFont="1" applyBorder="1" applyAlignment="1">
      <alignment horizontal="center" vertical="center"/>
    </xf>
    <xf numFmtId="0" fontId="115" fillId="13" borderId="0" xfId="29" applyFont="1" applyFill="1" applyBorder="1" applyAlignment="1">
      <alignment horizontal="left" vertical="center" wrapText="1"/>
    </xf>
    <xf numFmtId="0" fontId="33" fillId="0" borderId="90" xfId="0" applyFont="1" applyBorder="1" applyAlignment="1">
      <alignment vertical="center"/>
    </xf>
    <xf numFmtId="0" fontId="116" fillId="13" borderId="0" xfId="0" applyFont="1" applyFill="1" applyAlignment="1">
      <alignment vertical="center"/>
    </xf>
    <xf numFmtId="0" fontId="40" fillId="0" borderId="90" xfId="0" quotePrefix="1" applyFont="1" applyBorder="1" applyAlignment="1">
      <alignment horizontal="center" vertical="center" wrapText="1"/>
    </xf>
    <xf numFmtId="0" fontId="31" fillId="13" borderId="0" xfId="0" applyFont="1" applyFill="1" applyAlignment="1">
      <alignment horizontal="right" vertical="center"/>
    </xf>
    <xf numFmtId="0" fontId="40" fillId="0" borderId="90" xfId="0" applyFont="1" applyBorder="1" applyAlignment="1">
      <alignment vertical="center" wrapText="1"/>
    </xf>
    <xf numFmtId="0" fontId="110" fillId="14" borderId="90" xfId="0" applyFont="1" applyFill="1" applyBorder="1" applyAlignment="1">
      <alignment horizontal="left" vertical="center" wrapText="1"/>
    </xf>
    <xf numFmtId="0" fontId="110" fillId="14" borderId="90" xfId="0" applyFont="1" applyFill="1" applyBorder="1" applyAlignment="1">
      <alignment horizontal="center" vertical="center" wrapText="1"/>
    </xf>
    <xf numFmtId="2" fontId="46" fillId="5" borderId="0" xfId="0" applyNumberFormat="1" applyFont="1" applyFill="1" applyAlignment="1">
      <alignment horizontal="center" vertical="center" wrapText="1"/>
    </xf>
    <xf numFmtId="4" fontId="46" fillId="5" borderId="0" xfId="0" applyNumberFormat="1" applyFont="1" applyFill="1" applyAlignment="1">
      <alignment horizontal="center" vertical="center" wrapText="1"/>
    </xf>
    <xf numFmtId="0" fontId="117" fillId="13" borderId="0" xfId="0" applyFont="1" applyFill="1" applyAlignment="1">
      <alignment horizontal="right" vertical="center"/>
    </xf>
    <xf numFmtId="0" fontId="110" fillId="5" borderId="91" xfId="0" applyFont="1" applyFill="1" applyBorder="1" applyAlignment="1">
      <alignment horizontal="center" vertical="center" wrapText="1"/>
    </xf>
    <xf numFmtId="170" fontId="55" fillId="0" borderId="0" xfId="49" applyNumberFormat="1" applyFont="1" applyAlignment="1">
      <alignment horizontal="left"/>
    </xf>
    <xf numFmtId="0" fontId="108" fillId="5" borderId="0" xfId="0" applyFont="1" applyFill="1" applyAlignment="1">
      <alignment vertical="center"/>
    </xf>
    <xf numFmtId="0" fontId="105" fillId="5" borderId="0" xfId="29" applyFont="1" applyFill="1" applyBorder="1" applyAlignment="1">
      <alignment horizontal="center" vertical="center" wrapText="1"/>
    </xf>
    <xf numFmtId="0" fontId="41" fillId="5" borderId="0" xfId="29" applyFont="1" applyFill="1" applyBorder="1" applyAlignment="1">
      <alignment horizontal="center" vertical="center" wrapText="1"/>
    </xf>
    <xf numFmtId="0" fontId="31" fillId="13" borderId="0" xfId="28" applyFont="1" applyFill="1" applyBorder="1" applyAlignment="1">
      <alignment horizontal="left" vertical="center"/>
    </xf>
    <xf numFmtId="0" fontId="23" fillId="48" borderId="0" xfId="0" applyFont="1" applyFill="1" applyAlignment="1">
      <alignment vertical="center"/>
    </xf>
    <xf numFmtId="0" fontId="37" fillId="48" borderId="0" xfId="0" applyFont="1" applyFill="1" applyAlignment="1">
      <alignment vertical="center"/>
    </xf>
    <xf numFmtId="0" fontId="23" fillId="5" borderId="0" xfId="0" applyFont="1" applyFill="1" applyAlignment="1">
      <alignment vertical="center"/>
    </xf>
    <xf numFmtId="0" fontId="37" fillId="5" borderId="0" xfId="0" applyFont="1" applyFill="1" applyAlignment="1">
      <alignment vertical="center"/>
    </xf>
    <xf numFmtId="0" fontId="33" fillId="7" borderId="0" xfId="0" applyFont="1" applyFill="1" applyAlignment="1">
      <alignment vertical="center"/>
    </xf>
    <xf numFmtId="0" fontId="48" fillId="0" borderId="0" xfId="0" applyFont="1" applyAlignment="1">
      <alignment horizontal="right"/>
    </xf>
    <xf numFmtId="0" fontId="118" fillId="0" borderId="0" xfId="0" applyFont="1" applyAlignment="1">
      <alignment horizontal="right" vertical="center"/>
    </xf>
    <xf numFmtId="0" fontId="119" fillId="47" borderId="90" xfId="29" applyFont="1" applyFill="1" applyBorder="1" applyAlignment="1">
      <alignment horizontal="center" vertical="center" wrapText="1"/>
    </xf>
    <xf numFmtId="0" fontId="120" fillId="0" borderId="0" xfId="0" applyFont="1" applyAlignment="1">
      <alignment vertical="center"/>
    </xf>
    <xf numFmtId="0" fontId="48" fillId="48" borderId="0" xfId="0" applyFont="1" applyFill="1" applyAlignment="1">
      <alignment horizontal="center"/>
    </xf>
    <xf numFmtId="0" fontId="118" fillId="0" borderId="0" xfId="0" applyFont="1" applyAlignment="1">
      <alignment vertical="center"/>
    </xf>
    <xf numFmtId="0" fontId="33" fillId="5" borderId="0" xfId="29" applyFont="1" applyFill="1" applyBorder="1" applyAlignment="1">
      <alignment horizontal="left" vertical="center" wrapText="1"/>
    </xf>
    <xf numFmtId="0" fontId="110" fillId="0" borderId="90" xfId="0" applyFont="1" applyBorder="1" applyAlignment="1">
      <alignment horizontal="center" vertical="center" wrapText="1"/>
    </xf>
    <xf numFmtId="0" fontId="109" fillId="0" borderId="92" xfId="68" applyFont="1" applyBorder="1" applyAlignment="1" applyProtection="1">
      <alignment vertical="center"/>
    </xf>
    <xf numFmtId="0" fontId="109" fillId="0" borderId="92" xfId="68" applyFont="1" applyFill="1" applyBorder="1" applyAlignment="1" applyProtection="1">
      <alignment vertical="center"/>
    </xf>
    <xf numFmtId="0" fontId="34" fillId="0" borderId="92" xfId="68" applyFont="1" applyBorder="1" applyAlignment="1" applyProtection="1">
      <alignment horizontal="left" vertical="center"/>
    </xf>
    <xf numFmtId="0" fontId="105" fillId="46" borderId="92" xfId="0" applyFont="1" applyFill="1" applyBorder="1" applyAlignment="1">
      <alignment horizontal="center" vertical="center" wrapText="1"/>
    </xf>
    <xf numFmtId="0" fontId="118" fillId="5" borderId="0" xfId="0" applyFont="1" applyFill="1" applyAlignment="1">
      <alignment horizontal="right" vertical="center"/>
    </xf>
    <xf numFmtId="0" fontId="118" fillId="5" borderId="0" xfId="0" applyFont="1" applyFill="1" applyAlignment="1">
      <alignment vertical="center"/>
    </xf>
    <xf numFmtId="0" fontId="35" fillId="49" borderId="0" xfId="0" applyFont="1" applyFill="1" applyAlignment="1">
      <alignment vertical="center"/>
    </xf>
    <xf numFmtId="0" fontId="41" fillId="5" borderId="93" xfId="29" applyFont="1" applyFill="1" applyBorder="1" applyAlignment="1">
      <alignment horizontal="center" vertical="center" wrapText="1"/>
    </xf>
    <xf numFmtId="0" fontId="119" fillId="47" borderId="90" xfId="29" applyNumberFormat="1" applyFont="1" applyFill="1" applyBorder="1" applyAlignment="1">
      <alignment horizontal="center" vertical="center" wrapText="1"/>
    </xf>
    <xf numFmtId="0" fontId="110" fillId="5" borderId="94" xfId="0" applyFont="1" applyFill="1" applyBorder="1" applyAlignment="1">
      <alignment vertical="center" wrapText="1"/>
    </xf>
    <xf numFmtId="0" fontId="118" fillId="49" borderId="0" xfId="0" applyFont="1" applyFill="1" applyAlignment="1">
      <alignment horizontal="right" vertical="center"/>
    </xf>
    <xf numFmtId="0" fontId="118" fillId="49" borderId="0" xfId="0" applyFont="1" applyFill="1" applyAlignment="1">
      <alignment vertical="center"/>
    </xf>
    <xf numFmtId="0" fontId="48" fillId="5" borderId="0" xfId="0" applyFont="1" applyFill="1" applyAlignment="1">
      <alignment horizontal="right"/>
    </xf>
    <xf numFmtId="0" fontId="48" fillId="5" borderId="0" xfId="0" applyFont="1" applyFill="1" applyAlignment="1">
      <alignment horizontal="center"/>
    </xf>
    <xf numFmtId="0" fontId="41" fillId="5" borderId="91" xfId="29" applyFont="1" applyFill="1" applyBorder="1" applyAlignment="1">
      <alignment horizontal="center" vertical="center" wrapText="1"/>
    </xf>
    <xf numFmtId="0" fontId="40" fillId="5" borderId="97" xfId="0" applyFont="1" applyFill="1" applyBorder="1" applyAlignment="1">
      <alignment horizontal="center" vertical="center" wrapText="1"/>
    </xf>
    <xf numFmtId="165" fontId="33" fillId="5" borderId="96" xfId="0" applyNumberFormat="1" applyFont="1" applyFill="1" applyBorder="1" applyAlignment="1">
      <alignment horizontal="center" vertical="center" wrapText="1"/>
    </xf>
    <xf numFmtId="172" fontId="40" fillId="5" borderId="0" xfId="0" applyNumberFormat="1" applyFont="1" applyFill="1" applyAlignment="1">
      <alignment horizontal="center" vertical="center" wrapText="1"/>
    </xf>
    <xf numFmtId="0" fontId="40" fillId="0" borderId="95" xfId="0" applyFont="1" applyBorder="1" applyAlignment="1">
      <alignment horizontal="center" vertical="center" wrapText="1"/>
    </xf>
    <xf numFmtId="0" fontId="29" fillId="5" borderId="0" xfId="0" applyFont="1" applyFill="1" applyAlignment="1">
      <alignment horizontal="center" vertical="center" wrapText="1"/>
    </xf>
    <xf numFmtId="0" fontId="121" fillId="5" borderId="0" xfId="0" applyFont="1" applyFill="1" applyAlignment="1">
      <alignment vertical="center" wrapText="1"/>
    </xf>
    <xf numFmtId="0" fontId="56" fillId="0" borderId="0" xfId="49" applyAlignment="1">
      <alignment horizontal="right"/>
    </xf>
    <xf numFmtId="165" fontId="29" fillId="0" borderId="0" xfId="0" quotePrefix="1" applyNumberFormat="1" applyFont="1" applyAlignment="1">
      <alignment vertical="center"/>
    </xf>
    <xf numFmtId="165" fontId="29" fillId="0" borderId="0" xfId="0" applyNumberFormat="1" applyFont="1" applyAlignment="1">
      <alignment vertical="center"/>
    </xf>
    <xf numFmtId="182" fontId="33" fillId="0" borderId="0" xfId="0" applyNumberFormat="1" applyFont="1" applyAlignment="1">
      <alignment horizontal="center" vertical="center"/>
    </xf>
    <xf numFmtId="0" fontId="122" fillId="0" borderId="0" xfId="16" applyFont="1" applyAlignment="1">
      <alignment horizontal="left" vertical="center"/>
    </xf>
    <xf numFmtId="1" fontId="29" fillId="0" borderId="0" xfId="0" applyNumberFormat="1" applyFont="1" applyAlignment="1">
      <alignment vertical="center"/>
    </xf>
    <xf numFmtId="10" fontId="123" fillId="0" borderId="0" xfId="16" applyNumberFormat="1" applyFont="1" applyAlignment="1">
      <alignment horizontal="center" vertical="center" wrapText="1"/>
    </xf>
    <xf numFmtId="0" fontId="123" fillId="0" borderId="0" xfId="16" applyFont="1" applyAlignment="1">
      <alignment horizontal="center" vertical="center" wrapText="1"/>
    </xf>
    <xf numFmtId="9" fontId="123" fillId="0" borderId="0" xfId="16" applyNumberFormat="1" applyFont="1" applyAlignment="1">
      <alignment horizontal="center" vertical="center" wrapText="1"/>
    </xf>
    <xf numFmtId="9" fontId="123" fillId="0" borderId="0" xfId="35" applyFont="1" applyFill="1" applyBorder="1" applyAlignment="1" applyProtection="1">
      <alignment horizontal="center" vertical="center" wrapText="1"/>
    </xf>
    <xf numFmtId="1" fontId="33" fillId="7" borderId="96" xfId="0" quotePrefix="1" applyNumberFormat="1" applyFont="1" applyFill="1" applyBorder="1" applyAlignment="1">
      <alignment horizontal="center" vertical="center" wrapText="1"/>
    </xf>
    <xf numFmtId="183" fontId="40" fillId="5" borderId="97" xfId="0" applyNumberFormat="1" applyFont="1" applyFill="1" applyBorder="1" applyAlignment="1">
      <alignment horizontal="center" vertical="center" wrapText="1"/>
    </xf>
    <xf numFmtId="0" fontId="121" fillId="5" borderId="0" xfId="29" applyFont="1" applyFill="1" applyBorder="1" applyAlignment="1">
      <alignment horizontal="center" vertical="center" wrapText="1"/>
    </xf>
    <xf numFmtId="169" fontId="33" fillId="5" borderId="0" xfId="0" applyNumberFormat="1" applyFont="1" applyFill="1" applyAlignment="1">
      <alignment horizontal="center" vertical="center"/>
    </xf>
    <xf numFmtId="2" fontId="33" fillId="5" borderId="97" xfId="0" applyNumberFormat="1" applyFont="1" applyFill="1" applyBorder="1" applyAlignment="1">
      <alignment horizontal="center" vertical="center"/>
    </xf>
    <xf numFmtId="2" fontId="33" fillId="5" borderId="97" xfId="0" applyNumberFormat="1" applyFont="1" applyFill="1" applyBorder="1" applyAlignment="1">
      <alignment horizontal="center" vertical="center" wrapText="1"/>
    </xf>
    <xf numFmtId="0" fontId="124" fillId="23" borderId="0" xfId="50" applyFont="1" applyFill="1" applyAlignment="1">
      <alignment horizontal="left" vertical="center"/>
    </xf>
    <xf numFmtId="0" fontId="124" fillId="12" borderId="0" xfId="50" applyFont="1" applyFill="1" applyAlignment="1">
      <alignment horizontal="left" vertical="center"/>
    </xf>
    <xf numFmtId="0" fontId="124" fillId="24" borderId="0" xfId="50" applyFont="1" applyFill="1" applyAlignment="1">
      <alignment horizontal="left" vertical="center"/>
    </xf>
    <xf numFmtId="0" fontId="128" fillId="5" borderId="0" xfId="0" applyFont="1" applyFill="1" applyAlignment="1">
      <alignment horizontal="center" vertical="center" wrapText="1"/>
    </xf>
    <xf numFmtId="165" fontId="0" fillId="0" borderId="0" xfId="0" applyNumberFormat="1" applyAlignment="1">
      <alignment vertical="center"/>
    </xf>
    <xf numFmtId="0" fontId="29" fillId="5" borderId="0" xfId="0" applyFont="1" applyFill="1" applyAlignment="1">
      <alignment horizontal="left" vertical="center" wrapText="1"/>
    </xf>
    <xf numFmtId="0" fontId="33" fillId="5" borderId="0" xfId="0" applyFont="1" applyFill="1" applyAlignment="1">
      <alignment horizontal="center" vertical="center" wrapText="1"/>
    </xf>
    <xf numFmtId="0" fontId="40" fillId="0" borderId="98" xfId="0" applyFont="1" applyBorder="1" applyAlignment="1">
      <alignment horizontal="center" vertical="center" wrapText="1"/>
    </xf>
    <xf numFmtId="0" fontId="40" fillId="0" borderId="98" xfId="0" applyFont="1" applyBorder="1" applyAlignment="1">
      <alignment vertical="center" wrapText="1"/>
    </xf>
    <xf numFmtId="0" fontId="73" fillId="50" borderId="0" xfId="50" applyFont="1" applyFill="1" applyAlignment="1">
      <alignment horizontal="left" vertical="center"/>
    </xf>
    <xf numFmtId="0" fontId="42" fillId="50" borderId="0" xfId="50" applyFont="1" applyFill="1" applyAlignment="1">
      <alignment horizontal="left" vertical="center"/>
    </xf>
    <xf numFmtId="0" fontId="42" fillId="50" borderId="77" xfId="50" applyFont="1" applyFill="1" applyBorder="1" applyAlignment="1">
      <alignment horizontal="left" vertical="center"/>
    </xf>
    <xf numFmtId="0" fontId="33" fillId="50" borderId="0" xfId="50" applyFont="1" applyFill="1" applyAlignment="1">
      <alignment horizontal="left" vertical="center"/>
    </xf>
    <xf numFmtId="0" fontId="42" fillId="50" borderId="0" xfId="50" applyFont="1" applyFill="1" applyAlignment="1">
      <alignment vertical="center"/>
    </xf>
    <xf numFmtId="0" fontId="105" fillId="43" borderId="0" xfId="50" applyFont="1" applyFill="1" applyAlignment="1">
      <alignment vertical="center"/>
    </xf>
    <xf numFmtId="0" fontId="51" fillId="8" borderId="0" xfId="42" applyFont="1" applyFill="1" applyAlignment="1">
      <alignment horizontal="left" vertical="center"/>
    </xf>
    <xf numFmtId="0" fontId="52" fillId="8" borderId="0" xfId="42" applyFont="1" applyFill="1" applyAlignment="1">
      <alignment vertical="center" wrapText="1"/>
    </xf>
    <xf numFmtId="0" fontId="53" fillId="8" borderId="0" xfId="42" applyFont="1" applyFill="1" applyAlignment="1">
      <alignment horizontal="left" vertical="center" wrapText="1"/>
    </xf>
    <xf numFmtId="0" fontId="54" fillId="8" borderId="0" xfId="42" applyFont="1" applyFill="1" applyAlignment="1">
      <alignment horizontal="left" vertical="center"/>
    </xf>
    <xf numFmtId="0" fontId="54" fillId="8" borderId="0" xfId="42" applyFont="1" applyFill="1" applyAlignment="1">
      <alignment horizontal="left" vertical="center" wrapText="1"/>
    </xf>
    <xf numFmtId="0" fontId="54" fillId="8" borderId="0" xfId="42" applyFont="1" applyFill="1" applyAlignment="1">
      <alignment horizontal="center" vertical="center" wrapText="1"/>
    </xf>
    <xf numFmtId="0" fontId="54" fillId="8" borderId="0" xfId="42" applyFont="1" applyFill="1" applyAlignment="1">
      <alignment horizontal="right" vertical="center" wrapText="1"/>
    </xf>
    <xf numFmtId="0" fontId="54" fillId="8" borderId="0" xfId="42" applyFont="1" applyFill="1" applyAlignment="1">
      <alignment horizontal="center" vertical="center"/>
    </xf>
    <xf numFmtId="0" fontId="54" fillId="8" borderId="0" xfId="42" applyFont="1" applyFill="1" applyAlignment="1">
      <alignment horizontal="right" vertical="center"/>
    </xf>
    <xf numFmtId="0" fontId="129" fillId="8" borderId="0" xfId="42" applyFont="1" applyFill="1" applyAlignment="1">
      <alignment horizontal="right" vertical="center"/>
    </xf>
    <xf numFmtId="0" fontId="55" fillId="5" borderId="0" xfId="42" applyFont="1" applyFill="1" applyAlignment="1">
      <alignment wrapText="1"/>
    </xf>
    <xf numFmtId="0" fontId="42" fillId="51" borderId="0" xfId="50" applyFont="1" applyFill="1" applyAlignment="1">
      <alignment horizontal="left" vertical="center"/>
    </xf>
    <xf numFmtId="168" fontId="91" fillId="37" borderId="0" xfId="52" applyNumberFormat="1" applyFont="1" applyFill="1" applyAlignment="1">
      <alignment horizontal="right" vertical="center"/>
    </xf>
    <xf numFmtId="0" fontId="55" fillId="5" borderId="0" xfId="0" applyFont="1" applyFill="1" applyAlignment="1">
      <alignment horizontal="right"/>
    </xf>
    <xf numFmtId="0" fontId="4" fillId="9" borderId="0" xfId="0" applyFont="1" applyFill="1" applyAlignment="1">
      <alignment horizontal="right" vertical="top"/>
    </xf>
    <xf numFmtId="0" fontId="135" fillId="8" borderId="0" xfId="66" applyNumberFormat="1" applyFont="1" applyAlignment="1"/>
    <xf numFmtId="0" fontId="136" fillId="8" borderId="0" xfId="66" applyNumberFormat="1" applyFont="1" applyAlignment="1"/>
    <xf numFmtId="0" fontId="136" fillId="13" borderId="87" xfId="15" applyFont="1" applyFill="1" applyBorder="1" applyAlignment="1">
      <alignment vertical="center"/>
    </xf>
    <xf numFmtId="0" fontId="139" fillId="0" borderId="0" xfId="0" applyFont="1" applyAlignment="1">
      <alignment horizontal="left" vertical="center"/>
    </xf>
    <xf numFmtId="0" fontId="140" fillId="8" borderId="0" xfId="51" applyFont="1"/>
    <xf numFmtId="0" fontId="141" fillId="8" borderId="0" xfId="52" applyFont="1" applyFill="1"/>
    <xf numFmtId="0" fontId="141" fillId="8" borderId="0" xfId="0" applyFont="1" applyFill="1"/>
    <xf numFmtId="15" fontId="141" fillId="8" borderId="0" xfId="0" applyNumberFormat="1" applyFont="1" applyFill="1" applyAlignment="1">
      <alignment horizontal="left"/>
    </xf>
    <xf numFmtId="0" fontId="139" fillId="5" borderId="0" xfId="53" applyFont="1" applyFill="1" applyAlignment="1">
      <alignment vertical="center"/>
    </xf>
    <xf numFmtId="0" fontId="142" fillId="5" borderId="0" xfId="52" applyFont="1" applyFill="1" applyAlignment="1">
      <alignment vertical="center"/>
    </xf>
    <xf numFmtId="0" fontId="139" fillId="5" borderId="0" xfId="0" applyFont="1" applyFill="1"/>
    <xf numFmtId="0" fontId="143" fillId="5" borderId="0" xfId="0" applyFont="1" applyFill="1" applyAlignment="1">
      <alignment vertical="top"/>
    </xf>
    <xf numFmtId="0" fontId="42" fillId="5" borderId="0" xfId="52" applyFont="1" applyFill="1" applyAlignment="1">
      <alignment vertical="center"/>
    </xf>
    <xf numFmtId="0" fontId="42" fillId="5" borderId="0" xfId="52" applyFont="1" applyFill="1"/>
    <xf numFmtId="0" fontId="14" fillId="5" borderId="0" xfId="0" applyFont="1" applyFill="1" applyAlignment="1">
      <alignment vertical="top"/>
    </xf>
    <xf numFmtId="0" fontId="33" fillId="6" borderId="16" xfId="0" applyFont="1" applyFill="1" applyBorder="1" applyAlignment="1">
      <alignment vertical="top" wrapText="1"/>
    </xf>
    <xf numFmtId="0" fontId="144" fillId="6" borderId="85" xfId="0" applyFont="1" applyFill="1" applyBorder="1" applyAlignment="1">
      <alignment vertical="top" wrapText="1"/>
    </xf>
    <xf numFmtId="0" fontId="144" fillId="6" borderId="86" xfId="0" applyFont="1" applyFill="1" applyBorder="1" applyAlignment="1">
      <alignment vertical="top" wrapText="1"/>
    </xf>
    <xf numFmtId="0" fontId="146" fillId="8" borderId="0" xfId="54" applyFont="1"/>
    <xf numFmtId="0" fontId="144" fillId="6" borderId="107" xfId="0" applyFont="1" applyFill="1" applyBorder="1" applyAlignment="1">
      <alignment vertical="top" wrapText="1"/>
    </xf>
    <xf numFmtId="0" fontId="33" fillId="6" borderId="20" xfId="0" applyFont="1" applyFill="1" applyBorder="1" applyAlignment="1">
      <alignment vertical="top" wrapText="1"/>
    </xf>
    <xf numFmtId="0" fontId="139" fillId="5" borderId="0" xfId="53" applyFont="1" applyFill="1" applyAlignment="1">
      <alignment vertical="top"/>
    </xf>
    <xf numFmtId="0" fontId="46" fillId="5" borderId="0" xfId="56" applyFont="1" applyFill="1"/>
    <xf numFmtId="0" fontId="147" fillId="5" borderId="0" xfId="57" applyFont="1" applyFill="1"/>
    <xf numFmtId="0" fontId="42" fillId="5" borderId="0" xfId="58" applyFont="1" applyFill="1"/>
    <xf numFmtId="0" fontId="148" fillId="5" borderId="0" xfId="59" applyFont="1" applyFill="1"/>
    <xf numFmtId="0" fontId="42" fillId="44" borderId="0" xfId="60" applyFont="1" applyFill="1"/>
    <xf numFmtId="0" fontId="42" fillId="28" borderId="0" xfId="0" applyFont="1" applyFill="1" applyAlignment="1">
      <alignment vertical="center"/>
    </xf>
    <xf numFmtId="0" fontId="46" fillId="10" borderId="0" xfId="61" applyFont="1"/>
    <xf numFmtId="0" fontId="105" fillId="8" borderId="0" xfId="54" applyFont="1"/>
    <xf numFmtId="0" fontId="42" fillId="17" borderId="20" xfId="52" applyFont="1" applyFill="1" applyBorder="1" applyAlignment="1">
      <alignment horizontal="center"/>
    </xf>
    <xf numFmtId="0" fontId="149" fillId="29" borderId="20" xfId="52" applyFont="1" applyFill="1" applyBorder="1" applyAlignment="1">
      <alignment horizontal="center"/>
    </xf>
    <xf numFmtId="0" fontId="105" fillId="30" borderId="20" xfId="52" applyFont="1" applyFill="1" applyBorder="1" applyAlignment="1">
      <alignment horizontal="center"/>
    </xf>
    <xf numFmtId="0" fontId="42" fillId="31" borderId="20" xfId="52" applyFont="1" applyFill="1" applyBorder="1" applyAlignment="1">
      <alignment horizontal="center"/>
    </xf>
    <xf numFmtId="0" fontId="139" fillId="5" borderId="0" xfId="53" applyFont="1" applyFill="1"/>
    <xf numFmtId="0" fontId="142" fillId="5" borderId="0" xfId="55" applyFont="1" applyFill="1"/>
    <xf numFmtId="0" fontId="150" fillId="32" borderId="0" xfId="0" applyFont="1" applyFill="1" applyAlignment="1">
      <alignment horizontal="left" vertical="center"/>
    </xf>
    <xf numFmtId="0" fontId="151" fillId="9" borderId="0" xfId="63" applyNumberFormat="1" applyFont="1" applyFill="1">
      <alignment vertical="top"/>
    </xf>
    <xf numFmtId="168" fontId="42" fillId="5" borderId="0" xfId="62" applyFont="1" applyFill="1">
      <alignment vertical="top"/>
    </xf>
    <xf numFmtId="168" fontId="42" fillId="12" borderId="20" xfId="62" applyFont="1" applyFill="1" applyBorder="1">
      <alignment vertical="top"/>
    </xf>
    <xf numFmtId="168" fontId="42" fillId="33" borderId="20" xfId="62" applyFont="1" applyFill="1" applyBorder="1">
      <alignment vertical="top"/>
    </xf>
    <xf numFmtId="168" fontId="149" fillId="29" borderId="20" xfId="62" applyFont="1" applyFill="1" applyBorder="1">
      <alignment vertical="top"/>
    </xf>
    <xf numFmtId="168" fontId="42" fillId="34" borderId="20" xfId="62" applyFont="1" applyFill="1" applyBorder="1">
      <alignment vertical="top"/>
    </xf>
    <xf numFmtId="168" fontId="152" fillId="5" borderId="0" xfId="62" applyFont="1" applyFill="1" applyBorder="1">
      <alignment vertical="top"/>
    </xf>
    <xf numFmtId="168" fontId="105" fillId="35" borderId="20" xfId="62" applyFont="1" applyFill="1" applyBorder="1">
      <alignment vertical="top"/>
    </xf>
    <xf numFmtId="168" fontId="150" fillId="37" borderId="0" xfId="52" applyNumberFormat="1" applyFont="1" applyFill="1" applyAlignment="1">
      <alignment horizontal="left" vertical="center"/>
    </xf>
    <xf numFmtId="0" fontId="150" fillId="37" borderId="0" xfId="52" applyFont="1" applyFill="1" applyAlignment="1">
      <alignment horizontal="left" vertical="center"/>
    </xf>
    <xf numFmtId="0" fontId="150" fillId="37" borderId="0" xfId="52" applyFont="1" applyFill="1" applyAlignment="1">
      <alignment horizontal="right" vertical="center"/>
    </xf>
    <xf numFmtId="0" fontId="151" fillId="10" borderId="0" xfId="63" applyNumberFormat="1" applyFont="1" applyFill="1" applyAlignment="1">
      <alignment horizontal="left" vertical="center"/>
    </xf>
    <xf numFmtId="0" fontId="153" fillId="5" borderId="0" xfId="0" applyFont="1" applyFill="1" applyAlignment="1">
      <alignment vertical="center"/>
    </xf>
    <xf numFmtId="0" fontId="154" fillId="5" borderId="0" xfId="0" applyFont="1" applyFill="1"/>
    <xf numFmtId="0" fontId="42" fillId="5" borderId="0" xfId="0" applyFont="1" applyFill="1" applyAlignment="1">
      <alignment vertical="center"/>
    </xf>
    <xf numFmtId="0" fontId="42" fillId="45" borderId="0" xfId="0" applyFont="1" applyFill="1" applyAlignment="1">
      <alignment horizontal="left" vertical="center"/>
    </xf>
    <xf numFmtId="0" fontId="42" fillId="5" borderId="0" xfId="0" applyFont="1" applyFill="1"/>
    <xf numFmtId="0" fontId="155" fillId="0" borderId="0" xfId="0" applyFont="1" applyAlignment="1">
      <alignment horizontal="left" vertical="center"/>
    </xf>
    <xf numFmtId="0" fontId="73" fillId="5" borderId="0" xfId="0" applyFont="1" applyFill="1"/>
    <xf numFmtId="0" fontId="42" fillId="38" borderId="0" xfId="0" applyFont="1" applyFill="1"/>
    <xf numFmtId="172" fontId="42" fillId="5" borderId="0" xfId="0" applyNumberFormat="1" applyFont="1" applyFill="1"/>
    <xf numFmtId="0" fontId="156" fillId="5" borderId="0" xfId="0" applyFont="1" applyFill="1"/>
    <xf numFmtId="9" fontId="42" fillId="38" borderId="0" xfId="0" applyNumberFormat="1" applyFont="1" applyFill="1"/>
    <xf numFmtId="0" fontId="73" fillId="5" borderId="0" xfId="0" applyFont="1" applyFill="1" applyAlignment="1">
      <alignment vertical="center"/>
    </xf>
    <xf numFmtId="0" fontId="156" fillId="5" borderId="0" xfId="0" applyFont="1" applyFill="1" applyAlignment="1">
      <alignment vertical="center"/>
    </xf>
    <xf numFmtId="0" fontId="73" fillId="5" borderId="0" xfId="0" applyFont="1" applyFill="1" applyAlignment="1">
      <alignment horizontal="right" vertical="center"/>
    </xf>
    <xf numFmtId="0" fontId="157" fillId="10" borderId="0" xfId="63" applyNumberFormat="1" applyFont="1" applyFill="1" applyAlignment="1" applyProtection="1">
      <alignment vertical="center"/>
    </xf>
    <xf numFmtId="0" fontId="158" fillId="10" borderId="0" xfId="64" applyFont="1" applyFill="1" applyAlignment="1" applyProtection="1">
      <alignment vertical="center"/>
    </xf>
    <xf numFmtId="0" fontId="33" fillId="10" borderId="0" xfId="65" applyFont="1" applyFill="1" applyAlignment="1" applyProtection="1">
      <alignment horizontal="right" vertical="center"/>
    </xf>
    <xf numFmtId="0" fontId="33" fillId="10" borderId="0" xfId="0" applyFont="1" applyFill="1" applyAlignment="1">
      <alignment vertical="center"/>
    </xf>
    <xf numFmtId="0" fontId="33" fillId="10" borderId="0" xfId="0" applyFont="1" applyFill="1" applyAlignment="1">
      <alignment horizontal="right" vertical="center"/>
    </xf>
    <xf numFmtId="0" fontId="33" fillId="10" borderId="83" xfId="0" applyFont="1" applyFill="1" applyBorder="1" applyAlignment="1">
      <alignment horizontal="right" vertical="center"/>
    </xf>
    <xf numFmtId="0" fontId="42" fillId="5" borderId="0" xfId="0" applyFont="1" applyFill="1" applyAlignment="1">
      <alignment horizontal="right"/>
    </xf>
    <xf numFmtId="0" fontId="42" fillId="5" borderId="83" xfId="0" applyFont="1" applyFill="1" applyBorder="1"/>
    <xf numFmtId="0" fontId="159" fillId="5" borderId="0" xfId="0" applyFont="1" applyFill="1" applyAlignment="1">
      <alignment vertical="center"/>
    </xf>
    <xf numFmtId="181" fontId="42" fillId="5" borderId="0" xfId="0" applyNumberFormat="1" applyFont="1" applyFill="1" applyAlignment="1">
      <alignment horizontal="right"/>
    </xf>
    <xf numFmtId="181" fontId="42" fillId="5" borderId="83" xfId="0" applyNumberFormat="1" applyFont="1" applyFill="1" applyBorder="1"/>
    <xf numFmtId="2" fontId="46" fillId="5" borderId="0" xfId="0" quotePrefix="1" applyNumberFormat="1" applyFont="1" applyFill="1" applyAlignment="1">
      <alignment horizontal="right" vertical="center"/>
    </xf>
    <xf numFmtId="169" fontId="46" fillId="7" borderId="0" xfId="0" applyNumberFormat="1" applyFont="1" applyFill="1" applyAlignment="1">
      <alignment horizontal="right" vertical="center"/>
    </xf>
    <xf numFmtId="164" fontId="46" fillId="5" borderId="0" xfId="0" applyNumberFormat="1" applyFont="1" applyFill="1" applyAlignment="1">
      <alignment horizontal="right" vertical="center"/>
    </xf>
    <xf numFmtId="2" fontId="46" fillId="5" borderId="83" xfId="0" applyNumberFormat="1" applyFont="1" applyFill="1" applyBorder="1" applyAlignment="1">
      <alignment horizontal="right" vertical="center"/>
    </xf>
    <xf numFmtId="0" fontId="46" fillId="5" borderId="0" xfId="0" quotePrefix="1" applyFont="1" applyFill="1" applyAlignment="1">
      <alignment horizontal="right" vertical="center"/>
    </xf>
    <xf numFmtId="0" fontId="46" fillId="5" borderId="0" xfId="0" applyFont="1" applyFill="1" applyAlignment="1">
      <alignment horizontal="right" vertical="center"/>
    </xf>
    <xf numFmtId="0" fontId="46" fillId="5" borderId="83" xfId="0" applyFont="1" applyFill="1" applyBorder="1" applyAlignment="1">
      <alignment horizontal="right" vertical="center"/>
    </xf>
    <xf numFmtId="165" fontId="46" fillId="5" borderId="0" xfId="0" applyNumberFormat="1" applyFont="1" applyFill="1" applyAlignment="1">
      <alignment horizontal="right" vertical="center"/>
    </xf>
    <xf numFmtId="164" fontId="46" fillId="5" borderId="83" xfId="0" applyNumberFormat="1" applyFont="1" applyFill="1" applyBorder="1" applyAlignment="1">
      <alignment horizontal="right" vertical="center"/>
    </xf>
    <xf numFmtId="172" fontId="46" fillId="5" borderId="0" xfId="0" quotePrefix="1" applyNumberFormat="1" applyFont="1" applyFill="1" applyAlignment="1">
      <alignment horizontal="right" vertical="center"/>
    </xf>
    <xf numFmtId="172" fontId="46" fillId="5" borderId="0" xfId="0" applyNumberFormat="1" applyFont="1" applyFill="1" applyAlignment="1">
      <alignment horizontal="right" vertical="center"/>
    </xf>
    <xf numFmtId="172" fontId="46" fillId="5" borderId="83" xfId="0" applyNumberFormat="1" applyFont="1" applyFill="1" applyBorder="1" applyAlignment="1">
      <alignment horizontal="right" vertical="center"/>
    </xf>
    <xf numFmtId="165" fontId="42" fillId="44" borderId="0" xfId="0" applyNumberFormat="1" applyFont="1" applyFill="1" applyAlignment="1" applyProtection="1">
      <alignment horizontal="right" vertical="center"/>
      <protection locked="0"/>
    </xf>
    <xf numFmtId="165" fontId="42" fillId="44" borderId="83" xfId="0" applyNumberFormat="1" applyFont="1" applyFill="1" applyBorder="1" applyAlignment="1" applyProtection="1">
      <alignment horizontal="right" vertical="center"/>
      <protection locked="0"/>
    </xf>
    <xf numFmtId="165" fontId="42" fillId="5" borderId="0" xfId="0" applyNumberFormat="1" applyFont="1" applyFill="1" applyAlignment="1">
      <alignment horizontal="right" vertical="center"/>
    </xf>
    <xf numFmtId="165" fontId="42" fillId="5" borderId="83" xfId="0" applyNumberFormat="1" applyFont="1" applyFill="1" applyBorder="1" applyAlignment="1">
      <alignment horizontal="right" vertical="center"/>
    </xf>
    <xf numFmtId="165" fontId="33" fillId="5" borderId="0" xfId="0" applyNumberFormat="1" applyFont="1" applyFill="1" applyAlignment="1">
      <alignment horizontal="right" vertical="center"/>
    </xf>
    <xf numFmtId="165" fontId="33" fillId="5" borderId="83" xfId="0" applyNumberFormat="1" applyFont="1" applyFill="1" applyBorder="1" applyAlignment="1">
      <alignment horizontal="right" vertical="center"/>
    </xf>
    <xf numFmtId="0" fontId="42" fillId="5" borderId="0" xfId="0" applyFont="1" applyFill="1" applyAlignment="1">
      <alignment horizontal="right" vertical="center"/>
    </xf>
    <xf numFmtId="0" fontId="42" fillId="7" borderId="0" xfId="0" applyFont="1" applyFill="1" applyAlignment="1">
      <alignment horizontal="right" vertical="center"/>
    </xf>
    <xf numFmtId="0" fontId="42" fillId="5" borderId="83" xfId="0" applyFont="1" applyFill="1" applyBorder="1" applyAlignment="1">
      <alignment horizontal="right" vertical="center"/>
    </xf>
    <xf numFmtId="174" fontId="42" fillId="0" borderId="0" xfId="0" applyNumberFormat="1" applyFont="1" applyAlignment="1">
      <alignment horizontal="right"/>
    </xf>
    <xf numFmtId="174" fontId="42" fillId="0" borderId="83" xfId="0" applyNumberFormat="1" applyFont="1" applyBorder="1"/>
    <xf numFmtId="174" fontId="42" fillId="0" borderId="0" xfId="0" applyNumberFormat="1" applyFont="1"/>
    <xf numFmtId="0" fontId="46" fillId="5" borderId="0" xfId="0" applyFont="1" applyFill="1" applyAlignment="1">
      <alignment horizontal="right" vertical="top" wrapText="1"/>
    </xf>
    <xf numFmtId="0" fontId="46" fillId="5" borderId="83" xfId="0" applyFont="1" applyFill="1" applyBorder="1" applyAlignment="1">
      <alignment horizontal="right" vertical="top" wrapText="1"/>
    </xf>
    <xf numFmtId="0" fontId="42" fillId="5" borderId="0" xfId="0" applyFont="1" applyFill="1" applyAlignment="1">
      <alignment horizontal="left"/>
    </xf>
    <xf numFmtId="0" fontId="46" fillId="5" borderId="0" xfId="0" applyFont="1" applyFill="1" applyAlignment="1">
      <alignment horizontal="right" wrapText="1"/>
    </xf>
    <xf numFmtId="0" fontId="46" fillId="5" borderId="83" xfId="0" applyFont="1" applyFill="1" applyBorder="1" applyAlignment="1">
      <alignment horizontal="right" wrapText="1"/>
    </xf>
    <xf numFmtId="0" fontId="42" fillId="44" borderId="0" xfId="0" applyFont="1" applyFill="1" applyAlignment="1" applyProtection="1">
      <alignment horizontal="right" vertical="center"/>
      <protection locked="0"/>
    </xf>
    <xf numFmtId="0" fontId="42" fillId="44" borderId="83" xfId="0" applyFont="1" applyFill="1" applyBorder="1" applyAlignment="1" applyProtection="1">
      <alignment horizontal="right" vertical="center"/>
      <protection locked="0"/>
    </xf>
    <xf numFmtId="0" fontId="42" fillId="5" borderId="83" xfId="0" applyFont="1" applyFill="1" applyBorder="1" applyAlignment="1">
      <alignment vertical="center"/>
    </xf>
    <xf numFmtId="0" fontId="33" fillId="40" borderId="0" xfId="0" applyFont="1" applyFill="1" applyAlignment="1">
      <alignment horizontal="right" vertical="center"/>
    </xf>
    <xf numFmtId="0" fontId="33" fillId="40" borderId="83" xfId="0" applyFont="1" applyFill="1" applyBorder="1" applyAlignment="1">
      <alignment horizontal="right" vertical="center"/>
    </xf>
    <xf numFmtId="0" fontId="42" fillId="0" borderId="0" xfId="0" applyFont="1" applyAlignment="1">
      <alignment vertical="center"/>
    </xf>
    <xf numFmtId="0" fontId="42" fillId="0" borderId="0" xfId="0" applyFont="1" applyAlignment="1">
      <alignment horizontal="right" vertical="center"/>
    </xf>
    <xf numFmtId="0" fontId="42" fillId="0" borderId="83" xfId="0" applyFont="1" applyBorder="1" applyAlignment="1">
      <alignment horizontal="right" vertical="center"/>
    </xf>
    <xf numFmtId="0" fontId="42" fillId="38" borderId="0" xfId="0" applyFont="1" applyFill="1" applyAlignment="1">
      <alignment horizontal="right" vertical="center"/>
    </xf>
    <xf numFmtId="0" fontId="42" fillId="38" borderId="83" xfId="0" applyFont="1" applyFill="1" applyBorder="1" applyAlignment="1">
      <alignment horizontal="right" vertical="center"/>
    </xf>
    <xf numFmtId="0" fontId="42" fillId="5" borderId="0" xfId="0" quotePrefix="1" applyFont="1" applyFill="1" applyAlignment="1">
      <alignment horizontal="right" vertical="center"/>
    </xf>
    <xf numFmtId="165" fontId="42" fillId="39" borderId="0" xfId="0" applyNumberFormat="1" applyFont="1" applyFill="1" applyAlignment="1">
      <alignment horizontal="right" vertical="center"/>
    </xf>
    <xf numFmtId="169" fontId="42" fillId="39" borderId="0" xfId="0" applyNumberFormat="1" applyFont="1" applyFill="1" applyAlignment="1">
      <alignment horizontal="right" vertical="center"/>
    </xf>
    <xf numFmtId="165" fontId="42" fillId="39" borderId="83" xfId="0" applyNumberFormat="1" applyFont="1" applyFill="1" applyBorder="1" applyAlignment="1">
      <alignment horizontal="right" vertical="center"/>
    </xf>
    <xf numFmtId="165" fontId="42" fillId="38" borderId="0" xfId="0" applyNumberFormat="1" applyFont="1" applyFill="1" applyAlignment="1">
      <alignment horizontal="right" vertical="center"/>
    </xf>
    <xf numFmtId="165" fontId="42" fillId="38" borderId="83" xfId="0" applyNumberFormat="1" applyFont="1" applyFill="1" applyBorder="1" applyAlignment="1">
      <alignment horizontal="right" vertical="center"/>
    </xf>
    <xf numFmtId="178" fontId="42" fillId="5" borderId="0" xfId="0" applyNumberFormat="1" applyFont="1" applyFill="1" applyAlignment="1">
      <alignment horizontal="right" vertical="center"/>
    </xf>
    <xf numFmtId="178" fontId="42" fillId="5" borderId="83" xfId="0" applyNumberFormat="1" applyFont="1" applyFill="1" applyBorder="1" applyAlignment="1">
      <alignment horizontal="right" vertical="center"/>
    </xf>
    <xf numFmtId="164" fontId="42" fillId="5" borderId="0" xfId="0" applyNumberFormat="1" applyFont="1" applyFill="1" applyAlignment="1">
      <alignment horizontal="right" vertical="center"/>
    </xf>
    <xf numFmtId="164" fontId="42" fillId="5" borderId="83" xfId="0" applyNumberFormat="1" applyFont="1" applyFill="1" applyBorder="1" applyAlignment="1">
      <alignment horizontal="right" vertical="center"/>
    </xf>
    <xf numFmtId="174" fontId="42" fillId="38" borderId="0" xfId="0" applyNumberFormat="1" applyFont="1" applyFill="1" applyAlignment="1">
      <alignment horizontal="right" vertical="center"/>
    </xf>
    <xf numFmtId="174" fontId="42" fillId="38" borderId="83" xfId="0" applyNumberFormat="1" applyFont="1" applyFill="1" applyBorder="1" applyAlignment="1">
      <alignment horizontal="right" vertical="center"/>
    </xf>
    <xf numFmtId="174" fontId="42" fillId="44" borderId="0" xfId="0" applyNumberFormat="1" applyFont="1" applyFill="1" applyAlignment="1" applyProtection="1">
      <alignment horizontal="right" vertical="center"/>
      <protection locked="0"/>
    </xf>
    <xf numFmtId="174" fontId="42" fillId="44" borderId="83" xfId="0" applyNumberFormat="1" applyFont="1" applyFill="1" applyBorder="1" applyAlignment="1" applyProtection="1">
      <alignment horizontal="right" vertical="center"/>
      <protection locked="0"/>
    </xf>
    <xf numFmtId="0" fontId="33" fillId="5" borderId="0" xfId="0" applyFont="1" applyFill="1" applyAlignment="1">
      <alignment horizontal="right" vertical="center"/>
    </xf>
    <xf numFmtId="0" fontId="33" fillId="5" borderId="83" xfId="0" applyFont="1" applyFill="1" applyBorder="1" applyAlignment="1">
      <alignment horizontal="right" vertical="center"/>
    </xf>
    <xf numFmtId="167" fontId="42" fillId="38" borderId="0" xfId="0" applyNumberFormat="1" applyFont="1" applyFill="1" applyAlignment="1">
      <alignment horizontal="right" vertical="center"/>
    </xf>
    <xf numFmtId="167" fontId="42" fillId="38" borderId="83" xfId="0" applyNumberFormat="1" applyFont="1" applyFill="1" applyBorder="1" applyAlignment="1">
      <alignment horizontal="right" vertical="center"/>
    </xf>
    <xf numFmtId="167" fontId="42" fillId="41" borderId="0" xfId="0" applyNumberFormat="1" applyFont="1" applyFill="1" applyAlignment="1">
      <alignment horizontal="right" vertical="center"/>
    </xf>
    <xf numFmtId="167" fontId="42" fillId="41" borderId="83" xfId="0" applyNumberFormat="1" applyFont="1" applyFill="1" applyBorder="1" applyAlignment="1">
      <alignment horizontal="right" vertical="center"/>
    </xf>
    <xf numFmtId="167" fontId="121" fillId="41" borderId="0" xfId="0" applyNumberFormat="1" applyFont="1" applyFill="1" applyAlignment="1">
      <alignment horizontal="right" vertical="center"/>
    </xf>
    <xf numFmtId="0" fontId="151" fillId="9" borderId="0" xfId="63" applyNumberFormat="1" applyFont="1" applyFill="1" applyProtection="1">
      <alignment vertical="top"/>
    </xf>
    <xf numFmtId="0" fontId="42" fillId="5" borderId="0" xfId="0" applyFont="1" applyFill="1" applyAlignment="1" applyProtection="1">
      <alignment vertical="center"/>
      <protection locked="0"/>
    </xf>
    <xf numFmtId="0" fontId="33" fillId="10" borderId="0" xfId="0" applyFont="1" applyFill="1" applyAlignment="1" applyProtection="1">
      <alignment horizontal="right" vertical="center"/>
      <protection locked="0"/>
    </xf>
    <xf numFmtId="0" fontId="33" fillId="10" borderId="83" xfId="0" applyFont="1" applyFill="1" applyBorder="1" applyAlignment="1" applyProtection="1">
      <alignment horizontal="right" vertical="center"/>
      <protection locked="0"/>
    </xf>
    <xf numFmtId="0" fontId="42" fillId="5" borderId="0" xfId="0" applyFont="1" applyFill="1" applyProtection="1">
      <protection locked="0"/>
    </xf>
    <xf numFmtId="0" fontId="42" fillId="5" borderId="83" xfId="0" applyFont="1" applyFill="1" applyBorder="1" applyProtection="1">
      <protection locked="0"/>
    </xf>
    <xf numFmtId="165" fontId="42" fillId="5" borderId="0" xfId="0" applyNumberFormat="1" applyFont="1" applyFill="1" applyAlignment="1" applyProtection="1">
      <alignment horizontal="right" vertical="center"/>
      <protection locked="0"/>
    </xf>
    <xf numFmtId="165" fontId="42" fillId="5" borderId="83" xfId="0" applyNumberFormat="1" applyFont="1" applyFill="1" applyBorder="1" applyAlignment="1" applyProtection="1">
      <alignment horizontal="right" vertical="center"/>
      <protection locked="0"/>
    </xf>
    <xf numFmtId="0" fontId="46" fillId="5" borderId="0" xfId="0" applyFont="1" applyFill="1" applyAlignment="1" applyProtection="1">
      <alignment horizontal="right" vertical="top" wrapText="1"/>
      <protection locked="0"/>
    </xf>
    <xf numFmtId="0" fontId="46" fillId="5" borderId="83" xfId="0" applyFont="1" applyFill="1" applyBorder="1" applyAlignment="1" applyProtection="1">
      <alignment horizontal="right" vertical="top" wrapText="1"/>
      <protection locked="0"/>
    </xf>
    <xf numFmtId="0" fontId="42" fillId="5" borderId="0" xfId="0" applyFont="1" applyFill="1" applyAlignment="1" applyProtection="1">
      <alignment horizontal="right" vertical="center"/>
      <protection locked="0"/>
    </xf>
    <xf numFmtId="0" fontId="42" fillId="5" borderId="83" xfId="0" applyFont="1" applyFill="1" applyBorder="1" applyAlignment="1" applyProtection="1">
      <alignment horizontal="right" vertical="center"/>
      <protection locked="0"/>
    </xf>
    <xf numFmtId="0" fontId="42" fillId="44" borderId="0" xfId="0" applyFont="1" applyFill="1" applyAlignment="1">
      <alignment horizontal="right" vertical="center"/>
    </xf>
    <xf numFmtId="0" fontId="42" fillId="5" borderId="83" xfId="0" applyFont="1" applyFill="1" applyBorder="1" applyAlignment="1" applyProtection="1">
      <alignment vertical="center"/>
      <protection locked="0"/>
    </xf>
    <xf numFmtId="0" fontId="42" fillId="0" borderId="0" xfId="0" applyFont="1" applyAlignment="1" applyProtection="1">
      <alignment horizontal="right" vertical="center"/>
      <protection locked="0"/>
    </xf>
    <xf numFmtId="0" fontId="42" fillId="0" borderId="83" xfId="0" applyFont="1" applyBorder="1" applyAlignment="1" applyProtection="1">
      <alignment horizontal="right" vertical="center"/>
      <protection locked="0"/>
    </xf>
    <xf numFmtId="178" fontId="42" fillId="5" borderId="0" xfId="0" applyNumberFormat="1" applyFont="1" applyFill="1" applyAlignment="1" applyProtection="1">
      <alignment horizontal="right" vertical="center"/>
      <protection locked="0"/>
    </xf>
    <xf numFmtId="178" fontId="42" fillId="5" borderId="83" xfId="0" applyNumberFormat="1" applyFont="1" applyFill="1" applyBorder="1" applyAlignment="1" applyProtection="1">
      <alignment horizontal="right" vertical="center"/>
      <protection locked="0"/>
    </xf>
    <xf numFmtId="164" fontId="42" fillId="5" borderId="0" xfId="0" applyNumberFormat="1" applyFont="1" applyFill="1" applyAlignment="1" applyProtection="1">
      <alignment horizontal="right" vertical="center"/>
      <protection locked="0"/>
    </xf>
    <xf numFmtId="164" fontId="42" fillId="5" borderId="83" xfId="0" applyNumberFormat="1" applyFont="1" applyFill="1" applyBorder="1" applyAlignment="1" applyProtection="1">
      <alignment horizontal="right" vertical="center"/>
      <protection locked="0"/>
    </xf>
    <xf numFmtId="0" fontId="33" fillId="5" borderId="0" xfId="0" applyFont="1" applyFill="1" applyAlignment="1" applyProtection="1">
      <alignment horizontal="right" vertical="center"/>
      <protection locked="0"/>
    </xf>
    <xf numFmtId="0" fontId="33" fillId="5" borderId="83" xfId="0" applyFont="1" applyFill="1" applyBorder="1" applyAlignment="1" applyProtection="1">
      <alignment horizontal="right" vertical="center"/>
      <protection locked="0"/>
    </xf>
    <xf numFmtId="167" fontId="42" fillId="44" borderId="0" xfId="0" applyNumberFormat="1" applyFont="1" applyFill="1" applyAlignment="1" applyProtection="1">
      <alignment horizontal="right" vertical="center"/>
      <protection locked="0"/>
    </xf>
    <xf numFmtId="167" fontId="42" fillId="44" borderId="83" xfId="0" applyNumberFormat="1" applyFont="1" applyFill="1" applyBorder="1" applyAlignment="1" applyProtection="1">
      <alignment horizontal="right" vertical="center"/>
      <protection locked="0"/>
    </xf>
    <xf numFmtId="2" fontId="33" fillId="5" borderId="0" xfId="0" applyNumberFormat="1" applyFont="1" applyFill="1" applyAlignment="1" applyProtection="1">
      <alignment horizontal="right" vertical="center"/>
      <protection locked="0"/>
    </xf>
    <xf numFmtId="169" fontId="33" fillId="5" borderId="0" xfId="0" applyNumberFormat="1" applyFont="1" applyFill="1" applyAlignment="1" applyProtection="1">
      <alignment horizontal="right" vertical="center"/>
      <protection locked="0"/>
    </xf>
    <xf numFmtId="165" fontId="33" fillId="5" borderId="0" xfId="0" applyNumberFormat="1" applyFont="1" applyFill="1" applyAlignment="1" applyProtection="1">
      <alignment horizontal="right" vertical="center"/>
      <protection locked="0"/>
    </xf>
    <xf numFmtId="2" fontId="33" fillId="5" borderId="83" xfId="0" applyNumberFormat="1" applyFont="1" applyFill="1" applyBorder="1" applyAlignment="1" applyProtection="1">
      <alignment horizontal="right" vertical="center"/>
      <protection locked="0"/>
    </xf>
    <xf numFmtId="164" fontId="33" fillId="5" borderId="0" xfId="0" applyNumberFormat="1" applyFont="1" applyFill="1" applyAlignment="1" applyProtection="1">
      <alignment horizontal="right" vertical="center"/>
      <protection locked="0"/>
    </xf>
    <xf numFmtId="1" fontId="33" fillId="5" borderId="0" xfId="0" applyNumberFormat="1" applyFont="1" applyFill="1" applyAlignment="1" applyProtection="1">
      <alignment horizontal="right" vertical="center"/>
      <protection locked="0"/>
    </xf>
    <xf numFmtId="180" fontId="33" fillId="5" borderId="0" xfId="0" applyNumberFormat="1" applyFont="1" applyFill="1" applyAlignment="1" applyProtection="1">
      <alignment horizontal="right" vertical="center"/>
      <protection locked="0"/>
    </xf>
    <xf numFmtId="3" fontId="33" fillId="5" borderId="0" xfId="0" applyNumberFormat="1" applyFont="1" applyFill="1" applyAlignment="1" applyProtection="1">
      <alignment horizontal="right" vertical="center"/>
      <protection locked="0"/>
    </xf>
    <xf numFmtId="164" fontId="33" fillId="5" borderId="83" xfId="0" applyNumberFormat="1" applyFont="1" applyFill="1" applyBorder="1" applyAlignment="1" applyProtection="1">
      <alignment horizontal="right" vertical="center"/>
      <protection locked="0"/>
    </xf>
    <xf numFmtId="2" fontId="42" fillId="5" borderId="0" xfId="0" applyNumberFormat="1" applyFont="1" applyFill="1" applyAlignment="1">
      <alignment horizontal="right" vertical="center"/>
    </xf>
    <xf numFmtId="174" fontId="42" fillId="5" borderId="0" xfId="0" applyNumberFormat="1" applyFont="1" applyFill="1" applyAlignment="1">
      <alignment horizontal="right"/>
    </xf>
    <xf numFmtId="174" fontId="42" fillId="5" borderId="83" xfId="0" applyNumberFormat="1" applyFont="1" applyFill="1" applyBorder="1" applyAlignment="1">
      <alignment horizontal="right"/>
    </xf>
    <xf numFmtId="0" fontId="42" fillId="5" borderId="0" xfId="0" applyFont="1" applyFill="1" applyAlignment="1">
      <alignment horizontal="right" vertical="top" wrapText="1"/>
    </xf>
    <xf numFmtId="0" fontId="42" fillId="5" borderId="83" xfId="0" applyFont="1" applyFill="1" applyBorder="1" applyAlignment="1">
      <alignment horizontal="right" vertical="top" wrapText="1"/>
    </xf>
    <xf numFmtId="0" fontId="42" fillId="5" borderId="0" xfId="0" applyFont="1" applyFill="1" applyAlignment="1">
      <alignment horizontal="right" wrapText="1"/>
    </xf>
    <xf numFmtId="0" fontId="42" fillId="5" borderId="83" xfId="0" applyFont="1" applyFill="1" applyBorder="1" applyAlignment="1">
      <alignment horizontal="right" wrapText="1"/>
    </xf>
    <xf numFmtId="174" fontId="42" fillId="5" borderId="0" xfId="0" applyNumberFormat="1" applyFont="1" applyFill="1" applyAlignment="1">
      <alignment horizontal="right" vertical="center"/>
    </xf>
    <xf numFmtId="174" fontId="42" fillId="5" borderId="83" xfId="0" applyNumberFormat="1" applyFont="1" applyFill="1" applyBorder="1" applyAlignment="1">
      <alignment horizontal="right" vertical="center"/>
    </xf>
    <xf numFmtId="167" fontId="42" fillId="5" borderId="0" xfId="0" applyNumberFormat="1" applyFont="1" applyFill="1" applyAlignment="1">
      <alignment horizontal="right" vertical="center"/>
    </xf>
    <xf numFmtId="167" fontId="42" fillId="5" borderId="83" xfId="0" applyNumberFormat="1" applyFont="1" applyFill="1" applyBorder="1" applyAlignment="1">
      <alignment horizontal="right" vertical="center"/>
    </xf>
    <xf numFmtId="0" fontId="157" fillId="10" borderId="0" xfId="63" applyNumberFormat="1" applyFont="1" applyFill="1" applyAlignment="1">
      <alignment vertical="center"/>
    </xf>
    <xf numFmtId="0" fontId="158" fillId="10" borderId="0" xfId="64" applyFont="1" applyFill="1" applyAlignment="1">
      <alignment vertical="center"/>
    </xf>
    <xf numFmtId="0" fontId="33" fillId="10" borderId="0" xfId="65" applyFont="1" applyFill="1" applyAlignment="1">
      <alignment horizontal="right" vertical="center"/>
    </xf>
    <xf numFmtId="0" fontId="160" fillId="5" borderId="0" xfId="0" applyFont="1" applyFill="1" applyAlignment="1">
      <alignment vertical="center"/>
    </xf>
    <xf numFmtId="0" fontId="160" fillId="5" borderId="0" xfId="0" applyFont="1" applyFill="1" applyAlignment="1">
      <alignment horizontal="left" vertical="top" wrapText="1"/>
    </xf>
    <xf numFmtId="0" fontId="160" fillId="5" borderId="0" xfId="0" applyFont="1" applyFill="1" applyAlignment="1">
      <alignment horizontal="right" vertical="top" wrapText="1"/>
    </xf>
    <xf numFmtId="0" fontId="160" fillId="5" borderId="83" xfId="0" applyFont="1" applyFill="1" applyBorder="1" applyAlignment="1">
      <alignment horizontal="right" vertical="top" wrapText="1"/>
    </xf>
    <xf numFmtId="0" fontId="160" fillId="5" borderId="0" xfId="0" applyFont="1" applyFill="1" applyAlignment="1">
      <alignment horizontal="left"/>
    </xf>
    <xf numFmtId="165" fontId="160" fillId="5" borderId="0" xfId="0" applyNumberFormat="1" applyFont="1" applyFill="1" applyAlignment="1">
      <alignment horizontal="right" vertical="center"/>
    </xf>
    <xf numFmtId="169" fontId="160" fillId="5" borderId="0" xfId="0" applyNumberFormat="1" applyFont="1" applyFill="1" applyAlignment="1">
      <alignment horizontal="right" vertical="center"/>
    </xf>
    <xf numFmtId="165" fontId="160" fillId="5" borderId="83" xfId="0" applyNumberFormat="1" applyFont="1" applyFill="1" applyBorder="1" applyAlignment="1">
      <alignment horizontal="right" vertical="center"/>
    </xf>
    <xf numFmtId="0" fontId="160" fillId="5" borderId="0" xfId="0" applyFont="1" applyFill="1" applyAlignment="1">
      <alignment horizontal="right" vertical="center"/>
    </xf>
    <xf numFmtId="0" fontId="160" fillId="5" borderId="83" xfId="0" applyFont="1" applyFill="1" applyBorder="1" applyAlignment="1">
      <alignment horizontal="right" vertical="center"/>
    </xf>
    <xf numFmtId="165" fontId="33" fillId="7" borderId="0" xfId="0" applyNumberFormat="1" applyFont="1" applyFill="1" applyAlignment="1">
      <alignment horizontal="right" vertical="center"/>
    </xf>
    <xf numFmtId="169" fontId="160" fillId="5" borderId="83" xfId="0" applyNumberFormat="1" applyFont="1" applyFill="1" applyBorder="1" applyAlignment="1">
      <alignment horizontal="right" vertical="center"/>
    </xf>
    <xf numFmtId="165" fontId="160" fillId="7" borderId="0" xfId="0" applyNumberFormat="1" applyFont="1" applyFill="1" applyAlignment="1">
      <alignment horizontal="right" vertical="center"/>
    </xf>
    <xf numFmtId="174" fontId="160" fillId="5" borderId="0" xfId="0" applyNumberFormat="1" applyFont="1" applyFill="1" applyAlignment="1">
      <alignment horizontal="right" vertical="center"/>
    </xf>
    <xf numFmtId="174" fontId="160" fillId="5" borderId="83" xfId="0" applyNumberFormat="1" applyFont="1" applyFill="1" applyBorder="1" applyAlignment="1">
      <alignment horizontal="right" vertical="center"/>
    </xf>
    <xf numFmtId="169" fontId="33" fillId="5" borderId="0" xfId="0" applyNumberFormat="1" applyFont="1" applyFill="1" applyAlignment="1">
      <alignment horizontal="right" vertical="center"/>
    </xf>
    <xf numFmtId="169" fontId="33" fillId="5" borderId="83" xfId="0" applyNumberFormat="1" applyFont="1" applyFill="1" applyBorder="1" applyAlignment="1">
      <alignment horizontal="right" vertical="center"/>
    </xf>
    <xf numFmtId="165" fontId="42" fillId="0" borderId="0" xfId="0" applyNumberFormat="1" applyFont="1" applyAlignment="1">
      <alignment horizontal="right"/>
    </xf>
    <xf numFmtId="165" fontId="42" fillId="0" borderId="83" xfId="0" applyNumberFormat="1" applyFont="1" applyBorder="1" applyAlignment="1">
      <alignment horizontal="right"/>
    </xf>
    <xf numFmtId="0" fontId="33" fillId="0" borderId="0" xfId="0" applyFont="1" applyAlignment="1">
      <alignment vertical="center"/>
    </xf>
    <xf numFmtId="165" fontId="42" fillId="0" borderId="0" xfId="0" quotePrefix="1" applyNumberFormat="1" applyFont="1" applyAlignment="1">
      <alignment horizontal="right"/>
    </xf>
    <xf numFmtId="165" fontId="42" fillId="5" borderId="0" xfId="0" applyNumberFormat="1" applyFont="1" applyFill="1" applyAlignment="1">
      <alignment horizontal="right"/>
    </xf>
    <xf numFmtId="0" fontId="160" fillId="0" borderId="0" xfId="0" applyFont="1" applyAlignment="1">
      <alignment vertical="center"/>
    </xf>
    <xf numFmtId="0" fontId="160" fillId="0" borderId="0" xfId="0" applyFont="1" applyAlignment="1">
      <alignment horizontal="right" vertical="center"/>
    </xf>
    <xf numFmtId="0" fontId="160" fillId="0" borderId="83" xfId="0" applyFont="1" applyBorder="1" applyAlignment="1">
      <alignment horizontal="right" vertical="center"/>
    </xf>
    <xf numFmtId="174" fontId="160" fillId="0" borderId="0" xfId="0" applyNumberFormat="1" applyFont="1" applyAlignment="1">
      <alignment horizontal="right" vertical="center"/>
    </xf>
    <xf numFmtId="174" fontId="160" fillId="0" borderId="83" xfId="0" applyNumberFormat="1" applyFont="1" applyBorder="1" applyAlignment="1">
      <alignment horizontal="right" vertical="center"/>
    </xf>
    <xf numFmtId="165" fontId="42" fillId="0" borderId="0" xfId="0" applyNumberFormat="1" applyFont="1" applyAlignment="1">
      <alignment horizontal="right" vertical="center"/>
    </xf>
    <xf numFmtId="165" fontId="42" fillId="0" borderId="83" xfId="0" applyNumberFormat="1" applyFont="1" applyBorder="1" applyAlignment="1">
      <alignment horizontal="right" vertical="center"/>
    </xf>
    <xf numFmtId="9" fontId="160" fillId="5" borderId="0" xfId="35" applyFont="1" applyFill="1" applyAlignment="1">
      <alignment horizontal="right" vertical="center"/>
    </xf>
    <xf numFmtId="9" fontId="160" fillId="5" borderId="83" xfId="35" applyFont="1" applyFill="1" applyBorder="1" applyAlignment="1">
      <alignment horizontal="right" vertical="center"/>
    </xf>
    <xf numFmtId="178" fontId="42" fillId="0" borderId="0" xfId="0" applyNumberFormat="1" applyFont="1" applyAlignment="1">
      <alignment vertical="center"/>
    </xf>
    <xf numFmtId="165" fontId="160" fillId="0" borderId="0" xfId="0" applyNumberFormat="1" applyFont="1" applyAlignment="1">
      <alignment horizontal="right" vertical="center"/>
    </xf>
    <xf numFmtId="165" fontId="160" fillId="0" borderId="83" xfId="0" applyNumberFormat="1" applyFont="1" applyBorder="1" applyAlignment="1">
      <alignment horizontal="right" vertical="center"/>
    </xf>
    <xf numFmtId="0" fontId="33" fillId="5" borderId="0" xfId="0" applyFont="1" applyFill="1" applyAlignment="1">
      <alignment vertical="center"/>
    </xf>
    <xf numFmtId="178" fontId="42" fillId="5" borderId="0" xfId="0" applyNumberFormat="1" applyFont="1" applyFill="1" applyAlignment="1">
      <alignment vertical="center"/>
    </xf>
    <xf numFmtId="165" fontId="42" fillId="5" borderId="0" xfId="0" applyNumberFormat="1" applyFont="1" applyFill="1" applyAlignment="1">
      <alignment horizontal="right" vertical="center" wrapText="1"/>
    </xf>
    <xf numFmtId="165" fontId="42" fillId="5" borderId="0" xfId="0" applyNumberFormat="1" applyFont="1" applyFill="1" applyAlignment="1">
      <alignment horizontal="left" vertical="center"/>
    </xf>
    <xf numFmtId="174" fontId="33" fillId="5" borderId="0" xfId="0" applyNumberFormat="1" applyFont="1" applyFill="1" applyAlignment="1">
      <alignment horizontal="right" vertical="center"/>
    </xf>
    <xf numFmtId="174" fontId="33" fillId="5" borderId="83" xfId="0" applyNumberFormat="1" applyFont="1" applyFill="1" applyBorder="1" applyAlignment="1">
      <alignment horizontal="right" vertical="center"/>
    </xf>
    <xf numFmtId="167" fontId="160" fillId="5" borderId="0" xfId="35" applyNumberFormat="1" applyFont="1" applyFill="1" applyAlignment="1">
      <alignment horizontal="right" vertical="center"/>
    </xf>
    <xf numFmtId="167" fontId="160" fillId="5" borderId="83" xfId="35" applyNumberFormat="1" applyFont="1" applyFill="1" applyBorder="1" applyAlignment="1">
      <alignment horizontal="right" vertical="center"/>
    </xf>
    <xf numFmtId="174" fontId="73" fillId="5" borderId="0" xfId="0" applyNumberFormat="1" applyFont="1" applyFill="1" applyAlignment="1">
      <alignment vertical="center"/>
    </xf>
    <xf numFmtId="174" fontId="42" fillId="5" borderId="0" xfId="0" applyNumberFormat="1" applyFont="1" applyFill="1" applyAlignment="1">
      <alignment vertical="center"/>
    </xf>
    <xf numFmtId="174" fontId="159" fillId="5" borderId="0" xfId="0" applyNumberFormat="1" applyFont="1" applyFill="1" applyAlignment="1">
      <alignment vertical="center"/>
    </xf>
    <xf numFmtId="174" fontId="156" fillId="5" borderId="0" xfId="0" applyNumberFormat="1" applyFont="1" applyFill="1" applyAlignment="1">
      <alignment vertical="center"/>
    </xf>
    <xf numFmtId="165" fontId="73" fillId="5" borderId="0" xfId="0" applyNumberFormat="1" applyFont="1" applyFill="1" applyAlignment="1">
      <alignment vertical="center"/>
    </xf>
    <xf numFmtId="165" fontId="42" fillId="5" borderId="0" xfId="0" applyNumberFormat="1" applyFont="1" applyFill="1" applyAlignment="1">
      <alignment vertical="center"/>
    </xf>
    <xf numFmtId="0" fontId="157" fillId="10" borderId="0" xfId="0" applyFont="1" applyFill="1" applyAlignment="1">
      <alignment vertical="center"/>
    </xf>
    <xf numFmtId="0" fontId="121" fillId="5" borderId="0" xfId="0" applyFont="1" applyFill="1" applyAlignment="1">
      <alignment vertical="center"/>
    </xf>
    <xf numFmtId="174" fontId="124" fillId="5" borderId="0" xfId="0" applyNumberFormat="1" applyFont="1" applyFill="1" applyAlignment="1">
      <alignment vertical="center"/>
    </xf>
    <xf numFmtId="165" fontId="121" fillId="5" borderId="0" xfId="0" applyNumberFormat="1" applyFont="1" applyFill="1" applyAlignment="1">
      <alignment vertical="center"/>
    </xf>
    <xf numFmtId="165" fontId="124" fillId="5" borderId="0" xfId="0" applyNumberFormat="1" applyFont="1" applyFill="1" applyAlignment="1">
      <alignment vertical="center"/>
    </xf>
    <xf numFmtId="167" fontId="124" fillId="5" borderId="0" xfId="0" applyNumberFormat="1" applyFont="1" applyFill="1" applyAlignment="1">
      <alignment vertical="center"/>
    </xf>
    <xf numFmtId="167" fontId="121" fillId="5" borderId="0" xfId="0" applyNumberFormat="1" applyFont="1" applyFill="1" applyAlignment="1">
      <alignment vertical="center"/>
    </xf>
    <xf numFmtId="167" fontId="124" fillId="5" borderId="0" xfId="35" applyNumberFormat="1" applyFont="1" applyFill="1" applyAlignment="1">
      <alignment vertical="center"/>
    </xf>
    <xf numFmtId="167" fontId="121" fillId="5" borderId="0" xfId="35" applyNumberFormat="1" applyFont="1" applyFill="1" applyAlignment="1">
      <alignment vertical="center"/>
    </xf>
    <xf numFmtId="0" fontId="150" fillId="8" borderId="0" xfId="0" applyFont="1" applyFill="1" applyAlignment="1">
      <alignment horizontal="left" vertical="center"/>
    </xf>
    <xf numFmtId="0" fontId="150" fillId="8" borderId="0" xfId="0" applyFont="1" applyFill="1" applyAlignment="1">
      <alignment horizontal="right" vertical="center"/>
    </xf>
    <xf numFmtId="0" fontId="157" fillId="9" borderId="0" xfId="63" applyNumberFormat="1" applyFont="1" applyFill="1" applyAlignment="1">
      <alignment horizontal="left" vertical="center"/>
    </xf>
    <xf numFmtId="0" fontId="158" fillId="9" borderId="0" xfId="64" applyFont="1" applyFill="1" applyAlignment="1">
      <alignment horizontal="left" vertical="center"/>
    </xf>
    <xf numFmtId="0" fontId="33" fillId="9" borderId="0" xfId="65" applyFont="1" applyFill="1" applyAlignment="1">
      <alignment horizontal="left" vertical="center"/>
    </xf>
    <xf numFmtId="0" fontId="33" fillId="9" borderId="0" xfId="0" applyFont="1" applyFill="1" applyAlignment="1">
      <alignment horizontal="left" vertical="center"/>
    </xf>
    <xf numFmtId="165" fontId="33" fillId="9" borderId="0" xfId="0" applyNumberFormat="1" applyFont="1" applyFill="1" applyAlignment="1">
      <alignment horizontal="left" vertical="center"/>
    </xf>
    <xf numFmtId="0" fontId="73" fillId="5" borderId="0" xfId="0" applyFont="1" applyFill="1" applyAlignment="1">
      <alignment horizontal="left" vertical="center"/>
    </xf>
    <xf numFmtId="0" fontId="33" fillId="5" borderId="0" xfId="63" applyNumberFormat="1" applyFont="1" applyFill="1">
      <alignment vertical="top"/>
    </xf>
    <xf numFmtId="0" fontId="33" fillId="5" borderId="0" xfId="0" applyFont="1" applyFill="1" applyAlignment="1">
      <alignment vertical="top"/>
    </xf>
    <xf numFmtId="0" fontId="161" fillId="5" borderId="0" xfId="64" applyFont="1" applyFill="1">
      <alignment vertical="top"/>
    </xf>
    <xf numFmtId="0" fontId="33" fillId="5" borderId="0" xfId="65" applyFont="1" applyFill="1">
      <alignment horizontal="right" vertical="top"/>
    </xf>
    <xf numFmtId="0" fontId="33" fillId="5" borderId="0" xfId="0" applyFont="1" applyFill="1" applyAlignment="1">
      <alignment horizontal="right" vertical="top"/>
    </xf>
    <xf numFmtId="165" fontId="42" fillId="5" borderId="0" xfId="0" applyNumberFormat="1" applyFont="1" applyFill="1"/>
    <xf numFmtId="0" fontId="160" fillId="5" borderId="0" xfId="0" applyFont="1" applyFill="1"/>
    <xf numFmtId="165" fontId="160" fillId="5" borderId="0" xfId="0" applyNumberFormat="1" applyFont="1" applyFill="1"/>
    <xf numFmtId="0" fontId="160" fillId="5" borderId="0" xfId="0" applyFont="1" applyFill="1" applyAlignment="1">
      <alignment horizontal="right"/>
    </xf>
    <xf numFmtId="167" fontId="160" fillId="5" borderId="0" xfId="35" applyNumberFormat="1" applyFont="1" applyFill="1"/>
    <xf numFmtId="167" fontId="42" fillId="5" borderId="0" xfId="35" applyNumberFormat="1" applyFont="1" applyFill="1"/>
    <xf numFmtId="9" fontId="160" fillId="5" borderId="0" xfId="35" applyFont="1" applyFill="1"/>
    <xf numFmtId="9" fontId="42" fillId="5" borderId="0" xfId="35" applyFont="1" applyFill="1"/>
    <xf numFmtId="9" fontId="160" fillId="5" borderId="0" xfId="0" applyNumberFormat="1" applyFont="1" applyFill="1"/>
    <xf numFmtId="9" fontId="42" fillId="5" borderId="0" xfId="0" applyNumberFormat="1" applyFont="1" applyFill="1"/>
    <xf numFmtId="0" fontId="159" fillId="5" borderId="0" xfId="0" applyFont="1" applyFill="1"/>
    <xf numFmtId="0" fontId="156" fillId="5" borderId="0" xfId="0" applyFont="1" applyFill="1" applyAlignment="1">
      <alignment horizontal="right"/>
    </xf>
    <xf numFmtId="167" fontId="162" fillId="5" borderId="0" xfId="35" applyNumberFormat="1" applyFont="1" applyFill="1" applyAlignment="1">
      <alignment vertical="center"/>
    </xf>
    <xf numFmtId="0" fontId="121" fillId="5" borderId="0" xfId="0" applyFont="1" applyFill="1" applyAlignment="1">
      <alignment horizontal="right"/>
    </xf>
    <xf numFmtId="165" fontId="121" fillId="5" borderId="0" xfId="0" applyNumberFormat="1" applyFont="1" applyFill="1"/>
    <xf numFmtId="0" fontId="121" fillId="5" borderId="0" xfId="0" applyFont="1" applyFill="1"/>
    <xf numFmtId="0" fontId="163" fillId="5" borderId="0" xfId="0" applyFont="1" applyFill="1" applyAlignment="1">
      <alignment horizontal="right"/>
    </xf>
    <xf numFmtId="0" fontId="164" fillId="32" borderId="0" xfId="0" applyFont="1" applyFill="1" applyAlignment="1">
      <alignment horizontal="left" vertical="center"/>
    </xf>
    <xf numFmtId="168" fontId="150" fillId="32" borderId="0" xfId="0" applyNumberFormat="1" applyFont="1" applyFill="1" applyAlignment="1">
      <alignment horizontal="right" vertical="center"/>
    </xf>
    <xf numFmtId="0" fontId="42" fillId="5" borderId="0" xfId="0" applyFont="1" applyFill="1" applyAlignment="1">
      <alignment horizontal="left" vertical="center"/>
    </xf>
    <xf numFmtId="0" fontId="33" fillId="9" borderId="0" xfId="0" applyFont="1" applyFill="1" applyAlignment="1">
      <alignment horizontal="right" vertical="center"/>
    </xf>
    <xf numFmtId="0" fontId="33" fillId="5" borderId="0" xfId="63" applyNumberFormat="1" applyFont="1" applyFill="1" applyAlignment="1">
      <alignment vertical="center"/>
    </xf>
    <xf numFmtId="0" fontId="158" fillId="5" borderId="0" xfId="64" applyFont="1" applyFill="1" applyAlignment="1">
      <alignment vertical="center"/>
    </xf>
    <xf numFmtId="0" fontId="33" fillId="5" borderId="0" xfId="65" applyFont="1" applyFill="1" applyAlignment="1">
      <alignment horizontal="right" vertical="center"/>
    </xf>
    <xf numFmtId="165" fontId="33" fillId="5" borderId="0" xfId="0" applyNumberFormat="1" applyFont="1" applyFill="1" applyAlignment="1">
      <alignment vertical="center"/>
    </xf>
    <xf numFmtId="0" fontId="161" fillId="5" borderId="0" xfId="64" applyFont="1" applyFill="1" applyAlignment="1">
      <alignment vertical="center"/>
    </xf>
    <xf numFmtId="165" fontId="160" fillId="5" borderId="0" xfId="0" applyNumberFormat="1" applyFont="1" applyFill="1" applyAlignment="1">
      <alignment horizontal="left" vertical="center"/>
    </xf>
    <xf numFmtId="165" fontId="160" fillId="5" borderId="0" xfId="0" applyNumberFormat="1" applyFont="1" applyFill="1" applyAlignment="1">
      <alignment vertical="center"/>
    </xf>
    <xf numFmtId="165" fontId="121" fillId="5" borderId="0" xfId="0" applyNumberFormat="1" applyFont="1" applyFill="1" applyAlignment="1">
      <alignment horizontal="right" vertical="center"/>
    </xf>
    <xf numFmtId="0" fontId="121" fillId="5" borderId="0" xfId="0" applyFont="1" applyFill="1" applyAlignment="1">
      <alignment horizontal="right" vertical="center"/>
    </xf>
    <xf numFmtId="167" fontId="160" fillId="5" borderId="0" xfId="35" applyNumberFormat="1" applyFont="1" applyFill="1" applyAlignment="1">
      <alignment vertical="center"/>
    </xf>
    <xf numFmtId="167" fontId="160" fillId="5" borderId="0" xfId="0" applyNumberFormat="1" applyFont="1" applyFill="1" applyAlignment="1">
      <alignment horizontal="right" vertical="center"/>
    </xf>
    <xf numFmtId="168" fontId="150" fillId="8" borderId="0" xfId="0" applyNumberFormat="1" applyFont="1" applyFill="1" applyAlignment="1">
      <alignment horizontal="left" vertical="center"/>
    </xf>
    <xf numFmtId="0" fontId="33" fillId="9" borderId="83" xfId="0" applyFont="1" applyFill="1" applyBorder="1" applyAlignment="1">
      <alignment horizontal="right" vertical="center"/>
    </xf>
    <xf numFmtId="0" fontId="165" fillId="5" borderId="0" xfId="0" applyFont="1" applyFill="1"/>
    <xf numFmtId="0" fontId="160" fillId="7" borderId="0" xfId="0" applyFont="1" applyFill="1" applyAlignment="1">
      <alignment horizontal="right" vertical="top" wrapText="1"/>
    </xf>
    <xf numFmtId="0" fontId="160" fillId="7" borderId="83" xfId="0" applyFont="1" applyFill="1" applyBorder="1" applyAlignment="1">
      <alignment horizontal="right" vertical="top" wrapText="1"/>
    </xf>
    <xf numFmtId="0" fontId="42" fillId="5" borderId="0" xfId="0" applyFont="1" applyFill="1" applyAlignment="1">
      <alignment horizontal="left" vertical="top" wrapText="1"/>
    </xf>
    <xf numFmtId="0" fontId="42" fillId="7" borderId="0" xfId="0" applyFont="1" applyFill="1" applyAlignment="1">
      <alignment horizontal="right" vertical="top" wrapText="1"/>
    </xf>
    <xf numFmtId="0" fontId="42" fillId="7" borderId="83" xfId="0" applyFont="1" applyFill="1" applyBorder="1" applyAlignment="1">
      <alignment horizontal="right" vertical="top" wrapText="1"/>
    </xf>
    <xf numFmtId="174" fontId="160" fillId="7" borderId="0" xfId="0" applyNumberFormat="1" applyFont="1" applyFill="1" applyAlignment="1">
      <alignment horizontal="right"/>
    </xf>
    <xf numFmtId="174" fontId="160" fillId="7" borderId="83" xfId="0" applyNumberFormat="1" applyFont="1" applyFill="1" applyBorder="1" applyAlignment="1">
      <alignment horizontal="right"/>
    </xf>
    <xf numFmtId="0" fontId="42" fillId="7" borderId="0" xfId="0" applyFont="1" applyFill="1" applyAlignment="1">
      <alignment horizontal="right"/>
    </xf>
    <xf numFmtId="174" fontId="42" fillId="7" borderId="0" xfId="0" applyNumberFormat="1" applyFont="1" applyFill="1" applyAlignment="1">
      <alignment horizontal="right" vertical="center"/>
    </xf>
    <xf numFmtId="174" fontId="42" fillId="7" borderId="83" xfId="0" applyNumberFormat="1" applyFont="1" applyFill="1" applyBorder="1" applyAlignment="1">
      <alignment horizontal="right" vertical="center"/>
    </xf>
    <xf numFmtId="0" fontId="160" fillId="7" borderId="0" xfId="0" applyFont="1" applyFill="1" applyAlignment="1">
      <alignment horizontal="right"/>
    </xf>
    <xf numFmtId="0" fontId="160" fillId="7" borderId="83" xfId="0" applyFont="1" applyFill="1" applyBorder="1" applyAlignment="1">
      <alignment horizontal="right"/>
    </xf>
    <xf numFmtId="0" fontId="138" fillId="8" borderId="0" xfId="42" applyFont="1" applyFill="1" applyAlignment="1">
      <alignment horizontal="left" vertical="center"/>
    </xf>
    <xf numFmtId="0" fontId="33" fillId="0" borderId="0" xfId="42" applyFont="1" applyAlignment="1">
      <alignment horizontal="left" vertical="center" wrapText="1"/>
    </xf>
    <xf numFmtId="0" fontId="31" fillId="0" borderId="0" xfId="42" applyFont="1" applyAlignment="1">
      <alignment horizontal="left" vertical="center"/>
    </xf>
    <xf numFmtId="0" fontId="166" fillId="0" borderId="0" xfId="42" applyFont="1" applyAlignment="1">
      <alignment horizontal="right" vertical="center"/>
    </xf>
    <xf numFmtId="0" fontId="167" fillId="0" borderId="0" xfId="42" applyFont="1" applyAlignment="1">
      <alignment horizontal="right" vertical="center"/>
    </xf>
    <xf numFmtId="0" fontId="132" fillId="9" borderId="6" xfId="42" applyFont="1" applyFill="1" applyBorder="1" applyAlignment="1">
      <alignment vertical="center" wrapText="1"/>
    </xf>
    <xf numFmtId="0" fontId="168" fillId="9" borderId="21" xfId="42" applyFont="1" applyFill="1" applyBorder="1" applyAlignment="1">
      <alignment horizontal="left" vertical="center" wrapText="1"/>
    </xf>
    <xf numFmtId="0" fontId="169" fillId="9" borderId="22" xfId="42" applyFont="1" applyFill="1" applyBorder="1" applyAlignment="1">
      <alignment horizontal="center" vertical="center" wrapText="1"/>
    </xf>
    <xf numFmtId="0" fontId="169" fillId="9" borderId="23" xfId="42" applyFont="1" applyFill="1" applyBorder="1" applyAlignment="1">
      <alignment horizontal="left" vertical="center" wrapText="1"/>
    </xf>
    <xf numFmtId="0" fontId="169" fillId="9" borderId="21" xfId="42" applyFont="1" applyFill="1" applyBorder="1" applyAlignment="1">
      <alignment horizontal="left" vertical="center" wrapText="1"/>
    </xf>
    <xf numFmtId="0" fontId="169" fillId="9" borderId="22" xfId="42" applyFont="1" applyFill="1" applyBorder="1" applyAlignment="1">
      <alignment horizontal="left" vertical="center" wrapText="1"/>
    </xf>
    <xf numFmtId="0" fontId="169" fillId="9" borderId="24" xfId="42" applyFont="1" applyFill="1" applyBorder="1" applyAlignment="1">
      <alignment horizontal="left" vertical="center" wrapText="1"/>
    </xf>
    <xf numFmtId="0" fontId="169" fillId="9" borderId="21" xfId="42" applyFont="1" applyFill="1" applyBorder="1" applyAlignment="1">
      <alignment horizontal="right" vertical="center" wrapText="1"/>
    </xf>
    <xf numFmtId="0" fontId="169" fillId="9" borderId="24" xfId="42" applyFont="1" applyFill="1" applyBorder="1" applyAlignment="1">
      <alignment horizontal="right" vertical="center" wrapText="1"/>
    </xf>
    <xf numFmtId="0" fontId="169" fillId="9" borderId="27" xfId="42" applyFont="1" applyFill="1" applyBorder="1" applyAlignment="1">
      <alignment horizontal="center" vertical="center" wrapText="1"/>
    </xf>
    <xf numFmtId="0" fontId="169" fillId="9" borderId="22" xfId="42" applyFont="1" applyFill="1" applyBorder="1" applyAlignment="1">
      <alignment horizontal="right" vertical="center" wrapText="1"/>
    </xf>
    <xf numFmtId="0" fontId="132" fillId="9" borderId="28" xfId="42" applyFont="1" applyFill="1" applyBorder="1" applyAlignment="1">
      <alignment vertical="center" wrapText="1"/>
    </xf>
    <xf numFmtId="0" fontId="133" fillId="9" borderId="0" xfId="42" applyFont="1" applyFill="1" applyAlignment="1">
      <alignment horizontal="left" vertical="top" wrapText="1"/>
    </xf>
    <xf numFmtId="0" fontId="169" fillId="9" borderId="29" xfId="42" applyFont="1" applyFill="1" applyBorder="1" applyAlignment="1">
      <alignment horizontal="center" vertical="center" wrapText="1"/>
    </xf>
    <xf numFmtId="0" fontId="169" fillId="9" borderId="30" xfId="42" applyFont="1" applyFill="1" applyBorder="1" applyAlignment="1">
      <alignment vertical="center" wrapText="1"/>
    </xf>
    <xf numFmtId="0" fontId="169" fillId="9" borderId="31" xfId="42" applyFont="1" applyFill="1" applyBorder="1" applyAlignment="1">
      <alignment vertical="center" wrapText="1"/>
    </xf>
    <xf numFmtId="0" fontId="169" fillId="9" borderId="29" xfId="42" applyFont="1" applyFill="1" applyBorder="1" applyAlignment="1">
      <alignment vertical="center" wrapText="1"/>
    </xf>
    <xf numFmtId="0" fontId="169" fillId="9" borderId="32" xfId="42" applyFont="1" applyFill="1" applyBorder="1" applyAlignment="1">
      <alignment vertical="center" wrapText="1"/>
    </xf>
    <xf numFmtId="0" fontId="169" fillId="9" borderId="31" xfId="42" applyFont="1" applyFill="1" applyBorder="1" applyAlignment="1">
      <alignment horizontal="right" vertical="center" wrapText="1"/>
    </xf>
    <xf numFmtId="0" fontId="169" fillId="9" borderId="32" xfId="42" applyFont="1" applyFill="1" applyBorder="1" applyAlignment="1">
      <alignment horizontal="right" vertical="center" wrapText="1"/>
    </xf>
    <xf numFmtId="0" fontId="169" fillId="9" borderId="33" xfId="42" applyFont="1" applyFill="1" applyBorder="1" applyAlignment="1">
      <alignment horizontal="right" vertical="center" wrapText="1"/>
    </xf>
    <xf numFmtId="0" fontId="169" fillId="9" borderId="34" xfId="42" applyFont="1" applyFill="1" applyBorder="1" applyAlignment="1">
      <alignment horizontal="right" vertical="center" wrapText="1"/>
    </xf>
    <xf numFmtId="0" fontId="169" fillId="9" borderId="35" xfId="42" applyFont="1" applyFill="1" applyBorder="1" applyAlignment="1">
      <alignment horizontal="right" vertical="center" wrapText="1"/>
    </xf>
    <xf numFmtId="0" fontId="169" fillId="9" borderId="36" xfId="42" applyFont="1" applyFill="1" applyBorder="1" applyAlignment="1">
      <alignment horizontal="right" vertical="center" wrapText="1"/>
    </xf>
    <xf numFmtId="0" fontId="169" fillId="9" borderId="29" xfId="42" applyFont="1" applyFill="1" applyBorder="1" applyAlignment="1">
      <alignment horizontal="right" vertical="center" wrapText="1"/>
    </xf>
    <xf numFmtId="0" fontId="46" fillId="9" borderId="28" xfId="42" applyFont="1" applyFill="1" applyBorder="1" applyAlignment="1">
      <alignment horizontal="left" vertical="center" wrapText="1"/>
    </xf>
    <xf numFmtId="0" fontId="33" fillId="9" borderId="29" xfId="42" applyFont="1" applyFill="1" applyBorder="1" applyAlignment="1">
      <alignment horizontal="center" vertical="top" wrapText="1"/>
    </xf>
    <xf numFmtId="0" fontId="46" fillId="9" borderId="30" xfId="42" applyFont="1" applyFill="1" applyBorder="1" applyAlignment="1">
      <alignment horizontal="left" vertical="top" wrapText="1"/>
    </xf>
    <xf numFmtId="0" fontId="46" fillId="9" borderId="31" xfId="42" applyFont="1" applyFill="1" applyBorder="1" applyAlignment="1">
      <alignment horizontal="left" vertical="top" wrapText="1"/>
    </xf>
    <xf numFmtId="0" fontId="46" fillId="9" borderId="31" xfId="42" applyFont="1" applyFill="1" applyBorder="1" applyAlignment="1">
      <alignment horizontal="center" vertical="top" wrapText="1"/>
    </xf>
    <xf numFmtId="0" fontId="46" fillId="9" borderId="29" xfId="42" applyFont="1" applyFill="1" applyBorder="1" applyAlignment="1">
      <alignment horizontal="left" vertical="top" wrapText="1"/>
    </xf>
    <xf numFmtId="0" fontId="46" fillId="9" borderId="32" xfId="42" applyFont="1" applyFill="1" applyBorder="1" applyAlignment="1">
      <alignment horizontal="left" vertical="top" wrapText="1"/>
    </xf>
    <xf numFmtId="0" fontId="46" fillId="9" borderId="30" xfId="42" applyFont="1" applyFill="1" applyBorder="1" applyAlignment="1">
      <alignment horizontal="center" vertical="top" wrapText="1"/>
    </xf>
    <xf numFmtId="0" fontId="132" fillId="9" borderId="32" xfId="42" applyFont="1" applyFill="1" applyBorder="1" applyAlignment="1">
      <alignment horizontal="center" vertical="top" wrapText="1"/>
    </xf>
    <xf numFmtId="0" fontId="168" fillId="9" borderId="31" xfId="42" applyFont="1" applyFill="1" applyBorder="1" applyAlignment="1">
      <alignment horizontal="left" vertical="top" wrapText="1"/>
    </xf>
    <xf numFmtId="0" fontId="46" fillId="9" borderId="31" xfId="42" applyFont="1" applyFill="1" applyBorder="1" applyAlignment="1">
      <alignment horizontal="center" vertical="center" wrapText="1"/>
    </xf>
    <xf numFmtId="0" fontId="46" fillId="9" borderId="31" xfId="42" applyFont="1" applyFill="1" applyBorder="1" applyAlignment="1">
      <alignment horizontal="right" vertical="top" wrapText="1"/>
    </xf>
    <xf numFmtId="0" fontId="132" fillId="9" borderId="31" xfId="42" applyFont="1" applyFill="1" applyBorder="1" applyAlignment="1">
      <alignment horizontal="center" vertical="top" wrapText="1"/>
    </xf>
    <xf numFmtId="0" fontId="46" fillId="9" borderId="29" xfId="42" applyFont="1" applyFill="1" applyBorder="1" applyAlignment="1">
      <alignment horizontal="center" vertical="top" wrapText="1"/>
    </xf>
    <xf numFmtId="0" fontId="131" fillId="9" borderId="29" xfId="42" applyFont="1" applyFill="1" applyBorder="1" applyAlignment="1">
      <alignment horizontal="right" vertical="center" wrapText="1"/>
    </xf>
    <xf numFmtId="0" fontId="131" fillId="9" borderId="29" xfId="42" applyFont="1" applyFill="1" applyBorder="1" applyAlignment="1">
      <alignment horizontal="center" vertical="top" wrapText="1"/>
    </xf>
    <xf numFmtId="0" fontId="46" fillId="9" borderId="38" xfId="42" applyFont="1" applyFill="1" applyBorder="1" applyAlignment="1">
      <alignment horizontal="left" vertical="top" wrapText="1"/>
    </xf>
    <xf numFmtId="0" fontId="169" fillId="9" borderId="1" xfId="42" applyFont="1" applyFill="1" applyBorder="1" applyAlignment="1">
      <alignment horizontal="left" vertical="top" wrapText="1"/>
    </xf>
    <xf numFmtId="0" fontId="131" fillId="9" borderId="39" xfId="42" applyFont="1" applyFill="1" applyBorder="1" applyAlignment="1">
      <alignment horizontal="center" vertical="top" wrapText="1"/>
    </xf>
    <xf numFmtId="0" fontId="131" fillId="9" borderId="40" xfId="42" applyFont="1" applyFill="1" applyBorder="1" applyAlignment="1">
      <alignment horizontal="left" vertical="top" wrapText="1"/>
    </xf>
    <xf numFmtId="0" fontId="131" fillId="9" borderId="41" xfId="42" applyFont="1" applyFill="1" applyBorder="1" applyAlignment="1">
      <alignment horizontal="left" vertical="top" wrapText="1"/>
    </xf>
    <xf numFmtId="0" fontId="172" fillId="9" borderId="41" xfId="42" applyFont="1" applyFill="1" applyBorder="1" applyAlignment="1">
      <alignment horizontal="center" vertical="top" wrapText="1"/>
    </xf>
    <xf numFmtId="0" fontId="131" fillId="9" borderId="39" xfId="42" applyFont="1" applyFill="1" applyBorder="1" applyAlignment="1">
      <alignment horizontal="left" vertical="top" wrapText="1"/>
    </xf>
    <xf numFmtId="0" fontId="131" fillId="9" borderId="42" xfId="42" applyFont="1" applyFill="1" applyBorder="1" applyAlignment="1">
      <alignment horizontal="left" vertical="top" wrapText="1"/>
    </xf>
    <xf numFmtId="0" fontId="46" fillId="9" borderId="40" xfId="42" applyFont="1" applyFill="1" applyBorder="1" applyAlignment="1">
      <alignment horizontal="right" vertical="top" wrapText="1"/>
    </xf>
    <xf numFmtId="0" fontId="46" fillId="9" borderId="41" xfId="42" applyFont="1" applyFill="1" applyBorder="1" applyAlignment="1">
      <alignment horizontal="right" vertical="top" wrapText="1"/>
    </xf>
    <xf numFmtId="0" fontId="131" fillId="9" borderId="42" xfId="42" applyFont="1" applyFill="1" applyBorder="1" applyAlignment="1">
      <alignment horizontal="right" vertical="top" wrapText="1"/>
    </xf>
    <xf numFmtId="0" fontId="131" fillId="9" borderId="40" xfId="42" applyFont="1" applyFill="1" applyBorder="1" applyAlignment="1">
      <alignment horizontal="center" vertical="top" wrapText="1"/>
    </xf>
    <xf numFmtId="0" fontId="172" fillId="9" borderId="42" xfId="42" applyFont="1" applyFill="1" applyBorder="1" applyAlignment="1">
      <alignment horizontal="center" vertical="top" wrapText="1"/>
    </xf>
    <xf numFmtId="0" fontId="131" fillId="9" borderId="41" xfId="42" applyFont="1" applyFill="1" applyBorder="1" applyAlignment="1">
      <alignment horizontal="right" vertical="top" wrapText="1"/>
    </xf>
    <xf numFmtId="0" fontId="168" fillId="9" borderId="42" xfId="42" applyFont="1" applyFill="1" applyBorder="1" applyAlignment="1">
      <alignment horizontal="right" vertical="top" wrapText="1"/>
    </xf>
    <xf numFmtId="0" fontId="46" fillId="9" borderId="41" xfId="42" applyFont="1" applyFill="1" applyBorder="1" applyAlignment="1">
      <alignment horizontal="center" vertical="top" wrapText="1"/>
    </xf>
    <xf numFmtId="0" fontId="46" fillId="9" borderId="39" xfId="42" applyFont="1" applyFill="1" applyBorder="1" applyAlignment="1">
      <alignment horizontal="center" vertical="top" wrapText="1"/>
    </xf>
    <xf numFmtId="0" fontId="46" fillId="9" borderId="42" xfId="42" applyFont="1" applyFill="1" applyBorder="1" applyAlignment="1">
      <alignment horizontal="right" vertical="top" wrapText="1"/>
    </xf>
    <xf numFmtId="0" fontId="46" fillId="9" borderId="43" xfId="42" applyFont="1" applyFill="1" applyBorder="1" applyAlignment="1">
      <alignment horizontal="right" vertical="top" wrapText="1" indent="1"/>
    </xf>
    <xf numFmtId="0" fontId="46" fillId="9" borderId="0" xfId="42" applyFont="1" applyFill="1" applyAlignment="1">
      <alignment horizontal="right" vertical="top" wrapText="1"/>
    </xf>
    <xf numFmtId="0" fontId="46" fillId="9" borderId="44" xfId="42" applyFont="1" applyFill="1" applyBorder="1" applyAlignment="1">
      <alignment horizontal="right" vertical="top" wrapText="1"/>
    </xf>
    <xf numFmtId="0" fontId="46" fillId="9" borderId="33" xfId="42" applyFont="1" applyFill="1" applyBorder="1" applyAlignment="1">
      <alignment horizontal="right" vertical="top" wrapText="1"/>
    </xf>
    <xf numFmtId="0" fontId="46" fillId="9" borderId="34" xfId="42" applyFont="1" applyFill="1" applyBorder="1" applyAlignment="1">
      <alignment horizontal="right" vertical="top" wrapText="1"/>
    </xf>
    <xf numFmtId="0" fontId="46" fillId="9" borderId="35" xfId="42" applyFont="1" applyFill="1" applyBorder="1" applyAlignment="1">
      <alignment horizontal="right" vertical="top" wrapText="1"/>
    </xf>
    <xf numFmtId="0" fontId="46" fillId="9" borderId="36" xfId="42" applyFont="1" applyFill="1" applyBorder="1" applyAlignment="1">
      <alignment horizontal="right" vertical="top" wrapText="1"/>
    </xf>
    <xf numFmtId="0" fontId="46" fillId="9" borderId="39" xfId="42" applyFont="1" applyFill="1" applyBorder="1" applyAlignment="1">
      <alignment horizontal="right" vertical="top" wrapText="1"/>
    </xf>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30" xfId="42" applyFont="1" applyBorder="1" applyAlignment="1">
      <alignment horizontal="center" vertical="top" wrapText="1"/>
    </xf>
    <xf numFmtId="0" fontId="33" fillId="0" borderId="31" xfId="42" applyFont="1" applyBorder="1" applyAlignment="1">
      <alignment horizontal="left" vertical="top" wrapText="1"/>
    </xf>
    <xf numFmtId="0" fontId="33" fillId="0" borderId="31" xfId="42" applyFont="1" applyBorder="1" applyAlignment="1">
      <alignment horizontal="center" vertical="top" wrapText="1"/>
    </xf>
    <xf numFmtId="0" fontId="33" fillId="0" borderId="29" xfId="42" applyFont="1" applyBorder="1" applyAlignment="1">
      <alignment horizontal="left" vertical="top" wrapText="1"/>
    </xf>
    <xf numFmtId="0" fontId="33" fillId="0" borderId="32" xfId="42" applyFont="1" applyBorder="1" applyAlignment="1">
      <alignment horizontal="left" vertical="top" wrapText="1"/>
    </xf>
    <xf numFmtId="167" fontId="33" fillId="0" borderId="30" xfId="42" applyNumberFormat="1" applyFont="1" applyBorder="1" applyAlignment="1">
      <alignment horizontal="right" vertical="top" wrapText="1"/>
    </xf>
    <xf numFmtId="167" fontId="33" fillId="0" borderId="31" xfId="42" applyNumberFormat="1" applyFont="1" applyBorder="1" applyAlignment="1">
      <alignment horizontal="right" vertical="top" wrapText="1"/>
    </xf>
    <xf numFmtId="167" fontId="33" fillId="0" borderId="32" xfId="42" applyNumberFormat="1" applyFont="1" applyBorder="1" applyAlignment="1">
      <alignment horizontal="right" vertical="top" wrapText="1"/>
    </xf>
    <xf numFmtId="167" fontId="173" fillId="0" borderId="29" xfId="42" applyNumberFormat="1" applyFont="1" applyBorder="1" applyAlignment="1">
      <alignment horizontal="right" vertical="top" wrapText="1"/>
    </xf>
    <xf numFmtId="0" fontId="33" fillId="0" borderId="32" xfId="42" applyFont="1" applyBorder="1" applyAlignment="1">
      <alignment horizontal="center" vertical="top" wrapText="1"/>
    </xf>
    <xf numFmtId="170" fontId="122" fillId="0" borderId="32" xfId="42" applyNumberFormat="1" applyFont="1" applyBorder="1" applyAlignment="1">
      <alignment horizontal="right" vertical="top" wrapText="1"/>
    </xf>
    <xf numFmtId="0" fontId="33" fillId="0" borderId="0" xfId="42" applyFont="1" applyAlignment="1">
      <alignment horizontal="center" vertical="top" wrapText="1"/>
    </xf>
    <xf numFmtId="0" fontId="33" fillId="0" borderId="29" xfId="42" applyFont="1" applyBorder="1" applyAlignment="1">
      <alignment horizontal="center" vertical="top" wrapText="1"/>
    </xf>
    <xf numFmtId="0" fontId="33" fillId="0" borderId="31" xfId="42" applyFont="1" applyBorder="1" applyAlignment="1">
      <alignment horizontal="right" vertical="top" wrapText="1"/>
    </xf>
    <xf numFmtId="21" fontId="33" fillId="0" borderId="31" xfId="42" applyNumberFormat="1" applyFont="1" applyBorder="1" applyAlignment="1">
      <alignment horizontal="right" vertical="top" wrapText="1"/>
    </xf>
    <xf numFmtId="0" fontId="33" fillId="0" borderId="43" xfId="42" applyFont="1" applyBorder="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7" fontId="33" fillId="0" borderId="43" xfId="42" applyNumberFormat="1" applyFont="1" applyBorder="1" applyAlignment="1">
      <alignment horizontal="right" vertical="top" wrapText="1"/>
    </xf>
    <xf numFmtId="167" fontId="33" fillId="0" borderId="0" xfId="42" applyNumberFormat="1" applyFont="1" applyAlignment="1">
      <alignment horizontal="right" vertical="top" wrapText="1"/>
    </xf>
    <xf numFmtId="167" fontId="33" fillId="0" borderId="44" xfId="42" applyNumberFormat="1" applyFont="1" applyBorder="1" applyAlignment="1">
      <alignment horizontal="right" vertical="top" wrapText="1"/>
    </xf>
    <xf numFmtId="167" fontId="173"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3" fontId="33" fillId="0" borderId="0" xfId="42" applyNumberFormat="1" applyFont="1" applyAlignment="1">
      <alignment horizontal="right" vertical="top" wrapText="1"/>
    </xf>
    <xf numFmtId="170" fontId="122"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0" xfId="42" applyFont="1" applyAlignment="1">
      <alignment horizontal="right" vertical="top" wrapText="1"/>
    </xf>
    <xf numFmtId="172" fontId="33" fillId="0" borderId="0" xfId="42" applyNumberFormat="1" applyFont="1" applyAlignment="1">
      <alignment horizontal="right" vertical="top" wrapText="1"/>
    </xf>
    <xf numFmtId="172" fontId="33" fillId="0" borderId="43" xfId="42" applyNumberFormat="1" applyFont="1" applyBorder="1" applyAlignment="1">
      <alignment horizontal="right" vertical="top" wrapText="1"/>
    </xf>
    <xf numFmtId="172" fontId="33" fillId="0" borderId="44" xfId="42" applyNumberFormat="1" applyFont="1" applyBorder="1" applyAlignment="1">
      <alignment horizontal="right" vertical="top" wrapText="1"/>
    </xf>
    <xf numFmtId="0" fontId="122" fillId="0" borderId="43" xfId="42" applyFont="1" applyBorder="1" applyAlignment="1">
      <alignment horizontal="right" vertical="top" wrapText="1"/>
    </xf>
    <xf numFmtId="0" fontId="33" fillId="0" borderId="44" xfId="42" applyFont="1" applyBorder="1" applyAlignment="1">
      <alignment horizontal="right" vertical="top" wrapText="1"/>
    </xf>
    <xf numFmtId="2" fontId="33" fillId="0" borderId="43" xfId="42" applyNumberFormat="1" applyFont="1" applyBorder="1" applyAlignment="1">
      <alignment horizontal="right" vertical="top" wrapText="1"/>
    </xf>
    <xf numFmtId="2" fontId="33" fillId="0" borderId="0" xfId="42" applyNumberFormat="1" applyFont="1" applyAlignment="1">
      <alignment horizontal="right" vertical="top" wrapText="1"/>
    </xf>
    <xf numFmtId="0" fontId="33" fillId="0" borderId="43" xfId="42" applyFont="1" applyBorder="1" applyAlignment="1">
      <alignment horizontal="right" vertical="top" wrapText="1"/>
    </xf>
    <xf numFmtId="4" fontId="33" fillId="0" borderId="43" xfId="42" applyNumberFormat="1" applyFont="1" applyBorder="1" applyAlignment="1">
      <alignment horizontal="right" vertical="top" wrapText="1"/>
    </xf>
    <xf numFmtId="4" fontId="33" fillId="0" borderId="0" xfId="42" applyNumberFormat="1" applyFont="1" applyAlignment="1">
      <alignment horizontal="right" vertical="top" wrapText="1"/>
    </xf>
    <xf numFmtId="4" fontId="33" fillId="0" borderId="44" xfId="42" applyNumberFormat="1" applyFont="1" applyBorder="1" applyAlignment="1">
      <alignment horizontal="right" vertical="top" wrapText="1"/>
    </xf>
    <xf numFmtId="171" fontId="33" fillId="0" borderId="46" xfId="42" applyNumberFormat="1" applyFont="1" applyBorder="1" applyAlignment="1">
      <alignment horizontal="right" vertical="top" wrapText="1"/>
    </xf>
    <xf numFmtId="172"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67" fontId="121" fillId="0" borderId="43" xfId="42" applyNumberFormat="1" applyFont="1" applyBorder="1" applyAlignment="1">
      <alignment horizontal="right" vertical="top" wrapText="1"/>
    </xf>
    <xf numFmtId="164" fontId="33" fillId="0" borderId="0" xfId="42" applyNumberFormat="1" applyFont="1" applyAlignment="1">
      <alignment horizontal="right" vertical="top" wrapText="1"/>
    </xf>
    <xf numFmtId="164" fontId="33" fillId="0" borderId="43" xfId="42" applyNumberFormat="1" applyFont="1" applyBorder="1" applyAlignment="1">
      <alignment horizontal="right" vertical="top" wrapText="1"/>
    </xf>
    <xf numFmtId="164" fontId="33" fillId="0" borderId="44" xfId="42" applyNumberFormat="1" applyFont="1" applyBorder="1" applyAlignment="1">
      <alignment horizontal="right" vertical="top" wrapText="1"/>
    </xf>
    <xf numFmtId="0" fontId="122" fillId="0" borderId="44" xfId="42" applyFont="1" applyBorder="1" applyAlignment="1">
      <alignment horizontal="right" vertical="top" wrapText="1"/>
    </xf>
    <xf numFmtId="2" fontId="33" fillId="0" borderId="44" xfId="42" applyNumberFormat="1" applyFont="1" applyBorder="1" applyAlignment="1">
      <alignment horizontal="right" vertical="top" wrapText="1"/>
    </xf>
    <xf numFmtId="3" fontId="122" fillId="0" borderId="44" xfId="42" applyNumberFormat="1" applyFont="1" applyBorder="1" applyAlignment="1">
      <alignment horizontal="right" vertical="top" wrapText="1"/>
    </xf>
    <xf numFmtId="49" fontId="122" fillId="0" borderId="44" xfId="42" applyNumberFormat="1" applyFont="1" applyBorder="1" applyAlignment="1">
      <alignment horizontal="right" vertical="top" wrapText="1"/>
    </xf>
    <xf numFmtId="21" fontId="33" fillId="0" borderId="43" xfId="42" applyNumberFormat="1" applyFont="1" applyBorder="1" applyAlignment="1">
      <alignment horizontal="right" vertical="top" wrapText="1"/>
    </xf>
    <xf numFmtId="21" fontId="33" fillId="0" borderId="0" xfId="42" applyNumberFormat="1" applyFont="1" applyAlignment="1">
      <alignment horizontal="right" vertical="top" wrapText="1"/>
    </xf>
    <xf numFmtId="21" fontId="33" fillId="0" borderId="44" xfId="42" applyNumberFormat="1" applyFont="1" applyBorder="1" applyAlignment="1">
      <alignment horizontal="right" vertical="top" wrapText="1"/>
    </xf>
    <xf numFmtId="4" fontId="122" fillId="0" borderId="44" xfId="42" applyNumberFormat="1" applyFont="1" applyBorder="1" applyAlignment="1">
      <alignment horizontal="right" vertical="top" wrapText="1"/>
    </xf>
    <xf numFmtId="3" fontId="33" fillId="0" borderId="43" xfId="42" applyNumberFormat="1" applyFont="1" applyBorder="1" applyAlignment="1">
      <alignment horizontal="right" vertical="top" wrapText="1"/>
    </xf>
    <xf numFmtId="1" fontId="33" fillId="0" borderId="4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3" fillId="0" borderId="44" xfId="42" applyNumberFormat="1" applyFont="1" applyBorder="1" applyAlignment="1">
      <alignment horizontal="right" vertical="top" wrapText="1"/>
    </xf>
    <xf numFmtId="0" fontId="33" fillId="11" borderId="43" xfId="42" applyFont="1" applyFill="1" applyBorder="1" applyAlignment="1">
      <alignment horizontal="center" vertical="top" wrapText="1"/>
    </xf>
    <xf numFmtId="0" fontId="33" fillId="11" borderId="43" xfId="42" applyFont="1" applyFill="1" applyBorder="1" applyAlignment="1">
      <alignment horizontal="right" vertical="top" wrapText="1"/>
    </xf>
    <xf numFmtId="0" fontId="33" fillId="11" borderId="0" xfId="42" applyFont="1" applyFill="1" applyAlignment="1">
      <alignment horizontal="right" vertical="top" wrapText="1"/>
    </xf>
    <xf numFmtId="4" fontId="33" fillId="0" borderId="43" xfId="42" applyNumberFormat="1" applyFont="1" applyBorder="1" applyAlignment="1">
      <alignment horizontal="center" vertical="top" wrapText="1"/>
    </xf>
    <xf numFmtId="4" fontId="33" fillId="0" borderId="0" xfId="42" applyNumberFormat="1" applyFont="1" applyAlignment="1">
      <alignment horizontal="center" vertical="top" wrapText="1"/>
    </xf>
    <xf numFmtId="4" fontId="33" fillId="0" borderId="44" xfId="42" applyNumberFormat="1" applyFont="1" applyBorder="1" applyAlignment="1">
      <alignment horizontal="center" vertical="top" wrapText="1"/>
    </xf>
    <xf numFmtId="9" fontId="33" fillId="0" borderId="46" xfId="42" applyNumberFormat="1" applyFont="1" applyBorder="1" applyAlignment="1">
      <alignment horizontal="center" vertical="top" wrapText="1"/>
    </xf>
    <xf numFmtId="165" fontId="33" fillId="0" borderId="0" xfId="42" applyNumberFormat="1" applyFont="1" applyAlignment="1">
      <alignment horizontal="right" vertical="top" wrapText="1"/>
    </xf>
    <xf numFmtId="165" fontId="33" fillId="0" borderId="43" xfId="42" applyNumberFormat="1" applyFont="1" applyBorder="1" applyAlignment="1">
      <alignment horizontal="right" vertical="top" wrapText="1"/>
    </xf>
    <xf numFmtId="165" fontId="33" fillId="0" borderId="44" xfId="42" applyNumberFormat="1" applyFont="1" applyBorder="1" applyAlignment="1">
      <alignment horizontal="right" vertical="top" wrapText="1"/>
    </xf>
    <xf numFmtId="3" fontId="33" fillId="0" borderId="44" xfId="42" applyNumberFormat="1" applyFont="1" applyBorder="1" applyAlignment="1">
      <alignment horizontal="right" vertical="top" wrapText="1"/>
    </xf>
    <xf numFmtId="170" fontId="33" fillId="0" borderId="0" xfId="42" applyNumberFormat="1" applyFont="1" applyAlignment="1">
      <alignment horizontal="right" vertical="top" wrapText="1"/>
    </xf>
    <xf numFmtId="170" fontId="33" fillId="0" borderId="43" xfId="42" applyNumberFormat="1" applyFont="1" applyBorder="1" applyAlignment="1">
      <alignment horizontal="right" vertical="top" wrapText="1"/>
    </xf>
    <xf numFmtId="170" fontId="33" fillId="0" borderId="44" xfId="42" applyNumberFormat="1" applyFont="1" applyBorder="1" applyAlignment="1">
      <alignment horizontal="right" vertical="top" wrapText="1"/>
    </xf>
    <xf numFmtId="169" fontId="33" fillId="0" borderId="0" xfId="42" applyNumberFormat="1" applyFont="1" applyAlignment="1">
      <alignment horizontal="right" vertical="top" wrapText="1"/>
    </xf>
    <xf numFmtId="169" fontId="33" fillId="0" borderId="43" xfId="42" applyNumberFormat="1" applyFont="1" applyBorder="1" applyAlignment="1">
      <alignment horizontal="right" vertical="top" wrapText="1"/>
    </xf>
    <xf numFmtId="169" fontId="33" fillId="0" borderId="44" xfId="42" applyNumberFormat="1" applyFont="1" applyBorder="1" applyAlignment="1">
      <alignment horizontal="right" vertical="top" wrapText="1"/>
    </xf>
    <xf numFmtId="21" fontId="33" fillId="0" borderId="0" xfId="42" applyNumberFormat="1" applyFont="1" applyAlignment="1">
      <alignment horizontal="center" vertical="center" wrapText="1"/>
    </xf>
    <xf numFmtId="21" fontId="33" fillId="0" borderId="43" xfId="42" applyNumberFormat="1" applyFont="1" applyBorder="1" applyAlignment="1">
      <alignment horizontal="center" vertical="center" wrapText="1"/>
    </xf>
    <xf numFmtId="2" fontId="33" fillId="0" borderId="0" xfId="42" applyNumberFormat="1" applyFont="1" applyAlignment="1">
      <alignment horizontal="center" vertical="center" wrapText="1"/>
    </xf>
    <xf numFmtId="2" fontId="33" fillId="0" borderId="43" xfId="42" applyNumberFormat="1" applyFont="1" applyBorder="1" applyAlignment="1">
      <alignment horizontal="right" vertical="center" wrapText="1"/>
    </xf>
    <xf numFmtId="2" fontId="33" fillId="0" borderId="0" xfId="42" applyNumberFormat="1" applyFont="1" applyAlignment="1">
      <alignment horizontal="right" vertical="center" wrapText="1"/>
    </xf>
    <xf numFmtId="3" fontId="33" fillId="0" borderId="43" xfId="42" applyNumberFormat="1" applyFont="1" applyBorder="1" applyAlignment="1">
      <alignment horizontal="center" vertical="top" wrapText="1"/>
    </xf>
    <xf numFmtId="3" fontId="33" fillId="0" borderId="0" xfId="42" applyNumberFormat="1" applyFont="1" applyAlignment="1">
      <alignment horizontal="center" vertical="top" wrapText="1"/>
    </xf>
    <xf numFmtId="3" fontId="33" fillId="0" borderId="44" xfId="42" applyNumberFormat="1" applyFont="1" applyBorder="1" applyAlignment="1">
      <alignment horizontal="center" vertical="top" wrapText="1"/>
    </xf>
    <xf numFmtId="0" fontId="33" fillId="11" borderId="0" xfId="42" applyFont="1" applyFill="1" applyAlignment="1">
      <alignment horizontal="left" vertical="top" wrapText="1"/>
    </xf>
    <xf numFmtId="49" fontId="33" fillId="0" borderId="43" xfId="42" applyNumberFormat="1" applyFont="1" applyBorder="1" applyAlignment="1">
      <alignment horizontal="right" vertical="top" wrapText="1"/>
    </xf>
    <xf numFmtId="164" fontId="33" fillId="0" borderId="43" xfId="35" applyNumberFormat="1" applyFont="1" applyFill="1" applyBorder="1" applyAlignment="1" applyProtection="1">
      <alignment horizontal="right" vertical="top" wrapText="1"/>
    </xf>
    <xf numFmtId="164" fontId="33" fillId="0" borderId="0" xfId="35" applyNumberFormat="1" applyFont="1" applyFill="1" applyBorder="1" applyAlignment="1" applyProtection="1">
      <alignment horizontal="right" vertical="top" wrapText="1"/>
    </xf>
    <xf numFmtId="164" fontId="33" fillId="0" borderId="44" xfId="35" applyNumberFormat="1" applyFont="1" applyFill="1" applyBorder="1" applyAlignment="1" applyProtection="1">
      <alignment horizontal="right" vertical="top" wrapText="1"/>
    </xf>
    <xf numFmtId="49" fontId="33" fillId="0" borderId="44" xfId="42" applyNumberFormat="1" applyFont="1" applyBorder="1" applyAlignment="1">
      <alignment horizontal="center" vertical="top" wrapText="1"/>
    </xf>
    <xf numFmtId="164" fontId="122" fillId="0" borderId="43" xfId="42" applyNumberFormat="1" applyFont="1" applyBorder="1" applyAlignment="1">
      <alignment horizontal="right" vertical="top" wrapText="1"/>
    </xf>
    <xf numFmtId="9" fontId="33" fillId="0" borderId="0" xfId="42" applyNumberFormat="1" applyFont="1" applyAlignment="1">
      <alignment horizontal="right" vertical="top" wrapText="1"/>
    </xf>
    <xf numFmtId="9" fontId="33" fillId="0" borderId="43" xfId="42" applyNumberFormat="1" applyFont="1" applyBorder="1" applyAlignment="1">
      <alignment horizontal="right" vertical="top" wrapText="1"/>
    </xf>
    <xf numFmtId="9" fontId="33" fillId="0" borderId="44" xfId="42" applyNumberFormat="1" applyFont="1" applyBorder="1" applyAlignment="1">
      <alignment horizontal="right" vertical="top" wrapText="1"/>
    </xf>
    <xf numFmtId="176" fontId="33" fillId="0" borderId="0" xfId="47" applyNumberFormat="1" applyFont="1" applyFill="1" applyBorder="1" applyAlignment="1" applyProtection="1">
      <alignment horizontal="right" vertical="top" wrapText="1"/>
    </xf>
    <xf numFmtId="176" fontId="33" fillId="0" borderId="43" xfId="47" applyNumberFormat="1" applyFont="1" applyFill="1" applyBorder="1" applyAlignment="1" applyProtection="1">
      <alignment horizontal="right" vertical="top" wrapText="1"/>
    </xf>
    <xf numFmtId="176" fontId="33" fillId="0" borderId="44" xfId="47" applyNumberFormat="1" applyFont="1" applyFill="1" applyBorder="1" applyAlignment="1" applyProtection="1">
      <alignment horizontal="right" vertical="top" wrapText="1"/>
    </xf>
    <xf numFmtId="176" fontId="33" fillId="0" borderId="43" xfId="47" applyNumberFormat="1" applyFont="1" applyFill="1" applyBorder="1" applyAlignment="1" applyProtection="1">
      <alignment horizontal="center" vertical="top" wrapText="1"/>
    </xf>
    <xf numFmtId="176" fontId="33" fillId="0" borderId="0" xfId="47" applyNumberFormat="1" applyFont="1" applyFill="1" applyBorder="1" applyAlignment="1" applyProtection="1">
      <alignment horizontal="center" vertical="top" wrapText="1"/>
    </xf>
    <xf numFmtId="176" fontId="33" fillId="0" borderId="44" xfId="47" applyNumberFormat="1" applyFont="1" applyFill="1" applyBorder="1" applyAlignment="1" applyProtection="1">
      <alignment horizontal="center" vertical="top" wrapText="1"/>
    </xf>
    <xf numFmtId="169" fontId="33" fillId="0" borderId="44" xfId="42" applyNumberFormat="1" applyFont="1" applyBorder="1" applyAlignment="1">
      <alignment horizontal="center" vertical="top" wrapText="1"/>
    </xf>
    <xf numFmtId="10" fontId="33" fillId="0" borderId="0" xfId="42" applyNumberFormat="1" applyFont="1" applyAlignment="1">
      <alignment horizontal="right" vertical="top" wrapText="1"/>
    </xf>
    <xf numFmtId="10" fontId="33" fillId="0" borderId="43" xfId="42" applyNumberFormat="1" applyFont="1" applyBorder="1" applyAlignment="1">
      <alignment horizontal="right" vertical="top" wrapText="1"/>
    </xf>
    <xf numFmtId="10" fontId="33" fillId="0" borderId="44" xfId="42" applyNumberFormat="1" applyFont="1" applyBorder="1" applyAlignment="1">
      <alignment horizontal="right" vertical="top" wrapText="1"/>
    </xf>
    <xf numFmtId="0" fontId="33" fillId="11" borderId="28" xfId="42" applyFont="1" applyFill="1" applyBorder="1" applyAlignment="1">
      <alignment horizontal="left" vertical="top" wrapText="1"/>
    </xf>
    <xf numFmtId="164" fontId="33" fillId="0" borderId="0" xfId="42" applyNumberFormat="1" applyFont="1" applyAlignment="1">
      <alignment horizontal="right" vertical="top"/>
    </xf>
    <xf numFmtId="2" fontId="33" fillId="0" borderId="0" xfId="42" applyNumberFormat="1" applyFont="1" applyAlignment="1">
      <alignment horizontal="right" vertical="top"/>
    </xf>
    <xf numFmtId="2" fontId="33" fillId="11" borderId="0" xfId="42" applyNumberFormat="1" applyFont="1" applyFill="1" applyAlignment="1">
      <alignment horizontal="right" vertical="top" wrapText="1"/>
    </xf>
    <xf numFmtId="3" fontId="33" fillId="0" borderId="0" xfId="42" applyNumberFormat="1" applyFont="1" applyAlignment="1">
      <alignment horizontal="right" vertical="top"/>
    </xf>
    <xf numFmtId="3" fontId="33" fillId="0" borderId="43" xfId="44" applyNumberFormat="1" applyFont="1" applyFill="1" applyBorder="1" applyAlignment="1" applyProtection="1">
      <alignment horizontal="right" vertical="top" wrapText="1"/>
    </xf>
    <xf numFmtId="3" fontId="33" fillId="0" borderId="0" xfId="44" applyNumberFormat="1" applyFont="1" applyFill="1" applyBorder="1" applyAlignment="1" applyProtection="1">
      <alignment horizontal="right" vertical="top" wrapText="1"/>
    </xf>
    <xf numFmtId="3" fontId="33" fillId="0" borderId="44" xfId="44" applyNumberFormat="1" applyFont="1" applyFill="1" applyBorder="1" applyAlignment="1" applyProtection="1">
      <alignment horizontal="right" vertical="top" wrapText="1"/>
    </xf>
    <xf numFmtId="2" fontId="33" fillId="0" borderId="44" xfId="42" quotePrefix="1" applyNumberFormat="1" applyFont="1" applyBorder="1" applyAlignment="1">
      <alignment horizontal="right" vertical="top" wrapText="1"/>
    </xf>
    <xf numFmtId="2" fontId="33" fillId="0" borderId="43" xfId="44" applyNumberFormat="1" applyFont="1" applyFill="1" applyBorder="1" applyAlignment="1" applyProtection="1">
      <alignment horizontal="right" vertical="top" wrapText="1"/>
    </xf>
    <xf numFmtId="2" fontId="33" fillId="0" borderId="0" xfId="44" applyNumberFormat="1" applyFont="1" applyFill="1" applyBorder="1" applyAlignment="1" applyProtection="1">
      <alignment horizontal="right" vertical="top" wrapText="1"/>
    </xf>
    <xf numFmtId="2" fontId="33" fillId="0" borderId="44" xfId="44" applyNumberFormat="1" applyFont="1" applyFill="1" applyBorder="1" applyAlignment="1" applyProtection="1">
      <alignment horizontal="right" vertical="top" wrapText="1"/>
    </xf>
    <xf numFmtId="167" fontId="33" fillId="0" borderId="0" xfId="44" applyNumberFormat="1" applyFont="1" applyFill="1" applyBorder="1" applyAlignment="1" applyProtection="1">
      <alignment horizontal="right" vertical="top" wrapText="1"/>
    </xf>
    <xf numFmtId="0" fontId="33" fillId="0" borderId="0" xfId="42" applyFont="1" applyAlignment="1">
      <alignment horizontal="right" vertical="top"/>
    </xf>
    <xf numFmtId="164" fontId="33" fillId="0" borderId="0" xfId="44" applyNumberFormat="1" applyFont="1" applyFill="1" applyBorder="1" applyAlignment="1" applyProtection="1">
      <alignment horizontal="right" vertical="top" wrapText="1"/>
    </xf>
    <xf numFmtId="164" fontId="33" fillId="0" borderId="43" xfId="44" applyNumberFormat="1" applyFont="1" applyFill="1" applyBorder="1" applyAlignment="1" applyProtection="1">
      <alignment horizontal="right" vertical="top" wrapText="1"/>
    </xf>
    <xf numFmtId="164" fontId="33" fillId="0" borderId="44" xfId="44" applyNumberFormat="1" applyFont="1" applyFill="1" applyBorder="1" applyAlignment="1" applyProtection="1">
      <alignment horizontal="right" vertical="top" wrapText="1"/>
    </xf>
    <xf numFmtId="9" fontId="33" fillId="0" borderId="44" xfId="42" quotePrefix="1" applyNumberFormat="1" applyFont="1" applyBorder="1" applyAlignment="1">
      <alignment horizontal="right" vertical="top" wrapText="1"/>
    </xf>
    <xf numFmtId="164" fontId="121" fillId="0" borderId="43" xfId="42" applyNumberFormat="1" applyFont="1" applyBorder="1" applyAlignment="1">
      <alignment horizontal="right" vertical="center" wrapText="1"/>
    </xf>
    <xf numFmtId="164" fontId="121" fillId="0" borderId="0" xfId="42" applyNumberFormat="1" applyFont="1" applyAlignment="1">
      <alignment horizontal="right" vertical="center" wrapText="1"/>
    </xf>
    <xf numFmtId="164" fontId="121" fillId="0" borderId="44" xfId="42" applyNumberFormat="1" applyFont="1" applyBorder="1" applyAlignment="1">
      <alignment horizontal="right" vertical="center" wrapText="1"/>
    </xf>
    <xf numFmtId="166" fontId="33" fillId="0" borderId="43" xfId="42" applyNumberFormat="1" applyFont="1" applyBorder="1" applyAlignment="1">
      <alignment horizontal="right" vertical="top" wrapText="1"/>
    </xf>
    <xf numFmtId="166" fontId="33" fillId="0" borderId="0" xfId="42" applyNumberFormat="1" applyFont="1" applyAlignment="1">
      <alignment horizontal="right" vertical="top" wrapText="1"/>
    </xf>
    <xf numFmtId="166" fontId="33" fillId="0" borderId="44" xfId="42" applyNumberFormat="1" applyFont="1" applyBorder="1" applyAlignment="1">
      <alignment horizontal="right" vertical="top" wrapText="1"/>
    </xf>
    <xf numFmtId="49" fontId="33" fillId="0" borderId="44" xfId="42" applyNumberFormat="1" applyFont="1" applyBorder="1" applyAlignment="1">
      <alignment horizontal="right" vertical="top" wrapText="1"/>
    </xf>
    <xf numFmtId="0" fontId="33" fillId="0" borderId="0" xfId="44" applyNumberFormat="1" applyFont="1" applyFill="1" applyBorder="1" applyAlignment="1" applyProtection="1">
      <alignment horizontal="right" vertical="top" wrapText="1"/>
    </xf>
    <xf numFmtId="0" fontId="33" fillId="0" borderId="0" xfId="44" applyNumberFormat="1" applyFont="1" applyFill="1" applyBorder="1" applyAlignment="1" applyProtection="1">
      <alignment horizontal="right" vertical="top"/>
    </xf>
    <xf numFmtId="0" fontId="33" fillId="0" borderId="43" xfId="44" applyNumberFormat="1" applyFont="1" applyFill="1" applyBorder="1" applyAlignment="1" applyProtection="1">
      <alignment horizontal="right" vertical="top" wrapText="1"/>
    </xf>
    <xf numFmtId="0" fontId="33" fillId="0" borderId="44" xfId="44" applyNumberFormat="1" applyFont="1" applyFill="1" applyBorder="1" applyAlignment="1" applyProtection="1">
      <alignment horizontal="right" vertical="top" wrapText="1"/>
    </xf>
    <xf numFmtId="164" fontId="33" fillId="0" borderId="0" xfId="44" applyNumberFormat="1" applyFont="1" applyFill="1" applyBorder="1" applyAlignment="1" applyProtection="1">
      <alignment horizontal="right" vertical="top"/>
    </xf>
    <xf numFmtId="169" fontId="33" fillId="0" borderId="0" xfId="44" applyNumberFormat="1" applyFont="1" applyFill="1" applyBorder="1" applyAlignment="1" applyProtection="1">
      <alignment horizontal="right" vertical="top" wrapText="1"/>
    </xf>
    <xf numFmtId="1" fontId="33" fillId="0" borderId="0" xfId="44" applyNumberFormat="1" applyFont="1" applyFill="1" applyBorder="1" applyAlignment="1" applyProtection="1">
      <alignment horizontal="right" vertical="top" wrapText="1"/>
    </xf>
    <xf numFmtId="10" fontId="33" fillId="0" borderId="0" xfId="44" applyNumberFormat="1" applyFont="1" applyFill="1" applyBorder="1" applyAlignment="1" applyProtection="1">
      <alignment horizontal="right" vertical="top" wrapText="1"/>
    </xf>
    <xf numFmtId="2" fontId="121" fillId="0" borderId="0" xfId="42" applyNumberFormat="1" applyFont="1" applyAlignment="1">
      <alignment horizontal="right" vertical="top" wrapText="1"/>
    </xf>
    <xf numFmtId="0" fontId="42" fillId="0" borderId="0" xfId="46" applyFont="1" applyAlignment="1">
      <alignment horizontal="right" vertical="top" wrapText="1"/>
    </xf>
    <xf numFmtId="164" fontId="42" fillId="0" borderId="0" xfId="46" applyNumberFormat="1" applyFont="1" applyAlignment="1">
      <alignment horizontal="right" vertical="top" wrapText="1"/>
    </xf>
    <xf numFmtId="164" fontId="42" fillId="0" borderId="43" xfId="46" applyNumberFormat="1" applyFont="1" applyBorder="1" applyAlignment="1">
      <alignment horizontal="right" vertical="top" wrapText="1"/>
    </xf>
    <xf numFmtId="164" fontId="42" fillId="0" borderId="44" xfId="46" applyNumberFormat="1" applyFont="1" applyBorder="1" applyAlignment="1">
      <alignment horizontal="right" vertical="top" wrapText="1"/>
    </xf>
    <xf numFmtId="0" fontId="33" fillId="0" borderId="0" xfId="42" quotePrefix="1" applyFont="1" applyAlignment="1">
      <alignment horizontal="right" vertical="top" wrapText="1"/>
    </xf>
    <xf numFmtId="0" fontId="33" fillId="0" borderId="44" xfId="42" quotePrefix="1" applyFont="1" applyBorder="1" applyAlignment="1">
      <alignment horizontal="right" vertical="top" wrapText="1"/>
    </xf>
    <xf numFmtId="0" fontId="33" fillId="0" borderId="43" xfId="42" quotePrefix="1" applyFont="1" applyBorder="1" applyAlignment="1">
      <alignment horizontal="right" vertical="top" wrapText="1"/>
    </xf>
    <xf numFmtId="21" fontId="33" fillId="0" borderId="0" xfId="42" quotePrefix="1" applyNumberFormat="1" applyFont="1" applyAlignment="1">
      <alignment horizontal="right" vertical="top" wrapText="1"/>
    </xf>
    <xf numFmtId="3" fontId="33" fillId="0" borderId="0" xfId="42" quotePrefix="1" applyNumberFormat="1" applyFont="1" applyAlignment="1">
      <alignment horizontal="right" vertical="top" wrapText="1"/>
    </xf>
    <xf numFmtId="3" fontId="33" fillId="0" borderId="43" xfId="42" quotePrefix="1" applyNumberFormat="1" applyFont="1" applyBorder="1" applyAlignment="1">
      <alignment horizontal="right" vertical="top" wrapText="1"/>
    </xf>
    <xf numFmtId="3" fontId="33" fillId="0" borderId="44" xfId="42" quotePrefix="1" applyNumberFormat="1" applyFont="1" applyBorder="1" applyAlignment="1">
      <alignment horizontal="right" vertical="top" wrapText="1"/>
    </xf>
    <xf numFmtId="169" fontId="33" fillId="0" borderId="0" xfId="42" quotePrefix="1" applyNumberFormat="1" applyFont="1" applyAlignment="1">
      <alignment horizontal="right" vertical="top" wrapText="1"/>
    </xf>
    <xf numFmtId="169" fontId="33" fillId="0" borderId="44" xfId="42" quotePrefix="1" applyNumberFormat="1" applyFont="1" applyBorder="1" applyAlignment="1">
      <alignment horizontal="right" vertical="top" wrapText="1"/>
    </xf>
    <xf numFmtId="2" fontId="33" fillId="0" borderId="0" xfId="42" quotePrefix="1" applyNumberFormat="1" applyFont="1" applyAlignment="1">
      <alignment horizontal="right" vertical="top" wrapText="1"/>
    </xf>
    <xf numFmtId="2" fontId="33" fillId="0" borderId="43" xfId="42" quotePrefix="1" applyNumberFormat="1" applyFont="1" applyBorder="1" applyAlignment="1">
      <alignment horizontal="right" vertical="top" wrapText="1"/>
    </xf>
    <xf numFmtId="0" fontId="122" fillId="0" borderId="0" xfId="42" applyFont="1" applyAlignment="1">
      <alignment horizontal="right" vertical="top" wrapText="1"/>
    </xf>
    <xf numFmtId="164" fontId="122" fillId="0" borderId="0" xfId="42" applyNumberFormat="1" applyFont="1" applyAlignment="1">
      <alignment horizontal="right" vertical="top" wrapText="1"/>
    </xf>
    <xf numFmtId="0" fontId="33" fillId="11" borderId="0" xfId="42" applyFont="1" applyFill="1" applyAlignment="1">
      <alignment horizontal="center" vertical="top" wrapText="1"/>
    </xf>
    <xf numFmtId="0" fontId="33" fillId="5" borderId="43" xfId="42" applyFont="1" applyFill="1" applyBorder="1" applyAlignment="1">
      <alignment horizontal="center" vertical="top" wrapText="1"/>
    </xf>
    <xf numFmtId="1" fontId="33" fillId="5" borderId="0" xfId="42" applyNumberFormat="1" applyFont="1" applyFill="1" applyAlignment="1">
      <alignment horizontal="right" vertical="top" wrapText="1"/>
    </xf>
    <xf numFmtId="0" fontId="33" fillId="5" borderId="43" xfId="42" applyFont="1" applyFill="1" applyBorder="1" applyAlignment="1">
      <alignment horizontal="right" vertical="top" wrapText="1"/>
    </xf>
    <xf numFmtId="0" fontId="33" fillId="5" borderId="0" xfId="42" applyFont="1" applyFill="1" applyAlignment="1">
      <alignment horizontal="right" vertical="top" wrapText="1"/>
    </xf>
    <xf numFmtId="0" fontId="33" fillId="5" borderId="44" xfId="42" applyFont="1" applyFill="1" applyBorder="1" applyAlignment="1">
      <alignment horizontal="right" vertical="top" wrapText="1"/>
    </xf>
    <xf numFmtId="2" fontId="33" fillId="11" borderId="43" xfId="42" applyNumberFormat="1" applyFont="1" applyFill="1" applyBorder="1" applyAlignment="1">
      <alignment horizontal="right" vertical="top" wrapText="1"/>
    </xf>
    <xf numFmtId="2" fontId="33" fillId="11" borderId="44" xfId="42" applyNumberFormat="1" applyFont="1" applyFill="1" applyBorder="1" applyAlignment="1">
      <alignment horizontal="right" vertical="top" wrapText="1"/>
    </xf>
    <xf numFmtId="0" fontId="33" fillId="0" borderId="0" xfId="42" applyFont="1" applyAlignment="1">
      <alignment horizontal="right" vertical="center" wrapText="1"/>
    </xf>
    <xf numFmtId="0" fontId="33" fillId="0" borderId="43" xfId="42" applyFont="1" applyBorder="1" applyAlignment="1">
      <alignment horizontal="right" vertical="center" wrapText="1"/>
    </xf>
    <xf numFmtId="0" fontId="33" fillId="0" borderId="44" xfId="42" applyFont="1" applyBorder="1" applyAlignment="1">
      <alignment horizontal="right" vertical="center" wrapText="1"/>
    </xf>
    <xf numFmtId="21" fontId="33" fillId="0" borderId="0" xfId="42" applyNumberFormat="1" applyFont="1" applyAlignment="1">
      <alignment horizontal="right" vertical="center" wrapText="1"/>
    </xf>
    <xf numFmtId="21" fontId="33" fillId="0" borderId="43" xfId="42" applyNumberFormat="1" applyFont="1" applyBorder="1" applyAlignment="1">
      <alignment horizontal="right" vertical="center" wrapText="1"/>
    </xf>
    <xf numFmtId="21" fontId="33" fillId="0" borderId="44" xfId="42" applyNumberFormat="1" applyFont="1" applyBorder="1" applyAlignment="1">
      <alignment horizontal="right" vertical="center" wrapText="1"/>
    </xf>
    <xf numFmtId="170" fontId="33" fillId="0" borderId="0" xfId="42" applyNumberFormat="1" applyFont="1" applyAlignment="1">
      <alignment horizontal="right" vertical="center" wrapText="1"/>
    </xf>
    <xf numFmtId="170" fontId="33" fillId="0" borderId="43" xfId="42" applyNumberFormat="1" applyFont="1" applyBorder="1" applyAlignment="1">
      <alignment horizontal="right" vertical="center" wrapText="1"/>
    </xf>
    <xf numFmtId="170" fontId="33" fillId="0" borderId="44" xfId="42" applyNumberFormat="1" applyFont="1" applyBorder="1" applyAlignment="1">
      <alignment horizontal="right" vertical="center" wrapText="1"/>
    </xf>
    <xf numFmtId="2" fontId="33" fillId="0" borderId="44" xfId="42" applyNumberFormat="1" applyFont="1" applyBorder="1" applyAlignment="1">
      <alignment horizontal="right" vertical="center" wrapText="1"/>
    </xf>
    <xf numFmtId="3" fontId="33" fillId="0" borderId="0" xfId="42" applyNumberFormat="1" applyFont="1" applyAlignment="1">
      <alignment horizontal="right" vertical="center" wrapText="1"/>
    </xf>
    <xf numFmtId="3" fontId="33" fillId="0" borderId="44" xfId="42" applyNumberFormat="1" applyFont="1" applyBorder="1" applyAlignment="1">
      <alignment horizontal="right" vertical="center" wrapText="1"/>
    </xf>
    <xf numFmtId="166" fontId="33" fillId="0" borderId="43" xfId="47" applyNumberFormat="1" applyFont="1" applyFill="1" applyBorder="1" applyAlignment="1" applyProtection="1">
      <alignment horizontal="right" vertical="top" wrapText="1"/>
    </xf>
    <xf numFmtId="166" fontId="33" fillId="0" borderId="0" xfId="47" applyNumberFormat="1" applyFont="1" applyFill="1" applyBorder="1" applyAlignment="1" applyProtection="1">
      <alignment horizontal="right" vertical="top" wrapText="1"/>
    </xf>
    <xf numFmtId="166" fontId="33" fillId="0" borderId="44" xfId="47" applyNumberFormat="1" applyFont="1" applyFill="1" applyBorder="1" applyAlignment="1" applyProtection="1">
      <alignment horizontal="right" vertical="top" wrapText="1"/>
    </xf>
    <xf numFmtId="167" fontId="121" fillId="0" borderId="0" xfId="42" applyNumberFormat="1" applyFont="1" applyAlignment="1">
      <alignment horizontal="right" vertical="top" wrapText="1"/>
    </xf>
    <xf numFmtId="0" fontId="33" fillId="0" borderId="47" xfId="42" applyFont="1" applyBorder="1" applyAlignment="1">
      <alignment horizontal="left" vertical="top" wrapText="1"/>
    </xf>
    <xf numFmtId="0" fontId="33" fillId="0" borderId="3" xfId="42" applyFont="1" applyBorder="1" applyAlignment="1">
      <alignment horizontal="left" vertical="top" wrapText="1"/>
    </xf>
    <xf numFmtId="0" fontId="33" fillId="0" borderId="48" xfId="42" applyFont="1" applyBorder="1" applyAlignment="1">
      <alignment horizontal="center" vertical="top" wrapText="1"/>
    </xf>
    <xf numFmtId="0" fontId="33" fillId="0" borderId="3" xfId="42" applyFont="1" applyBorder="1" applyAlignment="1">
      <alignment horizontal="center" vertical="top" wrapText="1"/>
    </xf>
    <xf numFmtId="0" fontId="33" fillId="0" borderId="49" xfId="42" applyFont="1" applyBorder="1" applyAlignment="1">
      <alignment horizontal="left" vertical="top" wrapText="1"/>
    </xf>
    <xf numFmtId="0" fontId="33" fillId="0" borderId="50" xfId="42" applyFont="1" applyBorder="1" applyAlignment="1">
      <alignment horizontal="left" vertical="top" wrapText="1"/>
    </xf>
    <xf numFmtId="167" fontId="33" fillId="0" borderId="48" xfId="42" applyNumberFormat="1" applyFont="1" applyBorder="1" applyAlignment="1">
      <alignment horizontal="right" vertical="top" wrapText="1"/>
    </xf>
    <xf numFmtId="167" fontId="33" fillId="0" borderId="3" xfId="42" applyNumberFormat="1" applyFont="1" applyBorder="1" applyAlignment="1">
      <alignment horizontal="right" vertical="top" wrapText="1"/>
    </xf>
    <xf numFmtId="167" fontId="33" fillId="0" borderId="50" xfId="42" applyNumberFormat="1" applyFont="1" applyBorder="1" applyAlignment="1">
      <alignment horizontal="right" vertical="top" wrapText="1"/>
    </xf>
    <xf numFmtId="167" fontId="173" fillId="0" borderId="49" xfId="42" applyNumberFormat="1" applyFont="1" applyBorder="1" applyAlignment="1">
      <alignment horizontal="right" vertical="top" wrapText="1"/>
    </xf>
    <xf numFmtId="0" fontId="33" fillId="0" borderId="50" xfId="42" applyFont="1" applyBorder="1" applyAlignment="1">
      <alignment horizontal="center" vertical="top" wrapText="1"/>
    </xf>
    <xf numFmtId="0" fontId="33" fillId="0" borderId="3" xfId="42" applyFont="1" applyBorder="1" applyAlignment="1">
      <alignment horizontal="right" vertical="top" wrapText="1"/>
    </xf>
    <xf numFmtId="3" fontId="122" fillId="0" borderId="50" xfId="42" applyNumberFormat="1" applyFont="1" applyBorder="1" applyAlignment="1">
      <alignment horizontal="right" vertical="top" wrapText="1"/>
    </xf>
    <xf numFmtId="0" fontId="33" fillId="0" borderId="49" xfId="42" applyFont="1" applyBorder="1" applyAlignment="1">
      <alignment horizontal="center" vertical="top" wrapText="1"/>
    </xf>
    <xf numFmtId="0" fontId="33" fillId="0" borderId="48" xfId="42" applyFont="1" applyBorder="1" applyAlignment="1">
      <alignment horizontal="right" vertical="top" wrapText="1"/>
    </xf>
    <xf numFmtId="0" fontId="33" fillId="0" borderId="50" xfId="42" applyFont="1" applyBorder="1" applyAlignment="1">
      <alignment horizontal="right" vertical="top" wrapText="1"/>
    </xf>
    <xf numFmtId="0" fontId="46" fillId="9" borderId="30" xfId="42" applyFont="1" applyFill="1" applyBorder="1" applyAlignment="1">
      <alignment horizontal="left" vertical="center" wrapText="1"/>
    </xf>
    <xf numFmtId="0" fontId="46" fillId="9" borderId="32" xfId="42" applyFont="1" applyFill="1" applyBorder="1" applyAlignment="1">
      <alignment horizontal="center" vertical="center" wrapText="1"/>
    </xf>
    <xf numFmtId="0" fontId="176" fillId="9" borderId="15" xfId="42" applyFont="1" applyFill="1" applyBorder="1" applyAlignment="1">
      <alignment horizontal="left" vertical="center" wrapText="1"/>
    </xf>
    <xf numFmtId="0" fontId="176" fillId="9" borderId="20" xfId="42" applyFont="1" applyFill="1" applyBorder="1" applyAlignment="1">
      <alignment horizontal="left" vertical="center" wrapText="1"/>
    </xf>
    <xf numFmtId="0" fontId="168" fillId="9" borderId="0" xfId="42" applyFont="1" applyFill="1" applyAlignment="1">
      <alignment horizontal="left" vertical="center" wrapText="1"/>
    </xf>
    <xf numFmtId="0" fontId="169" fillId="9" borderId="54" xfId="42" applyFont="1" applyFill="1" applyBorder="1" applyAlignment="1">
      <alignment horizontal="left" vertical="center" wrapText="1"/>
    </xf>
    <xf numFmtId="0" fontId="169" fillId="9" borderId="55" xfId="42" applyFont="1" applyFill="1" applyBorder="1" applyAlignment="1">
      <alignment horizontal="left" vertical="center" wrapText="1"/>
    </xf>
    <xf numFmtId="0" fontId="169" fillId="9" borderId="56" xfId="42" applyFont="1" applyFill="1" applyBorder="1" applyAlignment="1">
      <alignment horizontal="left" vertical="center" wrapText="1"/>
    </xf>
    <xf numFmtId="0" fontId="169" fillId="9" borderId="55" xfId="42" applyFont="1" applyFill="1" applyBorder="1" applyAlignment="1">
      <alignment horizontal="right" vertical="center" wrapText="1"/>
    </xf>
    <xf numFmtId="0" fontId="169" fillId="9" borderId="56" xfId="42" applyFont="1" applyFill="1" applyBorder="1" applyAlignment="1">
      <alignment horizontal="right" vertical="center" wrapText="1"/>
    </xf>
    <xf numFmtId="0" fontId="169" fillId="9" borderId="59" xfId="42" applyFont="1" applyFill="1" applyBorder="1" applyAlignment="1">
      <alignment horizontal="left" vertical="center" wrapText="1"/>
    </xf>
    <xf numFmtId="0" fontId="169" fillId="9" borderId="60" xfId="42" applyFont="1" applyFill="1" applyBorder="1" applyAlignment="1">
      <alignment horizontal="center" vertical="center" wrapText="1"/>
    </xf>
    <xf numFmtId="0" fontId="169" fillId="9" borderId="59" xfId="42" applyFont="1" applyFill="1" applyBorder="1" applyAlignment="1">
      <alignment horizontal="right" vertical="center" wrapText="1"/>
    </xf>
    <xf numFmtId="0" fontId="33" fillId="9" borderId="33" xfId="42" applyFont="1" applyFill="1" applyBorder="1" applyAlignment="1">
      <alignment vertical="center" wrapText="1"/>
    </xf>
    <xf numFmtId="0" fontId="33" fillId="9" borderId="35" xfId="42" applyFont="1" applyFill="1" applyBorder="1" applyAlignment="1">
      <alignment horizontal="left" vertical="top" wrapText="1"/>
    </xf>
    <xf numFmtId="0" fontId="33" fillId="9" borderId="43" xfId="42" applyFont="1" applyFill="1" applyBorder="1" applyAlignment="1">
      <alignment horizontal="left" vertical="center" wrapText="1"/>
    </xf>
    <xf numFmtId="0" fontId="33" fillId="9" borderId="44" xfId="42" applyFont="1" applyFill="1" applyBorder="1" applyAlignment="1">
      <alignment horizontal="left" vertical="top" wrapText="1"/>
    </xf>
    <xf numFmtId="0" fontId="33" fillId="9" borderId="15" xfId="42" applyFont="1" applyFill="1" applyBorder="1" applyAlignment="1">
      <alignment horizontal="left" vertical="center" wrapText="1"/>
    </xf>
    <xf numFmtId="0" fontId="33" fillId="9" borderId="20" xfId="42" applyFont="1" applyFill="1" applyBorder="1" applyAlignment="1">
      <alignment horizontal="left" vertical="center" wrapText="1"/>
    </xf>
    <xf numFmtId="0" fontId="33" fillId="9" borderId="0" xfId="42" applyFont="1" applyFill="1" applyAlignment="1">
      <alignment horizontal="left" vertical="center" wrapText="1"/>
    </xf>
    <xf numFmtId="0" fontId="33" fillId="9" borderId="30" xfId="42" applyFont="1" applyFill="1" applyBorder="1" applyAlignment="1">
      <alignment horizontal="center" vertical="top" wrapText="1"/>
    </xf>
    <xf numFmtId="0" fontId="131" fillId="9" borderId="30" xfId="42" applyFont="1" applyFill="1" applyBorder="1" applyAlignment="1">
      <alignment horizontal="center" vertical="top" wrapText="1"/>
    </xf>
    <xf numFmtId="0" fontId="46" fillId="9" borderId="48" xfId="42" applyFont="1" applyFill="1" applyBorder="1" applyAlignment="1">
      <alignment horizontal="left" vertical="top" wrapText="1"/>
    </xf>
    <xf numFmtId="0" fontId="46" fillId="9" borderId="50" xfId="42" applyFont="1" applyFill="1" applyBorder="1" applyAlignment="1">
      <alignment horizontal="left" vertical="top" wrapText="1"/>
    </xf>
    <xf numFmtId="0" fontId="157" fillId="9" borderId="61" xfId="42" applyFont="1" applyFill="1" applyBorder="1" applyAlignment="1">
      <alignment horizontal="left" vertical="top" wrapText="1"/>
    </xf>
    <xf numFmtId="0" fontId="157" fillId="9" borderId="16" xfId="42" applyFont="1" applyFill="1" applyBorder="1" applyAlignment="1">
      <alignment horizontal="left" vertical="top" wrapText="1"/>
    </xf>
    <xf numFmtId="0" fontId="157" fillId="9" borderId="20" xfId="42" applyFont="1" applyFill="1" applyBorder="1" applyAlignment="1">
      <alignment horizontal="left" vertical="top" wrapText="1"/>
    </xf>
    <xf numFmtId="0" fontId="131" fillId="9" borderId="44" xfId="42" applyFont="1" applyFill="1" applyBorder="1" applyAlignment="1">
      <alignment horizontal="left" vertical="top" wrapText="1"/>
    </xf>
    <xf numFmtId="0" fontId="131" fillId="9" borderId="46" xfId="42" applyFont="1" applyFill="1" applyBorder="1" applyAlignment="1">
      <alignment horizontal="center" vertical="top" wrapText="1"/>
    </xf>
    <xf numFmtId="0" fontId="131" fillId="9" borderId="43" xfId="42" applyFont="1" applyFill="1" applyBorder="1" applyAlignment="1">
      <alignment horizontal="left" vertical="top" wrapText="1"/>
    </xf>
    <xf numFmtId="0" fontId="131" fillId="9" borderId="0" xfId="42" applyFont="1" applyFill="1" applyAlignment="1">
      <alignment horizontal="left" vertical="top" wrapText="1"/>
    </xf>
    <xf numFmtId="0" fontId="172" fillId="9" borderId="0" xfId="42" applyFont="1" applyFill="1" applyAlignment="1">
      <alignment horizontal="center" vertical="top" wrapText="1"/>
    </xf>
    <xf numFmtId="0" fontId="46" fillId="9" borderId="43" xfId="42" applyFont="1" applyFill="1" applyBorder="1" applyAlignment="1">
      <alignment horizontal="right" vertical="top" wrapText="1"/>
    </xf>
    <xf numFmtId="0" fontId="131" fillId="9" borderId="0" xfId="42" applyFont="1" applyFill="1" applyAlignment="1">
      <alignment horizontal="center" vertical="top" wrapText="1"/>
    </xf>
    <xf numFmtId="0" fontId="172" fillId="9" borderId="44" xfId="42" applyFont="1" applyFill="1" applyBorder="1" applyAlignment="1">
      <alignment horizontal="center" vertical="top" wrapText="1"/>
    </xf>
    <xf numFmtId="0" fontId="131" fillId="9" borderId="0" xfId="42" applyFont="1" applyFill="1" applyAlignment="1">
      <alignment horizontal="right" vertical="top" wrapText="1"/>
    </xf>
    <xf numFmtId="0" fontId="168" fillId="9" borderId="44" xfId="42" applyFont="1" applyFill="1" applyBorder="1" applyAlignment="1">
      <alignment horizontal="right" vertical="top" wrapText="1"/>
    </xf>
    <xf numFmtId="0" fontId="131" fillId="9" borderId="46" xfId="42" applyFont="1" applyFill="1" applyBorder="1" applyAlignment="1">
      <alignment horizontal="left" vertical="top" wrapText="1"/>
    </xf>
    <xf numFmtId="0" fontId="46" fillId="9" borderId="0" xfId="42" applyFont="1" applyFill="1" applyAlignment="1">
      <alignment horizontal="center" vertical="top" wrapText="1"/>
    </xf>
    <xf numFmtId="0" fontId="46" fillId="9" borderId="46" xfId="42" applyFont="1" applyFill="1" applyBorder="1" applyAlignment="1">
      <alignment horizontal="center" vertical="top" wrapText="1"/>
    </xf>
    <xf numFmtId="0" fontId="131" fillId="9" borderId="43" xfId="42" applyFont="1" applyFill="1" applyBorder="1" applyAlignment="1">
      <alignment horizontal="right" vertical="top" wrapText="1"/>
    </xf>
    <xf numFmtId="0" fontId="131" fillId="9" borderId="44" xfId="42" applyFont="1" applyFill="1" applyBorder="1" applyAlignment="1">
      <alignment horizontal="right" vertical="top" wrapText="1"/>
    </xf>
    <xf numFmtId="0" fontId="131" fillId="9" borderId="43" xfId="42" applyFont="1" applyFill="1" applyBorder="1" applyAlignment="1">
      <alignment horizontal="right" vertical="top" wrapText="1" indent="1"/>
    </xf>
    <xf numFmtId="0" fontId="131" fillId="9" borderId="48" xfId="42" applyFont="1" applyFill="1" applyBorder="1" applyAlignment="1">
      <alignment horizontal="right" vertical="top" wrapText="1"/>
    </xf>
    <xf numFmtId="0" fontId="131" fillId="9" borderId="3" xfId="42" applyFont="1" applyFill="1" applyBorder="1" applyAlignment="1">
      <alignment horizontal="right" vertical="top" wrapText="1"/>
    </xf>
    <xf numFmtId="0" fontId="46" fillId="9" borderId="29" xfId="42" applyFont="1" applyFill="1" applyBorder="1" applyAlignment="1">
      <alignment horizontal="right" vertical="top" wrapText="1"/>
    </xf>
    <xf numFmtId="0" fontId="46" fillId="9" borderId="46" xfId="42" applyFont="1" applyFill="1" applyBorder="1" applyAlignment="1">
      <alignment horizontal="right" vertical="top" wrapText="1"/>
    </xf>
    <xf numFmtId="0" fontId="46" fillId="9" borderId="43" xfId="42" applyFont="1" applyFill="1" applyBorder="1" applyAlignment="1">
      <alignment horizontal="center" vertical="top" wrapText="1"/>
    </xf>
    <xf numFmtId="0" fontId="33" fillId="17" borderId="6" xfId="42" applyFont="1" applyFill="1" applyBorder="1" applyAlignment="1">
      <alignment horizontal="left" vertical="top" wrapText="1"/>
    </xf>
    <xf numFmtId="0" fontId="33" fillId="17" borderId="45" xfId="42" applyFont="1" applyFill="1" applyBorder="1" applyAlignment="1">
      <alignment horizontal="left" vertical="top" wrapText="1"/>
    </xf>
    <xf numFmtId="0" fontId="33" fillId="17" borderId="21" xfId="42" applyFont="1" applyFill="1" applyBorder="1" applyAlignment="1">
      <alignment horizontal="left" vertical="top" wrapText="1"/>
    </xf>
    <xf numFmtId="0" fontId="33" fillId="17" borderId="0" xfId="42" applyFont="1" applyFill="1" applyAlignment="1">
      <alignment horizontal="left" vertical="top" wrapText="1"/>
    </xf>
    <xf numFmtId="3" fontId="33" fillId="0" borderId="0" xfId="42" applyNumberFormat="1" applyFont="1" applyAlignment="1">
      <alignment horizontal="left" vertical="top" wrapText="1"/>
    </xf>
    <xf numFmtId="0" fontId="33" fillId="19" borderId="6" xfId="42" applyFont="1" applyFill="1" applyBorder="1" applyAlignment="1">
      <alignment horizontal="center" vertical="top" wrapText="1"/>
    </xf>
    <xf numFmtId="0" fontId="33" fillId="19" borderId="62" xfId="42" applyFont="1" applyFill="1" applyBorder="1" applyAlignment="1">
      <alignment horizontal="left" vertical="top" wrapText="1"/>
    </xf>
    <xf numFmtId="0" fontId="33" fillId="19" borderId="62" xfId="42" applyFont="1" applyFill="1" applyBorder="1" applyAlignment="1">
      <alignment horizontal="center" vertical="top" wrapText="1"/>
    </xf>
    <xf numFmtId="0" fontId="33" fillId="19" borderId="21" xfId="42" applyFont="1" applyFill="1" applyBorder="1" applyAlignment="1">
      <alignment horizontal="left" vertical="top" wrapText="1"/>
    </xf>
    <xf numFmtId="0" fontId="33" fillId="19" borderId="63" xfId="42" applyFont="1" applyFill="1" applyBorder="1" applyAlignment="1">
      <alignment horizontal="left" vertical="top" wrapText="1"/>
    </xf>
    <xf numFmtId="167" fontId="33" fillId="19" borderId="23" xfId="35" applyNumberFormat="1" applyFont="1" applyFill="1" applyBorder="1" applyAlignment="1">
      <alignment horizontal="center" vertical="top" wrapText="1"/>
    </xf>
    <xf numFmtId="167" fontId="33" fillId="19" borderId="21" xfId="35" applyNumberFormat="1" applyFont="1" applyFill="1" applyBorder="1" applyAlignment="1">
      <alignment horizontal="center" vertical="top" wrapText="1"/>
    </xf>
    <xf numFmtId="167" fontId="173" fillId="10" borderId="22" xfId="42" applyNumberFormat="1" applyFont="1" applyFill="1" applyBorder="1" applyAlignment="1">
      <alignment horizontal="right" vertical="top" wrapText="1"/>
    </xf>
    <xf numFmtId="9" fontId="33" fillId="19" borderId="21" xfId="35" applyFont="1" applyFill="1" applyBorder="1" applyAlignment="1">
      <alignment horizontal="center" vertical="top" wrapText="1"/>
    </xf>
    <xf numFmtId="9" fontId="33" fillId="19" borderId="21" xfId="35" applyFont="1" applyFill="1" applyBorder="1" applyAlignment="1">
      <alignment horizontal="left" vertical="top" wrapText="1"/>
    </xf>
    <xf numFmtId="3" fontId="33" fillId="17" borderId="21" xfId="42" applyNumberFormat="1" applyFont="1" applyFill="1" applyBorder="1" applyAlignment="1">
      <alignment horizontal="right" vertical="top" wrapText="1"/>
    </xf>
    <xf numFmtId="0" fontId="33" fillId="19" borderId="22" xfId="42" applyFont="1" applyFill="1" applyBorder="1" applyAlignment="1">
      <alignment horizontal="left" vertical="top" wrapText="1"/>
    </xf>
    <xf numFmtId="0" fontId="33" fillId="19" borderId="64" xfId="42" applyFont="1" applyFill="1" applyBorder="1" applyAlignment="1">
      <alignment horizontal="center" vertical="top" wrapText="1"/>
    </xf>
    <xf numFmtId="0" fontId="33" fillId="19" borderId="63" xfId="42" applyFont="1" applyFill="1" applyBorder="1" applyAlignment="1">
      <alignment horizontal="center" vertical="top" wrapText="1"/>
    </xf>
    <xf numFmtId="0" fontId="33" fillId="19" borderId="22" xfId="42" applyFont="1" applyFill="1" applyBorder="1" applyAlignment="1">
      <alignment horizontal="center" vertical="top" wrapText="1"/>
    </xf>
    <xf numFmtId="0" fontId="33" fillId="17" borderId="23" xfId="42" applyFont="1" applyFill="1" applyBorder="1" applyAlignment="1">
      <alignment horizontal="right" vertical="top" wrapText="1"/>
    </xf>
    <xf numFmtId="0" fontId="33" fillId="17" borderId="21" xfId="42" applyFont="1" applyFill="1" applyBorder="1" applyAlignment="1">
      <alignment horizontal="right" vertical="top" wrapText="1"/>
    </xf>
    <xf numFmtId="21" fontId="33" fillId="17" borderId="21" xfId="42" applyNumberFormat="1" applyFont="1" applyFill="1" applyBorder="1" applyAlignment="1">
      <alignment horizontal="right" vertical="top" wrapText="1"/>
    </xf>
    <xf numFmtId="169" fontId="33" fillId="17" borderId="21" xfId="42" applyNumberFormat="1" applyFont="1" applyFill="1" applyBorder="1" applyAlignment="1">
      <alignment horizontal="right" vertical="top" wrapText="1"/>
    </xf>
    <xf numFmtId="169" fontId="33" fillId="17" borderId="23" xfId="42" applyNumberFormat="1" applyFont="1" applyFill="1" applyBorder="1" applyAlignment="1">
      <alignment horizontal="right" vertical="top" wrapText="1"/>
    </xf>
    <xf numFmtId="169" fontId="33" fillId="17" borderId="65" xfId="42" applyNumberFormat="1" applyFont="1" applyFill="1" applyBorder="1" applyAlignment="1">
      <alignment horizontal="right" vertical="top" wrapText="1"/>
    </xf>
    <xf numFmtId="169" fontId="33" fillId="17" borderId="66" xfId="42" applyNumberFormat="1" applyFont="1" applyFill="1" applyBorder="1" applyAlignment="1">
      <alignment horizontal="right" vertical="top" wrapText="1"/>
    </xf>
    <xf numFmtId="169" fontId="33" fillId="17" borderId="24" xfId="42" applyNumberFormat="1" applyFont="1" applyFill="1" applyBorder="1" applyAlignment="1">
      <alignment horizontal="right" vertical="top" wrapText="1"/>
    </xf>
    <xf numFmtId="0" fontId="33" fillId="19" borderId="23" xfId="42" applyFont="1" applyFill="1" applyBorder="1" applyAlignment="1">
      <alignment horizontal="center" vertical="top" wrapText="1"/>
    </xf>
    <xf numFmtId="0" fontId="33" fillId="19" borderId="21" xfId="42" applyFont="1" applyFill="1" applyBorder="1" applyAlignment="1">
      <alignment horizontal="center" vertical="top" wrapText="1"/>
    </xf>
    <xf numFmtId="0" fontId="33" fillId="19" borderId="24" xfId="42" applyFont="1" applyFill="1" applyBorder="1" applyAlignment="1">
      <alignment horizontal="center" vertical="top" wrapText="1"/>
    </xf>
    <xf numFmtId="0" fontId="33" fillId="17" borderId="24" xfId="42" applyFont="1" applyFill="1" applyBorder="1" applyAlignment="1">
      <alignment horizontal="right" vertical="top" wrapText="1"/>
    </xf>
    <xf numFmtId="21" fontId="33" fillId="17" borderId="23" xfId="42" applyNumberFormat="1" applyFont="1" applyFill="1" applyBorder="1" applyAlignment="1">
      <alignment horizontal="right" vertical="top" wrapText="1"/>
    </xf>
    <xf numFmtId="21" fontId="33" fillId="17" borderId="24" xfId="42" applyNumberFormat="1" applyFont="1" applyFill="1" applyBorder="1" applyAlignment="1">
      <alignment horizontal="right" vertical="top" wrapText="1"/>
    </xf>
    <xf numFmtId="171" fontId="33" fillId="17" borderId="23" xfId="42" applyNumberFormat="1" applyFont="1" applyFill="1" applyBorder="1" applyAlignment="1">
      <alignment horizontal="right" vertical="top" wrapText="1"/>
    </xf>
    <xf numFmtId="171" fontId="33" fillId="17" borderId="21" xfId="42" applyNumberFormat="1" applyFont="1" applyFill="1" applyBorder="1" applyAlignment="1">
      <alignment horizontal="right" vertical="top" wrapText="1"/>
    </xf>
    <xf numFmtId="171" fontId="33" fillId="17" borderId="22" xfId="42" applyNumberFormat="1" applyFont="1" applyFill="1" applyBorder="1" applyAlignment="1">
      <alignment horizontal="right" vertical="top" wrapText="1"/>
    </xf>
    <xf numFmtId="172" fontId="33" fillId="19" borderId="22" xfId="42" applyNumberFormat="1" applyFont="1" applyFill="1" applyBorder="1" applyAlignment="1">
      <alignment horizontal="right" vertical="top" wrapText="1"/>
    </xf>
    <xf numFmtId="49" fontId="33" fillId="19" borderId="23" xfId="42" applyNumberFormat="1" applyFont="1" applyFill="1" applyBorder="1" applyAlignment="1">
      <alignment horizontal="center" vertical="top" wrapText="1"/>
    </xf>
    <xf numFmtId="0" fontId="33" fillId="20" borderId="28" xfId="42" applyFont="1" applyFill="1" applyBorder="1" applyAlignment="1">
      <alignment horizontal="left" vertical="top" wrapText="1"/>
    </xf>
    <xf numFmtId="0" fontId="33" fillId="20" borderId="37" xfId="42" applyFont="1" applyFill="1" applyBorder="1" applyAlignment="1">
      <alignment horizontal="left" vertical="top" wrapText="1"/>
    </xf>
    <xf numFmtId="0" fontId="121" fillId="17" borderId="0" xfId="42" applyFont="1" applyFill="1" applyAlignment="1">
      <alignment horizontal="left" vertical="top" wrapText="1"/>
    </xf>
    <xf numFmtId="0" fontId="33" fillId="17" borderId="37" xfId="42" applyFont="1" applyFill="1" applyBorder="1" applyAlignment="1">
      <alignment horizontal="left" vertical="top" wrapText="1"/>
    </xf>
    <xf numFmtId="3" fontId="33" fillId="20" borderId="0" xfId="42" applyNumberFormat="1" applyFont="1" applyFill="1" applyAlignment="1">
      <alignment horizontal="left" vertical="top" wrapText="1"/>
    </xf>
    <xf numFmtId="0" fontId="33" fillId="22" borderId="28" xfId="42" applyFont="1" applyFill="1" applyBorder="1" applyAlignment="1">
      <alignment horizontal="center" vertical="top" wrapText="1"/>
    </xf>
    <xf numFmtId="0" fontId="33" fillId="22" borderId="67" xfId="42" applyFont="1" applyFill="1" applyBorder="1" applyAlignment="1">
      <alignment horizontal="left" vertical="top" wrapText="1"/>
    </xf>
    <xf numFmtId="0" fontId="33" fillId="22" borderId="67" xfId="42" applyFont="1" applyFill="1" applyBorder="1" applyAlignment="1">
      <alignment horizontal="center" vertical="top" wrapText="1"/>
    </xf>
    <xf numFmtId="0" fontId="33" fillId="22" borderId="0" xfId="42" applyFont="1" applyFill="1" applyAlignment="1">
      <alignment horizontal="left" vertical="top" wrapText="1"/>
    </xf>
    <xf numFmtId="0" fontId="33" fillId="22" borderId="68" xfId="42" applyFont="1" applyFill="1" applyBorder="1" applyAlignment="1">
      <alignment horizontal="left" vertical="top" wrapText="1"/>
    </xf>
    <xf numFmtId="167" fontId="33" fillId="22" borderId="43" xfId="35" applyNumberFormat="1" applyFont="1" applyFill="1" applyBorder="1" applyAlignment="1">
      <alignment horizontal="center" vertical="top" wrapText="1"/>
    </xf>
    <xf numFmtId="167" fontId="33" fillId="22" borderId="0" xfId="35" applyNumberFormat="1" applyFont="1" applyFill="1" applyBorder="1" applyAlignment="1">
      <alignment horizontal="center" vertical="top" wrapText="1"/>
    </xf>
    <xf numFmtId="167" fontId="173" fillId="22" borderId="46" xfId="42" applyNumberFormat="1" applyFont="1" applyFill="1" applyBorder="1" applyAlignment="1">
      <alignment horizontal="right" vertical="top" wrapText="1"/>
    </xf>
    <xf numFmtId="9" fontId="33" fillId="22" borderId="0" xfId="35" applyFont="1" applyFill="1" applyBorder="1" applyAlignment="1">
      <alignment horizontal="center" vertical="top" wrapText="1"/>
    </xf>
    <xf numFmtId="9" fontId="33" fillId="22" borderId="0" xfId="35" applyFont="1" applyFill="1" applyBorder="1" applyAlignment="1">
      <alignment horizontal="left" vertical="top" wrapText="1"/>
    </xf>
    <xf numFmtId="3" fontId="33" fillId="22" borderId="0" xfId="42" applyNumberFormat="1" applyFont="1" applyFill="1" applyAlignment="1">
      <alignment horizontal="right" vertical="top" wrapText="1"/>
    </xf>
    <xf numFmtId="3" fontId="33" fillId="11" borderId="0" xfId="42" applyNumberFormat="1" applyFont="1" applyFill="1" applyAlignment="1">
      <alignment horizontal="right" vertical="top" wrapText="1"/>
    </xf>
    <xf numFmtId="0" fontId="33" fillId="22" borderId="46" xfId="42" applyFont="1" applyFill="1" applyBorder="1" applyAlignment="1">
      <alignment horizontal="left" vertical="top" wrapText="1"/>
    </xf>
    <xf numFmtId="0" fontId="33" fillId="22" borderId="69" xfId="42" applyFont="1" applyFill="1" applyBorder="1" applyAlignment="1">
      <alignment horizontal="center" vertical="top" wrapText="1"/>
    </xf>
    <xf numFmtId="0" fontId="33" fillId="22" borderId="68" xfId="42" applyFont="1" applyFill="1" applyBorder="1" applyAlignment="1">
      <alignment horizontal="center" vertical="top" wrapText="1"/>
    </xf>
    <xf numFmtId="0" fontId="33" fillId="22" borderId="46" xfId="42" applyFont="1" applyFill="1" applyBorder="1" applyAlignment="1">
      <alignment horizontal="center" vertical="top" wrapText="1"/>
    </xf>
    <xf numFmtId="0" fontId="33" fillId="17" borderId="43" xfId="42" applyFont="1" applyFill="1" applyBorder="1" applyAlignment="1">
      <alignment horizontal="right" vertical="top" wrapText="1"/>
    </xf>
    <xf numFmtId="0" fontId="33" fillId="17" borderId="0" xfId="42" applyFont="1" applyFill="1" applyAlignment="1">
      <alignment horizontal="right" vertical="top" wrapText="1"/>
    </xf>
    <xf numFmtId="170" fontId="33" fillId="22" borderId="0" xfId="42" applyNumberFormat="1" applyFont="1" applyFill="1" applyAlignment="1">
      <alignment horizontal="right" vertical="top" wrapText="1"/>
    </xf>
    <xf numFmtId="170" fontId="33" fillId="22" borderId="43" xfId="42" applyNumberFormat="1" applyFont="1" applyFill="1" applyBorder="1" applyAlignment="1">
      <alignment horizontal="right" vertical="top" wrapText="1"/>
    </xf>
    <xf numFmtId="0" fontId="33" fillId="22" borderId="43" xfId="42" applyFont="1" applyFill="1" applyBorder="1" applyAlignment="1">
      <alignment horizontal="right" vertical="top" wrapText="1"/>
    </xf>
    <xf numFmtId="0" fontId="33" fillId="22" borderId="0" xfId="42" applyFont="1" applyFill="1" applyAlignment="1">
      <alignment horizontal="right" vertical="top" wrapText="1"/>
    </xf>
    <xf numFmtId="0" fontId="33" fillId="22" borderId="70" xfId="42" applyFont="1" applyFill="1" applyBorder="1" applyAlignment="1">
      <alignment horizontal="right" vertical="top" wrapText="1"/>
    </xf>
    <xf numFmtId="0" fontId="33" fillId="22" borderId="71" xfId="42" applyFont="1" applyFill="1" applyBorder="1" applyAlignment="1">
      <alignment horizontal="right" vertical="top" wrapText="1"/>
    </xf>
    <xf numFmtId="0" fontId="33" fillId="22" borderId="44" xfId="42" applyFont="1" applyFill="1" applyBorder="1" applyAlignment="1">
      <alignment horizontal="right" vertical="top" wrapText="1"/>
    </xf>
    <xf numFmtId="0" fontId="33" fillId="22" borderId="43" xfId="42" applyFont="1" applyFill="1" applyBorder="1" applyAlignment="1">
      <alignment horizontal="center" vertical="top" wrapText="1"/>
    </xf>
    <xf numFmtId="0" fontId="33" fillId="22" borderId="0" xfId="42" applyFont="1" applyFill="1" applyAlignment="1">
      <alignment horizontal="center" vertical="top" wrapText="1"/>
    </xf>
    <xf numFmtId="0" fontId="33" fillId="22" borderId="44" xfId="42" applyFont="1" applyFill="1" applyBorder="1" applyAlignment="1">
      <alignment horizontal="center" vertical="top" wrapText="1"/>
    </xf>
    <xf numFmtId="2" fontId="33" fillId="22" borderId="0" xfId="42" applyNumberFormat="1" applyFont="1" applyFill="1" applyAlignment="1">
      <alignment horizontal="right" vertical="top" wrapText="1"/>
    </xf>
    <xf numFmtId="2" fontId="33" fillId="22" borderId="44" xfId="42" applyNumberFormat="1" applyFont="1" applyFill="1" applyBorder="1" applyAlignment="1">
      <alignment horizontal="right" vertical="top" wrapText="1"/>
    </xf>
    <xf numFmtId="2" fontId="33" fillId="22" borderId="43" xfId="42" applyNumberFormat="1" applyFont="1" applyFill="1" applyBorder="1" applyAlignment="1">
      <alignment horizontal="right" vertical="top" wrapText="1"/>
    </xf>
    <xf numFmtId="2" fontId="33" fillId="21" borderId="0" xfId="42" applyNumberFormat="1" applyFont="1" applyFill="1" applyAlignment="1">
      <alignment horizontal="right" vertical="top" wrapText="1"/>
    </xf>
    <xf numFmtId="171" fontId="33" fillId="22" borderId="43" xfId="42" applyNumberFormat="1" applyFont="1" applyFill="1" applyBorder="1" applyAlignment="1">
      <alignment horizontal="right" vertical="top" wrapText="1"/>
    </xf>
    <xf numFmtId="171" fontId="33" fillId="22" borderId="0" xfId="42" applyNumberFormat="1" applyFont="1" applyFill="1" applyAlignment="1">
      <alignment horizontal="right" vertical="top" wrapText="1"/>
    </xf>
    <xf numFmtId="171" fontId="33" fillId="22" borderId="46" xfId="42" applyNumberFormat="1" applyFont="1" applyFill="1" applyBorder="1" applyAlignment="1">
      <alignment horizontal="right" vertical="top" wrapText="1"/>
    </xf>
    <xf numFmtId="172" fontId="33" fillId="22" borderId="46" xfId="42" applyNumberFormat="1" applyFont="1" applyFill="1" applyBorder="1" applyAlignment="1">
      <alignment horizontal="right" vertical="top" wrapText="1"/>
    </xf>
    <xf numFmtId="49" fontId="33" fillId="22" borderId="43" xfId="42" applyNumberFormat="1" applyFont="1" applyFill="1" applyBorder="1" applyAlignment="1">
      <alignment horizontal="center" vertical="top" wrapText="1"/>
    </xf>
    <xf numFmtId="171" fontId="33" fillId="21" borderId="43" xfId="42" applyNumberFormat="1" applyFont="1" applyFill="1" applyBorder="1" applyAlignment="1">
      <alignment horizontal="right" vertical="top" wrapText="1"/>
    </xf>
    <xf numFmtId="0" fontId="33" fillId="17" borderId="28" xfId="42" applyFont="1" applyFill="1" applyBorder="1" applyAlignment="1">
      <alignment horizontal="left" vertical="top" wrapText="1"/>
    </xf>
    <xf numFmtId="0" fontId="33" fillId="19" borderId="28" xfId="42" applyFont="1" applyFill="1" applyBorder="1" applyAlignment="1">
      <alignment horizontal="center" vertical="top" wrapText="1"/>
    </xf>
    <xf numFmtId="0" fontId="33" fillId="19" borderId="67" xfId="42" applyFont="1" applyFill="1" applyBorder="1" applyAlignment="1">
      <alignment horizontal="left" vertical="top" wrapText="1"/>
    </xf>
    <xf numFmtId="0" fontId="33" fillId="19" borderId="67" xfId="42" applyFont="1" applyFill="1" applyBorder="1" applyAlignment="1">
      <alignment horizontal="center" vertical="top" wrapText="1"/>
    </xf>
    <xf numFmtId="0" fontId="33" fillId="19" borderId="0" xfId="42" applyFont="1" applyFill="1" applyAlignment="1">
      <alignment horizontal="left" vertical="top" wrapText="1"/>
    </xf>
    <xf numFmtId="0" fontId="33" fillId="19" borderId="68" xfId="42" applyFont="1" applyFill="1" applyBorder="1" applyAlignment="1">
      <alignment horizontal="left" vertical="top" wrapText="1"/>
    </xf>
    <xf numFmtId="167" fontId="33" fillId="19" borderId="43" xfId="35" applyNumberFormat="1" applyFont="1" applyFill="1" applyBorder="1" applyAlignment="1">
      <alignment horizontal="center" vertical="top" wrapText="1"/>
    </xf>
    <xf numFmtId="167" fontId="33" fillId="19" borderId="0" xfId="35" applyNumberFormat="1" applyFont="1" applyFill="1" applyBorder="1" applyAlignment="1">
      <alignment horizontal="center" vertical="top" wrapText="1"/>
    </xf>
    <xf numFmtId="167" fontId="173" fillId="10" borderId="46" xfId="42" applyNumberFormat="1" applyFont="1" applyFill="1" applyBorder="1" applyAlignment="1">
      <alignment horizontal="right" vertical="top" wrapText="1"/>
    </xf>
    <xf numFmtId="9" fontId="33" fillId="19" borderId="0" xfId="35" applyFont="1" applyFill="1" applyBorder="1" applyAlignment="1">
      <alignment horizontal="center" vertical="top" wrapText="1"/>
    </xf>
    <xf numFmtId="9" fontId="33" fillId="19" borderId="0" xfId="35" applyFont="1" applyFill="1" applyBorder="1" applyAlignment="1">
      <alignment horizontal="left" vertical="top" wrapText="1"/>
    </xf>
    <xf numFmtId="3" fontId="33" fillId="17" borderId="0" xfId="42" applyNumberFormat="1" applyFont="1" applyFill="1" applyAlignment="1">
      <alignment horizontal="right" vertical="top" wrapText="1"/>
    </xf>
    <xf numFmtId="0" fontId="33" fillId="19" borderId="46" xfId="42" applyFont="1" applyFill="1" applyBorder="1" applyAlignment="1">
      <alignment horizontal="left" vertical="top" wrapText="1"/>
    </xf>
    <xf numFmtId="0" fontId="33" fillId="19" borderId="69" xfId="42" applyFont="1" applyFill="1" applyBorder="1" applyAlignment="1">
      <alignment horizontal="center" vertical="top" wrapText="1"/>
    </xf>
    <xf numFmtId="0" fontId="33" fillId="19" borderId="68" xfId="42" applyFont="1" applyFill="1" applyBorder="1" applyAlignment="1">
      <alignment horizontal="center" vertical="top" wrapText="1"/>
    </xf>
    <xf numFmtId="0" fontId="33" fillId="19" borderId="46" xfId="42" applyFont="1" applyFill="1" applyBorder="1" applyAlignment="1">
      <alignment horizontal="center" vertical="top" wrapText="1"/>
    </xf>
    <xf numFmtId="170" fontId="33" fillId="17" borderId="0" xfId="42" applyNumberFormat="1" applyFont="1" applyFill="1" applyAlignment="1">
      <alignment horizontal="right" vertical="top" wrapText="1"/>
    </xf>
    <xf numFmtId="170" fontId="33" fillId="17" borderId="43" xfId="42" applyNumberFormat="1" applyFont="1" applyFill="1" applyBorder="1" applyAlignment="1">
      <alignment horizontal="right" vertical="top" wrapText="1"/>
    </xf>
    <xf numFmtId="0" fontId="33" fillId="17" borderId="70" xfId="42" applyFont="1" applyFill="1" applyBorder="1" applyAlignment="1">
      <alignment horizontal="right" vertical="top" wrapText="1"/>
    </xf>
    <xf numFmtId="0" fontId="33" fillId="17" borderId="71" xfId="42" applyFont="1" applyFill="1" applyBorder="1" applyAlignment="1">
      <alignment horizontal="right" vertical="top" wrapText="1"/>
    </xf>
    <xf numFmtId="0" fontId="33" fillId="17" borderId="44" xfId="42" applyFont="1" applyFill="1" applyBorder="1" applyAlignment="1">
      <alignment horizontal="right" vertical="top" wrapText="1"/>
    </xf>
    <xf numFmtId="0" fontId="33" fillId="19" borderId="43" xfId="42" applyFont="1" applyFill="1" applyBorder="1" applyAlignment="1">
      <alignment horizontal="center" vertical="top" wrapText="1"/>
    </xf>
    <xf numFmtId="0" fontId="33" fillId="19" borderId="0" xfId="42" applyFont="1" applyFill="1" applyAlignment="1">
      <alignment horizontal="center" vertical="top" wrapText="1"/>
    </xf>
    <xf numFmtId="0" fontId="33" fillId="19" borderId="44" xfId="42" applyFont="1" applyFill="1" applyBorder="1" applyAlignment="1">
      <alignment horizontal="center" vertical="top" wrapText="1"/>
    </xf>
    <xf numFmtId="171" fontId="33" fillId="17" borderId="43" xfId="42" applyNumberFormat="1" applyFont="1" applyFill="1" applyBorder="1" applyAlignment="1">
      <alignment horizontal="right" vertical="top" wrapText="1"/>
    </xf>
    <xf numFmtId="171" fontId="33" fillId="17" borderId="0" xfId="42" applyNumberFormat="1" applyFont="1" applyFill="1" applyAlignment="1">
      <alignment horizontal="right" vertical="top" wrapText="1"/>
    </xf>
    <xf numFmtId="171" fontId="33" fillId="17" borderId="46" xfId="42" applyNumberFormat="1" applyFont="1" applyFill="1" applyBorder="1" applyAlignment="1">
      <alignment horizontal="right" vertical="top" wrapText="1"/>
    </xf>
    <xf numFmtId="172" fontId="33" fillId="19" borderId="46" xfId="42" applyNumberFormat="1" applyFont="1" applyFill="1" applyBorder="1" applyAlignment="1">
      <alignment horizontal="right" vertical="top" wrapText="1"/>
    </xf>
    <xf numFmtId="49" fontId="33" fillId="19" borderId="43" xfId="42" applyNumberFormat="1" applyFont="1" applyFill="1" applyBorder="1" applyAlignment="1">
      <alignment horizontal="center" vertical="top" wrapText="1"/>
    </xf>
    <xf numFmtId="4" fontId="33" fillId="17" borderId="0" xfId="42" applyNumberFormat="1" applyFont="1" applyFill="1" applyAlignment="1">
      <alignment horizontal="right" vertical="top" wrapText="1"/>
    </xf>
    <xf numFmtId="4" fontId="33" fillId="17" borderId="43" xfId="42" applyNumberFormat="1" applyFont="1" applyFill="1" applyBorder="1" applyAlignment="1">
      <alignment horizontal="right" vertical="top" wrapText="1"/>
    </xf>
    <xf numFmtId="21" fontId="33" fillId="17" borderId="43" xfId="42" applyNumberFormat="1" applyFont="1" applyFill="1" applyBorder="1" applyAlignment="1">
      <alignment horizontal="right" vertical="top" wrapText="1"/>
    </xf>
    <xf numFmtId="21" fontId="33" fillId="17" borderId="0" xfId="42" applyNumberFormat="1" applyFont="1" applyFill="1" applyAlignment="1">
      <alignment horizontal="right" vertical="top" wrapText="1"/>
    </xf>
    <xf numFmtId="21" fontId="33" fillId="17" borderId="70" xfId="42" applyNumberFormat="1" applyFont="1" applyFill="1" applyBorder="1" applyAlignment="1">
      <alignment horizontal="right" vertical="top" wrapText="1"/>
    </xf>
    <xf numFmtId="21" fontId="33" fillId="17" borderId="71" xfId="42" applyNumberFormat="1" applyFont="1" applyFill="1" applyBorder="1" applyAlignment="1">
      <alignment horizontal="right" vertical="top" wrapText="1"/>
    </xf>
    <xf numFmtId="21" fontId="33" fillId="17" borderId="44" xfId="42" applyNumberFormat="1" applyFont="1" applyFill="1" applyBorder="1" applyAlignment="1">
      <alignment horizontal="right" vertical="top" wrapText="1"/>
    </xf>
    <xf numFmtId="0" fontId="33" fillId="17" borderId="44" xfId="42" applyFont="1" applyFill="1" applyBorder="1" applyAlignment="1">
      <alignment horizontal="left" vertical="top" wrapText="1"/>
    </xf>
    <xf numFmtId="0" fontId="122" fillId="17" borderId="43" xfId="42" applyFont="1" applyFill="1" applyBorder="1" applyAlignment="1">
      <alignment horizontal="right" vertical="top" wrapText="1"/>
    </xf>
    <xf numFmtId="169" fontId="33" fillId="22" borderId="0" xfId="42" applyNumberFormat="1" applyFont="1" applyFill="1" applyAlignment="1">
      <alignment horizontal="right" vertical="top" wrapText="1"/>
    </xf>
    <xf numFmtId="169" fontId="33" fillId="22" borderId="43" xfId="42" applyNumberFormat="1" applyFont="1" applyFill="1" applyBorder="1" applyAlignment="1">
      <alignment horizontal="right" vertical="top" wrapText="1"/>
    </xf>
    <xf numFmtId="169" fontId="33" fillId="22" borderId="70" xfId="42" applyNumberFormat="1" applyFont="1" applyFill="1" applyBorder="1" applyAlignment="1">
      <alignment horizontal="right" vertical="top" wrapText="1"/>
    </xf>
    <xf numFmtId="169" fontId="33" fillId="22" borderId="71" xfId="42" applyNumberFormat="1" applyFont="1" applyFill="1" applyBorder="1" applyAlignment="1">
      <alignment horizontal="right" vertical="top" wrapText="1"/>
    </xf>
    <xf numFmtId="169" fontId="33" fillId="22" borderId="44" xfId="42" applyNumberFormat="1" applyFont="1" applyFill="1" applyBorder="1" applyAlignment="1">
      <alignment horizontal="right" vertical="top" wrapText="1"/>
    </xf>
    <xf numFmtId="2" fontId="33" fillId="17" borderId="43" xfId="42" applyNumberFormat="1" applyFont="1" applyFill="1" applyBorder="1" applyAlignment="1">
      <alignment horizontal="right" vertical="top" wrapText="1"/>
    </xf>
    <xf numFmtId="2" fontId="33" fillId="17" borderId="0" xfId="42" applyNumberFormat="1" applyFont="1" applyFill="1" applyAlignment="1">
      <alignment horizontal="right" vertical="top" wrapText="1"/>
    </xf>
    <xf numFmtId="9" fontId="33" fillId="19" borderId="46" xfId="42" applyNumberFormat="1" applyFont="1" applyFill="1" applyBorder="1" applyAlignment="1">
      <alignment horizontal="center" vertical="top" wrapText="1"/>
    </xf>
    <xf numFmtId="0" fontId="33" fillId="20" borderId="0" xfId="42" applyFont="1" applyFill="1" applyAlignment="1">
      <alignment horizontal="left" vertical="top" wrapText="1"/>
    </xf>
    <xf numFmtId="9" fontId="33" fillId="22" borderId="46" xfId="42" applyNumberFormat="1" applyFont="1" applyFill="1" applyBorder="1" applyAlignment="1">
      <alignment horizontal="center" vertical="top" wrapText="1"/>
    </xf>
    <xf numFmtId="3" fontId="33" fillId="17" borderId="43" xfId="42" applyNumberFormat="1" applyFont="1" applyFill="1" applyBorder="1" applyAlignment="1">
      <alignment horizontal="right" vertical="top" wrapText="1"/>
    </xf>
    <xf numFmtId="3" fontId="33" fillId="17" borderId="44" xfId="42" applyNumberFormat="1" applyFont="1" applyFill="1" applyBorder="1" applyAlignment="1">
      <alignment horizontal="right" vertical="top" wrapText="1"/>
    </xf>
    <xf numFmtId="164" fontId="33" fillId="17" borderId="43" xfId="42" applyNumberFormat="1" applyFont="1" applyFill="1" applyBorder="1" applyAlignment="1">
      <alignment horizontal="right" vertical="top" wrapText="1"/>
    </xf>
    <xf numFmtId="164" fontId="33" fillId="17" borderId="0" xfId="42" applyNumberFormat="1" applyFont="1" applyFill="1" applyAlignment="1">
      <alignment horizontal="right" vertical="top" wrapText="1"/>
    </xf>
    <xf numFmtId="169" fontId="33" fillId="17" borderId="43" xfId="42" applyNumberFormat="1" applyFont="1" applyFill="1" applyBorder="1" applyAlignment="1">
      <alignment horizontal="right" vertical="top" wrapText="1"/>
    </xf>
    <xf numFmtId="169" fontId="33" fillId="17" borderId="0" xfId="42" applyNumberFormat="1" applyFont="1" applyFill="1" applyAlignment="1">
      <alignment horizontal="right" vertical="top" wrapText="1"/>
    </xf>
    <xf numFmtId="0" fontId="33" fillId="21" borderId="0" xfId="42" applyFont="1" applyFill="1" applyAlignment="1">
      <alignment horizontal="right" vertical="top" wrapText="1"/>
    </xf>
    <xf numFmtId="2" fontId="33" fillId="21" borderId="43" xfId="42" applyNumberFormat="1" applyFont="1" applyFill="1" applyBorder="1" applyAlignment="1">
      <alignment horizontal="right" vertical="top" wrapText="1"/>
    </xf>
    <xf numFmtId="169" fontId="33" fillId="17" borderId="44" xfId="42" applyNumberFormat="1" applyFont="1" applyFill="1" applyBorder="1" applyAlignment="1">
      <alignment horizontal="right" vertical="top" wrapText="1"/>
    </xf>
    <xf numFmtId="4" fontId="33" fillId="22" borderId="0" xfId="42" applyNumberFormat="1" applyFont="1" applyFill="1" applyAlignment="1">
      <alignment horizontal="right" vertical="top" wrapText="1"/>
    </xf>
    <xf numFmtId="4" fontId="33" fillId="22" borderId="43" xfId="42" applyNumberFormat="1" applyFont="1" applyFill="1" applyBorder="1" applyAlignment="1">
      <alignment horizontal="right" vertical="top" wrapText="1"/>
    </xf>
    <xf numFmtId="21" fontId="33" fillId="22" borderId="0" xfId="42" applyNumberFormat="1" applyFont="1" applyFill="1" applyAlignment="1">
      <alignment horizontal="right" vertical="top" wrapText="1"/>
    </xf>
    <xf numFmtId="171" fontId="33" fillId="21" borderId="46" xfId="42" applyNumberFormat="1" applyFont="1" applyFill="1" applyBorder="1" applyAlignment="1">
      <alignment horizontal="right" vertical="top" wrapText="1"/>
    </xf>
    <xf numFmtId="0" fontId="33" fillId="17" borderId="43" xfId="42" applyFont="1" applyFill="1" applyBorder="1" applyAlignment="1">
      <alignment horizontal="right" vertical="center" wrapText="1"/>
    </xf>
    <xf numFmtId="0" fontId="33" fillId="17" borderId="0" xfId="42" applyFont="1" applyFill="1" applyAlignment="1">
      <alignment horizontal="right" vertical="center" wrapText="1"/>
    </xf>
    <xf numFmtId="0" fontId="33" fillId="17" borderId="44" xfId="42" applyFont="1" applyFill="1" applyBorder="1" applyAlignment="1">
      <alignment horizontal="right" vertical="center" wrapText="1"/>
    </xf>
    <xf numFmtId="0" fontId="33" fillId="17" borderId="47" xfId="42" applyFont="1" applyFill="1" applyBorder="1" applyAlignment="1">
      <alignment horizontal="left" vertical="top" wrapText="1"/>
    </xf>
    <xf numFmtId="0" fontId="33" fillId="17" borderId="51" xfId="42" applyFont="1" applyFill="1" applyBorder="1" applyAlignment="1">
      <alignment horizontal="left" vertical="top" wrapText="1"/>
    </xf>
    <xf numFmtId="0" fontId="33" fillId="19" borderId="47" xfId="42" applyFont="1" applyFill="1" applyBorder="1" applyAlignment="1">
      <alignment horizontal="center" vertical="top" wrapText="1"/>
    </xf>
    <xf numFmtId="0" fontId="33" fillId="19" borderId="72" xfId="42" applyFont="1" applyFill="1" applyBorder="1" applyAlignment="1">
      <alignment horizontal="left" vertical="top" wrapText="1"/>
    </xf>
    <xf numFmtId="0" fontId="33" fillId="19" borderId="72" xfId="42" applyFont="1" applyFill="1" applyBorder="1" applyAlignment="1">
      <alignment horizontal="center" vertical="top" wrapText="1"/>
    </xf>
    <xf numFmtId="0" fontId="33" fillId="19" borderId="3" xfId="42" applyFont="1" applyFill="1" applyBorder="1" applyAlignment="1">
      <alignment horizontal="left" vertical="top" wrapText="1"/>
    </xf>
    <xf numFmtId="0" fontId="33" fillId="19" borderId="73" xfId="42" applyFont="1" applyFill="1" applyBorder="1" applyAlignment="1">
      <alignment horizontal="left" vertical="top" wrapText="1"/>
    </xf>
    <xf numFmtId="167" fontId="33" fillId="19" borderId="48" xfId="35" applyNumberFormat="1" applyFont="1" applyFill="1" applyBorder="1" applyAlignment="1">
      <alignment horizontal="center" vertical="top" wrapText="1"/>
    </xf>
    <xf numFmtId="167" fontId="33" fillId="19" borderId="3" xfId="35" applyNumberFormat="1" applyFont="1" applyFill="1" applyBorder="1" applyAlignment="1">
      <alignment horizontal="center" vertical="top" wrapText="1"/>
    </xf>
    <xf numFmtId="167" fontId="173" fillId="10" borderId="49" xfId="42" applyNumberFormat="1" applyFont="1" applyFill="1" applyBorder="1" applyAlignment="1">
      <alignment horizontal="right" vertical="top" wrapText="1"/>
    </xf>
    <xf numFmtId="9" fontId="33" fillId="19" borderId="3" xfId="35" applyFont="1" applyFill="1" applyBorder="1" applyAlignment="1">
      <alignment horizontal="center" vertical="top" wrapText="1"/>
    </xf>
    <xf numFmtId="9" fontId="33" fillId="19" borderId="3" xfId="35" applyFont="1" applyFill="1" applyBorder="1" applyAlignment="1">
      <alignment horizontal="left" vertical="top" wrapText="1"/>
    </xf>
    <xf numFmtId="0" fontId="33" fillId="17" borderId="3" xfId="42" applyFont="1" applyFill="1" applyBorder="1" applyAlignment="1">
      <alignment horizontal="left" vertical="top" wrapText="1"/>
    </xf>
    <xf numFmtId="0" fontId="33" fillId="17" borderId="3" xfId="42" applyFont="1" applyFill="1" applyBorder="1" applyAlignment="1">
      <alignment horizontal="right" vertical="top" wrapText="1"/>
    </xf>
    <xf numFmtId="0" fontId="33" fillId="19" borderId="49" xfId="42" applyFont="1" applyFill="1" applyBorder="1" applyAlignment="1">
      <alignment horizontal="left" vertical="top" wrapText="1"/>
    </xf>
    <xf numFmtId="0" fontId="33" fillId="19" borderId="74" xfId="42" applyFont="1" applyFill="1" applyBorder="1" applyAlignment="1">
      <alignment horizontal="center" vertical="top" wrapText="1"/>
    </xf>
    <xf numFmtId="0" fontId="33" fillId="19" borderId="73" xfId="42" applyFont="1" applyFill="1" applyBorder="1" applyAlignment="1">
      <alignment horizontal="center" vertical="top" wrapText="1"/>
    </xf>
    <xf numFmtId="0" fontId="33" fillId="19" borderId="49" xfId="42" applyFont="1" applyFill="1" applyBorder="1" applyAlignment="1">
      <alignment horizontal="center" vertical="top" wrapText="1"/>
    </xf>
    <xf numFmtId="0" fontId="33" fillId="17" borderId="48" xfId="42" applyFont="1" applyFill="1" applyBorder="1" applyAlignment="1">
      <alignment horizontal="right" vertical="center" wrapText="1"/>
    </xf>
    <xf numFmtId="0" fontId="33" fillId="17" borderId="3" xfId="42" applyFont="1" applyFill="1" applyBorder="1" applyAlignment="1">
      <alignment horizontal="right" vertical="center" wrapText="1"/>
    </xf>
    <xf numFmtId="0" fontId="33" fillId="17" borderId="50" xfId="42" applyFont="1" applyFill="1" applyBorder="1" applyAlignment="1">
      <alignment horizontal="right" vertical="top" wrapText="1"/>
    </xf>
    <xf numFmtId="0" fontId="33" fillId="19" borderId="48" xfId="42" applyFont="1" applyFill="1" applyBorder="1" applyAlignment="1">
      <alignment horizontal="center" vertical="top" wrapText="1"/>
    </xf>
    <xf numFmtId="0" fontId="33" fillId="19" borderId="3" xfId="42" applyFont="1" applyFill="1" applyBorder="1" applyAlignment="1">
      <alignment horizontal="center" vertical="top" wrapText="1"/>
    </xf>
    <xf numFmtId="0" fontId="33" fillId="19" borderId="50" xfId="42" applyFont="1" applyFill="1" applyBorder="1" applyAlignment="1">
      <alignment horizontal="center" vertical="top" wrapText="1"/>
    </xf>
    <xf numFmtId="0" fontId="33" fillId="17" borderId="48" xfId="42" applyFont="1" applyFill="1" applyBorder="1" applyAlignment="1">
      <alignment horizontal="right" vertical="top" wrapText="1"/>
    </xf>
    <xf numFmtId="171" fontId="33" fillId="17" borderId="48" xfId="42" applyNumberFormat="1" applyFont="1" applyFill="1" applyBorder="1" applyAlignment="1">
      <alignment horizontal="right" vertical="top" wrapText="1"/>
    </xf>
    <xf numFmtId="171" fontId="33" fillId="17" borderId="3" xfId="42" applyNumberFormat="1" applyFont="1" applyFill="1" applyBorder="1" applyAlignment="1">
      <alignment horizontal="right" vertical="top" wrapText="1"/>
    </xf>
    <xf numFmtId="171" fontId="33" fillId="17" borderId="49" xfId="42" applyNumberFormat="1" applyFont="1" applyFill="1" applyBorder="1" applyAlignment="1">
      <alignment horizontal="right" vertical="top" wrapText="1"/>
    </xf>
    <xf numFmtId="172" fontId="33" fillId="19" borderId="49" xfId="42" applyNumberFormat="1" applyFont="1" applyFill="1" applyBorder="1" applyAlignment="1">
      <alignment horizontal="right" vertical="top" wrapText="1"/>
    </xf>
    <xf numFmtId="49" fontId="33" fillId="19" borderId="48" xfId="42" applyNumberFormat="1" applyFont="1" applyFill="1" applyBorder="1" applyAlignment="1">
      <alignment horizontal="center" vertical="top" wrapText="1"/>
    </xf>
    <xf numFmtId="168" fontId="150" fillId="32" borderId="0" xfId="0" applyNumberFormat="1" applyFont="1" applyFill="1" applyAlignment="1">
      <alignment horizontal="left" vertical="center"/>
    </xf>
    <xf numFmtId="168" fontId="177" fillId="37" borderId="0" xfId="52" applyNumberFormat="1" applyFont="1" applyFill="1" applyAlignment="1">
      <alignment horizontal="left" vertical="center"/>
    </xf>
    <xf numFmtId="2" fontId="46" fillId="5" borderId="0" xfId="0" applyNumberFormat="1" applyFont="1" applyFill="1" applyAlignment="1">
      <alignment horizontal="right" vertical="center"/>
    </xf>
    <xf numFmtId="1" fontId="46" fillId="5" borderId="0" xfId="0" applyNumberFormat="1" applyFont="1" applyFill="1" applyAlignment="1">
      <alignment horizontal="right" vertical="center"/>
    </xf>
    <xf numFmtId="165" fontId="42" fillId="44" borderId="0" xfId="0" applyNumberFormat="1" applyFont="1" applyFill="1" applyAlignment="1">
      <alignment horizontal="right" vertical="center"/>
    </xf>
    <xf numFmtId="0" fontId="33" fillId="41" borderId="0" xfId="0" applyFont="1" applyFill="1" applyAlignment="1">
      <alignment horizontal="right" vertical="center"/>
    </xf>
    <xf numFmtId="0" fontId="46" fillId="5" borderId="0" xfId="0" applyFont="1" applyFill="1" applyAlignment="1">
      <alignment horizontal="left" vertical="top" wrapText="1"/>
    </xf>
    <xf numFmtId="0" fontId="46" fillId="5" borderId="0" xfId="0" applyFont="1" applyFill="1" applyAlignment="1">
      <alignment horizontal="left" wrapText="1"/>
    </xf>
    <xf numFmtId="174" fontId="42" fillId="44" borderId="0" xfId="0" applyNumberFormat="1" applyFont="1" applyFill="1" applyAlignment="1">
      <alignment horizontal="right" vertical="center"/>
    </xf>
    <xf numFmtId="168" fontId="177" fillId="37" borderId="0" xfId="52" applyNumberFormat="1" applyFont="1" applyFill="1" applyAlignment="1" applyProtection="1">
      <alignment horizontal="left" vertical="center"/>
      <protection locked="0"/>
    </xf>
    <xf numFmtId="0" fontId="33" fillId="10" borderId="0" xfId="0" applyFont="1" applyFill="1" applyAlignment="1" applyProtection="1">
      <alignment vertical="center"/>
      <protection locked="0"/>
    </xf>
    <xf numFmtId="49" fontId="33" fillId="5" borderId="0" xfId="0" applyNumberFormat="1" applyFont="1" applyFill="1" applyAlignment="1" applyProtection="1">
      <alignment horizontal="right" vertical="center"/>
      <protection locked="0"/>
    </xf>
    <xf numFmtId="9" fontId="160" fillId="5" borderId="0" xfId="35" applyFont="1" applyFill="1" applyBorder="1" applyAlignment="1">
      <alignment horizontal="right" vertical="center"/>
    </xf>
    <xf numFmtId="167" fontId="160" fillId="5" borderId="0" xfId="35" applyNumberFormat="1" applyFont="1" applyFill="1" applyBorder="1" applyAlignment="1">
      <alignment horizontal="right" vertical="center"/>
    </xf>
    <xf numFmtId="0" fontId="178" fillId="8" borderId="0" xfId="0" applyFont="1" applyFill="1" applyAlignment="1">
      <alignment horizontal="left" vertical="center"/>
    </xf>
    <xf numFmtId="0" fontId="179" fillId="0" borderId="0" xfId="45" applyNumberFormat="1" applyFont="1" applyFill="1" applyBorder="1" applyAlignment="1"/>
    <xf numFmtId="165" fontId="34" fillId="0" borderId="0" xfId="45" applyNumberFormat="1" applyFont="1" applyFill="1" applyAlignment="1">
      <alignment horizontal="right" vertical="center"/>
    </xf>
    <xf numFmtId="0" fontId="34" fillId="0" borderId="0" xfId="45" applyNumberFormat="1" applyFont="1" applyFill="1">
      <alignment vertical="top"/>
    </xf>
    <xf numFmtId="0" fontId="33" fillId="45" borderId="43" xfId="42" applyFont="1" applyFill="1" applyBorder="1" applyAlignment="1">
      <alignment horizontal="right" vertical="top" wrapText="1"/>
    </xf>
    <xf numFmtId="0" fontId="33" fillId="45" borderId="0" xfId="42" applyFont="1" applyFill="1" applyAlignment="1">
      <alignment horizontal="right" vertical="top" wrapText="1"/>
    </xf>
    <xf numFmtId="0" fontId="33" fillId="45" borderId="44" xfId="42" applyFont="1" applyFill="1" applyBorder="1" applyAlignment="1">
      <alignment horizontal="right" vertical="top" wrapText="1"/>
    </xf>
    <xf numFmtId="2" fontId="33" fillId="45" borderId="43" xfId="42" applyNumberFormat="1" applyFont="1" applyFill="1" applyBorder="1" applyAlignment="1">
      <alignment horizontal="right" vertical="top" wrapText="1"/>
    </xf>
    <xf numFmtId="2" fontId="33" fillId="45" borderId="0" xfId="42" applyNumberFormat="1" applyFont="1" applyFill="1" applyAlignment="1">
      <alignment horizontal="right" vertical="top" wrapText="1"/>
    </xf>
    <xf numFmtId="164" fontId="33" fillId="45" borderId="43" xfId="42" applyNumberFormat="1" applyFont="1" applyFill="1" applyBorder="1" applyAlignment="1">
      <alignment horizontal="right" vertical="top" wrapText="1"/>
    </xf>
    <xf numFmtId="2" fontId="33" fillId="45" borderId="44" xfId="42" applyNumberFormat="1" applyFont="1" applyFill="1" applyBorder="1" applyAlignment="1">
      <alignment horizontal="right" vertical="top" wrapText="1"/>
    </xf>
    <xf numFmtId="164" fontId="33" fillId="45" borderId="0" xfId="42" applyNumberFormat="1" applyFont="1" applyFill="1" applyAlignment="1">
      <alignment horizontal="right" vertical="top" wrapText="1"/>
    </xf>
    <xf numFmtId="164" fontId="33" fillId="45" borderId="44" xfId="42" applyNumberFormat="1" applyFont="1" applyFill="1" applyBorder="1" applyAlignment="1">
      <alignment horizontal="right" vertical="top" wrapText="1"/>
    </xf>
    <xf numFmtId="170" fontId="33" fillId="45" borderId="43" xfId="42" applyNumberFormat="1" applyFont="1" applyFill="1" applyBorder="1" applyAlignment="1">
      <alignment horizontal="right" vertical="top" wrapText="1"/>
    </xf>
    <xf numFmtId="171" fontId="33" fillId="45" borderId="46" xfId="42" applyNumberFormat="1" applyFont="1" applyFill="1" applyBorder="1" applyAlignment="1">
      <alignment horizontal="right" vertical="top" wrapText="1"/>
    </xf>
    <xf numFmtId="171" fontId="33" fillId="45" borderId="0" xfId="42" applyNumberFormat="1" applyFont="1" applyFill="1" applyAlignment="1">
      <alignment horizontal="right" vertical="top" wrapText="1"/>
    </xf>
    <xf numFmtId="171" fontId="33" fillId="45" borderId="43" xfId="42" applyNumberFormat="1" applyFont="1" applyFill="1" applyBorder="1" applyAlignment="1">
      <alignment horizontal="right" vertical="top" wrapText="1"/>
    </xf>
    <xf numFmtId="173" fontId="33" fillId="45" borderId="0" xfId="42" applyNumberFormat="1" applyFont="1" applyFill="1" applyAlignment="1">
      <alignment horizontal="right" vertical="top" wrapText="1"/>
    </xf>
    <xf numFmtId="0" fontId="33" fillId="45" borderId="28" xfId="42" applyFont="1" applyFill="1" applyBorder="1" applyAlignment="1">
      <alignment horizontal="left" vertical="top" wrapText="1"/>
    </xf>
    <xf numFmtId="0" fontId="33" fillId="45" borderId="0" xfId="42" applyFont="1" applyFill="1" applyAlignment="1">
      <alignment horizontal="left" vertical="top" wrapText="1"/>
    </xf>
    <xf numFmtId="0" fontId="33" fillId="45" borderId="43" xfId="42" applyFont="1" applyFill="1" applyBorder="1" applyAlignment="1">
      <alignment horizontal="center" vertical="top" wrapText="1"/>
    </xf>
    <xf numFmtId="0" fontId="33" fillId="45" borderId="0" xfId="42" applyFont="1" applyFill="1" applyAlignment="1">
      <alignment horizontal="center" vertical="top" wrapText="1"/>
    </xf>
    <xf numFmtId="0" fontId="33" fillId="45" borderId="46" xfId="42" applyFont="1" applyFill="1" applyBorder="1" applyAlignment="1">
      <alignment horizontal="left" vertical="top" wrapText="1"/>
    </xf>
    <xf numFmtId="0" fontId="33" fillId="45" borderId="44" xfId="42" applyFont="1" applyFill="1" applyBorder="1" applyAlignment="1">
      <alignment horizontal="left" vertical="top" wrapText="1"/>
    </xf>
    <xf numFmtId="167" fontId="33" fillId="45" borderId="43" xfId="42" applyNumberFormat="1" applyFont="1" applyFill="1" applyBorder="1" applyAlignment="1">
      <alignment horizontal="right" vertical="top" wrapText="1"/>
    </xf>
    <xf numFmtId="167" fontId="33" fillId="45" borderId="0" xfId="42" applyNumberFormat="1" applyFont="1" applyFill="1" applyAlignment="1">
      <alignment horizontal="right" vertical="top" wrapText="1"/>
    </xf>
    <xf numFmtId="167" fontId="33" fillId="45" borderId="44" xfId="42" applyNumberFormat="1" applyFont="1" applyFill="1" applyBorder="1" applyAlignment="1">
      <alignment horizontal="right" vertical="top" wrapText="1"/>
    </xf>
    <xf numFmtId="167" fontId="173" fillId="45" borderId="46" xfId="42" applyNumberFormat="1" applyFont="1" applyFill="1" applyBorder="1" applyAlignment="1">
      <alignment horizontal="right" vertical="top" wrapText="1"/>
    </xf>
    <xf numFmtId="0" fontId="33" fillId="45" borderId="44" xfId="42" applyFont="1" applyFill="1" applyBorder="1" applyAlignment="1">
      <alignment horizontal="center" vertical="top" wrapText="1"/>
    </xf>
    <xf numFmtId="0" fontId="122" fillId="45" borderId="44" xfId="42" applyFont="1" applyFill="1" applyBorder="1" applyAlignment="1">
      <alignment horizontal="right" vertical="top" wrapText="1"/>
    </xf>
    <xf numFmtId="172" fontId="33" fillId="45" borderId="46" xfId="42" applyNumberFormat="1" applyFont="1" applyFill="1" applyBorder="1" applyAlignment="1">
      <alignment horizontal="right" vertical="top" wrapText="1"/>
    </xf>
    <xf numFmtId="49" fontId="33"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3" fillId="8" borderId="0" xfId="42" applyFont="1" applyFill="1" applyAlignment="1">
      <alignment horizontal="center" vertical="top"/>
    </xf>
    <xf numFmtId="0" fontId="52" fillId="8" borderId="0" xfId="42" applyFont="1" applyFill="1" applyAlignment="1">
      <alignment vertical="top" wrapText="1"/>
    </xf>
    <xf numFmtId="0" fontId="53" fillId="8" borderId="0" xfId="42" applyFont="1" applyFill="1" applyAlignment="1">
      <alignment horizontal="left" vertical="top" wrapText="1"/>
    </xf>
    <xf numFmtId="0" fontId="51" fillId="8" borderId="0" xfId="42" applyFont="1" applyFill="1" applyAlignment="1">
      <alignment horizontal="left" vertical="top" wrapText="1"/>
    </xf>
    <xf numFmtId="0" fontId="42" fillId="28" borderId="0" xfId="0" applyFont="1" applyFill="1" applyAlignment="1">
      <alignment horizontal="right" vertical="center"/>
    </xf>
    <xf numFmtId="164" fontId="42" fillId="39" borderId="0" xfId="0" applyNumberFormat="1" applyFont="1" applyFill="1" applyAlignment="1">
      <alignment horizontal="right" vertical="center"/>
    </xf>
    <xf numFmtId="165" fontId="42" fillId="28" borderId="0" xfId="0" applyNumberFormat="1" applyFont="1" applyFill="1" applyAlignment="1">
      <alignment horizontal="right" vertical="center"/>
    </xf>
    <xf numFmtId="0" fontId="33" fillId="11" borderId="0" xfId="42" quotePrefix="1" applyFont="1" applyFill="1" applyAlignment="1">
      <alignment horizontal="left" vertical="top" wrapText="1"/>
    </xf>
    <xf numFmtId="0" fontId="33" fillId="5" borderId="0" xfId="42" applyFont="1" applyFill="1" applyAlignment="1">
      <alignment horizontal="left" vertical="top" wrapText="1"/>
    </xf>
    <xf numFmtId="0" fontId="33" fillId="0" borderId="0" xfId="0" applyFont="1"/>
    <xf numFmtId="0" fontId="32" fillId="0" borderId="28" xfId="42" applyFont="1" applyBorder="1" applyAlignment="1">
      <alignment horizontal="left" vertical="top" wrapText="1"/>
    </xf>
    <xf numFmtId="0" fontId="32" fillId="0" borderId="0" xfId="42" applyFont="1" applyAlignment="1">
      <alignment horizontal="left" vertical="top" wrapText="1"/>
    </xf>
    <xf numFmtId="0" fontId="32" fillId="0" borderId="43" xfId="42" applyFont="1" applyBorder="1" applyAlignment="1">
      <alignment horizontal="center" vertical="top" wrapText="1"/>
    </xf>
    <xf numFmtId="0" fontId="32" fillId="0" borderId="0" xfId="42" applyFont="1" applyAlignment="1">
      <alignment horizontal="center" vertical="top" wrapText="1"/>
    </xf>
    <xf numFmtId="0" fontId="32" fillId="0" borderId="46" xfId="42" applyFont="1" applyBorder="1" applyAlignment="1">
      <alignment horizontal="left" vertical="top" wrapText="1"/>
    </xf>
    <xf numFmtId="0" fontId="32" fillId="0" borderId="44" xfId="42" applyFont="1" applyBorder="1" applyAlignment="1">
      <alignment horizontal="left" vertical="top" wrapText="1"/>
    </xf>
    <xf numFmtId="167" fontId="32" fillId="0" borderId="43" xfId="42" applyNumberFormat="1" applyFont="1" applyBorder="1" applyAlignment="1">
      <alignment horizontal="right" vertical="top" wrapText="1"/>
    </xf>
    <xf numFmtId="167" fontId="32" fillId="0" borderId="0" xfId="42" applyNumberFormat="1" applyFont="1" applyAlignment="1">
      <alignment horizontal="right" vertical="top" wrapText="1"/>
    </xf>
    <xf numFmtId="167" fontId="32" fillId="0" borderId="44" xfId="42" applyNumberFormat="1" applyFont="1" applyBorder="1" applyAlignment="1">
      <alignment horizontal="right" vertical="top" wrapText="1"/>
    </xf>
    <xf numFmtId="167" fontId="32" fillId="0" borderId="46" xfId="42" applyNumberFormat="1" applyFont="1" applyBorder="1" applyAlignment="1">
      <alignment horizontal="right" vertical="top" wrapText="1"/>
    </xf>
    <xf numFmtId="0" fontId="32" fillId="0" borderId="44" xfId="42" applyFont="1" applyBorder="1" applyAlignment="1">
      <alignment horizontal="center" vertical="top" wrapText="1"/>
    </xf>
    <xf numFmtId="0" fontId="32" fillId="0" borderId="0" xfId="42" applyFont="1" applyAlignment="1">
      <alignment horizontal="right" vertical="top" wrapText="1"/>
    </xf>
    <xf numFmtId="3" fontId="181" fillId="0" borderId="44" xfId="42" applyNumberFormat="1" applyFont="1" applyBorder="1" applyAlignment="1">
      <alignment horizontal="right" vertical="top" wrapText="1"/>
    </xf>
    <xf numFmtId="0" fontId="32" fillId="0" borderId="46" xfId="42" applyFont="1" applyBorder="1" applyAlignment="1">
      <alignment horizontal="center" vertical="top" wrapText="1"/>
    </xf>
    <xf numFmtId="0" fontId="32" fillId="0" borderId="43" xfId="42" applyFont="1" applyBorder="1" applyAlignment="1">
      <alignment horizontal="right" vertical="top" wrapText="1"/>
    </xf>
    <xf numFmtId="0" fontId="32" fillId="0" borderId="44" xfId="42" applyFont="1" applyBorder="1" applyAlignment="1">
      <alignment horizontal="right" vertical="top" wrapText="1"/>
    </xf>
    <xf numFmtId="171" fontId="32" fillId="0" borderId="43" xfId="42" applyNumberFormat="1" applyFont="1" applyBorder="1" applyAlignment="1">
      <alignment horizontal="right" vertical="top" wrapText="1"/>
    </xf>
    <xf numFmtId="171" fontId="32" fillId="0" borderId="0" xfId="42" applyNumberFormat="1" applyFont="1" applyAlignment="1">
      <alignment horizontal="right" vertical="top" wrapText="1"/>
    </xf>
    <xf numFmtId="171" fontId="32" fillId="0" borderId="46" xfId="42" applyNumberFormat="1" applyFont="1" applyBorder="1" applyAlignment="1">
      <alignment horizontal="right" vertical="top" wrapText="1"/>
    </xf>
    <xf numFmtId="172" fontId="32" fillId="0" borderId="46" xfId="42" applyNumberFormat="1" applyFont="1" applyBorder="1" applyAlignment="1">
      <alignment horizontal="right" vertical="top" wrapText="1"/>
    </xf>
    <xf numFmtId="49" fontId="32" fillId="0" borderId="46" xfId="42" applyNumberFormat="1" applyFont="1" applyBorder="1" applyAlignment="1">
      <alignment horizontal="center" vertical="top" wrapText="1"/>
    </xf>
    <xf numFmtId="1" fontId="33" fillId="45" borderId="0" xfId="42" applyNumberFormat="1" applyFont="1" applyFill="1" applyAlignment="1">
      <alignment horizontal="right" vertical="top" wrapText="1"/>
    </xf>
    <xf numFmtId="1" fontId="33" fillId="0" borderId="3" xfId="42" applyNumberFormat="1" applyFont="1" applyBorder="1" applyAlignment="1">
      <alignment horizontal="right" vertical="top" wrapText="1"/>
    </xf>
    <xf numFmtId="1" fontId="32" fillId="0" borderId="0" xfId="42" applyNumberFormat="1" applyFont="1" applyAlignment="1">
      <alignment horizontal="right" vertical="top" wrapText="1"/>
    </xf>
    <xf numFmtId="1" fontId="33" fillId="11" borderId="0" xfId="42" applyNumberFormat="1" applyFont="1" applyFill="1" applyAlignment="1">
      <alignment horizontal="right" vertical="top" wrapText="1"/>
    </xf>
    <xf numFmtId="1" fontId="121" fillId="11" borderId="0" xfId="42" applyNumberFormat="1" applyFont="1" applyFill="1" applyAlignment="1">
      <alignment horizontal="right" vertical="top" wrapText="1"/>
    </xf>
    <xf numFmtId="1" fontId="121" fillId="0" borderId="0" xfId="42" applyNumberFormat="1" applyFont="1" applyAlignment="1">
      <alignment horizontal="right" vertical="top" wrapText="1"/>
    </xf>
    <xf numFmtId="1" fontId="174" fillId="11" borderId="0" xfId="42" applyNumberFormat="1" applyFont="1" applyFill="1" applyAlignment="1">
      <alignment horizontal="right" vertical="top" wrapText="1"/>
    </xf>
    <xf numFmtId="164" fontId="33" fillId="11" borderId="43" xfId="42" applyNumberFormat="1" applyFont="1" applyFill="1" applyBorder="1" applyAlignment="1">
      <alignment horizontal="right" vertical="top" wrapText="1"/>
    </xf>
    <xf numFmtId="164" fontId="33" fillId="11" borderId="0" xfId="42" applyNumberFormat="1" applyFont="1" applyFill="1" applyAlignment="1">
      <alignment horizontal="right" vertical="top" wrapText="1"/>
    </xf>
    <xf numFmtId="164" fontId="33" fillId="11" borderId="44" xfId="42" applyNumberFormat="1" applyFont="1" applyFill="1" applyBorder="1" applyAlignment="1">
      <alignment horizontal="right" vertical="top" wrapText="1"/>
    </xf>
    <xf numFmtId="164" fontId="121" fillId="11" borderId="0" xfId="42" applyNumberFormat="1" applyFont="1" applyFill="1" applyAlignment="1">
      <alignment horizontal="center" vertical="top" wrapText="1"/>
    </xf>
    <xf numFmtId="164" fontId="121" fillId="11" borderId="44" xfId="42" applyNumberFormat="1" applyFont="1" applyFill="1" applyBorder="1" applyAlignment="1">
      <alignment horizontal="center" vertical="top" wrapText="1"/>
    </xf>
    <xf numFmtId="184" fontId="33" fillId="0" borderId="0" xfId="42" applyNumberFormat="1" applyFont="1" applyAlignment="1">
      <alignment horizontal="right" vertical="top" wrapText="1"/>
    </xf>
    <xf numFmtId="184" fontId="33" fillId="0" borderId="43" xfId="42" applyNumberFormat="1" applyFont="1" applyBorder="1" applyAlignment="1">
      <alignment horizontal="right" vertical="top" wrapText="1"/>
    </xf>
    <xf numFmtId="184" fontId="33" fillId="0" borderId="46" xfId="42" applyNumberFormat="1" applyFont="1" applyBorder="1" applyAlignment="1">
      <alignment horizontal="right" vertical="top" wrapText="1"/>
    </xf>
    <xf numFmtId="184" fontId="33" fillId="45" borderId="0" xfId="42" applyNumberFormat="1" applyFont="1" applyFill="1" applyAlignment="1">
      <alignment horizontal="right" vertical="top" wrapText="1"/>
    </xf>
    <xf numFmtId="184" fontId="33" fillId="45" borderId="46" xfId="42" applyNumberFormat="1" applyFont="1" applyFill="1" applyBorder="1" applyAlignment="1">
      <alignment horizontal="right" vertical="top" wrapText="1"/>
    </xf>
    <xf numFmtId="184" fontId="33" fillId="45" borderId="43" xfId="42" applyNumberFormat="1" applyFont="1" applyFill="1" applyBorder="1" applyAlignment="1">
      <alignment horizontal="right" vertical="top" wrapText="1"/>
    </xf>
    <xf numFmtId="184" fontId="33" fillId="5" borderId="43" xfId="42" applyNumberFormat="1" applyFont="1" applyFill="1" applyBorder="1" applyAlignment="1">
      <alignment horizontal="right" vertical="top" wrapText="1"/>
    </xf>
    <xf numFmtId="184" fontId="175" fillId="0" borderId="0" xfId="42" applyNumberFormat="1" applyFont="1" applyAlignment="1">
      <alignment horizontal="right" vertical="top" wrapText="1"/>
    </xf>
    <xf numFmtId="184" fontId="33" fillId="11" borderId="43" xfId="42" applyNumberFormat="1" applyFont="1" applyFill="1" applyBorder="1" applyAlignment="1">
      <alignment horizontal="right" vertical="top" wrapText="1"/>
    </xf>
    <xf numFmtId="184" fontId="32" fillId="0" borderId="43" xfId="42" applyNumberFormat="1" applyFont="1" applyBorder="1" applyAlignment="1">
      <alignment horizontal="right" vertical="top" wrapText="1"/>
    </xf>
    <xf numFmtId="184" fontId="32" fillId="0" borderId="0" xfId="42" applyNumberFormat="1" applyFont="1" applyAlignment="1">
      <alignment horizontal="right" vertical="top" wrapText="1"/>
    </xf>
    <xf numFmtId="184" fontId="32" fillId="0" borderId="46" xfId="42" applyNumberFormat="1" applyFont="1" applyBorder="1" applyAlignment="1">
      <alignment horizontal="right" vertical="top" wrapText="1"/>
    </xf>
    <xf numFmtId="1" fontId="121" fillId="11" borderId="43" xfId="42" applyNumberFormat="1" applyFont="1" applyFill="1" applyBorder="1" applyAlignment="1">
      <alignment horizontal="right" vertical="center" wrapText="1"/>
    </xf>
    <xf numFmtId="1" fontId="121" fillId="11" borderId="0" xfId="42" applyNumberFormat="1" applyFont="1" applyFill="1" applyAlignment="1">
      <alignment horizontal="right" vertical="center" wrapText="1"/>
    </xf>
    <xf numFmtId="1" fontId="121" fillId="11" borderId="44" xfId="42" applyNumberFormat="1" applyFont="1" applyFill="1" applyBorder="1" applyAlignment="1">
      <alignment horizontal="right" vertical="center" wrapText="1"/>
    </xf>
    <xf numFmtId="169" fontId="33" fillId="11" borderId="0" xfId="42" applyNumberFormat="1" applyFont="1" applyFill="1" applyAlignment="1">
      <alignment horizontal="right" vertical="top" wrapText="1"/>
    </xf>
    <xf numFmtId="169" fontId="33" fillId="11" borderId="44" xfId="42" applyNumberFormat="1" applyFont="1" applyFill="1" applyBorder="1" applyAlignment="1">
      <alignment horizontal="right" vertical="top" wrapText="1"/>
    </xf>
    <xf numFmtId="171" fontId="33" fillId="11" borderId="46" xfId="42" applyNumberFormat="1" applyFont="1" applyFill="1" applyBorder="1" applyAlignment="1">
      <alignment horizontal="right" vertical="top" wrapText="1"/>
    </xf>
    <xf numFmtId="3" fontId="33" fillId="11" borderId="43" xfId="42" applyNumberFormat="1" applyFont="1" applyFill="1" applyBorder="1" applyAlignment="1">
      <alignment horizontal="right" vertical="top" wrapText="1"/>
    </xf>
    <xf numFmtId="3" fontId="33" fillId="11" borderId="44" xfId="42" applyNumberFormat="1" applyFont="1" applyFill="1" applyBorder="1" applyAlignment="1">
      <alignment horizontal="right" vertical="top" wrapText="1"/>
    </xf>
    <xf numFmtId="0" fontId="122" fillId="11" borderId="44" xfId="42" applyFont="1" applyFill="1" applyBorder="1" applyAlignment="1">
      <alignment horizontal="right" vertical="top" wrapText="1"/>
    </xf>
    <xf numFmtId="1" fontId="33" fillId="11" borderId="31" xfId="42" applyNumberFormat="1" applyFont="1" applyFill="1" applyBorder="1" applyAlignment="1">
      <alignment horizontal="right" vertical="top" wrapText="1"/>
    </xf>
    <xf numFmtId="1" fontId="33" fillId="17" borderId="21" xfId="42" applyNumberFormat="1" applyFont="1" applyFill="1" applyBorder="1" applyAlignment="1">
      <alignment horizontal="right" vertical="top" wrapText="1"/>
    </xf>
    <xf numFmtId="1" fontId="33" fillId="22" borderId="0" xfId="42" applyNumberFormat="1" applyFont="1" applyFill="1" applyAlignment="1">
      <alignment horizontal="right" vertical="top" wrapText="1"/>
    </xf>
    <xf numFmtId="1" fontId="33" fillId="17" borderId="0" xfId="42" applyNumberFormat="1" applyFont="1" applyFill="1" applyAlignment="1">
      <alignment horizontal="right" vertical="top" wrapText="1"/>
    </xf>
    <xf numFmtId="1" fontId="33" fillId="54" borderId="0" xfId="42" applyNumberFormat="1" applyFont="1" applyFill="1" applyAlignment="1">
      <alignment horizontal="right" vertical="top" wrapText="1"/>
    </xf>
    <xf numFmtId="1" fontId="33" fillId="53" borderId="0" xfId="42" applyNumberFormat="1" applyFont="1" applyFill="1" applyAlignment="1">
      <alignment horizontal="right" vertical="top" wrapText="1"/>
    </xf>
    <xf numFmtId="1" fontId="55" fillId="0" borderId="0" xfId="42" applyNumberFormat="1" applyFont="1" applyAlignment="1">
      <alignment wrapText="1"/>
    </xf>
    <xf numFmtId="1" fontId="55" fillId="11" borderId="0" xfId="42" applyNumberFormat="1" applyFont="1" applyFill="1" applyAlignment="1">
      <alignment wrapText="1"/>
    </xf>
    <xf numFmtId="0" fontId="40" fillId="5" borderId="98" xfId="0" applyFont="1" applyFill="1" applyBorder="1" applyAlignment="1">
      <alignment vertical="center" wrapText="1"/>
    </xf>
    <xf numFmtId="0" fontId="33" fillId="33" borderId="0" xfId="42" applyFont="1" applyFill="1" applyAlignment="1">
      <alignment horizontal="right" vertical="top" wrapText="1"/>
    </xf>
    <xf numFmtId="3" fontId="33" fillId="33" borderId="0" xfId="42" applyNumberFormat="1" applyFont="1" applyFill="1" applyAlignment="1">
      <alignment horizontal="right" vertical="top" wrapText="1"/>
    </xf>
    <xf numFmtId="1" fontId="33" fillId="55" borderId="0" xfId="42" applyNumberFormat="1" applyFont="1" applyFill="1" applyAlignment="1">
      <alignment horizontal="right" vertical="top" wrapText="1"/>
    </xf>
    <xf numFmtId="1" fontId="33" fillId="11" borderId="0" xfId="42" applyNumberFormat="1" applyFont="1" applyFill="1" applyAlignment="1">
      <alignment vertical="top" wrapText="1"/>
    </xf>
    <xf numFmtId="1" fontId="33" fillId="11" borderId="44" xfId="42" applyNumberFormat="1" applyFont="1" applyFill="1" applyBorder="1" applyAlignment="1">
      <alignment horizontal="right" vertical="top" wrapText="1"/>
    </xf>
    <xf numFmtId="1" fontId="33" fillId="33" borderId="0" xfId="42" applyNumberFormat="1" applyFont="1" applyFill="1" applyAlignment="1">
      <alignment horizontal="right" vertical="top" wrapText="1"/>
    </xf>
    <xf numFmtId="0" fontId="110" fillId="5" borderId="89" xfId="0" applyFont="1" applyFill="1" applyBorder="1" applyAlignment="1">
      <alignment horizontal="center" vertical="center" wrapText="1"/>
    </xf>
    <xf numFmtId="0" fontId="110" fillId="5" borderId="90" xfId="0" applyFont="1" applyFill="1" applyBorder="1" applyAlignment="1">
      <alignment horizontal="center" vertical="center" wrapText="1"/>
    </xf>
    <xf numFmtId="0" fontId="110" fillId="5" borderId="90" xfId="0" applyFont="1" applyFill="1" applyBorder="1" applyAlignment="1">
      <alignment horizontal="left" vertical="center" wrapText="1"/>
    </xf>
    <xf numFmtId="0" fontId="171" fillId="9" borderId="31" xfId="42" applyFont="1" applyFill="1" applyBorder="1" applyAlignment="1">
      <alignment horizontal="center" vertical="center" wrapText="1"/>
    </xf>
    <xf numFmtId="0" fontId="169" fillId="9" borderId="30" xfId="42" applyFont="1" applyFill="1" applyBorder="1" applyAlignment="1">
      <alignment horizontal="center" vertical="center" wrapText="1"/>
    </xf>
    <xf numFmtId="0" fontId="169" fillId="9" borderId="31" xfId="42" applyFont="1" applyFill="1" applyBorder="1" applyAlignment="1">
      <alignment horizontal="center" vertical="center" wrapText="1"/>
    </xf>
    <xf numFmtId="0" fontId="169" fillId="9" borderId="32" xfId="42" applyFont="1" applyFill="1" applyBorder="1" applyAlignment="1">
      <alignment horizontal="center" vertical="center" wrapText="1"/>
    </xf>
    <xf numFmtId="0" fontId="169" fillId="9" borderId="23" xfId="42" applyFont="1" applyFill="1" applyBorder="1" applyAlignment="1">
      <alignment horizontal="center" vertical="center" wrapText="1"/>
    </xf>
    <xf numFmtId="0" fontId="169" fillId="9" borderId="21" xfId="42" applyFont="1" applyFill="1" applyBorder="1" applyAlignment="1">
      <alignment horizontal="center" vertical="center" wrapText="1"/>
    </xf>
    <xf numFmtId="0" fontId="169" fillId="9" borderId="24" xfId="42" applyFont="1" applyFill="1" applyBorder="1" applyAlignment="1">
      <alignment horizontal="center" vertical="center" wrapText="1"/>
    </xf>
    <xf numFmtId="0" fontId="169" fillId="9" borderId="54" xfId="42" applyFont="1" applyFill="1" applyBorder="1" applyAlignment="1">
      <alignment horizontal="center" vertical="center" wrapText="1"/>
    </xf>
    <xf numFmtId="0" fontId="169" fillId="9" borderId="55" xfId="42" applyFont="1" applyFill="1" applyBorder="1" applyAlignment="1">
      <alignment horizontal="center" vertical="center" wrapText="1"/>
    </xf>
    <xf numFmtId="0" fontId="169" fillId="9" borderId="56" xfId="42" applyFont="1" applyFill="1" applyBorder="1" applyAlignment="1">
      <alignment horizontal="center" vertical="center" wrapText="1"/>
    </xf>
    <xf numFmtId="1" fontId="42" fillId="0" borderId="0" xfId="42" applyNumberFormat="1" applyFont="1" applyAlignment="1">
      <alignment wrapText="1"/>
    </xf>
    <xf numFmtId="1" fontId="42" fillId="11" borderId="0" xfId="42" applyNumberFormat="1" applyFont="1" applyFill="1" applyAlignment="1">
      <alignment wrapText="1"/>
    </xf>
    <xf numFmtId="1" fontId="42" fillId="53" borderId="0" xfId="42" applyNumberFormat="1" applyFont="1" applyFill="1" applyAlignment="1">
      <alignment wrapText="1"/>
    </xf>
    <xf numFmtId="170" fontId="33" fillId="22" borderId="70" xfId="42" applyNumberFormat="1" applyFont="1" applyFill="1" applyBorder="1" applyAlignment="1">
      <alignment horizontal="right" vertical="top" wrapText="1"/>
    </xf>
    <xf numFmtId="170" fontId="33" fillId="22" borderId="71" xfId="42" applyNumberFormat="1" applyFont="1" applyFill="1" applyBorder="1" applyAlignment="1">
      <alignment horizontal="right" vertical="top" wrapText="1"/>
    </xf>
    <xf numFmtId="170" fontId="33" fillId="22" borderId="44" xfId="42" applyNumberFormat="1" applyFont="1" applyFill="1" applyBorder="1" applyAlignment="1">
      <alignment horizontal="right" vertical="top" wrapText="1"/>
    </xf>
    <xf numFmtId="170" fontId="33" fillId="22" borderId="43" xfId="42" applyNumberFormat="1" applyFont="1" applyFill="1" applyBorder="1" applyAlignment="1">
      <alignment horizontal="center" vertical="top" wrapText="1"/>
    </xf>
    <xf numFmtId="170" fontId="33" fillId="22" borderId="0" xfId="42" applyNumberFormat="1" applyFont="1" applyFill="1" applyAlignment="1">
      <alignment horizontal="center" vertical="top" wrapText="1"/>
    </xf>
    <xf numFmtId="170" fontId="33" fillId="22" borderId="44" xfId="42" applyNumberFormat="1" applyFont="1" applyFill="1" applyBorder="1" applyAlignment="1">
      <alignment horizontal="center" vertical="top" wrapText="1"/>
    </xf>
    <xf numFmtId="170" fontId="122" fillId="22" borderId="43" xfId="42" applyNumberFormat="1" applyFont="1" applyFill="1" applyBorder="1" applyAlignment="1">
      <alignment horizontal="right" vertical="top" wrapText="1"/>
    </xf>
    <xf numFmtId="170" fontId="33" fillId="21" borderId="0" xfId="42" applyNumberFormat="1" applyFont="1" applyFill="1" applyAlignment="1">
      <alignment horizontal="right" vertical="top" wrapText="1"/>
    </xf>
    <xf numFmtId="170" fontId="33" fillId="17" borderId="70" xfId="42" applyNumberFormat="1" applyFont="1" applyFill="1" applyBorder="1" applyAlignment="1">
      <alignment horizontal="right" vertical="top" wrapText="1"/>
    </xf>
    <xf numFmtId="170" fontId="33" fillId="17" borderId="71" xfId="42" applyNumberFormat="1" applyFont="1" applyFill="1" applyBorder="1" applyAlignment="1">
      <alignment horizontal="right" vertical="top" wrapText="1"/>
    </xf>
    <xf numFmtId="170" fontId="33" fillId="17" borderId="44" xfId="42" applyNumberFormat="1" applyFont="1" applyFill="1" applyBorder="1" applyAlignment="1">
      <alignment horizontal="right" vertical="top" wrapText="1"/>
    </xf>
    <xf numFmtId="170" fontId="33" fillId="19" borderId="43" xfId="42" applyNumberFormat="1" applyFont="1" applyFill="1" applyBorder="1" applyAlignment="1">
      <alignment horizontal="center" vertical="top" wrapText="1"/>
    </xf>
    <xf numFmtId="170" fontId="33" fillId="19" borderId="0" xfId="42" applyNumberFormat="1" applyFont="1" applyFill="1" applyAlignment="1">
      <alignment horizontal="center" vertical="top" wrapText="1"/>
    </xf>
    <xf numFmtId="170" fontId="33" fillId="19" borderId="44" xfId="42" applyNumberFormat="1" applyFont="1" applyFill="1" applyBorder="1" applyAlignment="1">
      <alignment horizontal="center" vertical="top" wrapText="1"/>
    </xf>
    <xf numFmtId="1" fontId="33" fillId="11" borderId="43" xfId="42" applyNumberFormat="1" applyFont="1" applyFill="1" applyBorder="1" applyAlignment="1">
      <alignment horizontal="right" vertical="top" wrapText="1"/>
    </xf>
    <xf numFmtId="0" fontId="121" fillId="11" borderId="0" xfId="42" applyFont="1" applyFill="1" applyAlignment="1">
      <alignment horizontal="left" vertical="top" wrapText="1"/>
    </xf>
    <xf numFmtId="0" fontId="121" fillId="0" borderId="0" xfId="42" applyFont="1" applyAlignment="1">
      <alignment horizontal="left" vertical="top" wrapText="1"/>
    </xf>
    <xf numFmtId="170" fontId="33" fillId="45" borderId="0" xfId="42" applyNumberFormat="1" applyFont="1" applyFill="1" applyAlignment="1">
      <alignment horizontal="right" vertical="top" wrapText="1"/>
    </xf>
    <xf numFmtId="164" fontId="121" fillId="11" borderId="43" xfId="42" applyNumberFormat="1" applyFont="1" applyFill="1" applyBorder="1" applyAlignment="1">
      <alignment horizontal="right" vertical="top" wrapText="1"/>
    </xf>
    <xf numFmtId="164" fontId="121" fillId="11" borderId="0" xfId="42" applyNumberFormat="1" applyFont="1" applyFill="1" applyAlignment="1">
      <alignment horizontal="right" vertical="top" wrapText="1"/>
    </xf>
    <xf numFmtId="164" fontId="121" fillId="11" borderId="44" xfId="42" applyNumberFormat="1" applyFont="1" applyFill="1" applyBorder="1" applyAlignment="1">
      <alignment horizontal="right" vertical="top" wrapText="1"/>
    </xf>
    <xf numFmtId="164" fontId="46" fillId="5" borderId="0" xfId="0" applyNumberFormat="1" applyFont="1" applyFill="1" applyAlignment="1" applyProtection="1">
      <alignment horizontal="right" vertical="center"/>
      <protection locked="0"/>
    </xf>
    <xf numFmtId="0" fontId="32" fillId="6" borderId="86" xfId="0" applyFont="1" applyFill="1" applyBorder="1" applyAlignment="1">
      <alignment vertical="top" wrapText="1"/>
    </xf>
    <xf numFmtId="0" fontId="32" fillId="6" borderId="84" xfId="0" applyFont="1" applyFill="1" applyBorder="1" applyAlignment="1">
      <alignment vertical="top" wrapText="1"/>
    </xf>
    <xf numFmtId="169" fontId="33" fillId="14" borderId="43" xfId="42" applyNumberFormat="1" applyFont="1" applyFill="1" applyBorder="1" applyAlignment="1">
      <alignment horizontal="right" vertical="top" wrapText="1"/>
    </xf>
    <xf numFmtId="169" fontId="33" fillId="14" borderId="0" xfId="42" applyNumberFormat="1" applyFont="1" applyFill="1" applyAlignment="1">
      <alignment horizontal="right" vertical="top" wrapText="1"/>
    </xf>
    <xf numFmtId="169" fontId="33" fillId="14" borderId="44" xfId="42" applyNumberFormat="1" applyFont="1" applyFill="1" applyBorder="1" applyAlignment="1">
      <alignment horizontal="right" vertical="top" wrapText="1"/>
    </xf>
    <xf numFmtId="0" fontId="33" fillId="23" borderId="43" xfId="42" applyFont="1" applyFill="1" applyBorder="1" applyAlignment="1">
      <alignment horizontal="right" vertical="top" wrapText="1"/>
    </xf>
    <xf numFmtId="0" fontId="33" fillId="23" borderId="0" xfId="42" applyFont="1" applyFill="1" applyAlignment="1">
      <alignment horizontal="right" vertical="top" wrapText="1"/>
    </xf>
    <xf numFmtId="0" fontId="33" fillId="23" borderId="44" xfId="42" applyFont="1" applyFill="1" applyBorder="1" applyAlignment="1">
      <alignment horizontal="right" vertical="top" wrapText="1"/>
    </xf>
    <xf numFmtId="1" fontId="33" fillId="23" borderId="0" xfId="42" applyNumberFormat="1" applyFont="1" applyFill="1" applyAlignment="1">
      <alignment horizontal="right" vertical="top" wrapText="1"/>
    </xf>
    <xf numFmtId="184" fontId="33" fillId="23" borderId="43" xfId="42" applyNumberFormat="1" applyFont="1" applyFill="1" applyBorder="1" applyAlignment="1">
      <alignment horizontal="right" vertical="top" wrapText="1"/>
    </xf>
    <xf numFmtId="184" fontId="33" fillId="23" borderId="0" xfId="42" applyNumberFormat="1" applyFont="1" applyFill="1" applyAlignment="1">
      <alignment horizontal="right" vertical="top" wrapText="1"/>
    </xf>
    <xf numFmtId="0" fontId="33" fillId="51" borderId="0" xfId="42" applyFont="1" applyFill="1" applyAlignment="1">
      <alignment horizontal="right" vertical="top" wrapText="1"/>
    </xf>
    <xf numFmtId="0" fontId="33" fillId="51" borderId="44" xfId="42" applyFont="1" applyFill="1" applyBorder="1" applyAlignment="1">
      <alignment horizontal="right" vertical="top" wrapText="1"/>
    </xf>
    <xf numFmtId="169" fontId="33" fillId="51" borderId="43" xfId="42" applyNumberFormat="1" applyFont="1" applyFill="1" applyBorder="1" applyAlignment="1">
      <alignment horizontal="right" vertical="top" wrapText="1"/>
    </xf>
    <xf numFmtId="169" fontId="33" fillId="51" borderId="0" xfId="42" applyNumberFormat="1" applyFont="1" applyFill="1" applyAlignment="1">
      <alignment horizontal="right" vertical="top" wrapText="1"/>
    </xf>
    <xf numFmtId="169" fontId="33" fillId="51" borderId="44" xfId="42" applyNumberFormat="1" applyFont="1" applyFill="1" applyBorder="1" applyAlignment="1">
      <alignment horizontal="right" vertical="top" wrapText="1"/>
    </xf>
    <xf numFmtId="2" fontId="33" fillId="51" borderId="0" xfId="42" applyNumberFormat="1" applyFont="1" applyFill="1" applyAlignment="1">
      <alignment horizontal="right" vertical="top" wrapText="1"/>
    </xf>
    <xf numFmtId="2" fontId="33" fillId="51" borderId="44" xfId="42" applyNumberFormat="1" applyFont="1" applyFill="1" applyBorder="1" applyAlignment="1">
      <alignment horizontal="right" vertical="top" wrapText="1"/>
    </xf>
    <xf numFmtId="0" fontId="33" fillId="14" borderId="0" xfId="42" applyFont="1" applyFill="1" applyAlignment="1">
      <alignment horizontal="right" vertical="top" wrapText="1"/>
    </xf>
    <xf numFmtId="0" fontId="33" fillId="51" borderId="43" xfId="42" applyFont="1" applyFill="1" applyBorder="1" applyAlignment="1">
      <alignment horizontal="center" vertical="top" wrapText="1"/>
    </xf>
    <xf numFmtId="0" fontId="33"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4" fontId="1" fillId="0" borderId="0" xfId="0" applyNumberFormat="1" applyFont="1" applyAlignment="1">
      <alignment vertical="center"/>
    </xf>
    <xf numFmtId="21" fontId="1" fillId="0" borderId="0" xfId="0" applyNumberFormat="1" applyFont="1" applyAlignment="1">
      <alignment vertical="center"/>
    </xf>
    <xf numFmtId="166" fontId="1" fillId="0" borderId="0" xfId="36" applyNumberFormat="1" applyFont="1" applyBorder="1"/>
    <xf numFmtId="0" fontId="1" fillId="0" borderId="0" xfId="0" applyFont="1" applyAlignment="1">
      <alignment wrapText="1"/>
    </xf>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4"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3" fillId="5" borderId="0" xfId="0" applyFont="1" applyFill="1"/>
    <xf numFmtId="165" fontId="157" fillId="5" borderId="0" xfId="0" applyNumberFormat="1" applyFont="1" applyFill="1" applyAlignment="1">
      <alignment vertical="center"/>
    </xf>
    <xf numFmtId="0" fontId="33" fillId="5" borderId="0" xfId="0" applyFont="1" applyFill="1" applyAlignment="1">
      <alignment horizontal="right"/>
    </xf>
    <xf numFmtId="165" fontId="33" fillId="5" borderId="0" xfId="0" applyNumberFormat="1" applyFont="1" applyFill="1"/>
    <xf numFmtId="0" fontId="4" fillId="5" borderId="0" xfId="0" applyFont="1" applyFill="1"/>
    <xf numFmtId="9" fontId="33" fillId="5" borderId="0" xfId="35" applyFont="1" applyFill="1" applyAlignment="1">
      <alignment vertical="center"/>
    </xf>
    <xf numFmtId="9" fontId="160" fillId="5" borderId="0" xfId="35" applyFont="1" applyFill="1" applyAlignment="1">
      <alignment vertical="center"/>
    </xf>
    <xf numFmtId="0" fontId="40" fillId="56" borderId="0" xfId="0" applyFont="1" applyFill="1" applyProtection="1">
      <protection locked="0"/>
    </xf>
    <xf numFmtId="0" fontId="121" fillId="5" borderId="83" xfId="0" applyFont="1" applyFill="1" applyBorder="1" applyAlignment="1">
      <alignment horizontal="right" vertical="center"/>
    </xf>
    <xf numFmtId="9" fontId="121" fillId="5" borderId="0" xfId="35" applyFont="1" applyFill="1" applyAlignment="1">
      <alignment vertical="center"/>
    </xf>
    <xf numFmtId="0" fontId="63" fillId="5" borderId="0" xfId="0" applyFont="1" applyFill="1"/>
    <xf numFmtId="2" fontId="121" fillId="5" borderId="0" xfId="35" applyNumberFormat="1" applyFont="1" applyFill="1" applyAlignment="1">
      <alignment vertical="center"/>
    </xf>
    <xf numFmtId="0" fontId="4" fillId="5" borderId="0" xfId="0" applyFont="1" applyFill="1" applyAlignment="1">
      <alignment horizontal="right"/>
    </xf>
    <xf numFmtId="0" fontId="33" fillId="51" borderId="43" xfId="42" applyFont="1" applyFill="1" applyBorder="1" applyAlignment="1">
      <alignment horizontal="right" vertical="top" wrapText="1"/>
    </xf>
    <xf numFmtId="2" fontId="33" fillId="51" borderId="43" xfId="42" applyNumberFormat="1" applyFont="1" applyFill="1" applyBorder="1" applyAlignment="1">
      <alignment horizontal="right" vertical="top" wrapText="1"/>
    </xf>
    <xf numFmtId="0" fontId="89" fillId="7" borderId="0" xfId="0" applyFont="1" applyFill="1" applyAlignment="1">
      <alignment horizontal="left" vertical="center" wrapText="1"/>
    </xf>
    <xf numFmtId="0" fontId="121" fillId="7" borderId="0" xfId="0" applyFont="1" applyFill="1" applyAlignment="1">
      <alignment vertical="center"/>
    </xf>
    <xf numFmtId="0" fontId="73" fillId="0" borderId="0" xfId="0" applyFont="1" applyAlignment="1">
      <alignment horizontal="left" vertical="center"/>
    </xf>
    <xf numFmtId="0" fontId="161" fillId="0" borderId="0" xfId="64" applyFont="1" applyFill="1">
      <alignment vertical="top"/>
    </xf>
    <xf numFmtId="165" fontId="157" fillId="0" borderId="0" xfId="0" applyNumberFormat="1" applyFont="1" applyAlignment="1">
      <alignment vertical="center"/>
    </xf>
    <xf numFmtId="165" fontId="33" fillId="0" borderId="0" xfId="0" applyNumberFormat="1" applyFont="1" applyAlignment="1">
      <alignment vertical="center"/>
    </xf>
    <xf numFmtId="165" fontId="33" fillId="0" borderId="0" xfId="0" applyNumberFormat="1" applyFont="1"/>
    <xf numFmtId="0" fontId="42" fillId="0" borderId="0" xfId="0" applyFont="1"/>
    <xf numFmtId="165" fontId="42" fillId="0" borderId="0" xfId="0" applyNumberFormat="1" applyFont="1"/>
    <xf numFmtId="0" fontId="42" fillId="0" borderId="0" xfId="0" applyFont="1" applyAlignment="1">
      <alignment horizontal="right"/>
    </xf>
    <xf numFmtId="9" fontId="160" fillId="0" borderId="0" xfId="35" applyFont="1" applyFill="1" applyAlignment="1">
      <alignment vertical="center"/>
    </xf>
    <xf numFmtId="167" fontId="42" fillId="0" borderId="0" xfId="0" applyNumberFormat="1" applyFont="1" applyAlignment="1">
      <alignment horizontal="right" vertical="center"/>
    </xf>
    <xf numFmtId="165" fontId="73" fillId="0" borderId="0" xfId="0" applyNumberFormat="1" applyFont="1" applyAlignment="1">
      <alignment vertical="center"/>
    </xf>
    <xf numFmtId="0" fontId="121" fillId="0" borderId="0" xfId="0" applyFont="1" applyAlignment="1">
      <alignment vertical="center"/>
    </xf>
    <xf numFmtId="0" fontId="121" fillId="0" borderId="0" xfId="0" applyFont="1" applyAlignment="1">
      <alignment horizontal="right"/>
    </xf>
    <xf numFmtId="165" fontId="160" fillId="0" borderId="0" xfId="0" applyNumberFormat="1" applyFont="1" applyAlignment="1">
      <alignment horizontal="left" vertical="center"/>
    </xf>
    <xf numFmtId="165" fontId="160" fillId="0" borderId="0" xfId="0" applyNumberFormat="1" applyFont="1" applyAlignment="1">
      <alignment vertical="center"/>
    </xf>
    <xf numFmtId="0" fontId="85" fillId="8" borderId="0" xfId="0" applyFont="1" applyFill="1" applyAlignment="1">
      <alignment horizontal="right" vertical="center"/>
    </xf>
    <xf numFmtId="0" fontId="33" fillId="51" borderId="44" xfId="42" applyFont="1" applyFill="1" applyBorder="1" applyAlignment="1">
      <alignment horizontal="center" vertical="top" wrapText="1"/>
    </xf>
    <xf numFmtId="0" fontId="46" fillId="51" borderId="33" xfId="42" applyFont="1" applyFill="1" applyBorder="1" applyAlignment="1">
      <alignment horizontal="right" vertical="top" wrapText="1"/>
    </xf>
    <xf numFmtId="0" fontId="46" fillId="51" borderId="34" xfId="42" applyFont="1" applyFill="1" applyBorder="1" applyAlignment="1">
      <alignment horizontal="right" vertical="top" wrapText="1"/>
    </xf>
    <xf numFmtId="0" fontId="46" fillId="51" borderId="35" xfId="42" applyFont="1" applyFill="1" applyBorder="1" applyAlignment="1">
      <alignment horizontal="right" vertical="top" wrapText="1"/>
    </xf>
    <xf numFmtId="169" fontId="33" fillId="57" borderId="0" xfId="42" applyNumberFormat="1" applyFont="1" applyFill="1" applyAlignment="1">
      <alignment horizontal="right" vertical="top" wrapText="1"/>
    </xf>
    <xf numFmtId="167" fontId="160" fillId="0" borderId="0" xfId="0" applyNumberFormat="1" applyFont="1" applyAlignment="1">
      <alignment horizontal="right" vertical="center"/>
    </xf>
    <xf numFmtId="0" fontId="40" fillId="5" borderId="0" xfId="0" applyFont="1" applyFill="1" applyAlignment="1">
      <alignment vertical="center"/>
    </xf>
    <xf numFmtId="174" fontId="183" fillId="5" borderId="0" xfId="0" applyNumberFormat="1" applyFont="1" applyFill="1" applyAlignment="1">
      <alignment vertical="center"/>
    </xf>
    <xf numFmtId="165" fontId="40" fillId="5" borderId="0" xfId="0" applyNumberFormat="1" applyFont="1" applyFill="1" applyAlignment="1">
      <alignment vertical="center"/>
    </xf>
    <xf numFmtId="0" fontId="40" fillId="5" borderId="0" xfId="0" applyFont="1" applyFill="1" applyAlignment="1">
      <alignment horizontal="right" vertical="center"/>
    </xf>
    <xf numFmtId="0" fontId="40" fillId="5" borderId="83" xfId="0" applyFont="1" applyFill="1" applyBorder="1" applyAlignment="1">
      <alignment horizontal="right" vertical="center"/>
    </xf>
    <xf numFmtId="0" fontId="5" fillId="5" borderId="0" xfId="0" applyFont="1" applyFill="1" applyAlignment="1">
      <alignment vertical="center"/>
    </xf>
    <xf numFmtId="165" fontId="183" fillId="5" borderId="0" xfId="0" applyNumberFormat="1" applyFont="1" applyFill="1" applyAlignment="1">
      <alignment vertical="center"/>
    </xf>
    <xf numFmtId="0" fontId="160" fillId="0" borderId="0" xfId="0" applyFont="1"/>
    <xf numFmtId="0" fontId="158" fillId="0" borderId="0" xfId="0" applyFont="1"/>
    <xf numFmtId="0" fontId="156" fillId="0" borderId="0" xfId="0" applyFont="1"/>
    <xf numFmtId="0" fontId="159" fillId="0" borderId="0" xfId="0" applyFont="1"/>
    <xf numFmtId="0" fontId="121" fillId="0" borderId="0" xfId="0" applyFont="1"/>
    <xf numFmtId="0" fontId="110" fillId="5" borderId="99" xfId="0" applyFont="1" applyFill="1" applyBorder="1" applyAlignment="1">
      <alignment horizontal="center" vertical="center" wrapText="1"/>
    </xf>
    <xf numFmtId="0" fontId="37" fillId="11" borderId="19" xfId="0" applyFont="1" applyFill="1" applyBorder="1" applyAlignment="1">
      <alignment horizontal="left" vertical="center"/>
    </xf>
    <xf numFmtId="0" fontId="37" fillId="11" borderId="19" xfId="0" applyFont="1" applyFill="1" applyBorder="1" applyAlignment="1">
      <alignment vertical="center" wrapText="1"/>
    </xf>
    <xf numFmtId="0" fontId="32" fillId="5" borderId="0" xfId="0" applyFont="1" applyFill="1" applyAlignment="1">
      <alignment vertical="center"/>
    </xf>
    <xf numFmtId="0" fontId="32" fillId="5" borderId="0" xfId="0" applyFont="1" applyFill="1" applyAlignment="1">
      <alignment horizontal="left"/>
    </xf>
    <xf numFmtId="165" fontId="32" fillId="5" borderId="0" xfId="0" applyNumberFormat="1" applyFont="1" applyFill="1" applyAlignment="1">
      <alignment horizontal="right" vertical="center"/>
    </xf>
    <xf numFmtId="169" fontId="32" fillId="5" borderId="0" xfId="0" applyNumberFormat="1" applyFont="1" applyFill="1" applyAlignment="1">
      <alignment horizontal="right" vertical="center"/>
    </xf>
    <xf numFmtId="0" fontId="32" fillId="5" borderId="0" xfId="0" applyFont="1" applyFill="1" applyAlignment="1">
      <alignment horizontal="right" vertical="top" wrapText="1"/>
    </xf>
    <xf numFmtId="0" fontId="32" fillId="5" borderId="0" xfId="0" applyFont="1" applyFill="1" applyAlignment="1">
      <alignment horizontal="right"/>
    </xf>
    <xf numFmtId="0" fontId="32" fillId="5" borderId="0" xfId="0" applyFont="1" applyFill="1" applyAlignment="1">
      <alignment horizontal="right" vertical="center"/>
    </xf>
    <xf numFmtId="165" fontId="32" fillId="5" borderId="0" xfId="0" applyNumberFormat="1" applyFont="1" applyFill="1" applyAlignment="1">
      <alignment horizontal="right" vertical="top" wrapText="1"/>
    </xf>
    <xf numFmtId="165" fontId="32" fillId="5" borderId="0" xfId="0" applyNumberFormat="1" applyFont="1" applyFill="1" applyAlignment="1">
      <alignment horizontal="right"/>
    </xf>
    <xf numFmtId="2" fontId="40" fillId="0" borderId="90" xfId="0" applyNumberFormat="1" applyFont="1" applyBorder="1" applyAlignment="1" applyProtection="1">
      <alignment horizontal="center" vertical="center" wrapText="1"/>
      <protection locked="0"/>
    </xf>
    <xf numFmtId="0" fontId="40" fillId="0" borderId="90" xfId="0" applyFont="1" applyBorder="1" applyAlignment="1" applyProtection="1">
      <alignment horizontal="center" vertical="center" wrapText="1"/>
      <protection locked="0"/>
    </xf>
    <xf numFmtId="165" fontId="33" fillId="0" borderId="90" xfId="0" quotePrefix="1" applyNumberFormat="1" applyFont="1" applyBorder="1" applyAlignment="1">
      <alignment horizontal="center" vertical="center" wrapText="1"/>
    </xf>
    <xf numFmtId="172" fontId="40" fillId="0" borderId="90" xfId="0" applyNumberFormat="1" applyFont="1" applyBorder="1" applyAlignment="1" applyProtection="1">
      <alignment horizontal="center" vertical="center" wrapText="1"/>
      <protection locked="0"/>
    </xf>
    <xf numFmtId="169" fontId="33" fillId="0" borderId="90" xfId="0" applyNumberFormat="1" applyFont="1" applyBorder="1" applyAlignment="1">
      <alignment horizontal="center" vertical="center" wrapText="1"/>
    </xf>
    <xf numFmtId="165" fontId="33" fillId="0" borderId="90" xfId="0" applyNumberFormat="1" applyFont="1" applyBorder="1" applyAlignment="1">
      <alignment horizontal="center" vertical="center" wrapText="1"/>
    </xf>
    <xf numFmtId="164" fontId="33" fillId="0" borderId="90" xfId="0" applyNumberFormat="1" applyFont="1" applyBorder="1" applyAlignment="1">
      <alignment horizontal="center" vertical="center" wrapText="1"/>
    </xf>
    <xf numFmtId="2" fontId="33" fillId="0" borderId="90" xfId="35" applyNumberFormat="1" applyFont="1" applyFill="1" applyBorder="1" applyAlignment="1">
      <alignment horizontal="center" vertical="center" wrapText="1"/>
    </xf>
    <xf numFmtId="172" fontId="40" fillId="0" borderId="90" xfId="0" quotePrefix="1" applyNumberFormat="1" applyFont="1" applyBorder="1" applyAlignment="1" applyProtection="1">
      <alignment horizontal="center" vertical="center" wrapText="1"/>
      <protection locked="0"/>
    </xf>
    <xf numFmtId="0" fontId="40" fillId="0" borderId="90" xfId="35" applyNumberFormat="1" applyFont="1" applyFill="1" applyBorder="1" applyAlignment="1" applyProtection="1">
      <alignment horizontal="center" vertical="center" wrapText="1"/>
      <protection locked="0"/>
    </xf>
    <xf numFmtId="1" fontId="40" fillId="0" borderId="90" xfId="0" applyNumberFormat="1" applyFont="1" applyBorder="1" applyAlignment="1">
      <alignment horizontal="center" vertical="center"/>
    </xf>
    <xf numFmtId="1" fontId="40" fillId="0" borderId="90" xfId="0" quotePrefix="1" applyNumberFormat="1" applyFont="1" applyBorder="1" applyAlignment="1">
      <alignment horizontal="center" vertical="center"/>
    </xf>
    <xf numFmtId="0" fontId="110" fillId="5" borderId="90" xfId="0" applyFont="1" applyFill="1" applyBorder="1" applyAlignment="1">
      <alignment vertical="center" wrapText="1"/>
    </xf>
    <xf numFmtId="0" fontId="110" fillId="5" borderId="89" xfId="0" applyFont="1" applyFill="1" applyBorder="1" applyAlignment="1">
      <alignment vertical="center" wrapText="1"/>
    </xf>
    <xf numFmtId="0" fontId="112" fillId="5" borderId="90" xfId="0" applyFont="1" applyFill="1" applyBorder="1" applyAlignment="1">
      <alignment vertical="center" wrapText="1"/>
    </xf>
    <xf numFmtId="2" fontId="33" fillId="0" borderId="90" xfId="0" applyNumberFormat="1" applyFont="1" applyBorder="1" applyAlignment="1">
      <alignment horizontal="center" vertical="center" wrapText="1"/>
    </xf>
    <xf numFmtId="0" fontId="33" fillId="0" borderId="90" xfId="0" applyFont="1" applyBorder="1" applyAlignment="1" applyProtection="1">
      <alignment horizontal="center" vertical="center" wrapText="1"/>
      <protection locked="0"/>
    </xf>
    <xf numFmtId="165" fontId="33" fillId="0" borderId="90" xfId="0" applyNumberFormat="1" applyFont="1" applyBorder="1" applyAlignment="1" applyProtection="1">
      <alignment horizontal="center" vertical="center" wrapText="1"/>
      <protection locked="0"/>
    </xf>
    <xf numFmtId="1" fontId="33" fillId="0" borderId="90" xfId="0" applyNumberFormat="1" applyFont="1" applyBorder="1" applyAlignment="1">
      <alignment horizontal="center" vertical="center"/>
    </xf>
    <xf numFmtId="0" fontId="40" fillId="0" borderId="98" xfId="0" applyFont="1" applyBorder="1" applyAlignment="1">
      <alignment horizontal="left" vertical="center" wrapText="1"/>
    </xf>
    <xf numFmtId="2" fontId="40" fillId="0" borderId="20" xfId="0" applyNumberFormat="1" applyFont="1" applyBorder="1" applyAlignment="1" applyProtection="1">
      <alignment horizontal="center" vertical="center" wrapText="1"/>
      <protection locked="0"/>
    </xf>
    <xf numFmtId="2" fontId="33" fillId="0" borderId="20" xfId="0" applyNumberFormat="1" applyFont="1" applyBorder="1" applyAlignment="1">
      <alignment horizontal="center" vertical="center" wrapText="1"/>
    </xf>
    <xf numFmtId="0" fontId="33" fillId="0" borderId="20" xfId="0" applyFont="1" applyBorder="1" applyAlignment="1">
      <alignment horizontal="center" vertical="center" wrapText="1"/>
    </xf>
    <xf numFmtId="165" fontId="33" fillId="0" borderId="20" xfId="0" applyNumberFormat="1" applyFont="1" applyBorder="1" applyAlignment="1" applyProtection="1">
      <alignment horizontal="center" vertical="center" wrapText="1"/>
      <protection locked="0"/>
    </xf>
    <xf numFmtId="2" fontId="33" fillId="0" borderId="90" xfId="0" applyNumberFormat="1" applyFont="1" applyBorder="1" applyAlignment="1">
      <alignment horizontal="center" vertical="center"/>
    </xf>
    <xf numFmtId="164" fontId="33" fillId="0" borderId="90" xfId="35" applyNumberFormat="1" applyFont="1" applyFill="1" applyBorder="1" applyAlignment="1" applyProtection="1">
      <alignment horizontal="center" vertical="center" wrapText="1"/>
      <protection locked="0"/>
    </xf>
    <xf numFmtId="2" fontId="33" fillId="0" borderId="90" xfId="35" applyNumberFormat="1" applyFont="1" applyFill="1" applyBorder="1" applyAlignment="1" applyProtection="1">
      <alignment horizontal="center" vertical="center" wrapText="1"/>
      <protection locked="0"/>
    </xf>
    <xf numFmtId="0" fontId="33" fillId="0" borderId="90" xfId="35" applyNumberFormat="1" applyFont="1" applyFill="1" applyBorder="1" applyAlignment="1" applyProtection="1">
      <alignment horizontal="center" vertical="center" wrapText="1"/>
      <protection locked="0"/>
    </xf>
    <xf numFmtId="1" fontId="33" fillId="0" borderId="90" xfId="0" applyNumberFormat="1" applyFont="1" applyBorder="1" applyAlignment="1">
      <alignment horizontal="center" vertical="center" wrapText="1"/>
    </xf>
    <xf numFmtId="0" fontId="110" fillId="0" borderId="0" xfId="0" applyFont="1" applyAlignment="1">
      <alignment horizontal="left" vertical="center" wrapText="1"/>
    </xf>
    <xf numFmtId="0" fontId="110" fillId="0" borderId="0" xfId="0" applyFont="1" applyAlignment="1">
      <alignment horizontal="center" vertical="center" wrapText="1"/>
    </xf>
    <xf numFmtId="3" fontId="33" fillId="0" borderId="90" xfId="0" applyNumberFormat="1" applyFont="1" applyBorder="1" applyAlignment="1" applyProtection="1">
      <alignment horizontal="center" vertical="center"/>
      <protection locked="0"/>
    </xf>
    <xf numFmtId="169" fontId="33" fillId="0" borderId="90" xfId="0" applyNumberFormat="1" applyFont="1" applyBorder="1" applyAlignment="1">
      <alignment horizontal="center" vertical="center"/>
    </xf>
    <xf numFmtId="4" fontId="33" fillId="0" borderId="90" xfId="0" applyNumberFormat="1" applyFont="1" applyBorder="1" applyAlignment="1" applyProtection="1">
      <alignment horizontal="center" vertical="center" wrapText="1"/>
      <protection locked="0"/>
    </xf>
    <xf numFmtId="3" fontId="40" fillId="0" borderId="90" xfId="0" applyNumberFormat="1" applyFont="1" applyBorder="1" applyAlignment="1" applyProtection="1">
      <alignment horizontal="center" vertical="center" wrapText="1"/>
      <protection locked="0"/>
    </xf>
    <xf numFmtId="2" fontId="40" fillId="0" borderId="90" xfId="0" applyNumberFormat="1" applyFont="1" applyBorder="1" applyAlignment="1">
      <alignment horizontal="center" vertical="center" wrapText="1"/>
    </xf>
    <xf numFmtId="164" fontId="40" fillId="0" borderId="90" xfId="0" applyNumberFormat="1" applyFont="1" applyBorder="1" applyAlignment="1" applyProtection="1">
      <alignment horizontal="center" vertical="center" wrapText="1"/>
      <protection locked="0"/>
    </xf>
    <xf numFmtId="164" fontId="40" fillId="0" borderId="90" xfId="0" applyNumberFormat="1" applyFont="1" applyBorder="1" applyAlignment="1">
      <alignment horizontal="center" vertical="center" wrapText="1"/>
    </xf>
    <xf numFmtId="164" fontId="33" fillId="0" borderId="98" xfId="0" applyNumberFormat="1" applyFont="1" applyBorder="1" applyAlignment="1" applyProtection="1">
      <alignment horizontal="center" vertical="center" wrapText="1"/>
      <protection locked="0"/>
    </xf>
    <xf numFmtId="164" fontId="40" fillId="0" borderId="98" xfId="0" applyNumberFormat="1" applyFont="1" applyBorder="1" applyAlignment="1">
      <alignment horizontal="center" vertical="center" wrapText="1"/>
    </xf>
    <xf numFmtId="4" fontId="33" fillId="0" borderId="20" xfId="0" applyNumberFormat="1" applyFont="1" applyBorder="1" applyAlignment="1">
      <alignment horizontal="center" vertical="center" wrapText="1"/>
    </xf>
    <xf numFmtId="3" fontId="40" fillId="0" borderId="20" xfId="0" applyNumberFormat="1" applyFont="1" applyBorder="1" applyAlignment="1" applyProtection="1">
      <alignment horizontal="center" vertical="center" wrapText="1"/>
      <protection locked="0"/>
    </xf>
    <xf numFmtId="4" fontId="33" fillId="0" borderId="20" xfId="0" applyNumberFormat="1" applyFont="1" applyBorder="1" applyAlignment="1" applyProtection="1">
      <alignment horizontal="center" vertical="center" wrapText="1"/>
      <protection locked="0"/>
    </xf>
    <xf numFmtId="3" fontId="33" fillId="0" borderId="20" xfId="0" applyNumberFormat="1" applyFont="1" applyBorder="1" applyAlignment="1">
      <alignment horizontal="center" vertical="center" wrapText="1"/>
    </xf>
    <xf numFmtId="3" fontId="33" fillId="0" borderId="20" xfId="0" applyNumberFormat="1" applyFont="1" applyBorder="1" applyAlignment="1" applyProtection="1">
      <alignment horizontal="center" vertical="center" wrapText="1"/>
      <protection locked="0"/>
    </xf>
    <xf numFmtId="0" fontId="110" fillId="5" borderId="98" xfId="0" applyFont="1" applyFill="1" applyBorder="1" applyAlignment="1">
      <alignment horizontal="left" vertical="center" wrapText="1"/>
    </xf>
    <xf numFmtId="4" fontId="40" fillId="0" borderId="20" xfId="0" applyNumberFormat="1" applyFont="1" applyBorder="1" applyAlignment="1" applyProtection="1">
      <alignment horizontal="center" vertical="center" wrapText="1"/>
      <protection locked="0"/>
    </xf>
    <xf numFmtId="10" fontId="33" fillId="0" borderId="20" xfId="35" applyNumberFormat="1" applyFont="1" applyFill="1" applyBorder="1" applyAlignment="1">
      <alignment horizontal="center" vertical="center" wrapText="1"/>
    </xf>
    <xf numFmtId="10" fontId="40" fillId="0" borderId="20" xfId="0" applyNumberFormat="1" applyFont="1" applyBorder="1" applyAlignment="1" applyProtection="1">
      <alignment horizontal="center" vertical="center" wrapText="1"/>
      <protection locked="0"/>
    </xf>
    <xf numFmtId="184" fontId="33" fillId="51" borderId="0" xfId="42" applyNumberFormat="1" applyFont="1" applyFill="1" applyAlignment="1">
      <alignment horizontal="right" vertical="top" wrapText="1"/>
    </xf>
    <xf numFmtId="0" fontId="32" fillId="51" borderId="44" xfId="42" applyFont="1" applyFill="1" applyBorder="1" applyAlignment="1">
      <alignment horizontal="right" vertical="top" wrapText="1"/>
    </xf>
    <xf numFmtId="164" fontId="33"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0" fontId="33" fillId="11" borderId="46" xfId="42" applyFont="1" applyFill="1" applyBorder="1" applyAlignment="1">
      <alignment horizontal="left" vertical="center" wrapText="1"/>
    </xf>
    <xf numFmtId="0" fontId="1" fillId="11" borderId="0" xfId="0" applyFont="1" applyFill="1" applyAlignment="1">
      <alignment vertical="center"/>
    </xf>
    <xf numFmtId="0" fontId="42" fillId="51" borderId="109" xfId="42" applyFont="1" applyFill="1" applyBorder="1" applyAlignment="1">
      <alignment horizontal="center" vertical="center" wrapText="1"/>
    </xf>
    <xf numFmtId="0" fontId="42" fillId="51" borderId="109" xfId="42" applyFont="1" applyFill="1" applyBorder="1" applyAlignment="1">
      <alignment horizontal="right" vertical="center" wrapText="1"/>
    </xf>
    <xf numFmtId="164" fontId="33" fillId="51" borderId="44" xfId="42" applyNumberFormat="1" applyFont="1" applyFill="1" applyBorder="1" applyAlignment="1">
      <alignment horizontal="right" vertical="top" wrapText="1"/>
    </xf>
    <xf numFmtId="184" fontId="33" fillId="51" borderId="43" xfId="42" applyNumberFormat="1" applyFont="1" applyFill="1" applyBorder="1" applyAlignment="1">
      <alignment horizontal="right" vertical="top" wrapText="1"/>
    </xf>
    <xf numFmtId="0" fontId="32" fillId="51" borderId="0" xfId="42" applyFont="1" applyFill="1" applyAlignment="1">
      <alignment horizontal="left" vertical="top" wrapText="1"/>
    </xf>
    <xf numFmtId="1" fontId="32" fillId="51" borderId="0" xfId="42" applyNumberFormat="1" applyFont="1" applyFill="1" applyAlignment="1">
      <alignment horizontal="right" vertical="top" wrapText="1"/>
    </xf>
    <xf numFmtId="0" fontId="46" fillId="6" borderId="86" xfId="0" applyFont="1" applyFill="1" applyBorder="1" applyAlignment="1">
      <alignment vertical="top" wrapText="1"/>
    </xf>
    <xf numFmtId="0" fontId="46" fillId="6" borderId="85" xfId="0" applyFont="1" applyFill="1" applyBorder="1" applyAlignment="1">
      <alignment vertical="top" wrapText="1"/>
    </xf>
    <xf numFmtId="0" fontId="32" fillId="7" borderId="0" xfId="0" applyFont="1" applyFill="1" applyAlignment="1">
      <alignment horizontal="right" vertical="top" wrapText="1"/>
    </xf>
    <xf numFmtId="165" fontId="32" fillId="7" borderId="0" xfId="0" applyNumberFormat="1" applyFont="1" applyFill="1" applyAlignment="1">
      <alignment horizontal="right" vertical="center"/>
    </xf>
    <xf numFmtId="0" fontId="1" fillId="0" borderId="0" xfId="0" applyFont="1" applyAlignment="1">
      <alignment vertical="top"/>
    </xf>
    <xf numFmtId="0" fontId="37" fillId="5" borderId="0" xfId="0" applyFont="1" applyFill="1" applyAlignment="1">
      <alignment horizontal="left" vertical="center"/>
    </xf>
    <xf numFmtId="0" fontId="37" fillId="5" borderId="0" xfId="0" applyFont="1" applyFill="1" applyAlignment="1">
      <alignment vertical="center" wrapText="1"/>
    </xf>
    <xf numFmtId="0" fontId="32" fillId="5" borderId="0" xfId="0" applyFont="1" applyFill="1"/>
    <xf numFmtId="0" fontId="35" fillId="5" borderId="0" xfId="0" applyFont="1" applyFill="1" applyAlignment="1">
      <alignment vertical="center"/>
    </xf>
    <xf numFmtId="2" fontId="33" fillId="5" borderId="90" xfId="0" applyNumberFormat="1" applyFont="1" applyFill="1" applyBorder="1" applyAlignment="1">
      <alignment horizontal="center" vertical="center" wrapText="1"/>
    </xf>
    <xf numFmtId="164" fontId="40" fillId="0" borderId="90" xfId="0" applyNumberFormat="1" applyFont="1" applyBorder="1" applyAlignment="1" applyProtection="1">
      <alignment horizontal="center" vertical="center"/>
      <protection locked="0"/>
    </xf>
    <xf numFmtId="164" fontId="33" fillId="0" borderId="90" xfId="0" applyNumberFormat="1" applyFont="1" applyBorder="1" applyAlignment="1">
      <alignment horizontal="center" vertical="center"/>
    </xf>
    <xf numFmtId="0" fontId="29" fillId="0" borderId="90" xfId="0" applyFont="1" applyBorder="1" applyAlignment="1">
      <alignment vertical="center"/>
    </xf>
    <xf numFmtId="164" fontId="33" fillId="0" borderId="90" xfId="0" applyNumberFormat="1" applyFont="1" applyBorder="1" applyAlignment="1" applyProtection="1">
      <alignment horizontal="center" vertical="center"/>
      <protection locked="0"/>
    </xf>
    <xf numFmtId="4" fontId="33" fillId="0" borderId="90" xfId="0" applyNumberFormat="1" applyFont="1" applyBorder="1" applyAlignment="1" applyProtection="1">
      <alignment horizontal="center" vertical="center"/>
      <protection locked="0"/>
    </xf>
    <xf numFmtId="182" fontId="33" fillId="0" borderId="90" xfId="0" applyNumberFormat="1" applyFont="1" applyBorder="1" applyAlignment="1" applyProtection="1">
      <alignment horizontal="center" vertical="center"/>
      <protection locked="0"/>
    </xf>
    <xf numFmtId="4" fontId="33" fillId="0" borderId="90" xfId="0" applyNumberFormat="1" applyFont="1" applyBorder="1" applyAlignment="1">
      <alignment horizontal="center" vertical="center"/>
    </xf>
    <xf numFmtId="2" fontId="33" fillId="0" borderId="90" xfId="0" quotePrefix="1" applyNumberFormat="1" applyFont="1" applyBorder="1" applyAlignment="1">
      <alignment horizontal="center" vertical="center"/>
    </xf>
    <xf numFmtId="3" fontId="33" fillId="0" borderId="90" xfId="0" applyNumberFormat="1" applyFont="1" applyBorder="1" applyAlignment="1">
      <alignment horizontal="center" vertical="center"/>
    </xf>
    <xf numFmtId="4" fontId="40" fillId="0" borderId="90" xfId="0" applyNumberFormat="1" applyFont="1" applyBorder="1" applyAlignment="1" applyProtection="1">
      <alignment horizontal="center" vertical="center"/>
      <protection locked="0"/>
    </xf>
    <xf numFmtId="0" fontId="40" fillId="0" borderId="90" xfId="0" applyFont="1" applyBorder="1" applyAlignment="1" applyProtection="1">
      <alignment horizontal="center" vertical="center"/>
      <protection locked="0"/>
    </xf>
    <xf numFmtId="10" fontId="33" fillId="0" borderId="90" xfId="35" applyNumberFormat="1" applyFont="1" applyFill="1" applyBorder="1" applyAlignment="1">
      <alignment horizontal="center" vertical="center"/>
    </xf>
    <xf numFmtId="167" fontId="33" fillId="0" borderId="90" xfId="35" applyNumberFormat="1" applyFont="1" applyFill="1" applyBorder="1" applyAlignment="1">
      <alignment horizontal="center"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4" fillId="0" borderId="0" xfId="42" applyFont="1" applyAlignment="1">
      <alignment horizontal="left" vertical="center"/>
    </xf>
    <xf numFmtId="0" fontId="157" fillId="9" borderId="17" xfId="0" applyFont="1" applyFill="1" applyBorder="1" applyAlignment="1">
      <alignment horizontal="center" vertical="center"/>
    </xf>
    <xf numFmtId="0" fontId="157" fillId="9" borderId="20" xfId="0" applyFont="1" applyFill="1" applyBorder="1" applyAlignment="1">
      <alignment horizontal="center" vertical="center"/>
    </xf>
    <xf numFmtId="0" fontId="128" fillId="5" borderId="92" xfId="67" applyFont="1" applyFill="1" applyBorder="1" applyAlignment="1">
      <alignment vertical="center" wrapText="1"/>
    </xf>
    <xf numFmtId="0" fontId="128" fillId="5" borderId="92" xfId="67" applyFont="1" applyFill="1" applyBorder="1" applyAlignment="1">
      <alignment horizontal="center" wrapText="1"/>
    </xf>
    <xf numFmtId="0" fontId="128" fillId="5" borderId="92" xfId="67" applyFont="1" applyFill="1" applyBorder="1" applyAlignment="1">
      <alignment horizontal="center" vertical="center" wrapText="1"/>
    </xf>
    <xf numFmtId="0" fontId="7" fillId="5" borderId="0" xfId="0" applyFont="1" applyFill="1"/>
    <xf numFmtId="0" fontId="37" fillId="5" borderId="0" xfId="0" applyFont="1" applyFill="1" applyAlignment="1">
      <alignment vertical="top" wrapText="1"/>
    </xf>
    <xf numFmtId="0" fontId="1" fillId="5" borderId="0" xfId="0" applyFont="1" applyFill="1" applyAlignment="1">
      <alignment vertical="top" wrapText="1"/>
    </xf>
    <xf numFmtId="0" fontId="132" fillId="9" borderId="0" xfId="67" applyNumberFormat="1" applyFont="1"/>
    <xf numFmtId="0" fontId="35" fillId="5" borderId="0" xfId="0" applyFont="1" applyFill="1" applyAlignment="1">
      <alignment vertical="top" wrapText="1"/>
    </xf>
    <xf numFmtId="0" fontId="137" fillId="9" borderId="117" xfId="67" applyNumberFormat="1" applyFont="1" applyBorder="1"/>
    <xf numFmtId="0" fontId="60" fillId="9" borderId="118" xfId="67" applyNumberFormat="1" applyBorder="1"/>
    <xf numFmtId="0" fontId="60" fillId="9" borderId="119" xfId="67" applyNumberFormat="1" applyBorder="1"/>
    <xf numFmtId="0" fontId="7" fillId="5" borderId="121" xfId="0" applyFont="1" applyFill="1" applyBorder="1"/>
    <xf numFmtId="0" fontId="7" fillId="5" borderId="120" xfId="0" applyFont="1" applyFill="1" applyBorder="1"/>
    <xf numFmtId="0" fontId="137" fillId="9" borderId="120" xfId="67" applyNumberFormat="1" applyFont="1" applyBorder="1"/>
    <xf numFmtId="0" fontId="60" fillId="9" borderId="121" xfId="67" applyNumberFormat="1" applyBorder="1"/>
    <xf numFmtId="0" fontId="7" fillId="5" borderId="122" xfId="0" applyFont="1" applyFill="1" applyBorder="1"/>
    <xf numFmtId="0" fontId="0" fillId="5" borderId="123" xfId="0" applyFill="1" applyBorder="1"/>
    <xf numFmtId="0" fontId="7" fillId="5" borderId="124" xfId="0" applyFont="1" applyFill="1" applyBorder="1"/>
    <xf numFmtId="0" fontId="136" fillId="13" borderId="18" xfId="15" applyFont="1" applyFill="1" applyBorder="1" applyAlignment="1">
      <alignment vertical="center"/>
    </xf>
    <xf numFmtId="0" fontId="1" fillId="45" borderId="109" xfId="0" applyFont="1" applyFill="1" applyBorder="1" applyAlignment="1">
      <alignment horizontal="center" vertical="center"/>
    </xf>
    <xf numFmtId="0" fontId="1" fillId="0" borderId="0" xfId="0" applyFont="1" applyAlignment="1">
      <alignment vertical="top" wrapText="1"/>
    </xf>
    <xf numFmtId="0" fontId="1" fillId="0" borderId="0" xfId="0" applyFont="1" applyAlignment="1">
      <alignment horizontal="center" vertical="top"/>
    </xf>
    <xf numFmtId="0" fontId="1" fillId="45" borderId="0" xfId="0" applyFont="1" applyFill="1"/>
    <xf numFmtId="0" fontId="109" fillId="0" borderId="0" xfId="68" applyFont="1" applyAlignment="1">
      <alignment vertical="top" wrapText="1"/>
    </xf>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9" xfId="0" applyFont="1" applyFill="1" applyBorder="1" applyAlignment="1">
      <alignment vertical="center"/>
    </xf>
    <xf numFmtId="0" fontId="1" fillId="45" borderId="109" xfId="0" applyFont="1" applyFill="1" applyBorder="1" applyAlignment="1">
      <alignment vertical="center" wrapText="1"/>
    </xf>
    <xf numFmtId="165" fontId="1" fillId="45" borderId="109" xfId="0" applyNumberFormat="1" applyFont="1" applyFill="1" applyBorder="1" applyAlignment="1">
      <alignment horizontal="center" vertical="center"/>
    </xf>
    <xf numFmtId="14" fontId="1" fillId="45" borderId="109" xfId="0" applyNumberFormat="1" applyFont="1" applyFill="1" applyBorder="1" applyAlignment="1">
      <alignment vertical="center"/>
    </xf>
    <xf numFmtId="0" fontId="1" fillId="45" borderId="109" xfId="0" applyFont="1" applyFill="1" applyBorder="1" applyAlignment="1">
      <alignment horizontal="center" vertical="center" wrapText="1"/>
    </xf>
    <xf numFmtId="0" fontId="1" fillId="11" borderId="109" xfId="0" applyFont="1" applyFill="1" applyBorder="1" applyAlignment="1">
      <alignment horizontal="center" vertical="center"/>
    </xf>
    <xf numFmtId="0" fontId="1" fillId="11" borderId="109" xfId="0" applyFont="1" applyFill="1" applyBorder="1" applyAlignment="1">
      <alignment vertical="center"/>
    </xf>
    <xf numFmtId="0" fontId="1" fillId="11" borderId="109" xfId="0" applyFont="1" applyFill="1" applyBorder="1" applyAlignment="1">
      <alignment vertical="center" wrapText="1"/>
    </xf>
    <xf numFmtId="165" fontId="1" fillId="11" borderId="109" xfId="0" applyNumberFormat="1" applyFont="1" applyFill="1" applyBorder="1" applyAlignment="1">
      <alignment horizontal="center" vertical="center"/>
    </xf>
    <xf numFmtId="14" fontId="1" fillId="11" borderId="109" xfId="0" applyNumberFormat="1" applyFont="1" applyFill="1" applyBorder="1" applyAlignment="1">
      <alignment vertical="center"/>
    </xf>
    <xf numFmtId="174" fontId="1" fillId="45" borderId="109" xfId="0" applyNumberFormat="1" applyFont="1" applyFill="1" applyBorder="1" applyAlignment="1">
      <alignment horizontal="center" vertical="center"/>
    </xf>
    <xf numFmtId="178" fontId="1" fillId="45" borderId="109" xfId="0" applyNumberFormat="1" applyFont="1" applyFill="1" applyBorder="1" applyAlignment="1">
      <alignment horizontal="center" vertical="center"/>
    </xf>
    <xf numFmtId="2" fontId="1" fillId="45" borderId="109" xfId="0" applyNumberFormat="1" applyFont="1" applyFill="1" applyBorder="1" applyAlignment="1">
      <alignment horizontal="center" vertical="center"/>
    </xf>
    <xf numFmtId="164" fontId="1" fillId="45" borderId="109" xfId="0" applyNumberFormat="1" applyFont="1" applyFill="1" applyBorder="1" applyAlignment="1">
      <alignment horizontal="center" vertical="center"/>
    </xf>
    <xf numFmtId="180" fontId="1" fillId="45" borderId="109" xfId="0" applyNumberFormat="1" applyFont="1" applyFill="1" applyBorder="1" applyAlignment="1">
      <alignment horizontal="center" vertical="center"/>
    </xf>
    <xf numFmtId="0" fontId="1" fillId="45" borderId="109" xfId="0" applyFont="1" applyFill="1" applyBorder="1" applyAlignment="1">
      <alignment horizontal="left" vertical="center"/>
    </xf>
    <xf numFmtId="0" fontId="1" fillId="45" borderId="109" xfId="0" applyFont="1" applyFill="1" applyBorder="1" applyAlignment="1">
      <alignment horizontal="left" vertical="center" wrapText="1"/>
    </xf>
    <xf numFmtId="0" fontId="34" fillId="11" borderId="109" xfId="0" applyFont="1" applyFill="1" applyBorder="1" applyAlignment="1">
      <alignment vertical="center"/>
    </xf>
    <xf numFmtId="0" fontId="34" fillId="11" borderId="109" xfId="0" applyFont="1" applyFill="1" applyBorder="1" applyAlignment="1">
      <alignment vertical="center" wrapText="1"/>
    </xf>
    <xf numFmtId="0" fontId="34" fillId="11" borderId="109" xfId="0" applyFont="1" applyFill="1" applyBorder="1" applyAlignment="1">
      <alignment horizontal="center" vertical="center"/>
    </xf>
    <xf numFmtId="165" fontId="34" fillId="11" borderId="109" xfId="0" applyNumberFormat="1" applyFont="1" applyFill="1" applyBorder="1" applyAlignment="1">
      <alignment horizontal="center" vertical="center"/>
    </xf>
    <xf numFmtId="14" fontId="34" fillId="11" borderId="109" xfId="0" applyNumberFormat="1" applyFont="1" applyFill="1" applyBorder="1" applyAlignment="1">
      <alignment vertical="center"/>
    </xf>
    <xf numFmtId="0" fontId="1" fillId="11" borderId="109" xfId="0" applyFont="1" applyFill="1" applyBorder="1" applyAlignment="1">
      <alignment horizontal="center" vertical="center" wrapText="1"/>
    </xf>
    <xf numFmtId="1" fontId="1" fillId="11" borderId="109" xfId="0" applyNumberFormat="1" applyFont="1" applyFill="1" applyBorder="1" applyAlignment="1">
      <alignment horizontal="center" vertical="center"/>
    </xf>
    <xf numFmtId="178" fontId="1" fillId="11" borderId="109" xfId="0" applyNumberFormat="1" applyFont="1" applyFill="1" applyBorder="1" applyAlignment="1">
      <alignment horizontal="center" vertical="center"/>
    </xf>
    <xf numFmtId="174" fontId="1" fillId="11" borderId="109" xfId="0" applyNumberFormat="1" applyFont="1" applyFill="1" applyBorder="1" applyAlignment="1">
      <alignment horizontal="center" vertical="center"/>
    </xf>
    <xf numFmtId="0" fontId="1" fillId="11" borderId="109" xfId="0" applyFont="1" applyFill="1" applyBorder="1" applyAlignment="1">
      <alignment horizontal="left" vertical="center"/>
    </xf>
    <xf numFmtId="0" fontId="1" fillId="11" borderId="109" xfId="0" applyFont="1" applyFill="1" applyBorder="1" applyAlignment="1">
      <alignment horizontal="left" vertical="center" wrapText="1"/>
    </xf>
    <xf numFmtId="169" fontId="1" fillId="11" borderId="109" xfId="0" applyNumberFormat="1" applyFont="1" applyFill="1" applyBorder="1" applyAlignment="1">
      <alignment horizontal="center" vertical="center"/>
    </xf>
    <xf numFmtId="3" fontId="1" fillId="11" borderId="109" xfId="0" applyNumberFormat="1" applyFont="1" applyFill="1" applyBorder="1" applyAlignment="1">
      <alignment horizontal="center" vertical="center" wrapText="1"/>
    </xf>
    <xf numFmtId="2" fontId="1" fillId="11" borderId="109" xfId="0" applyNumberFormat="1" applyFont="1" applyFill="1" applyBorder="1" applyAlignment="1">
      <alignment horizontal="center" vertical="center"/>
    </xf>
    <xf numFmtId="0" fontId="34" fillId="11" borderId="109" xfId="42" applyFont="1" applyFill="1" applyBorder="1" applyAlignment="1">
      <alignment horizontal="left" vertical="center" wrapText="1"/>
    </xf>
    <xf numFmtId="165" fontId="1" fillId="11" borderId="109" xfId="0" applyNumberFormat="1" applyFont="1" applyFill="1" applyBorder="1" applyAlignment="1">
      <alignment horizontal="center" vertical="center" wrapText="1"/>
    </xf>
    <xf numFmtId="21" fontId="1" fillId="11" borderId="109" xfId="0" applyNumberFormat="1" applyFont="1" applyFill="1" applyBorder="1" applyAlignment="1">
      <alignment horizontal="center" vertical="center"/>
    </xf>
    <xf numFmtId="164" fontId="1" fillId="11" borderId="109" xfId="0" applyNumberFormat="1" applyFont="1" applyFill="1" applyBorder="1" applyAlignment="1">
      <alignment horizontal="center" vertical="center"/>
    </xf>
    <xf numFmtId="9" fontId="1" fillId="11" borderId="109" xfId="0" applyNumberFormat="1" applyFont="1" applyFill="1" applyBorder="1" applyAlignment="1">
      <alignment horizontal="center" vertical="center"/>
    </xf>
    <xf numFmtId="0" fontId="1" fillId="23" borderId="109" xfId="0" applyFont="1" applyFill="1" applyBorder="1" applyAlignment="1">
      <alignment horizontal="center" vertical="center"/>
    </xf>
    <xf numFmtId="0" fontId="1" fillId="23" borderId="109" xfId="0" applyFont="1" applyFill="1" applyBorder="1" applyAlignment="1">
      <alignment vertical="center"/>
    </xf>
    <xf numFmtId="0" fontId="1" fillId="23" borderId="109" xfId="0" applyFont="1" applyFill="1" applyBorder="1" applyAlignment="1">
      <alignment vertical="center" wrapText="1"/>
    </xf>
    <xf numFmtId="14" fontId="1" fillId="23" borderId="109" xfId="0" applyNumberFormat="1" applyFont="1" applyFill="1" applyBorder="1" applyAlignment="1">
      <alignment vertical="center"/>
    </xf>
    <xf numFmtId="0" fontId="1" fillId="23" borderId="0" xfId="0" applyFont="1" applyFill="1" applyAlignment="1">
      <alignment vertical="center"/>
    </xf>
    <xf numFmtId="0" fontId="1" fillId="51" borderId="109" xfId="0" applyFont="1" applyFill="1" applyBorder="1" applyAlignment="1">
      <alignment horizontal="center" vertical="center"/>
    </xf>
    <xf numFmtId="0" fontId="1" fillId="51" borderId="109" xfId="0" applyFont="1" applyFill="1" applyBorder="1" applyAlignment="1">
      <alignment vertical="center"/>
    </xf>
    <xf numFmtId="0" fontId="1" fillId="51" borderId="109" xfId="0" applyFont="1" applyFill="1" applyBorder="1" applyAlignment="1">
      <alignment vertical="center" wrapText="1"/>
    </xf>
    <xf numFmtId="14" fontId="1" fillId="51" borderId="109" xfId="0" applyNumberFormat="1" applyFont="1" applyFill="1" applyBorder="1" applyAlignment="1">
      <alignment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0" fontId="1" fillId="51" borderId="0" xfId="0" applyFont="1" applyFill="1" applyAlignment="1">
      <alignment horizontal="center" vertical="center"/>
    </xf>
    <xf numFmtId="164"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4" fontId="1" fillId="23" borderId="109" xfId="0" applyNumberFormat="1" applyFont="1" applyFill="1" applyBorder="1" applyAlignment="1">
      <alignment horizontal="center" vertical="center"/>
    </xf>
    <xf numFmtId="0" fontId="1" fillId="51" borderId="115" xfId="0" applyFont="1" applyFill="1" applyBorder="1" applyAlignment="1">
      <alignment vertical="center"/>
    </xf>
    <xf numFmtId="0" fontId="1" fillId="51" borderId="115" xfId="0" applyFont="1" applyFill="1" applyBorder="1" applyAlignment="1">
      <alignment vertical="center" wrapText="1"/>
    </xf>
    <xf numFmtId="0" fontId="1" fillId="51" borderId="115" xfId="0" applyFont="1" applyFill="1" applyBorder="1" applyAlignment="1">
      <alignment horizontal="center" vertical="center"/>
    </xf>
    <xf numFmtId="164" fontId="1" fillId="23" borderId="115" xfId="0" applyNumberFormat="1" applyFont="1" applyFill="1" applyBorder="1" applyAlignment="1">
      <alignment horizontal="center" vertical="center"/>
    </xf>
    <xf numFmtId="0" fontId="1" fillId="23" borderId="115" xfId="0" applyFont="1" applyFill="1" applyBorder="1" applyAlignment="1">
      <alignment horizontal="center" vertical="center"/>
    </xf>
    <xf numFmtId="14" fontId="1" fillId="51" borderId="115" xfId="0" applyNumberFormat="1" applyFont="1" applyFill="1" applyBorder="1" applyAlignment="1">
      <alignment vertical="center"/>
    </xf>
    <xf numFmtId="165" fontId="1" fillId="51" borderId="109" xfId="0" applyNumberFormat="1" applyFont="1" applyFill="1" applyBorder="1" applyAlignment="1">
      <alignment horizontal="center" vertical="center"/>
    </xf>
    <xf numFmtId="1" fontId="1" fillId="51" borderId="109" xfId="0" applyNumberFormat="1" applyFont="1" applyFill="1" applyBorder="1" applyAlignment="1">
      <alignment horizontal="center" vertical="center"/>
    </xf>
    <xf numFmtId="0" fontId="1" fillId="45" borderId="109" xfId="0" applyFont="1" applyFill="1" applyBorder="1" applyAlignment="1">
      <alignment horizontal="center" vertical="top"/>
    </xf>
    <xf numFmtId="0" fontId="1" fillId="45" borderId="109" xfId="0" applyFont="1" applyFill="1" applyBorder="1" applyAlignment="1">
      <alignment vertical="top"/>
    </xf>
    <xf numFmtId="0" fontId="1" fillId="45" borderId="109" xfId="0" applyFont="1" applyFill="1" applyBorder="1" applyAlignment="1">
      <alignment vertical="top" wrapText="1"/>
    </xf>
    <xf numFmtId="165" fontId="1" fillId="45" borderId="109" xfId="0" applyNumberFormat="1" applyFont="1" applyFill="1" applyBorder="1" applyAlignment="1">
      <alignment horizontal="center" vertical="top"/>
    </xf>
    <xf numFmtId="14" fontId="1" fillId="45" borderId="109" xfId="0" applyNumberFormat="1" applyFont="1" applyFill="1" applyBorder="1" applyAlignment="1">
      <alignment vertical="top"/>
    </xf>
    <xf numFmtId="0" fontId="1" fillId="45" borderId="109" xfId="0" applyFont="1" applyFill="1" applyBorder="1" applyAlignment="1">
      <alignment horizontal="center" vertical="top" wrapText="1"/>
    </xf>
    <xf numFmtId="0" fontId="1" fillId="11" borderId="109" xfId="0" applyFont="1" applyFill="1" applyBorder="1" applyAlignment="1">
      <alignment horizontal="center" vertical="top"/>
    </xf>
    <xf numFmtId="0" fontId="1" fillId="11" borderId="109" xfId="0" applyFont="1" applyFill="1" applyBorder="1" applyAlignment="1">
      <alignment vertical="top"/>
    </xf>
    <xf numFmtId="0" fontId="1" fillId="11" borderId="109" xfId="0" applyFont="1" applyFill="1" applyBorder="1" applyAlignment="1">
      <alignment vertical="top" wrapText="1"/>
    </xf>
    <xf numFmtId="165" fontId="1" fillId="11" borderId="109" xfId="0" applyNumberFormat="1" applyFont="1" applyFill="1" applyBorder="1" applyAlignment="1">
      <alignment horizontal="center" vertical="top"/>
    </xf>
    <xf numFmtId="14" fontId="1" fillId="11" borderId="109" xfId="0" applyNumberFormat="1" applyFont="1" applyFill="1" applyBorder="1" applyAlignment="1">
      <alignment vertical="top"/>
    </xf>
    <xf numFmtId="2" fontId="1" fillId="45" borderId="109" xfId="0" applyNumberFormat="1" applyFont="1" applyFill="1" applyBorder="1" applyAlignment="1">
      <alignment horizontal="center" vertical="top"/>
    </xf>
    <xf numFmtId="164" fontId="1" fillId="45" borderId="109" xfId="0" applyNumberFormat="1" applyFont="1" applyFill="1" applyBorder="1" applyAlignment="1">
      <alignment horizontal="center" vertical="top"/>
    </xf>
    <xf numFmtId="0" fontId="1" fillId="45" borderId="109" xfId="0" applyFont="1" applyFill="1" applyBorder="1" applyAlignment="1">
      <alignment horizontal="left" vertical="top"/>
    </xf>
    <xf numFmtId="0" fontId="1" fillId="45" borderId="109" xfId="0" applyFont="1" applyFill="1" applyBorder="1" applyAlignment="1">
      <alignment horizontal="left" vertical="top" wrapText="1"/>
    </xf>
    <xf numFmtId="0" fontId="1" fillId="11" borderId="109" xfId="0" applyFont="1" applyFill="1" applyBorder="1" applyAlignment="1">
      <alignment horizontal="center" vertical="top" wrapText="1"/>
    </xf>
    <xf numFmtId="1" fontId="1" fillId="11" borderId="109" xfId="0" applyNumberFormat="1" applyFont="1" applyFill="1" applyBorder="1" applyAlignment="1">
      <alignment horizontal="center" vertical="top"/>
    </xf>
    <xf numFmtId="165" fontId="1" fillId="11" borderId="109" xfId="0" applyNumberFormat="1" applyFont="1" applyFill="1" applyBorder="1" applyAlignment="1">
      <alignment horizontal="center" vertical="top" wrapText="1"/>
    </xf>
    <xf numFmtId="169" fontId="1" fillId="11" borderId="109" xfId="0" applyNumberFormat="1" applyFont="1" applyFill="1" applyBorder="1" applyAlignment="1">
      <alignment horizontal="center" vertical="top"/>
    </xf>
    <xf numFmtId="0" fontId="34" fillId="11" borderId="109" xfId="42" applyFont="1" applyFill="1" applyBorder="1" applyAlignment="1">
      <alignment horizontal="left" vertical="top" wrapText="1"/>
    </xf>
    <xf numFmtId="9" fontId="1" fillId="11" borderId="109" xfId="0" applyNumberFormat="1" applyFont="1" applyFill="1" applyBorder="1" applyAlignment="1">
      <alignment horizontal="center" vertical="top"/>
    </xf>
    <xf numFmtId="0" fontId="1" fillId="11" borderId="111" xfId="0" applyFont="1" applyFill="1" applyBorder="1" applyAlignment="1">
      <alignment vertical="top"/>
    </xf>
    <xf numFmtId="0" fontId="1" fillId="11" borderId="111" xfId="0" applyFont="1" applyFill="1" applyBorder="1" applyAlignment="1">
      <alignment vertical="top" wrapText="1"/>
    </xf>
    <xf numFmtId="0" fontId="1" fillId="11" borderId="111" xfId="0" applyFont="1" applyFill="1" applyBorder="1" applyAlignment="1">
      <alignment horizontal="center" vertical="top"/>
    </xf>
    <xf numFmtId="165" fontId="1" fillId="11" borderId="111" xfId="0" applyNumberFormat="1" applyFont="1" applyFill="1" applyBorder="1" applyAlignment="1">
      <alignment horizontal="center" vertical="top"/>
    </xf>
    <xf numFmtId="14" fontId="1" fillId="11" borderId="111" xfId="0" applyNumberFormat="1" applyFont="1" applyFill="1" applyBorder="1" applyAlignment="1">
      <alignment vertical="top"/>
    </xf>
    <xf numFmtId="0" fontId="1" fillId="51" borderId="109" xfId="0" applyFont="1" applyFill="1" applyBorder="1" applyAlignment="1">
      <alignment horizontal="center" vertical="top"/>
    </xf>
    <xf numFmtId="0" fontId="1" fillId="51" borderId="109" xfId="0" applyFont="1" applyFill="1" applyBorder="1"/>
    <xf numFmtId="0" fontId="1" fillId="51" borderId="109" xfId="0" applyFont="1" applyFill="1" applyBorder="1" applyAlignment="1">
      <alignment horizontal="center"/>
    </xf>
    <xf numFmtId="21" fontId="1" fillId="51" borderId="109" xfId="0" applyNumberFormat="1" applyFont="1" applyFill="1" applyBorder="1" applyAlignment="1">
      <alignment horizontal="center"/>
    </xf>
    <xf numFmtId="0" fontId="1" fillId="51" borderId="109" xfId="0" applyFont="1" applyFill="1" applyBorder="1" applyAlignment="1">
      <alignment wrapText="1"/>
    </xf>
    <xf numFmtId="14" fontId="1" fillId="51" borderId="109" xfId="0" applyNumberFormat="1" applyFont="1" applyFill="1" applyBorder="1"/>
    <xf numFmtId="0" fontId="1" fillId="51" borderId="109" xfId="0" applyFont="1" applyFill="1" applyBorder="1" applyAlignment="1">
      <alignment vertical="top"/>
    </xf>
    <xf numFmtId="0" fontId="1" fillId="51" borderId="109" xfId="0" applyFont="1" applyFill="1" applyBorder="1" applyAlignment="1">
      <alignment vertical="top" wrapText="1"/>
    </xf>
    <xf numFmtId="2" fontId="1" fillId="51" borderId="109" xfId="0" applyNumberFormat="1" applyFont="1" applyFill="1" applyBorder="1" applyAlignment="1">
      <alignment horizontal="center" vertical="top"/>
    </xf>
    <xf numFmtId="0" fontId="1" fillId="23" borderId="109" xfId="0" applyFont="1" applyFill="1" applyBorder="1" applyAlignment="1">
      <alignment vertical="top"/>
    </xf>
    <xf numFmtId="0" fontId="1" fillId="23" borderId="109" xfId="0" applyFont="1" applyFill="1" applyBorder="1"/>
    <xf numFmtId="0" fontId="1" fillId="23" borderId="109" xfId="0" applyFont="1" applyFill="1" applyBorder="1" applyAlignment="1">
      <alignment vertical="top" wrapText="1"/>
    </xf>
    <xf numFmtId="0" fontId="1" fillId="23" borderId="109" xfId="0" applyFont="1" applyFill="1" applyBorder="1" applyAlignment="1">
      <alignment horizontal="center" vertical="top"/>
    </xf>
    <xf numFmtId="14" fontId="1" fillId="23" borderId="109" xfId="0" applyNumberFormat="1" applyFont="1" applyFill="1" applyBorder="1"/>
    <xf numFmtId="0" fontId="1" fillId="51" borderId="109" xfId="0" applyFont="1" applyFill="1" applyBorder="1" applyAlignment="1">
      <alignment horizontal="center" vertical="center" wrapText="1"/>
    </xf>
    <xf numFmtId="0" fontId="42" fillId="51" borderId="109" xfId="42" applyFont="1" applyFill="1" applyBorder="1" applyAlignment="1">
      <alignment horizontal="center" vertical="top" wrapText="1"/>
    </xf>
    <xf numFmtId="0" fontId="1" fillId="51" borderId="109" xfId="0" applyFont="1" applyFill="1" applyBorder="1" applyAlignment="1">
      <alignment horizontal="left" vertical="top"/>
    </xf>
    <xf numFmtId="185" fontId="42" fillId="51" borderId="109" xfId="0" quotePrefix="1" applyNumberFormat="1" applyFont="1" applyFill="1" applyBorder="1" applyAlignment="1">
      <alignment horizontal="right" vertical="top"/>
    </xf>
    <xf numFmtId="169" fontId="42" fillId="51" borderId="109" xfId="0" applyNumberFormat="1" applyFont="1" applyFill="1" applyBorder="1" applyAlignment="1">
      <alignment horizontal="right" vertical="top"/>
    </xf>
    <xf numFmtId="0" fontId="42" fillId="51" borderId="109" xfId="0" quotePrefix="1" applyFont="1" applyFill="1" applyBorder="1" applyAlignment="1">
      <alignment horizontal="right" vertical="top"/>
    </xf>
    <xf numFmtId="0" fontId="42" fillId="51" borderId="109" xfId="0" applyFont="1" applyFill="1" applyBorder="1" applyAlignment="1">
      <alignment horizontal="right" vertical="top"/>
    </xf>
    <xf numFmtId="47" fontId="42" fillId="51" borderId="109" xfId="0" quotePrefix="1" applyNumberFormat="1" applyFont="1" applyFill="1" applyBorder="1" applyAlignment="1">
      <alignment horizontal="right" vertical="top"/>
    </xf>
    <xf numFmtId="0" fontId="1" fillId="51" borderId="109" xfId="42" applyFont="1" applyFill="1" applyBorder="1" applyAlignment="1">
      <alignment horizontal="center" vertical="center" wrapText="1"/>
    </xf>
    <xf numFmtId="0" fontId="1" fillId="51" borderId="109" xfId="0" applyFont="1" applyFill="1" applyBorder="1" applyAlignment="1">
      <alignment horizontal="left" vertical="center"/>
    </xf>
    <xf numFmtId="0" fontId="31" fillId="13" borderId="0" xfId="28" applyFont="1" applyFill="1" applyBorder="1" applyAlignment="1">
      <alignment vertical="center" wrapText="1"/>
    </xf>
    <xf numFmtId="169" fontId="33" fillId="51" borderId="30" xfId="42" applyNumberFormat="1" applyFont="1" applyFill="1" applyBorder="1" applyAlignment="1">
      <alignment horizontal="right" vertical="top" wrapText="1"/>
    </xf>
    <xf numFmtId="169" fontId="33" fillId="51" borderId="31" xfId="42" applyNumberFormat="1" applyFont="1" applyFill="1" applyBorder="1" applyAlignment="1">
      <alignment horizontal="right" vertical="top" wrapText="1"/>
    </xf>
    <xf numFmtId="169" fontId="33" fillId="51" borderId="32" xfId="42" applyNumberFormat="1" applyFont="1" applyFill="1" applyBorder="1" applyAlignment="1">
      <alignment horizontal="right" vertical="top" wrapText="1"/>
    </xf>
    <xf numFmtId="21" fontId="33" fillId="51" borderId="30" xfId="42" applyNumberFormat="1" applyFont="1" applyFill="1" applyBorder="1" applyAlignment="1">
      <alignment horizontal="right" vertical="top" wrapText="1"/>
    </xf>
    <xf numFmtId="21" fontId="33" fillId="51" borderId="31" xfId="42" applyNumberFormat="1" applyFont="1" applyFill="1" applyBorder="1" applyAlignment="1">
      <alignment horizontal="right" vertical="top" wrapText="1"/>
    </xf>
    <xf numFmtId="21" fontId="33" fillId="51" borderId="32" xfId="42" applyNumberFormat="1" applyFont="1" applyFill="1" applyBorder="1" applyAlignment="1">
      <alignment horizontal="right" vertical="top" wrapText="1"/>
    </xf>
    <xf numFmtId="0" fontId="33" fillId="51" borderId="30" xfId="42" applyFont="1" applyFill="1" applyBorder="1" applyAlignment="1">
      <alignment horizontal="center" vertical="top" wrapText="1"/>
    </xf>
    <xf numFmtId="0" fontId="33" fillId="51" borderId="31" xfId="42" applyFont="1" applyFill="1" applyBorder="1" applyAlignment="1">
      <alignment horizontal="center" vertical="top" wrapText="1"/>
    </xf>
    <xf numFmtId="0" fontId="33" fillId="51" borderId="32" xfId="42" applyFont="1" applyFill="1" applyBorder="1" applyAlignment="1">
      <alignment horizontal="center" vertical="top" wrapText="1"/>
    </xf>
    <xf numFmtId="0" fontId="33" fillId="51" borderId="30" xfId="42" applyFont="1" applyFill="1" applyBorder="1" applyAlignment="1">
      <alignment horizontal="right" vertical="top" wrapText="1"/>
    </xf>
    <xf numFmtId="0" fontId="33" fillId="51" borderId="31" xfId="42" applyFont="1" applyFill="1" applyBorder="1" applyAlignment="1">
      <alignment horizontal="right" vertical="top" wrapText="1"/>
    </xf>
    <xf numFmtId="0" fontId="33" fillId="51" borderId="32" xfId="42" applyFont="1" applyFill="1" applyBorder="1" applyAlignment="1">
      <alignment horizontal="right" vertical="top" wrapText="1"/>
    </xf>
    <xf numFmtId="184" fontId="33" fillId="51" borderId="30" xfId="42" applyNumberFormat="1" applyFont="1" applyFill="1" applyBorder="1" applyAlignment="1">
      <alignment horizontal="right" vertical="top" wrapText="1"/>
    </xf>
    <xf numFmtId="184" fontId="33" fillId="51" borderId="31" xfId="42" applyNumberFormat="1" applyFont="1" applyFill="1" applyBorder="1" applyAlignment="1">
      <alignment horizontal="right" vertical="top" wrapText="1"/>
    </xf>
    <xf numFmtId="184" fontId="33" fillId="51" borderId="29" xfId="42" applyNumberFormat="1" applyFont="1" applyFill="1" applyBorder="1" applyAlignment="1">
      <alignment horizontal="right" vertical="top" wrapText="1"/>
    </xf>
    <xf numFmtId="172" fontId="33" fillId="51" borderId="29" xfId="42" applyNumberFormat="1" applyFont="1" applyFill="1" applyBorder="1" applyAlignment="1">
      <alignment horizontal="right" vertical="top" wrapText="1"/>
    </xf>
    <xf numFmtId="172" fontId="33" fillId="51" borderId="43" xfId="42" applyNumberFormat="1" applyFont="1" applyFill="1" applyBorder="1" applyAlignment="1">
      <alignment horizontal="right" vertical="top" wrapText="1"/>
    </xf>
    <xf numFmtId="172" fontId="33" fillId="51" borderId="0" xfId="42" applyNumberFormat="1" applyFont="1" applyFill="1" applyAlignment="1">
      <alignment horizontal="right" vertical="top" wrapText="1"/>
    </xf>
    <xf numFmtId="172" fontId="33" fillId="51" borderId="44" xfId="42" applyNumberFormat="1" applyFont="1" applyFill="1" applyBorder="1" applyAlignment="1">
      <alignment horizontal="right" vertical="top" wrapText="1"/>
    </xf>
    <xf numFmtId="0" fontId="122" fillId="51" borderId="43" xfId="42" applyFont="1" applyFill="1" applyBorder="1" applyAlignment="1">
      <alignment horizontal="right" vertical="top" wrapText="1"/>
    </xf>
    <xf numFmtId="4" fontId="33" fillId="51" borderId="43" xfId="42" applyNumberFormat="1" applyFont="1" applyFill="1" applyBorder="1" applyAlignment="1">
      <alignment horizontal="right" vertical="top" wrapText="1"/>
    </xf>
    <xf numFmtId="4" fontId="33" fillId="51" borderId="0" xfId="42" applyNumberFormat="1" applyFont="1" applyFill="1" applyAlignment="1">
      <alignment horizontal="right" vertical="top" wrapText="1"/>
    </xf>
    <xf numFmtId="4" fontId="33" fillId="51" borderId="44" xfId="42" applyNumberFormat="1" applyFont="1" applyFill="1" applyBorder="1" applyAlignment="1">
      <alignment horizontal="right" vertical="top" wrapText="1"/>
    </xf>
    <xf numFmtId="184" fontId="33" fillId="51" borderId="46" xfId="42" applyNumberFormat="1" applyFont="1" applyFill="1" applyBorder="1" applyAlignment="1">
      <alignment horizontal="right" vertical="top" wrapText="1"/>
    </xf>
    <xf numFmtId="172" fontId="33" fillId="51" borderId="46" xfId="42" applyNumberFormat="1" applyFont="1" applyFill="1" applyBorder="1" applyAlignment="1">
      <alignment horizontal="right" vertical="top" wrapText="1"/>
    </xf>
    <xf numFmtId="164" fontId="33" fillId="51" borderId="0" xfId="42" applyNumberFormat="1" applyFont="1" applyFill="1" applyAlignment="1">
      <alignment horizontal="right" vertical="top" wrapText="1"/>
    </xf>
    <xf numFmtId="173" fontId="33" fillId="51" borderId="43" xfId="42" applyNumberFormat="1" applyFont="1" applyFill="1" applyBorder="1" applyAlignment="1">
      <alignment horizontal="right" vertical="top" wrapText="1"/>
    </xf>
    <xf numFmtId="173" fontId="33" fillId="51" borderId="0" xfId="42" applyNumberFormat="1" applyFont="1" applyFill="1" applyAlignment="1">
      <alignment horizontal="right" vertical="top" wrapText="1"/>
    </xf>
    <xf numFmtId="173" fontId="33" fillId="51" borderId="44" xfId="42" applyNumberFormat="1" applyFont="1" applyFill="1" applyBorder="1" applyAlignment="1">
      <alignment horizontal="right" vertical="top" wrapText="1"/>
    </xf>
    <xf numFmtId="49" fontId="33" fillId="51" borderId="46" xfId="42" applyNumberFormat="1" applyFont="1" applyFill="1" applyBorder="1" applyAlignment="1">
      <alignment horizontal="center" vertical="top" wrapText="1"/>
    </xf>
    <xf numFmtId="21" fontId="33" fillId="51" borderId="43" xfId="42" applyNumberFormat="1" applyFont="1" applyFill="1" applyBorder="1" applyAlignment="1">
      <alignment horizontal="right" vertical="top" wrapText="1"/>
    </xf>
    <xf numFmtId="21" fontId="33" fillId="51" borderId="0" xfId="42" applyNumberFormat="1" applyFont="1" applyFill="1" applyAlignment="1">
      <alignment horizontal="right" vertical="top" wrapText="1"/>
    </xf>
    <xf numFmtId="4" fontId="33" fillId="51" borderId="43" xfId="42" applyNumberFormat="1" applyFont="1" applyFill="1" applyBorder="1" applyAlignment="1">
      <alignment horizontal="center" vertical="top" wrapText="1"/>
    </xf>
    <xf numFmtId="4" fontId="33" fillId="51" borderId="0" xfId="42" applyNumberFormat="1" applyFont="1" applyFill="1" applyAlignment="1">
      <alignment horizontal="center" vertical="top" wrapText="1"/>
    </xf>
    <xf numFmtId="4" fontId="33" fillId="51" borderId="44" xfId="42" applyNumberFormat="1" applyFont="1" applyFill="1" applyBorder="1" applyAlignment="1">
      <alignment horizontal="center" vertical="top" wrapText="1"/>
    </xf>
    <xf numFmtId="3" fontId="33" fillId="51" borderId="43" xfId="42" applyNumberFormat="1" applyFont="1" applyFill="1" applyBorder="1" applyAlignment="1">
      <alignment horizontal="right" vertical="top" wrapText="1"/>
    </xf>
    <xf numFmtId="3" fontId="33" fillId="51" borderId="0" xfId="42" applyNumberFormat="1" applyFont="1" applyFill="1" applyAlignment="1">
      <alignment horizontal="right" vertical="top" wrapText="1"/>
    </xf>
    <xf numFmtId="170" fontId="33" fillId="51" borderId="43" xfId="42" applyNumberFormat="1" applyFont="1" applyFill="1" applyBorder="1" applyAlignment="1">
      <alignment horizontal="right" vertical="top" wrapText="1"/>
    </xf>
    <xf numFmtId="170" fontId="33" fillId="51" borderId="0" xfId="42" applyNumberFormat="1" applyFont="1" applyFill="1" applyAlignment="1">
      <alignment horizontal="right" vertical="top" wrapText="1"/>
    </xf>
    <xf numFmtId="170" fontId="33" fillId="51" borderId="44" xfId="42" applyNumberFormat="1" applyFont="1" applyFill="1" applyBorder="1" applyAlignment="1">
      <alignment horizontal="right" vertical="top" wrapText="1"/>
    </xf>
    <xf numFmtId="49" fontId="33" fillId="51" borderId="29" xfId="42" applyNumberFormat="1" applyFont="1" applyFill="1" applyBorder="1" applyAlignment="1">
      <alignment horizontal="center" vertical="top" wrapText="1"/>
    </xf>
    <xf numFmtId="21" fontId="33" fillId="51" borderId="43" xfId="42" applyNumberFormat="1" applyFont="1" applyFill="1" applyBorder="1" applyAlignment="1">
      <alignment horizontal="center" vertical="center" wrapText="1"/>
    </xf>
    <xf numFmtId="21" fontId="33" fillId="51" borderId="0" xfId="42" applyNumberFormat="1" applyFont="1" applyFill="1" applyAlignment="1">
      <alignment horizontal="center" vertical="center" wrapText="1"/>
    </xf>
    <xf numFmtId="21" fontId="33" fillId="51" borderId="44" xfId="42" applyNumberFormat="1" applyFont="1" applyFill="1" applyBorder="1" applyAlignment="1">
      <alignment horizontal="center" vertical="center" wrapText="1"/>
    </xf>
    <xf numFmtId="3" fontId="33" fillId="51" borderId="44" xfId="42" applyNumberFormat="1" applyFont="1" applyFill="1" applyBorder="1" applyAlignment="1">
      <alignment horizontal="right" vertical="top" wrapText="1"/>
    </xf>
    <xf numFmtId="164" fontId="121" fillId="51" borderId="43" xfId="42" applyNumberFormat="1" applyFont="1" applyFill="1" applyBorder="1" applyAlignment="1">
      <alignment horizontal="right" vertical="top" wrapText="1"/>
    </xf>
    <xf numFmtId="164" fontId="121" fillId="51" borderId="0" xfId="42" applyNumberFormat="1" applyFont="1" applyFill="1" applyAlignment="1">
      <alignment horizontal="right" vertical="top" wrapText="1"/>
    </xf>
    <xf numFmtId="164" fontId="121" fillId="51" borderId="44" xfId="42" applyNumberFormat="1" applyFont="1" applyFill="1" applyBorder="1" applyAlignment="1">
      <alignment horizontal="right" vertical="top" wrapText="1"/>
    </xf>
    <xf numFmtId="21" fontId="33" fillId="51" borderId="44" xfId="42" applyNumberFormat="1" applyFont="1" applyFill="1" applyBorder="1" applyAlignment="1">
      <alignment horizontal="right" vertical="top" wrapText="1"/>
    </xf>
    <xf numFmtId="1" fontId="33" fillId="51" borderId="0" xfId="42" applyNumberFormat="1" applyFont="1" applyFill="1" applyAlignment="1">
      <alignment horizontal="right" vertical="top" wrapText="1"/>
    </xf>
    <xf numFmtId="1" fontId="33" fillId="51" borderId="43" xfId="42" applyNumberFormat="1" applyFont="1" applyFill="1" applyBorder="1" applyAlignment="1">
      <alignment horizontal="right" vertical="top" wrapText="1"/>
    </xf>
    <xf numFmtId="1" fontId="33" fillId="51" borderId="44" xfId="42" applyNumberFormat="1" applyFont="1" applyFill="1" applyBorder="1" applyAlignment="1">
      <alignment horizontal="right" vertical="top" wrapText="1"/>
    </xf>
    <xf numFmtId="167" fontId="33" fillId="51" borderId="43" xfId="42" applyNumberFormat="1" applyFont="1" applyFill="1" applyBorder="1" applyAlignment="1">
      <alignment horizontal="right" vertical="top" wrapText="1"/>
    </xf>
    <xf numFmtId="167" fontId="33" fillId="51" borderId="0" xfId="42" applyNumberFormat="1" applyFont="1" applyFill="1" applyAlignment="1">
      <alignment horizontal="right" vertical="top" wrapText="1"/>
    </xf>
    <xf numFmtId="167" fontId="33" fillId="51" borderId="44" xfId="42" applyNumberFormat="1" applyFont="1" applyFill="1" applyBorder="1" applyAlignment="1">
      <alignment horizontal="right" vertical="top" wrapText="1"/>
    </xf>
    <xf numFmtId="164" fontId="33" fillId="51" borderId="0" xfId="42" applyNumberFormat="1" applyFont="1" applyFill="1" applyAlignment="1">
      <alignment horizontal="right" vertical="top"/>
    </xf>
    <xf numFmtId="3" fontId="33" fillId="51" borderId="43" xfId="42" applyNumberFormat="1" applyFont="1" applyFill="1" applyBorder="1" applyAlignment="1">
      <alignment horizontal="center" vertical="top" wrapText="1"/>
    </xf>
    <xf numFmtId="3" fontId="33" fillId="51" borderId="0" xfId="42" applyNumberFormat="1" applyFont="1" applyFill="1" applyAlignment="1">
      <alignment horizontal="center" vertical="top" wrapText="1"/>
    </xf>
    <xf numFmtId="3" fontId="33" fillId="51" borderId="44" xfId="42" applyNumberFormat="1" applyFont="1" applyFill="1" applyBorder="1" applyAlignment="1">
      <alignment horizontal="center" vertical="top" wrapText="1"/>
    </xf>
    <xf numFmtId="2" fontId="33" fillId="51" borderId="43" xfId="44" applyNumberFormat="1" applyFont="1" applyFill="1" applyBorder="1" applyAlignment="1" applyProtection="1">
      <alignment horizontal="right" vertical="top" wrapText="1"/>
    </xf>
    <xf numFmtId="2" fontId="33" fillId="51" borderId="0" xfId="44" applyNumberFormat="1" applyFont="1" applyFill="1" applyBorder="1" applyAlignment="1" applyProtection="1">
      <alignment horizontal="right" vertical="top" wrapText="1"/>
    </xf>
    <xf numFmtId="2" fontId="33" fillId="51" borderId="44" xfId="44" applyNumberFormat="1" applyFont="1" applyFill="1" applyBorder="1" applyAlignment="1" applyProtection="1">
      <alignment horizontal="right" vertical="top" wrapText="1"/>
    </xf>
    <xf numFmtId="164" fontId="33" fillId="51" borderId="43" xfId="35" applyNumberFormat="1" applyFont="1" applyFill="1" applyBorder="1" applyAlignment="1" applyProtection="1">
      <alignment horizontal="right" vertical="top" wrapText="1"/>
    </xf>
    <xf numFmtId="164" fontId="33" fillId="51" borderId="0" xfId="35" applyNumberFormat="1" applyFont="1" applyFill="1" applyBorder="1" applyAlignment="1" applyProtection="1">
      <alignment horizontal="right" vertical="top" wrapText="1"/>
    </xf>
    <xf numFmtId="164" fontId="33" fillId="51" borderId="44" xfId="35" applyNumberFormat="1" applyFont="1" applyFill="1" applyBorder="1" applyAlignment="1" applyProtection="1">
      <alignment horizontal="right" vertical="top" wrapText="1"/>
    </xf>
    <xf numFmtId="166" fontId="33" fillId="51" borderId="43" xfId="42" applyNumberFormat="1" applyFont="1" applyFill="1" applyBorder="1" applyAlignment="1">
      <alignment horizontal="right" vertical="top" wrapText="1"/>
    </xf>
    <xf numFmtId="166" fontId="33" fillId="51" borderId="0" xfId="42" applyNumberFormat="1" applyFont="1" applyFill="1" applyAlignment="1">
      <alignment horizontal="right" vertical="top" wrapText="1"/>
    </xf>
    <xf numFmtId="166" fontId="33" fillId="51" borderId="44" xfId="42" applyNumberFormat="1" applyFont="1" applyFill="1" applyBorder="1" applyAlignment="1">
      <alignment horizontal="right" vertical="top" wrapText="1"/>
    </xf>
    <xf numFmtId="164" fontId="42" fillId="51" borderId="43" xfId="46" applyNumberFormat="1" applyFont="1" applyFill="1" applyBorder="1" applyAlignment="1">
      <alignment horizontal="right" vertical="top" wrapText="1"/>
    </xf>
    <xf numFmtId="0" fontId="42" fillId="51" borderId="0" xfId="46" applyFont="1" applyFill="1" applyAlignment="1">
      <alignment horizontal="right" vertical="top" wrapText="1"/>
    </xf>
    <xf numFmtId="164" fontId="42" fillId="51" borderId="0" xfId="46" applyNumberFormat="1" applyFont="1" applyFill="1" applyAlignment="1">
      <alignment horizontal="right" vertical="top" wrapText="1"/>
    </xf>
    <xf numFmtId="164" fontId="42" fillId="51" borderId="44" xfId="46" applyNumberFormat="1" applyFont="1" applyFill="1" applyBorder="1" applyAlignment="1">
      <alignment horizontal="right" vertical="top" wrapText="1"/>
    </xf>
    <xf numFmtId="0" fontId="33" fillId="51" borderId="44" xfId="42" quotePrefix="1" applyFont="1" applyFill="1" applyBorder="1" applyAlignment="1">
      <alignment horizontal="right" vertical="top" wrapText="1"/>
    </xf>
    <xf numFmtId="0" fontId="33" fillId="51" borderId="43" xfId="42" quotePrefix="1" applyFont="1" applyFill="1" applyBorder="1" applyAlignment="1">
      <alignment horizontal="right" vertical="top" wrapText="1"/>
    </xf>
    <xf numFmtId="0" fontId="33" fillId="51" borderId="0" xfId="42" quotePrefix="1" applyFont="1" applyFill="1" applyAlignment="1">
      <alignment horizontal="right" vertical="top" wrapText="1"/>
    </xf>
    <xf numFmtId="2" fontId="33" fillId="51" borderId="44" xfId="42" quotePrefix="1" applyNumberFormat="1" applyFont="1" applyFill="1" applyBorder="1" applyAlignment="1">
      <alignment horizontal="right" vertical="top" wrapText="1"/>
    </xf>
    <xf numFmtId="164" fontId="33" fillId="51" borderId="43" xfId="42" quotePrefix="1" applyNumberFormat="1" applyFont="1" applyFill="1" applyBorder="1" applyAlignment="1">
      <alignment horizontal="right" vertical="top" wrapText="1"/>
    </xf>
    <xf numFmtId="164" fontId="33" fillId="51" borderId="0" xfId="42" quotePrefix="1" applyNumberFormat="1" applyFont="1" applyFill="1" applyAlignment="1">
      <alignment horizontal="right" vertical="top" wrapText="1"/>
    </xf>
    <xf numFmtId="164" fontId="33" fillId="51" borderId="44" xfId="42" quotePrefix="1" applyNumberFormat="1" applyFont="1" applyFill="1" applyBorder="1" applyAlignment="1">
      <alignment horizontal="right" vertical="top" wrapText="1"/>
    </xf>
    <xf numFmtId="0" fontId="122" fillId="51" borderId="0" xfId="42" applyFont="1" applyFill="1" applyAlignment="1">
      <alignment horizontal="right" vertical="top" wrapText="1"/>
    </xf>
    <xf numFmtId="0" fontId="122" fillId="51" borderId="44" xfId="42" applyFont="1" applyFill="1" applyBorder="1" applyAlignment="1">
      <alignment horizontal="right" vertical="top" wrapText="1"/>
    </xf>
    <xf numFmtId="164" fontId="122" fillId="51" borderId="0" xfId="42" applyNumberFormat="1" applyFont="1" applyFill="1" applyAlignment="1">
      <alignment horizontal="right" vertical="top" wrapText="1"/>
    </xf>
    <xf numFmtId="0" fontId="33" fillId="51" borderId="43" xfId="42" applyFont="1" applyFill="1" applyBorder="1" applyAlignment="1">
      <alignment horizontal="right" vertical="center" wrapText="1"/>
    </xf>
    <xf numFmtId="0" fontId="33" fillId="51" borderId="0" xfId="42" applyFont="1" applyFill="1" applyAlignment="1">
      <alignment horizontal="right" vertical="center" wrapText="1"/>
    </xf>
    <xf numFmtId="0" fontId="33" fillId="51" borderId="44" xfId="42" applyFont="1" applyFill="1" applyBorder="1" applyAlignment="1">
      <alignment horizontal="right" vertical="center" wrapText="1"/>
    </xf>
    <xf numFmtId="2" fontId="33" fillId="51" borderId="43" xfId="42" applyNumberFormat="1" applyFont="1" applyFill="1" applyBorder="1" applyAlignment="1">
      <alignment horizontal="right" vertical="center" wrapText="1"/>
    </xf>
    <xf numFmtId="2" fontId="33" fillId="51" borderId="0" xfId="42" applyNumberFormat="1" applyFont="1" applyFill="1" applyAlignment="1">
      <alignment horizontal="right" vertical="center" wrapText="1"/>
    </xf>
    <xf numFmtId="2" fontId="33" fillId="51" borderId="44" xfId="42" applyNumberFormat="1" applyFont="1" applyFill="1" applyBorder="1" applyAlignment="1">
      <alignment horizontal="right" vertical="center" wrapText="1"/>
    </xf>
    <xf numFmtId="4" fontId="33" fillId="51" borderId="43" xfId="42" applyNumberFormat="1" applyFont="1" applyFill="1" applyBorder="1" applyAlignment="1" applyProtection="1">
      <alignment horizontal="right" vertical="top" wrapText="1"/>
      <protection locked="0"/>
    </xf>
    <xf numFmtId="4" fontId="33" fillId="51" borderId="0" xfId="42" applyNumberFormat="1" applyFont="1" applyFill="1" applyAlignment="1" applyProtection="1">
      <alignment horizontal="right" vertical="top" wrapText="1"/>
      <protection locked="0"/>
    </xf>
    <xf numFmtId="4" fontId="33" fillId="51" borderId="44" xfId="42" applyNumberFormat="1" applyFont="1" applyFill="1" applyBorder="1" applyAlignment="1" applyProtection="1">
      <alignment horizontal="right" vertical="top" wrapText="1"/>
      <protection locked="0"/>
    </xf>
    <xf numFmtId="0" fontId="33" fillId="51" borderId="48" xfId="42" applyFont="1" applyFill="1" applyBorder="1" applyAlignment="1">
      <alignment horizontal="right" vertical="top" wrapText="1"/>
    </xf>
    <xf numFmtId="0" fontId="33" fillId="51" borderId="3" xfId="42" applyFont="1" applyFill="1" applyBorder="1" applyAlignment="1">
      <alignment horizontal="right" vertical="top" wrapText="1"/>
    </xf>
    <xf numFmtId="0" fontId="33" fillId="51" borderId="50" xfId="42" applyFont="1" applyFill="1" applyBorder="1" applyAlignment="1">
      <alignment horizontal="right" vertical="top" wrapText="1"/>
    </xf>
    <xf numFmtId="0" fontId="33" fillId="51" borderId="48" xfId="42" applyFont="1" applyFill="1" applyBorder="1" applyAlignment="1">
      <alignment horizontal="center" vertical="top" wrapText="1"/>
    </xf>
    <xf numFmtId="0" fontId="33" fillId="51" borderId="3" xfId="42" applyFont="1" applyFill="1" applyBorder="1" applyAlignment="1">
      <alignment horizontal="center" vertical="top" wrapText="1"/>
    </xf>
    <xf numFmtId="0" fontId="33" fillId="51" borderId="50" xfId="42" applyFont="1" applyFill="1" applyBorder="1" applyAlignment="1">
      <alignment horizontal="center" vertical="top" wrapText="1"/>
    </xf>
    <xf numFmtId="184" fontId="33" fillId="51" borderId="48" xfId="42" applyNumberFormat="1" applyFont="1" applyFill="1" applyBorder="1" applyAlignment="1">
      <alignment horizontal="right" vertical="top" wrapText="1"/>
    </xf>
    <xf numFmtId="184" fontId="33" fillId="51" borderId="3" xfId="42" applyNumberFormat="1" applyFont="1" applyFill="1" applyBorder="1" applyAlignment="1">
      <alignment horizontal="right" vertical="top" wrapText="1"/>
    </xf>
    <xf numFmtId="184" fontId="33" fillId="51" borderId="49" xfId="42" applyNumberFormat="1" applyFont="1" applyFill="1" applyBorder="1" applyAlignment="1">
      <alignment horizontal="right" vertical="top" wrapText="1"/>
    </xf>
    <xf numFmtId="172" fontId="33" fillId="51" borderId="49" xfId="42" applyNumberFormat="1" applyFont="1" applyFill="1" applyBorder="1" applyAlignment="1">
      <alignment horizontal="right" vertical="top" wrapText="1"/>
    </xf>
    <xf numFmtId="49" fontId="33" fillId="51" borderId="49" xfId="42" applyNumberFormat="1" applyFont="1" applyFill="1" applyBorder="1" applyAlignment="1">
      <alignment horizontal="center" vertical="top" wrapText="1"/>
    </xf>
    <xf numFmtId="14" fontId="1" fillId="51" borderId="109" xfId="0" applyNumberFormat="1" applyFont="1" applyFill="1" applyBorder="1" applyAlignment="1">
      <alignment horizontal="center" vertical="center"/>
    </xf>
    <xf numFmtId="171" fontId="33" fillId="51" borderId="43" xfId="42" applyNumberFormat="1" applyFont="1" applyFill="1" applyBorder="1" applyAlignment="1">
      <alignment horizontal="right" vertical="top" wrapText="1"/>
    </xf>
    <xf numFmtId="171" fontId="33" fillId="51" borderId="0" xfId="42" applyNumberFormat="1" applyFont="1" applyFill="1" applyAlignment="1">
      <alignment horizontal="right" vertical="top" wrapText="1"/>
    </xf>
    <xf numFmtId="171" fontId="33" fillId="51" borderId="46" xfId="42" applyNumberFormat="1" applyFont="1" applyFill="1" applyBorder="1" applyAlignment="1">
      <alignment horizontal="right" vertical="top" wrapText="1"/>
    </xf>
    <xf numFmtId="49" fontId="33" fillId="51" borderId="43" xfId="42" applyNumberFormat="1" applyFont="1" applyFill="1" applyBorder="1" applyAlignment="1">
      <alignment horizontal="center" vertical="top" wrapText="1"/>
    </xf>
    <xf numFmtId="0" fontId="37" fillId="51" borderId="19" xfId="0" applyFont="1" applyFill="1" applyBorder="1" applyAlignment="1">
      <alignment horizontal="left" vertical="center"/>
    </xf>
    <xf numFmtId="0" fontId="37" fillId="51" borderId="19" xfId="0" applyFont="1" applyFill="1" applyBorder="1" applyAlignment="1">
      <alignment vertical="center" wrapText="1"/>
    </xf>
    <xf numFmtId="164" fontId="1" fillId="51" borderId="109" xfId="0" applyNumberFormat="1" applyFont="1" applyFill="1" applyBorder="1" applyAlignment="1">
      <alignment horizontal="center" vertical="center"/>
    </xf>
    <xf numFmtId="0" fontId="1" fillId="51" borderId="109" xfId="42" applyFont="1" applyFill="1" applyBorder="1" applyAlignment="1">
      <alignment horizontal="right" vertical="center" wrapText="1"/>
    </xf>
    <xf numFmtId="0" fontId="33" fillId="51" borderId="109" xfId="42" applyFont="1" applyFill="1" applyBorder="1" applyAlignment="1">
      <alignment horizontal="center" vertical="top" wrapText="1"/>
    </xf>
    <xf numFmtId="0" fontId="34" fillId="51" borderId="109" xfId="42" applyFont="1" applyFill="1" applyBorder="1" applyAlignment="1">
      <alignment horizontal="center" vertical="center" wrapText="1"/>
    </xf>
    <xf numFmtId="0" fontId="1" fillId="51" borderId="109" xfId="0" applyFont="1" applyFill="1" applyBorder="1" applyAlignment="1">
      <alignment horizontal="right" vertical="center" wrapText="1"/>
    </xf>
    <xf numFmtId="3" fontId="34" fillId="51" borderId="109" xfId="42" applyNumberFormat="1" applyFont="1" applyFill="1" applyBorder="1" applyAlignment="1">
      <alignment horizontal="center" vertical="center" wrapText="1"/>
    </xf>
    <xf numFmtId="0" fontId="0" fillId="11" borderId="0" xfId="0" applyFill="1"/>
    <xf numFmtId="0" fontId="157" fillId="0" borderId="0" xfId="63" applyNumberFormat="1" applyFont="1" applyFill="1" applyAlignment="1">
      <alignment horizontal="left" vertical="center"/>
    </xf>
    <xf numFmtId="0" fontId="158" fillId="0" borderId="0" xfId="64" applyFont="1" applyFill="1" applyAlignment="1">
      <alignment horizontal="left" vertical="center"/>
    </xf>
    <xf numFmtId="0" fontId="33" fillId="0" borderId="0" xfId="65" applyFont="1" applyFill="1" applyAlignment="1">
      <alignment horizontal="left" vertical="center"/>
    </xf>
    <xf numFmtId="0" fontId="33" fillId="0" borderId="0" xfId="0" applyFont="1" applyAlignment="1">
      <alignment horizontal="left" vertical="center"/>
    </xf>
    <xf numFmtId="165" fontId="33" fillId="0" borderId="0" xfId="0" applyNumberFormat="1" applyFont="1" applyAlignment="1">
      <alignment horizontal="left" vertical="center"/>
    </xf>
    <xf numFmtId="0" fontId="183" fillId="0" borderId="0" xfId="63" applyNumberFormat="1" applyFont="1" applyFill="1" applyAlignment="1">
      <alignment horizontal="left" vertical="center"/>
    </xf>
    <xf numFmtId="0" fontId="188" fillId="0" borderId="0" xfId="64" applyFont="1" applyFill="1" applyAlignment="1">
      <alignment horizontal="left" vertical="center"/>
    </xf>
    <xf numFmtId="0" fontId="40" fillId="0" borderId="0" xfId="65" applyFont="1" applyFill="1" applyAlignment="1">
      <alignment horizontal="left" vertical="center"/>
    </xf>
    <xf numFmtId="0" fontId="40" fillId="0" borderId="0" xfId="0" applyFont="1" applyAlignment="1">
      <alignment horizontal="left" vertical="center"/>
    </xf>
    <xf numFmtId="165" fontId="40" fillId="0" borderId="0" xfId="0" applyNumberFormat="1" applyFont="1" applyAlignment="1">
      <alignment horizontal="left" vertical="center"/>
    </xf>
    <xf numFmtId="0" fontId="5" fillId="0" borderId="0" xfId="0" applyFont="1" applyAlignment="1">
      <alignment horizontal="left" vertical="center"/>
    </xf>
    <xf numFmtId="0" fontId="40" fillId="5" borderId="0" xfId="0" applyFont="1" applyFill="1"/>
    <xf numFmtId="0" fontId="40" fillId="0" borderId="0" xfId="0" applyFont="1"/>
    <xf numFmtId="0" fontId="188" fillId="0" borderId="0" xfId="0" applyFont="1"/>
    <xf numFmtId="0" fontId="5" fillId="5" borderId="0" xfId="0" applyFont="1" applyFill="1" applyAlignment="1">
      <alignment horizontal="right"/>
    </xf>
    <xf numFmtId="165" fontId="40" fillId="5" borderId="0" xfId="0" applyNumberFormat="1" applyFont="1" applyFill="1"/>
    <xf numFmtId="9" fontId="40" fillId="5" borderId="0" xfId="35" applyFont="1" applyFill="1" applyAlignment="1">
      <alignment vertical="center"/>
    </xf>
    <xf numFmtId="0" fontId="5" fillId="5" borderId="0" xfId="0" applyFont="1" applyFill="1"/>
    <xf numFmtId="0" fontId="40" fillId="0" borderId="0" xfId="0" applyFont="1" applyAlignment="1">
      <alignment vertical="center"/>
    </xf>
    <xf numFmtId="165" fontId="183" fillId="0" borderId="0" xfId="0" applyNumberFormat="1" applyFont="1" applyAlignment="1">
      <alignment horizontal="right" vertical="center"/>
    </xf>
    <xf numFmtId="0" fontId="40" fillId="0" borderId="0" xfId="0" applyFont="1" applyAlignment="1">
      <alignment horizontal="right"/>
    </xf>
    <xf numFmtId="0" fontId="14" fillId="0" borderId="0" xfId="0" applyFont="1"/>
    <xf numFmtId="2" fontId="40" fillId="5" borderId="0" xfId="35" applyNumberFormat="1" applyFont="1" applyFill="1" applyAlignment="1">
      <alignment vertical="center"/>
    </xf>
    <xf numFmtId="174" fontId="124" fillId="7" borderId="0" xfId="0" applyNumberFormat="1" applyFont="1" applyFill="1" applyAlignment="1">
      <alignment vertical="center"/>
    </xf>
    <xf numFmtId="165" fontId="124" fillId="0" borderId="0" xfId="0" applyNumberFormat="1" applyFont="1" applyAlignment="1">
      <alignment horizontal="right" vertical="center"/>
    </xf>
    <xf numFmtId="0" fontId="7" fillId="5" borderId="0" xfId="0" applyFont="1" applyFill="1" applyAlignment="1">
      <alignment vertical="center"/>
    </xf>
    <xf numFmtId="0" fontId="137" fillId="5" borderId="120" xfId="67" applyNumberFormat="1" applyFont="1" applyFill="1" applyBorder="1" applyAlignment="1">
      <alignment vertical="center"/>
    </xf>
    <xf numFmtId="0" fontId="60" fillId="5" borderId="121" xfId="67" applyNumberFormat="1" applyFill="1" applyBorder="1" applyAlignment="1">
      <alignment vertical="center"/>
    </xf>
    <xf numFmtId="0" fontId="132" fillId="5" borderId="0" xfId="67" applyNumberFormat="1" applyFont="1" applyFill="1" applyAlignment="1">
      <alignment vertical="center"/>
    </xf>
    <xf numFmtId="0" fontId="7" fillId="5" borderId="120" xfId="0" applyFont="1" applyFill="1" applyBorder="1" applyAlignment="1">
      <alignment vertical="center"/>
    </xf>
    <xf numFmtId="0" fontId="7" fillId="5" borderId="121" xfId="0" applyFont="1" applyFill="1" applyBorder="1" applyAlignment="1">
      <alignment vertical="center"/>
    </xf>
    <xf numFmtId="0" fontId="1" fillId="5" borderId="0" xfId="0" applyFont="1" applyFill="1" applyAlignment="1">
      <alignment vertical="center" wrapText="1"/>
    </xf>
    <xf numFmtId="0" fontId="34" fillId="5" borderId="0" xfId="67" applyNumberFormat="1" applyFont="1" applyFill="1" applyAlignment="1">
      <alignment vertical="center"/>
    </xf>
    <xf numFmtId="0" fontId="34" fillId="5" borderId="0" xfId="67" applyNumberFormat="1" applyFont="1" applyFill="1" applyAlignment="1">
      <alignment vertical="center" wrapText="1"/>
    </xf>
    <xf numFmtId="0" fontId="35" fillId="5" borderId="0" xfId="0" applyFont="1" applyFill="1" applyAlignment="1">
      <alignment vertical="center" wrapText="1"/>
    </xf>
    <xf numFmtId="0" fontId="34" fillId="5" borderId="0" xfId="0" applyFont="1" applyFill="1" applyAlignment="1">
      <alignment vertical="center" wrapText="1"/>
    </xf>
    <xf numFmtId="0" fontId="34" fillId="0" borderId="0" xfId="0" applyFont="1" applyAlignment="1">
      <alignment vertical="center"/>
    </xf>
    <xf numFmtId="0" fontId="33" fillId="58" borderId="90" xfId="0" applyFont="1" applyFill="1" applyBorder="1" applyAlignment="1">
      <alignment horizontal="center" vertical="center" wrapText="1"/>
    </xf>
    <xf numFmtId="0" fontId="33" fillId="58" borderId="101" xfId="0" applyFont="1" applyFill="1" applyBorder="1" applyAlignment="1">
      <alignment horizontal="center" vertical="center" wrapText="1"/>
    </xf>
    <xf numFmtId="0" fontId="33" fillId="59" borderId="90" xfId="0" applyFont="1" applyFill="1" applyBorder="1" applyAlignment="1">
      <alignment horizontal="center" vertical="center" wrapText="1"/>
    </xf>
    <xf numFmtId="0" fontId="33" fillId="60" borderId="90" xfId="0" applyFont="1" applyFill="1" applyBorder="1" applyAlignment="1">
      <alignment horizontal="center" vertical="center" wrapText="1"/>
    </xf>
    <xf numFmtId="2" fontId="40" fillId="58" borderId="90" xfId="0" applyNumberFormat="1" applyFont="1" applyFill="1" applyBorder="1" applyAlignment="1" applyProtection="1">
      <alignment horizontal="center" vertical="center" wrapText="1"/>
      <protection locked="0"/>
    </xf>
    <xf numFmtId="0" fontId="40" fillId="58" borderId="90" xfId="0" applyFont="1" applyFill="1" applyBorder="1" applyAlignment="1" applyProtection="1">
      <alignment horizontal="center" vertical="center" wrapText="1"/>
      <protection locked="0"/>
    </xf>
    <xf numFmtId="172" fontId="40" fillId="58" borderId="90" xfId="0" applyNumberFormat="1" applyFont="1" applyFill="1" applyBorder="1" applyAlignment="1" applyProtection="1">
      <alignment horizontal="center" vertical="center" wrapText="1"/>
      <protection locked="0"/>
    </xf>
    <xf numFmtId="0" fontId="40" fillId="58" borderId="90" xfId="35" applyNumberFormat="1" applyFont="1" applyFill="1" applyBorder="1" applyAlignment="1" applyProtection="1">
      <alignment horizontal="center" vertical="center" wrapText="1"/>
      <protection locked="0"/>
    </xf>
    <xf numFmtId="172" fontId="40" fillId="58" borderId="90" xfId="0" quotePrefix="1" applyNumberFormat="1" applyFont="1" applyFill="1" applyBorder="1" applyAlignment="1" applyProtection="1">
      <alignment horizontal="center" vertical="center" wrapText="1"/>
      <protection locked="0"/>
    </xf>
    <xf numFmtId="169" fontId="33" fillId="59" borderId="90" xfId="0" applyNumberFormat="1" applyFont="1" applyFill="1" applyBorder="1" applyAlignment="1">
      <alignment horizontal="center" vertical="center" wrapText="1"/>
    </xf>
    <xf numFmtId="164" fontId="33" fillId="59" borderId="90" xfId="0" applyNumberFormat="1" applyFont="1" applyFill="1" applyBorder="1" applyAlignment="1">
      <alignment horizontal="center" vertical="center" wrapText="1"/>
    </xf>
    <xf numFmtId="2" fontId="33" fillId="59" borderId="90" xfId="35" applyNumberFormat="1" applyFont="1" applyFill="1" applyBorder="1" applyAlignment="1">
      <alignment horizontal="center" vertical="center" wrapText="1"/>
    </xf>
    <xf numFmtId="165" fontId="33" fillId="59" borderId="90" xfId="0" quotePrefix="1" applyNumberFormat="1" applyFont="1" applyFill="1" applyBorder="1" applyAlignment="1">
      <alignment horizontal="center" vertical="center" wrapText="1"/>
    </xf>
    <xf numFmtId="165" fontId="33" fillId="59" borderId="90" xfId="0" applyNumberFormat="1" applyFont="1" applyFill="1" applyBorder="1" applyAlignment="1">
      <alignment horizontal="center" vertical="center" wrapText="1"/>
    </xf>
    <xf numFmtId="2" fontId="33" fillId="59" borderId="90" xfId="0" applyNumberFormat="1" applyFont="1" applyFill="1" applyBorder="1" applyAlignment="1">
      <alignment horizontal="center" vertical="center" wrapText="1"/>
    </xf>
    <xf numFmtId="165" fontId="40" fillId="58" borderId="90" xfId="0" applyNumberFormat="1" applyFont="1" applyFill="1" applyBorder="1" applyAlignment="1" applyProtection="1">
      <alignment horizontal="center" vertical="center" wrapText="1"/>
      <protection locked="0"/>
    </xf>
    <xf numFmtId="2" fontId="40" fillId="58" borderId="90" xfId="35" applyNumberFormat="1" applyFont="1" applyFill="1" applyBorder="1" applyAlignment="1" applyProtection="1">
      <alignment horizontal="center" vertical="center" wrapText="1"/>
      <protection locked="0"/>
    </xf>
    <xf numFmtId="1" fontId="40" fillId="60" borderId="90" xfId="0" applyNumberFormat="1" applyFont="1" applyFill="1" applyBorder="1" applyAlignment="1">
      <alignment horizontal="center" vertical="center"/>
    </xf>
    <xf numFmtId="1" fontId="40" fillId="60" borderId="90" xfId="0" quotePrefix="1" applyNumberFormat="1" applyFont="1" applyFill="1" applyBorder="1" applyAlignment="1">
      <alignment horizontal="center" vertical="center"/>
    </xf>
    <xf numFmtId="2" fontId="33" fillId="60" borderId="90" xfId="0" applyNumberFormat="1" applyFont="1" applyFill="1" applyBorder="1" applyAlignment="1">
      <alignment horizontal="center" vertical="center" wrapText="1"/>
    </xf>
    <xf numFmtId="165" fontId="33" fillId="60" borderId="90" xfId="0" applyNumberFormat="1" applyFont="1" applyFill="1" applyBorder="1" applyAlignment="1">
      <alignment horizontal="center" vertical="center" wrapText="1"/>
    </xf>
    <xf numFmtId="1" fontId="40" fillId="58" borderId="90" xfId="0" applyNumberFormat="1" applyFont="1" applyFill="1" applyBorder="1" applyAlignment="1" applyProtection="1">
      <alignment horizontal="center" vertical="center" wrapText="1"/>
      <protection locked="0"/>
    </xf>
    <xf numFmtId="3" fontId="40" fillId="58" borderId="90" xfId="0" applyNumberFormat="1" applyFont="1" applyFill="1" applyBorder="1" applyAlignment="1" applyProtection="1">
      <alignment horizontal="center" vertical="center" wrapText="1"/>
      <protection locked="0"/>
    </xf>
    <xf numFmtId="165" fontId="33" fillId="58" borderId="90" xfId="0" applyNumberFormat="1" applyFont="1" applyFill="1" applyBorder="1" applyAlignment="1" applyProtection="1">
      <alignment horizontal="center" vertical="center" wrapText="1"/>
      <protection locked="0"/>
    </xf>
    <xf numFmtId="165" fontId="33" fillId="58" borderId="101" xfId="0" applyNumberFormat="1" applyFont="1" applyFill="1" applyBorder="1" applyAlignment="1" applyProtection="1">
      <alignment horizontal="center" vertical="center" wrapText="1"/>
      <protection locked="0"/>
    </xf>
    <xf numFmtId="10" fontId="33" fillId="58" borderId="90" xfId="0" applyNumberFormat="1" applyFont="1" applyFill="1" applyBorder="1" applyAlignment="1" applyProtection="1">
      <alignment horizontal="center" vertical="center"/>
      <protection locked="0"/>
    </xf>
    <xf numFmtId="0" fontId="33" fillId="58" borderId="90" xfId="0" applyFont="1" applyFill="1" applyBorder="1" applyAlignment="1" applyProtection="1">
      <alignment horizontal="left" vertical="center"/>
      <protection locked="0"/>
    </xf>
    <xf numFmtId="2" fontId="33" fillId="60" borderId="99" xfId="0" applyNumberFormat="1" applyFont="1" applyFill="1" applyBorder="1" applyAlignment="1">
      <alignment horizontal="center" vertical="center"/>
    </xf>
    <xf numFmtId="10" fontId="33" fillId="60" borderId="90" xfId="35" applyNumberFormat="1" applyFont="1" applyFill="1" applyBorder="1" applyAlignment="1">
      <alignment horizontal="center" vertical="center"/>
    </xf>
    <xf numFmtId="2" fontId="33" fillId="60" borderId="90" xfId="0" applyNumberFormat="1" applyFont="1" applyFill="1" applyBorder="1" applyAlignment="1">
      <alignment horizontal="center" vertical="center"/>
    </xf>
    <xf numFmtId="164" fontId="40" fillId="58" borderId="90" xfId="35" applyNumberFormat="1" applyFont="1" applyFill="1" applyBorder="1" applyAlignment="1" applyProtection="1">
      <alignment horizontal="center" vertical="center" wrapText="1"/>
      <protection locked="0"/>
    </xf>
    <xf numFmtId="1" fontId="40" fillId="60" borderId="90" xfId="0" applyNumberFormat="1" applyFont="1" applyFill="1" applyBorder="1" applyAlignment="1">
      <alignment horizontal="center" vertical="center" wrapText="1"/>
    </xf>
    <xf numFmtId="3" fontId="33" fillId="58" borderId="102" xfId="0" applyNumberFormat="1" applyFont="1" applyFill="1" applyBorder="1" applyAlignment="1" applyProtection="1">
      <alignment horizontal="center" vertical="center"/>
      <protection locked="0"/>
    </xf>
    <xf numFmtId="4" fontId="33" fillId="58" borderId="101" xfId="0" applyNumberFormat="1" applyFont="1" applyFill="1" applyBorder="1" applyAlignment="1" applyProtection="1">
      <alignment horizontal="center" vertical="center"/>
      <protection locked="0"/>
    </xf>
    <xf numFmtId="4" fontId="33" fillId="58" borderId="108" xfId="0" applyNumberFormat="1" applyFont="1" applyFill="1" applyBorder="1" applyAlignment="1" applyProtection="1">
      <alignment horizontal="center" vertical="center"/>
      <protection locked="0"/>
    </xf>
    <xf numFmtId="164" fontId="40" fillId="58" borderId="90" xfId="0" applyNumberFormat="1" applyFont="1" applyFill="1" applyBorder="1" applyAlignment="1" applyProtection="1">
      <alignment horizontal="center" vertical="center"/>
      <protection locked="0"/>
    </xf>
    <xf numFmtId="164" fontId="33" fillId="58" borderId="116" xfId="0" applyNumberFormat="1" applyFont="1" applyFill="1" applyBorder="1" applyAlignment="1" applyProtection="1">
      <alignment horizontal="center" vertical="center"/>
      <protection locked="0"/>
    </xf>
    <xf numFmtId="164" fontId="33" fillId="58" borderId="98" xfId="0" applyNumberFormat="1" applyFont="1" applyFill="1" applyBorder="1" applyAlignment="1" applyProtection="1">
      <alignment horizontal="center" vertical="center"/>
      <protection locked="0"/>
    </xf>
    <xf numFmtId="164" fontId="33" fillId="58" borderId="101" xfId="0" applyNumberFormat="1" applyFont="1" applyFill="1" applyBorder="1" applyAlignment="1" applyProtection="1">
      <alignment horizontal="center" vertical="center"/>
      <protection locked="0"/>
    </xf>
    <xf numFmtId="4" fontId="33" fillId="58" borderId="101" xfId="0" applyNumberFormat="1" applyFont="1" applyFill="1" applyBorder="1" applyAlignment="1" applyProtection="1">
      <alignment horizontal="center" vertical="center" wrapText="1"/>
      <protection locked="0"/>
    </xf>
    <xf numFmtId="182" fontId="33" fillId="58" borderId="102" xfId="0" applyNumberFormat="1" applyFont="1" applyFill="1" applyBorder="1" applyAlignment="1" applyProtection="1">
      <alignment horizontal="center" vertical="center"/>
      <protection locked="0"/>
    </xf>
    <xf numFmtId="3" fontId="33" fillId="58" borderId="90" xfId="0" applyNumberFormat="1" applyFont="1" applyFill="1" applyBorder="1" applyAlignment="1" applyProtection="1">
      <alignment horizontal="center" vertical="center"/>
      <protection locked="0"/>
    </xf>
    <xf numFmtId="4" fontId="40" fillId="58" borderId="90" xfId="0" applyNumberFormat="1" applyFont="1" applyFill="1" applyBorder="1" applyAlignment="1" applyProtection="1">
      <alignment horizontal="center" vertical="center"/>
      <protection locked="0"/>
    </xf>
    <xf numFmtId="0" fontId="40" fillId="58" borderId="90" xfId="0" applyFont="1" applyFill="1" applyBorder="1" applyAlignment="1" applyProtection="1">
      <alignment horizontal="center" vertical="center"/>
      <protection locked="0"/>
    </xf>
    <xf numFmtId="4" fontId="33" fillId="58" borderId="90" xfId="0" applyNumberFormat="1" applyFont="1" applyFill="1" applyBorder="1" applyAlignment="1" applyProtection="1">
      <alignment horizontal="center" vertical="center"/>
      <protection locked="0"/>
    </xf>
    <xf numFmtId="167" fontId="33" fillId="60" borderId="90" xfId="35" applyNumberFormat="1" applyFont="1" applyFill="1" applyBorder="1" applyAlignment="1">
      <alignment horizontal="center" vertical="center"/>
    </xf>
    <xf numFmtId="169" fontId="33" fillId="60" borderId="90" xfId="0" applyNumberFormat="1" applyFont="1" applyFill="1" applyBorder="1" applyAlignment="1">
      <alignment horizontal="center" vertical="center"/>
    </xf>
    <xf numFmtId="164" fontId="33" fillId="60" borderId="98" xfId="0" applyNumberFormat="1" applyFont="1" applyFill="1" applyBorder="1" applyAlignment="1">
      <alignment horizontal="center" vertical="center"/>
    </xf>
    <xf numFmtId="164" fontId="33" fillId="60" borderId="90" xfId="0" applyNumberFormat="1" applyFont="1" applyFill="1" applyBorder="1" applyAlignment="1">
      <alignment horizontal="center" vertical="center"/>
    </xf>
    <xf numFmtId="3" fontId="33" fillId="60" borderId="102" xfId="0" applyNumberFormat="1" applyFont="1" applyFill="1" applyBorder="1" applyAlignment="1">
      <alignment horizontal="center" vertical="center"/>
    </xf>
    <xf numFmtId="2" fontId="33" fillId="60" borderId="90" xfId="0" quotePrefix="1" applyNumberFormat="1" applyFont="1" applyFill="1" applyBorder="1" applyAlignment="1">
      <alignment horizontal="center" vertical="center"/>
    </xf>
    <xf numFmtId="4" fontId="33" fillId="59" borderId="90" xfId="0" applyNumberFormat="1" applyFont="1" applyFill="1" applyBorder="1" applyAlignment="1">
      <alignment horizontal="center" vertical="center"/>
    </xf>
    <xf numFmtId="164" fontId="33" fillId="59" borderId="108" xfId="0" applyNumberFormat="1" applyFont="1" applyFill="1" applyBorder="1" applyAlignment="1">
      <alignment horizontal="center" vertical="center"/>
    </xf>
    <xf numFmtId="4" fontId="33" fillId="61" borderId="90" xfId="0" applyNumberFormat="1" applyFont="1" applyFill="1" applyBorder="1" applyAlignment="1" applyProtection="1">
      <alignment horizontal="center" vertical="center" wrapText="1"/>
      <protection locked="0"/>
    </xf>
    <xf numFmtId="3" fontId="40" fillId="61" borderId="90" xfId="0" applyNumberFormat="1" applyFont="1" applyFill="1" applyBorder="1" applyAlignment="1" applyProtection="1">
      <alignment horizontal="center" vertical="center" wrapText="1"/>
      <protection locked="0"/>
    </xf>
    <xf numFmtId="2" fontId="40" fillId="61" borderId="90" xfId="0" applyNumberFormat="1" applyFont="1" applyFill="1" applyBorder="1" applyAlignment="1">
      <alignment horizontal="center" vertical="center" wrapText="1"/>
    </xf>
    <xf numFmtId="164" fontId="40" fillId="61" borderId="90" xfId="0" applyNumberFormat="1" applyFont="1" applyFill="1" applyBorder="1" applyAlignment="1" applyProtection="1">
      <alignment horizontal="center" vertical="center" wrapText="1"/>
      <protection locked="0"/>
    </xf>
    <xf numFmtId="164" fontId="40" fillId="61" borderId="90" xfId="0" applyNumberFormat="1" applyFont="1" applyFill="1" applyBorder="1" applyAlignment="1">
      <alignment horizontal="center" vertical="center" wrapText="1"/>
    </xf>
    <xf numFmtId="164" fontId="33" fillId="61" borderId="90" xfId="0" applyNumberFormat="1" applyFont="1" applyFill="1" applyBorder="1" applyAlignment="1" applyProtection="1">
      <alignment horizontal="center" vertical="center" wrapText="1"/>
      <protection locked="0"/>
    </xf>
    <xf numFmtId="4" fontId="33" fillId="59" borderId="90" xfId="0" applyNumberFormat="1" applyFont="1" applyFill="1" applyBorder="1" applyAlignment="1">
      <alignment horizontal="center" vertical="center" wrapText="1"/>
    </xf>
    <xf numFmtId="3" fontId="40" fillId="58" borderId="102" xfId="0" applyNumberFormat="1" applyFont="1" applyFill="1" applyBorder="1" applyAlignment="1" applyProtection="1">
      <alignment horizontal="center" vertical="center" wrapText="1"/>
      <protection locked="0"/>
    </xf>
    <xf numFmtId="4" fontId="33" fillId="58" borderId="95" xfId="0" applyNumberFormat="1" applyFont="1" applyFill="1" applyBorder="1" applyAlignment="1" applyProtection="1">
      <alignment horizontal="center" vertical="center" wrapText="1"/>
      <protection locked="0"/>
    </xf>
    <xf numFmtId="3" fontId="33" fillId="60" borderId="102" xfId="0" applyNumberFormat="1" applyFont="1" applyFill="1" applyBorder="1" applyAlignment="1">
      <alignment horizontal="center" vertical="center" wrapText="1"/>
    </xf>
    <xf numFmtId="4" fontId="33" fillId="58" borderId="90" xfId="0" applyNumberFormat="1" applyFont="1" applyFill="1" applyBorder="1" applyAlignment="1" applyProtection="1">
      <alignment horizontal="center" vertical="center" wrapText="1"/>
      <protection locked="0"/>
    </xf>
    <xf numFmtId="4" fontId="40" fillId="58" borderId="90" xfId="0" applyNumberFormat="1" applyFont="1" applyFill="1" applyBorder="1" applyAlignment="1" applyProtection="1">
      <alignment horizontal="center" vertical="center" wrapText="1"/>
      <protection locked="0"/>
    </xf>
    <xf numFmtId="10" fontId="40" fillId="58" borderId="90" xfId="0" applyNumberFormat="1" applyFont="1" applyFill="1" applyBorder="1" applyAlignment="1" applyProtection="1">
      <alignment horizontal="center" vertical="center" wrapText="1"/>
      <protection locked="0"/>
    </xf>
    <xf numFmtId="10" fontId="33" fillId="60" borderId="90" xfId="35" applyNumberFormat="1" applyFont="1" applyFill="1" applyBorder="1" applyAlignment="1">
      <alignment horizontal="center" vertical="center" wrapText="1"/>
    </xf>
    <xf numFmtId="0" fontId="0" fillId="58" borderId="105" xfId="0" applyFill="1" applyBorder="1" applyAlignment="1" applyProtection="1">
      <alignment horizontal="center" vertical="center"/>
      <protection locked="0"/>
    </xf>
    <xf numFmtId="170" fontId="122" fillId="51" borderId="44" xfId="42" applyNumberFormat="1" applyFont="1" applyFill="1" applyBorder="1" applyAlignment="1">
      <alignment horizontal="right" vertical="top" wrapText="1"/>
    </xf>
    <xf numFmtId="165" fontId="42" fillId="0" borderId="0" xfId="0" quotePrefix="1" applyNumberFormat="1" applyFont="1" applyAlignment="1">
      <alignment horizontal="right" vertical="center"/>
    </xf>
    <xf numFmtId="14" fontId="1" fillId="51" borderId="109" xfId="0" applyNumberFormat="1" applyFont="1" applyFill="1" applyBorder="1" applyAlignment="1">
      <alignment horizontal="right" vertical="center"/>
    </xf>
    <xf numFmtId="0" fontId="34" fillId="11" borderId="110" xfId="42" applyFont="1" applyFill="1" applyBorder="1" applyAlignment="1">
      <alignment horizontal="left" vertical="center" wrapText="1"/>
    </xf>
    <xf numFmtId="0" fontId="33" fillId="11" borderId="43" xfId="42" applyFont="1" applyFill="1" applyBorder="1" applyAlignment="1">
      <alignment horizontal="left" vertical="center" wrapText="1"/>
    </xf>
    <xf numFmtId="0" fontId="1" fillId="23" borderId="109" xfId="0" applyFont="1" applyFill="1" applyBorder="1" applyAlignment="1">
      <alignment horizontal="left" vertical="center"/>
    </xf>
    <xf numFmtId="0" fontId="1" fillId="51" borderId="0" xfId="0" applyFont="1" applyFill="1" applyAlignment="1">
      <alignment horizontal="left" vertical="center"/>
    </xf>
    <xf numFmtId="0" fontId="1" fillId="51" borderId="109" xfId="0" applyFont="1" applyFill="1" applyBorder="1" applyAlignment="1">
      <alignment horizontal="left" vertical="center" wrapText="1"/>
    </xf>
    <xf numFmtId="0" fontId="1" fillId="51" borderId="0" xfId="0" applyFont="1" applyFill="1" applyAlignment="1">
      <alignment horizontal="left" vertical="center" wrapText="1"/>
    </xf>
    <xf numFmtId="0" fontId="141" fillId="8" borderId="0" xfId="68" quotePrefix="1" applyFont="1" applyFill="1"/>
    <xf numFmtId="0" fontId="40" fillId="58" borderId="90" xfId="35" quotePrefix="1" applyNumberFormat="1" applyFont="1" applyFill="1" applyBorder="1" applyAlignment="1" applyProtection="1">
      <alignment horizontal="center" vertical="center" wrapText="1"/>
      <protection locked="0"/>
    </xf>
    <xf numFmtId="0" fontId="7" fillId="5" borderId="0" xfId="0" applyFont="1" applyFill="1" applyAlignment="1">
      <alignment horizontal="left"/>
    </xf>
    <xf numFmtId="0" fontId="1" fillId="5" borderId="109" xfId="0" applyFont="1" applyFill="1" applyBorder="1" applyAlignment="1">
      <alignment horizontal="center" vertical="center"/>
    </xf>
    <xf numFmtId="0" fontId="1" fillId="5" borderId="109" xfId="0" applyFont="1" applyFill="1" applyBorder="1" applyAlignment="1">
      <alignment vertical="center"/>
    </xf>
    <xf numFmtId="0" fontId="1" fillId="5" borderId="109" xfId="0" applyFont="1" applyFill="1" applyBorder="1" applyAlignment="1">
      <alignment vertical="center" wrapText="1"/>
    </xf>
    <xf numFmtId="0" fontId="1" fillId="5" borderId="109" xfId="0" applyFont="1" applyFill="1" applyBorder="1" applyAlignment="1">
      <alignment horizontal="center" vertical="center" wrapText="1"/>
    </xf>
    <xf numFmtId="14" fontId="1" fillId="5" borderId="109" xfId="0" applyNumberFormat="1" applyFont="1" applyFill="1" applyBorder="1" applyAlignment="1">
      <alignment vertical="center"/>
    </xf>
    <xf numFmtId="0" fontId="1" fillId="62" borderId="109" xfId="0" applyFont="1" applyFill="1" applyBorder="1" applyAlignment="1">
      <alignment horizontal="center" vertical="center"/>
    </xf>
    <xf numFmtId="0" fontId="1" fillId="62" borderId="109" xfId="0" applyFont="1" applyFill="1" applyBorder="1" applyAlignment="1">
      <alignment vertical="center"/>
    </xf>
    <xf numFmtId="0" fontId="1" fillId="62" borderId="109" xfId="0" applyFont="1" applyFill="1" applyBorder="1" applyAlignment="1">
      <alignment vertical="center" wrapText="1"/>
    </xf>
    <xf numFmtId="0" fontId="1" fillId="62" borderId="109" xfId="0" applyFont="1" applyFill="1" applyBorder="1" applyAlignment="1">
      <alignment horizontal="center" vertical="center" wrapText="1"/>
    </xf>
    <xf numFmtId="14" fontId="1" fillId="62" borderId="109" xfId="0" applyNumberFormat="1" applyFont="1" applyFill="1" applyBorder="1" applyAlignment="1">
      <alignment vertical="center"/>
    </xf>
    <xf numFmtId="0" fontId="29" fillId="62" borderId="0" xfId="0" applyFont="1" applyFill="1" applyAlignment="1">
      <alignment horizontal="center"/>
    </xf>
    <xf numFmtId="0" fontId="33" fillId="62" borderId="0" xfId="42" applyFont="1" applyFill="1" applyAlignment="1">
      <alignment horizontal="right" vertical="top" wrapText="1"/>
    </xf>
    <xf numFmtId="0" fontId="1" fillId="62" borderId="109" xfId="0" applyFont="1" applyFill="1" applyBorder="1" applyAlignment="1">
      <alignment horizontal="right" vertical="center" wrapText="1"/>
    </xf>
    <xf numFmtId="14" fontId="1" fillId="62" borderId="109" xfId="0" applyNumberFormat="1" applyFont="1" applyFill="1" applyBorder="1" applyAlignment="1">
      <alignment horizontal="right" vertical="center"/>
    </xf>
    <xf numFmtId="0" fontId="33" fillId="62" borderId="43" xfId="42" applyFont="1" applyFill="1" applyBorder="1" applyAlignment="1">
      <alignment horizontal="center" vertical="top" wrapText="1"/>
    </xf>
    <xf numFmtId="0" fontId="33" fillId="62" borderId="0" xfId="42" applyFont="1" applyFill="1" applyAlignment="1">
      <alignment horizontal="center" vertical="top" wrapText="1"/>
    </xf>
    <xf numFmtId="4" fontId="122" fillId="63" borderId="44" xfId="42" applyNumberFormat="1" applyFont="1" applyFill="1" applyBorder="1" applyAlignment="1">
      <alignment horizontal="right" vertical="top" wrapText="1"/>
    </xf>
    <xf numFmtId="0" fontId="33" fillId="63" borderId="43" xfId="42" applyFont="1" applyFill="1" applyBorder="1" applyAlignment="1">
      <alignment horizontal="center" vertical="top" wrapText="1"/>
    </xf>
    <xf numFmtId="0" fontId="33" fillId="63" borderId="0" xfId="42" applyFont="1" applyFill="1" applyAlignment="1">
      <alignment horizontal="center" vertical="top" wrapText="1"/>
    </xf>
    <xf numFmtId="0" fontId="1" fillId="63" borderId="109" xfId="0" applyFont="1" applyFill="1" applyBorder="1" applyAlignment="1">
      <alignment horizontal="center" vertical="center"/>
    </xf>
    <xf numFmtId="0" fontId="1" fillId="63" borderId="109" xfId="0" applyFont="1" applyFill="1" applyBorder="1" applyAlignment="1">
      <alignment vertical="center"/>
    </xf>
    <xf numFmtId="0" fontId="1" fillId="63" borderId="109" xfId="0" applyFont="1" applyFill="1" applyBorder="1" applyAlignment="1">
      <alignment vertical="center" wrapText="1"/>
    </xf>
    <xf numFmtId="0" fontId="1" fillId="63" borderId="109" xfId="0" applyFont="1" applyFill="1" applyBorder="1" applyAlignment="1">
      <alignment horizontal="center" vertical="center" wrapText="1"/>
    </xf>
    <xf numFmtId="14" fontId="1" fillId="63" borderId="109" xfId="0" applyNumberFormat="1" applyFont="1" applyFill="1" applyBorder="1" applyAlignment="1">
      <alignment vertical="center"/>
    </xf>
    <xf numFmtId="169" fontId="33" fillId="63" borderId="43" xfId="42" applyNumberFormat="1" applyFont="1" applyFill="1" applyBorder="1" applyAlignment="1">
      <alignment horizontal="center" vertical="top" wrapText="1"/>
    </xf>
    <xf numFmtId="169" fontId="33" fillId="63" borderId="0" xfId="42" applyNumberFormat="1" applyFont="1" applyFill="1" applyAlignment="1">
      <alignment horizontal="center" vertical="top" wrapText="1"/>
    </xf>
    <xf numFmtId="0" fontId="32" fillId="63" borderId="28" xfId="42" applyFont="1" applyFill="1" applyBorder="1" applyAlignment="1">
      <alignment horizontal="left" vertical="top" wrapText="1"/>
    </xf>
    <xf numFmtId="0" fontId="32" fillId="63" borderId="0" xfId="42" applyFont="1" applyFill="1" applyAlignment="1">
      <alignment horizontal="left" vertical="top" wrapText="1"/>
    </xf>
    <xf numFmtId="0" fontId="32" fillId="63" borderId="43" xfId="42" applyFont="1" applyFill="1" applyBorder="1" applyAlignment="1">
      <alignment horizontal="center" vertical="top" wrapText="1"/>
    </xf>
    <xf numFmtId="0" fontId="32" fillId="63" borderId="44" xfId="42" applyFont="1" applyFill="1" applyBorder="1" applyAlignment="1">
      <alignment horizontal="center" vertical="top" wrapText="1"/>
    </xf>
    <xf numFmtId="0" fontId="32" fillId="63" borderId="46" xfId="42" applyFont="1" applyFill="1" applyBorder="1" applyAlignment="1">
      <alignment horizontal="left" vertical="top" wrapText="1"/>
    </xf>
    <xf numFmtId="0" fontId="32" fillId="63" borderId="44" xfId="42" applyFont="1" applyFill="1" applyBorder="1" applyAlignment="1">
      <alignment horizontal="left" vertical="top" wrapText="1"/>
    </xf>
    <xf numFmtId="167" fontId="32" fillId="63" borderId="43" xfId="42" applyNumberFormat="1" applyFont="1" applyFill="1" applyBorder="1" applyAlignment="1">
      <alignment horizontal="right" vertical="top" wrapText="1"/>
    </xf>
    <xf numFmtId="167" fontId="32" fillId="63" borderId="0" xfId="42" applyNumberFormat="1" applyFont="1" applyFill="1" applyAlignment="1">
      <alignment horizontal="right" vertical="top" wrapText="1"/>
    </xf>
    <xf numFmtId="167" fontId="32" fillId="63" borderId="44" xfId="42" applyNumberFormat="1" applyFont="1" applyFill="1" applyBorder="1" applyAlignment="1">
      <alignment horizontal="right" vertical="top" wrapText="1"/>
    </xf>
    <xf numFmtId="167" fontId="173" fillId="63" borderId="46" xfId="42" applyNumberFormat="1" applyFont="1" applyFill="1" applyBorder="1" applyAlignment="1">
      <alignment horizontal="right" vertical="top" wrapText="1"/>
    </xf>
    <xf numFmtId="0" fontId="32" fillId="63" borderId="0" xfId="42" applyFont="1" applyFill="1" applyAlignment="1">
      <alignment horizontal="right" vertical="top" wrapText="1"/>
    </xf>
    <xf numFmtId="3" fontId="181" fillId="63" borderId="44" xfId="42" applyNumberFormat="1" applyFont="1" applyFill="1" applyBorder="1" applyAlignment="1">
      <alignment horizontal="right" vertical="top" wrapText="1"/>
    </xf>
    <xf numFmtId="0" fontId="32" fillId="63" borderId="0" xfId="42" applyFont="1" applyFill="1" applyAlignment="1">
      <alignment horizontal="center" vertical="top" wrapText="1"/>
    </xf>
    <xf numFmtId="0" fontId="32" fillId="63" borderId="46" xfId="42" applyFont="1" applyFill="1" applyBorder="1" applyAlignment="1">
      <alignment horizontal="center" vertical="top" wrapText="1"/>
    </xf>
    <xf numFmtId="0" fontId="32" fillId="63" borderId="43" xfId="42" applyFont="1" applyFill="1" applyBorder="1" applyAlignment="1">
      <alignment horizontal="right" vertical="top" wrapText="1"/>
    </xf>
    <xf numFmtId="0" fontId="32" fillId="63" borderId="44" xfId="42" applyFont="1" applyFill="1" applyBorder="1" applyAlignment="1">
      <alignment horizontal="right" vertical="top" wrapText="1"/>
    </xf>
    <xf numFmtId="171" fontId="32" fillId="63" borderId="43" xfId="42" applyNumberFormat="1" applyFont="1" applyFill="1" applyBorder="1" applyAlignment="1">
      <alignment horizontal="right" vertical="top" wrapText="1"/>
    </xf>
    <xf numFmtId="171" fontId="32" fillId="63" borderId="0" xfId="42" applyNumberFormat="1" applyFont="1" applyFill="1" applyAlignment="1">
      <alignment horizontal="right" vertical="top" wrapText="1"/>
    </xf>
    <xf numFmtId="171" fontId="32" fillId="63" borderId="46" xfId="42" applyNumberFormat="1" applyFont="1" applyFill="1" applyBorder="1" applyAlignment="1">
      <alignment horizontal="right" vertical="top" wrapText="1"/>
    </xf>
    <xf numFmtId="172" fontId="32" fillId="63" borderId="46" xfId="42" applyNumberFormat="1" applyFont="1" applyFill="1" applyBorder="1" applyAlignment="1">
      <alignment horizontal="right" vertical="top" wrapText="1"/>
    </xf>
    <xf numFmtId="49" fontId="32" fillId="63" borderId="46" xfId="42" applyNumberFormat="1" applyFont="1" applyFill="1" applyBorder="1" applyAlignment="1">
      <alignment horizontal="center" vertical="top" wrapText="1"/>
    </xf>
    <xf numFmtId="0" fontId="42" fillId="63" borderId="0" xfId="50" applyFont="1" applyFill="1" applyAlignment="1">
      <alignment horizontal="left" vertical="center"/>
    </xf>
    <xf numFmtId="164" fontId="33" fillId="63" borderId="44" xfId="42" applyNumberFormat="1" applyFont="1" applyFill="1" applyBorder="1" applyAlignment="1">
      <alignment horizontal="right" vertical="top" wrapText="1"/>
    </xf>
    <xf numFmtId="0" fontId="1" fillId="63" borderId="111" xfId="0" applyFont="1" applyFill="1" applyBorder="1" applyAlignment="1">
      <alignment vertical="center" wrapText="1"/>
    </xf>
    <xf numFmtId="164" fontId="1" fillId="63" borderId="109" xfId="0" applyNumberFormat="1" applyFont="1" applyFill="1" applyBorder="1" applyAlignment="1">
      <alignment horizontal="center" vertical="center"/>
    </xf>
    <xf numFmtId="0" fontId="190" fillId="63" borderId="125" xfId="68" applyFont="1" applyFill="1" applyBorder="1" applyAlignment="1">
      <alignment vertical="top"/>
    </xf>
    <xf numFmtId="2" fontId="1" fillId="63" borderId="109" xfId="0" applyNumberFormat="1" applyFont="1" applyFill="1" applyBorder="1" applyAlignment="1">
      <alignment horizontal="center" vertical="center"/>
    </xf>
    <xf numFmtId="2" fontId="33" fillId="63" borderId="0" xfId="42" applyNumberFormat="1" applyFont="1" applyFill="1" applyAlignment="1">
      <alignment horizontal="right" vertical="top" wrapText="1"/>
    </xf>
    <xf numFmtId="3" fontId="33" fillId="0" borderId="43" xfId="42" applyNumberFormat="1" applyFont="1" applyBorder="1" applyAlignment="1">
      <alignment horizontal="right" vertical="top"/>
    </xf>
    <xf numFmtId="3" fontId="33" fillId="63" borderId="0" xfId="42" applyNumberFormat="1" applyFont="1" applyFill="1" applyAlignment="1">
      <alignment horizontal="right" vertical="top"/>
    </xf>
    <xf numFmtId="3" fontId="33" fillId="63" borderId="44" xfId="42" applyNumberFormat="1" applyFont="1" applyFill="1" applyBorder="1" applyAlignment="1">
      <alignment horizontal="right" vertical="top"/>
    </xf>
    <xf numFmtId="3" fontId="1" fillId="63" borderId="109" xfId="0" applyNumberFormat="1" applyFont="1" applyFill="1" applyBorder="1" applyAlignment="1">
      <alignment horizontal="center" vertical="center"/>
    </xf>
    <xf numFmtId="164" fontId="33" fillId="63" borderId="43" xfId="42" applyNumberFormat="1" applyFont="1" applyFill="1" applyBorder="1" applyAlignment="1">
      <alignment horizontal="right" vertical="top"/>
    </xf>
    <xf numFmtId="164" fontId="33" fillId="63" borderId="0" xfId="42" applyNumberFormat="1" applyFont="1" applyFill="1" applyAlignment="1">
      <alignment horizontal="right" vertical="top"/>
    </xf>
    <xf numFmtId="164" fontId="33" fillId="63" borderId="44" xfId="42" applyNumberFormat="1" applyFont="1" applyFill="1" applyBorder="1" applyAlignment="1">
      <alignment horizontal="right" vertical="top"/>
    </xf>
    <xf numFmtId="0" fontId="1" fillId="63" borderId="109" xfId="0" applyFont="1" applyFill="1" applyBorder="1" applyAlignment="1">
      <alignment horizontal="right" vertical="center" wrapText="1"/>
    </xf>
    <xf numFmtId="0" fontId="33" fillId="63" borderId="0" xfId="42" applyFont="1" applyFill="1" applyAlignment="1">
      <alignment horizontal="left" vertical="top" wrapText="1"/>
    </xf>
    <xf numFmtId="184" fontId="32" fillId="63" borderId="43" xfId="42" applyNumberFormat="1" applyFont="1" applyFill="1" applyBorder="1" applyAlignment="1">
      <alignment horizontal="right" vertical="top" wrapText="1"/>
    </xf>
    <xf numFmtId="2" fontId="33" fillId="5" borderId="0" xfId="42" applyNumberFormat="1" applyFont="1" applyFill="1" applyAlignment="1">
      <alignment horizontal="right" vertical="top" wrapText="1"/>
    </xf>
    <xf numFmtId="0" fontId="0" fillId="63" borderId="0" xfId="0" applyFill="1" applyAlignment="1">
      <alignment vertical="center" wrapText="1"/>
    </xf>
    <xf numFmtId="9" fontId="1" fillId="63" borderId="109" xfId="0" applyNumberFormat="1" applyFont="1" applyFill="1" applyBorder="1" applyAlignment="1">
      <alignment horizontal="center" vertical="center"/>
    </xf>
    <xf numFmtId="1" fontId="33" fillId="63" borderId="44" xfId="35" applyNumberFormat="1" applyFont="1" applyFill="1" applyBorder="1" applyAlignment="1" applyProtection="1">
      <alignment horizontal="right" vertical="top" wrapText="1"/>
    </xf>
    <xf numFmtId="2" fontId="33" fillId="63" borderId="43" xfId="42" applyNumberFormat="1" applyFont="1" applyFill="1" applyBorder="1" applyAlignment="1">
      <alignment horizontal="right" vertical="top" wrapText="1"/>
    </xf>
    <xf numFmtId="2" fontId="33" fillId="63" borderId="44" xfId="42" applyNumberFormat="1" applyFont="1" applyFill="1" applyBorder="1" applyAlignment="1">
      <alignment horizontal="right" vertical="top" wrapText="1"/>
    </xf>
    <xf numFmtId="0" fontId="37" fillId="63" borderId="19" xfId="0" applyFont="1" applyFill="1" applyBorder="1" applyAlignment="1">
      <alignment horizontal="left" vertical="center"/>
    </xf>
    <xf numFmtId="0" fontId="37" fillId="63" borderId="19" xfId="0" applyFont="1" applyFill="1" applyBorder="1" applyAlignment="1">
      <alignment vertical="center" wrapText="1"/>
    </xf>
    <xf numFmtId="0" fontId="33" fillId="63" borderId="43" xfId="42" applyFont="1" applyFill="1" applyBorder="1" applyAlignment="1">
      <alignment horizontal="right" vertical="top" wrapText="1"/>
    </xf>
    <xf numFmtId="0" fontId="33" fillId="63" borderId="0" xfId="42" applyFont="1" applyFill="1" applyAlignment="1">
      <alignment horizontal="right" vertical="top" wrapText="1"/>
    </xf>
    <xf numFmtId="0" fontId="33" fillId="63" borderId="44" xfId="42" applyFont="1" applyFill="1" applyBorder="1" applyAlignment="1">
      <alignment horizontal="right" vertical="top" wrapText="1"/>
    </xf>
    <xf numFmtId="0" fontId="42" fillId="11" borderId="43" xfId="0" applyFont="1" applyFill="1" applyBorder="1" applyAlignment="1">
      <alignment horizontal="right" vertical="top"/>
    </xf>
    <xf numFmtId="0" fontId="42" fillId="11" borderId="0" xfId="0" applyFont="1" applyFill="1" applyAlignment="1">
      <alignment horizontal="right" vertical="top"/>
    </xf>
    <xf numFmtId="0" fontId="42" fillId="11" borderId="44" xfId="0" applyFont="1" applyFill="1" applyBorder="1" applyAlignment="1">
      <alignment horizontal="right" vertical="top"/>
    </xf>
    <xf numFmtId="171" fontId="33" fillId="63" borderId="43" xfId="42" applyNumberFormat="1" applyFont="1" applyFill="1" applyBorder="1" applyAlignment="1">
      <alignment horizontal="right" vertical="top" wrapText="1"/>
    </xf>
    <xf numFmtId="171" fontId="33" fillId="63" borderId="0" xfId="42" applyNumberFormat="1" applyFont="1" applyFill="1" applyAlignment="1">
      <alignment horizontal="right" vertical="top" wrapText="1"/>
    </xf>
    <xf numFmtId="0" fontId="1" fillId="63" borderId="109" xfId="0" applyFont="1" applyFill="1" applyBorder="1" applyAlignment="1">
      <alignment horizontal="left" vertical="center" wrapText="1"/>
    </xf>
    <xf numFmtId="14" fontId="1" fillId="63" borderId="109" xfId="0" applyNumberFormat="1" applyFont="1" applyFill="1" applyBorder="1" applyAlignment="1">
      <alignment horizontal="right" vertical="center"/>
    </xf>
    <xf numFmtId="0" fontId="109" fillId="63" borderId="125" xfId="68" applyFont="1" applyFill="1" applyBorder="1" applyAlignment="1">
      <alignment vertical="top"/>
    </xf>
    <xf numFmtId="0" fontId="109" fillId="63" borderId="109" xfId="68" applyFont="1" applyFill="1" applyBorder="1" applyAlignment="1">
      <alignment vertical="center" wrapText="1"/>
    </xf>
    <xf numFmtId="170" fontId="33" fillId="63" borderId="0" xfId="42" applyNumberFormat="1" applyFont="1" applyFill="1" applyAlignment="1">
      <alignment horizontal="right" vertical="top" wrapText="1"/>
    </xf>
    <xf numFmtId="2" fontId="141" fillId="8" borderId="0" xfId="0" applyNumberFormat="1" applyFont="1" applyFill="1" applyAlignment="1">
      <alignment horizontal="left"/>
    </xf>
    <xf numFmtId="1" fontId="33" fillId="63" borderId="0" xfId="42" applyNumberFormat="1" applyFont="1" applyFill="1" applyAlignment="1">
      <alignment horizontal="right" vertical="top" wrapText="1"/>
    </xf>
    <xf numFmtId="1" fontId="33" fillId="63" borderId="44" xfId="42" applyNumberFormat="1" applyFont="1" applyFill="1" applyBorder="1" applyAlignment="1">
      <alignment horizontal="right" vertical="top" wrapText="1"/>
    </xf>
    <xf numFmtId="3" fontId="1" fillId="63" borderId="0" xfId="0" applyNumberFormat="1" applyFont="1" applyFill="1"/>
    <xf numFmtId="0" fontId="33" fillId="63" borderId="0" xfId="42" applyFont="1" applyFill="1" applyAlignment="1">
      <alignment horizontal="right" vertical="center" wrapText="1"/>
    </xf>
    <xf numFmtId="0" fontId="29" fillId="0" borderId="0" xfId="0" applyFont="1" applyAlignment="1">
      <alignment horizontal="center"/>
    </xf>
    <xf numFmtId="0" fontId="29" fillId="64" borderId="0" xfId="0" applyFont="1" applyFill="1" applyAlignment="1">
      <alignment horizontal="center"/>
    </xf>
    <xf numFmtId="0" fontId="1" fillId="64" borderId="109" xfId="0" applyFont="1" applyFill="1" applyBorder="1" applyAlignment="1">
      <alignment horizontal="center" vertical="center"/>
    </xf>
    <xf numFmtId="0" fontId="1" fillId="64" borderId="109" xfId="0" applyFont="1" applyFill="1" applyBorder="1" applyAlignment="1">
      <alignment vertical="center"/>
    </xf>
    <xf numFmtId="0" fontId="1" fillId="64" borderId="109" xfId="0" applyFont="1" applyFill="1" applyBorder="1" applyAlignment="1">
      <alignment vertical="center" wrapText="1"/>
    </xf>
    <xf numFmtId="0" fontId="1" fillId="64" borderId="109" xfId="0" applyFont="1" applyFill="1" applyBorder="1" applyAlignment="1">
      <alignment horizontal="center" vertical="center" wrapText="1"/>
    </xf>
    <xf numFmtId="14" fontId="1" fillId="64" borderId="109" xfId="0" applyNumberFormat="1" applyFont="1" applyFill="1" applyBorder="1" applyAlignment="1">
      <alignment vertical="center"/>
    </xf>
    <xf numFmtId="0" fontId="1" fillId="64" borderId="109" xfId="0" applyFont="1" applyFill="1" applyBorder="1" applyAlignment="1">
      <alignment horizontal="right" vertical="center" wrapText="1"/>
    </xf>
    <xf numFmtId="14" fontId="1" fillId="64" borderId="109" xfId="0" applyNumberFormat="1" applyFont="1" applyFill="1" applyBorder="1" applyAlignment="1">
      <alignment horizontal="right" vertical="center"/>
    </xf>
    <xf numFmtId="0" fontId="1" fillId="64" borderId="109" xfId="0" applyFont="1" applyFill="1" applyBorder="1" applyAlignment="1">
      <alignment horizontal="left" vertical="center" wrapText="1"/>
    </xf>
    <xf numFmtId="165" fontId="1" fillId="64" borderId="109" xfId="0" applyNumberFormat="1" applyFont="1" applyFill="1" applyBorder="1" applyAlignment="1">
      <alignment horizontal="center" vertical="center"/>
    </xf>
    <xf numFmtId="171" fontId="33" fillId="64" borderId="43" xfId="42" applyNumberFormat="1" applyFont="1" applyFill="1" applyBorder="1" applyAlignment="1">
      <alignment horizontal="right" vertical="top" wrapText="1"/>
    </xf>
    <xf numFmtId="171" fontId="33" fillId="65" borderId="0" xfId="42" applyNumberFormat="1" applyFont="1" applyFill="1" applyAlignment="1">
      <alignment horizontal="right" vertical="top" wrapText="1"/>
    </xf>
    <xf numFmtId="165" fontId="1" fillId="64" borderId="109" xfId="0" applyNumberFormat="1" applyFont="1" applyFill="1" applyBorder="1" applyAlignment="1">
      <alignment horizontal="right" vertical="center" wrapText="1"/>
    </xf>
    <xf numFmtId="1" fontId="33" fillId="66" borderId="0" xfId="42" applyNumberFormat="1" applyFont="1" applyFill="1" applyAlignment="1">
      <alignment horizontal="right" vertical="top" wrapText="1"/>
    </xf>
    <xf numFmtId="0" fontId="29" fillId="67" borderId="0" xfId="0" applyFont="1" applyFill="1" applyAlignment="1">
      <alignment horizontal="center"/>
    </xf>
    <xf numFmtId="0" fontId="37" fillId="67" borderId="19" xfId="0" applyFont="1" applyFill="1" applyBorder="1" applyAlignment="1">
      <alignment horizontal="left" vertical="center"/>
    </xf>
    <xf numFmtId="0" fontId="37" fillId="67" borderId="19" xfId="0" applyFont="1" applyFill="1" applyBorder="1" applyAlignment="1">
      <alignment vertical="center" wrapText="1"/>
    </xf>
    <xf numFmtId="0" fontId="194" fillId="0" borderId="0" xfId="68" applyFont="1" applyFill="1"/>
    <xf numFmtId="0" fontId="194" fillId="5" borderId="0" xfId="68" applyFont="1" applyFill="1"/>
    <xf numFmtId="164" fontId="33" fillId="58" borderId="100" xfId="0" applyNumberFormat="1" applyFont="1" applyFill="1" applyBorder="1" applyAlignment="1" applyProtection="1">
      <alignment horizontal="center" vertical="center"/>
      <protection locked="0"/>
    </xf>
    <xf numFmtId="4" fontId="40" fillId="56" borderId="0" xfId="0" applyNumberFormat="1" applyFont="1" applyFill="1" applyProtection="1">
      <protection locked="0"/>
    </xf>
    <xf numFmtId="0" fontId="196" fillId="5" borderId="0" xfId="0" applyFont="1" applyFill="1"/>
    <xf numFmtId="0" fontId="1" fillId="5" borderId="0" xfId="0" applyFont="1" applyFill="1" applyAlignment="1">
      <alignment horizontal="center"/>
    </xf>
    <xf numFmtId="0" fontId="44" fillId="5" borderId="0" xfId="0" quotePrefix="1" applyFont="1" applyFill="1" applyAlignment="1">
      <alignment horizontal="right"/>
    </xf>
    <xf numFmtId="0" fontId="197" fillId="68" borderId="126" xfId="0" applyFont="1" applyFill="1" applyBorder="1" applyAlignment="1">
      <alignment horizontal="center" vertical="top"/>
    </xf>
    <xf numFmtId="0" fontId="197" fillId="68" borderId="127" xfId="0" applyFont="1" applyFill="1" applyBorder="1" applyAlignment="1">
      <alignment vertical="top" wrapText="1"/>
    </xf>
    <xf numFmtId="0" fontId="197" fillId="68" borderId="127" xfId="0" applyFont="1" applyFill="1" applyBorder="1" applyAlignment="1">
      <alignment horizontal="center" vertical="top"/>
    </xf>
    <xf numFmtId="0" fontId="197" fillId="68" borderId="127" xfId="0" applyFont="1" applyFill="1" applyBorder="1" applyAlignment="1">
      <alignment vertical="top"/>
    </xf>
    <xf numFmtId="0" fontId="197" fillId="68" borderId="128" xfId="0" applyFont="1" applyFill="1" applyBorder="1" applyAlignment="1">
      <alignment vertical="top"/>
    </xf>
    <xf numFmtId="0" fontId="34" fillId="5" borderId="130" xfId="0" applyFont="1" applyFill="1" applyBorder="1" applyAlignment="1">
      <alignment vertical="top"/>
    </xf>
    <xf numFmtId="0" fontId="34" fillId="5" borderId="130" xfId="0" applyFont="1" applyFill="1" applyBorder="1" applyAlignment="1">
      <alignment horizontal="center" vertical="top"/>
    </xf>
    <xf numFmtId="0" fontId="34" fillId="5" borderId="130" xfId="0" applyFont="1" applyFill="1" applyBorder="1" applyAlignment="1">
      <alignment vertical="top" wrapText="1"/>
    </xf>
    <xf numFmtId="0" fontId="34" fillId="5" borderId="131" xfId="0" applyFont="1" applyFill="1" applyBorder="1" applyAlignment="1">
      <alignment vertical="top"/>
    </xf>
    <xf numFmtId="0" fontId="34" fillId="5" borderId="130" xfId="0" applyFont="1" applyFill="1" applyBorder="1" applyAlignment="1">
      <alignment horizontal="center" vertical="top" wrapText="1"/>
    </xf>
    <xf numFmtId="0" fontId="34" fillId="5" borderId="133" xfId="0" applyFont="1" applyFill="1" applyBorder="1" applyAlignment="1">
      <alignment vertical="top"/>
    </xf>
    <xf numFmtId="0" fontId="34" fillId="5" borderId="133" xfId="0" applyFont="1" applyFill="1" applyBorder="1" applyAlignment="1">
      <alignment horizontal="center" vertical="top"/>
    </xf>
    <xf numFmtId="0" fontId="34" fillId="5" borderId="133" xfId="0" applyFont="1" applyFill="1" applyBorder="1" applyAlignment="1">
      <alignment vertical="top" wrapText="1"/>
    </xf>
    <xf numFmtId="0" fontId="34" fillId="5" borderId="134" xfId="0" applyFont="1" applyFill="1" applyBorder="1" applyAlignment="1">
      <alignment vertical="top"/>
    </xf>
    <xf numFmtId="0" fontId="30" fillId="5" borderId="0" xfId="0" applyFont="1" applyFill="1"/>
    <xf numFmtId="0" fontId="30" fillId="5" borderId="0" xfId="0" applyFont="1" applyFill="1" applyAlignment="1">
      <alignment horizontal="center"/>
    </xf>
    <xf numFmtId="0" fontId="105" fillId="68" borderId="0" xfId="0" applyFont="1" applyFill="1" applyAlignment="1" applyProtection="1">
      <alignment horizontal="right" vertical="center"/>
      <protection locked="0"/>
    </xf>
    <xf numFmtId="165" fontId="105" fillId="68" borderId="90" xfId="0" applyNumberFormat="1" applyFont="1" applyFill="1" applyBorder="1" applyAlignment="1">
      <alignment horizontal="center" vertical="center" wrapText="1"/>
    </xf>
    <xf numFmtId="0" fontId="33" fillId="5" borderId="129" xfId="0" applyFont="1" applyFill="1" applyBorder="1" applyAlignment="1">
      <alignment horizontal="center" vertical="top"/>
    </xf>
    <xf numFmtId="0" fontId="33" fillId="5" borderId="132" xfId="0" applyFont="1" applyFill="1" applyBorder="1" applyAlignment="1">
      <alignment horizontal="center" vertical="top"/>
    </xf>
    <xf numFmtId="0" fontId="33" fillId="6" borderId="129" xfId="0" applyFont="1" applyFill="1" applyBorder="1" applyAlignment="1">
      <alignment horizontal="center" vertical="top"/>
    </xf>
    <xf numFmtId="0" fontId="34" fillId="6" borderId="130" xfId="0" applyFont="1" applyFill="1" applyBorder="1" applyAlignment="1">
      <alignment vertical="top"/>
    </xf>
    <xf numFmtId="0" fontId="34" fillId="6" borderId="130" xfId="0" applyFont="1" applyFill="1" applyBorder="1" applyAlignment="1">
      <alignment horizontal="center" vertical="top"/>
    </xf>
    <xf numFmtId="0" fontId="34" fillId="6" borderId="130" xfId="0" applyFont="1" applyFill="1" applyBorder="1" applyAlignment="1">
      <alignment vertical="top" wrapText="1"/>
    </xf>
    <xf numFmtId="0" fontId="34" fillId="6" borderId="131" xfId="0" applyFont="1" applyFill="1" applyBorder="1" applyAlignment="1">
      <alignment vertical="top"/>
    </xf>
    <xf numFmtId="165" fontId="105" fillId="68" borderId="0" xfId="0" applyNumberFormat="1" applyFont="1" applyFill="1" applyAlignment="1" applyProtection="1">
      <alignment horizontal="right" vertical="center"/>
      <protection locked="0"/>
    </xf>
    <xf numFmtId="168" fontId="105" fillId="68" borderId="20" xfId="62" applyFont="1" applyFill="1" applyBorder="1">
      <alignment vertical="top"/>
    </xf>
    <xf numFmtId="0" fontId="36" fillId="14" borderId="19" xfId="0" applyFont="1" applyFill="1" applyBorder="1" applyAlignment="1">
      <alignment vertical="center"/>
    </xf>
    <xf numFmtId="0" fontId="110" fillId="5" borderId="89" xfId="0" applyFont="1" applyFill="1" applyBorder="1" applyAlignment="1">
      <alignment horizontal="center" vertical="center" wrapText="1"/>
    </xf>
    <xf numFmtId="0" fontId="112" fillId="5" borderId="89" xfId="0" applyFont="1" applyFill="1" applyBorder="1" applyAlignment="1">
      <alignment horizontal="center" vertical="center" wrapText="1"/>
    </xf>
    <xf numFmtId="0" fontId="110" fillId="5" borderId="89" xfId="0" applyFont="1" applyFill="1" applyBorder="1" applyAlignment="1">
      <alignment horizontal="left" vertical="center" wrapText="1"/>
    </xf>
    <xf numFmtId="0" fontId="112" fillId="5" borderId="89" xfId="0" applyFont="1" applyFill="1" applyBorder="1" applyAlignment="1">
      <alignment horizontal="left" vertical="center" wrapText="1"/>
    </xf>
    <xf numFmtId="0" fontId="110" fillId="5" borderId="112" xfId="0" applyFont="1" applyFill="1" applyBorder="1" applyAlignment="1">
      <alignment horizontal="center" vertical="center" wrapText="1"/>
    </xf>
    <xf numFmtId="0" fontId="110" fillId="5" borderId="113" xfId="0" applyFont="1" applyFill="1" applyBorder="1" applyAlignment="1">
      <alignment horizontal="center" vertical="center" wrapText="1"/>
    </xf>
    <xf numFmtId="0" fontId="110" fillId="5" borderId="90" xfId="0" applyFont="1" applyFill="1" applyBorder="1" applyAlignment="1">
      <alignment horizontal="center" vertical="center" wrapText="1"/>
    </xf>
    <xf numFmtId="0" fontId="110" fillId="5" borderId="90" xfId="0" applyFont="1" applyFill="1" applyBorder="1" applyAlignment="1">
      <alignment horizontal="left" vertical="center" wrapText="1"/>
    </xf>
    <xf numFmtId="0" fontId="112" fillId="5" borderId="90" xfId="0" applyFont="1" applyFill="1" applyBorder="1" applyAlignment="1">
      <alignment horizontal="center" vertical="center" wrapText="1"/>
    </xf>
    <xf numFmtId="0" fontId="110" fillId="5" borderId="99" xfId="0" applyFont="1" applyFill="1" applyBorder="1" applyAlignment="1">
      <alignment horizontal="center" vertical="center" wrapText="1"/>
    </xf>
    <xf numFmtId="0" fontId="110" fillId="5" borderId="100" xfId="0" applyFont="1" applyFill="1" applyBorder="1" applyAlignment="1">
      <alignment horizontal="center" vertical="center" wrapText="1"/>
    </xf>
    <xf numFmtId="0" fontId="28" fillId="0" borderId="0" xfId="0" quotePrefix="1" applyFont="1" applyAlignment="1">
      <alignment horizontal="center" vertical="center" wrapText="1"/>
    </xf>
    <xf numFmtId="0" fontId="28" fillId="0" borderId="0" xfId="0" applyFont="1" applyAlignment="1">
      <alignment horizontal="center" vertical="center" wrapText="1"/>
    </xf>
    <xf numFmtId="0" fontId="39" fillId="0" borderId="0" xfId="0" applyFont="1" applyAlignment="1">
      <alignment horizontal="left" vertical="center" wrapText="1"/>
    </xf>
    <xf numFmtId="0" fontId="107" fillId="0" borderId="0" xfId="0" applyFont="1" applyAlignment="1">
      <alignment horizontal="center" vertical="center" wrapText="1"/>
    </xf>
    <xf numFmtId="0" fontId="29" fillId="0" borderId="0" xfId="0" applyFont="1" applyAlignment="1">
      <alignment horizontal="left" vertical="center" wrapText="1"/>
    </xf>
    <xf numFmtId="0" fontId="110" fillId="5" borderId="95" xfId="0" applyFont="1" applyFill="1" applyBorder="1" applyAlignment="1">
      <alignment horizontal="center" vertical="center" wrapText="1"/>
    </xf>
    <xf numFmtId="0" fontId="110" fillId="5" borderId="98" xfId="0" applyFont="1" applyFill="1" applyBorder="1" applyAlignment="1">
      <alignment horizontal="center" vertical="center" wrapText="1"/>
    </xf>
    <xf numFmtId="0" fontId="110" fillId="5" borderId="114" xfId="0" applyFont="1" applyFill="1" applyBorder="1" applyAlignment="1">
      <alignment horizontal="center" vertical="center" wrapText="1"/>
    </xf>
    <xf numFmtId="0" fontId="110" fillId="5" borderId="102" xfId="0" applyFont="1" applyFill="1" applyBorder="1" applyAlignment="1">
      <alignment horizontal="center" vertical="center" wrapText="1"/>
    </xf>
    <xf numFmtId="0" fontId="33" fillId="58" borderId="98" xfId="0" applyFont="1" applyFill="1" applyBorder="1" applyAlignment="1">
      <alignment horizontal="center" vertical="center" wrapText="1"/>
    </xf>
    <xf numFmtId="0" fontId="33" fillId="58" borderId="102" xfId="0" applyFont="1" applyFill="1" applyBorder="1" applyAlignment="1">
      <alignment horizontal="center" vertical="center" wrapText="1"/>
    </xf>
    <xf numFmtId="0" fontId="33" fillId="58" borderId="103" xfId="0" applyFont="1" applyFill="1" applyBorder="1" applyAlignment="1">
      <alignment horizontal="center" vertical="center" wrapText="1"/>
    </xf>
    <xf numFmtId="0" fontId="33" fillId="58" borderId="104" xfId="0" applyFont="1" applyFill="1" applyBorder="1" applyAlignment="1">
      <alignment horizontal="center" vertical="center" wrapText="1"/>
    </xf>
    <xf numFmtId="0" fontId="33" fillId="59" borderId="98" xfId="0" applyFont="1" applyFill="1" applyBorder="1" applyAlignment="1">
      <alignment horizontal="center" vertical="center" wrapText="1"/>
    </xf>
    <xf numFmtId="0" fontId="33" fillId="59" borderId="102" xfId="0" applyFont="1" applyFill="1" applyBorder="1" applyAlignment="1">
      <alignment horizontal="center" vertical="center" wrapText="1"/>
    </xf>
    <xf numFmtId="0" fontId="33" fillId="60" borderId="98" xfId="0" applyFont="1" applyFill="1" applyBorder="1" applyAlignment="1">
      <alignment horizontal="center" vertical="center" wrapText="1"/>
    </xf>
    <xf numFmtId="0" fontId="33" fillId="60" borderId="102" xfId="0" applyFont="1" applyFill="1" applyBorder="1" applyAlignment="1">
      <alignment horizontal="center" vertical="center" wrapText="1"/>
    </xf>
    <xf numFmtId="0" fontId="28" fillId="0" borderId="0" xfId="0" applyFont="1" applyAlignment="1">
      <alignment horizontal="left" vertical="center" wrapText="1"/>
    </xf>
    <xf numFmtId="0" fontId="1" fillId="5" borderId="0" xfId="0" applyFont="1" applyFill="1" applyAlignment="1">
      <alignment horizontal="left" vertical="top" wrapText="1"/>
    </xf>
    <xf numFmtId="0" fontId="14" fillId="5" borderId="0" xfId="0" applyFont="1" applyFill="1" applyAlignment="1">
      <alignment horizontal="left" vertical="top" wrapText="1"/>
    </xf>
    <xf numFmtId="0" fontId="1" fillId="5" borderId="0" xfId="52" applyFont="1" applyFill="1" applyAlignment="1">
      <alignment horizontal="left" vertical="center" wrapText="1"/>
    </xf>
    <xf numFmtId="0" fontId="195" fillId="5" borderId="0" xfId="52" quotePrefix="1" applyFont="1" applyFill="1" applyAlignment="1">
      <alignment horizontal="left" vertical="top" wrapText="1"/>
    </xf>
    <xf numFmtId="168" fontId="42" fillId="5" borderId="106" xfId="62" applyFont="1" applyFill="1" applyBorder="1" applyAlignment="1">
      <alignment horizontal="left" vertical="top" wrapText="1"/>
    </xf>
    <xf numFmtId="168" fontId="42" fillId="5" borderId="1" xfId="62" applyFont="1" applyFill="1" applyBorder="1" applyAlignment="1">
      <alignment horizontal="left" vertical="top" wrapText="1"/>
    </xf>
    <xf numFmtId="0" fontId="169" fillId="9" borderId="23" xfId="42" applyFont="1" applyFill="1" applyBorder="1" applyAlignment="1">
      <alignment horizontal="center" vertical="center" wrapText="1"/>
    </xf>
    <xf numFmtId="0" fontId="169" fillId="9" borderId="21" xfId="42" applyFont="1" applyFill="1" applyBorder="1" applyAlignment="1">
      <alignment horizontal="center" vertical="center" wrapText="1"/>
    </xf>
    <xf numFmtId="0" fontId="169" fillId="9" borderId="25" xfId="42" applyFont="1" applyFill="1" applyBorder="1" applyAlignment="1">
      <alignment horizontal="center" vertical="center" wrapText="1"/>
    </xf>
    <xf numFmtId="168" fontId="1" fillId="0" borderId="26" xfId="45" applyFont="1" applyBorder="1" applyAlignment="1" applyProtection="1">
      <alignment horizontal="center" vertical="center" wrapText="1"/>
    </xf>
    <xf numFmtId="0" fontId="169" fillId="9" borderId="24" xfId="42" applyFont="1" applyFill="1" applyBorder="1" applyAlignment="1">
      <alignment horizontal="center" vertical="center" wrapText="1"/>
    </xf>
    <xf numFmtId="0" fontId="169" fillId="9" borderId="30" xfId="42" applyFont="1" applyFill="1" applyBorder="1" applyAlignment="1">
      <alignment horizontal="center" vertical="center" wrapText="1"/>
    </xf>
    <xf numFmtId="0" fontId="169" fillId="9" borderId="31" xfId="42" applyFont="1" applyFill="1" applyBorder="1" applyAlignment="1">
      <alignment horizontal="center" vertical="center" wrapText="1"/>
    </xf>
    <xf numFmtId="0" fontId="169" fillId="9" borderId="32" xfId="42" applyFont="1" applyFill="1" applyBorder="1" applyAlignment="1">
      <alignment horizontal="center" vertical="center" wrapText="1"/>
    </xf>
    <xf numFmtId="0" fontId="169" fillId="9" borderId="33" xfId="42" applyFont="1" applyFill="1" applyBorder="1" applyAlignment="1">
      <alignment horizontal="center" vertical="center" wrapText="1"/>
    </xf>
    <xf numFmtId="168" fontId="1" fillId="0" borderId="34" xfId="45" applyFont="1" applyBorder="1" applyAlignment="1" applyProtection="1">
      <alignment horizontal="center" vertical="center" wrapText="1"/>
    </xf>
    <xf numFmtId="0" fontId="134" fillId="9" borderId="33" xfId="42" applyFont="1" applyFill="1" applyBorder="1" applyAlignment="1">
      <alignment horizontal="center" vertical="center" wrapText="1"/>
    </xf>
    <xf numFmtId="168" fontId="37" fillId="0" borderId="34" xfId="45" applyFont="1" applyBorder="1" applyAlignment="1" applyProtection="1">
      <alignment horizontal="center" vertical="center" wrapText="1"/>
    </xf>
    <xf numFmtId="168" fontId="37" fillId="0" borderId="35" xfId="45" applyFont="1" applyBorder="1" applyAlignment="1" applyProtection="1">
      <alignment horizontal="center" vertical="center" wrapText="1"/>
    </xf>
    <xf numFmtId="0" fontId="170" fillId="9" borderId="30" xfId="42" applyFont="1" applyFill="1" applyBorder="1" applyAlignment="1">
      <alignment horizontal="center" vertical="center" wrapText="1"/>
    </xf>
    <xf numFmtId="0" fontId="170" fillId="9" borderId="31" xfId="42" applyFont="1" applyFill="1" applyBorder="1" applyAlignment="1">
      <alignment horizontal="center" vertical="center" wrapText="1"/>
    </xf>
    <xf numFmtId="168" fontId="1" fillId="0" borderId="32" xfId="45" applyFont="1" applyBorder="1" applyAlignment="1" applyProtection="1">
      <alignment horizontal="center" vertical="center" wrapText="1"/>
    </xf>
    <xf numFmtId="0" fontId="170" fillId="9" borderId="32" xfId="42" applyFont="1" applyFill="1" applyBorder="1" applyAlignment="1">
      <alignment horizontal="center" vertical="center" wrapText="1"/>
    </xf>
    <xf numFmtId="0" fontId="133" fillId="9" borderId="30" xfId="42" applyFont="1" applyFill="1" applyBorder="1" applyAlignment="1">
      <alignment horizontal="center" vertical="center" wrapText="1"/>
    </xf>
    <xf numFmtId="0" fontId="132" fillId="9" borderId="31" xfId="42" applyFont="1" applyFill="1" applyBorder="1" applyAlignment="1">
      <alignment horizontal="center" vertical="center" wrapText="1"/>
    </xf>
    <xf numFmtId="0" fontId="132" fillId="9" borderId="32" xfId="42" applyFont="1" applyFill="1" applyBorder="1" applyAlignment="1">
      <alignment horizontal="center" vertical="center" wrapText="1"/>
    </xf>
    <xf numFmtId="0" fontId="134" fillId="9" borderId="30" xfId="42" applyFont="1" applyFill="1" applyBorder="1" applyAlignment="1">
      <alignment horizontal="center" vertical="center" wrapText="1"/>
    </xf>
    <xf numFmtId="0" fontId="171" fillId="9" borderId="31" xfId="42" applyFont="1" applyFill="1" applyBorder="1" applyAlignment="1">
      <alignment horizontal="center" vertical="center" wrapText="1"/>
    </xf>
    <xf numFmtId="0" fontId="171" fillId="9" borderId="32" xfId="42" applyFont="1" applyFill="1" applyBorder="1" applyAlignment="1">
      <alignment horizontal="center" vertical="center" wrapText="1"/>
    </xf>
    <xf numFmtId="0" fontId="69" fillId="16" borderId="0" xfId="42" applyFont="1" applyFill="1" applyAlignment="1">
      <alignment horizontal="center" vertical="center"/>
    </xf>
    <xf numFmtId="0" fontId="69" fillId="18" borderId="0" xfId="42" applyFont="1" applyFill="1" applyAlignment="1">
      <alignment horizontal="center" vertical="center"/>
    </xf>
    <xf numFmtId="0" fontId="70" fillId="18" borderId="0" xfId="42" applyFont="1" applyFill="1" applyAlignment="1">
      <alignment horizontal="center" vertical="center" wrapText="1"/>
    </xf>
    <xf numFmtId="0" fontId="71" fillId="18" borderId="0" xfId="42" applyFont="1" applyFill="1" applyAlignment="1">
      <alignment horizontal="center" vertical="center"/>
    </xf>
    <xf numFmtId="0" fontId="169" fillId="9" borderId="57" xfId="42" applyFont="1" applyFill="1" applyBorder="1" applyAlignment="1">
      <alignment horizontal="center" vertical="center" wrapText="1"/>
    </xf>
    <xf numFmtId="168" fontId="1" fillId="0" borderId="58" xfId="45" applyFont="1" applyBorder="1" applyAlignment="1">
      <alignment horizontal="center" vertical="center" wrapText="1"/>
    </xf>
    <xf numFmtId="0" fontId="169" fillId="9" borderId="54" xfId="42" applyFont="1" applyFill="1" applyBorder="1" applyAlignment="1">
      <alignment horizontal="center" vertical="center" wrapText="1"/>
    </xf>
    <xf numFmtId="0" fontId="169" fillId="9" borderId="55" xfId="42" applyFont="1" applyFill="1" applyBorder="1" applyAlignment="1">
      <alignment horizontal="center" vertical="center" wrapText="1"/>
    </xf>
    <xf numFmtId="0" fontId="169" fillId="9" borderId="56" xfId="42" applyFont="1" applyFill="1" applyBorder="1" applyAlignment="1">
      <alignment horizontal="center" vertical="center" wrapText="1"/>
    </xf>
    <xf numFmtId="168" fontId="1" fillId="0" borderId="34" xfId="45" applyFont="1" applyBorder="1" applyAlignment="1">
      <alignment horizontal="center" vertical="center" wrapText="1"/>
    </xf>
    <xf numFmtId="0" fontId="134" fillId="9" borderId="31" xfId="42" applyFont="1" applyFill="1" applyBorder="1" applyAlignment="1">
      <alignment horizontal="center" vertical="center" wrapText="1"/>
    </xf>
    <xf numFmtId="168" fontId="37" fillId="0" borderId="34" xfId="45" applyFont="1" applyBorder="1" applyAlignment="1">
      <alignment horizontal="center" vertical="center" wrapText="1"/>
    </xf>
    <xf numFmtId="168" fontId="37" fillId="0" borderId="35" xfId="45" applyFont="1" applyBorder="1" applyAlignment="1">
      <alignment horizontal="center" vertical="center" wrapText="1"/>
    </xf>
    <xf numFmtId="168" fontId="1" fillId="0" borderId="32" xfId="45" applyFont="1" applyBorder="1" applyAlignment="1">
      <alignment horizontal="center" vertical="center" wrapText="1"/>
    </xf>
    <xf numFmtId="0" fontId="109" fillId="0" borderId="0" xfId="68" applyFont="1" applyAlignment="1">
      <alignment vertical="top" wrapText="1"/>
    </xf>
    <xf numFmtId="0" fontId="1" fillId="0" borderId="0" xfId="0" applyFont="1" applyAlignment="1">
      <alignment vertical="top" wrapText="1"/>
    </xf>
    <xf numFmtId="0" fontId="43" fillId="5" borderId="123" xfId="0" applyFont="1" applyFill="1" applyBorder="1" applyAlignment="1">
      <alignment horizontal="center"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15">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theme="0"/>
        </patternFill>
      </fill>
    </dxf>
    <dxf>
      <font>
        <color rgb="FFC6E0B4"/>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69" formatCode="[$-F400]h:mm:ss\ AM/PM"/>
    </dxf>
    <dxf>
      <font>
        <color theme="0" tint="-0.14996795556505021"/>
      </font>
    </dxf>
    <dxf>
      <numFmt numFmtId="169"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69" formatCode="[$-F400]h:mm:ss\ AM/PM"/>
    </dxf>
    <dxf>
      <font>
        <color rgb="FF9C0006"/>
      </font>
      <fill>
        <patternFill>
          <bgColor rgb="FFFFC7CE"/>
        </patternFill>
      </fill>
    </dxf>
    <dxf>
      <numFmt numFmtId="169" formatCode="[$-F400]h:mm:ss\ AM/PM"/>
    </dxf>
    <dxf>
      <numFmt numFmtId="169" formatCode="[$-F400]h:mm:ss\ AM/PM"/>
    </dxf>
    <dxf>
      <numFmt numFmtId="169" formatCode="[$-F400]h:mm:ss\ AM/PM"/>
    </dxf>
    <dxf>
      <font>
        <color theme="0" tint="-0.14996795556505021"/>
      </font>
    </dxf>
    <dxf>
      <font>
        <color theme="0"/>
      </font>
    </dxf>
    <dxf>
      <numFmt numFmtId="169" formatCode="[$-F400]h:mm:ss\ AM/PM"/>
    </dxf>
    <dxf>
      <font>
        <color rgb="FF9C0006"/>
      </font>
      <fill>
        <patternFill>
          <bgColor rgb="FFFFC7CE"/>
        </patternFill>
      </fill>
    </dxf>
    <dxf>
      <numFmt numFmtId="169" formatCode="[$-F400]h:mm:ss\ AM/PM"/>
    </dxf>
    <dxf>
      <numFmt numFmtId="169" formatCode="[$-F400]h:mm:ss\ AM/PM"/>
    </dxf>
    <dxf>
      <numFmt numFmtId="169" formatCode="[$-F400]h:mm:ss\ AM/PM"/>
    </dxf>
    <dxf>
      <font>
        <color theme="0" tint="-0.14996795556505021"/>
      </font>
    </dxf>
    <dxf>
      <numFmt numFmtId="169" formatCode="[$-F400]h:mm:ss\ AM/PM"/>
    </dxf>
    <dxf>
      <numFmt numFmtId="169" formatCode="[$-F400]h:mm:ss\ AM/PM"/>
    </dxf>
    <dxf>
      <font>
        <color theme="0"/>
      </font>
    </dxf>
    <dxf>
      <numFmt numFmtId="169" formatCode="[$-F400]h:mm:ss\ AM/PM"/>
    </dxf>
    <dxf>
      <font>
        <color rgb="FF9C0006"/>
      </font>
      <fill>
        <patternFill>
          <bgColor rgb="FFFFC7CE"/>
        </patternFill>
      </fill>
    </dxf>
    <dxf>
      <numFmt numFmtId="169" formatCode="[$-F400]h:mm:ss\ AM/PM"/>
    </dxf>
    <dxf>
      <numFmt numFmtId="169" formatCode="[$-F400]h:mm:ss\ AM/PM"/>
    </dxf>
    <dxf>
      <font>
        <color theme="0" tint="-0.14996795556505021"/>
      </font>
    </dxf>
    <dxf>
      <font>
        <color theme="0" tint="-0.14996795556505021"/>
      </font>
    </dxf>
    <dxf>
      <font>
        <color theme="0" tint="-0.14996795556505021"/>
      </font>
    </dxf>
    <dxf>
      <font>
        <color theme="0" tint="-0.14996795556505021"/>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E7E2DE"/>
      </font>
      <fill>
        <patternFill>
          <bgColor rgb="FFD9D9D9"/>
        </patternFill>
      </fill>
    </dxf>
    <dxf>
      <font>
        <color theme="0"/>
      </font>
      <fill>
        <patternFill>
          <bgColor theme="0"/>
        </patternFill>
      </fill>
    </dxf>
    <dxf>
      <font>
        <color theme="0"/>
      </font>
      <fill>
        <patternFill>
          <bgColor theme="0"/>
        </patternFill>
      </fill>
    </dxf>
    <dxf>
      <fill>
        <patternFill>
          <bgColor rgb="FFFF84D3"/>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ill>
        <patternFill>
          <bgColor rgb="FFFF84D3"/>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dxf>
    <dxf>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9D9D9"/>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dxf>
    <dxf>
      <fill>
        <patternFill>
          <bgColor rgb="FFD9D9D9"/>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6" formatCode="#,##0.00000"/>
    </dxf>
    <dxf>
      <font>
        <color theme="0"/>
      </font>
    </dxf>
    <dxf>
      <font>
        <b val="0"/>
        <i/>
        <color theme="1" tint="0.499984740745262"/>
      </font>
    </dxf>
    <dxf>
      <font>
        <b val="0"/>
        <i/>
        <color theme="1" tint="0.499984740745262"/>
      </font>
    </dxf>
    <dxf>
      <font>
        <b val="0"/>
        <i/>
        <color theme="1" tint="0.499984740745262"/>
      </font>
      <fill>
        <patternFill>
          <bgColor rgb="FFDCECF5"/>
        </patternFill>
      </fill>
    </dxf>
    <dxf>
      <fill>
        <patternFill>
          <bgColor rgb="FFD9D9D9"/>
        </patternFill>
      </fill>
    </dxf>
    <dxf>
      <font>
        <color theme="0"/>
      </font>
      <fill>
        <patternFill>
          <bgColor rgb="FFD60037"/>
        </patternFill>
      </fill>
    </dxf>
  </dxfs>
  <tableStyles count="0" defaultTableStyle="TableStyleMedium2" defaultPivotStyle="PivotStyleLight16"/>
  <colors>
    <mruColors>
      <color rgb="FFF0F3B3"/>
      <color rgb="FFF4AA00"/>
      <color rgb="FFFFEFCA"/>
      <color rgb="FFDBFF6F"/>
      <color rgb="FFDCBDD9"/>
      <color rgb="FFD9D9D9"/>
      <color rgb="FFC1E7FF"/>
      <color rgb="FF92D050"/>
      <color rgb="FFFF84D3"/>
      <color rgb="FF84C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wat.gov.uk/publication/in-24-01-expectations-for-monopoly-company-annual-performance-reporting-2023-24/" TargetMode="External"/><Relationship Id="rId1" Type="http://schemas.openxmlformats.org/officeDocument/2006/relationships/hyperlink" Target="https://www.ofwat.gov.uk/wp-content/uploads/2024/04/RAG-4.12-%E2%80%93-Guideline-for-the-table-definitions-in-the-annual-performance-report.pdf"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annual.reporting@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7.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38.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DA0F-4562-4DFA-A854-F6D6CF5F7389}">
  <sheetPr>
    <tabColor rgb="FF003595"/>
    <pageSetUpPr fitToPage="1"/>
  </sheetPr>
  <dimension ref="A1:E39"/>
  <sheetViews>
    <sheetView tabSelected="1" zoomScale="80" zoomScaleNormal="80" workbookViewId="0"/>
  </sheetViews>
  <sheetFormatPr defaultColWidth="0" defaultRowHeight="13.5" zeroHeight="1"/>
  <cols>
    <col min="1" max="1" width="2.625" style="1565" customWidth="1"/>
    <col min="2" max="2" width="2.125" style="1565" customWidth="1"/>
    <col min="3" max="3" width="118.625" style="172" customWidth="1"/>
    <col min="4" max="4" width="2.125" style="1565" customWidth="1"/>
    <col min="5" max="5" width="8.125" style="1565" customWidth="1"/>
    <col min="6" max="16384" width="9" style="1565" hidden="1"/>
  </cols>
  <sheetData>
    <row r="1" spans="2:4" ht="29.65">
      <c r="B1" s="403" t="s">
        <v>0</v>
      </c>
      <c r="C1" s="247"/>
      <c r="D1" s="247"/>
    </row>
    <row r="2" spans="2:4" ht="32" customHeight="1" thickBot="1">
      <c r="B2" s="2155" t="s">
        <v>5185</v>
      </c>
      <c r="C2" s="2155"/>
      <c r="D2" s="2155"/>
    </row>
    <row r="3" spans="2:4" ht="22.15">
      <c r="B3" s="1570" t="s">
        <v>1</v>
      </c>
      <c r="C3" s="1571"/>
      <c r="D3" s="1572"/>
    </row>
    <row r="4" spans="2:4" ht="78.75">
      <c r="B4" s="1574"/>
      <c r="C4" s="1566" t="s">
        <v>2</v>
      </c>
      <c r="D4" s="1573"/>
    </row>
    <row r="5" spans="2:4" ht="14.25">
      <c r="B5" s="1574"/>
      <c r="C5" s="1567"/>
      <c r="D5" s="1573"/>
    </row>
    <row r="6" spans="2:4" ht="22.15">
      <c r="B6" s="1575" t="s">
        <v>3</v>
      </c>
      <c r="C6" s="1568"/>
      <c r="D6" s="1576"/>
    </row>
    <row r="7" spans="2:4" s="1846" customFormat="1" ht="22.15">
      <c r="B7" s="1847"/>
      <c r="C7" s="325" t="s">
        <v>4</v>
      </c>
      <c r="D7" s="1848"/>
    </row>
    <row r="8" spans="2:4" s="1846" customFormat="1" ht="14.65" customHeight="1">
      <c r="B8" s="1847"/>
      <c r="C8" s="1849"/>
      <c r="D8" s="1848"/>
    </row>
    <row r="9" spans="2:4" s="1846" customFormat="1" ht="16.149999999999999" customHeight="1">
      <c r="B9" s="1847"/>
      <c r="C9" s="1537" t="s">
        <v>5</v>
      </c>
      <c r="D9" s="1848"/>
    </row>
    <row r="10" spans="2:4" s="1846" customFormat="1" ht="15" customHeight="1">
      <c r="B10" s="1847"/>
      <c r="C10" s="1849"/>
      <c r="D10" s="1848"/>
    </row>
    <row r="11" spans="2:4" s="1846" customFormat="1" ht="15" customHeight="1">
      <c r="B11" s="1847"/>
      <c r="C11" s="1853" t="s">
        <v>6</v>
      </c>
      <c r="D11" s="1848"/>
    </row>
    <row r="12" spans="2:4" s="1846" customFormat="1" ht="15" customHeight="1">
      <c r="B12" s="1847"/>
      <c r="C12" s="1853" t="s">
        <v>7</v>
      </c>
      <c r="D12" s="1848"/>
    </row>
    <row r="13" spans="2:4" s="1846" customFormat="1" ht="15" customHeight="1">
      <c r="B13" s="1847"/>
      <c r="C13" s="1853" t="s">
        <v>8</v>
      </c>
      <c r="D13" s="1848"/>
    </row>
    <row r="14" spans="2:4" s="1846" customFormat="1" ht="15" customHeight="1">
      <c r="B14" s="1847"/>
      <c r="C14" s="1853" t="s">
        <v>9</v>
      </c>
      <c r="D14" s="1848"/>
    </row>
    <row r="15" spans="2:4" s="1846" customFormat="1" ht="15" customHeight="1">
      <c r="B15" s="1847"/>
      <c r="C15" s="1853" t="s">
        <v>10</v>
      </c>
      <c r="D15" s="1848"/>
    </row>
    <row r="16" spans="2:4" s="1846" customFormat="1" ht="16.149999999999999" customHeight="1">
      <c r="B16" s="1847"/>
      <c r="C16" s="1849"/>
      <c r="D16" s="1848"/>
    </row>
    <row r="17" spans="2:4" s="1846" customFormat="1" ht="28.5">
      <c r="B17" s="1847"/>
      <c r="C17" s="1854" t="s">
        <v>11</v>
      </c>
      <c r="D17" s="1848"/>
    </row>
    <row r="18" spans="2:4" s="1846" customFormat="1" ht="16.149999999999999" customHeight="1">
      <c r="B18" s="1847"/>
      <c r="C18" s="1849"/>
      <c r="D18" s="1848"/>
    </row>
    <row r="19" spans="2:4" s="1846" customFormat="1" ht="16.149999999999999" customHeight="1">
      <c r="B19" s="1847"/>
      <c r="C19" s="1853" t="s">
        <v>12</v>
      </c>
      <c r="D19" s="1848"/>
    </row>
    <row r="20" spans="2:4" s="1846" customFormat="1" ht="16.149999999999999" customHeight="1">
      <c r="B20" s="1847"/>
      <c r="C20" s="1855"/>
      <c r="D20" s="1848"/>
    </row>
    <row r="21" spans="2:4" s="1846" customFormat="1" ht="94.5">
      <c r="B21" s="1847"/>
      <c r="C21" s="1569" t="s">
        <v>13</v>
      </c>
      <c r="D21" s="1848"/>
    </row>
    <row r="22" spans="2:4" s="1846" customFormat="1" ht="16.149999999999999" customHeight="1">
      <c r="B22" s="1847"/>
      <c r="C22" s="1853"/>
      <c r="D22" s="1848"/>
    </row>
    <row r="23" spans="2:4" s="1846" customFormat="1" ht="16.149999999999999" customHeight="1">
      <c r="B23" s="1850"/>
      <c r="C23" s="1857" t="s">
        <v>14</v>
      </c>
      <c r="D23" s="1851"/>
    </row>
    <row r="24" spans="2:4" s="1846" customFormat="1" ht="16.149999999999999" customHeight="1">
      <c r="B24" s="1850"/>
      <c r="C24" s="1856"/>
      <c r="D24" s="1851"/>
    </row>
    <row r="25" spans="2:4" s="1846" customFormat="1" ht="31.5" customHeight="1">
      <c r="B25" s="1850"/>
      <c r="C25" s="1537" t="s">
        <v>15</v>
      </c>
      <c r="D25" s="1851"/>
    </row>
    <row r="26" spans="2:4" s="1846" customFormat="1" ht="14.25">
      <c r="B26" s="1850"/>
      <c r="C26" s="1852"/>
      <c r="D26" s="1851"/>
    </row>
    <row r="27" spans="2:4" ht="31.5">
      <c r="B27" s="1574"/>
      <c r="C27" s="1566" t="s">
        <v>16</v>
      </c>
      <c r="D27" s="1573"/>
    </row>
    <row r="28" spans="2:4" ht="14.25">
      <c r="B28" s="1574"/>
      <c r="C28" s="1567"/>
      <c r="D28" s="1573"/>
    </row>
    <row r="29" spans="2:4" ht="22.15">
      <c r="B29" s="1575" t="s">
        <v>17</v>
      </c>
      <c r="C29" s="1568"/>
      <c r="D29" s="1576"/>
    </row>
    <row r="30" spans="2:4" ht="15.75">
      <c r="B30" s="1574"/>
      <c r="C30" s="1566" t="s">
        <v>18</v>
      </c>
      <c r="D30" s="1573"/>
    </row>
    <row r="31" spans="2:4" ht="15.75">
      <c r="B31" s="1574"/>
      <c r="C31" s="1566"/>
      <c r="D31" s="1573"/>
    </row>
    <row r="32" spans="2:4" ht="22.15">
      <c r="B32" s="1575" t="s">
        <v>19</v>
      </c>
      <c r="C32" s="1568"/>
      <c r="D32" s="1576"/>
    </row>
    <row r="33" spans="2:5" ht="31.5">
      <c r="B33" s="1574"/>
      <c r="C33" s="1566" t="s">
        <v>20</v>
      </c>
      <c r="D33" s="1573"/>
    </row>
    <row r="34" spans="2:5" ht="15.75">
      <c r="B34" s="1574"/>
      <c r="C34" s="1566"/>
      <c r="D34" s="1573"/>
    </row>
    <row r="35" spans="2:5" ht="22.15">
      <c r="B35" s="1575" t="s">
        <v>21</v>
      </c>
      <c r="C35" s="1568"/>
      <c r="D35" s="1576"/>
    </row>
    <row r="36" spans="2:5" ht="15.75">
      <c r="B36" s="1574"/>
      <c r="C36" s="2047" t="s">
        <v>22</v>
      </c>
      <c r="D36" s="1573"/>
      <c r="E36" s="1937"/>
    </row>
    <row r="37" spans="2:5" ht="15.75">
      <c r="B37" s="1574"/>
      <c r="C37" s="2046" t="s">
        <v>23</v>
      </c>
      <c r="D37" s="1573"/>
    </row>
    <row r="38" spans="2:5" ht="13.9" thickBot="1">
      <c r="B38" s="1577"/>
      <c r="C38" s="1578"/>
      <c r="D38" s="1579"/>
    </row>
    <row r="39" spans="2:5"/>
  </sheetData>
  <mergeCells count="1">
    <mergeCell ref="B2:D2"/>
  </mergeCells>
  <hyperlinks>
    <hyperlink ref="C37" r:id="rId1" xr:uid="{8DDE6BDD-1252-46B9-B3E8-B739AF0F8D0D}"/>
    <hyperlink ref="C36" r:id="rId2" xr:uid="{CB1C644D-B113-4B8C-8135-D1A566638B1F}"/>
  </hyperlinks>
  <printOptions horizontalCentered="1"/>
  <pageMargins left="0.39370078740157483" right="0.39370078740157483" top="0.78740157480314965" bottom="0.78740157480314965" header="0.31496062992125984" footer="0.31496062992125984"/>
  <pageSetup paperSize="8"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917D-3058-48F9-89B2-15A80BDDC9BF}">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0" width="12.875" style="8" customWidth="1"/>
    <col min="11" max="11" width="15.625" style="8" customWidth="1"/>
    <col min="12"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8" customWidth="1"/>
    <col min="43" max="43" width="23.5" style="8"/>
    <col min="44" max="55" width="15.625" style="8" customWidth="1"/>
    <col min="56" max="16384" width="23.5" style="8"/>
  </cols>
  <sheetData>
    <row r="1" spans="2:55" s="1" customFormat="1" ht="35.25" customHeight="1">
      <c r="B1" s="44" t="s">
        <v>36</v>
      </c>
      <c r="C1" s="2092"/>
      <c r="D1" s="2093"/>
      <c r="E1" s="2093"/>
      <c r="F1" s="6"/>
      <c r="G1" s="6"/>
      <c r="U1" s="322"/>
      <c r="AE1" s="322"/>
      <c r="AO1" s="322"/>
    </row>
    <row r="2" spans="2:55" s="1" customFormat="1" ht="10.15" customHeight="1">
      <c r="B2" s="7"/>
      <c r="C2" s="7"/>
      <c r="D2" s="7"/>
      <c r="E2" s="7"/>
      <c r="F2" s="7"/>
      <c r="G2" s="7"/>
      <c r="H2" s="7"/>
      <c r="I2" s="7"/>
      <c r="J2" s="7"/>
      <c r="K2" s="7"/>
      <c r="L2" s="7"/>
      <c r="M2" s="7"/>
      <c r="U2" s="322"/>
      <c r="AE2" s="322"/>
      <c r="AO2" s="322"/>
    </row>
    <row r="3" spans="2:55" s="10" customFormat="1" ht="31.5" customHeight="1">
      <c r="B3" s="321" t="s">
        <v>37</v>
      </c>
      <c r="C3" s="297"/>
      <c r="D3" s="297"/>
      <c r="E3" s="297"/>
      <c r="F3" s="297"/>
      <c r="G3" s="297"/>
      <c r="H3" s="297"/>
      <c r="I3" s="297"/>
      <c r="J3" s="297"/>
      <c r="K3" s="297"/>
      <c r="L3" s="297"/>
      <c r="M3" s="297"/>
      <c r="N3" s="297"/>
      <c r="O3" s="307"/>
      <c r="P3" s="309" t="str">
        <f>'Validation summary'!$B$3</f>
        <v>Southern Water</v>
      </c>
      <c r="Q3" s="1384"/>
      <c r="R3" s="300" t="s">
        <v>109</v>
      </c>
      <c r="S3" s="300"/>
      <c r="T3" s="1381"/>
      <c r="U3" s="1382"/>
      <c r="V3" s="1381"/>
      <c r="W3" s="1381"/>
      <c r="X3" s="1381"/>
      <c r="Y3" s="1381"/>
      <c r="Z3" s="1381"/>
      <c r="AA3" s="1381"/>
      <c r="AB3" s="1381"/>
      <c r="AC3" s="1381"/>
      <c r="AD3" s="1381"/>
      <c r="AE3" s="1382"/>
      <c r="AF3" s="1381"/>
      <c r="AG3" s="1381"/>
      <c r="AH3" s="1381"/>
      <c r="AI3" s="1381"/>
      <c r="AJ3" s="1381"/>
      <c r="AK3" s="1381"/>
      <c r="AL3" s="1381"/>
      <c r="AM3" s="1381"/>
      <c r="AN3" s="1381"/>
      <c r="AO3" s="1382"/>
      <c r="AP3" s="1381"/>
      <c r="AQ3" s="300" t="s">
        <v>110</v>
      </c>
      <c r="AR3" s="1381"/>
      <c r="AS3" s="1381"/>
      <c r="AT3" s="1381"/>
      <c r="AU3" s="1381"/>
      <c r="AV3" s="1381"/>
      <c r="AW3" s="1381"/>
      <c r="AX3" s="1381"/>
      <c r="AY3" s="1381"/>
      <c r="AZ3" s="1381"/>
      <c r="BA3" s="1381"/>
      <c r="BB3" s="1381"/>
      <c r="BC3" s="1381"/>
    </row>
    <row r="4" spans="2:55" s="10" customFormat="1" ht="9" customHeight="1">
      <c r="B4" s="2094"/>
      <c r="C4" s="2094"/>
      <c r="D4" s="2094"/>
      <c r="E4" s="2094"/>
      <c r="F4" s="2094"/>
      <c r="G4" s="2094"/>
      <c r="H4" s="2094"/>
      <c r="I4" s="2094"/>
      <c r="J4" s="2094"/>
      <c r="K4" s="2094"/>
      <c r="L4" s="2094"/>
      <c r="M4" s="2094"/>
      <c r="N4" s="2094"/>
      <c r="O4" s="1381"/>
      <c r="P4" s="1381"/>
      <c r="Q4" s="1381"/>
      <c r="R4" s="1381"/>
      <c r="S4" s="1381"/>
      <c r="T4" s="1381"/>
      <c r="U4" s="1382"/>
      <c r="V4" s="1381"/>
      <c r="W4" s="1381"/>
      <c r="X4" s="1381"/>
      <c r="Y4" s="1381"/>
      <c r="Z4" s="1381"/>
      <c r="AA4" s="1381"/>
      <c r="AB4" s="1381"/>
      <c r="AC4" s="1381"/>
      <c r="AD4" s="1381"/>
      <c r="AE4" s="1382"/>
      <c r="AF4" s="1381"/>
      <c r="AG4" s="1381"/>
      <c r="AH4" s="1381"/>
      <c r="AI4" s="1381"/>
      <c r="AJ4" s="1381"/>
      <c r="AK4" s="1381"/>
      <c r="AL4" s="1381"/>
      <c r="AM4" s="1381"/>
      <c r="AN4" s="1381"/>
      <c r="AO4" s="1382"/>
      <c r="AP4" s="1381"/>
      <c r="AQ4" s="1381"/>
      <c r="AR4" s="1381"/>
      <c r="AS4" s="1381"/>
      <c r="AT4" s="1381"/>
      <c r="AU4" s="1381"/>
      <c r="AV4" s="1381"/>
      <c r="AW4" s="1381"/>
      <c r="AX4" s="1381"/>
      <c r="AY4" s="1381"/>
      <c r="AZ4" s="1381"/>
      <c r="BA4" s="1381"/>
      <c r="BB4" s="1381"/>
      <c r="BC4" s="1381"/>
    </row>
    <row r="5" spans="2:55" s="10" customFormat="1" ht="14.25" customHeight="1">
      <c r="B5" s="1381"/>
      <c r="C5" s="26">
        <v>1</v>
      </c>
      <c r="D5" s="26">
        <v>2</v>
      </c>
      <c r="E5" s="26">
        <v>3</v>
      </c>
      <c r="F5" s="26">
        <v>4</v>
      </c>
      <c r="G5" s="26">
        <v>5</v>
      </c>
      <c r="H5" s="1381"/>
      <c r="I5" s="1381"/>
      <c r="J5" s="1381"/>
      <c r="K5" s="1381"/>
      <c r="L5" s="1381"/>
      <c r="M5" s="1381"/>
      <c r="N5" s="1381"/>
      <c r="O5" s="1381"/>
      <c r="P5" s="1381"/>
      <c r="Q5" s="1381"/>
      <c r="R5" s="1381"/>
      <c r="S5" s="1381"/>
      <c r="T5" s="1381"/>
      <c r="U5" s="1382"/>
      <c r="V5" s="1381" t="s">
        <v>121</v>
      </c>
      <c r="W5" s="1381"/>
      <c r="X5" s="1381"/>
      <c r="Y5" s="1381"/>
      <c r="Z5" s="1381"/>
      <c r="AA5" s="1381"/>
      <c r="AB5" s="1381"/>
      <c r="AC5" s="1381"/>
      <c r="AD5" s="1381"/>
      <c r="AE5" s="1382"/>
      <c r="AF5" s="1381" t="s">
        <v>122</v>
      </c>
      <c r="AG5" s="1381"/>
      <c r="AH5" s="1381"/>
      <c r="AI5" s="1381"/>
      <c r="AJ5" s="1381"/>
      <c r="AK5" s="1381"/>
      <c r="AL5" s="1381"/>
      <c r="AM5" s="1381"/>
      <c r="AN5" s="1381"/>
      <c r="AO5" s="1382"/>
      <c r="AP5" s="1381"/>
      <c r="AQ5" s="1381"/>
      <c r="AR5" s="1381"/>
      <c r="AS5" s="1381"/>
      <c r="AT5" s="1381"/>
      <c r="AU5" s="1381"/>
      <c r="AV5" s="1381"/>
      <c r="AW5" s="1381"/>
      <c r="AX5" s="1381"/>
      <c r="AY5" s="1381"/>
      <c r="AZ5" s="1381"/>
      <c r="BA5" s="1381"/>
      <c r="BB5" s="1381"/>
      <c r="BC5" s="1381"/>
    </row>
    <row r="6" spans="2:55" s="10" customFormat="1" ht="57.75" customHeight="1">
      <c r="B6" s="1321" t="s">
        <v>112</v>
      </c>
      <c r="C6" s="1320" t="s">
        <v>114</v>
      </c>
      <c r="D6" s="1320" t="s">
        <v>628</v>
      </c>
      <c r="E6" s="1320" t="s">
        <v>629</v>
      </c>
      <c r="F6" s="1320" t="s">
        <v>630</v>
      </c>
      <c r="G6" s="1320" t="s">
        <v>631</v>
      </c>
      <c r="H6" s="284"/>
      <c r="I6" s="284"/>
      <c r="J6" s="284"/>
      <c r="K6" s="284"/>
      <c r="L6" s="284"/>
      <c r="M6" s="284"/>
      <c r="N6" s="284"/>
      <c r="O6" s="285"/>
      <c r="P6" s="1320" t="s">
        <v>120</v>
      </c>
      <c r="Q6" s="1381"/>
      <c r="R6" s="334" t="s">
        <v>121</v>
      </c>
      <c r="S6" s="334" t="s">
        <v>122</v>
      </c>
      <c r="T6" s="1381"/>
      <c r="U6" s="1382"/>
      <c r="V6" s="330" t="s">
        <v>124</v>
      </c>
      <c r="W6" s="1381"/>
      <c r="X6" s="1381"/>
      <c r="Y6" s="1381"/>
      <c r="Z6" s="1381"/>
      <c r="AA6" s="1381"/>
      <c r="AB6" s="1381"/>
      <c r="AC6" s="1381"/>
      <c r="AD6" s="1381"/>
      <c r="AE6" s="1382"/>
      <c r="AF6" s="330" t="s">
        <v>125</v>
      </c>
      <c r="AG6" s="1381"/>
      <c r="AH6" s="330"/>
      <c r="AI6" s="330"/>
      <c r="AJ6" s="1381"/>
      <c r="AK6" s="1381"/>
      <c r="AL6" s="1381"/>
      <c r="AM6" s="1381"/>
      <c r="AN6" s="1381"/>
      <c r="AO6" s="1382"/>
      <c r="AP6" s="1381"/>
      <c r="AQ6" s="1321" t="s">
        <v>112</v>
      </c>
      <c r="AR6" s="1320" t="s">
        <v>114</v>
      </c>
      <c r="AS6" s="1320" t="s">
        <v>628</v>
      </c>
      <c r="AT6" s="1320" t="s">
        <v>629</v>
      </c>
      <c r="AU6" s="1320" t="s">
        <v>632</v>
      </c>
      <c r="AV6" s="1320" t="s">
        <v>631</v>
      </c>
      <c r="AW6" s="1381"/>
      <c r="AX6" s="1381"/>
      <c r="AY6" s="1381"/>
      <c r="AZ6" s="1381"/>
      <c r="BA6" s="1381"/>
      <c r="BB6" s="1381"/>
      <c r="BC6" s="1381"/>
    </row>
    <row r="7" spans="2:55" s="10" customFormat="1" ht="15.75">
      <c r="B7" s="24"/>
      <c r="C7" s="24"/>
      <c r="D7" s="24"/>
      <c r="E7" s="24"/>
      <c r="F7" s="24"/>
      <c r="G7" s="24"/>
      <c r="H7" s="1378"/>
      <c r="I7" s="1378"/>
      <c r="J7" s="1378"/>
      <c r="K7" s="1378"/>
      <c r="L7" s="1378"/>
      <c r="M7" s="1378"/>
      <c r="N7" s="1378"/>
      <c r="O7" s="1381"/>
      <c r="P7" s="1381"/>
      <c r="Q7" s="1381"/>
      <c r="R7" s="1381"/>
      <c r="S7" s="1381"/>
      <c r="T7" s="1381"/>
      <c r="U7" s="1382"/>
      <c r="V7" s="1381"/>
      <c r="W7" s="1381"/>
      <c r="X7" s="1381"/>
      <c r="Y7" s="1381"/>
      <c r="Z7" s="1381"/>
      <c r="AA7" s="1381"/>
      <c r="AB7" s="1381"/>
      <c r="AC7" s="1381"/>
      <c r="AD7" s="1381"/>
      <c r="AE7" s="1382"/>
      <c r="AF7" s="1381"/>
      <c r="AG7" s="1381"/>
      <c r="AH7" s="1381"/>
      <c r="AI7" s="1381"/>
      <c r="AJ7" s="1381"/>
      <c r="AK7" s="1381"/>
      <c r="AL7" s="1381"/>
      <c r="AM7" s="1381"/>
      <c r="AN7" s="1381"/>
      <c r="AO7" s="1382"/>
      <c r="AP7" s="1381"/>
      <c r="AQ7" s="1381"/>
      <c r="AR7" s="1381"/>
      <c r="AS7" s="1381"/>
      <c r="AT7" s="1381"/>
      <c r="AU7" s="1381"/>
      <c r="AV7" s="1381"/>
      <c r="AW7" s="1381"/>
      <c r="AX7" s="1381"/>
      <c r="AY7" s="1381"/>
      <c r="AZ7" s="1381"/>
      <c r="BA7" s="1381"/>
      <c r="BB7" s="1381"/>
      <c r="BC7" s="1381"/>
    </row>
    <row r="8" spans="2:55" s="10" customFormat="1" ht="26.25">
      <c r="B8" s="311" t="s">
        <v>633</v>
      </c>
      <c r="C8" s="24"/>
      <c r="D8" s="24"/>
      <c r="E8" s="24"/>
      <c r="F8" s="24"/>
      <c r="G8" s="24"/>
      <c r="H8" s="1378"/>
      <c r="I8" s="1378"/>
      <c r="J8" s="1378"/>
      <c r="K8" s="1378"/>
      <c r="L8" s="1378"/>
      <c r="M8" s="1378"/>
      <c r="N8" s="1378"/>
      <c r="O8" s="1381"/>
      <c r="P8" s="1381"/>
      <c r="Q8" s="1381"/>
      <c r="R8" s="1381"/>
      <c r="S8" s="1381"/>
      <c r="T8" s="1381"/>
      <c r="U8" s="1382"/>
      <c r="V8" s="327">
        <v>3</v>
      </c>
      <c r="W8" s="327">
        <v>4</v>
      </c>
      <c r="X8" s="327">
        <v>5</v>
      </c>
      <c r="Y8" s="327"/>
      <c r="Z8" s="327"/>
      <c r="AA8" s="327"/>
      <c r="AB8" s="327"/>
      <c r="AC8" s="327"/>
      <c r="AD8" s="327"/>
      <c r="AE8" s="331"/>
      <c r="AF8" s="327">
        <v>3</v>
      </c>
      <c r="AG8" s="327">
        <v>4</v>
      </c>
      <c r="AH8" s="327">
        <v>5</v>
      </c>
      <c r="AI8" s="327"/>
      <c r="AJ8" s="327"/>
      <c r="AK8" s="327"/>
      <c r="AL8" s="327"/>
      <c r="AM8" s="327"/>
      <c r="AN8" s="327"/>
      <c r="AO8" s="1382"/>
      <c r="AP8" s="1381"/>
      <c r="AQ8" s="1499"/>
      <c r="AR8" s="1500"/>
      <c r="AS8" s="1500"/>
      <c r="AT8" s="1500"/>
      <c r="AU8" s="1500"/>
      <c r="AV8" s="1500"/>
      <c r="AW8" s="284"/>
      <c r="AX8" s="284"/>
      <c r="AY8" s="284"/>
      <c r="AZ8" s="1381"/>
      <c r="BA8" s="1381"/>
      <c r="BB8" s="1381"/>
      <c r="BC8" s="1381"/>
    </row>
    <row r="9" spans="2:55" s="22" customFormat="1" ht="29.25" customHeight="1">
      <c r="B9" s="310" t="s">
        <v>634</v>
      </c>
      <c r="C9" s="310" t="s">
        <v>635</v>
      </c>
      <c r="D9" s="380" t="s">
        <v>636</v>
      </c>
      <c r="E9" s="1909">
        <f>$E$11</f>
        <v>13972.6</v>
      </c>
      <c r="F9" s="1890">
        <v>985</v>
      </c>
      <c r="G9" s="1908">
        <f>(F9 / E9) * 1000</f>
        <v>70.49511186178664</v>
      </c>
      <c r="H9" s="357"/>
      <c r="I9" s="357"/>
      <c r="J9" s="357"/>
      <c r="K9" s="357"/>
      <c r="L9" s="357"/>
      <c r="N9" s="27"/>
      <c r="P9" s="294" t="s">
        <v>637</v>
      </c>
      <c r="R9" s="329">
        <f>IF(SUM($V9:$X9)=0,0,$V$6)</f>
        <v>0</v>
      </c>
      <c r="S9" s="343">
        <f>IF(SUM($AF9:$AH9)=0,0,$AF$6)</f>
        <v>0</v>
      </c>
      <c r="T9" s="259"/>
      <c r="U9" s="1382"/>
      <c r="V9" s="328"/>
      <c r="W9" s="328">
        <f>IF(ISBLANK($F9)=TRUE,1,0)</f>
        <v>0</v>
      </c>
      <c r="X9" s="328"/>
      <c r="Y9" s="328"/>
      <c r="Z9" s="328"/>
      <c r="AA9" s="328"/>
      <c r="AB9" s="328"/>
      <c r="AC9" s="328"/>
      <c r="AD9" s="328"/>
      <c r="AE9" s="1382"/>
      <c r="AF9" s="332">
        <f>IF($E9&lt;0,1,0)</f>
        <v>0</v>
      </c>
      <c r="AG9" s="332">
        <f>IF($F9&lt;0,1,0)</f>
        <v>0</v>
      </c>
      <c r="AH9" s="332"/>
      <c r="AI9" s="328"/>
      <c r="AJ9" s="332"/>
      <c r="AK9" s="332"/>
      <c r="AL9" s="332"/>
      <c r="AM9" s="332"/>
      <c r="AN9" s="332"/>
      <c r="AO9" s="1382"/>
      <c r="AQ9" s="310" t="str">
        <f>B9</f>
        <v>Mains repairs - Reactive</v>
      </c>
      <c r="AR9" s="310" t="str">
        <f t="shared" ref="AR9:AS12" si="0">C9</f>
        <v>Mains repairs per 1000 km</v>
      </c>
      <c r="AS9" s="310" t="str">
        <f t="shared" si="0"/>
        <v>Mains length in km</v>
      </c>
      <c r="AT9" s="1547"/>
      <c r="AU9" s="1501" t="s">
        <v>638</v>
      </c>
      <c r="AV9" s="1548" t="s">
        <v>639</v>
      </c>
      <c r="AW9" s="357"/>
      <c r="AX9" s="357"/>
      <c r="AY9" s="357"/>
    </row>
    <row r="10" spans="2:55" s="22" customFormat="1" ht="29.25" customHeight="1" thickBot="1">
      <c r="B10" s="310" t="s">
        <v>640</v>
      </c>
      <c r="C10" s="310" t="s">
        <v>635</v>
      </c>
      <c r="D10" s="380" t="s">
        <v>636</v>
      </c>
      <c r="E10" s="1909">
        <f>$E$11</f>
        <v>13972.6</v>
      </c>
      <c r="F10" s="1890">
        <v>707</v>
      </c>
      <c r="G10" s="1887">
        <f>(F10 / E10) * 1000</f>
        <v>50.599029529221475</v>
      </c>
      <c r="H10" s="358"/>
      <c r="I10" s="358"/>
      <c r="J10" s="358"/>
      <c r="K10" s="358"/>
      <c r="L10" s="358"/>
      <c r="N10" s="27"/>
      <c r="P10" s="294" t="s">
        <v>641</v>
      </c>
      <c r="R10" s="329">
        <f>IF(SUM($V10:$X10)=0,0,$V$6)</f>
        <v>0</v>
      </c>
      <c r="S10" s="343">
        <f>IF(SUM($AF10:$AH10)=0,0,$AF$6)</f>
        <v>0</v>
      </c>
      <c r="T10" s="259"/>
      <c r="U10" s="1382"/>
      <c r="V10" s="328"/>
      <c r="W10" s="328">
        <f t="shared" ref="W10:W12" si="1">IF(ISBLANK($F10)=TRUE,1,0)</f>
        <v>0</v>
      </c>
      <c r="X10" s="328"/>
      <c r="Y10" s="328"/>
      <c r="Z10" s="328"/>
      <c r="AA10" s="328"/>
      <c r="AB10" s="328"/>
      <c r="AC10" s="328"/>
      <c r="AD10" s="328"/>
      <c r="AE10" s="1382"/>
      <c r="AF10" s="332">
        <f t="shared" ref="AF10:AF12" si="2">IF($E10&lt;0,1,0)</f>
        <v>0</v>
      </c>
      <c r="AG10" s="332">
        <f t="shared" ref="AG10:AG12" si="3">IF($F10&lt;0,1,0)</f>
        <v>0</v>
      </c>
      <c r="AH10" s="332"/>
      <c r="AI10" s="328"/>
      <c r="AJ10" s="332"/>
      <c r="AK10" s="332"/>
      <c r="AL10" s="332"/>
      <c r="AM10" s="332"/>
      <c r="AN10" s="332"/>
      <c r="AO10" s="1382"/>
      <c r="AQ10" s="310" t="str">
        <f t="shared" ref="AQ10:AQ12" si="4">B10</f>
        <v>Mains repairs - Proactive</v>
      </c>
      <c r="AR10" s="310" t="str">
        <f t="shared" si="0"/>
        <v>Mains repairs per 1000 km</v>
      </c>
      <c r="AS10" s="310" t="str">
        <f t="shared" si="0"/>
        <v>Mains length in km</v>
      </c>
      <c r="AT10" s="1547"/>
      <c r="AU10" s="1501" t="s">
        <v>642</v>
      </c>
      <c r="AV10" s="1494" t="s">
        <v>643</v>
      </c>
      <c r="AW10" s="358"/>
      <c r="AX10" s="358"/>
      <c r="AY10" s="358"/>
    </row>
    <row r="11" spans="2:55" s="22" customFormat="1" ht="29.25" customHeight="1" thickTop="1" thickBot="1">
      <c r="B11" s="310" t="s">
        <v>161</v>
      </c>
      <c r="C11" s="310" t="s">
        <v>635</v>
      </c>
      <c r="D11" s="380" t="s">
        <v>636</v>
      </c>
      <c r="E11" s="1891">
        <v>13972.6</v>
      </c>
      <c r="F11" s="1907">
        <f>SUM(F9:F10)</f>
        <v>1692</v>
      </c>
      <c r="G11" s="1887">
        <f>(F11 / E11) * 1000</f>
        <v>121.09414139100812</v>
      </c>
      <c r="H11" s="358"/>
      <c r="I11" s="358"/>
      <c r="J11" s="358"/>
      <c r="K11" s="358"/>
      <c r="L11" s="358"/>
      <c r="N11" s="27"/>
      <c r="P11" s="294" t="s">
        <v>644</v>
      </c>
      <c r="R11" s="329">
        <f>IF(SUM($V11:$X11)=0,0,$V$6)</f>
        <v>0</v>
      </c>
      <c r="S11" s="343">
        <f>IF(SUM($AF11:$AH11)=0,0,$AF$6)</f>
        <v>0</v>
      </c>
      <c r="T11" s="259"/>
      <c r="U11" s="1382"/>
      <c r="V11" s="328">
        <f t="shared" ref="V11:V12" si="5">IF(ISBLANK($E11)=TRUE,1,0)</f>
        <v>0</v>
      </c>
      <c r="W11" s="328"/>
      <c r="X11" s="328"/>
      <c r="Y11" s="328"/>
      <c r="Z11" s="328"/>
      <c r="AA11" s="328"/>
      <c r="AB11" s="328"/>
      <c r="AC11" s="328"/>
      <c r="AD11" s="328"/>
      <c r="AE11" s="1382"/>
      <c r="AF11" s="332">
        <f t="shared" si="2"/>
        <v>0</v>
      </c>
      <c r="AG11" s="332"/>
      <c r="AH11" s="332"/>
      <c r="AI11" s="328"/>
      <c r="AJ11" s="332"/>
      <c r="AK11" s="332"/>
      <c r="AL11" s="332"/>
      <c r="AM11" s="332"/>
      <c r="AN11" s="332"/>
      <c r="AO11" s="1382"/>
      <c r="AQ11" s="310" t="str">
        <f t="shared" si="4"/>
        <v>Mains repairs</v>
      </c>
      <c r="AR11" s="310" t="str">
        <f t="shared" si="0"/>
        <v>Mains repairs per 1000 km</v>
      </c>
      <c r="AS11" s="310" t="str">
        <f t="shared" si="0"/>
        <v>Mains length in km</v>
      </c>
      <c r="AT11" s="1545"/>
      <c r="AU11" s="1549" t="s">
        <v>645</v>
      </c>
      <c r="AV11" s="1494" t="s">
        <v>163</v>
      </c>
      <c r="AW11" s="358"/>
      <c r="AX11" s="358"/>
      <c r="AY11" s="358"/>
    </row>
    <row r="12" spans="2:55" s="22" customFormat="1" ht="53.25" customHeight="1" thickTop="1">
      <c r="B12" s="310" t="s">
        <v>646</v>
      </c>
      <c r="C12" s="310" t="s">
        <v>647</v>
      </c>
      <c r="D12" s="1312" t="s">
        <v>648</v>
      </c>
      <c r="E12" s="1892">
        <v>2623.5</v>
      </c>
      <c r="F12" s="1890">
        <v>332.5</v>
      </c>
      <c r="G12" s="1887">
        <f>ROUND((F12 / E12)*1000,1)</f>
        <v>126.7</v>
      </c>
      <c r="H12" s="361"/>
      <c r="I12" s="361"/>
      <c r="J12" s="361"/>
      <c r="K12" s="361"/>
      <c r="L12" s="361"/>
      <c r="N12" s="27"/>
      <c r="P12" s="294" t="s">
        <v>649</v>
      </c>
      <c r="R12" s="329">
        <f>IF(SUM($V12:$X12)=0,0,$V$6)</f>
        <v>0</v>
      </c>
      <c r="S12" s="343">
        <f>IF(SUM($AF12:$AH12)=0,0,$AF$6)</f>
        <v>0</v>
      </c>
      <c r="U12" s="1382"/>
      <c r="V12" s="328">
        <f t="shared" si="5"/>
        <v>0</v>
      </c>
      <c r="W12" s="328">
        <f t="shared" si="1"/>
        <v>0</v>
      </c>
      <c r="X12" s="328"/>
      <c r="Y12" s="328"/>
      <c r="Z12" s="328"/>
      <c r="AA12" s="328"/>
      <c r="AB12" s="328"/>
      <c r="AC12" s="328"/>
      <c r="AD12" s="328"/>
      <c r="AE12" s="1382"/>
      <c r="AF12" s="332">
        <f t="shared" si="2"/>
        <v>0</v>
      </c>
      <c r="AG12" s="332">
        <f t="shared" si="3"/>
        <v>0</v>
      </c>
      <c r="AH12" s="332"/>
      <c r="AI12" s="328"/>
      <c r="AJ12" s="332"/>
      <c r="AK12" s="332"/>
      <c r="AL12" s="332"/>
      <c r="AM12" s="332"/>
      <c r="AN12" s="332"/>
      <c r="AO12" s="1382"/>
      <c r="AQ12" s="310" t="str">
        <f t="shared" si="4"/>
        <v>Per capita consumption (PCC)</v>
      </c>
      <c r="AR12" s="310" t="str">
        <f t="shared" si="0"/>
        <v>lpd</v>
      </c>
      <c r="AS12" s="310" t="str">
        <f t="shared" si="0"/>
        <v>Total household population (000s) and household consumption (Ml/d)</v>
      </c>
      <c r="AT12" s="1545" t="s">
        <v>650</v>
      </c>
      <c r="AU12" s="1501" t="s">
        <v>651</v>
      </c>
      <c r="AV12" s="1494" t="s">
        <v>652</v>
      </c>
      <c r="AW12" s="361"/>
      <c r="AX12" s="361"/>
      <c r="AY12" s="361"/>
    </row>
    <row r="13" spans="2:55" s="22" customFormat="1" ht="13.5" customHeight="1">
      <c r="B13" s="28"/>
      <c r="C13" s="28"/>
      <c r="D13" s="28"/>
      <c r="E13" s="12"/>
      <c r="F13" s="12"/>
      <c r="G13" s="12"/>
      <c r="H13" s="27"/>
      <c r="I13" s="27"/>
      <c r="J13" s="27"/>
      <c r="K13" s="27"/>
      <c r="L13" s="27"/>
      <c r="M13" s="27"/>
      <c r="N13" s="27"/>
      <c r="P13" s="11"/>
      <c r="R13" s="11"/>
      <c r="S13" s="11"/>
      <c r="U13" s="1382"/>
      <c r="V13" s="328"/>
      <c r="W13" s="328"/>
      <c r="X13" s="328"/>
      <c r="Y13" s="328"/>
      <c r="Z13" s="328"/>
      <c r="AA13" s="328"/>
      <c r="AB13" s="328"/>
      <c r="AC13" s="328"/>
      <c r="AD13" s="328"/>
      <c r="AE13" s="1382"/>
      <c r="AF13" s="332"/>
      <c r="AG13" s="332"/>
      <c r="AH13" s="332"/>
      <c r="AI13" s="328"/>
      <c r="AJ13" s="332"/>
      <c r="AK13" s="332"/>
      <c r="AL13" s="332"/>
      <c r="AM13" s="332"/>
      <c r="AN13" s="332"/>
      <c r="AO13" s="1382"/>
    </row>
    <row r="14" spans="2:55" s="22" customFormat="1" ht="14.25">
      <c r="B14" s="28"/>
      <c r="C14" s="26">
        <v>6</v>
      </c>
      <c r="D14" s="26">
        <v>7</v>
      </c>
      <c r="E14" s="26">
        <v>8</v>
      </c>
      <c r="F14" s="26">
        <v>9</v>
      </c>
      <c r="G14" s="26">
        <v>10</v>
      </c>
      <c r="H14" s="26">
        <v>11</v>
      </c>
      <c r="I14" s="26" t="s">
        <v>653</v>
      </c>
      <c r="J14" s="26" t="s">
        <v>654</v>
      </c>
      <c r="K14" s="26" t="s">
        <v>655</v>
      </c>
      <c r="L14" s="26" t="s">
        <v>656</v>
      </c>
      <c r="M14" s="26">
        <v>12</v>
      </c>
      <c r="N14" s="26">
        <v>13</v>
      </c>
      <c r="U14" s="1382"/>
      <c r="V14" s="328"/>
      <c r="W14" s="328"/>
      <c r="X14" s="328"/>
      <c r="Y14" s="328"/>
      <c r="Z14" s="328"/>
      <c r="AA14" s="328"/>
      <c r="AB14" s="328"/>
      <c r="AC14" s="328"/>
      <c r="AD14" s="328"/>
      <c r="AE14" s="1382"/>
      <c r="AF14" s="332"/>
      <c r="AG14" s="332"/>
      <c r="AH14" s="332"/>
      <c r="AI14" s="328"/>
      <c r="AJ14" s="332"/>
      <c r="AK14" s="332"/>
      <c r="AL14" s="332"/>
      <c r="AM14" s="332"/>
      <c r="AN14" s="332"/>
      <c r="AO14" s="1382"/>
    </row>
    <row r="15" spans="2:55" s="10" customFormat="1" ht="72.75" customHeight="1">
      <c r="B15" s="1321" t="s">
        <v>112</v>
      </c>
      <c r="C15" s="1320" t="s">
        <v>114</v>
      </c>
      <c r="D15" s="1320" t="s">
        <v>657</v>
      </c>
      <c r="E15" s="1320" t="s">
        <v>658</v>
      </c>
      <c r="F15" s="1320" t="s">
        <v>659</v>
      </c>
      <c r="G15" s="1320" t="s">
        <v>660</v>
      </c>
      <c r="H15" s="1320" t="s">
        <v>661</v>
      </c>
      <c r="I15" s="1320" t="s">
        <v>662</v>
      </c>
      <c r="J15" s="1320" t="s">
        <v>663</v>
      </c>
      <c r="K15" s="1320" t="s">
        <v>664</v>
      </c>
      <c r="L15" s="1320" t="s">
        <v>665</v>
      </c>
      <c r="M15" s="1320" t="s">
        <v>666</v>
      </c>
      <c r="N15" s="1320" t="s">
        <v>667</v>
      </c>
      <c r="O15" s="1381"/>
      <c r="P15" s="1381"/>
      <c r="Q15" s="1381"/>
      <c r="R15" s="1381"/>
      <c r="S15" s="1381"/>
      <c r="T15" s="1381"/>
      <c r="U15" s="1382"/>
      <c r="V15" s="328"/>
      <c r="W15" s="328"/>
      <c r="X15" s="328"/>
      <c r="Y15" s="328"/>
      <c r="Z15" s="328"/>
      <c r="AA15" s="328"/>
      <c r="AB15" s="328"/>
      <c r="AC15" s="328"/>
      <c r="AD15" s="328"/>
      <c r="AE15" s="1382"/>
      <c r="AF15" s="332"/>
      <c r="AG15" s="332"/>
      <c r="AH15" s="332"/>
      <c r="AI15" s="328"/>
      <c r="AJ15" s="332"/>
      <c r="AK15" s="332"/>
      <c r="AL15" s="332"/>
      <c r="AM15" s="332"/>
      <c r="AN15" s="332"/>
      <c r="AO15" s="1382"/>
      <c r="AP15" s="1381"/>
      <c r="AQ15" s="1321" t="s">
        <v>112</v>
      </c>
      <c r="AR15" s="1320" t="s">
        <v>114</v>
      </c>
      <c r="AS15" s="1320" t="s">
        <v>657</v>
      </c>
      <c r="AT15" s="1320" t="s">
        <v>658</v>
      </c>
      <c r="AU15" s="1320" t="s">
        <v>659</v>
      </c>
      <c r="AV15" s="1320" t="s">
        <v>660</v>
      </c>
      <c r="AW15" s="1320" t="s">
        <v>661</v>
      </c>
      <c r="AX15" s="1320" t="s">
        <v>662</v>
      </c>
      <c r="AY15" s="1320" t="s">
        <v>663</v>
      </c>
      <c r="AZ15" s="1320" t="s">
        <v>664</v>
      </c>
      <c r="BA15" s="1320" t="s">
        <v>665</v>
      </c>
      <c r="BB15" s="1320" t="s">
        <v>666</v>
      </c>
      <c r="BC15" s="1320" t="s">
        <v>667</v>
      </c>
    </row>
    <row r="16" spans="2:55" s="10" customFormat="1" ht="15.75">
      <c r="B16" s="24"/>
      <c r="C16" s="24"/>
      <c r="D16" s="24"/>
      <c r="E16" s="24"/>
      <c r="F16" s="24"/>
      <c r="G16" s="24"/>
      <c r="H16" s="24"/>
      <c r="I16" s="24"/>
      <c r="J16" s="24"/>
      <c r="K16" s="24"/>
      <c r="L16" s="24"/>
      <c r="M16" s="24"/>
      <c r="N16" s="24"/>
      <c r="O16" s="1381"/>
      <c r="P16" s="1381"/>
      <c r="Q16" s="1381"/>
      <c r="R16" s="1381"/>
      <c r="S16" s="1381"/>
      <c r="T16" s="1381"/>
      <c r="U16" s="1382"/>
      <c r="V16" s="328"/>
      <c r="W16" s="328"/>
      <c r="X16" s="328"/>
      <c r="Y16" s="328"/>
      <c r="Z16" s="328"/>
      <c r="AA16" s="328"/>
      <c r="AB16" s="328"/>
      <c r="AC16" s="328"/>
      <c r="AD16" s="328"/>
      <c r="AE16" s="1382"/>
      <c r="AF16" s="332"/>
      <c r="AG16" s="332"/>
      <c r="AH16" s="332"/>
      <c r="AI16" s="328"/>
      <c r="AJ16" s="332"/>
      <c r="AK16" s="332"/>
      <c r="AL16" s="332"/>
      <c r="AM16" s="332"/>
      <c r="AN16" s="332"/>
      <c r="AO16" s="1382"/>
      <c r="AP16" s="1381"/>
      <c r="AQ16" s="1381"/>
      <c r="AR16" s="1381"/>
      <c r="AS16" s="1381"/>
      <c r="AT16" s="1381"/>
      <c r="AU16" s="1381"/>
      <c r="AV16" s="1381"/>
      <c r="AW16" s="1381"/>
      <c r="AX16" s="1381"/>
      <c r="AY16" s="1381"/>
      <c r="AZ16" s="1381"/>
      <c r="BA16" s="1381"/>
      <c r="BB16" s="1381"/>
      <c r="BC16" s="1381"/>
    </row>
    <row r="17" spans="2:55" s="10" customFormat="1" ht="42" customHeight="1" thickBot="1">
      <c r="B17" s="311" t="s">
        <v>668</v>
      </c>
      <c r="C17" s="24"/>
      <c r="D17" s="24"/>
      <c r="E17" s="24"/>
      <c r="F17" s="24"/>
      <c r="G17" s="24"/>
      <c r="H17" s="360"/>
      <c r="I17" s="360"/>
      <c r="J17" s="360"/>
      <c r="K17" s="360"/>
      <c r="L17" s="360"/>
      <c r="M17" s="24"/>
      <c r="N17" s="24"/>
      <c r="O17" s="1381"/>
      <c r="P17" s="1381"/>
      <c r="Q17" s="1381"/>
      <c r="R17" s="1381"/>
      <c r="S17" s="1381"/>
      <c r="T17" s="1381"/>
      <c r="U17" s="1382"/>
      <c r="V17" s="327">
        <v>7</v>
      </c>
      <c r="W17" s="327">
        <v>8</v>
      </c>
      <c r="X17" s="327">
        <v>9</v>
      </c>
      <c r="Y17" s="327">
        <v>10</v>
      </c>
      <c r="Z17" s="327">
        <v>11</v>
      </c>
      <c r="AA17" s="327" t="s">
        <v>653</v>
      </c>
      <c r="AB17" s="327" t="s">
        <v>654</v>
      </c>
      <c r="AC17" s="327" t="s">
        <v>655</v>
      </c>
      <c r="AD17" s="327" t="s">
        <v>656</v>
      </c>
      <c r="AE17" s="1382"/>
      <c r="AF17" s="327">
        <v>7</v>
      </c>
      <c r="AG17" s="327">
        <v>8</v>
      </c>
      <c r="AH17" s="327">
        <v>9</v>
      </c>
      <c r="AI17" s="327">
        <v>10</v>
      </c>
      <c r="AJ17" s="327">
        <v>11</v>
      </c>
      <c r="AK17" s="327" t="s">
        <v>653</v>
      </c>
      <c r="AL17" s="327" t="s">
        <v>654</v>
      </c>
      <c r="AM17" s="327" t="s">
        <v>655</v>
      </c>
      <c r="AN17" s="327" t="s">
        <v>656</v>
      </c>
      <c r="AO17" s="1382"/>
      <c r="AP17" s="1381"/>
      <c r="AQ17" s="1381"/>
      <c r="AR17" s="1381"/>
      <c r="AS17" s="1381"/>
      <c r="AT17" s="1381"/>
      <c r="AU17" s="1381"/>
      <c r="AV17" s="1381"/>
      <c r="AW17" s="1381"/>
      <c r="AX17" s="1381"/>
      <c r="AY17" s="1381"/>
      <c r="AZ17" s="1381"/>
      <c r="BA17" s="1381"/>
      <c r="BB17" s="1381"/>
      <c r="BC17" s="1381"/>
    </row>
    <row r="18" spans="2:55" s="22" customFormat="1" ht="25.5" customHeight="1" thickTop="1" thickBot="1">
      <c r="B18" s="310" t="s">
        <v>669</v>
      </c>
      <c r="C18" s="310" t="s">
        <v>670</v>
      </c>
      <c r="D18" s="1893">
        <v>102.6</v>
      </c>
      <c r="E18" s="1893">
        <v>102.9</v>
      </c>
      <c r="F18" s="1893">
        <v>94.1</v>
      </c>
      <c r="G18" s="1905">
        <f>ROUND(AVERAGE(D18:F18),1)</f>
        <v>99.9</v>
      </c>
      <c r="H18" s="1895">
        <v>93.8</v>
      </c>
      <c r="I18" s="1895">
        <v>96.8</v>
      </c>
      <c r="J18" s="1894">
        <v>108.5</v>
      </c>
      <c r="K18" s="1896">
        <v>107.5</v>
      </c>
      <c r="L18" s="370"/>
      <c r="M18" s="1906">
        <f>ROUND(AVERAGE(I18:K18),1)</f>
        <v>104.3</v>
      </c>
      <c r="N18" s="1906">
        <f>(1-M18/G18)*100</f>
        <v>-4.404404404404394</v>
      </c>
      <c r="P18" s="294" t="s">
        <v>671</v>
      </c>
      <c r="R18" s="329">
        <f>IF(SUM($V18:$AD18)=0,0,$V$6)</f>
        <v>0</v>
      </c>
      <c r="S18" s="343">
        <f>IF(SUM($AF18:$AN18)=0,0,$AF$6)</f>
        <v>0</v>
      </c>
      <c r="T18" s="259"/>
      <c r="U18" s="1382"/>
      <c r="V18" s="328">
        <f>IF(ISBLANK($D18)=TRUE,1,0)</f>
        <v>0</v>
      </c>
      <c r="W18" s="328">
        <f>IF(ISBLANK($E18)=TRUE,1,0)</f>
        <v>0</v>
      </c>
      <c r="X18" s="328">
        <f>IF(ISBLANK($F18)=TRUE,1,0)</f>
        <v>0</v>
      </c>
      <c r="Y18" s="328"/>
      <c r="Z18" s="328">
        <f>IF(ISBLANK($H18)=TRUE,1,0)</f>
        <v>0</v>
      </c>
      <c r="AA18" s="328">
        <f>IF(ISBLANK($I18)=TRUE,1,0)</f>
        <v>0</v>
      </c>
      <c r="AB18" s="328">
        <f>IF(ISBLANK($J18)=TRUE,1,0)</f>
        <v>0</v>
      </c>
      <c r="AC18" s="328">
        <f>IF(ISBLANK($J18)=TRUE,1,0)</f>
        <v>0</v>
      </c>
      <c r="AD18" s="328"/>
      <c r="AE18" s="1382"/>
      <c r="AF18" s="332">
        <f>IF($D18&lt;0,1,0)</f>
        <v>0</v>
      </c>
      <c r="AG18" s="332">
        <f>IF($E18&lt;0,1,0)</f>
        <v>0</v>
      </c>
      <c r="AH18" s="332">
        <f>IF($F18&lt;0,1,0)</f>
        <v>0</v>
      </c>
      <c r="AI18" s="328"/>
      <c r="AJ18" s="332">
        <f>IF($H18&lt;0,1,0)</f>
        <v>0</v>
      </c>
      <c r="AK18" s="332">
        <f>IF($I18&lt;0,1,0)</f>
        <v>0</v>
      </c>
      <c r="AL18" s="332">
        <f>IF($J18&lt;0,1,0)</f>
        <v>0</v>
      </c>
      <c r="AM18" s="332">
        <f>IF($K18&lt;0,1,0)</f>
        <v>0</v>
      </c>
      <c r="AN18" s="332"/>
      <c r="AO18" s="1382"/>
      <c r="AQ18" s="310" t="str">
        <f t="shared" ref="AQ18:AR18" si="6">B18</f>
        <v>Leakage</v>
      </c>
      <c r="AR18" s="310" t="str">
        <f t="shared" si="6"/>
        <v>Ml/d</v>
      </c>
      <c r="AS18" s="1541"/>
      <c r="AT18" s="1541"/>
      <c r="AU18" s="1541"/>
      <c r="AV18" s="1542" t="s">
        <v>672</v>
      </c>
      <c r="AW18" s="1543"/>
      <c r="AX18" s="1544"/>
      <c r="AY18" s="1543"/>
      <c r="AZ18" s="1544" t="s">
        <v>673</v>
      </c>
      <c r="BA18" s="1543"/>
      <c r="BB18" s="1542" t="s">
        <v>674</v>
      </c>
      <c r="BC18" s="1542" t="s">
        <v>144</v>
      </c>
    </row>
    <row r="19" spans="2:55" s="22" customFormat="1" ht="25.5" customHeight="1" thickTop="1">
      <c r="B19" s="310" t="s">
        <v>646</v>
      </c>
      <c r="C19" s="310" t="s">
        <v>647</v>
      </c>
      <c r="D19" s="1893">
        <v>126.2</v>
      </c>
      <c r="E19" s="1893">
        <v>129.6</v>
      </c>
      <c r="F19" s="1893">
        <v>128.1</v>
      </c>
      <c r="G19" s="1905">
        <f>ROUND(AVERAGE(D19:F19),1)</f>
        <v>128</v>
      </c>
      <c r="H19" s="1895">
        <v>139</v>
      </c>
      <c r="I19" s="1895">
        <v>133.6</v>
      </c>
      <c r="J19" s="2048">
        <v>128.4</v>
      </c>
      <c r="K19" s="1910">
        <f>$G$12</f>
        <v>126.7</v>
      </c>
      <c r="L19" s="370"/>
      <c r="M19" s="1906">
        <f>ROUND(AVERAGE(I19:K19),1)</f>
        <v>129.6</v>
      </c>
      <c r="N19" s="1906">
        <f>(1-M19/G19)*100</f>
        <v>-1.2499999999999956</v>
      </c>
      <c r="P19" s="294" t="s">
        <v>675</v>
      </c>
      <c r="R19" s="329">
        <f>IF(SUM($V19:$AD19)=0,0,$V$6)</f>
        <v>0</v>
      </c>
      <c r="S19" s="343">
        <f>IF(SUM($AF19:$AN19)=0,0,$AF$6)</f>
        <v>0</v>
      </c>
      <c r="U19" s="1382"/>
      <c r="V19" s="328">
        <f>IF(ISBLANK($D19)=TRUE,1,0)</f>
        <v>0</v>
      </c>
      <c r="W19" s="328">
        <f>IF(ISBLANK($E19)=TRUE,1,0)</f>
        <v>0</v>
      </c>
      <c r="X19" s="328">
        <f>IF(ISBLANK($F19)=TRUE,1,0)</f>
        <v>0</v>
      </c>
      <c r="Y19" s="328"/>
      <c r="Z19" s="328">
        <f>IF(ISBLANK($H19)=TRUE,1,0)</f>
        <v>0</v>
      </c>
      <c r="AA19" s="328">
        <f>IF(ISBLANK($I19)=TRUE,1,0)</f>
        <v>0</v>
      </c>
      <c r="AB19" s="328">
        <f>IF(ISBLANK($J19)=TRUE,1,0)</f>
        <v>0</v>
      </c>
      <c r="AC19" s="328">
        <f>IF(ISBLANK($J19)=TRUE,1,0)</f>
        <v>0</v>
      </c>
      <c r="AD19" s="328"/>
      <c r="AE19" s="1382"/>
      <c r="AF19" s="332">
        <f>IF($D19&lt;0,1,0)</f>
        <v>0</v>
      </c>
      <c r="AG19" s="332">
        <f>IF($E19&lt;0,1,0)</f>
        <v>0</v>
      </c>
      <c r="AH19" s="332">
        <f>IF($F19&lt;0,1,0)</f>
        <v>0</v>
      </c>
      <c r="AI19" s="328"/>
      <c r="AJ19" s="332">
        <f>IF($H19&lt;0,1,0)</f>
        <v>0</v>
      </c>
      <c r="AK19" s="332">
        <f>IF($I19&lt;0,1,0)</f>
        <v>0</v>
      </c>
      <c r="AL19" s="332">
        <f>IF($J19&lt;0,1,0)</f>
        <v>0</v>
      </c>
      <c r="AM19" s="332"/>
      <c r="AN19" s="332"/>
      <c r="AO19" s="1382"/>
      <c r="AQ19" s="310" t="str">
        <f>B19</f>
        <v>Per capita consumption (PCC)</v>
      </c>
      <c r="AR19" s="310" t="str">
        <f>C19</f>
        <v>lpd</v>
      </c>
      <c r="AS19" s="1544"/>
      <c r="AT19" s="1544"/>
      <c r="AU19" s="1544"/>
      <c r="AV19" s="1542" t="s">
        <v>676</v>
      </c>
      <c r="AW19" s="1543"/>
      <c r="AX19" s="1544"/>
      <c r="AY19" s="1543"/>
      <c r="AZ19" s="1544" t="s">
        <v>652</v>
      </c>
      <c r="BA19" s="1543"/>
      <c r="BB19" s="1542" t="s">
        <v>677</v>
      </c>
      <c r="BC19" s="1542" t="s">
        <v>153</v>
      </c>
    </row>
    <row r="20" spans="2:55" s="22" customFormat="1" ht="17.25" customHeight="1">
      <c r="B20" s="28"/>
      <c r="C20" s="28"/>
      <c r="D20" s="12"/>
      <c r="E20" s="12"/>
      <c r="F20" s="12"/>
      <c r="G20" s="12"/>
      <c r="H20" s="12"/>
      <c r="I20" s="12"/>
      <c r="J20" s="12"/>
      <c r="K20" s="12"/>
      <c r="L20" s="12"/>
      <c r="M20" s="12"/>
      <c r="N20" s="12"/>
      <c r="P20" s="11"/>
      <c r="R20" s="11"/>
      <c r="S20" s="11"/>
      <c r="U20" s="1382"/>
      <c r="V20" s="328"/>
      <c r="W20" s="328"/>
      <c r="X20" s="328"/>
      <c r="Y20" s="328"/>
      <c r="Z20" s="328"/>
      <c r="AA20" s="328"/>
      <c r="AB20" s="328"/>
      <c r="AC20" s="328"/>
      <c r="AD20" s="328"/>
      <c r="AE20" s="1382"/>
      <c r="AF20" s="332"/>
      <c r="AG20" s="332"/>
      <c r="AH20" s="332"/>
      <c r="AI20" s="328"/>
      <c r="AJ20" s="332"/>
      <c r="AK20" s="332"/>
      <c r="AL20" s="332"/>
      <c r="AM20" s="332"/>
      <c r="AN20" s="332"/>
      <c r="AO20" s="1382"/>
    </row>
    <row r="21" spans="2:55" s="10" customFormat="1" ht="14.25">
      <c r="B21" s="1386"/>
      <c r="C21" s="26">
        <v>14</v>
      </c>
      <c r="D21" s="26">
        <v>15</v>
      </c>
      <c r="E21" s="26">
        <v>16</v>
      </c>
      <c r="F21" s="26">
        <v>17</v>
      </c>
      <c r="G21" s="26">
        <v>18</v>
      </c>
      <c r="H21" s="26">
        <v>19</v>
      </c>
      <c r="I21" s="26"/>
      <c r="J21" s="26"/>
      <c r="K21" s="26"/>
      <c r="L21" s="26"/>
      <c r="M21" s="1378"/>
      <c r="N21" s="1378"/>
      <c r="O21" s="1381"/>
      <c r="P21" s="1381"/>
      <c r="Q21" s="1381"/>
      <c r="R21" s="1381"/>
      <c r="S21" s="1381"/>
      <c r="T21" s="1381"/>
      <c r="U21" s="1382"/>
      <c r="V21" s="327"/>
      <c r="W21" s="327"/>
      <c r="X21" s="327"/>
      <c r="Y21" s="327"/>
      <c r="Z21" s="327"/>
      <c r="AA21" s="327"/>
      <c r="AB21" s="327"/>
      <c r="AC21" s="327"/>
      <c r="AD21" s="327"/>
      <c r="AE21" s="1382"/>
      <c r="AF21" s="327"/>
      <c r="AG21" s="327"/>
      <c r="AH21" s="327"/>
      <c r="AI21" s="327"/>
      <c r="AJ21" s="327"/>
      <c r="AK21" s="327"/>
      <c r="AL21" s="327"/>
      <c r="AM21" s="327"/>
      <c r="AN21" s="327"/>
      <c r="AO21" s="1382"/>
      <c r="AP21" s="1381"/>
      <c r="AQ21" s="1381"/>
      <c r="AR21" s="1381"/>
      <c r="AS21" s="1381"/>
      <c r="AT21" s="1381"/>
      <c r="AU21" s="1381"/>
      <c r="AV21" s="1381"/>
      <c r="AW21" s="1381"/>
      <c r="AX21" s="1381"/>
      <c r="AY21" s="1381"/>
      <c r="AZ21" s="1381"/>
      <c r="BA21" s="1381"/>
      <c r="BB21" s="1381"/>
      <c r="BC21" s="1381"/>
    </row>
    <row r="22" spans="2:55" s="10" customFormat="1" ht="39.4">
      <c r="B22" s="1321" t="s">
        <v>112</v>
      </c>
      <c r="C22" s="1320" t="s">
        <v>114</v>
      </c>
      <c r="D22" s="1320" t="s">
        <v>628</v>
      </c>
      <c r="E22" s="1320" t="s">
        <v>678</v>
      </c>
      <c r="F22" s="1320" t="s">
        <v>679</v>
      </c>
      <c r="G22" s="1320" t="s">
        <v>680</v>
      </c>
      <c r="H22" s="1320" t="s">
        <v>681</v>
      </c>
      <c r="I22" s="375"/>
      <c r="J22" s="287"/>
      <c r="K22" s="287"/>
      <c r="L22" s="287"/>
      <c r="M22" s="1378"/>
      <c r="N22" s="1378"/>
      <c r="O22" s="1381"/>
      <c r="P22" s="1381"/>
      <c r="Q22" s="1381"/>
      <c r="R22" s="1381"/>
      <c r="S22" s="1381"/>
      <c r="T22" s="1381"/>
      <c r="U22" s="1382"/>
      <c r="V22" s="328"/>
      <c r="W22" s="328"/>
      <c r="X22" s="328"/>
      <c r="Y22" s="328"/>
      <c r="Z22" s="328"/>
      <c r="AA22" s="328"/>
      <c r="AB22" s="328"/>
      <c r="AC22" s="328"/>
      <c r="AD22" s="328"/>
      <c r="AE22" s="1382"/>
      <c r="AF22" s="332"/>
      <c r="AG22" s="332"/>
      <c r="AH22" s="332"/>
      <c r="AI22" s="328"/>
      <c r="AJ22" s="332"/>
      <c r="AK22" s="332"/>
      <c r="AL22" s="332"/>
      <c r="AM22" s="332"/>
      <c r="AN22" s="332"/>
      <c r="AO22" s="1382"/>
      <c r="AP22" s="1381"/>
      <c r="AQ22" s="1321" t="s">
        <v>112</v>
      </c>
      <c r="AR22" s="1320" t="s">
        <v>114</v>
      </c>
      <c r="AS22" s="1320" t="s">
        <v>628</v>
      </c>
      <c r="AT22" s="1320" t="s">
        <v>678</v>
      </c>
      <c r="AU22" s="1320" t="s">
        <v>679</v>
      </c>
      <c r="AV22" s="1320" t="s">
        <v>680</v>
      </c>
      <c r="AW22" s="1320" t="s">
        <v>681</v>
      </c>
      <c r="AX22" s="1381"/>
      <c r="AY22" s="1381"/>
      <c r="AZ22" s="1381"/>
      <c r="BA22" s="1381"/>
      <c r="BB22" s="1381"/>
      <c r="BC22" s="1381"/>
    </row>
    <row r="23" spans="2:55" s="10" customFormat="1" ht="15.75">
      <c r="B23" s="24"/>
      <c r="C23" s="24"/>
      <c r="D23" s="24"/>
      <c r="E23" s="24"/>
      <c r="F23" s="24"/>
      <c r="G23" s="24"/>
      <c r="H23" s="24"/>
      <c r="I23" s="24"/>
      <c r="J23" s="24"/>
      <c r="K23" s="24"/>
      <c r="L23" s="24"/>
      <c r="M23" s="24"/>
      <c r="N23" s="24"/>
      <c r="O23" s="1381"/>
      <c r="P23" s="1381"/>
      <c r="Q23" s="1381"/>
      <c r="R23" s="1381"/>
      <c r="S23" s="1381"/>
      <c r="T23" s="1381"/>
      <c r="U23" s="1382"/>
      <c r="V23" s="328"/>
      <c r="W23" s="328"/>
      <c r="X23" s="328"/>
      <c r="Y23" s="328"/>
      <c r="Z23" s="328"/>
      <c r="AA23" s="328"/>
      <c r="AB23" s="328"/>
      <c r="AC23" s="328"/>
      <c r="AD23" s="328"/>
      <c r="AE23" s="1382"/>
      <c r="AF23" s="332"/>
      <c r="AG23" s="332"/>
      <c r="AH23" s="332"/>
      <c r="AI23" s="328"/>
      <c r="AJ23" s="332"/>
      <c r="AK23" s="332"/>
      <c r="AL23" s="332"/>
      <c r="AM23" s="332"/>
      <c r="AN23" s="332"/>
      <c r="AO23" s="1382"/>
      <c r="AP23" s="1381"/>
      <c r="AQ23" s="1381"/>
      <c r="AR23" s="1381"/>
      <c r="AS23" s="1381"/>
      <c r="AT23" s="1381"/>
      <c r="AU23" s="1381"/>
      <c r="AV23" s="1381"/>
      <c r="AW23" s="1381"/>
      <c r="AX23" s="1381"/>
      <c r="AY23" s="1381"/>
      <c r="AZ23" s="1381"/>
      <c r="BA23" s="1381"/>
      <c r="BB23" s="1381"/>
      <c r="BC23" s="1381"/>
    </row>
    <row r="24" spans="2:55" s="10" customFormat="1" ht="16.149999999999999" customHeight="1" thickBot="1">
      <c r="B24" s="311" t="s">
        <v>137</v>
      </c>
      <c r="C24" s="24"/>
      <c r="D24" s="24"/>
      <c r="E24" s="24"/>
      <c r="F24" s="24"/>
      <c r="G24" s="24"/>
      <c r="H24" s="24"/>
      <c r="I24" s="24"/>
      <c r="J24" s="24"/>
      <c r="K24" s="24"/>
      <c r="L24" s="24"/>
      <c r="M24" s="24"/>
      <c r="N24" s="24"/>
      <c r="O24" s="1381"/>
      <c r="P24" s="1381"/>
      <c r="Q24" s="1381"/>
      <c r="R24" s="1381"/>
      <c r="S24" s="1381"/>
      <c r="T24" s="1381"/>
      <c r="U24" s="1382"/>
      <c r="V24" s="327">
        <v>16</v>
      </c>
      <c r="W24" s="327">
        <v>17</v>
      </c>
      <c r="X24" s="327">
        <v>18</v>
      </c>
      <c r="Y24" s="327">
        <v>19</v>
      </c>
      <c r="Z24" s="327"/>
      <c r="AA24" s="327"/>
      <c r="AB24" s="327"/>
      <c r="AC24" s="327"/>
      <c r="AD24" s="327"/>
      <c r="AE24" s="1382"/>
      <c r="AF24" s="327">
        <v>16</v>
      </c>
      <c r="AG24" s="327">
        <v>17</v>
      </c>
      <c r="AH24" s="327">
        <v>18</v>
      </c>
      <c r="AI24" s="327">
        <v>19</v>
      </c>
      <c r="AJ24" s="327"/>
      <c r="AK24" s="327"/>
      <c r="AL24" s="327"/>
      <c r="AM24" s="327"/>
      <c r="AN24" s="327"/>
      <c r="AO24" s="1382"/>
      <c r="AP24" s="1381"/>
      <c r="AQ24" s="1381"/>
      <c r="AR24" s="1381"/>
      <c r="AS24" s="1381"/>
      <c r="AT24" s="1381"/>
      <c r="AU24" s="1381"/>
      <c r="AV24" s="1381"/>
      <c r="AW24" s="1381"/>
      <c r="AX24" s="1381"/>
      <c r="AY24" s="1381"/>
      <c r="AZ24" s="1381"/>
      <c r="BA24" s="1381"/>
      <c r="BB24" s="1381"/>
      <c r="BC24" s="1381"/>
    </row>
    <row r="25" spans="2:55" s="22" customFormat="1" ht="58.5" customHeight="1" thickTop="1" thickBot="1">
      <c r="B25" s="310" t="s">
        <v>137</v>
      </c>
      <c r="C25" s="310" t="s">
        <v>682</v>
      </c>
      <c r="D25" s="380" t="s">
        <v>683</v>
      </c>
      <c r="E25" s="1897">
        <v>1165.6099999999999</v>
      </c>
      <c r="F25" s="1898">
        <v>66015.438194444447</v>
      </c>
      <c r="G25" s="1899">
        <v>90103</v>
      </c>
      <c r="H25" s="1904">
        <f>F25 / (E25*1000)</f>
        <v>5.6635957305140185E-2</v>
      </c>
      <c r="I25" s="369"/>
      <c r="J25" s="369"/>
      <c r="K25" s="369"/>
      <c r="L25" s="369"/>
      <c r="M25" s="354"/>
      <c r="N25" s="27"/>
      <c r="P25" s="294" t="s">
        <v>684</v>
      </c>
      <c r="R25" s="329">
        <f>IF(SUM($V25:$X25)=0,0,$V$6)</f>
        <v>0</v>
      </c>
      <c r="S25" s="343">
        <f>IF(SUM($AF25:$AH25)=0,0,$AF$6)</f>
        <v>0</v>
      </c>
      <c r="T25" s="259"/>
      <c r="U25" s="1382"/>
      <c r="V25" s="328">
        <f>IF(ISBLANK($E25)=TRUE,1,0)</f>
        <v>0</v>
      </c>
      <c r="W25" s="328">
        <f>IF(ISBLANK($F25)=TRUE,1,0)</f>
        <v>0</v>
      </c>
      <c r="X25" s="328">
        <f>IF(ISBLANK($G25)=TRUE,1,0)</f>
        <v>0</v>
      </c>
      <c r="Y25" s="328"/>
      <c r="Z25" s="328"/>
      <c r="AA25" s="328"/>
      <c r="AB25" s="328"/>
      <c r="AC25" s="328"/>
      <c r="AD25" s="328"/>
      <c r="AE25" s="1382"/>
      <c r="AF25" s="332">
        <f>IF($E25&lt;0,1,0)</f>
        <v>0</v>
      </c>
      <c r="AG25" s="332">
        <f>IF($F25&lt;0,1,0)</f>
        <v>0</v>
      </c>
      <c r="AH25" s="332">
        <f>IF($G25&lt;0,1,0)</f>
        <v>0</v>
      </c>
      <c r="AI25" s="332"/>
      <c r="AJ25" s="332"/>
      <c r="AK25" s="332"/>
      <c r="AL25" s="332"/>
      <c r="AM25" s="332"/>
      <c r="AN25" s="332"/>
      <c r="AO25" s="1382"/>
      <c r="AQ25" s="310" t="str">
        <f t="shared" ref="AQ25:AS25" si="7">B25</f>
        <v>Water supply interruptions</v>
      </c>
      <c r="AR25" s="310" t="str">
        <f t="shared" si="7"/>
        <v>Average number of minutes lost per property per year</v>
      </c>
      <c r="AS25" s="310" t="str">
        <f t="shared" si="7"/>
        <v>Number of properties (thousands)</v>
      </c>
      <c r="AT25" s="1545"/>
      <c r="AU25" s="1546" t="s">
        <v>685</v>
      </c>
      <c r="AV25" s="1501" t="s">
        <v>686</v>
      </c>
      <c r="AW25" s="1502" t="s">
        <v>139</v>
      </c>
    </row>
    <row r="26" spans="2:55" s="10" customFormat="1" ht="16.149999999999999" customHeight="1" thickTop="1">
      <c r="B26" s="1381"/>
      <c r="C26" s="1378"/>
      <c r="D26" s="1386"/>
      <c r="E26" s="1381"/>
      <c r="F26" s="1387"/>
      <c r="G26" s="1381"/>
      <c r="H26" s="1388"/>
      <c r="I26" s="1388"/>
      <c r="J26" s="1388"/>
      <c r="K26" s="1388"/>
      <c r="L26" s="1388"/>
      <c r="M26" s="1381"/>
      <c r="N26" s="1378"/>
      <c r="O26" s="1381"/>
      <c r="P26" s="1381"/>
      <c r="Q26" s="1381"/>
      <c r="R26" s="1381"/>
      <c r="S26" s="1381"/>
      <c r="T26" s="1381"/>
      <c r="U26" s="1382"/>
      <c r="V26" s="328"/>
      <c r="W26" s="328"/>
      <c r="X26" s="328"/>
      <c r="Y26" s="328"/>
      <c r="Z26" s="328"/>
      <c r="AA26" s="328"/>
      <c r="AB26" s="328"/>
      <c r="AC26" s="328"/>
      <c r="AD26" s="328"/>
      <c r="AE26" s="1382"/>
      <c r="AF26" s="332"/>
      <c r="AG26" s="332"/>
      <c r="AH26" s="332"/>
      <c r="AI26" s="328"/>
      <c r="AJ26" s="332"/>
      <c r="AK26" s="332"/>
      <c r="AL26" s="332"/>
      <c r="AM26" s="332"/>
      <c r="AN26" s="332"/>
      <c r="AO26" s="1382"/>
      <c r="AP26" s="1381"/>
      <c r="AQ26" s="1381"/>
      <c r="AR26" s="1381"/>
      <c r="AS26" s="1381"/>
      <c r="AT26" s="1381"/>
      <c r="AU26" s="1381"/>
      <c r="AV26" s="1381"/>
      <c r="AW26" s="1381"/>
      <c r="AX26" s="1381"/>
      <c r="AY26" s="1381"/>
      <c r="AZ26" s="1381"/>
      <c r="BA26" s="1381"/>
      <c r="BB26" s="1381"/>
      <c r="BC26" s="1381"/>
    </row>
    <row r="27" spans="2:55" s="10" customFormat="1" ht="16.149999999999999" customHeight="1">
      <c r="B27" s="1381"/>
      <c r="C27" s="26">
        <v>20</v>
      </c>
      <c r="D27" s="26">
        <v>21</v>
      </c>
      <c r="E27" s="26">
        <v>22</v>
      </c>
      <c r="F27" s="1381"/>
      <c r="G27" s="1381"/>
      <c r="H27" s="1388"/>
      <c r="I27" s="1388"/>
      <c r="J27" s="1388"/>
      <c r="K27" s="1388"/>
      <c r="L27" s="1388"/>
      <c r="M27" s="1381"/>
      <c r="N27" s="1378"/>
      <c r="O27" s="1381"/>
      <c r="P27" s="1381"/>
      <c r="Q27" s="1381"/>
      <c r="R27" s="1381"/>
      <c r="S27" s="1381"/>
      <c r="T27" s="1381"/>
      <c r="U27" s="1382"/>
      <c r="V27" s="327"/>
      <c r="W27" s="327"/>
      <c r="X27" s="327"/>
      <c r="Y27" s="328"/>
      <c r="Z27" s="328"/>
      <c r="AA27" s="328"/>
      <c r="AB27" s="328"/>
      <c r="AC27" s="328"/>
      <c r="AD27" s="328"/>
      <c r="AE27" s="1382"/>
      <c r="AF27" s="332"/>
      <c r="AG27" s="332"/>
      <c r="AH27" s="332"/>
      <c r="AI27" s="328"/>
      <c r="AJ27" s="332"/>
      <c r="AK27" s="332"/>
      <c r="AL27" s="332"/>
      <c r="AM27" s="332"/>
      <c r="AN27" s="332"/>
      <c r="AO27" s="1382"/>
      <c r="AP27" s="1381"/>
      <c r="AQ27" s="1381"/>
      <c r="AR27" s="1381"/>
      <c r="AS27" s="1381"/>
      <c r="AT27" s="1381"/>
      <c r="AU27" s="1381"/>
      <c r="AV27" s="1381"/>
      <c r="AW27" s="1381"/>
      <c r="AX27" s="1381"/>
      <c r="AY27" s="1381"/>
      <c r="AZ27" s="1381"/>
      <c r="BA27" s="1381"/>
      <c r="BB27" s="1381"/>
      <c r="BC27" s="1381"/>
    </row>
    <row r="28" spans="2:55" s="10" customFormat="1" ht="67.5" customHeight="1">
      <c r="B28" s="1321" t="s">
        <v>112</v>
      </c>
      <c r="C28" s="1320" t="s">
        <v>687</v>
      </c>
      <c r="D28" s="1320" t="s">
        <v>688</v>
      </c>
      <c r="E28" s="1320" t="s">
        <v>689</v>
      </c>
      <c r="F28" s="1389"/>
      <c r="G28" s="1381"/>
      <c r="H28" s="359"/>
      <c r="I28" s="359"/>
      <c r="J28" s="359"/>
      <c r="K28" s="359"/>
      <c r="L28" s="359"/>
      <c r="M28" s="1378"/>
      <c r="N28" s="1378"/>
      <c r="O28" s="1381"/>
      <c r="P28" s="1381"/>
      <c r="Q28" s="1381"/>
      <c r="R28" s="1381"/>
      <c r="S28" s="1381"/>
      <c r="T28" s="1381"/>
      <c r="U28" s="1382"/>
      <c r="V28" s="328"/>
      <c r="W28" s="328"/>
      <c r="X28" s="328"/>
      <c r="Y28" s="328"/>
      <c r="Z28" s="328"/>
      <c r="AA28" s="328"/>
      <c r="AB28" s="328"/>
      <c r="AC28" s="328"/>
      <c r="AD28" s="328"/>
      <c r="AE28" s="1382"/>
      <c r="AF28" s="332"/>
      <c r="AG28" s="332"/>
      <c r="AH28" s="332"/>
      <c r="AI28" s="328"/>
      <c r="AJ28" s="332"/>
      <c r="AK28" s="332"/>
      <c r="AL28" s="332"/>
      <c r="AM28" s="332"/>
      <c r="AN28" s="332"/>
      <c r="AO28" s="1382"/>
      <c r="AP28" s="1381"/>
      <c r="AQ28" s="1321" t="s">
        <v>112</v>
      </c>
      <c r="AR28" s="1320" t="s">
        <v>687</v>
      </c>
      <c r="AS28" s="1320" t="s">
        <v>688</v>
      </c>
      <c r="AT28" s="1320" t="s">
        <v>689</v>
      </c>
      <c r="AU28" s="1381"/>
      <c r="AV28" s="1381"/>
      <c r="AW28" s="1381"/>
      <c r="AX28" s="1381"/>
      <c r="AY28" s="1381"/>
      <c r="AZ28" s="1381"/>
      <c r="BA28" s="1381"/>
      <c r="BB28" s="1381"/>
      <c r="BC28" s="1381"/>
    </row>
    <row r="29" spans="2:55" s="10" customFormat="1" ht="15.75">
      <c r="B29" s="24"/>
      <c r="C29" s="24"/>
      <c r="D29" s="24"/>
      <c r="E29" s="24"/>
      <c r="F29" s="24"/>
      <c r="G29" s="24"/>
      <c r="H29" s="24"/>
      <c r="I29" s="24"/>
      <c r="J29" s="24"/>
      <c r="K29" s="24"/>
      <c r="L29" s="24"/>
      <c r="M29" s="24"/>
      <c r="N29" s="24"/>
      <c r="O29" s="1381"/>
      <c r="P29" s="1381"/>
      <c r="Q29" s="1381"/>
      <c r="R29" s="1381"/>
      <c r="S29" s="1381"/>
      <c r="T29" s="1381"/>
      <c r="U29" s="1382"/>
      <c r="V29" s="328"/>
      <c r="W29" s="328"/>
      <c r="X29" s="328"/>
      <c r="Y29" s="328"/>
      <c r="Z29" s="328"/>
      <c r="AA29" s="328"/>
      <c r="AB29" s="328"/>
      <c r="AC29" s="328"/>
      <c r="AD29" s="328"/>
      <c r="AE29" s="1382"/>
      <c r="AF29" s="332"/>
      <c r="AG29" s="332"/>
      <c r="AH29" s="332"/>
      <c r="AI29" s="328"/>
      <c r="AJ29" s="332"/>
      <c r="AK29" s="332"/>
      <c r="AL29" s="332"/>
      <c r="AM29" s="332"/>
      <c r="AN29" s="332"/>
      <c r="AO29" s="1382"/>
      <c r="AP29" s="1381"/>
      <c r="AQ29" s="1381"/>
      <c r="AR29" s="1381"/>
      <c r="AS29" s="1381"/>
      <c r="AT29" s="1381"/>
      <c r="AU29" s="1381"/>
      <c r="AV29" s="1381"/>
      <c r="AW29" s="1381"/>
      <c r="AX29" s="1381"/>
      <c r="AY29" s="1381"/>
      <c r="AZ29" s="1381"/>
      <c r="BA29" s="1381"/>
      <c r="BB29" s="1381"/>
      <c r="BC29" s="1381"/>
    </row>
    <row r="30" spans="2:55" s="10" customFormat="1" ht="15.75">
      <c r="B30" s="311" t="s">
        <v>690</v>
      </c>
      <c r="C30" s="24"/>
      <c r="D30" s="24"/>
      <c r="E30" s="24"/>
      <c r="F30" s="24"/>
      <c r="G30" s="24"/>
      <c r="H30" s="24"/>
      <c r="I30" s="24"/>
      <c r="J30" s="24"/>
      <c r="K30" s="24"/>
      <c r="L30" s="24"/>
      <c r="M30" s="24"/>
      <c r="N30" s="24"/>
      <c r="O30" s="1381"/>
      <c r="P30" s="1381"/>
      <c r="Q30" s="1381"/>
      <c r="R30" s="1381"/>
      <c r="S30" s="1381"/>
      <c r="T30" s="1381"/>
      <c r="U30" s="1382"/>
      <c r="V30" s="327">
        <v>20</v>
      </c>
      <c r="W30" s="327">
        <v>21</v>
      </c>
      <c r="X30" s="327">
        <v>22</v>
      </c>
      <c r="Y30" s="328"/>
      <c r="Z30" s="328"/>
      <c r="AA30" s="328"/>
      <c r="AB30" s="328"/>
      <c r="AC30" s="328"/>
      <c r="AD30" s="328"/>
      <c r="AE30" s="1382"/>
      <c r="AF30" s="327">
        <v>20</v>
      </c>
      <c r="AG30" s="327">
        <v>21</v>
      </c>
      <c r="AH30" s="327">
        <v>22</v>
      </c>
      <c r="AI30" s="328"/>
      <c r="AJ30" s="332"/>
      <c r="AK30" s="332"/>
      <c r="AL30" s="332"/>
      <c r="AM30" s="332"/>
      <c r="AN30" s="332"/>
      <c r="AO30" s="1382"/>
      <c r="AP30" s="1381"/>
      <c r="AQ30" s="1381"/>
      <c r="AR30" s="1381"/>
      <c r="AS30" s="1381"/>
      <c r="AT30" s="1381"/>
      <c r="AU30" s="1381"/>
      <c r="AV30" s="1381"/>
      <c r="AW30" s="1381"/>
      <c r="AX30" s="1381"/>
      <c r="AY30" s="1381"/>
      <c r="AZ30" s="1381"/>
      <c r="BA30" s="1381"/>
      <c r="BB30" s="1381"/>
      <c r="BC30" s="1381"/>
    </row>
    <row r="31" spans="2:55" s="22" customFormat="1" ht="23.25" customHeight="1">
      <c r="B31" s="310" t="s">
        <v>167</v>
      </c>
      <c r="C31" s="1900">
        <v>867.67000000000007</v>
      </c>
      <c r="D31" s="1901">
        <v>49.260000000000005</v>
      </c>
      <c r="E31" s="1886">
        <f>D31/C31</f>
        <v>5.6772736178501045E-2</v>
      </c>
      <c r="F31" s="256"/>
      <c r="G31" s="27"/>
      <c r="H31" s="27"/>
      <c r="I31" s="27"/>
      <c r="J31" s="27"/>
      <c r="K31" s="27"/>
      <c r="L31" s="27"/>
      <c r="M31" s="27"/>
      <c r="N31" s="27"/>
      <c r="P31" s="294" t="s">
        <v>691</v>
      </c>
      <c r="R31" s="329">
        <f>IF(SUM($V31:$X31)=0,0,$V$6)</f>
        <v>0</v>
      </c>
      <c r="S31" s="343">
        <f>IF(SUM($AF31:$AH31)=0,0,$AF$6)</f>
        <v>0</v>
      </c>
      <c r="U31" s="1382"/>
      <c r="V31" s="328">
        <f>IF(ISBLANK($C31)=TRUE,1,0)</f>
        <v>0</v>
      </c>
      <c r="W31" s="328">
        <f>IF(ISBLANK($D31)=TRUE,1,0)</f>
        <v>0</v>
      </c>
      <c r="X31" s="328"/>
      <c r="Y31" s="328"/>
      <c r="Z31" s="328"/>
      <c r="AA31" s="328"/>
      <c r="AB31" s="328"/>
      <c r="AC31" s="328"/>
      <c r="AD31" s="328"/>
      <c r="AE31" s="1382"/>
      <c r="AF31" s="332">
        <f>IF($C31&lt;0,1,0)</f>
        <v>0</v>
      </c>
      <c r="AG31" s="332">
        <f>IF($D31&lt;0,1,0)</f>
        <v>0</v>
      </c>
      <c r="AH31" s="332"/>
      <c r="AI31" s="328"/>
      <c r="AJ31" s="332"/>
      <c r="AK31" s="332"/>
      <c r="AL31" s="332"/>
      <c r="AM31" s="332"/>
      <c r="AN31" s="332"/>
      <c r="AO31" s="1382"/>
      <c r="AQ31" s="310" t="str">
        <f>B31</f>
        <v>Unplanned outage</v>
      </c>
      <c r="AR31" s="1550" t="s">
        <v>692</v>
      </c>
      <c r="AS31" s="1551" t="s">
        <v>693</v>
      </c>
      <c r="AT31" s="1552" t="s">
        <v>694</v>
      </c>
    </row>
    <row r="32" spans="2:55" s="22" customFormat="1" ht="23.25" customHeight="1">
      <c r="B32" s="28"/>
      <c r="C32" s="12"/>
      <c r="D32" s="12"/>
      <c r="E32" s="12"/>
      <c r="G32" s="27"/>
      <c r="H32" s="27"/>
      <c r="I32" s="27"/>
      <c r="J32" s="27"/>
      <c r="K32" s="27"/>
      <c r="L32" s="27"/>
      <c r="M32" s="27"/>
      <c r="N32" s="27"/>
      <c r="P32" s="11"/>
      <c r="R32" s="11"/>
      <c r="S32" s="11"/>
      <c r="U32" s="1382"/>
      <c r="V32" s="328"/>
      <c r="W32" s="328"/>
      <c r="X32" s="328"/>
      <c r="Y32" s="328"/>
      <c r="Z32" s="328"/>
      <c r="AA32" s="328"/>
      <c r="AB32" s="328"/>
      <c r="AC32" s="328"/>
      <c r="AD32" s="328"/>
      <c r="AE32" s="1382"/>
      <c r="AF32" s="332"/>
      <c r="AG32" s="332"/>
      <c r="AH32" s="332"/>
      <c r="AI32" s="328"/>
      <c r="AJ32" s="332"/>
      <c r="AK32" s="332"/>
      <c r="AL32" s="332"/>
      <c r="AM32" s="332"/>
      <c r="AN32" s="332"/>
      <c r="AO32" s="1382"/>
    </row>
    <row r="33" spans="2:51" s="10" customFormat="1" ht="14.25">
      <c r="B33" s="1378"/>
      <c r="C33" s="26">
        <v>23</v>
      </c>
      <c r="D33" s="26">
        <v>24</v>
      </c>
      <c r="E33" s="26">
        <v>25</v>
      </c>
      <c r="F33" s="26">
        <v>26</v>
      </c>
      <c r="G33" s="26">
        <v>27</v>
      </c>
      <c r="H33" s="26">
        <v>28</v>
      </c>
      <c r="I33" s="26">
        <v>29</v>
      </c>
      <c r="J33" s="26">
        <v>30</v>
      </c>
      <c r="K33" s="1381"/>
      <c r="L33" s="1381"/>
      <c r="M33" s="1381"/>
      <c r="N33" s="1381"/>
      <c r="O33" s="1381"/>
      <c r="P33" s="1381"/>
      <c r="Q33" s="1381"/>
      <c r="R33" s="1381"/>
      <c r="S33" s="1381"/>
      <c r="T33" s="1381"/>
      <c r="U33" s="1382"/>
      <c r="V33" s="327"/>
      <c r="W33" s="327"/>
      <c r="X33" s="327"/>
      <c r="Y33" s="327"/>
      <c r="Z33" s="327"/>
      <c r="AA33" s="327"/>
      <c r="AB33" s="327"/>
      <c r="AC33" s="327"/>
      <c r="AD33" s="327"/>
      <c r="AE33" s="1382"/>
      <c r="AF33" s="332"/>
      <c r="AG33" s="332"/>
      <c r="AH33" s="332"/>
      <c r="AI33" s="328"/>
      <c r="AJ33" s="332"/>
      <c r="AK33" s="332"/>
      <c r="AL33" s="332"/>
      <c r="AM33" s="332"/>
      <c r="AN33" s="332"/>
      <c r="AO33" s="1382"/>
      <c r="AP33" s="1381"/>
      <c r="AQ33" s="1381"/>
      <c r="AR33" s="1381"/>
      <c r="AS33" s="1381"/>
      <c r="AT33" s="1381"/>
      <c r="AU33" s="1381"/>
      <c r="AV33" s="1381"/>
      <c r="AW33" s="1381"/>
      <c r="AX33" s="1381"/>
      <c r="AY33" s="1381"/>
    </row>
    <row r="34" spans="2:51" s="10" customFormat="1" ht="40.5" customHeight="1">
      <c r="B34" s="1321" t="s">
        <v>112</v>
      </c>
      <c r="C34" s="1320" t="s">
        <v>695</v>
      </c>
      <c r="D34" s="1320" t="s">
        <v>696</v>
      </c>
      <c r="E34" s="1320" t="s">
        <v>697</v>
      </c>
      <c r="F34" s="1320" t="s">
        <v>698</v>
      </c>
      <c r="G34" s="1320" t="s">
        <v>699</v>
      </c>
      <c r="H34" s="1320" t="s">
        <v>700</v>
      </c>
      <c r="I34" s="1320" t="s">
        <v>701</v>
      </c>
      <c r="J34" s="1320" t="s">
        <v>702</v>
      </c>
      <c r="K34" s="1381"/>
      <c r="L34" s="1381"/>
      <c r="M34" s="1381"/>
      <c r="N34" s="1381"/>
      <c r="O34" s="1381"/>
      <c r="P34" s="1381"/>
      <c r="Q34" s="1381"/>
      <c r="R34" s="1381"/>
      <c r="S34" s="1381"/>
      <c r="T34" s="1381"/>
      <c r="U34" s="1382"/>
      <c r="V34" s="328"/>
      <c r="W34" s="328"/>
      <c r="X34" s="328"/>
      <c r="Y34" s="328"/>
      <c r="Z34" s="328"/>
      <c r="AA34" s="328"/>
      <c r="AB34" s="328"/>
      <c r="AC34" s="328"/>
      <c r="AD34" s="328"/>
      <c r="AE34" s="1382"/>
      <c r="AF34" s="332"/>
      <c r="AG34" s="332"/>
      <c r="AH34" s="332"/>
      <c r="AI34" s="328"/>
      <c r="AJ34" s="332"/>
      <c r="AK34" s="332"/>
      <c r="AL34" s="332"/>
      <c r="AM34" s="332"/>
      <c r="AN34" s="332"/>
      <c r="AO34" s="1382"/>
      <c r="AP34" s="1381"/>
      <c r="AQ34" s="1321" t="s">
        <v>112</v>
      </c>
      <c r="AR34" s="1320" t="s">
        <v>695</v>
      </c>
      <c r="AS34" s="1320" t="s">
        <v>696</v>
      </c>
      <c r="AT34" s="1320" t="s">
        <v>697</v>
      </c>
      <c r="AU34" s="1320" t="s">
        <v>698</v>
      </c>
      <c r="AV34" s="1320" t="s">
        <v>699</v>
      </c>
      <c r="AW34" s="1320" t="s">
        <v>700</v>
      </c>
      <c r="AX34" s="1320" t="s">
        <v>701</v>
      </c>
      <c r="AY34" s="1320" t="s">
        <v>702</v>
      </c>
    </row>
    <row r="35" spans="2:51" s="10" customFormat="1" ht="15.75">
      <c r="B35" s="24"/>
      <c r="C35" s="24"/>
      <c r="D35" s="24"/>
      <c r="E35" s="24"/>
      <c r="F35" s="24"/>
      <c r="G35" s="24"/>
      <c r="H35" s="24"/>
      <c r="I35" s="24"/>
      <c r="J35" s="24"/>
      <c r="K35" s="1381"/>
      <c r="L35" s="1381"/>
      <c r="M35" s="1381"/>
      <c r="N35" s="1381"/>
      <c r="O35" s="1381"/>
      <c r="P35" s="1381"/>
      <c r="Q35" s="1381"/>
      <c r="R35" s="1381"/>
      <c r="S35" s="1381"/>
      <c r="T35" s="1381"/>
      <c r="U35" s="1382"/>
      <c r="V35" s="328"/>
      <c r="W35" s="328"/>
      <c r="X35" s="328"/>
      <c r="Y35" s="328"/>
      <c r="Z35" s="328"/>
      <c r="AA35" s="328"/>
      <c r="AB35" s="328"/>
      <c r="AC35" s="328"/>
      <c r="AD35" s="328"/>
      <c r="AE35" s="1382"/>
      <c r="AF35" s="332"/>
      <c r="AG35" s="332"/>
      <c r="AH35" s="332"/>
      <c r="AI35" s="328"/>
      <c r="AJ35" s="332"/>
      <c r="AK35" s="332"/>
      <c r="AL35" s="332"/>
      <c r="AM35" s="332"/>
      <c r="AN35" s="332"/>
      <c r="AO35" s="1382"/>
      <c r="AP35" s="1381"/>
      <c r="AQ35" s="1381"/>
      <c r="AR35" s="1381"/>
      <c r="AS35" s="1381"/>
      <c r="AT35" s="1381"/>
      <c r="AU35" s="1381"/>
      <c r="AV35" s="1381"/>
      <c r="AW35" s="1381"/>
      <c r="AX35" s="1381"/>
      <c r="AY35" s="1381"/>
    </row>
    <row r="36" spans="2:51" s="10" customFormat="1" ht="26.25">
      <c r="B36" s="311" t="s">
        <v>703</v>
      </c>
      <c r="C36" s="24"/>
      <c r="D36" s="24"/>
      <c r="E36" s="362"/>
      <c r="F36" s="24"/>
      <c r="G36" s="363"/>
      <c r="H36" s="364"/>
      <c r="I36" s="363"/>
      <c r="J36" s="365"/>
      <c r="K36" s="1381"/>
      <c r="L36" s="1381"/>
      <c r="M36" s="1381"/>
      <c r="N36" s="1381"/>
      <c r="O36" s="1381"/>
      <c r="P36" s="1381"/>
      <c r="Q36" s="1381"/>
      <c r="R36" s="1381"/>
      <c r="S36" s="1381"/>
      <c r="T36" s="1381"/>
      <c r="U36" s="1382"/>
      <c r="V36" s="327">
        <v>23</v>
      </c>
      <c r="W36" s="327">
        <v>24</v>
      </c>
      <c r="X36" s="327">
        <v>25</v>
      </c>
      <c r="Y36" s="327">
        <v>26</v>
      </c>
      <c r="Z36" s="327">
        <v>27</v>
      </c>
      <c r="AA36" s="327">
        <v>28</v>
      </c>
      <c r="AB36" s="327">
        <v>29</v>
      </c>
      <c r="AC36" s="327"/>
      <c r="AD36" s="327"/>
      <c r="AE36" s="1382"/>
      <c r="AF36" s="327">
        <v>23</v>
      </c>
      <c r="AG36" s="327">
        <v>24</v>
      </c>
      <c r="AH36" s="327">
        <v>25</v>
      </c>
      <c r="AI36" s="327">
        <v>26</v>
      </c>
      <c r="AJ36" s="327">
        <v>27</v>
      </c>
      <c r="AK36" s="327">
        <v>28</v>
      </c>
      <c r="AL36" s="327">
        <v>29</v>
      </c>
      <c r="AM36" s="327"/>
      <c r="AN36" s="327"/>
      <c r="AO36" s="1382"/>
      <c r="AP36" s="1381"/>
      <c r="AQ36" s="1381"/>
      <c r="AR36" s="1381"/>
      <c r="AS36" s="1381"/>
      <c r="AT36" s="1381"/>
      <c r="AU36" s="1381"/>
      <c r="AV36" s="1381"/>
      <c r="AW36" s="1381"/>
      <c r="AX36" s="1381"/>
      <c r="AY36" s="1381"/>
    </row>
    <row r="37" spans="2:51" s="22" customFormat="1" ht="27.75" customHeight="1">
      <c r="B37" s="380" t="s">
        <v>703</v>
      </c>
      <c r="C37" s="1902">
        <v>2010.2080000000001</v>
      </c>
      <c r="D37" s="1890">
        <v>235901</v>
      </c>
      <c r="E37" s="1903">
        <f>ROUND(D37/($C37*1000),3)</f>
        <v>0.11700000000000001</v>
      </c>
      <c r="F37" s="1890">
        <v>51641</v>
      </c>
      <c r="G37" s="1899">
        <v>50953</v>
      </c>
      <c r="H37" s="1903">
        <f>ROUND(G37/$F37,3)</f>
        <v>0.98699999999999999</v>
      </c>
      <c r="I37" s="1899">
        <v>18772</v>
      </c>
      <c r="J37" s="1903">
        <f>ROUND(I37/$F37,3)</f>
        <v>0.36399999999999999</v>
      </c>
      <c r="P37" s="294" t="s">
        <v>704</v>
      </c>
      <c r="R37" s="329">
        <f>IF(SUM($V37:$AD37)=0,0,$V$6)</f>
        <v>0</v>
      </c>
      <c r="S37" s="343">
        <f>IF(SUM($AF37:$AN37)=0,0,$AF$6)</f>
        <v>0</v>
      </c>
      <c r="T37" s="355"/>
      <c r="U37" s="1382"/>
      <c r="V37" s="328">
        <f>IF(ISBLANK($C37)=TRUE,1,0)</f>
        <v>0</v>
      </c>
      <c r="W37" s="328">
        <f>IF(ISBLANK($D37)=TRUE,1,0)</f>
        <v>0</v>
      </c>
      <c r="X37" s="328"/>
      <c r="Y37" s="328">
        <f>IF(ISBLANK($F37)=TRUE,1,0)</f>
        <v>0</v>
      </c>
      <c r="Z37" s="328">
        <f>IF(ISBLANK($G37)=TRUE,1,0)</f>
        <v>0</v>
      </c>
      <c r="AA37" s="328"/>
      <c r="AB37" s="328">
        <f>IF(ISBLANK($I37)=TRUE,1,0)</f>
        <v>0</v>
      </c>
      <c r="AC37" s="328"/>
      <c r="AD37" s="328"/>
      <c r="AE37" s="1382"/>
      <c r="AF37" s="332">
        <f>IF($C37&lt;0,1,0)</f>
        <v>0</v>
      </c>
      <c r="AG37" s="332">
        <f>IF($D37&lt;0,1,0)</f>
        <v>0</v>
      </c>
      <c r="AH37" s="332"/>
      <c r="AI37" s="332">
        <f>IF($F37&lt;0,1,0)</f>
        <v>0</v>
      </c>
      <c r="AJ37" s="332">
        <f>IF($G37&lt;0,1,0)</f>
        <v>0</v>
      </c>
      <c r="AK37" s="332"/>
      <c r="AL37" s="332">
        <f>IF($I37&lt;0,1,0)</f>
        <v>0</v>
      </c>
      <c r="AM37" s="332"/>
      <c r="AN37" s="332"/>
      <c r="AO37" s="1382"/>
      <c r="AQ37" s="310" t="str">
        <f>B37</f>
        <v>Priority services for customers in vulnerable circumstances</v>
      </c>
      <c r="AR37" s="1545" t="s">
        <v>705</v>
      </c>
      <c r="AS37" s="1501" t="s">
        <v>706</v>
      </c>
      <c r="AT37" s="1553" t="s">
        <v>541</v>
      </c>
      <c r="AU37" s="1501" t="s">
        <v>707</v>
      </c>
      <c r="AV37" s="1501" t="s">
        <v>708</v>
      </c>
      <c r="AW37" s="1553" t="s">
        <v>545</v>
      </c>
      <c r="AX37" s="1501" t="s">
        <v>709</v>
      </c>
      <c r="AY37" s="1553" t="s">
        <v>549</v>
      </c>
    </row>
    <row r="38" spans="2:51" s="22" customFormat="1" ht="14.25">
      <c r="B38" s="37"/>
      <c r="C38" s="38"/>
      <c r="D38" s="38"/>
      <c r="E38" s="39"/>
      <c r="F38" s="27"/>
      <c r="G38" s="27"/>
      <c r="H38" s="27"/>
      <c r="I38" s="27"/>
      <c r="J38" s="27"/>
      <c r="K38" s="27"/>
      <c r="L38" s="27"/>
      <c r="M38" s="27"/>
      <c r="N38" s="27"/>
      <c r="T38" s="355"/>
      <c r="U38" s="1385"/>
      <c r="V38" s="345"/>
      <c r="W38" s="345"/>
      <c r="X38" s="345"/>
      <c r="Y38" s="345"/>
      <c r="Z38" s="345"/>
      <c r="AA38" s="345"/>
      <c r="AB38" s="345"/>
      <c r="AC38" s="345"/>
      <c r="AD38" s="345"/>
      <c r="AE38" s="1385"/>
      <c r="AF38" s="346"/>
      <c r="AG38" s="346"/>
      <c r="AH38" s="346"/>
      <c r="AI38" s="345"/>
      <c r="AJ38" s="346"/>
      <c r="AK38" s="346"/>
      <c r="AL38" s="346"/>
      <c r="AM38" s="346"/>
      <c r="AN38" s="346"/>
      <c r="AO38" s="1385"/>
    </row>
    <row r="39" spans="2:51" s="10" customFormat="1" ht="14.25">
      <c r="B39" s="278" t="s">
        <v>284</v>
      </c>
      <c r="C39" s="1390"/>
      <c r="D39" s="1378"/>
      <c r="E39" s="1378"/>
      <c r="F39" s="1378"/>
      <c r="G39" s="1378"/>
      <c r="H39" s="1378"/>
      <c r="I39" s="1378"/>
      <c r="J39" s="1378"/>
      <c r="K39" s="1378"/>
      <c r="L39" s="1378"/>
      <c r="M39" s="1378"/>
      <c r="N39" s="1378"/>
      <c r="O39" s="1381"/>
      <c r="P39" s="1381"/>
      <c r="Q39" s="1381"/>
      <c r="R39" s="1381"/>
      <c r="S39" s="1381"/>
      <c r="T39" s="1381"/>
      <c r="U39" s="1383"/>
      <c r="V39" s="1383"/>
      <c r="W39" s="339"/>
      <c r="X39" s="339"/>
      <c r="Y39" s="339"/>
      <c r="Z39" s="339"/>
      <c r="AA39" s="339"/>
      <c r="AB39" s="339"/>
      <c r="AC39" s="339"/>
      <c r="AD39" s="339"/>
      <c r="AE39" s="339"/>
      <c r="AF39" s="1383"/>
      <c r="AG39" s="340"/>
      <c r="AH39" s="340"/>
      <c r="AI39" s="340"/>
      <c r="AJ39" s="339"/>
      <c r="AK39" s="339"/>
      <c r="AL39" s="339"/>
      <c r="AM39" s="339"/>
      <c r="AN39" s="339"/>
      <c r="AO39" s="340"/>
      <c r="AP39" s="1383"/>
      <c r="AQ39" s="1381"/>
      <c r="AR39" s="1381"/>
      <c r="AS39" s="1381"/>
      <c r="AT39" s="1381"/>
      <c r="AU39" s="1381"/>
      <c r="AV39" s="1381"/>
      <c r="AW39" s="1381"/>
      <c r="AX39" s="1381"/>
      <c r="AY39" s="1381"/>
    </row>
    <row r="40" spans="2:51" ht="14.25">
      <c r="U40" s="279"/>
      <c r="V40" s="1383"/>
      <c r="W40" s="339"/>
      <c r="X40" s="339"/>
      <c r="Y40" s="339"/>
      <c r="Z40" s="339"/>
      <c r="AA40" s="339"/>
      <c r="AB40" s="339"/>
      <c r="AC40" s="339"/>
      <c r="AD40" s="339"/>
      <c r="AE40" s="339"/>
      <c r="AF40" s="1383"/>
      <c r="AG40" s="340"/>
      <c r="AH40" s="340"/>
      <c r="AI40" s="340"/>
      <c r="AJ40" s="339"/>
      <c r="AK40" s="339"/>
      <c r="AL40" s="339"/>
      <c r="AM40" s="339"/>
      <c r="AN40" s="339"/>
      <c r="AO40" s="340"/>
      <c r="AP40" s="279"/>
    </row>
    <row r="41" spans="2:51" ht="14.25">
      <c r="B41" s="1858" t="s">
        <v>285</v>
      </c>
      <c r="U41" s="279"/>
      <c r="V41" s="1383"/>
      <c r="W41" s="339"/>
      <c r="X41" s="339"/>
      <c r="Y41" s="339"/>
      <c r="Z41" s="339"/>
      <c r="AA41" s="339"/>
      <c r="AB41" s="339"/>
      <c r="AC41" s="339"/>
      <c r="AD41" s="339"/>
      <c r="AE41" s="339"/>
      <c r="AF41" s="1383"/>
      <c r="AG41" s="340"/>
      <c r="AH41" s="340"/>
      <c r="AI41" s="340"/>
      <c r="AJ41" s="339"/>
      <c r="AK41" s="339"/>
      <c r="AL41" s="339"/>
      <c r="AM41" s="339"/>
      <c r="AN41" s="339"/>
      <c r="AO41" s="340"/>
      <c r="AP41" s="279"/>
    </row>
    <row r="42" spans="2:51" ht="14.65" thickBot="1">
      <c r="U42" s="279"/>
      <c r="V42" s="1383"/>
      <c r="W42" s="339"/>
      <c r="X42" s="339"/>
      <c r="Y42" s="339"/>
      <c r="Z42" s="339"/>
      <c r="AA42" s="339"/>
      <c r="AB42" s="339"/>
      <c r="AC42" s="339"/>
      <c r="AD42" s="339"/>
      <c r="AE42" s="339"/>
      <c r="AF42" s="1383"/>
      <c r="AG42" s="340"/>
      <c r="AH42" s="340"/>
      <c r="AI42" s="340"/>
      <c r="AJ42" s="339"/>
      <c r="AK42" s="339"/>
      <c r="AL42" s="339"/>
      <c r="AM42" s="339"/>
      <c r="AN42" s="339"/>
      <c r="AO42" s="340"/>
      <c r="AP42" s="279"/>
    </row>
    <row r="43" spans="2:51" ht="27" thickTop="1" thickBot="1">
      <c r="B43" s="1859" t="s">
        <v>286</v>
      </c>
      <c r="U43" s="279"/>
      <c r="V43" s="1383"/>
      <c r="W43" s="339"/>
      <c r="X43" s="339"/>
      <c r="Y43" s="339"/>
      <c r="Z43" s="339"/>
      <c r="AA43" s="339"/>
      <c r="AB43" s="339"/>
      <c r="AC43" s="339"/>
      <c r="AD43" s="339"/>
      <c r="AE43" s="339"/>
      <c r="AF43" s="1383"/>
      <c r="AG43" s="340"/>
      <c r="AH43" s="340"/>
      <c r="AI43" s="340"/>
      <c r="AJ43" s="339"/>
      <c r="AK43" s="339"/>
      <c r="AL43" s="339"/>
      <c r="AM43" s="339"/>
      <c r="AN43" s="339"/>
      <c r="AO43" s="340"/>
      <c r="AP43" s="279"/>
    </row>
    <row r="44" spans="2:51" ht="14.65" thickTop="1">
      <c r="U44" s="279"/>
      <c r="V44" s="1383"/>
      <c r="W44" s="339"/>
      <c r="X44" s="339"/>
      <c r="Y44" s="339"/>
      <c r="Z44" s="339"/>
      <c r="AA44" s="339"/>
      <c r="AB44" s="339"/>
      <c r="AC44" s="339"/>
      <c r="AD44" s="339"/>
      <c r="AE44" s="339"/>
      <c r="AF44" s="1383"/>
      <c r="AG44" s="340"/>
      <c r="AH44" s="340"/>
      <c r="AI44" s="340"/>
      <c r="AJ44" s="339"/>
      <c r="AK44" s="339"/>
      <c r="AL44" s="339"/>
      <c r="AM44" s="339"/>
      <c r="AN44" s="339"/>
      <c r="AO44" s="340"/>
      <c r="AP44" s="279"/>
    </row>
    <row r="45" spans="2:51" ht="14.25">
      <c r="B45" s="1860" t="s">
        <v>287</v>
      </c>
      <c r="U45" s="279"/>
      <c r="V45" s="1383"/>
      <c r="W45" s="339"/>
      <c r="X45" s="339"/>
      <c r="Y45" s="339"/>
      <c r="Z45" s="339"/>
      <c r="AA45" s="339"/>
      <c r="AB45" s="339"/>
      <c r="AC45" s="339"/>
      <c r="AD45" s="339"/>
      <c r="AE45" s="339"/>
      <c r="AF45" s="1383"/>
      <c r="AG45" s="340"/>
      <c r="AH45" s="340"/>
      <c r="AI45" s="340"/>
      <c r="AJ45" s="339"/>
      <c r="AK45" s="339"/>
      <c r="AL45" s="339"/>
      <c r="AM45" s="339"/>
      <c r="AN45" s="339"/>
      <c r="AO45" s="340"/>
      <c r="AP45" s="279"/>
    </row>
    <row r="46" spans="2:51" ht="14.25">
      <c r="U46" s="279"/>
      <c r="V46" s="1383"/>
      <c r="W46" s="339"/>
      <c r="X46" s="339"/>
      <c r="Y46" s="339"/>
      <c r="Z46" s="339"/>
      <c r="AA46" s="339"/>
      <c r="AB46" s="339"/>
      <c r="AC46" s="339"/>
      <c r="AD46" s="339"/>
      <c r="AE46" s="339"/>
      <c r="AF46" s="1383"/>
      <c r="AG46" s="340"/>
      <c r="AH46" s="340"/>
      <c r="AI46" s="340"/>
      <c r="AJ46" s="339"/>
      <c r="AK46" s="339"/>
      <c r="AL46" s="339"/>
      <c r="AM46" s="339"/>
      <c r="AN46" s="339"/>
      <c r="AO46" s="340"/>
      <c r="AP46" s="279"/>
    </row>
    <row r="47" spans="2:51">
      <c r="B47" s="1861" t="s">
        <v>288</v>
      </c>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row>
    <row r="48" spans="2:51">
      <c r="U48" s="279"/>
      <c r="V48" s="279"/>
      <c r="W48" s="279"/>
      <c r="X48" s="279"/>
      <c r="Y48" s="279"/>
      <c r="Z48" s="279"/>
      <c r="AA48" s="279"/>
      <c r="AB48" s="279"/>
      <c r="AC48" s="279"/>
      <c r="AD48" s="279"/>
      <c r="AE48" s="279"/>
      <c r="AF48" s="279"/>
      <c r="AG48" s="279"/>
      <c r="AH48" s="279"/>
      <c r="AI48" s="279"/>
      <c r="AJ48" s="279"/>
      <c r="AK48" s="279"/>
      <c r="AL48" s="279"/>
      <c r="AM48" s="279"/>
      <c r="AN48" s="279"/>
      <c r="AO48" s="279"/>
      <c r="AP48" s="279"/>
    </row>
    <row r="49" spans="2:2" ht="14.25">
      <c r="B49" s="296" t="str">
        <f>'3A'!$B$53</f>
        <v>Please refer to RAG 4.12 - Guideline for the table definitions in the annual performance report for the reporting year 2023-24</v>
      </c>
    </row>
    <row r="50" spans="2:2"/>
  </sheetData>
  <mergeCells count="4">
    <mergeCell ref="C1:E1"/>
    <mergeCell ref="B4:D4"/>
    <mergeCell ref="E4:G4"/>
    <mergeCell ref="H4:N4"/>
  </mergeCells>
  <conditionalFormatting sqref="R9:S12">
    <cfRule type="cellIs" dxfId="253" priority="17" operator="equal">
      <formula>0</formula>
    </cfRule>
  </conditionalFormatting>
  <conditionalFormatting sqref="R18:S19">
    <cfRule type="cellIs" dxfId="252" priority="11" operator="equal">
      <formula>0</formula>
    </cfRule>
  </conditionalFormatting>
  <conditionalFormatting sqref="R25:S25">
    <cfRule type="cellIs" dxfId="251" priority="5" operator="equal">
      <formula>0</formula>
    </cfRule>
  </conditionalFormatting>
  <conditionalFormatting sqref="R31:S31">
    <cfRule type="cellIs" dxfId="250" priority="4" operator="equal">
      <formula>0</formula>
    </cfRule>
  </conditionalFormatting>
  <conditionalFormatting sqref="R37:S37">
    <cfRule type="cellIs" dxfId="249" priority="3" operator="equal">
      <formula>0</formula>
    </cfRule>
  </conditionalFormatting>
  <conditionalFormatting sqref="AQ19:AV19 AX19 BB19:BC19">
    <cfRule type="expression" dxfId="248" priority="2">
      <formula>IF($B$17="",TRUE,FALSE)</formula>
    </cfRule>
  </conditionalFormatting>
  <conditionalFormatting sqref="AZ19">
    <cfRule type="expression" dxfId="247" priority="1">
      <formula>IF($B$17="",TRUE,FALSE)</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1EEB-3E1B-49E5-A230-67004910EA47}">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0" width="12.875" style="8" customWidth="1"/>
    <col min="11" max="11" width="15.625" style="8" customWidth="1"/>
    <col min="12"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9" customWidth="1"/>
    <col min="43" max="43" width="23.5" style="8"/>
    <col min="44" max="55" width="15.625" style="8" customWidth="1"/>
    <col min="56" max="16384" width="23.5" style="8"/>
  </cols>
  <sheetData>
    <row r="1" spans="2:55" s="1" customFormat="1" ht="35.25" customHeight="1">
      <c r="B1" s="44" t="s">
        <v>38</v>
      </c>
      <c r="C1" s="2095" t="str">
        <f>IF(OR(InpCompany!$F$5="Northumbrian Water",  InpCompany!$F$5="South Staffs Water"),"","For use by Northumbrian Water and South Staffs Water only")</f>
        <v>For use by Northumbrian Water and South Staffs Water only</v>
      </c>
      <c r="D1" s="2095"/>
      <c r="E1" s="2095"/>
      <c r="F1" s="2095"/>
      <c r="G1" s="6"/>
      <c r="U1" s="322"/>
      <c r="AE1" s="322"/>
      <c r="AO1" s="322"/>
      <c r="AP1" s="324"/>
    </row>
    <row r="2" spans="2:55" s="1" customFormat="1" ht="10.15" customHeight="1">
      <c r="B2" s="7"/>
      <c r="C2" s="7"/>
      <c r="D2" s="7"/>
      <c r="E2" s="7"/>
      <c r="F2" s="7"/>
      <c r="G2" s="7"/>
      <c r="H2" s="7"/>
      <c r="I2" s="7"/>
      <c r="J2" s="7"/>
      <c r="K2" s="7"/>
      <c r="L2" s="7"/>
      <c r="M2" s="7"/>
      <c r="U2" s="322"/>
      <c r="AE2" s="322"/>
      <c r="AO2" s="322"/>
      <c r="AP2" s="324"/>
    </row>
    <row r="3" spans="2:55" s="10" customFormat="1" ht="31.5" customHeight="1">
      <c r="B3" s="321" t="s">
        <v>37</v>
      </c>
      <c r="C3" s="297"/>
      <c r="D3" s="297"/>
      <c r="E3" s="297"/>
      <c r="F3" s="297"/>
      <c r="G3" s="297"/>
      <c r="H3" s="297"/>
      <c r="I3" s="297"/>
      <c r="J3" s="297"/>
      <c r="K3" s="297"/>
      <c r="L3" s="297"/>
      <c r="M3" s="297"/>
      <c r="N3" s="297"/>
      <c r="O3" s="307"/>
      <c r="P3" s="309" t="str">
        <f>IF('Validation summary'!$B$3="Northumbrian Water","Northumbrian Water - NW region",IF('Validation summary'!$B$3="South Staffs Water","South Staffs Water - South Staffs region",""))</f>
        <v/>
      </c>
      <c r="Q3" s="1384"/>
      <c r="R3" s="300" t="s">
        <v>109</v>
      </c>
      <c r="S3" s="300"/>
      <c r="T3" s="1381"/>
      <c r="U3" s="1382"/>
      <c r="V3" s="1381"/>
      <c r="W3" s="1381"/>
      <c r="X3" s="1381"/>
      <c r="Y3" s="1381"/>
      <c r="Z3" s="1381"/>
      <c r="AA3" s="1381"/>
      <c r="AB3" s="1381"/>
      <c r="AC3" s="1381"/>
      <c r="AD3" s="1381"/>
      <c r="AE3" s="1382"/>
      <c r="AF3" s="1381"/>
      <c r="AG3" s="1381"/>
      <c r="AH3" s="1381"/>
      <c r="AI3" s="1381"/>
      <c r="AJ3" s="1381"/>
      <c r="AK3" s="1381"/>
      <c r="AL3" s="1381"/>
      <c r="AM3" s="1381"/>
      <c r="AN3" s="1381"/>
      <c r="AO3" s="1382"/>
      <c r="AP3" s="1383"/>
      <c r="AQ3" s="300" t="s">
        <v>110</v>
      </c>
      <c r="AR3" s="1381"/>
      <c r="AS3" s="1381"/>
      <c r="AT3" s="1381"/>
      <c r="AU3" s="1381"/>
      <c r="AV3" s="1381"/>
      <c r="AW3" s="1381"/>
      <c r="AX3" s="1381"/>
      <c r="AY3" s="1381"/>
      <c r="AZ3" s="1381"/>
      <c r="BA3" s="1381"/>
      <c r="BB3" s="1381"/>
      <c r="BC3" s="1381"/>
    </row>
    <row r="4" spans="2:55" s="10" customFormat="1" ht="9" customHeight="1">
      <c r="B4" s="2094"/>
      <c r="C4" s="2094"/>
      <c r="D4" s="2094"/>
      <c r="E4" s="2094"/>
      <c r="F4" s="2094"/>
      <c r="G4" s="2094"/>
      <c r="H4" s="2094"/>
      <c r="I4" s="2094"/>
      <c r="J4" s="2094"/>
      <c r="K4" s="2094"/>
      <c r="L4" s="2094"/>
      <c r="M4" s="2094"/>
      <c r="N4" s="2094"/>
      <c r="O4" s="1381"/>
      <c r="P4" s="1381"/>
      <c r="Q4" s="1381"/>
      <c r="R4" s="1381"/>
      <c r="S4" s="1381"/>
      <c r="T4" s="1381"/>
      <c r="U4" s="1382"/>
      <c r="V4" s="1381"/>
      <c r="W4" s="1381"/>
      <c r="X4" s="1381"/>
      <c r="Y4" s="1381"/>
      <c r="Z4" s="1381"/>
      <c r="AA4" s="1381"/>
      <c r="AB4" s="1381"/>
      <c r="AC4" s="1381"/>
      <c r="AD4" s="1381"/>
      <c r="AE4" s="1382"/>
      <c r="AF4" s="1381"/>
      <c r="AG4" s="1381"/>
      <c r="AH4" s="1381"/>
      <c r="AI4" s="1381"/>
      <c r="AJ4" s="1381"/>
      <c r="AK4" s="1381"/>
      <c r="AL4" s="1381"/>
      <c r="AM4" s="1381"/>
      <c r="AN4" s="1381"/>
      <c r="AO4" s="1382"/>
      <c r="AP4" s="1383"/>
      <c r="AQ4" s="1381"/>
      <c r="AR4" s="1381"/>
      <c r="AS4" s="1381"/>
      <c r="AT4" s="1381"/>
      <c r="AU4" s="1381"/>
      <c r="AV4" s="1381"/>
      <c r="AW4" s="1381"/>
      <c r="AX4" s="1381"/>
      <c r="AY4" s="1381"/>
      <c r="AZ4" s="1381"/>
      <c r="BA4" s="1381"/>
      <c r="BB4" s="1381"/>
      <c r="BC4" s="1381"/>
    </row>
    <row r="5" spans="2:55" s="10" customFormat="1" ht="14.25" customHeight="1">
      <c r="B5" s="1381"/>
      <c r="C5" s="26">
        <v>1</v>
      </c>
      <c r="D5" s="26">
        <v>2</v>
      </c>
      <c r="E5" s="26">
        <v>3</v>
      </c>
      <c r="F5" s="26">
        <v>4</v>
      </c>
      <c r="G5" s="26">
        <v>5</v>
      </c>
      <c r="H5" s="1381"/>
      <c r="I5" s="1381"/>
      <c r="J5" s="1381"/>
      <c r="K5" s="1381"/>
      <c r="L5" s="1381"/>
      <c r="M5" s="1381"/>
      <c r="N5" s="1381"/>
      <c r="O5" s="1381"/>
      <c r="P5" s="1381"/>
      <c r="Q5" s="1381"/>
      <c r="R5" s="1381"/>
      <c r="S5" s="1381"/>
      <c r="T5" s="1381"/>
      <c r="U5" s="1382"/>
      <c r="V5" s="1381" t="s">
        <v>121</v>
      </c>
      <c r="W5" s="1381"/>
      <c r="X5" s="1381"/>
      <c r="Y5" s="1381"/>
      <c r="Z5" s="1381"/>
      <c r="AA5" s="1381"/>
      <c r="AB5" s="1381"/>
      <c r="AC5" s="1381"/>
      <c r="AD5" s="1381"/>
      <c r="AE5" s="1382"/>
      <c r="AF5" s="1381" t="s">
        <v>122</v>
      </c>
      <c r="AG5" s="1381"/>
      <c r="AH5" s="1381"/>
      <c r="AI5" s="1381"/>
      <c r="AJ5" s="1381"/>
      <c r="AK5" s="1381"/>
      <c r="AL5" s="1381"/>
      <c r="AM5" s="1381"/>
      <c r="AN5" s="1381"/>
      <c r="AO5" s="1382"/>
      <c r="AP5" s="1383"/>
      <c r="AQ5" s="1381"/>
      <c r="AR5" s="1381"/>
      <c r="AS5" s="1381"/>
      <c r="AT5" s="1381"/>
      <c r="AU5" s="1381"/>
      <c r="AV5" s="1381"/>
      <c r="AW5" s="1381"/>
      <c r="AX5" s="1381"/>
      <c r="AY5" s="1381"/>
      <c r="AZ5" s="1381"/>
      <c r="BA5" s="1381"/>
      <c r="BB5" s="1381"/>
      <c r="BC5" s="1381"/>
    </row>
    <row r="6" spans="2:55" s="10" customFormat="1" ht="57.75" customHeight="1">
      <c r="B6" s="1321" t="s">
        <v>112</v>
      </c>
      <c r="C6" s="1320" t="s">
        <v>114</v>
      </c>
      <c r="D6" s="1320" t="s">
        <v>628</v>
      </c>
      <c r="E6" s="1320" t="s">
        <v>629</v>
      </c>
      <c r="F6" s="1320" t="s">
        <v>630</v>
      </c>
      <c r="G6" s="1320" t="s">
        <v>631</v>
      </c>
      <c r="H6" s="284"/>
      <c r="I6" s="284"/>
      <c r="J6" s="284"/>
      <c r="K6" s="284"/>
      <c r="L6" s="284"/>
      <c r="M6" s="284"/>
      <c r="N6" s="284"/>
      <c r="O6" s="285"/>
      <c r="P6" s="1320" t="s">
        <v>120</v>
      </c>
      <c r="Q6" s="1381"/>
      <c r="R6" s="334" t="s">
        <v>121</v>
      </c>
      <c r="S6" s="334" t="s">
        <v>122</v>
      </c>
      <c r="T6" s="1381"/>
      <c r="U6" s="1382"/>
      <c r="V6" s="330" t="s">
        <v>124</v>
      </c>
      <c r="W6" s="1381"/>
      <c r="X6" s="1381"/>
      <c r="Y6" s="1381"/>
      <c r="Z6" s="1381"/>
      <c r="AA6" s="1381"/>
      <c r="AB6" s="1381"/>
      <c r="AC6" s="1381"/>
      <c r="AD6" s="1381"/>
      <c r="AE6" s="1382"/>
      <c r="AF6" s="330" t="s">
        <v>125</v>
      </c>
      <c r="AG6" s="1381"/>
      <c r="AH6" s="330"/>
      <c r="AI6" s="330"/>
      <c r="AJ6" s="1381"/>
      <c r="AK6" s="1381"/>
      <c r="AL6" s="1381"/>
      <c r="AM6" s="1381"/>
      <c r="AN6" s="1381"/>
      <c r="AO6" s="1382"/>
      <c r="AP6" s="1383"/>
      <c r="AQ6" s="1321" t="s">
        <v>112</v>
      </c>
      <c r="AR6" s="1320" t="s">
        <v>114</v>
      </c>
      <c r="AS6" s="1320" t="s">
        <v>628</v>
      </c>
      <c r="AT6" s="1320" t="s">
        <v>629</v>
      </c>
      <c r="AU6" s="1320" t="s">
        <v>632</v>
      </c>
      <c r="AV6" s="1320" t="s">
        <v>631</v>
      </c>
      <c r="AW6" s="1381"/>
      <c r="AX6" s="1381"/>
      <c r="AY6" s="1381"/>
      <c r="AZ6" s="1381"/>
      <c r="BA6" s="1381"/>
      <c r="BB6" s="1381"/>
      <c r="BC6" s="1381"/>
    </row>
    <row r="7" spans="2:55" s="10" customFormat="1" ht="15.75">
      <c r="B7" s="24"/>
      <c r="C7" s="24"/>
      <c r="D7" s="24"/>
      <c r="E7" s="24"/>
      <c r="F7" s="24"/>
      <c r="G7" s="24"/>
      <c r="H7" s="1378"/>
      <c r="I7" s="1378"/>
      <c r="J7" s="1378"/>
      <c r="K7" s="1378"/>
      <c r="L7" s="1378"/>
      <c r="M7" s="1378"/>
      <c r="N7" s="1378"/>
      <c r="O7" s="1381"/>
      <c r="P7" s="1381"/>
      <c r="Q7" s="1381"/>
      <c r="R7" s="1381"/>
      <c r="S7" s="1381"/>
      <c r="T7" s="1381"/>
      <c r="U7" s="1382"/>
      <c r="V7" s="1381"/>
      <c r="W7" s="1381"/>
      <c r="X7" s="1381"/>
      <c r="Y7" s="1381"/>
      <c r="Z7" s="1381"/>
      <c r="AA7" s="1381"/>
      <c r="AB7" s="1381"/>
      <c r="AC7" s="1381"/>
      <c r="AD7" s="1381"/>
      <c r="AE7" s="1382"/>
      <c r="AF7" s="1381"/>
      <c r="AG7" s="1381"/>
      <c r="AH7" s="1381"/>
      <c r="AI7" s="1381"/>
      <c r="AJ7" s="1381"/>
      <c r="AK7" s="1381"/>
      <c r="AL7" s="1381"/>
      <c r="AM7" s="1381"/>
      <c r="AN7" s="1381"/>
      <c r="AO7" s="1382"/>
      <c r="AP7" s="1383"/>
      <c r="AQ7" s="1381"/>
      <c r="AR7" s="1381"/>
      <c r="AS7" s="1381"/>
      <c r="AT7" s="1381"/>
      <c r="AU7" s="1381"/>
      <c r="AV7" s="1381"/>
      <c r="AW7" s="1381"/>
      <c r="AX7" s="1381"/>
      <c r="AY7" s="1381"/>
      <c r="AZ7" s="1381"/>
      <c r="BA7" s="1381"/>
      <c r="BB7" s="1381"/>
      <c r="BC7" s="1381"/>
    </row>
    <row r="8" spans="2:55" s="10" customFormat="1" ht="26.25">
      <c r="B8" s="311" t="s">
        <v>633</v>
      </c>
      <c r="C8" s="24"/>
      <c r="D8" s="24"/>
      <c r="E8" s="24"/>
      <c r="F8" s="24"/>
      <c r="G8" s="24"/>
      <c r="H8" s="1378"/>
      <c r="I8" s="1378"/>
      <c r="J8" s="1378"/>
      <c r="K8" s="1378"/>
      <c r="L8" s="1378"/>
      <c r="M8" s="1378"/>
      <c r="N8" s="1378"/>
      <c r="O8" s="1381"/>
      <c r="P8" s="1381"/>
      <c r="Q8" s="1381"/>
      <c r="R8" s="1381"/>
      <c r="S8" s="1381"/>
      <c r="T8" s="1381"/>
      <c r="U8" s="1382"/>
      <c r="V8" s="327">
        <v>3</v>
      </c>
      <c r="W8" s="327">
        <v>4</v>
      </c>
      <c r="X8" s="327">
        <v>5</v>
      </c>
      <c r="Y8" s="327"/>
      <c r="Z8" s="327"/>
      <c r="AA8" s="327"/>
      <c r="AB8" s="327"/>
      <c r="AC8" s="327"/>
      <c r="AD8" s="327"/>
      <c r="AE8" s="331"/>
      <c r="AF8" s="327">
        <v>3</v>
      </c>
      <c r="AG8" s="327">
        <v>4</v>
      </c>
      <c r="AH8" s="327">
        <v>5</v>
      </c>
      <c r="AI8" s="327"/>
      <c r="AJ8" s="327"/>
      <c r="AK8" s="327"/>
      <c r="AL8" s="327"/>
      <c r="AM8" s="327"/>
      <c r="AN8" s="327"/>
      <c r="AO8" s="1382"/>
      <c r="AP8" s="1383"/>
      <c r="AQ8" s="1381"/>
      <c r="AR8" s="1381"/>
      <c r="AS8" s="1381"/>
      <c r="AT8" s="1381"/>
      <c r="AU8" s="1381"/>
      <c r="AV8" s="1381"/>
      <c r="AW8" s="1381"/>
      <c r="AX8" s="1381"/>
      <c r="AY8" s="1381"/>
      <c r="AZ8" s="1381"/>
      <c r="BA8" s="1381"/>
      <c r="BB8" s="1381"/>
      <c r="BC8" s="1381"/>
    </row>
    <row r="9" spans="2:55" s="22" customFormat="1" ht="29.25" customHeight="1">
      <c r="B9" s="310" t="s">
        <v>634</v>
      </c>
      <c r="C9" s="310" t="s">
        <v>635</v>
      </c>
      <c r="D9" s="310" t="s">
        <v>636</v>
      </c>
      <c r="E9" s="313"/>
      <c r="F9" s="265"/>
      <c r="G9" s="266"/>
      <c r="H9" s="27"/>
      <c r="I9" s="27"/>
      <c r="J9" s="27"/>
      <c r="K9" s="27"/>
      <c r="L9" s="27"/>
      <c r="M9" s="27"/>
      <c r="N9" s="27"/>
      <c r="P9" s="294" t="s">
        <v>637</v>
      </c>
      <c r="R9" s="320"/>
      <c r="S9" s="320"/>
      <c r="U9" s="1382"/>
      <c r="V9" s="328"/>
      <c r="W9" s="328"/>
      <c r="X9" s="328"/>
      <c r="Y9" s="328"/>
      <c r="Z9" s="328"/>
      <c r="AA9" s="328"/>
      <c r="AB9" s="328"/>
      <c r="AC9" s="328"/>
      <c r="AD9" s="328"/>
      <c r="AE9" s="1382"/>
      <c r="AF9" s="332"/>
      <c r="AG9" s="332"/>
      <c r="AH9" s="332"/>
      <c r="AI9" s="328"/>
      <c r="AJ9" s="332"/>
      <c r="AK9" s="332"/>
      <c r="AL9" s="332"/>
      <c r="AM9" s="332"/>
      <c r="AN9" s="332"/>
      <c r="AO9" s="1382"/>
      <c r="AP9" s="1383"/>
    </row>
    <row r="10" spans="2:55" s="22" customFormat="1" ht="29.25" customHeight="1">
      <c r="B10" s="310" t="s">
        <v>640</v>
      </c>
      <c r="C10" s="310" t="s">
        <v>635</v>
      </c>
      <c r="D10" s="310" t="s">
        <v>636</v>
      </c>
      <c r="E10" s="313"/>
      <c r="F10" s="265"/>
      <c r="G10" s="266"/>
      <c r="H10" s="27"/>
      <c r="I10" s="27"/>
      <c r="J10" s="27"/>
      <c r="K10" s="27"/>
      <c r="L10" s="27"/>
      <c r="M10" s="27"/>
      <c r="N10" s="27"/>
      <c r="P10" s="294" t="s">
        <v>641</v>
      </c>
      <c r="R10" s="320"/>
      <c r="S10" s="320"/>
      <c r="U10" s="1382"/>
      <c r="V10" s="328"/>
      <c r="W10" s="328"/>
      <c r="X10" s="328"/>
      <c r="Y10" s="328"/>
      <c r="Z10" s="328"/>
      <c r="AA10" s="328"/>
      <c r="AB10" s="328"/>
      <c r="AC10" s="328"/>
      <c r="AD10" s="328"/>
      <c r="AE10" s="1382"/>
      <c r="AF10" s="332"/>
      <c r="AG10" s="332"/>
      <c r="AH10" s="332"/>
      <c r="AI10" s="328"/>
      <c r="AJ10" s="332"/>
      <c r="AK10" s="332"/>
      <c r="AL10" s="332"/>
      <c r="AM10" s="332"/>
      <c r="AN10" s="332"/>
      <c r="AO10" s="1382"/>
      <c r="AP10" s="1383"/>
    </row>
    <row r="11" spans="2:55" s="22" customFormat="1" ht="29.25" customHeight="1">
      <c r="B11" s="310" t="s">
        <v>161</v>
      </c>
      <c r="C11" s="310" t="s">
        <v>635</v>
      </c>
      <c r="D11" s="310" t="s">
        <v>636</v>
      </c>
      <c r="E11" s="313"/>
      <c r="F11" s="270"/>
      <c r="G11" s="266"/>
      <c r="H11" s="27"/>
      <c r="I11" s="27"/>
      <c r="J11" s="27"/>
      <c r="K11" s="27"/>
      <c r="L11" s="27"/>
      <c r="M11" s="27"/>
      <c r="N11" s="27"/>
      <c r="P11" s="294" t="s">
        <v>644</v>
      </c>
      <c r="R11" s="349"/>
      <c r="S11" s="349"/>
      <c r="U11" s="1382"/>
      <c r="V11" s="328"/>
      <c r="W11" s="328"/>
      <c r="X11" s="328"/>
      <c r="Y11" s="328"/>
      <c r="Z11" s="328"/>
      <c r="AA11" s="328"/>
      <c r="AB11" s="328"/>
      <c r="AC11" s="328"/>
      <c r="AD11" s="328"/>
      <c r="AE11" s="1382"/>
      <c r="AF11" s="332"/>
      <c r="AG11" s="332"/>
      <c r="AH11" s="332"/>
      <c r="AI11" s="328"/>
      <c r="AJ11" s="332"/>
      <c r="AK11" s="332"/>
      <c r="AL11" s="332"/>
      <c r="AM11" s="332"/>
      <c r="AN11" s="332"/>
      <c r="AO11" s="1382"/>
      <c r="AP11" s="1383"/>
    </row>
    <row r="12" spans="2:55" s="22" customFormat="1" ht="53.25" customHeight="1">
      <c r="B12" s="310" t="s">
        <v>646</v>
      </c>
      <c r="C12" s="310" t="s">
        <v>647</v>
      </c>
      <c r="D12" s="1312" t="s">
        <v>648</v>
      </c>
      <c r="E12" s="1911"/>
      <c r="F12" s="1912"/>
      <c r="G12" s="1913" t="str">
        <f>IF('Validation summary'!$B$3="South Staffs Water",ROUND((F12 / E12)*1000,1),"")</f>
        <v/>
      </c>
      <c r="H12" s="27"/>
      <c r="I12" s="27"/>
      <c r="J12" s="27"/>
      <c r="K12" s="27"/>
      <c r="L12" s="27"/>
      <c r="M12" s="27"/>
      <c r="N12" s="27"/>
      <c r="P12" s="294" t="s">
        <v>649</v>
      </c>
      <c r="R12" s="329">
        <f>IF(SUM($V12:$X12)=0,0,$V$6)</f>
        <v>0</v>
      </c>
      <c r="S12" s="343">
        <f>IF(SUM($AF12:$AH12)=0,0,$AF$6)</f>
        <v>0</v>
      </c>
      <c r="U12" s="1382"/>
      <c r="V12" s="328">
        <f>IF('Validation summary'!$B$3="South Staffs Water",IF(ISBLANK($E12)=TRUE,1,0),0)</f>
        <v>0</v>
      </c>
      <c r="W12" s="328">
        <f>IF('Validation summary'!$B$3="South Staffs Water",IF(ISBLANK($F12)=TRUE,1,0),0)</f>
        <v>0</v>
      </c>
      <c r="X12" s="328"/>
      <c r="Y12" s="328"/>
      <c r="Z12" s="328"/>
      <c r="AA12" s="328"/>
      <c r="AB12" s="328"/>
      <c r="AC12" s="328"/>
      <c r="AD12" s="328"/>
      <c r="AE12" s="1382"/>
      <c r="AF12" s="332">
        <f>IF($E12&lt;0,1,0)</f>
        <v>0</v>
      </c>
      <c r="AG12" s="332">
        <f>IF($F12&lt;0,1,0)</f>
        <v>0</v>
      </c>
      <c r="AH12" s="332"/>
      <c r="AI12" s="328"/>
      <c r="AJ12" s="332"/>
      <c r="AK12" s="332"/>
      <c r="AL12" s="332"/>
      <c r="AM12" s="332"/>
      <c r="AN12" s="332"/>
      <c r="AO12" s="1382"/>
      <c r="AP12" s="1383"/>
      <c r="AQ12" s="310" t="s">
        <v>646</v>
      </c>
      <c r="AR12" s="310" t="s">
        <v>647</v>
      </c>
      <c r="AS12" s="1312" t="s">
        <v>648</v>
      </c>
      <c r="AT12" s="1503" t="s">
        <v>650</v>
      </c>
      <c r="AU12" s="1504" t="s">
        <v>651</v>
      </c>
      <c r="AV12" s="1505" t="s">
        <v>652</v>
      </c>
    </row>
    <row r="13" spans="2:55" s="22" customFormat="1" ht="13.5" customHeight="1">
      <c r="B13" s="28"/>
      <c r="C13" s="28"/>
      <c r="D13" s="28"/>
      <c r="E13" s="12"/>
      <c r="F13" s="12"/>
      <c r="G13" s="12"/>
      <c r="H13" s="27"/>
      <c r="I13" s="27"/>
      <c r="J13" s="27"/>
      <c r="K13" s="27"/>
      <c r="L13" s="27"/>
      <c r="M13" s="27"/>
      <c r="N13" s="27"/>
      <c r="P13" s="11"/>
      <c r="R13" s="11"/>
      <c r="S13" s="11"/>
      <c r="U13" s="1382"/>
      <c r="V13" s="328"/>
      <c r="W13" s="328"/>
      <c r="X13" s="328"/>
      <c r="Y13" s="328"/>
      <c r="Z13" s="328"/>
      <c r="AA13" s="328"/>
      <c r="AB13" s="328"/>
      <c r="AC13" s="328"/>
      <c r="AD13" s="328"/>
      <c r="AE13" s="1382"/>
      <c r="AF13" s="332"/>
      <c r="AG13" s="332"/>
      <c r="AH13" s="332"/>
      <c r="AI13" s="328"/>
      <c r="AJ13" s="332"/>
      <c r="AK13" s="332"/>
      <c r="AL13" s="332"/>
      <c r="AM13" s="332"/>
      <c r="AN13" s="332"/>
      <c r="AO13" s="1382"/>
      <c r="AP13" s="1383"/>
    </row>
    <row r="14" spans="2:55" s="22" customFormat="1" ht="14.25">
      <c r="B14" s="28"/>
      <c r="C14" s="26">
        <v>6</v>
      </c>
      <c r="D14" s="26">
        <v>7</v>
      </c>
      <c r="E14" s="26">
        <v>8</v>
      </c>
      <c r="F14" s="26">
        <v>9</v>
      </c>
      <c r="G14" s="26">
        <v>10</v>
      </c>
      <c r="H14" s="26">
        <v>11</v>
      </c>
      <c r="I14" s="26" t="s">
        <v>653</v>
      </c>
      <c r="J14" s="26" t="s">
        <v>654</v>
      </c>
      <c r="K14" s="26" t="s">
        <v>655</v>
      </c>
      <c r="L14" s="26" t="s">
        <v>656</v>
      </c>
      <c r="M14" s="26">
        <v>12</v>
      </c>
      <c r="N14" s="26">
        <v>13</v>
      </c>
      <c r="U14" s="1382"/>
      <c r="V14" s="328"/>
      <c r="W14" s="328"/>
      <c r="X14" s="328"/>
      <c r="Y14" s="328"/>
      <c r="Z14" s="328"/>
      <c r="AA14" s="328"/>
      <c r="AB14" s="328"/>
      <c r="AC14" s="328"/>
      <c r="AD14" s="328"/>
      <c r="AE14" s="1382"/>
      <c r="AF14" s="332"/>
      <c r="AG14" s="332"/>
      <c r="AH14" s="332"/>
      <c r="AI14" s="328"/>
      <c r="AJ14" s="332"/>
      <c r="AK14" s="332"/>
      <c r="AL14" s="332"/>
      <c r="AM14" s="332"/>
      <c r="AN14" s="332"/>
      <c r="AO14" s="1382"/>
      <c r="AP14" s="1383"/>
    </row>
    <row r="15" spans="2:55" s="10" customFormat="1" ht="72.75" customHeight="1">
      <c r="B15" s="1321" t="s">
        <v>112</v>
      </c>
      <c r="C15" s="1320" t="s">
        <v>114</v>
      </c>
      <c r="D15" s="1320" t="s">
        <v>657</v>
      </c>
      <c r="E15" s="1320" t="s">
        <v>658</v>
      </c>
      <c r="F15" s="1320" t="s">
        <v>659</v>
      </c>
      <c r="G15" s="1320" t="s">
        <v>660</v>
      </c>
      <c r="H15" s="1320" t="s">
        <v>661</v>
      </c>
      <c r="I15" s="1320" t="s">
        <v>662</v>
      </c>
      <c r="J15" s="1320" t="s">
        <v>663</v>
      </c>
      <c r="K15" s="1320" t="s">
        <v>664</v>
      </c>
      <c r="L15" s="1320" t="s">
        <v>665</v>
      </c>
      <c r="M15" s="1320" t="s">
        <v>666</v>
      </c>
      <c r="N15" s="1320" t="s">
        <v>667</v>
      </c>
      <c r="O15" s="1381"/>
      <c r="P15" s="1381"/>
      <c r="Q15" s="1381"/>
      <c r="R15" s="1381"/>
      <c r="S15" s="1381"/>
      <c r="T15" s="1381"/>
      <c r="U15" s="1382"/>
      <c r="V15" s="328"/>
      <c r="W15" s="328"/>
      <c r="X15" s="328"/>
      <c r="Y15" s="328"/>
      <c r="Z15" s="328"/>
      <c r="AA15" s="328"/>
      <c r="AB15" s="328"/>
      <c r="AC15" s="328"/>
      <c r="AD15" s="328"/>
      <c r="AE15" s="1382"/>
      <c r="AF15" s="332"/>
      <c r="AG15" s="332"/>
      <c r="AH15" s="332"/>
      <c r="AI15" s="328"/>
      <c r="AJ15" s="332"/>
      <c r="AK15" s="332"/>
      <c r="AL15" s="332"/>
      <c r="AM15" s="332"/>
      <c r="AN15" s="332"/>
      <c r="AO15" s="1382"/>
      <c r="AP15" s="1383"/>
      <c r="AQ15" s="1321" t="s">
        <v>112</v>
      </c>
      <c r="AR15" s="1320" t="s">
        <v>114</v>
      </c>
      <c r="AS15" s="1320" t="s">
        <v>657</v>
      </c>
      <c r="AT15" s="1320" t="s">
        <v>658</v>
      </c>
      <c r="AU15" s="1320" t="s">
        <v>659</v>
      </c>
      <c r="AV15" s="1320" t="s">
        <v>660</v>
      </c>
      <c r="AW15" s="1320" t="s">
        <v>661</v>
      </c>
      <c r="AX15" s="1320" t="s">
        <v>662</v>
      </c>
      <c r="AY15" s="1320" t="s">
        <v>663</v>
      </c>
      <c r="AZ15" s="1320" t="s">
        <v>664</v>
      </c>
      <c r="BA15" s="1320" t="s">
        <v>665</v>
      </c>
      <c r="BB15" s="1320" t="s">
        <v>666</v>
      </c>
      <c r="BC15" s="1320" t="s">
        <v>667</v>
      </c>
    </row>
    <row r="16" spans="2:55" s="10" customFormat="1" ht="15.75">
      <c r="B16" s="286"/>
      <c r="C16" s="286"/>
      <c r="D16" s="286"/>
      <c r="E16" s="286"/>
      <c r="F16" s="286"/>
      <c r="G16" s="286"/>
      <c r="H16" s="286"/>
      <c r="I16" s="286"/>
      <c r="J16" s="286"/>
      <c r="K16" s="286"/>
      <c r="L16" s="286"/>
      <c r="M16" s="286"/>
      <c r="N16" s="286"/>
      <c r="O16" s="1381"/>
      <c r="P16" s="1381"/>
      <c r="Q16" s="1381"/>
      <c r="R16" s="1381"/>
      <c r="S16" s="1381"/>
      <c r="T16" s="1381"/>
      <c r="U16" s="1382"/>
      <c r="V16" s="328"/>
      <c r="W16" s="328"/>
      <c r="X16" s="328"/>
      <c r="Y16" s="328"/>
      <c r="Z16" s="328"/>
      <c r="AA16" s="328"/>
      <c r="AB16" s="328"/>
      <c r="AC16" s="328"/>
      <c r="AD16" s="328"/>
      <c r="AE16" s="1382"/>
      <c r="AF16" s="332"/>
      <c r="AG16" s="332"/>
      <c r="AH16" s="332"/>
      <c r="AI16" s="328"/>
      <c r="AJ16" s="332"/>
      <c r="AK16" s="332"/>
      <c r="AL16" s="332"/>
      <c r="AM16" s="332"/>
      <c r="AN16" s="332"/>
      <c r="AO16" s="1382"/>
      <c r="AP16" s="1383"/>
      <c r="AQ16" s="1381"/>
      <c r="AR16" s="1381"/>
      <c r="AS16" s="1381"/>
      <c r="AT16" s="1381"/>
      <c r="AU16" s="1381"/>
      <c r="AV16" s="1381"/>
      <c r="AW16" s="1381"/>
      <c r="AX16" s="1381"/>
      <c r="AY16" s="1381"/>
      <c r="AZ16" s="1381"/>
      <c r="BA16" s="1381"/>
      <c r="BB16" s="1381"/>
      <c r="BC16" s="1381"/>
    </row>
    <row r="17" spans="2:55" s="10" customFormat="1" ht="42" customHeight="1">
      <c r="B17" s="311" t="s">
        <v>668</v>
      </c>
      <c r="C17" s="286"/>
      <c r="D17" s="286"/>
      <c r="E17" s="286"/>
      <c r="F17" s="286"/>
      <c r="G17" s="286"/>
      <c r="H17" s="286"/>
      <c r="I17" s="286"/>
      <c r="J17" s="286"/>
      <c r="K17" s="286"/>
      <c r="L17" s="286"/>
      <c r="M17" s="286"/>
      <c r="N17" s="286"/>
      <c r="O17" s="1381"/>
      <c r="P17" s="1381"/>
      <c r="Q17" s="1381"/>
      <c r="R17" s="1381"/>
      <c r="S17" s="1381"/>
      <c r="T17" s="1381"/>
      <c r="U17" s="1382"/>
      <c r="V17" s="327">
        <v>7</v>
      </c>
      <c r="W17" s="327">
        <v>8</v>
      </c>
      <c r="X17" s="327">
        <v>9</v>
      </c>
      <c r="Y17" s="327">
        <v>10</v>
      </c>
      <c r="Z17" s="327">
        <v>11</v>
      </c>
      <c r="AA17" s="327" t="s">
        <v>653</v>
      </c>
      <c r="AB17" s="327" t="s">
        <v>654</v>
      </c>
      <c r="AC17" s="327" t="s">
        <v>655</v>
      </c>
      <c r="AD17" s="327" t="s">
        <v>656</v>
      </c>
      <c r="AE17" s="1382"/>
      <c r="AF17" s="327">
        <v>7</v>
      </c>
      <c r="AG17" s="327">
        <v>8</v>
      </c>
      <c r="AH17" s="327">
        <v>9</v>
      </c>
      <c r="AI17" s="327">
        <v>10</v>
      </c>
      <c r="AJ17" s="327">
        <v>11</v>
      </c>
      <c r="AK17" s="327" t="s">
        <v>653</v>
      </c>
      <c r="AL17" s="327" t="s">
        <v>654</v>
      </c>
      <c r="AM17" s="327" t="s">
        <v>655</v>
      </c>
      <c r="AN17" s="327" t="s">
        <v>656</v>
      </c>
      <c r="AO17" s="1382"/>
      <c r="AP17" s="1383"/>
      <c r="AQ17" s="1381"/>
      <c r="AR17" s="1381"/>
      <c r="AS17" s="1381"/>
      <c r="AT17" s="1381"/>
      <c r="AU17" s="1381"/>
      <c r="AV17" s="1381"/>
      <c r="AW17" s="1381"/>
      <c r="AX17" s="1381"/>
      <c r="AY17" s="1381"/>
      <c r="AZ17" s="1381"/>
      <c r="BA17" s="1381"/>
      <c r="BB17" s="1381"/>
      <c r="BC17" s="1381"/>
    </row>
    <row r="18" spans="2:55" s="22" customFormat="1" ht="25.5" customHeight="1">
      <c r="B18" s="310" t="s">
        <v>669</v>
      </c>
      <c r="C18" s="310" t="s">
        <v>670</v>
      </c>
      <c r="D18" s="1914"/>
      <c r="E18" s="1914"/>
      <c r="F18" s="1914"/>
      <c r="G18" s="1915" t="str">
        <f>IF(OR('Validation summary'!$B$3="Northumbrian Water",'Validation summary'!$B$3="South Staffs Water"),ROUND(AVERAGE(D18:F18),1),"")</f>
        <v/>
      </c>
      <c r="H18" s="1916"/>
      <c r="I18" s="1916"/>
      <c r="J18" s="1916"/>
      <c r="K18" s="1916" t="s">
        <v>710</v>
      </c>
      <c r="L18" s="371"/>
      <c r="M18" s="1915" t="str">
        <f>IF(OR('Validation summary'!$B$3="Northumbrian Water",'Validation summary'!$B$3="South Staffs Water"),ROUND(AVERAGE(I18:K18),1),"")</f>
        <v/>
      </c>
      <c r="N18" s="1915" t="str">
        <f>IF(OR('Validation summary'!$B$3="Northumbrian Water",'Validation summary'!$B$3="South Staffs Water"),(1-M18/G18)*100,"")</f>
        <v/>
      </c>
      <c r="P18" s="294" t="s">
        <v>671</v>
      </c>
      <c r="R18" s="329">
        <f>IF(SUM($V18:$AD18)=0,0,$V$6)</f>
        <v>0</v>
      </c>
      <c r="S18" s="343">
        <f>IF(SUM($AF18:$AN18)=0,0,$AF$6)</f>
        <v>0</v>
      </c>
      <c r="U18" s="1382"/>
      <c r="V18" s="328">
        <f>IF(OR('Validation summary'!$B$3="Northumbrian Water",'Validation summary'!$B$3="South Staffs Water"),IF(ISBLANK($D18)=TRUE,1,0),0)</f>
        <v>0</v>
      </c>
      <c r="W18" s="328">
        <f>IF(OR('Validation summary'!$B$3="Northumbrian Water",'Validation summary'!$B$3="South Staffs Water"),IF(ISBLANK($E18)=TRUE,1,0),0)</f>
        <v>0</v>
      </c>
      <c r="X18" s="328">
        <f>IF(OR('Validation summary'!$B$3="Northumbrian Water",'Validation summary'!$B$3="South Staffs Water"),IF(ISBLANK($F18)=TRUE,1,0),0)</f>
        <v>0</v>
      </c>
      <c r="Y18" s="328"/>
      <c r="Z18" s="328">
        <f>IF(OR('Validation summary'!$B$3="Northumbrian Water",'Validation summary'!$B$3="South Staffs Water"),IF(ISBLANK($H18)=TRUE,1,0),0)</f>
        <v>0</v>
      </c>
      <c r="AA18" s="328">
        <f>IF(OR('Validation summary'!$B$3="Northumbrian Water",'Validation summary'!$B$3="South Staffs Water"),IF(ISBLANK($I18)=TRUE,1,0),0)</f>
        <v>0</v>
      </c>
      <c r="AB18" s="328">
        <f>IF(OR('Validation summary'!$B$3="Northumbrian Water",'Validation summary'!$B$3="South Staffs Water"),IF(ISBLANK($J18)=TRUE,1,0),0)</f>
        <v>0</v>
      </c>
      <c r="AC18" s="328">
        <f>IF(OR('Validation summary'!$B$3="Northumbrian Water",'Validation summary'!$B$3="South Staffs Water"),IF(ISBLANK($K18)=TRUE,1,0),0)</f>
        <v>0</v>
      </c>
      <c r="AD18" s="328"/>
      <c r="AE18" s="1382"/>
      <c r="AF18" s="332">
        <f>IF($D18&lt;0,1,0)</f>
        <v>0</v>
      </c>
      <c r="AG18" s="332">
        <f>IF($E18&lt;0,1,0)</f>
        <v>0</v>
      </c>
      <c r="AH18" s="332">
        <f>IF($F18&lt;0,1,0)</f>
        <v>0</v>
      </c>
      <c r="AI18" s="328"/>
      <c r="AJ18" s="332">
        <f>IF($H18&lt;0,1,0)</f>
        <v>0</v>
      </c>
      <c r="AK18" s="332">
        <f>IF($I18&lt;0,1,0)</f>
        <v>0</v>
      </c>
      <c r="AL18" s="332">
        <f>IF($J18&lt;0,1,0)</f>
        <v>0</v>
      </c>
      <c r="AM18" s="332">
        <f>IF($K18&lt;0,1,0)</f>
        <v>0</v>
      </c>
      <c r="AN18" s="332"/>
      <c r="AO18" s="1382"/>
      <c r="AP18" s="1383"/>
      <c r="AQ18" s="310" t="s">
        <v>669</v>
      </c>
      <c r="AR18" s="310" t="s">
        <v>670</v>
      </c>
      <c r="AS18" s="1506"/>
      <c r="AT18" s="1506"/>
      <c r="AU18" s="1506"/>
      <c r="AV18" s="1507" t="s">
        <v>672</v>
      </c>
      <c r="AW18" s="1506"/>
      <c r="AX18" s="1508"/>
      <c r="AY18" s="1506"/>
      <c r="AZ18" s="1508" t="s">
        <v>673</v>
      </c>
      <c r="BA18" s="1506"/>
      <c r="BB18" s="1540" t="s">
        <v>674</v>
      </c>
      <c r="BC18" s="1540" t="s">
        <v>144</v>
      </c>
    </row>
    <row r="19" spans="2:55" s="22" customFormat="1" ht="25.5" customHeight="1">
      <c r="B19" s="310" t="s">
        <v>646</v>
      </c>
      <c r="C19" s="310" t="s">
        <v>647</v>
      </c>
      <c r="D19" s="1914"/>
      <c r="E19" s="1914"/>
      <c r="F19" s="1914"/>
      <c r="G19" s="1915" t="str">
        <f>IF('Validation summary'!$B$3="South Staffs Water",ROUND(AVERAGE(D19:F19),1),"")</f>
        <v/>
      </c>
      <c r="H19" s="1914"/>
      <c r="I19" s="1914"/>
      <c r="J19" s="1914"/>
      <c r="K19" s="1915" t="str">
        <f>IF('Validation summary'!$B$3="South Staffs Water",$G$12,"")</f>
        <v/>
      </c>
      <c r="L19" s="371"/>
      <c r="M19" s="1915" t="str">
        <f>IF('Validation summary'!$B$3="South Staffs Water",ROUND(AVERAGE(I19:K19),1),"")</f>
        <v/>
      </c>
      <c r="N19" s="1915" t="str">
        <f>IF('Validation summary'!$B$3="South Staffs Water",(1-M19/G19)*100,"")</f>
        <v/>
      </c>
      <c r="P19" s="294" t="s">
        <v>675</v>
      </c>
      <c r="R19" s="329">
        <f>IF(SUM($V19:$AD19)=0,0,$V$6)</f>
        <v>0</v>
      </c>
      <c r="S19" s="343">
        <f>IF(SUM($AF19:$AN19)=0,0,$AF$6)</f>
        <v>0</v>
      </c>
      <c r="U19" s="1382"/>
      <c r="V19" s="328">
        <f>IF('Validation summary'!$B$3="South Staffs Water",IF(ISBLANK($D19)=TRUE,1,0),0)</f>
        <v>0</v>
      </c>
      <c r="W19" s="328">
        <f>IF('Validation summary'!$B$3="South Staffs Water",IF(ISBLANK($E19)=TRUE,1,0),0)</f>
        <v>0</v>
      </c>
      <c r="X19" s="328">
        <f>IF('Validation summary'!$B$3="South Staffs Water",IF(ISBLANK($F19)=TRUE,1,0),0)</f>
        <v>0</v>
      </c>
      <c r="Y19" s="328"/>
      <c r="Z19" s="328">
        <f>IF('Validation summary'!$B$3="South Staffs Water",IF(ISBLANK($H19)=TRUE,1,0),0)</f>
        <v>0</v>
      </c>
      <c r="AA19" s="328">
        <f>IF('Validation summary'!$B$3="South Staffs Water",IF(ISBLANK($I19)=TRUE,1,0),0)</f>
        <v>0</v>
      </c>
      <c r="AB19" s="328">
        <f>IF('Validation summary'!$B$3="South Staffs Water",IF(ISBLANK($J19)=TRUE,1,0),0)</f>
        <v>0</v>
      </c>
      <c r="AC19" s="328"/>
      <c r="AD19" s="328"/>
      <c r="AE19" s="1382"/>
      <c r="AF19" s="332">
        <f>IF($D19&lt;0,1,0)</f>
        <v>0</v>
      </c>
      <c r="AG19" s="332">
        <f>IF($E19&lt;0,1,0)</f>
        <v>0</v>
      </c>
      <c r="AH19" s="332">
        <f>IF($F19&lt;0,1,0)</f>
        <v>0</v>
      </c>
      <c r="AI19" s="328"/>
      <c r="AJ19" s="332">
        <f>IF($H19&lt;0,1,0)</f>
        <v>0</v>
      </c>
      <c r="AK19" s="332">
        <f>IF($I19&lt;0,1,0)</f>
        <v>0</v>
      </c>
      <c r="AL19" s="332">
        <f>IF($J19&lt;0,1,0)</f>
        <v>0</v>
      </c>
      <c r="AM19" s="332"/>
      <c r="AN19" s="332"/>
      <c r="AO19" s="1382"/>
      <c r="AP19" s="1383"/>
      <c r="AQ19" s="310" t="s">
        <v>646</v>
      </c>
      <c r="AR19" s="310" t="s">
        <v>647</v>
      </c>
      <c r="AS19" s="1506"/>
      <c r="AT19" s="1506"/>
      <c r="AU19" s="1506"/>
      <c r="AV19" s="1507" t="s">
        <v>676</v>
      </c>
      <c r="AW19" s="1506"/>
      <c r="AX19" s="1509"/>
      <c r="AY19" s="1506"/>
      <c r="AZ19" s="1509" t="s">
        <v>652</v>
      </c>
      <c r="BA19" s="1506"/>
      <c r="BB19" s="1540" t="s">
        <v>677</v>
      </c>
      <c r="BC19" s="1540" t="s">
        <v>153</v>
      </c>
    </row>
    <row r="20" spans="2:55" s="22" customFormat="1" ht="17.25" customHeight="1">
      <c r="B20" s="28"/>
      <c r="C20" s="28"/>
      <c r="D20" s="12"/>
      <c r="E20" s="12"/>
      <c r="F20" s="12"/>
      <c r="G20" s="12"/>
      <c r="H20" s="12"/>
      <c r="I20" s="12"/>
      <c r="J20" s="12"/>
      <c r="K20" s="12"/>
      <c r="L20" s="12"/>
      <c r="M20" s="12"/>
      <c r="N20" s="12"/>
      <c r="P20" s="11"/>
      <c r="R20" s="11"/>
      <c r="S20" s="11"/>
      <c r="U20" s="1382"/>
      <c r="V20" s="328"/>
      <c r="W20" s="328"/>
      <c r="X20" s="328"/>
      <c r="Y20" s="328"/>
      <c r="Z20" s="328"/>
      <c r="AA20" s="328"/>
      <c r="AB20" s="328"/>
      <c r="AC20" s="328"/>
      <c r="AD20" s="328"/>
      <c r="AE20" s="1382"/>
      <c r="AF20" s="332"/>
      <c r="AG20" s="332"/>
      <c r="AH20" s="332"/>
      <c r="AI20" s="328"/>
      <c r="AJ20" s="332"/>
      <c r="AK20" s="332"/>
      <c r="AL20" s="332"/>
      <c r="AM20" s="332"/>
      <c r="AN20" s="332"/>
      <c r="AO20" s="1382"/>
      <c r="AP20" s="1383"/>
    </row>
    <row r="21" spans="2:55" s="10" customFormat="1" ht="14.25">
      <c r="B21" s="1386"/>
      <c r="C21" s="26">
        <v>14</v>
      </c>
      <c r="D21" s="26">
        <v>15</v>
      </c>
      <c r="E21" s="26">
        <v>16</v>
      </c>
      <c r="F21" s="26">
        <v>17</v>
      </c>
      <c r="G21" s="26">
        <v>18</v>
      </c>
      <c r="H21" s="26">
        <v>19</v>
      </c>
      <c r="I21" s="26"/>
      <c r="J21" s="26"/>
      <c r="K21" s="26"/>
      <c r="L21" s="26"/>
      <c r="M21" s="1378"/>
      <c r="N21" s="1378"/>
      <c r="O21" s="1381"/>
      <c r="P21" s="1381"/>
      <c r="Q21" s="1381"/>
      <c r="R21" s="1381"/>
      <c r="S21" s="1381"/>
      <c r="T21" s="1381"/>
      <c r="U21" s="1382"/>
      <c r="V21" s="327"/>
      <c r="W21" s="327"/>
      <c r="X21" s="327"/>
      <c r="Y21" s="327"/>
      <c r="Z21" s="327"/>
      <c r="AA21" s="327"/>
      <c r="AB21" s="327"/>
      <c r="AC21" s="327"/>
      <c r="AD21" s="327"/>
      <c r="AE21" s="1382"/>
      <c r="AF21" s="327"/>
      <c r="AG21" s="327"/>
      <c r="AH21" s="327"/>
      <c r="AI21" s="327"/>
      <c r="AJ21" s="327"/>
      <c r="AK21" s="327"/>
      <c r="AL21" s="327"/>
      <c r="AM21" s="327"/>
      <c r="AN21" s="327"/>
      <c r="AO21" s="1382"/>
      <c r="AP21" s="1383"/>
      <c r="AQ21" s="1381"/>
      <c r="AR21" s="1381"/>
      <c r="AS21" s="1381"/>
      <c r="AT21" s="1381"/>
      <c r="AU21" s="1381"/>
      <c r="AV21" s="1381"/>
      <c r="AW21" s="1381"/>
      <c r="AX21" s="1381"/>
      <c r="AY21" s="1381"/>
      <c r="AZ21" s="1381"/>
      <c r="BA21" s="1381"/>
      <c r="BB21" s="1381"/>
      <c r="BC21" s="1381"/>
    </row>
    <row r="22" spans="2:55" s="10" customFormat="1" ht="39.4">
      <c r="B22" s="1321" t="s">
        <v>112</v>
      </c>
      <c r="C22" s="1320" t="s">
        <v>114</v>
      </c>
      <c r="D22" s="1320" t="s">
        <v>628</v>
      </c>
      <c r="E22" s="1320" t="s">
        <v>678</v>
      </c>
      <c r="F22" s="1320" t="s">
        <v>679</v>
      </c>
      <c r="G22" s="1320" t="s">
        <v>680</v>
      </c>
      <c r="H22" s="1320" t="s">
        <v>681</v>
      </c>
      <c r="I22" s="287"/>
      <c r="J22" s="287"/>
      <c r="K22" s="287"/>
      <c r="L22" s="287"/>
      <c r="M22" s="1378"/>
      <c r="N22" s="1378"/>
      <c r="O22" s="1381"/>
      <c r="P22" s="1381"/>
      <c r="Q22" s="1381"/>
      <c r="R22" s="1381"/>
      <c r="S22" s="1381"/>
      <c r="T22" s="1381"/>
      <c r="U22" s="1382"/>
      <c r="V22" s="328"/>
      <c r="W22" s="328"/>
      <c r="X22" s="328"/>
      <c r="Y22" s="328"/>
      <c r="Z22" s="328"/>
      <c r="AA22" s="328"/>
      <c r="AB22" s="328"/>
      <c r="AC22" s="328"/>
      <c r="AD22" s="328"/>
      <c r="AE22" s="1382"/>
      <c r="AF22" s="332"/>
      <c r="AG22" s="332"/>
      <c r="AH22" s="332"/>
      <c r="AI22" s="328"/>
      <c r="AJ22" s="332"/>
      <c r="AK22" s="332"/>
      <c r="AL22" s="332"/>
      <c r="AM22" s="332"/>
      <c r="AN22" s="332"/>
      <c r="AO22" s="1382"/>
      <c r="AP22" s="1383"/>
      <c r="AQ22" s="1381"/>
      <c r="AR22" s="1381"/>
      <c r="AS22" s="1381"/>
      <c r="AT22" s="1381"/>
      <c r="AU22" s="1381"/>
      <c r="AV22" s="1381"/>
      <c r="AW22" s="1381"/>
      <c r="AX22" s="1381"/>
      <c r="AY22" s="1381"/>
      <c r="AZ22" s="1381"/>
      <c r="BA22" s="1381"/>
      <c r="BB22" s="1381"/>
      <c r="BC22" s="1381"/>
    </row>
    <row r="23" spans="2:55" s="10" customFormat="1" ht="15.75">
      <c r="B23" s="286"/>
      <c r="C23" s="286"/>
      <c r="D23" s="286"/>
      <c r="E23" s="286"/>
      <c r="F23" s="286"/>
      <c r="G23" s="286"/>
      <c r="H23" s="286"/>
      <c r="I23" s="286"/>
      <c r="J23" s="286"/>
      <c r="K23" s="286"/>
      <c r="L23" s="286"/>
      <c r="M23" s="24"/>
      <c r="N23" s="24"/>
      <c r="O23" s="1381"/>
      <c r="P23" s="1381"/>
      <c r="Q23" s="1381"/>
      <c r="R23" s="1381"/>
      <c r="S23" s="1381"/>
      <c r="T23" s="1381"/>
      <c r="U23" s="1382"/>
      <c r="V23" s="328"/>
      <c r="W23" s="328"/>
      <c r="X23" s="328"/>
      <c r="Y23" s="328"/>
      <c r="Z23" s="328"/>
      <c r="AA23" s="328"/>
      <c r="AB23" s="328"/>
      <c r="AC23" s="328"/>
      <c r="AD23" s="328"/>
      <c r="AE23" s="1382"/>
      <c r="AF23" s="332"/>
      <c r="AG23" s="332"/>
      <c r="AH23" s="332"/>
      <c r="AI23" s="328"/>
      <c r="AJ23" s="332"/>
      <c r="AK23" s="332"/>
      <c r="AL23" s="332"/>
      <c r="AM23" s="332"/>
      <c r="AN23" s="332"/>
      <c r="AO23" s="1382"/>
      <c r="AP23" s="1383"/>
      <c r="AQ23" s="1381"/>
      <c r="AR23" s="1381"/>
      <c r="AS23" s="1381"/>
      <c r="AT23" s="1381"/>
      <c r="AU23" s="1381"/>
      <c r="AV23" s="1381"/>
      <c r="AW23" s="1381"/>
      <c r="AX23" s="1381"/>
      <c r="AY23" s="1381"/>
      <c r="AZ23" s="1381"/>
      <c r="BA23" s="1381"/>
      <c r="BB23" s="1381"/>
      <c r="BC23" s="1381"/>
    </row>
    <row r="24" spans="2:55" s="10" customFormat="1" ht="15.75">
      <c r="B24" s="311" t="s">
        <v>137</v>
      </c>
      <c r="C24" s="286"/>
      <c r="D24" s="286"/>
      <c r="E24" s="286"/>
      <c r="F24" s="286"/>
      <c r="G24" s="286"/>
      <c r="H24" s="286"/>
      <c r="I24" s="286"/>
      <c r="J24" s="286"/>
      <c r="K24" s="286"/>
      <c r="L24" s="286"/>
      <c r="M24" s="24"/>
      <c r="N24" s="24"/>
      <c r="O24" s="1381"/>
      <c r="P24" s="1381"/>
      <c r="Q24" s="1381"/>
      <c r="R24" s="1381"/>
      <c r="S24" s="1381"/>
      <c r="T24" s="1381"/>
      <c r="U24" s="1382"/>
      <c r="V24" s="327">
        <v>16</v>
      </c>
      <c r="W24" s="327">
        <v>17</v>
      </c>
      <c r="X24" s="327">
        <v>18</v>
      </c>
      <c r="Y24" s="327">
        <v>19</v>
      </c>
      <c r="Z24" s="327"/>
      <c r="AA24" s="327"/>
      <c r="AB24" s="327"/>
      <c r="AC24" s="327"/>
      <c r="AD24" s="327"/>
      <c r="AE24" s="1382"/>
      <c r="AF24" s="327">
        <v>16</v>
      </c>
      <c r="AG24" s="327">
        <v>17</v>
      </c>
      <c r="AH24" s="327">
        <v>18</v>
      </c>
      <c r="AI24" s="327">
        <v>19</v>
      </c>
      <c r="AJ24" s="327"/>
      <c r="AK24" s="327"/>
      <c r="AL24" s="327"/>
      <c r="AM24" s="327"/>
      <c r="AN24" s="327"/>
      <c r="AO24" s="1382"/>
      <c r="AP24" s="1383"/>
      <c r="AQ24" s="1381"/>
      <c r="AR24" s="1381"/>
      <c r="AS24" s="1381"/>
      <c r="AT24" s="1381"/>
      <c r="AU24" s="1381"/>
      <c r="AV24" s="1381"/>
      <c r="AW24" s="1381"/>
      <c r="AX24" s="1381"/>
      <c r="AY24" s="1381"/>
      <c r="AZ24" s="1381"/>
      <c r="BA24" s="1381"/>
      <c r="BB24" s="1381"/>
      <c r="BC24" s="1381"/>
    </row>
    <row r="25" spans="2:55" s="22" customFormat="1" ht="58.5" customHeight="1">
      <c r="B25" s="310" t="s">
        <v>137</v>
      </c>
      <c r="C25" s="310" t="s">
        <v>682</v>
      </c>
      <c r="D25" s="310" t="s">
        <v>683</v>
      </c>
      <c r="E25" s="266"/>
      <c r="F25" s="267"/>
      <c r="G25" s="23"/>
      <c r="H25" s="266"/>
      <c r="I25" s="266"/>
      <c r="J25" s="266"/>
      <c r="K25" s="266"/>
      <c r="L25" s="266"/>
      <c r="M25" s="27"/>
      <c r="N25" s="27"/>
      <c r="P25" s="294" t="s">
        <v>684</v>
      </c>
      <c r="R25" s="320"/>
      <c r="S25" s="320"/>
      <c r="U25" s="1382"/>
      <c r="V25" s="328"/>
      <c r="W25" s="328"/>
      <c r="X25" s="328"/>
      <c r="Y25" s="328"/>
      <c r="Z25" s="328"/>
      <c r="AA25" s="328"/>
      <c r="AB25" s="328"/>
      <c r="AC25" s="328"/>
      <c r="AD25" s="328"/>
      <c r="AE25" s="1382"/>
      <c r="AF25" s="332"/>
      <c r="AG25" s="332"/>
      <c r="AH25" s="332"/>
      <c r="AI25" s="332"/>
      <c r="AJ25" s="332"/>
      <c r="AK25" s="332"/>
      <c r="AL25" s="332"/>
      <c r="AM25" s="332"/>
      <c r="AN25" s="332"/>
      <c r="AO25" s="1382"/>
      <c r="AP25" s="1383"/>
    </row>
    <row r="26" spans="2:55" s="10" customFormat="1" ht="16.149999999999999" customHeight="1">
      <c r="B26" s="1381"/>
      <c r="C26" s="1378"/>
      <c r="D26" s="1386"/>
      <c r="E26" s="1381"/>
      <c r="F26" s="1381"/>
      <c r="G26" s="1381"/>
      <c r="H26" s="1388"/>
      <c r="I26" s="1388"/>
      <c r="J26" s="1388"/>
      <c r="K26" s="1388"/>
      <c r="L26" s="1388"/>
      <c r="M26" s="1381"/>
      <c r="N26" s="1378"/>
      <c r="O26" s="1381"/>
      <c r="P26" s="1381"/>
      <c r="Q26" s="1381"/>
      <c r="R26" s="1381"/>
      <c r="S26" s="1381"/>
      <c r="T26" s="1381"/>
      <c r="U26" s="1382"/>
      <c r="V26" s="328"/>
      <c r="W26" s="328"/>
      <c r="X26" s="328"/>
      <c r="Y26" s="328"/>
      <c r="Z26" s="328"/>
      <c r="AA26" s="328"/>
      <c r="AB26" s="328"/>
      <c r="AC26" s="328"/>
      <c r="AD26" s="328"/>
      <c r="AE26" s="1382"/>
      <c r="AF26" s="332"/>
      <c r="AG26" s="332"/>
      <c r="AH26" s="332"/>
      <c r="AI26" s="328"/>
      <c r="AJ26" s="332"/>
      <c r="AK26" s="332"/>
      <c r="AL26" s="332"/>
      <c r="AM26" s="332"/>
      <c r="AN26" s="332"/>
      <c r="AO26" s="1382"/>
      <c r="AP26" s="1383"/>
      <c r="AQ26" s="1381"/>
      <c r="AR26" s="1381"/>
      <c r="AS26" s="1381"/>
      <c r="AT26" s="1381"/>
      <c r="AU26" s="1381"/>
      <c r="AV26" s="1381"/>
      <c r="AW26" s="1381"/>
      <c r="AX26" s="1381"/>
      <c r="AY26" s="1381"/>
      <c r="AZ26" s="1381"/>
      <c r="BA26" s="1381"/>
      <c r="BB26" s="1381"/>
      <c r="BC26" s="1381"/>
    </row>
    <row r="27" spans="2:55" s="10" customFormat="1" ht="16.149999999999999" customHeight="1">
      <c r="B27" s="1381"/>
      <c r="C27" s="26">
        <v>20</v>
      </c>
      <c r="D27" s="26">
        <v>21</v>
      </c>
      <c r="E27" s="26">
        <v>22</v>
      </c>
      <c r="F27" s="1381"/>
      <c r="G27" s="1381"/>
      <c r="H27" s="1388"/>
      <c r="I27" s="1388"/>
      <c r="J27" s="1388"/>
      <c r="K27" s="1388"/>
      <c r="L27" s="1388"/>
      <c r="M27" s="1381"/>
      <c r="N27" s="1378"/>
      <c r="O27" s="1381"/>
      <c r="P27" s="1381"/>
      <c r="Q27" s="1381"/>
      <c r="R27" s="1381"/>
      <c r="S27" s="1381"/>
      <c r="T27" s="1381"/>
      <c r="U27" s="1382"/>
      <c r="V27" s="327"/>
      <c r="W27" s="327"/>
      <c r="X27" s="327"/>
      <c r="Y27" s="328"/>
      <c r="Z27" s="328"/>
      <c r="AA27" s="328"/>
      <c r="AB27" s="328"/>
      <c r="AC27" s="328"/>
      <c r="AD27" s="328"/>
      <c r="AE27" s="1382"/>
      <c r="AF27" s="332"/>
      <c r="AG27" s="332"/>
      <c r="AH27" s="332"/>
      <c r="AI27" s="328"/>
      <c r="AJ27" s="332"/>
      <c r="AK27" s="332"/>
      <c r="AL27" s="332"/>
      <c r="AM27" s="332"/>
      <c r="AN27" s="332"/>
      <c r="AO27" s="1382"/>
      <c r="AP27" s="1383"/>
      <c r="AQ27" s="1381"/>
      <c r="AR27" s="1381"/>
      <c r="AS27" s="1381"/>
      <c r="AT27" s="1381"/>
      <c r="AU27" s="1381"/>
      <c r="AV27" s="1381"/>
      <c r="AW27" s="1381"/>
      <c r="AX27" s="1381"/>
      <c r="AY27" s="1381"/>
      <c r="AZ27" s="1381"/>
      <c r="BA27" s="1381"/>
      <c r="BB27" s="1381"/>
      <c r="BC27" s="1381"/>
    </row>
    <row r="28" spans="2:55" s="10" customFormat="1" ht="67.5" customHeight="1">
      <c r="B28" s="1321" t="s">
        <v>112</v>
      </c>
      <c r="C28" s="1320" t="s">
        <v>687</v>
      </c>
      <c r="D28" s="1320" t="s">
        <v>688</v>
      </c>
      <c r="E28" s="1320" t="s">
        <v>689</v>
      </c>
      <c r="F28" s="1381"/>
      <c r="G28" s="1381"/>
      <c r="H28" s="1378"/>
      <c r="I28" s="1378"/>
      <c r="J28" s="1378"/>
      <c r="K28" s="1378"/>
      <c r="L28" s="1378"/>
      <c r="M28" s="1378"/>
      <c r="N28" s="1378"/>
      <c r="O28" s="1381"/>
      <c r="P28" s="1381"/>
      <c r="Q28" s="1381"/>
      <c r="R28" s="1381"/>
      <c r="S28" s="1381"/>
      <c r="T28" s="1381"/>
      <c r="U28" s="1382"/>
      <c r="V28" s="328"/>
      <c r="W28" s="328"/>
      <c r="X28" s="328"/>
      <c r="Y28" s="328"/>
      <c r="Z28" s="328"/>
      <c r="AA28" s="328"/>
      <c r="AB28" s="328"/>
      <c r="AC28" s="328"/>
      <c r="AD28" s="328"/>
      <c r="AE28" s="1382"/>
      <c r="AF28" s="332"/>
      <c r="AG28" s="332"/>
      <c r="AH28" s="332"/>
      <c r="AI28" s="328"/>
      <c r="AJ28" s="332"/>
      <c r="AK28" s="332"/>
      <c r="AL28" s="332"/>
      <c r="AM28" s="332"/>
      <c r="AN28" s="332"/>
      <c r="AO28" s="1382"/>
      <c r="AP28" s="1383"/>
      <c r="AQ28" s="1381"/>
      <c r="AR28" s="1381"/>
      <c r="AS28" s="1381"/>
      <c r="AT28" s="1381"/>
      <c r="AU28" s="1381"/>
      <c r="AV28" s="1381"/>
      <c r="AW28" s="1381"/>
      <c r="AX28" s="1381"/>
      <c r="AY28" s="1381"/>
      <c r="AZ28" s="1381"/>
      <c r="BA28" s="1381"/>
      <c r="BB28" s="1381"/>
      <c r="BC28" s="1381"/>
    </row>
    <row r="29" spans="2:55" s="10" customFormat="1" ht="15.75">
      <c r="B29" s="286"/>
      <c r="C29" s="286"/>
      <c r="D29" s="286"/>
      <c r="E29" s="286"/>
      <c r="F29" s="24"/>
      <c r="G29" s="24"/>
      <c r="H29" s="24"/>
      <c r="I29" s="24"/>
      <c r="J29" s="24"/>
      <c r="K29" s="24"/>
      <c r="L29" s="24"/>
      <c r="M29" s="24"/>
      <c r="N29" s="24"/>
      <c r="O29" s="1381"/>
      <c r="P29" s="1381"/>
      <c r="Q29" s="1381"/>
      <c r="R29" s="1381"/>
      <c r="S29" s="1381"/>
      <c r="T29" s="1381"/>
      <c r="U29" s="1382"/>
      <c r="V29" s="328"/>
      <c r="W29" s="328"/>
      <c r="X29" s="328"/>
      <c r="Y29" s="328"/>
      <c r="Z29" s="328"/>
      <c r="AA29" s="328"/>
      <c r="AB29" s="328"/>
      <c r="AC29" s="328"/>
      <c r="AD29" s="328"/>
      <c r="AE29" s="1382"/>
      <c r="AF29" s="332"/>
      <c r="AG29" s="332"/>
      <c r="AH29" s="332"/>
      <c r="AI29" s="328"/>
      <c r="AJ29" s="332"/>
      <c r="AK29" s="332"/>
      <c r="AL29" s="332"/>
      <c r="AM29" s="332"/>
      <c r="AN29" s="332"/>
      <c r="AO29" s="1382"/>
      <c r="AP29" s="1383"/>
      <c r="AQ29" s="1381"/>
      <c r="AR29" s="1381"/>
      <c r="AS29" s="1381"/>
      <c r="AT29" s="1381"/>
      <c r="AU29" s="1381"/>
      <c r="AV29" s="1381"/>
      <c r="AW29" s="1381"/>
      <c r="AX29" s="1381"/>
      <c r="AY29" s="1381"/>
      <c r="AZ29" s="1381"/>
      <c r="BA29" s="1381"/>
      <c r="BB29" s="1381"/>
      <c r="BC29" s="1381"/>
    </row>
    <row r="30" spans="2:55" s="10" customFormat="1" ht="15.75">
      <c r="B30" s="311" t="s">
        <v>690</v>
      </c>
      <c r="C30" s="286"/>
      <c r="D30" s="286"/>
      <c r="E30" s="286"/>
      <c r="F30" s="24"/>
      <c r="G30" s="24"/>
      <c r="H30" s="24"/>
      <c r="I30" s="24"/>
      <c r="J30" s="24"/>
      <c r="K30" s="24"/>
      <c r="L30" s="24"/>
      <c r="M30" s="24"/>
      <c r="N30" s="24"/>
      <c r="O30" s="1381"/>
      <c r="P30" s="1381"/>
      <c r="Q30" s="1381"/>
      <c r="R30" s="1381"/>
      <c r="S30" s="1381"/>
      <c r="T30" s="1381"/>
      <c r="U30" s="1382"/>
      <c r="V30" s="327">
        <v>20</v>
      </c>
      <c r="W30" s="327">
        <v>21</v>
      </c>
      <c r="X30" s="327">
        <v>22</v>
      </c>
      <c r="Y30" s="328"/>
      <c r="Z30" s="328"/>
      <c r="AA30" s="328"/>
      <c r="AB30" s="328"/>
      <c r="AC30" s="328"/>
      <c r="AD30" s="328"/>
      <c r="AE30" s="1382"/>
      <c r="AF30" s="327">
        <v>20</v>
      </c>
      <c r="AG30" s="327">
        <v>21</v>
      </c>
      <c r="AH30" s="327">
        <v>22</v>
      </c>
      <c r="AI30" s="328"/>
      <c r="AJ30" s="332"/>
      <c r="AK30" s="332"/>
      <c r="AL30" s="332"/>
      <c r="AM30" s="332"/>
      <c r="AN30" s="332"/>
      <c r="AO30" s="1382"/>
      <c r="AP30" s="1383"/>
      <c r="AQ30" s="1381"/>
      <c r="AR30" s="1381"/>
      <c r="AS30" s="1381"/>
      <c r="AT30" s="1381"/>
      <c r="AU30" s="1381"/>
      <c r="AV30" s="1381"/>
      <c r="AW30" s="1381"/>
      <c r="AX30" s="1381"/>
      <c r="AY30" s="1381"/>
      <c r="AZ30" s="1381"/>
      <c r="BA30" s="1381"/>
      <c r="BB30" s="1381"/>
      <c r="BC30" s="1381"/>
    </row>
    <row r="31" spans="2:55" s="22" customFormat="1" ht="23.25" customHeight="1">
      <c r="B31" s="310" t="s">
        <v>167</v>
      </c>
      <c r="C31" s="23"/>
      <c r="D31" s="23"/>
      <c r="E31" s="268"/>
      <c r="F31" s="256"/>
      <c r="G31" s="27"/>
      <c r="H31" s="27"/>
      <c r="I31" s="27"/>
      <c r="J31" s="27"/>
      <c r="K31" s="27"/>
      <c r="L31" s="27"/>
      <c r="M31" s="27"/>
      <c r="N31" s="27"/>
      <c r="P31" s="294" t="s">
        <v>691</v>
      </c>
      <c r="R31" s="320"/>
      <c r="S31" s="320"/>
      <c r="U31" s="1382"/>
      <c r="V31" s="328"/>
      <c r="W31" s="328"/>
      <c r="X31" s="328"/>
      <c r="Y31" s="328"/>
      <c r="Z31" s="328"/>
      <c r="AA31" s="328"/>
      <c r="AB31" s="328"/>
      <c r="AC31" s="328"/>
      <c r="AD31" s="328"/>
      <c r="AE31" s="1382"/>
      <c r="AF31" s="332"/>
      <c r="AG31" s="332"/>
      <c r="AH31" s="332"/>
      <c r="AI31" s="328"/>
      <c r="AJ31" s="332"/>
      <c r="AK31" s="332"/>
      <c r="AL31" s="332"/>
      <c r="AM31" s="332"/>
      <c r="AN31" s="332"/>
      <c r="AO31" s="1382"/>
      <c r="AP31" s="1383"/>
    </row>
    <row r="32" spans="2:55" s="22" customFormat="1" ht="23.25" customHeight="1">
      <c r="B32" s="28"/>
      <c r="C32" s="12"/>
      <c r="D32" s="12"/>
      <c r="E32" s="12"/>
      <c r="G32" s="27"/>
      <c r="H32" s="27"/>
      <c r="I32" s="27"/>
      <c r="J32" s="27"/>
      <c r="K32" s="27"/>
      <c r="L32" s="27"/>
      <c r="M32" s="27"/>
      <c r="N32" s="27"/>
      <c r="P32" s="11"/>
      <c r="R32" s="11"/>
      <c r="S32" s="11"/>
      <c r="U32" s="1382"/>
      <c r="V32" s="328"/>
      <c r="W32" s="328"/>
      <c r="X32" s="328"/>
      <c r="Y32" s="328"/>
      <c r="Z32" s="328"/>
      <c r="AA32" s="328"/>
      <c r="AB32" s="328"/>
      <c r="AC32" s="328"/>
      <c r="AD32" s="328"/>
      <c r="AE32" s="1382"/>
      <c r="AF32" s="332"/>
      <c r="AG32" s="332"/>
      <c r="AH32" s="332"/>
      <c r="AI32" s="328"/>
      <c r="AJ32" s="332"/>
      <c r="AK32" s="332"/>
      <c r="AL32" s="332"/>
      <c r="AM32" s="332"/>
      <c r="AN32" s="332"/>
      <c r="AO32" s="1382"/>
      <c r="AP32" s="1383"/>
    </row>
    <row r="33" spans="2:43" s="10" customFormat="1" ht="14.25">
      <c r="B33" s="1378"/>
      <c r="C33" s="26">
        <v>23</v>
      </c>
      <c r="D33" s="26">
        <v>24</v>
      </c>
      <c r="E33" s="26">
        <v>25</v>
      </c>
      <c r="F33" s="26">
        <v>26</v>
      </c>
      <c r="G33" s="26">
        <v>27</v>
      </c>
      <c r="H33" s="26">
        <v>28</v>
      </c>
      <c r="I33" s="26">
        <v>29</v>
      </c>
      <c r="J33" s="26">
        <v>30</v>
      </c>
      <c r="K33" s="26"/>
      <c r="L33" s="26"/>
      <c r="M33" s="1381"/>
      <c r="N33" s="1378"/>
      <c r="O33" s="1381"/>
      <c r="P33" s="1381"/>
      <c r="Q33" s="1381"/>
      <c r="R33" s="1381"/>
      <c r="S33" s="1381"/>
      <c r="T33" s="1381"/>
      <c r="U33" s="1382"/>
      <c r="V33" s="327"/>
      <c r="W33" s="327"/>
      <c r="X33" s="327"/>
      <c r="Y33" s="327"/>
      <c r="Z33" s="327"/>
      <c r="AA33" s="327"/>
      <c r="AB33" s="327"/>
      <c r="AC33" s="327"/>
      <c r="AD33" s="327"/>
      <c r="AE33" s="1382"/>
      <c r="AF33" s="332"/>
      <c r="AG33" s="332"/>
      <c r="AH33" s="332"/>
      <c r="AI33" s="328"/>
      <c r="AJ33" s="332"/>
      <c r="AK33" s="332"/>
      <c r="AL33" s="332"/>
      <c r="AM33" s="332"/>
      <c r="AN33" s="332"/>
      <c r="AO33" s="1382"/>
      <c r="AP33" s="1383"/>
      <c r="AQ33" s="1381"/>
    </row>
    <row r="34" spans="2:43" s="10" customFormat="1" ht="40.5" customHeight="1">
      <c r="B34" s="1321" t="s">
        <v>112</v>
      </c>
      <c r="C34" s="1320" t="s">
        <v>695</v>
      </c>
      <c r="D34" s="1320" t="s">
        <v>696</v>
      </c>
      <c r="E34" s="1320" t="s">
        <v>697</v>
      </c>
      <c r="F34" s="1320" t="s">
        <v>698</v>
      </c>
      <c r="G34" s="1320" t="s">
        <v>699</v>
      </c>
      <c r="H34" s="1320" t="s">
        <v>700</v>
      </c>
      <c r="I34" s="1320" t="s">
        <v>701</v>
      </c>
      <c r="J34" s="1320" t="s">
        <v>702</v>
      </c>
      <c r="K34" s="287"/>
      <c r="L34" s="287"/>
      <c r="M34" s="1381"/>
      <c r="N34" s="1378"/>
      <c r="O34" s="1381"/>
      <c r="P34" s="1381"/>
      <c r="Q34" s="1381"/>
      <c r="R34" s="1381"/>
      <c r="S34" s="1381"/>
      <c r="T34" s="1381"/>
      <c r="U34" s="1382"/>
      <c r="V34" s="328"/>
      <c r="W34" s="328"/>
      <c r="X34" s="328"/>
      <c r="Y34" s="328"/>
      <c r="Z34" s="328"/>
      <c r="AA34" s="328"/>
      <c r="AB34" s="328"/>
      <c r="AC34" s="328"/>
      <c r="AD34" s="328"/>
      <c r="AE34" s="1382"/>
      <c r="AF34" s="332"/>
      <c r="AG34" s="332"/>
      <c r="AH34" s="332"/>
      <c r="AI34" s="328"/>
      <c r="AJ34" s="332"/>
      <c r="AK34" s="332"/>
      <c r="AL34" s="332"/>
      <c r="AM34" s="332"/>
      <c r="AN34" s="332"/>
      <c r="AO34" s="1382"/>
      <c r="AP34" s="1383"/>
      <c r="AQ34" s="1381"/>
    </row>
    <row r="35" spans="2:43" s="10" customFormat="1" ht="15.75">
      <c r="B35" s="286"/>
      <c r="C35" s="286"/>
      <c r="D35" s="286"/>
      <c r="E35" s="286"/>
      <c r="F35" s="286"/>
      <c r="G35" s="286"/>
      <c r="H35" s="286"/>
      <c r="I35" s="286"/>
      <c r="J35" s="286"/>
      <c r="K35" s="286"/>
      <c r="L35" s="286"/>
      <c r="M35" s="286"/>
      <c r="N35" s="1378"/>
      <c r="O35" s="1381"/>
      <c r="P35" s="1381"/>
      <c r="Q35" s="1381"/>
      <c r="R35" s="1381"/>
      <c r="S35" s="1381"/>
      <c r="T35" s="1381"/>
      <c r="U35" s="1382"/>
      <c r="V35" s="328"/>
      <c r="W35" s="328"/>
      <c r="X35" s="328"/>
      <c r="Y35" s="328"/>
      <c r="Z35" s="328"/>
      <c r="AA35" s="328"/>
      <c r="AB35" s="328"/>
      <c r="AC35" s="328"/>
      <c r="AD35" s="328"/>
      <c r="AE35" s="1382"/>
      <c r="AF35" s="332"/>
      <c r="AG35" s="332"/>
      <c r="AH35" s="332"/>
      <c r="AI35" s="328"/>
      <c r="AJ35" s="332"/>
      <c r="AK35" s="332"/>
      <c r="AL35" s="332"/>
      <c r="AM35" s="332"/>
      <c r="AN35" s="332"/>
      <c r="AO35" s="1382"/>
      <c r="AP35" s="1383"/>
      <c r="AQ35" s="1381"/>
    </row>
    <row r="36" spans="2:43" s="10" customFormat="1" ht="26.25">
      <c r="B36" s="311" t="s">
        <v>703</v>
      </c>
      <c r="C36" s="286"/>
      <c r="D36" s="286"/>
      <c r="E36" s="286"/>
      <c r="F36" s="286"/>
      <c r="G36" s="286"/>
      <c r="H36" s="286"/>
      <c r="I36" s="286"/>
      <c r="J36" s="286"/>
      <c r="K36" s="286"/>
      <c r="L36" s="286"/>
      <c r="M36" s="286"/>
      <c r="N36" s="1378"/>
      <c r="O36" s="1381"/>
      <c r="P36" s="1381"/>
      <c r="Q36" s="1381"/>
      <c r="R36" s="1381"/>
      <c r="S36" s="1381"/>
      <c r="T36" s="1383"/>
      <c r="U36" s="1382"/>
      <c r="V36" s="327">
        <v>23</v>
      </c>
      <c r="W36" s="327">
        <v>24</v>
      </c>
      <c r="X36" s="327">
        <v>25</v>
      </c>
      <c r="Y36" s="327">
        <v>26</v>
      </c>
      <c r="Z36" s="327">
        <v>27</v>
      </c>
      <c r="AA36" s="327">
        <v>28</v>
      </c>
      <c r="AB36" s="327">
        <v>29</v>
      </c>
      <c r="AC36" s="327"/>
      <c r="AD36" s="327"/>
      <c r="AE36" s="1382"/>
      <c r="AF36" s="327">
        <v>23</v>
      </c>
      <c r="AG36" s="327">
        <v>24</v>
      </c>
      <c r="AH36" s="327">
        <v>25</v>
      </c>
      <c r="AI36" s="327">
        <v>26</v>
      </c>
      <c r="AJ36" s="327">
        <v>27</v>
      </c>
      <c r="AK36" s="327">
        <v>28</v>
      </c>
      <c r="AL36" s="327">
        <v>29</v>
      </c>
      <c r="AM36" s="327"/>
      <c r="AN36" s="327"/>
      <c r="AO36" s="1382"/>
      <c r="AP36" s="1383"/>
      <c r="AQ36" s="1381"/>
    </row>
    <row r="37" spans="2:43" s="22" customFormat="1" ht="27.75" customHeight="1">
      <c r="B37" s="310" t="s">
        <v>703</v>
      </c>
      <c r="C37" s="314"/>
      <c r="D37" s="23"/>
      <c r="E37" s="266"/>
      <c r="F37" s="23"/>
      <c r="G37" s="269"/>
      <c r="H37" s="23"/>
      <c r="I37" s="23"/>
      <c r="J37" s="23"/>
      <c r="K37" s="23"/>
      <c r="L37" s="23"/>
      <c r="M37" s="269"/>
      <c r="N37" s="27"/>
      <c r="P37" s="294" t="s">
        <v>704</v>
      </c>
      <c r="R37" s="320"/>
      <c r="S37" s="320"/>
      <c r="T37" s="377"/>
      <c r="U37" s="1382"/>
      <c r="V37" s="328"/>
      <c r="W37" s="328"/>
      <c r="X37" s="328"/>
      <c r="Y37" s="328"/>
      <c r="Z37" s="328"/>
      <c r="AA37" s="328"/>
      <c r="AB37" s="328"/>
      <c r="AC37" s="328"/>
      <c r="AD37" s="328"/>
      <c r="AE37" s="1382"/>
      <c r="AF37" s="332"/>
      <c r="AG37" s="332"/>
      <c r="AH37" s="332"/>
      <c r="AI37" s="332"/>
      <c r="AJ37" s="332"/>
      <c r="AK37" s="332"/>
      <c r="AL37" s="332"/>
      <c r="AM37" s="332"/>
      <c r="AN37" s="332"/>
      <c r="AO37" s="1382"/>
      <c r="AP37" s="1383"/>
    </row>
    <row r="38" spans="2:43" s="22" customFormat="1" ht="14.25">
      <c r="B38" s="37"/>
      <c r="C38" s="38"/>
      <c r="D38" s="38"/>
      <c r="E38" s="39"/>
      <c r="F38" s="27"/>
      <c r="G38" s="27"/>
      <c r="H38" s="27"/>
      <c r="I38" s="27"/>
      <c r="J38" s="27"/>
      <c r="K38" s="27"/>
      <c r="L38" s="27"/>
      <c r="M38" s="27"/>
      <c r="N38" s="27"/>
      <c r="U38" s="1385"/>
      <c r="V38" s="345"/>
      <c r="W38" s="345"/>
      <c r="X38" s="345"/>
      <c r="Y38" s="345"/>
      <c r="Z38" s="345"/>
      <c r="AA38" s="345"/>
      <c r="AB38" s="345"/>
      <c r="AC38" s="345"/>
      <c r="AD38" s="345"/>
      <c r="AE38" s="1385"/>
      <c r="AF38" s="346"/>
      <c r="AG38" s="346"/>
      <c r="AH38" s="346"/>
      <c r="AI38" s="345"/>
      <c r="AJ38" s="346"/>
      <c r="AK38" s="346"/>
      <c r="AL38" s="346"/>
      <c r="AM38" s="346"/>
      <c r="AN38" s="346"/>
      <c r="AO38" s="1385"/>
      <c r="AP38" s="1383"/>
    </row>
    <row r="39" spans="2:43" s="10" customFormat="1" ht="14.25">
      <c r="B39" s="278" t="s">
        <v>284</v>
      </c>
      <c r="C39" s="1390"/>
      <c r="D39" s="1378"/>
      <c r="E39" s="1378"/>
      <c r="F39" s="1378"/>
      <c r="G39" s="1378"/>
      <c r="H39" s="1378"/>
      <c r="I39" s="1378"/>
      <c r="J39" s="1378"/>
      <c r="K39" s="1378"/>
      <c r="L39" s="1378"/>
      <c r="M39" s="1378"/>
      <c r="N39" s="1378"/>
      <c r="O39" s="1381"/>
      <c r="P39" s="1381"/>
      <c r="Q39" s="1381"/>
      <c r="R39" s="1381"/>
      <c r="S39" s="1381"/>
      <c r="T39" s="1381"/>
      <c r="U39" s="1383"/>
      <c r="V39" s="1383"/>
      <c r="W39" s="339"/>
      <c r="X39" s="339"/>
      <c r="Y39" s="339"/>
      <c r="Z39" s="339"/>
      <c r="AA39" s="339"/>
      <c r="AB39" s="339"/>
      <c r="AC39" s="339"/>
      <c r="AD39" s="339"/>
      <c r="AE39" s="339"/>
      <c r="AF39" s="1383"/>
      <c r="AG39" s="340"/>
      <c r="AH39" s="340"/>
      <c r="AI39" s="340"/>
      <c r="AJ39" s="339"/>
      <c r="AK39" s="339"/>
      <c r="AL39" s="339"/>
      <c r="AM39" s="339"/>
      <c r="AN39" s="339"/>
      <c r="AO39" s="340"/>
      <c r="AP39" s="340"/>
      <c r="AQ39" s="1383"/>
    </row>
    <row r="40" spans="2:43" ht="14.25">
      <c r="U40" s="279"/>
      <c r="V40" s="1383"/>
      <c r="W40" s="339"/>
      <c r="X40" s="339"/>
      <c r="Y40" s="339"/>
      <c r="Z40" s="339"/>
      <c r="AA40" s="339"/>
      <c r="AB40" s="339"/>
      <c r="AC40" s="339"/>
      <c r="AD40" s="339"/>
      <c r="AE40" s="339"/>
      <c r="AF40" s="1383"/>
      <c r="AG40" s="340"/>
      <c r="AH40" s="340"/>
      <c r="AI40" s="340"/>
      <c r="AJ40" s="339"/>
      <c r="AK40" s="339"/>
      <c r="AL40" s="339"/>
      <c r="AM40" s="339"/>
      <c r="AN40" s="339"/>
      <c r="AO40" s="340"/>
      <c r="AP40" s="340"/>
      <c r="AQ40" s="279"/>
    </row>
    <row r="41" spans="2:43" ht="14.25">
      <c r="B41" s="1858" t="s">
        <v>285</v>
      </c>
      <c r="U41" s="279"/>
      <c r="V41" s="1383"/>
      <c r="W41" s="339"/>
      <c r="X41" s="339"/>
      <c r="Y41" s="339"/>
      <c r="Z41" s="339"/>
      <c r="AA41" s="339"/>
      <c r="AB41" s="339"/>
      <c r="AC41" s="339"/>
      <c r="AD41" s="339"/>
      <c r="AE41" s="339"/>
      <c r="AF41" s="1383"/>
      <c r="AG41" s="340"/>
      <c r="AH41" s="340"/>
      <c r="AI41" s="340"/>
      <c r="AJ41" s="339"/>
      <c r="AK41" s="339"/>
      <c r="AL41" s="339"/>
      <c r="AM41" s="339"/>
      <c r="AN41" s="339"/>
      <c r="AO41" s="340"/>
      <c r="AP41" s="340"/>
      <c r="AQ41" s="279"/>
    </row>
    <row r="42" spans="2:43" ht="14.65" thickBot="1">
      <c r="U42" s="279"/>
      <c r="V42" s="1383"/>
      <c r="W42" s="339"/>
      <c r="X42" s="339"/>
      <c r="Y42" s="339"/>
      <c r="Z42" s="339"/>
      <c r="AA42" s="339"/>
      <c r="AB42" s="339"/>
      <c r="AC42" s="339"/>
      <c r="AD42" s="339"/>
      <c r="AE42" s="339"/>
      <c r="AF42" s="1383"/>
      <c r="AG42" s="340"/>
      <c r="AH42" s="340"/>
      <c r="AI42" s="340"/>
      <c r="AJ42" s="339"/>
      <c r="AK42" s="339"/>
      <c r="AL42" s="339"/>
      <c r="AM42" s="339"/>
      <c r="AN42" s="339"/>
      <c r="AO42" s="340"/>
      <c r="AP42" s="340"/>
      <c r="AQ42" s="279"/>
    </row>
    <row r="43" spans="2:43" ht="27" thickTop="1" thickBot="1">
      <c r="B43" s="1859" t="s">
        <v>286</v>
      </c>
      <c r="U43" s="279"/>
      <c r="V43" s="1383"/>
      <c r="W43" s="339"/>
      <c r="X43" s="339"/>
      <c r="Y43" s="339"/>
      <c r="Z43" s="339"/>
      <c r="AA43" s="339"/>
      <c r="AB43" s="339"/>
      <c r="AC43" s="339"/>
      <c r="AD43" s="339"/>
      <c r="AE43" s="339"/>
      <c r="AF43" s="1383"/>
      <c r="AG43" s="340"/>
      <c r="AH43" s="340"/>
      <c r="AI43" s="340"/>
      <c r="AJ43" s="339"/>
      <c r="AK43" s="339"/>
      <c r="AL43" s="339"/>
      <c r="AM43" s="339"/>
      <c r="AN43" s="339"/>
      <c r="AO43" s="340"/>
      <c r="AP43" s="340"/>
      <c r="AQ43" s="279"/>
    </row>
    <row r="44" spans="2:43" ht="14.65" thickTop="1">
      <c r="U44" s="279"/>
      <c r="V44" s="1383"/>
      <c r="W44" s="339"/>
      <c r="X44" s="339"/>
      <c r="Y44" s="339"/>
      <c r="Z44" s="339"/>
      <c r="AA44" s="339"/>
      <c r="AB44" s="339"/>
      <c r="AC44" s="339"/>
      <c r="AD44" s="339"/>
      <c r="AE44" s="339"/>
      <c r="AF44" s="1383"/>
      <c r="AG44" s="340"/>
      <c r="AH44" s="340"/>
      <c r="AI44" s="340"/>
      <c r="AJ44" s="339"/>
      <c r="AK44" s="339"/>
      <c r="AL44" s="339"/>
      <c r="AM44" s="339"/>
      <c r="AN44" s="339"/>
      <c r="AO44" s="340"/>
      <c r="AP44" s="340"/>
      <c r="AQ44" s="279"/>
    </row>
    <row r="45" spans="2:43" ht="14.25">
      <c r="B45" s="1860" t="s">
        <v>287</v>
      </c>
      <c r="U45" s="279"/>
      <c r="V45" s="1383"/>
      <c r="W45" s="339"/>
      <c r="X45" s="339"/>
      <c r="Y45" s="339"/>
      <c r="Z45" s="339"/>
      <c r="AA45" s="339"/>
      <c r="AB45" s="339"/>
      <c r="AC45" s="339"/>
      <c r="AD45" s="339"/>
      <c r="AE45" s="339"/>
      <c r="AF45" s="1383"/>
      <c r="AG45" s="340"/>
      <c r="AH45" s="340"/>
      <c r="AI45" s="340"/>
      <c r="AJ45" s="339"/>
      <c r="AK45" s="339"/>
      <c r="AL45" s="339"/>
      <c r="AM45" s="339"/>
      <c r="AN45" s="339"/>
      <c r="AO45" s="340"/>
      <c r="AP45" s="340"/>
      <c r="AQ45" s="279"/>
    </row>
    <row r="46" spans="2:43" ht="14.25">
      <c r="U46" s="279"/>
      <c r="V46" s="1383"/>
      <c r="W46" s="339"/>
      <c r="X46" s="339"/>
      <c r="Y46" s="339"/>
      <c r="Z46" s="339"/>
      <c r="AA46" s="339"/>
      <c r="AB46" s="339"/>
      <c r="AC46" s="339"/>
      <c r="AD46" s="339"/>
      <c r="AE46" s="339"/>
      <c r="AF46" s="1383"/>
      <c r="AG46" s="340"/>
      <c r="AH46" s="340"/>
      <c r="AI46" s="340"/>
      <c r="AJ46" s="339"/>
      <c r="AK46" s="339"/>
      <c r="AL46" s="339"/>
      <c r="AM46" s="339"/>
      <c r="AN46" s="339"/>
      <c r="AO46" s="340"/>
      <c r="AP46" s="340"/>
      <c r="AQ46" s="279"/>
    </row>
    <row r="47" spans="2:43">
      <c r="B47" s="1861" t="s">
        <v>288</v>
      </c>
      <c r="U47" s="279"/>
      <c r="V47" s="279"/>
      <c r="W47" s="279"/>
      <c r="X47" s="279"/>
      <c r="Y47" s="279"/>
      <c r="Z47" s="279"/>
      <c r="AA47" s="279"/>
      <c r="AB47" s="279"/>
      <c r="AC47" s="279"/>
      <c r="AD47" s="279"/>
      <c r="AE47" s="279"/>
      <c r="AF47" s="279"/>
      <c r="AG47" s="279"/>
      <c r="AH47" s="279"/>
      <c r="AI47" s="279"/>
      <c r="AJ47" s="279"/>
      <c r="AK47" s="279"/>
      <c r="AL47" s="279"/>
      <c r="AM47" s="279"/>
      <c r="AN47" s="279"/>
      <c r="AO47" s="279"/>
      <c r="AQ47" s="279"/>
    </row>
    <row r="48" spans="2:43">
      <c r="U48" s="279"/>
      <c r="V48" s="279"/>
      <c r="W48" s="279"/>
      <c r="X48" s="279"/>
      <c r="Y48" s="279"/>
      <c r="Z48" s="279"/>
      <c r="AA48" s="279"/>
      <c r="AB48" s="279"/>
      <c r="AC48" s="279"/>
      <c r="AD48" s="279"/>
      <c r="AE48" s="279"/>
      <c r="AF48" s="279"/>
      <c r="AG48" s="279"/>
      <c r="AH48" s="279"/>
      <c r="AI48" s="279"/>
      <c r="AJ48" s="279"/>
      <c r="AK48" s="279"/>
      <c r="AL48" s="279"/>
      <c r="AM48" s="279"/>
      <c r="AN48" s="279"/>
      <c r="AO48" s="279"/>
      <c r="AQ48" s="279"/>
    </row>
    <row r="49" spans="2:2" ht="14.25">
      <c r="B49" s="296" t="str">
        <f>'3A'!$B$53</f>
        <v>Please refer to RAG 4.12 - Guideline for the table definitions in the annual performance report for the reporting year 2023-24</v>
      </c>
    </row>
    <row r="50" spans="2:2"/>
  </sheetData>
  <mergeCells count="4">
    <mergeCell ref="C1:F1"/>
    <mergeCell ref="B4:D4"/>
    <mergeCell ref="E4:G4"/>
    <mergeCell ref="H4:N4"/>
  </mergeCells>
  <conditionalFormatting sqref="R12:S12">
    <cfRule type="cellIs" dxfId="239" priority="21" operator="equal">
      <formula>0</formula>
    </cfRule>
  </conditionalFormatting>
  <conditionalFormatting sqref="R18:S19">
    <cfRule type="cellIs" dxfId="238"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7"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13"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12"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15"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 id="{9428F69D-328C-4F14-A677-54661849658A}">
            <xm:f>'Validation summary'!$B$3="South Staffs Water"</xm:f>
            <x14:dxf>
              <fill>
                <patternFill>
                  <bgColor rgb="FFFFEFCA"/>
                </patternFill>
              </fill>
            </x14:dxf>
          </x14:cfRule>
          <xm:sqref>H19:J19</xm:sqref>
        </x14:conditionalFormatting>
        <x14:conditionalFormatting xmlns:xm="http://schemas.microsoft.com/office/excel/2006/main">
          <x14:cfRule type="expression" priority="1" id="{77169018-0FEC-47BD-9644-4C52552E7EA1}">
            <xm:f>OR('Validation summary'!$B$3="South Staffs Water",'Validation summary'!$B$3="Northumbrian Water")</xm:f>
            <x14:dxf>
              <fill>
                <patternFill>
                  <bgColor rgb="FFFFEFCA"/>
                </patternFill>
              </fill>
            </x14:dxf>
          </x14:cfRule>
          <xm:sqref>H18:K18</xm:sqref>
        </x14:conditionalFormatting>
        <x14:conditionalFormatting xmlns:xm="http://schemas.microsoft.com/office/excel/2006/main">
          <x14:cfRule type="expression" priority="14" id="{972A9B94-C108-41BF-BA67-F365BC946128}">
            <xm:f>'Validation summary'!$B$3="South Staffs Water"</xm:f>
            <x14:dxf>
              <fill>
                <patternFill>
                  <bgColor rgb="FFFF84D3"/>
                </patternFill>
              </fill>
            </x14:dxf>
          </x14:cfRule>
          <xm:sqref>K19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F938-BCF6-4C71-B18B-678428E0564F}">
  <sheetPr>
    <tabColor rgb="FF0071CE"/>
    <pageSetUpPr fitToPage="1"/>
  </sheetPr>
  <dimension ref="B1:BC50"/>
  <sheetViews>
    <sheetView showGridLines="0" zoomScale="80" zoomScaleNormal="80" zoomScaleSheetLayoutView="100" workbookViewId="0"/>
  </sheetViews>
  <sheetFormatPr defaultColWidth="23.5" defaultRowHeight="13.5" zeroHeight="1"/>
  <cols>
    <col min="1" max="1" width="1.625" style="8" customWidth="1"/>
    <col min="2" max="2" width="23.375" style="8" customWidth="1"/>
    <col min="3" max="3" width="13.75" style="8" customWidth="1"/>
    <col min="4" max="5" width="15.625" style="8" customWidth="1"/>
    <col min="6" max="6" width="16.875" style="8" customWidth="1"/>
    <col min="7" max="7" width="15.75" style="8" customWidth="1"/>
    <col min="8" max="10" width="12.875" style="8" customWidth="1"/>
    <col min="11" max="11" width="15.625" style="8" customWidth="1"/>
    <col min="12" max="12" width="12.875" style="8" customWidth="1"/>
    <col min="13" max="13" width="12.625" style="8" customWidth="1"/>
    <col min="14" max="14" width="10.125" style="8" customWidth="1"/>
    <col min="15" max="15" width="4" style="8" customWidth="1"/>
    <col min="16" max="16" width="7.875" style="8" customWidth="1"/>
    <col min="17" max="17" width="1.75" style="8" customWidth="1"/>
    <col min="18" max="19" width="12.625" style="8" customWidth="1"/>
    <col min="20" max="20" width="8.625" style="8" customWidth="1"/>
    <col min="21" max="21" width="1.625" style="8" hidden="1" customWidth="1"/>
    <col min="22" max="30" width="3.625" style="8" hidden="1" customWidth="1"/>
    <col min="31" max="31" width="1.625" style="8" hidden="1" customWidth="1"/>
    <col min="32" max="40" width="3.625" style="8" hidden="1" customWidth="1"/>
    <col min="41" max="41" width="1.625" style="8" hidden="1" customWidth="1"/>
    <col min="42" max="42" width="8.625" style="279" customWidth="1"/>
    <col min="43" max="43" width="23.5" style="8"/>
    <col min="44" max="55" width="15.625" style="8" customWidth="1"/>
    <col min="56" max="16384" width="23.5" style="8"/>
  </cols>
  <sheetData>
    <row r="1" spans="2:55" s="1" customFormat="1" ht="35.25" customHeight="1">
      <c r="B1" s="44" t="s">
        <v>40</v>
      </c>
      <c r="C1" s="2095" t="str">
        <f>IF(OR(InpCompany!$F$5="Northumbrian Water",  InpCompany!$F$5="South Staffs Water"),"","For use by Northumbrian Water and South Staffs Water only")</f>
        <v>For use by Northumbrian Water and South Staffs Water only</v>
      </c>
      <c r="D1" s="2095"/>
      <c r="E1" s="2095"/>
      <c r="F1" s="2095"/>
      <c r="G1" s="6"/>
      <c r="U1" s="322"/>
      <c r="AE1" s="322"/>
      <c r="AO1" s="322"/>
      <c r="AP1" s="324"/>
    </row>
    <row r="2" spans="2:55" s="1" customFormat="1" ht="10.15" customHeight="1">
      <c r="B2" s="7"/>
      <c r="C2" s="7"/>
      <c r="D2" s="7"/>
      <c r="E2" s="7"/>
      <c r="F2" s="7"/>
      <c r="G2" s="7"/>
      <c r="H2" s="7"/>
      <c r="I2" s="7"/>
      <c r="J2" s="7"/>
      <c r="K2" s="7"/>
      <c r="L2" s="7"/>
      <c r="M2" s="7"/>
      <c r="U2" s="322"/>
      <c r="AE2" s="322"/>
      <c r="AO2" s="322"/>
      <c r="AP2" s="324"/>
    </row>
    <row r="3" spans="2:55" s="10" customFormat="1" ht="31.5" customHeight="1">
      <c r="B3" s="321" t="s">
        <v>37</v>
      </c>
      <c r="C3" s="297"/>
      <c r="D3" s="297"/>
      <c r="E3" s="297"/>
      <c r="F3" s="297"/>
      <c r="G3" s="297"/>
      <c r="H3" s="297"/>
      <c r="I3" s="297"/>
      <c r="J3" s="297"/>
      <c r="K3" s="297"/>
      <c r="L3" s="297"/>
      <c r="M3" s="297"/>
      <c r="N3" s="297"/>
      <c r="O3" s="307"/>
      <c r="P3" s="315" t="str">
        <f>IF('Validation summary'!$B$3="Northumbrian Water","Northumbrian Water - ESW region",IF('Validation summary'!$B$3="South Staffs Water","South Staffs Water - Cambridge region",""))</f>
        <v/>
      </c>
      <c r="Q3" s="1384"/>
      <c r="R3" s="300" t="s">
        <v>109</v>
      </c>
      <c r="S3" s="300"/>
      <c r="T3" s="1381"/>
      <c r="U3" s="1382"/>
      <c r="V3" s="1381"/>
      <c r="W3" s="1381"/>
      <c r="X3" s="1381"/>
      <c r="Y3" s="1381"/>
      <c r="Z3" s="1381"/>
      <c r="AA3" s="1381"/>
      <c r="AB3" s="1381"/>
      <c r="AC3" s="1381"/>
      <c r="AD3" s="1381"/>
      <c r="AE3" s="1382"/>
      <c r="AF3" s="1381"/>
      <c r="AG3" s="1381"/>
      <c r="AH3" s="1381"/>
      <c r="AI3" s="1381"/>
      <c r="AJ3" s="1381"/>
      <c r="AK3" s="1381"/>
      <c r="AL3" s="1381"/>
      <c r="AM3" s="1381"/>
      <c r="AN3" s="1381"/>
      <c r="AO3" s="1382"/>
      <c r="AP3" s="1383"/>
      <c r="AQ3" s="300" t="s">
        <v>110</v>
      </c>
      <c r="AR3" s="1381"/>
      <c r="AS3" s="1381"/>
      <c r="AT3" s="1381"/>
      <c r="AU3" s="1381"/>
      <c r="AV3" s="1381"/>
      <c r="AW3" s="1381"/>
      <c r="AX3" s="1381"/>
      <c r="AY3" s="1381"/>
      <c r="AZ3" s="1381"/>
      <c r="BA3" s="1381"/>
      <c r="BB3" s="1381"/>
      <c r="BC3" s="1381"/>
    </row>
    <row r="4" spans="2:55" s="10" customFormat="1" ht="9" customHeight="1">
      <c r="B4" s="2094"/>
      <c r="C4" s="2094"/>
      <c r="D4" s="2094"/>
      <c r="E4" s="2094"/>
      <c r="F4" s="2094"/>
      <c r="G4" s="2094"/>
      <c r="H4" s="2094"/>
      <c r="I4" s="2094"/>
      <c r="J4" s="2094"/>
      <c r="K4" s="2094"/>
      <c r="L4" s="2094"/>
      <c r="M4" s="2094"/>
      <c r="N4" s="2094"/>
      <c r="O4" s="1381"/>
      <c r="P4" s="1381"/>
      <c r="Q4" s="1381"/>
      <c r="R4" s="1381"/>
      <c r="S4" s="1381"/>
      <c r="T4" s="1381"/>
      <c r="U4" s="1382"/>
      <c r="V4" s="1381"/>
      <c r="W4" s="1381"/>
      <c r="X4" s="1381"/>
      <c r="Y4" s="1381"/>
      <c r="Z4" s="1381"/>
      <c r="AA4" s="1381"/>
      <c r="AB4" s="1381"/>
      <c r="AC4" s="1381"/>
      <c r="AD4" s="1381"/>
      <c r="AE4" s="1382"/>
      <c r="AF4" s="1381"/>
      <c r="AG4" s="1381"/>
      <c r="AH4" s="1381"/>
      <c r="AI4" s="1381"/>
      <c r="AJ4" s="1381"/>
      <c r="AK4" s="1381"/>
      <c r="AL4" s="1381"/>
      <c r="AM4" s="1381"/>
      <c r="AN4" s="1381"/>
      <c r="AO4" s="1382"/>
      <c r="AP4" s="1383"/>
      <c r="AQ4" s="1381"/>
      <c r="AR4" s="1381"/>
      <c r="AS4" s="1381"/>
      <c r="AT4" s="1381"/>
      <c r="AU4" s="1381"/>
      <c r="AV4" s="1381"/>
      <c r="AW4" s="1381"/>
      <c r="AX4" s="1381"/>
      <c r="AY4" s="1381"/>
      <c r="AZ4" s="1381"/>
      <c r="BA4" s="1381"/>
      <c r="BB4" s="1381"/>
      <c r="BC4" s="1381"/>
    </row>
    <row r="5" spans="2:55" s="10" customFormat="1" ht="14.25" customHeight="1">
      <c r="B5" s="1381"/>
      <c r="C5" s="26">
        <v>1</v>
      </c>
      <c r="D5" s="26">
        <v>2</v>
      </c>
      <c r="E5" s="26">
        <v>3</v>
      </c>
      <c r="F5" s="26">
        <v>4</v>
      </c>
      <c r="G5" s="26">
        <v>5</v>
      </c>
      <c r="H5" s="1381"/>
      <c r="I5" s="1381"/>
      <c r="J5" s="1381"/>
      <c r="K5" s="1381"/>
      <c r="L5" s="1381"/>
      <c r="M5" s="1381"/>
      <c r="N5" s="1381"/>
      <c r="O5" s="1381"/>
      <c r="P5" s="1381"/>
      <c r="Q5" s="1381"/>
      <c r="R5" s="1381"/>
      <c r="S5" s="1381"/>
      <c r="T5" s="1381"/>
      <c r="U5" s="1382"/>
      <c r="V5" s="1381" t="s">
        <v>121</v>
      </c>
      <c r="W5" s="1381"/>
      <c r="X5" s="1381"/>
      <c r="Y5" s="1381"/>
      <c r="Z5" s="1381"/>
      <c r="AA5" s="1381"/>
      <c r="AB5" s="1381"/>
      <c r="AC5" s="1381"/>
      <c r="AD5" s="1381"/>
      <c r="AE5" s="1382"/>
      <c r="AF5" s="1381" t="s">
        <v>122</v>
      </c>
      <c r="AG5" s="1381"/>
      <c r="AH5" s="1381"/>
      <c r="AI5" s="1381"/>
      <c r="AJ5" s="1381"/>
      <c r="AK5" s="1381"/>
      <c r="AL5" s="1381"/>
      <c r="AM5" s="1381"/>
      <c r="AN5" s="1381"/>
      <c r="AO5" s="1382"/>
      <c r="AP5" s="1383"/>
      <c r="AQ5" s="1381"/>
      <c r="AR5" s="1381"/>
      <c r="AS5" s="1381"/>
      <c r="AT5" s="1381"/>
      <c r="AU5" s="1381"/>
      <c r="AV5" s="1381"/>
      <c r="AW5" s="1381"/>
      <c r="AX5" s="1381"/>
      <c r="AY5" s="1381"/>
      <c r="AZ5" s="1381"/>
      <c r="BA5" s="1381"/>
      <c r="BB5" s="1381"/>
      <c r="BC5" s="1381"/>
    </row>
    <row r="6" spans="2:55" s="10" customFormat="1" ht="57.75" customHeight="1">
      <c r="B6" s="1321" t="s">
        <v>112</v>
      </c>
      <c r="C6" s="1320" t="s">
        <v>114</v>
      </c>
      <c r="D6" s="1320" t="s">
        <v>628</v>
      </c>
      <c r="E6" s="1320" t="s">
        <v>629</v>
      </c>
      <c r="F6" s="1320" t="s">
        <v>630</v>
      </c>
      <c r="G6" s="1320" t="s">
        <v>631</v>
      </c>
      <c r="H6" s="284"/>
      <c r="I6" s="284"/>
      <c r="J6" s="284"/>
      <c r="K6" s="284"/>
      <c r="L6" s="284"/>
      <c r="M6" s="284"/>
      <c r="N6" s="284"/>
      <c r="O6" s="285"/>
      <c r="P6" s="1320" t="s">
        <v>120</v>
      </c>
      <c r="Q6" s="1381"/>
      <c r="R6" s="334" t="s">
        <v>121</v>
      </c>
      <c r="S6" s="334" t="s">
        <v>122</v>
      </c>
      <c r="T6" s="1381"/>
      <c r="U6" s="1382"/>
      <c r="V6" s="330" t="s">
        <v>124</v>
      </c>
      <c r="W6" s="1381"/>
      <c r="X6" s="1381"/>
      <c r="Y6" s="1381"/>
      <c r="Z6" s="1381"/>
      <c r="AA6" s="1381"/>
      <c r="AB6" s="1381"/>
      <c r="AC6" s="1381"/>
      <c r="AD6" s="1381"/>
      <c r="AE6" s="1382"/>
      <c r="AF6" s="330" t="s">
        <v>125</v>
      </c>
      <c r="AG6" s="1381"/>
      <c r="AH6" s="330"/>
      <c r="AI6" s="330"/>
      <c r="AJ6" s="1381"/>
      <c r="AK6" s="1381"/>
      <c r="AL6" s="1381"/>
      <c r="AM6" s="1381"/>
      <c r="AN6" s="1381"/>
      <c r="AO6" s="1382"/>
      <c r="AP6" s="1383"/>
      <c r="AQ6" s="1321" t="s">
        <v>112</v>
      </c>
      <c r="AR6" s="1320" t="s">
        <v>114</v>
      </c>
      <c r="AS6" s="1320" t="s">
        <v>628</v>
      </c>
      <c r="AT6" s="1320" t="s">
        <v>629</v>
      </c>
      <c r="AU6" s="1320" t="s">
        <v>632</v>
      </c>
      <c r="AV6" s="1320" t="s">
        <v>631</v>
      </c>
      <c r="AW6" s="1381"/>
      <c r="AX6" s="1381"/>
      <c r="AY6" s="1381"/>
      <c r="AZ6" s="1381"/>
      <c r="BA6" s="1381"/>
      <c r="BB6" s="1381"/>
      <c r="BC6" s="1381"/>
    </row>
    <row r="7" spans="2:55" s="10" customFormat="1" ht="15.75">
      <c r="B7" s="24"/>
      <c r="C7" s="24"/>
      <c r="D7" s="24"/>
      <c r="E7" s="24"/>
      <c r="F7" s="24"/>
      <c r="G7" s="24"/>
      <c r="H7" s="1378"/>
      <c r="I7" s="1378"/>
      <c r="J7" s="1378"/>
      <c r="K7" s="1378"/>
      <c r="L7" s="1378"/>
      <c r="M7" s="1378"/>
      <c r="N7" s="1378"/>
      <c r="O7" s="1381"/>
      <c r="P7" s="1381"/>
      <c r="Q7" s="1381"/>
      <c r="R7" s="1381"/>
      <c r="S7" s="1381"/>
      <c r="T7" s="1381"/>
      <c r="U7" s="1382"/>
      <c r="V7" s="1381"/>
      <c r="W7" s="1381"/>
      <c r="X7" s="1381"/>
      <c r="Y7" s="1381"/>
      <c r="Z7" s="1381"/>
      <c r="AA7" s="1381"/>
      <c r="AB7" s="1381"/>
      <c r="AC7" s="1381"/>
      <c r="AD7" s="1381"/>
      <c r="AE7" s="1382"/>
      <c r="AF7" s="1381"/>
      <c r="AG7" s="1381"/>
      <c r="AH7" s="1381"/>
      <c r="AI7" s="1381"/>
      <c r="AJ7" s="1381"/>
      <c r="AK7" s="1381"/>
      <c r="AL7" s="1381"/>
      <c r="AM7" s="1381"/>
      <c r="AN7" s="1381"/>
      <c r="AO7" s="1382"/>
      <c r="AP7" s="1383"/>
      <c r="AQ7" s="1381"/>
      <c r="AR7" s="1381"/>
      <c r="AS7" s="1381"/>
      <c r="AT7" s="1381"/>
      <c r="AU7" s="1381"/>
      <c r="AV7" s="1381"/>
      <c r="AW7" s="1381"/>
      <c r="AX7" s="1381"/>
      <c r="AY7" s="1381"/>
      <c r="AZ7" s="1381"/>
      <c r="BA7" s="1381"/>
      <c r="BB7" s="1381"/>
      <c r="BC7" s="1381"/>
    </row>
    <row r="8" spans="2:55" s="10" customFormat="1" ht="26.25">
      <c r="B8" s="311" t="s">
        <v>633</v>
      </c>
      <c r="C8" s="24"/>
      <c r="D8" s="24"/>
      <c r="E8" s="24"/>
      <c r="F8" s="24"/>
      <c r="G8" s="24"/>
      <c r="H8" s="1378"/>
      <c r="I8" s="1378"/>
      <c r="J8" s="1378"/>
      <c r="K8" s="1378"/>
      <c r="L8" s="1378"/>
      <c r="M8" s="1378"/>
      <c r="N8" s="1378"/>
      <c r="O8" s="1381"/>
      <c r="P8" s="1381"/>
      <c r="Q8" s="1381"/>
      <c r="R8" s="1381"/>
      <c r="S8" s="1381"/>
      <c r="T8" s="1381"/>
      <c r="U8" s="1382"/>
      <c r="V8" s="327">
        <v>3</v>
      </c>
      <c r="W8" s="327">
        <v>4</v>
      </c>
      <c r="X8" s="327">
        <v>5</v>
      </c>
      <c r="Y8" s="327"/>
      <c r="Z8" s="327"/>
      <c r="AA8" s="327"/>
      <c r="AB8" s="327"/>
      <c r="AC8" s="327"/>
      <c r="AD8" s="327"/>
      <c r="AE8" s="331"/>
      <c r="AF8" s="327">
        <v>3</v>
      </c>
      <c r="AG8" s="327">
        <v>4</v>
      </c>
      <c r="AH8" s="327">
        <v>5</v>
      </c>
      <c r="AI8" s="327"/>
      <c r="AJ8" s="327"/>
      <c r="AK8" s="327"/>
      <c r="AL8" s="327"/>
      <c r="AM8" s="327"/>
      <c r="AN8" s="327"/>
      <c r="AO8" s="1382"/>
      <c r="AP8" s="1383"/>
      <c r="AQ8" s="1381"/>
      <c r="AR8" s="1381"/>
      <c r="AS8" s="1381"/>
      <c r="AT8" s="1381"/>
      <c r="AU8" s="1381"/>
      <c r="AV8" s="1381"/>
      <c r="AW8" s="1381"/>
      <c r="AX8" s="1381"/>
      <c r="AY8" s="1381"/>
      <c r="AZ8" s="1381"/>
      <c r="BA8" s="1381"/>
      <c r="BB8" s="1381"/>
      <c r="BC8" s="1381"/>
    </row>
    <row r="9" spans="2:55" s="22" customFormat="1" ht="29.25" customHeight="1">
      <c r="B9" s="310" t="s">
        <v>634</v>
      </c>
      <c r="C9" s="310" t="s">
        <v>635</v>
      </c>
      <c r="D9" s="310" t="s">
        <v>636</v>
      </c>
      <c r="E9" s="313"/>
      <c r="F9" s="265"/>
      <c r="G9" s="266"/>
      <c r="H9" s="27"/>
      <c r="I9" s="27"/>
      <c r="J9" s="27"/>
      <c r="K9" s="27"/>
      <c r="L9" s="27"/>
      <c r="M9" s="27"/>
      <c r="N9" s="27"/>
      <c r="P9" s="294" t="s">
        <v>637</v>
      </c>
      <c r="R9" s="320"/>
      <c r="S9" s="320"/>
      <c r="U9" s="1382"/>
      <c r="V9" s="328"/>
      <c r="W9" s="328"/>
      <c r="X9" s="328"/>
      <c r="Y9" s="328"/>
      <c r="Z9" s="328"/>
      <c r="AA9" s="328"/>
      <c r="AB9" s="328"/>
      <c r="AC9" s="328"/>
      <c r="AD9" s="328"/>
      <c r="AE9" s="1382"/>
      <c r="AF9" s="332"/>
      <c r="AG9" s="332"/>
      <c r="AH9" s="332"/>
      <c r="AI9" s="328"/>
      <c r="AJ9" s="332"/>
      <c r="AK9" s="332"/>
      <c r="AL9" s="332"/>
      <c r="AM9" s="332"/>
      <c r="AN9" s="332"/>
      <c r="AO9" s="1382"/>
      <c r="AP9" s="1383"/>
    </row>
    <row r="10" spans="2:55" s="22" customFormat="1" ht="29.25" customHeight="1">
      <c r="B10" s="310" t="s">
        <v>640</v>
      </c>
      <c r="C10" s="310" t="s">
        <v>635</v>
      </c>
      <c r="D10" s="310" t="s">
        <v>636</v>
      </c>
      <c r="E10" s="313"/>
      <c r="F10" s="265"/>
      <c r="G10" s="266"/>
      <c r="H10" s="27"/>
      <c r="I10" s="27"/>
      <c r="J10" s="27"/>
      <c r="K10" s="27"/>
      <c r="L10" s="27"/>
      <c r="M10" s="27"/>
      <c r="N10" s="27"/>
      <c r="P10" s="294" t="s">
        <v>641</v>
      </c>
      <c r="R10" s="320"/>
      <c r="S10" s="320"/>
      <c r="U10" s="1382"/>
      <c r="V10" s="328"/>
      <c r="W10" s="328"/>
      <c r="X10" s="328"/>
      <c r="Y10" s="328"/>
      <c r="Z10" s="328"/>
      <c r="AA10" s="328"/>
      <c r="AB10" s="328"/>
      <c r="AC10" s="328"/>
      <c r="AD10" s="328"/>
      <c r="AE10" s="1382"/>
      <c r="AF10" s="332"/>
      <c r="AG10" s="332"/>
      <c r="AH10" s="332"/>
      <c r="AI10" s="328"/>
      <c r="AJ10" s="332"/>
      <c r="AK10" s="332"/>
      <c r="AL10" s="332"/>
      <c r="AM10" s="332"/>
      <c r="AN10" s="332"/>
      <c r="AO10" s="1382"/>
      <c r="AP10" s="1383"/>
    </row>
    <row r="11" spans="2:55" s="22" customFormat="1" ht="29.25" customHeight="1">
      <c r="B11" s="310" t="s">
        <v>161</v>
      </c>
      <c r="C11" s="310" t="s">
        <v>635</v>
      </c>
      <c r="D11" s="310" t="s">
        <v>636</v>
      </c>
      <c r="E11" s="313"/>
      <c r="F11" s="270"/>
      <c r="G11" s="266"/>
      <c r="H11" s="27"/>
      <c r="I11" s="27"/>
      <c r="J11" s="27"/>
      <c r="K11" s="27"/>
      <c r="L11" s="27"/>
      <c r="M11" s="27"/>
      <c r="N11" s="27"/>
      <c r="P11" s="294" t="s">
        <v>644</v>
      </c>
      <c r="R11" s="349"/>
      <c r="S11" s="349"/>
      <c r="U11" s="1382"/>
      <c r="V11" s="328"/>
      <c r="W11" s="328"/>
      <c r="X11" s="328"/>
      <c r="Y11" s="328"/>
      <c r="Z11" s="328"/>
      <c r="AA11" s="328"/>
      <c r="AB11" s="328"/>
      <c r="AC11" s="328"/>
      <c r="AD11" s="328"/>
      <c r="AE11" s="1382"/>
      <c r="AF11" s="332"/>
      <c r="AG11" s="332"/>
      <c r="AH11" s="332"/>
      <c r="AI11" s="328"/>
      <c r="AJ11" s="332"/>
      <c r="AK11" s="332"/>
      <c r="AL11" s="332"/>
      <c r="AM11" s="332"/>
      <c r="AN11" s="332"/>
      <c r="AO11" s="1382"/>
      <c r="AP11" s="1383"/>
    </row>
    <row r="12" spans="2:55" s="22" customFormat="1" ht="53.25" customHeight="1">
      <c r="B12" s="310" t="s">
        <v>646</v>
      </c>
      <c r="C12" s="310" t="s">
        <v>647</v>
      </c>
      <c r="D12" s="1312" t="s">
        <v>648</v>
      </c>
      <c r="E12" s="1911"/>
      <c r="F12" s="1912"/>
      <c r="G12" s="1913" t="str">
        <f>IF('Validation summary'!$B$3="South Staffs Water",ROUND((F12 / E12)*1000,1),"")</f>
        <v/>
      </c>
      <c r="H12" s="27"/>
      <c r="I12" s="27"/>
      <c r="J12" s="27"/>
      <c r="K12" s="27"/>
      <c r="L12" s="27"/>
      <c r="M12" s="27"/>
      <c r="N12" s="27"/>
      <c r="P12" s="294" t="s">
        <v>649</v>
      </c>
      <c r="R12" s="329">
        <f>IF(SUM($V12:$X12)=0,0,$V$6)</f>
        <v>0</v>
      </c>
      <c r="S12" s="343">
        <f>IF(SUM($AF12:$AH12)=0,0,$AF$6)</f>
        <v>0</v>
      </c>
      <c r="U12" s="1382"/>
      <c r="V12" s="328">
        <f>IF('Validation summary'!$B$3="South Staffs Water",IF(ISBLANK($E12)=TRUE,1,0),0)</f>
        <v>0</v>
      </c>
      <c r="W12" s="328">
        <f>IF('Validation summary'!$B$3="South Staffs Water",IF(ISBLANK($F12)=TRUE,1,0),0)</f>
        <v>0</v>
      </c>
      <c r="X12" s="328"/>
      <c r="Y12" s="328"/>
      <c r="Z12" s="328"/>
      <c r="AA12" s="328"/>
      <c r="AB12" s="328"/>
      <c r="AC12" s="328"/>
      <c r="AD12" s="328"/>
      <c r="AE12" s="1382"/>
      <c r="AF12" s="332">
        <f>IF($E12&lt;0,1,0)</f>
        <v>0</v>
      </c>
      <c r="AG12" s="332">
        <f>IF($F12&lt;0,1,0)</f>
        <v>0</v>
      </c>
      <c r="AH12" s="332"/>
      <c r="AI12" s="328"/>
      <c r="AJ12" s="332"/>
      <c r="AK12" s="332"/>
      <c r="AL12" s="332"/>
      <c r="AM12" s="332"/>
      <c r="AN12" s="332"/>
      <c r="AO12" s="1382"/>
      <c r="AP12" s="1383"/>
      <c r="AQ12" s="310" t="s">
        <v>646</v>
      </c>
      <c r="AR12" s="310" t="s">
        <v>647</v>
      </c>
      <c r="AS12" s="1312" t="s">
        <v>648</v>
      </c>
      <c r="AT12" s="1503" t="s">
        <v>711</v>
      </c>
      <c r="AU12" s="1504" t="s">
        <v>712</v>
      </c>
      <c r="AV12" s="1505" t="s">
        <v>713</v>
      </c>
    </row>
    <row r="13" spans="2:55" s="22" customFormat="1" ht="13.5" customHeight="1">
      <c r="B13" s="28"/>
      <c r="C13" s="28"/>
      <c r="D13" s="28"/>
      <c r="E13" s="12"/>
      <c r="F13" s="12"/>
      <c r="G13" s="12"/>
      <c r="H13" s="27"/>
      <c r="I13" s="27"/>
      <c r="J13" s="27"/>
      <c r="K13" s="27"/>
      <c r="L13" s="27"/>
      <c r="M13" s="27"/>
      <c r="N13" s="27"/>
      <c r="P13" s="11"/>
      <c r="R13" s="11"/>
      <c r="S13" s="11"/>
      <c r="U13" s="1382"/>
      <c r="V13" s="328"/>
      <c r="W13" s="328"/>
      <c r="X13" s="328"/>
      <c r="Y13" s="328"/>
      <c r="Z13" s="328"/>
      <c r="AA13" s="328"/>
      <c r="AB13" s="328"/>
      <c r="AC13" s="328"/>
      <c r="AD13" s="328"/>
      <c r="AE13" s="1382"/>
      <c r="AF13" s="332"/>
      <c r="AG13" s="332"/>
      <c r="AH13" s="332"/>
      <c r="AI13" s="328"/>
      <c r="AJ13" s="332"/>
      <c r="AK13" s="332"/>
      <c r="AL13" s="332"/>
      <c r="AM13" s="332"/>
      <c r="AN13" s="332"/>
      <c r="AO13" s="1382"/>
      <c r="AP13" s="1383"/>
    </row>
    <row r="14" spans="2:55" s="22" customFormat="1" ht="14.25">
      <c r="B14" s="28"/>
      <c r="C14" s="26">
        <v>6</v>
      </c>
      <c r="D14" s="26">
        <v>7</v>
      </c>
      <c r="E14" s="26">
        <v>8</v>
      </c>
      <c r="F14" s="26">
        <v>9</v>
      </c>
      <c r="G14" s="26">
        <v>10</v>
      </c>
      <c r="H14" s="26">
        <v>11</v>
      </c>
      <c r="I14" s="26" t="s">
        <v>653</v>
      </c>
      <c r="J14" s="26" t="s">
        <v>654</v>
      </c>
      <c r="K14" s="26" t="s">
        <v>655</v>
      </c>
      <c r="L14" s="26" t="s">
        <v>656</v>
      </c>
      <c r="M14" s="26">
        <v>12</v>
      </c>
      <c r="N14" s="26">
        <v>13</v>
      </c>
      <c r="U14" s="1382"/>
      <c r="V14" s="328"/>
      <c r="W14" s="328"/>
      <c r="X14" s="328"/>
      <c r="Y14" s="328"/>
      <c r="Z14" s="328"/>
      <c r="AA14" s="328"/>
      <c r="AB14" s="328"/>
      <c r="AC14" s="328"/>
      <c r="AD14" s="328"/>
      <c r="AE14" s="1382"/>
      <c r="AF14" s="332"/>
      <c r="AG14" s="332"/>
      <c r="AH14" s="332"/>
      <c r="AI14" s="328"/>
      <c r="AJ14" s="332"/>
      <c r="AK14" s="332"/>
      <c r="AL14" s="332"/>
      <c r="AM14" s="332"/>
      <c r="AN14" s="332"/>
      <c r="AO14" s="1382"/>
      <c r="AP14" s="1383"/>
    </row>
    <row r="15" spans="2:55" s="10" customFormat="1" ht="72.75" customHeight="1">
      <c r="B15" s="1321" t="s">
        <v>112</v>
      </c>
      <c r="C15" s="1320" t="s">
        <v>114</v>
      </c>
      <c r="D15" s="1320" t="s">
        <v>657</v>
      </c>
      <c r="E15" s="1320" t="s">
        <v>658</v>
      </c>
      <c r="F15" s="1320" t="s">
        <v>659</v>
      </c>
      <c r="G15" s="1320" t="s">
        <v>660</v>
      </c>
      <c r="H15" s="1320" t="s">
        <v>661</v>
      </c>
      <c r="I15" s="1320" t="s">
        <v>662</v>
      </c>
      <c r="J15" s="1320" t="s">
        <v>663</v>
      </c>
      <c r="K15" s="1320" t="s">
        <v>664</v>
      </c>
      <c r="L15" s="1320" t="s">
        <v>665</v>
      </c>
      <c r="M15" s="1320" t="s">
        <v>666</v>
      </c>
      <c r="N15" s="1320" t="s">
        <v>667</v>
      </c>
      <c r="O15" s="1381"/>
      <c r="P15" s="1381"/>
      <c r="Q15" s="1381"/>
      <c r="R15" s="1381"/>
      <c r="S15" s="1381"/>
      <c r="T15" s="1381"/>
      <c r="U15" s="1382"/>
      <c r="V15" s="328"/>
      <c r="W15" s="328"/>
      <c r="X15" s="328"/>
      <c r="Y15" s="328"/>
      <c r="Z15" s="328"/>
      <c r="AA15" s="328"/>
      <c r="AB15" s="328"/>
      <c r="AC15" s="328"/>
      <c r="AD15" s="328"/>
      <c r="AE15" s="1382"/>
      <c r="AF15" s="332"/>
      <c r="AG15" s="332"/>
      <c r="AH15" s="332"/>
      <c r="AI15" s="328"/>
      <c r="AJ15" s="332"/>
      <c r="AK15" s="332"/>
      <c r="AL15" s="332"/>
      <c r="AM15" s="332"/>
      <c r="AN15" s="332"/>
      <c r="AO15" s="1382"/>
      <c r="AP15" s="1383"/>
      <c r="AQ15" s="1321" t="s">
        <v>112</v>
      </c>
      <c r="AR15" s="1320" t="s">
        <v>114</v>
      </c>
      <c r="AS15" s="1320" t="s">
        <v>657</v>
      </c>
      <c r="AT15" s="1320" t="s">
        <v>658</v>
      </c>
      <c r="AU15" s="1320" t="s">
        <v>659</v>
      </c>
      <c r="AV15" s="1320" t="s">
        <v>660</v>
      </c>
      <c r="AW15" s="1320" t="s">
        <v>661</v>
      </c>
      <c r="AX15" s="1320" t="s">
        <v>662</v>
      </c>
      <c r="AY15" s="1320" t="s">
        <v>663</v>
      </c>
      <c r="AZ15" s="1320" t="s">
        <v>664</v>
      </c>
      <c r="BA15" s="1320" t="s">
        <v>665</v>
      </c>
      <c r="BB15" s="1320" t="s">
        <v>666</v>
      </c>
      <c r="BC15" s="1320" t="s">
        <v>667</v>
      </c>
    </row>
    <row r="16" spans="2:55" s="10" customFormat="1" ht="15.75">
      <c r="B16" s="286"/>
      <c r="C16" s="286"/>
      <c r="D16" s="286"/>
      <c r="E16" s="286"/>
      <c r="F16" s="286"/>
      <c r="G16" s="286"/>
      <c r="H16" s="286"/>
      <c r="I16" s="286"/>
      <c r="J16" s="286"/>
      <c r="K16" s="286"/>
      <c r="L16" s="286"/>
      <c r="M16" s="286"/>
      <c r="N16" s="286"/>
      <c r="O16" s="1381"/>
      <c r="P16" s="1381"/>
      <c r="Q16" s="1381"/>
      <c r="R16" s="1381"/>
      <c r="S16" s="1381"/>
      <c r="T16" s="1381"/>
      <c r="U16" s="1382"/>
      <c r="V16" s="328"/>
      <c r="W16" s="328"/>
      <c r="X16" s="328"/>
      <c r="Y16" s="328"/>
      <c r="Z16" s="328"/>
      <c r="AA16" s="328"/>
      <c r="AB16" s="328"/>
      <c r="AC16" s="328"/>
      <c r="AD16" s="328"/>
      <c r="AE16" s="1382"/>
      <c r="AF16" s="332"/>
      <c r="AG16" s="332"/>
      <c r="AH16" s="332"/>
      <c r="AI16" s="328"/>
      <c r="AJ16" s="332"/>
      <c r="AK16" s="332"/>
      <c r="AL16" s="332"/>
      <c r="AM16" s="332"/>
      <c r="AN16" s="332"/>
      <c r="AO16" s="1382"/>
      <c r="AP16" s="1383"/>
      <c r="AQ16" s="1381"/>
      <c r="AR16" s="1381"/>
      <c r="AS16" s="1381"/>
      <c r="AT16" s="1381"/>
      <c r="AU16" s="1381"/>
      <c r="AV16" s="1381"/>
      <c r="AW16" s="1381"/>
      <c r="AX16" s="1381"/>
      <c r="AY16" s="1381"/>
      <c r="AZ16" s="1381"/>
      <c r="BA16" s="1381"/>
      <c r="BB16" s="1381"/>
      <c r="BC16" s="1381"/>
    </row>
    <row r="17" spans="2:55" s="10" customFormat="1" ht="42" customHeight="1">
      <c r="B17" s="311" t="s">
        <v>668</v>
      </c>
      <c r="C17" s="286"/>
      <c r="D17" s="286"/>
      <c r="E17" s="286"/>
      <c r="F17" s="286"/>
      <c r="G17" s="286"/>
      <c r="H17" s="286"/>
      <c r="I17" s="286"/>
      <c r="J17" s="286"/>
      <c r="K17" s="286"/>
      <c r="L17" s="286"/>
      <c r="M17" s="286"/>
      <c r="N17" s="286"/>
      <c r="O17" s="1381"/>
      <c r="P17" s="1381"/>
      <c r="Q17" s="1381"/>
      <c r="R17" s="1381"/>
      <c r="S17" s="1381"/>
      <c r="T17" s="1381"/>
      <c r="U17" s="1382"/>
      <c r="V17" s="327">
        <v>7</v>
      </c>
      <c r="W17" s="327">
        <v>8</v>
      </c>
      <c r="X17" s="327">
        <v>9</v>
      </c>
      <c r="Y17" s="327">
        <v>10</v>
      </c>
      <c r="Z17" s="327">
        <v>11</v>
      </c>
      <c r="AA17" s="327" t="s">
        <v>653</v>
      </c>
      <c r="AB17" s="327" t="s">
        <v>654</v>
      </c>
      <c r="AC17" s="327" t="s">
        <v>655</v>
      </c>
      <c r="AD17" s="327" t="s">
        <v>656</v>
      </c>
      <c r="AE17" s="1382"/>
      <c r="AF17" s="327">
        <v>7</v>
      </c>
      <c r="AG17" s="327">
        <v>8</v>
      </c>
      <c r="AH17" s="327">
        <v>9</v>
      </c>
      <c r="AI17" s="327">
        <v>10</v>
      </c>
      <c r="AJ17" s="327">
        <v>11</v>
      </c>
      <c r="AK17" s="327" t="s">
        <v>653</v>
      </c>
      <c r="AL17" s="327" t="s">
        <v>654</v>
      </c>
      <c r="AM17" s="327" t="s">
        <v>655</v>
      </c>
      <c r="AN17" s="327" t="s">
        <v>656</v>
      </c>
      <c r="AO17" s="1382"/>
      <c r="AP17" s="1383"/>
      <c r="AQ17" s="1381"/>
      <c r="AR17" s="1381"/>
      <c r="AS17" s="1381"/>
      <c r="AT17" s="1381"/>
      <c r="AU17" s="1381"/>
      <c r="AV17" s="1381"/>
      <c r="AW17" s="1381"/>
      <c r="AX17" s="1381"/>
      <c r="AY17" s="1381"/>
      <c r="AZ17" s="1381"/>
      <c r="BA17" s="1381"/>
      <c r="BB17" s="1381"/>
      <c r="BC17" s="1381"/>
    </row>
    <row r="18" spans="2:55" s="22" customFormat="1" ht="25.5" customHeight="1">
      <c r="B18" s="310" t="s">
        <v>669</v>
      </c>
      <c r="C18" s="310" t="s">
        <v>670</v>
      </c>
      <c r="D18" s="1914"/>
      <c r="E18" s="1914"/>
      <c r="F18" s="1914"/>
      <c r="G18" s="1915" t="str">
        <f>IF(OR('Validation summary'!$B$3="Northumbrian Water",'Validation summary'!$B$3="South Staffs Water"),ROUND(AVERAGE(D18:F18),1),"")</f>
        <v/>
      </c>
      <c r="H18" s="1916"/>
      <c r="I18" s="1916"/>
      <c r="J18" s="1916"/>
      <c r="K18" s="1916" t="s">
        <v>710</v>
      </c>
      <c r="L18" s="371"/>
      <c r="M18" s="1915" t="str">
        <f>IF(OR('Validation summary'!$B$3="Northumbrian Water",'Validation summary'!$B$3="South Staffs Water"),ROUND(AVERAGE(I18:K18),1),"")</f>
        <v/>
      </c>
      <c r="N18" s="1915" t="str">
        <f>IF(OR('Validation summary'!$B$3="Northumbrian Water",'Validation summary'!$B$3="South Staffs Water"),(1-M18/G18)*100,"")</f>
        <v/>
      </c>
      <c r="P18" s="294" t="s">
        <v>671</v>
      </c>
      <c r="R18" s="329">
        <f>IF(SUM($V18:$AD18)=0,0,$V$6)</f>
        <v>0</v>
      </c>
      <c r="S18" s="343">
        <f>IF(SUM($AF18:$AN18)=0,0,$AF$6)</f>
        <v>0</v>
      </c>
      <c r="U18" s="1382"/>
      <c r="V18" s="328">
        <f>IF(OR('Validation summary'!$B$3="Northumbrian Water",'Validation summary'!$B$3="South Staffs Water"),IF(ISBLANK($D18)=TRUE,1,0),0)</f>
        <v>0</v>
      </c>
      <c r="W18" s="328">
        <f>IF(OR('Validation summary'!$B$3="Northumbrian Water",'Validation summary'!$B$3="South Staffs Water"),IF(ISBLANK($E18)=TRUE,1,0),0)</f>
        <v>0</v>
      </c>
      <c r="X18" s="328">
        <f>IF(OR('Validation summary'!$B$3="Northumbrian Water",'Validation summary'!$B$3="South Staffs Water"),IF(ISBLANK($F18)=TRUE,1,0),0)</f>
        <v>0</v>
      </c>
      <c r="Y18" s="328"/>
      <c r="Z18" s="328">
        <f>IF(OR('Validation summary'!$B$3="Northumbrian Water",'Validation summary'!$B$3="South Staffs Water"),IF(ISBLANK($H18)=TRUE,1,0),0)</f>
        <v>0</v>
      </c>
      <c r="AA18" s="328">
        <f>IF(OR('Validation summary'!$B$3="Northumbrian Water",'Validation summary'!$B$3="South Staffs Water"),IF(ISBLANK($I18)=TRUE,1,0),0)</f>
        <v>0</v>
      </c>
      <c r="AB18" s="328">
        <f>IF(OR('Validation summary'!$B$3="Northumbrian Water",'Validation summary'!$B$3="South Staffs Water"),IF(ISBLANK($J18)=TRUE,1,0),0)</f>
        <v>0</v>
      </c>
      <c r="AC18" s="328">
        <f>IF(OR('Validation summary'!$B$3="Northumbrian Water",'Validation summary'!$B$3="South Staffs Water"),IF(ISBLANK($K18)=TRUE,1,0),0)</f>
        <v>0</v>
      </c>
      <c r="AD18" s="328"/>
      <c r="AE18" s="1382"/>
      <c r="AF18" s="332">
        <f>IF($D18&lt;0,1,0)</f>
        <v>0</v>
      </c>
      <c r="AG18" s="332">
        <f>IF($E18&lt;0,1,0)</f>
        <v>0</v>
      </c>
      <c r="AH18" s="332">
        <f>IF($F18&lt;0,1,0)</f>
        <v>0</v>
      </c>
      <c r="AI18" s="328"/>
      <c r="AJ18" s="332">
        <f>IF($H18&lt;0,1,0)</f>
        <v>0</v>
      </c>
      <c r="AK18" s="332">
        <f>IF($I18&lt;0,1,0)</f>
        <v>0</v>
      </c>
      <c r="AL18" s="332">
        <f>IF($J18&lt;0,1,0)</f>
        <v>0</v>
      </c>
      <c r="AM18" s="332">
        <f>IF($K18&lt;0,1,0)</f>
        <v>0</v>
      </c>
      <c r="AN18" s="332"/>
      <c r="AO18" s="1382"/>
      <c r="AP18" s="1383"/>
      <c r="AQ18" s="310" t="s">
        <v>669</v>
      </c>
      <c r="AR18" s="310" t="s">
        <v>670</v>
      </c>
      <c r="AS18" s="1506"/>
      <c r="AT18" s="1506"/>
      <c r="AU18" s="1506"/>
      <c r="AV18" s="1507" t="s">
        <v>714</v>
      </c>
      <c r="AW18" s="1506"/>
      <c r="AX18" s="1508"/>
      <c r="AY18" s="1506"/>
      <c r="AZ18" s="1508" t="s">
        <v>715</v>
      </c>
      <c r="BA18" s="1506"/>
      <c r="BB18" s="1540" t="s">
        <v>716</v>
      </c>
      <c r="BC18" s="1540" t="s">
        <v>148</v>
      </c>
    </row>
    <row r="19" spans="2:55" s="22" customFormat="1" ht="25.5" customHeight="1">
      <c r="B19" s="310" t="s">
        <v>646</v>
      </c>
      <c r="C19" s="310" t="s">
        <v>647</v>
      </c>
      <c r="D19" s="1914"/>
      <c r="E19" s="1914"/>
      <c r="F19" s="1914"/>
      <c r="G19" s="1915" t="str">
        <f>IF('Validation summary'!$B$3="South Staffs Water",ROUND(AVERAGE(D19:F19),1),"")</f>
        <v/>
      </c>
      <c r="H19" s="1914"/>
      <c r="I19" s="1914"/>
      <c r="J19" s="1914"/>
      <c r="K19" s="1915" t="str">
        <f>IF('Validation summary'!$B$3="South Staffs Water",$G$12,"")</f>
        <v/>
      </c>
      <c r="L19" s="371"/>
      <c r="M19" s="1915" t="str">
        <f>IF('Validation summary'!$B$3="South Staffs Water",ROUND(AVERAGE(I19:K19),1),"")</f>
        <v/>
      </c>
      <c r="N19" s="1915" t="str">
        <f>IF('Validation summary'!$B$3="South Staffs Water",(1-M19/G19)*100,"")</f>
        <v/>
      </c>
      <c r="P19" s="294" t="s">
        <v>675</v>
      </c>
      <c r="R19" s="329">
        <f>IF(SUM($V19:$AD19)=0,0,$V$6)</f>
        <v>0</v>
      </c>
      <c r="S19" s="343">
        <f>IF(SUM($AF19:$AN19)=0,0,$AF$6)</f>
        <v>0</v>
      </c>
      <c r="U19" s="1382"/>
      <c r="V19" s="328">
        <f>IF('Validation summary'!$B$3="South Staffs Water",IF(ISBLANK($D19)=TRUE,1,0),0)</f>
        <v>0</v>
      </c>
      <c r="W19" s="328">
        <f>IF('Validation summary'!$B$3="South Staffs Water",IF(ISBLANK($E19)=TRUE,1,0),0)</f>
        <v>0</v>
      </c>
      <c r="X19" s="328">
        <f>IF('Validation summary'!$B$3="South Staffs Water",IF(ISBLANK($F19)=TRUE,1,0),0)</f>
        <v>0</v>
      </c>
      <c r="Y19" s="328"/>
      <c r="Z19" s="328">
        <f>IF('Validation summary'!$B$3="South Staffs Water",IF(ISBLANK($H19)=TRUE,1,0),0)</f>
        <v>0</v>
      </c>
      <c r="AA19" s="328">
        <f>IF('Validation summary'!$B$3="South Staffs Water",IF(ISBLANK($I19)=TRUE,1,0),0)</f>
        <v>0</v>
      </c>
      <c r="AB19" s="328">
        <f>IF('Validation summary'!$B$3="South Staffs Water",IF(ISBLANK($J19)=TRUE,1,0),0)</f>
        <v>0</v>
      </c>
      <c r="AC19" s="328"/>
      <c r="AD19" s="328"/>
      <c r="AE19" s="1382"/>
      <c r="AF19" s="332">
        <f>IF($D19&lt;0,1,0)</f>
        <v>0</v>
      </c>
      <c r="AG19" s="332">
        <f>IF($E19&lt;0,1,0)</f>
        <v>0</v>
      </c>
      <c r="AH19" s="332">
        <f>IF($F19&lt;0,1,0)</f>
        <v>0</v>
      </c>
      <c r="AI19" s="328"/>
      <c r="AJ19" s="332">
        <f>IF($H19&lt;0,1,0)</f>
        <v>0</v>
      </c>
      <c r="AK19" s="332">
        <f>IF($I19&lt;0,1,0)</f>
        <v>0</v>
      </c>
      <c r="AL19" s="332">
        <f>IF($J19&lt;0,1,0)</f>
        <v>0</v>
      </c>
      <c r="AM19" s="332"/>
      <c r="AN19" s="332"/>
      <c r="AO19" s="1382"/>
      <c r="AP19" s="1383"/>
      <c r="AQ19" s="310" t="s">
        <v>646</v>
      </c>
      <c r="AR19" s="310" t="s">
        <v>647</v>
      </c>
      <c r="AS19" s="1506"/>
      <c r="AT19" s="1506"/>
      <c r="AU19" s="1506"/>
      <c r="AV19" s="1507" t="s">
        <v>717</v>
      </c>
      <c r="AW19" s="1506"/>
      <c r="AX19" s="1509"/>
      <c r="AY19" s="1506"/>
      <c r="AZ19" s="1509" t="s">
        <v>713</v>
      </c>
      <c r="BA19" s="1506"/>
      <c r="BB19" s="1540" t="s">
        <v>718</v>
      </c>
      <c r="BC19" s="1540" t="s">
        <v>157</v>
      </c>
    </row>
    <row r="20" spans="2:55" s="22" customFormat="1" ht="17.25" customHeight="1">
      <c r="B20" s="28"/>
      <c r="C20" s="28"/>
      <c r="D20" s="12"/>
      <c r="E20" s="12"/>
      <c r="F20" s="12"/>
      <c r="G20" s="12"/>
      <c r="H20" s="12"/>
      <c r="I20" s="12"/>
      <c r="J20" s="12"/>
      <c r="K20" s="12"/>
      <c r="L20" s="12"/>
      <c r="M20" s="12"/>
      <c r="N20" s="12"/>
      <c r="P20" s="11"/>
      <c r="R20" s="11"/>
      <c r="S20" s="11"/>
      <c r="U20" s="1382"/>
      <c r="V20" s="328"/>
      <c r="W20" s="328"/>
      <c r="X20" s="328"/>
      <c r="Y20" s="328"/>
      <c r="Z20" s="328"/>
      <c r="AA20" s="328"/>
      <c r="AB20" s="328"/>
      <c r="AC20" s="328"/>
      <c r="AD20" s="328"/>
      <c r="AE20" s="1382"/>
      <c r="AF20" s="332"/>
      <c r="AG20" s="332"/>
      <c r="AH20" s="332"/>
      <c r="AI20" s="328"/>
      <c r="AJ20" s="332"/>
      <c r="AK20" s="332"/>
      <c r="AL20" s="332"/>
      <c r="AM20" s="332"/>
      <c r="AN20" s="332"/>
      <c r="AO20" s="1382"/>
      <c r="AP20" s="1383"/>
    </row>
    <row r="21" spans="2:55" s="10" customFormat="1" ht="14.25">
      <c r="B21" s="1386"/>
      <c r="C21" s="26">
        <v>14</v>
      </c>
      <c r="D21" s="26">
        <v>15</v>
      </c>
      <c r="E21" s="26">
        <v>16</v>
      </c>
      <c r="F21" s="26">
        <v>17</v>
      </c>
      <c r="G21" s="26">
        <v>18</v>
      </c>
      <c r="H21" s="26">
        <v>19</v>
      </c>
      <c r="I21" s="26"/>
      <c r="J21" s="26"/>
      <c r="K21" s="26"/>
      <c r="L21" s="26"/>
      <c r="M21" s="1378"/>
      <c r="N21" s="1378"/>
      <c r="O21" s="1381"/>
      <c r="P21" s="1381"/>
      <c r="Q21" s="1381"/>
      <c r="R21" s="1381"/>
      <c r="S21" s="1381"/>
      <c r="T21" s="1381"/>
      <c r="U21" s="1382"/>
      <c r="V21" s="327"/>
      <c r="W21" s="327"/>
      <c r="X21" s="327"/>
      <c r="Y21" s="327"/>
      <c r="Z21" s="327"/>
      <c r="AA21" s="327"/>
      <c r="AB21" s="327"/>
      <c r="AC21" s="327"/>
      <c r="AD21" s="327"/>
      <c r="AE21" s="1382"/>
      <c r="AF21" s="327"/>
      <c r="AG21" s="327"/>
      <c r="AH21" s="327"/>
      <c r="AI21" s="327"/>
      <c r="AJ21" s="327"/>
      <c r="AK21" s="327"/>
      <c r="AL21" s="327"/>
      <c r="AM21" s="327"/>
      <c r="AN21" s="327"/>
      <c r="AO21" s="1382"/>
      <c r="AP21" s="1383"/>
      <c r="AQ21" s="1381"/>
      <c r="AR21" s="1381"/>
      <c r="AS21" s="1381"/>
      <c r="AT21" s="1381"/>
      <c r="AU21" s="1381"/>
      <c r="AV21" s="1381"/>
      <c r="AW21" s="1381"/>
      <c r="AX21" s="1381"/>
      <c r="AY21" s="1381"/>
      <c r="AZ21" s="1381"/>
      <c r="BA21" s="1381"/>
      <c r="BB21" s="1381"/>
      <c r="BC21" s="1381"/>
    </row>
    <row r="22" spans="2:55" s="10" customFormat="1" ht="39.4">
      <c r="B22" s="1321" t="s">
        <v>112</v>
      </c>
      <c r="C22" s="1320" t="s">
        <v>114</v>
      </c>
      <c r="D22" s="1320" t="s">
        <v>628</v>
      </c>
      <c r="E22" s="1320" t="s">
        <v>678</v>
      </c>
      <c r="F22" s="1320" t="s">
        <v>679</v>
      </c>
      <c r="G22" s="1320" t="s">
        <v>680</v>
      </c>
      <c r="H22" s="1320" t="s">
        <v>681</v>
      </c>
      <c r="I22" s="287"/>
      <c r="J22" s="287"/>
      <c r="K22" s="287"/>
      <c r="L22" s="287"/>
      <c r="M22" s="1378"/>
      <c r="N22" s="1378"/>
      <c r="O22" s="1381"/>
      <c r="P22" s="1381"/>
      <c r="Q22" s="1381"/>
      <c r="R22" s="1381"/>
      <c r="S22" s="1381"/>
      <c r="T22" s="1381"/>
      <c r="U22" s="1382"/>
      <c r="V22" s="328"/>
      <c r="W22" s="328"/>
      <c r="X22" s="328"/>
      <c r="Y22" s="328"/>
      <c r="Z22" s="328"/>
      <c r="AA22" s="328"/>
      <c r="AB22" s="328"/>
      <c r="AC22" s="328"/>
      <c r="AD22" s="328"/>
      <c r="AE22" s="1382"/>
      <c r="AF22" s="332"/>
      <c r="AG22" s="332"/>
      <c r="AH22" s="332"/>
      <c r="AI22" s="328"/>
      <c r="AJ22" s="332"/>
      <c r="AK22" s="332"/>
      <c r="AL22" s="332"/>
      <c r="AM22" s="332"/>
      <c r="AN22" s="332"/>
      <c r="AO22" s="1382"/>
      <c r="AP22" s="1383"/>
      <c r="AQ22" s="1381"/>
      <c r="AR22" s="1381"/>
      <c r="AS22" s="1381"/>
      <c r="AT22" s="1381"/>
      <c r="AU22" s="1381"/>
      <c r="AV22" s="1381"/>
      <c r="AW22" s="1381"/>
      <c r="AX22" s="1381"/>
      <c r="AY22" s="1381"/>
      <c r="AZ22" s="1381"/>
      <c r="BA22" s="1381"/>
      <c r="BB22" s="1381"/>
      <c r="BC22" s="1381"/>
    </row>
    <row r="23" spans="2:55" s="10" customFormat="1" ht="15.75">
      <c r="B23" s="286"/>
      <c r="C23" s="286"/>
      <c r="D23" s="286"/>
      <c r="E23" s="286"/>
      <c r="F23" s="286"/>
      <c r="G23" s="286"/>
      <c r="H23" s="286"/>
      <c r="I23" s="286"/>
      <c r="J23" s="286"/>
      <c r="K23" s="286"/>
      <c r="L23" s="286"/>
      <c r="M23" s="24"/>
      <c r="N23" s="24"/>
      <c r="O23" s="1381"/>
      <c r="P23" s="1381"/>
      <c r="Q23" s="1381"/>
      <c r="R23" s="1381"/>
      <c r="S23" s="1381"/>
      <c r="T23" s="1381"/>
      <c r="U23" s="1382"/>
      <c r="V23" s="328"/>
      <c r="W23" s="328"/>
      <c r="X23" s="328"/>
      <c r="Y23" s="328"/>
      <c r="Z23" s="328"/>
      <c r="AA23" s="328"/>
      <c r="AB23" s="328"/>
      <c r="AC23" s="328"/>
      <c r="AD23" s="328"/>
      <c r="AE23" s="1382"/>
      <c r="AF23" s="332"/>
      <c r="AG23" s="332"/>
      <c r="AH23" s="332"/>
      <c r="AI23" s="328"/>
      <c r="AJ23" s="332"/>
      <c r="AK23" s="332"/>
      <c r="AL23" s="332"/>
      <c r="AM23" s="332"/>
      <c r="AN23" s="332"/>
      <c r="AO23" s="1382"/>
      <c r="AP23" s="1383"/>
      <c r="AQ23" s="1381"/>
      <c r="AR23" s="1381"/>
      <c r="AS23" s="1381"/>
      <c r="AT23" s="1381"/>
      <c r="AU23" s="1381"/>
      <c r="AV23" s="1381"/>
      <c r="AW23" s="1381"/>
      <c r="AX23" s="1381"/>
      <c r="AY23" s="1381"/>
      <c r="AZ23" s="1381"/>
      <c r="BA23" s="1381"/>
      <c r="BB23" s="1381"/>
      <c r="BC23" s="1381"/>
    </row>
    <row r="24" spans="2:55" s="10" customFormat="1" ht="15.75">
      <c r="B24" s="311" t="s">
        <v>137</v>
      </c>
      <c r="C24" s="286"/>
      <c r="D24" s="286"/>
      <c r="E24" s="286"/>
      <c r="F24" s="286"/>
      <c r="G24" s="286"/>
      <c r="H24" s="286"/>
      <c r="I24" s="286"/>
      <c r="J24" s="286"/>
      <c r="K24" s="286"/>
      <c r="L24" s="286"/>
      <c r="M24" s="24"/>
      <c r="N24" s="24"/>
      <c r="O24" s="1381"/>
      <c r="P24" s="1381"/>
      <c r="Q24" s="1381"/>
      <c r="R24" s="1381"/>
      <c r="S24" s="1381"/>
      <c r="T24" s="1381"/>
      <c r="U24" s="1382"/>
      <c r="V24" s="327">
        <v>16</v>
      </c>
      <c r="W24" s="327">
        <v>17</v>
      </c>
      <c r="X24" s="327">
        <v>18</v>
      </c>
      <c r="Y24" s="327">
        <v>19</v>
      </c>
      <c r="Z24" s="327"/>
      <c r="AA24" s="327"/>
      <c r="AB24" s="327"/>
      <c r="AC24" s="327"/>
      <c r="AD24" s="327"/>
      <c r="AE24" s="1382"/>
      <c r="AF24" s="327">
        <v>16</v>
      </c>
      <c r="AG24" s="327">
        <v>17</v>
      </c>
      <c r="AH24" s="327">
        <v>18</v>
      </c>
      <c r="AI24" s="327">
        <v>19</v>
      </c>
      <c r="AJ24" s="327"/>
      <c r="AK24" s="327"/>
      <c r="AL24" s="327"/>
      <c r="AM24" s="327"/>
      <c r="AN24" s="327"/>
      <c r="AO24" s="1382"/>
      <c r="AP24" s="1383"/>
      <c r="AQ24" s="1381"/>
      <c r="AR24" s="1381"/>
      <c r="AS24" s="1381"/>
      <c r="AT24" s="1381"/>
      <c r="AU24" s="1381"/>
      <c r="AV24" s="1381"/>
      <c r="AW24" s="1381"/>
      <c r="AX24" s="1381"/>
      <c r="AY24" s="1381"/>
      <c r="AZ24" s="1381"/>
      <c r="BA24" s="1381"/>
      <c r="BB24" s="1381"/>
      <c r="BC24" s="1381"/>
    </row>
    <row r="25" spans="2:55" s="22" customFormat="1" ht="58.5" customHeight="1">
      <c r="B25" s="310" t="s">
        <v>137</v>
      </c>
      <c r="C25" s="310" t="s">
        <v>682</v>
      </c>
      <c r="D25" s="310" t="s">
        <v>683</v>
      </c>
      <c r="E25" s="266"/>
      <c r="F25" s="267"/>
      <c r="G25" s="23"/>
      <c r="H25" s="266"/>
      <c r="I25" s="266"/>
      <c r="J25" s="266"/>
      <c r="K25" s="266"/>
      <c r="L25" s="266"/>
      <c r="M25" s="27"/>
      <c r="N25" s="27"/>
      <c r="P25" s="294" t="s">
        <v>684</v>
      </c>
      <c r="R25" s="320"/>
      <c r="S25" s="320"/>
      <c r="U25" s="1382"/>
      <c r="V25" s="328"/>
      <c r="W25" s="328"/>
      <c r="X25" s="328"/>
      <c r="Y25" s="328"/>
      <c r="Z25" s="328"/>
      <c r="AA25" s="328"/>
      <c r="AB25" s="328"/>
      <c r="AC25" s="328"/>
      <c r="AD25" s="328"/>
      <c r="AE25" s="1382"/>
      <c r="AF25" s="332"/>
      <c r="AG25" s="332"/>
      <c r="AH25" s="332"/>
      <c r="AI25" s="332"/>
      <c r="AJ25" s="332"/>
      <c r="AK25" s="332"/>
      <c r="AL25" s="332"/>
      <c r="AM25" s="332"/>
      <c r="AN25" s="332"/>
      <c r="AO25" s="1382"/>
      <c r="AP25" s="1383"/>
    </row>
    <row r="26" spans="2:55" s="10" customFormat="1" ht="16.149999999999999" customHeight="1">
      <c r="B26" s="1381"/>
      <c r="C26" s="1378"/>
      <c r="D26" s="1386"/>
      <c r="E26" s="1381"/>
      <c r="F26" s="1381"/>
      <c r="G26" s="1381"/>
      <c r="H26" s="1388"/>
      <c r="I26" s="1388"/>
      <c r="J26" s="1388"/>
      <c r="K26" s="1388"/>
      <c r="L26" s="1388"/>
      <c r="M26" s="1381"/>
      <c r="N26" s="1378"/>
      <c r="O26" s="1381"/>
      <c r="P26" s="1381"/>
      <c r="Q26" s="1381"/>
      <c r="R26" s="1381"/>
      <c r="S26" s="1381"/>
      <c r="T26" s="1381"/>
      <c r="U26" s="1382"/>
      <c r="V26" s="328"/>
      <c r="W26" s="328"/>
      <c r="X26" s="328"/>
      <c r="Y26" s="328"/>
      <c r="Z26" s="328"/>
      <c r="AA26" s="328"/>
      <c r="AB26" s="328"/>
      <c r="AC26" s="328"/>
      <c r="AD26" s="328"/>
      <c r="AE26" s="1382"/>
      <c r="AF26" s="332"/>
      <c r="AG26" s="332"/>
      <c r="AH26" s="332"/>
      <c r="AI26" s="328"/>
      <c r="AJ26" s="332"/>
      <c r="AK26" s="332"/>
      <c r="AL26" s="332"/>
      <c r="AM26" s="332"/>
      <c r="AN26" s="332"/>
      <c r="AO26" s="1382"/>
      <c r="AP26" s="1383"/>
      <c r="AQ26" s="1381"/>
      <c r="AR26" s="1381"/>
      <c r="AS26" s="1381"/>
      <c r="AT26" s="1381"/>
      <c r="AU26" s="1381"/>
      <c r="AV26" s="1381"/>
      <c r="AW26" s="1381"/>
      <c r="AX26" s="1381"/>
      <c r="AY26" s="1381"/>
      <c r="AZ26" s="1381"/>
      <c r="BA26" s="1381"/>
      <c r="BB26" s="1381"/>
      <c r="BC26" s="1381"/>
    </row>
    <row r="27" spans="2:55" s="10" customFormat="1" ht="16.149999999999999" customHeight="1">
      <c r="B27" s="1381"/>
      <c r="C27" s="26">
        <v>20</v>
      </c>
      <c r="D27" s="26">
        <v>21</v>
      </c>
      <c r="E27" s="26">
        <v>22</v>
      </c>
      <c r="F27" s="1381"/>
      <c r="G27" s="1381"/>
      <c r="H27" s="1388"/>
      <c r="I27" s="1388"/>
      <c r="J27" s="1388"/>
      <c r="K27" s="1388"/>
      <c r="L27" s="1388"/>
      <c r="M27" s="1381"/>
      <c r="N27" s="1378"/>
      <c r="O27" s="1381"/>
      <c r="P27" s="1381"/>
      <c r="Q27" s="1381"/>
      <c r="R27" s="1381"/>
      <c r="S27" s="1381"/>
      <c r="T27" s="1381"/>
      <c r="U27" s="1382"/>
      <c r="V27" s="327"/>
      <c r="W27" s="327"/>
      <c r="X27" s="327"/>
      <c r="Y27" s="328"/>
      <c r="Z27" s="328"/>
      <c r="AA27" s="328"/>
      <c r="AB27" s="328"/>
      <c r="AC27" s="328"/>
      <c r="AD27" s="328"/>
      <c r="AE27" s="1382"/>
      <c r="AF27" s="332"/>
      <c r="AG27" s="332"/>
      <c r="AH27" s="332"/>
      <c r="AI27" s="328"/>
      <c r="AJ27" s="332"/>
      <c r="AK27" s="332"/>
      <c r="AL27" s="332"/>
      <c r="AM27" s="332"/>
      <c r="AN27" s="332"/>
      <c r="AO27" s="1382"/>
      <c r="AP27" s="1383"/>
      <c r="AQ27" s="1381"/>
      <c r="AR27" s="1381"/>
      <c r="AS27" s="1381"/>
      <c r="AT27" s="1381"/>
      <c r="AU27" s="1381"/>
      <c r="AV27" s="1381"/>
      <c r="AW27" s="1381"/>
      <c r="AX27" s="1381"/>
      <c r="AY27" s="1381"/>
      <c r="AZ27" s="1381"/>
      <c r="BA27" s="1381"/>
      <c r="BB27" s="1381"/>
      <c r="BC27" s="1381"/>
    </row>
    <row r="28" spans="2:55" s="10" customFormat="1" ht="67.5" customHeight="1">
      <c r="B28" s="1321" t="s">
        <v>112</v>
      </c>
      <c r="C28" s="1320" t="s">
        <v>687</v>
      </c>
      <c r="D28" s="1320" t="s">
        <v>688</v>
      </c>
      <c r="E28" s="1320" t="s">
        <v>689</v>
      </c>
      <c r="F28" s="1381"/>
      <c r="G28" s="1381"/>
      <c r="H28" s="1378"/>
      <c r="I28" s="1378"/>
      <c r="J28" s="1378"/>
      <c r="K28" s="1378"/>
      <c r="L28" s="1378"/>
      <c r="M28" s="1378"/>
      <c r="N28" s="1378"/>
      <c r="O28" s="1381"/>
      <c r="P28" s="1381"/>
      <c r="Q28" s="1381"/>
      <c r="R28" s="1381"/>
      <c r="S28" s="1381"/>
      <c r="T28" s="1381"/>
      <c r="U28" s="1382"/>
      <c r="V28" s="328"/>
      <c r="W28" s="328"/>
      <c r="X28" s="328"/>
      <c r="Y28" s="328"/>
      <c r="Z28" s="328"/>
      <c r="AA28" s="328"/>
      <c r="AB28" s="328"/>
      <c r="AC28" s="328"/>
      <c r="AD28" s="328"/>
      <c r="AE28" s="1382"/>
      <c r="AF28" s="332"/>
      <c r="AG28" s="332"/>
      <c r="AH28" s="332"/>
      <c r="AI28" s="328"/>
      <c r="AJ28" s="332"/>
      <c r="AK28" s="332"/>
      <c r="AL28" s="332"/>
      <c r="AM28" s="332"/>
      <c r="AN28" s="332"/>
      <c r="AO28" s="1382"/>
      <c r="AP28" s="1383"/>
      <c r="AQ28" s="1381"/>
      <c r="AR28" s="1381"/>
      <c r="AS28" s="1381"/>
      <c r="AT28" s="1381"/>
      <c r="AU28" s="1381"/>
      <c r="AV28" s="1381"/>
      <c r="AW28" s="1381"/>
      <c r="AX28" s="1381"/>
      <c r="AY28" s="1381"/>
      <c r="AZ28" s="1381"/>
      <c r="BA28" s="1381"/>
      <c r="BB28" s="1381"/>
      <c r="BC28" s="1381"/>
    </row>
    <row r="29" spans="2:55" s="10" customFormat="1" ht="15.75">
      <c r="B29" s="286"/>
      <c r="C29" s="286"/>
      <c r="D29" s="286"/>
      <c r="E29" s="286"/>
      <c r="F29" s="24"/>
      <c r="G29" s="24"/>
      <c r="H29" s="24"/>
      <c r="I29" s="24"/>
      <c r="J29" s="24"/>
      <c r="K29" s="24"/>
      <c r="L29" s="24"/>
      <c r="M29" s="24"/>
      <c r="N29" s="24"/>
      <c r="O29" s="1381"/>
      <c r="P29" s="1381"/>
      <c r="Q29" s="1381"/>
      <c r="R29" s="1381"/>
      <c r="S29" s="1381"/>
      <c r="T29" s="1381"/>
      <c r="U29" s="1382"/>
      <c r="V29" s="328"/>
      <c r="W29" s="328"/>
      <c r="X29" s="328"/>
      <c r="Y29" s="328"/>
      <c r="Z29" s="328"/>
      <c r="AA29" s="328"/>
      <c r="AB29" s="328"/>
      <c r="AC29" s="328"/>
      <c r="AD29" s="328"/>
      <c r="AE29" s="1382"/>
      <c r="AF29" s="332"/>
      <c r="AG29" s="332"/>
      <c r="AH29" s="332"/>
      <c r="AI29" s="328"/>
      <c r="AJ29" s="332"/>
      <c r="AK29" s="332"/>
      <c r="AL29" s="332"/>
      <c r="AM29" s="332"/>
      <c r="AN29" s="332"/>
      <c r="AO29" s="1382"/>
      <c r="AP29" s="1383"/>
      <c r="AQ29" s="1381"/>
      <c r="AR29" s="1381"/>
      <c r="AS29" s="1381"/>
      <c r="AT29" s="1381"/>
      <c r="AU29" s="1381"/>
      <c r="AV29" s="1381"/>
      <c r="AW29" s="1381"/>
      <c r="AX29" s="1381"/>
      <c r="AY29" s="1381"/>
      <c r="AZ29" s="1381"/>
      <c r="BA29" s="1381"/>
      <c r="BB29" s="1381"/>
      <c r="BC29" s="1381"/>
    </row>
    <row r="30" spans="2:55" s="10" customFormat="1" ht="15.75">
      <c r="B30" s="311" t="s">
        <v>690</v>
      </c>
      <c r="C30" s="286"/>
      <c r="D30" s="286"/>
      <c r="E30" s="286"/>
      <c r="F30" s="24"/>
      <c r="G30" s="24"/>
      <c r="H30" s="24"/>
      <c r="I30" s="24"/>
      <c r="J30" s="24"/>
      <c r="K30" s="24"/>
      <c r="L30" s="24"/>
      <c r="M30" s="24"/>
      <c r="N30" s="24"/>
      <c r="O30" s="1381"/>
      <c r="P30" s="1381"/>
      <c r="Q30" s="1381"/>
      <c r="R30" s="1381"/>
      <c r="S30" s="1381"/>
      <c r="T30" s="1381"/>
      <c r="U30" s="1382"/>
      <c r="V30" s="327">
        <v>20</v>
      </c>
      <c r="W30" s="327">
        <v>21</v>
      </c>
      <c r="X30" s="327">
        <v>22</v>
      </c>
      <c r="Y30" s="328"/>
      <c r="Z30" s="328"/>
      <c r="AA30" s="328"/>
      <c r="AB30" s="328"/>
      <c r="AC30" s="328"/>
      <c r="AD30" s="328"/>
      <c r="AE30" s="1382"/>
      <c r="AF30" s="327">
        <v>20</v>
      </c>
      <c r="AG30" s="327">
        <v>21</v>
      </c>
      <c r="AH30" s="327">
        <v>22</v>
      </c>
      <c r="AI30" s="328"/>
      <c r="AJ30" s="332"/>
      <c r="AK30" s="332"/>
      <c r="AL30" s="332"/>
      <c r="AM30" s="332"/>
      <c r="AN30" s="332"/>
      <c r="AO30" s="1382"/>
      <c r="AP30" s="1383"/>
      <c r="AQ30" s="1381"/>
      <c r="AR30" s="1381"/>
      <c r="AS30" s="1381"/>
      <c r="AT30" s="1381"/>
      <c r="AU30" s="1381"/>
      <c r="AV30" s="1381"/>
      <c r="AW30" s="1381"/>
      <c r="AX30" s="1381"/>
      <c r="AY30" s="1381"/>
      <c r="AZ30" s="1381"/>
      <c r="BA30" s="1381"/>
      <c r="BB30" s="1381"/>
      <c r="BC30" s="1381"/>
    </row>
    <row r="31" spans="2:55" s="22" customFormat="1" ht="23.25" customHeight="1">
      <c r="B31" s="310" t="s">
        <v>167</v>
      </c>
      <c r="C31" s="23"/>
      <c r="D31" s="23"/>
      <c r="E31" s="268"/>
      <c r="F31" s="256"/>
      <c r="G31" s="27"/>
      <c r="H31" s="27"/>
      <c r="I31" s="27"/>
      <c r="J31" s="27"/>
      <c r="K31" s="27"/>
      <c r="L31" s="27"/>
      <c r="M31" s="27"/>
      <c r="N31" s="27"/>
      <c r="P31" s="294" t="s">
        <v>691</v>
      </c>
      <c r="R31" s="320"/>
      <c r="S31" s="320"/>
      <c r="U31" s="1382"/>
      <c r="V31" s="328"/>
      <c r="W31" s="328"/>
      <c r="X31" s="328"/>
      <c r="Y31" s="328"/>
      <c r="Z31" s="328"/>
      <c r="AA31" s="328"/>
      <c r="AB31" s="328"/>
      <c r="AC31" s="328"/>
      <c r="AD31" s="328"/>
      <c r="AE31" s="1382"/>
      <c r="AF31" s="332"/>
      <c r="AG31" s="332"/>
      <c r="AH31" s="332"/>
      <c r="AI31" s="328"/>
      <c r="AJ31" s="332"/>
      <c r="AK31" s="332"/>
      <c r="AL31" s="332"/>
      <c r="AM31" s="332"/>
      <c r="AN31" s="332"/>
      <c r="AO31" s="1382"/>
      <c r="AP31" s="1383"/>
    </row>
    <row r="32" spans="2:55" s="22" customFormat="1" ht="23.25" customHeight="1">
      <c r="B32" s="28"/>
      <c r="C32" s="12"/>
      <c r="D32" s="12"/>
      <c r="E32" s="12"/>
      <c r="G32" s="27"/>
      <c r="H32" s="27"/>
      <c r="I32" s="27"/>
      <c r="J32" s="27"/>
      <c r="K32" s="27"/>
      <c r="L32" s="27"/>
      <c r="M32" s="27"/>
      <c r="N32" s="27"/>
      <c r="P32" s="11"/>
      <c r="R32" s="11"/>
      <c r="S32" s="11"/>
      <c r="U32" s="1382"/>
      <c r="V32" s="328"/>
      <c r="W32" s="328"/>
      <c r="X32" s="328"/>
      <c r="Y32" s="328"/>
      <c r="Z32" s="328"/>
      <c r="AA32" s="328"/>
      <c r="AB32" s="328"/>
      <c r="AC32" s="328"/>
      <c r="AD32" s="328"/>
      <c r="AE32" s="1382"/>
      <c r="AF32" s="332"/>
      <c r="AG32" s="332"/>
      <c r="AH32" s="332"/>
      <c r="AI32" s="328"/>
      <c r="AJ32" s="332"/>
      <c r="AK32" s="332"/>
      <c r="AL32" s="332"/>
      <c r="AM32" s="332"/>
      <c r="AN32" s="332"/>
      <c r="AO32" s="1382"/>
      <c r="AP32" s="1383"/>
    </row>
    <row r="33" spans="2:43" s="10" customFormat="1" ht="14.25">
      <c r="B33" s="1378"/>
      <c r="C33" s="26">
        <v>23</v>
      </c>
      <c r="D33" s="26">
        <v>24</v>
      </c>
      <c r="E33" s="26">
        <v>25</v>
      </c>
      <c r="F33" s="26">
        <v>26</v>
      </c>
      <c r="G33" s="26">
        <v>27</v>
      </c>
      <c r="H33" s="26">
        <v>28</v>
      </c>
      <c r="I33" s="26">
        <v>29</v>
      </c>
      <c r="J33" s="26">
        <v>30</v>
      </c>
      <c r="K33" s="26"/>
      <c r="L33" s="26"/>
      <c r="M33" s="1381"/>
      <c r="N33" s="1378"/>
      <c r="O33" s="1381"/>
      <c r="P33" s="1381"/>
      <c r="Q33" s="1381"/>
      <c r="R33" s="1381"/>
      <c r="S33" s="1381"/>
      <c r="T33" s="1381"/>
      <c r="U33" s="1382"/>
      <c r="V33" s="327"/>
      <c r="W33" s="327"/>
      <c r="X33" s="327"/>
      <c r="Y33" s="327"/>
      <c r="Z33" s="327"/>
      <c r="AA33" s="327"/>
      <c r="AB33" s="327"/>
      <c r="AC33" s="327"/>
      <c r="AD33" s="327"/>
      <c r="AE33" s="1382"/>
      <c r="AF33" s="332"/>
      <c r="AG33" s="332"/>
      <c r="AH33" s="332"/>
      <c r="AI33" s="328"/>
      <c r="AJ33" s="332"/>
      <c r="AK33" s="332"/>
      <c r="AL33" s="332"/>
      <c r="AM33" s="332"/>
      <c r="AN33" s="332"/>
      <c r="AO33" s="1382"/>
      <c r="AP33" s="1383"/>
      <c r="AQ33" s="1381"/>
    </row>
    <row r="34" spans="2:43" s="10" customFormat="1" ht="40.5" customHeight="1">
      <c r="B34" s="1321" t="s">
        <v>112</v>
      </c>
      <c r="C34" s="1320" t="s">
        <v>695</v>
      </c>
      <c r="D34" s="1320" t="s">
        <v>696</v>
      </c>
      <c r="E34" s="1320" t="s">
        <v>697</v>
      </c>
      <c r="F34" s="1320" t="s">
        <v>698</v>
      </c>
      <c r="G34" s="1320" t="s">
        <v>699</v>
      </c>
      <c r="H34" s="1320" t="s">
        <v>700</v>
      </c>
      <c r="I34" s="1320" t="s">
        <v>701</v>
      </c>
      <c r="J34" s="1320" t="s">
        <v>702</v>
      </c>
      <c r="K34" s="287"/>
      <c r="L34" s="287"/>
      <c r="M34" s="1381"/>
      <c r="N34" s="1378"/>
      <c r="O34" s="1381"/>
      <c r="P34" s="1381"/>
      <c r="Q34" s="1381"/>
      <c r="R34" s="1381"/>
      <c r="S34" s="1381"/>
      <c r="T34" s="1383"/>
      <c r="U34" s="1382"/>
      <c r="V34" s="328"/>
      <c r="W34" s="328"/>
      <c r="X34" s="328"/>
      <c r="Y34" s="328"/>
      <c r="Z34" s="328"/>
      <c r="AA34" s="328"/>
      <c r="AB34" s="328"/>
      <c r="AC34" s="328"/>
      <c r="AD34" s="328"/>
      <c r="AE34" s="1382"/>
      <c r="AF34" s="332"/>
      <c r="AG34" s="332"/>
      <c r="AH34" s="332"/>
      <c r="AI34" s="328"/>
      <c r="AJ34" s="332"/>
      <c r="AK34" s="332"/>
      <c r="AL34" s="332"/>
      <c r="AM34" s="332"/>
      <c r="AN34" s="332"/>
      <c r="AO34" s="1382"/>
      <c r="AP34" s="1383"/>
      <c r="AQ34" s="1381"/>
    </row>
    <row r="35" spans="2:43" s="10" customFormat="1" ht="15.75">
      <c r="B35" s="286"/>
      <c r="C35" s="286"/>
      <c r="D35" s="286"/>
      <c r="E35" s="286"/>
      <c r="F35" s="286"/>
      <c r="G35" s="286"/>
      <c r="H35" s="286"/>
      <c r="I35" s="286"/>
      <c r="J35" s="286"/>
      <c r="K35" s="286"/>
      <c r="L35" s="286"/>
      <c r="M35" s="286"/>
      <c r="N35" s="1378"/>
      <c r="O35" s="1381"/>
      <c r="P35" s="1381"/>
      <c r="Q35" s="1381"/>
      <c r="R35" s="1381"/>
      <c r="S35" s="1381"/>
      <c r="T35" s="1383"/>
      <c r="U35" s="1382"/>
      <c r="V35" s="328"/>
      <c r="W35" s="328"/>
      <c r="X35" s="328"/>
      <c r="Y35" s="328"/>
      <c r="Z35" s="328"/>
      <c r="AA35" s="328"/>
      <c r="AB35" s="328"/>
      <c r="AC35" s="328"/>
      <c r="AD35" s="328"/>
      <c r="AE35" s="1382"/>
      <c r="AF35" s="332"/>
      <c r="AG35" s="332"/>
      <c r="AH35" s="332"/>
      <c r="AI35" s="328"/>
      <c r="AJ35" s="332"/>
      <c r="AK35" s="332"/>
      <c r="AL35" s="332"/>
      <c r="AM35" s="332"/>
      <c r="AN35" s="332"/>
      <c r="AO35" s="1382"/>
      <c r="AP35" s="1383"/>
      <c r="AQ35" s="1381"/>
    </row>
    <row r="36" spans="2:43" s="10" customFormat="1" ht="26.25">
      <c r="B36" s="311" t="s">
        <v>703</v>
      </c>
      <c r="C36" s="286"/>
      <c r="D36" s="286"/>
      <c r="E36" s="286"/>
      <c r="F36" s="286"/>
      <c r="G36" s="286"/>
      <c r="H36" s="286"/>
      <c r="I36" s="286"/>
      <c r="J36" s="286"/>
      <c r="K36" s="286"/>
      <c r="L36" s="286"/>
      <c r="M36" s="286"/>
      <c r="N36" s="1378"/>
      <c r="O36" s="1381"/>
      <c r="P36" s="1381"/>
      <c r="Q36" s="1381"/>
      <c r="R36" s="1381"/>
      <c r="S36" s="1381"/>
      <c r="T36" s="1383"/>
      <c r="U36" s="1382"/>
      <c r="V36" s="327">
        <v>23</v>
      </c>
      <c r="W36" s="327">
        <v>24</v>
      </c>
      <c r="X36" s="327">
        <v>25</v>
      </c>
      <c r="Y36" s="327">
        <v>26</v>
      </c>
      <c r="Z36" s="327">
        <v>27</v>
      </c>
      <c r="AA36" s="327">
        <v>28</v>
      </c>
      <c r="AB36" s="327">
        <v>29</v>
      </c>
      <c r="AC36" s="327"/>
      <c r="AD36" s="327"/>
      <c r="AE36" s="1382"/>
      <c r="AF36" s="327">
        <v>23</v>
      </c>
      <c r="AG36" s="327">
        <v>24</v>
      </c>
      <c r="AH36" s="327">
        <v>25</v>
      </c>
      <c r="AI36" s="327">
        <v>26</v>
      </c>
      <c r="AJ36" s="327">
        <v>27</v>
      </c>
      <c r="AK36" s="327">
        <v>28</v>
      </c>
      <c r="AL36" s="327">
        <v>29</v>
      </c>
      <c r="AM36" s="327"/>
      <c r="AN36" s="327"/>
      <c r="AO36" s="1382"/>
      <c r="AP36" s="1383"/>
      <c r="AQ36" s="1381"/>
    </row>
    <row r="37" spans="2:43" s="22" customFormat="1" ht="27.75" customHeight="1">
      <c r="B37" s="310" t="s">
        <v>703</v>
      </c>
      <c r="C37" s="314"/>
      <c r="D37" s="23"/>
      <c r="E37" s="266"/>
      <c r="F37" s="23"/>
      <c r="G37" s="269"/>
      <c r="H37" s="23"/>
      <c r="I37" s="23"/>
      <c r="J37" s="23"/>
      <c r="K37" s="23"/>
      <c r="L37" s="23"/>
      <c r="M37" s="269"/>
      <c r="N37" s="27"/>
      <c r="P37" s="294" t="s">
        <v>704</v>
      </c>
      <c r="R37" s="320"/>
      <c r="S37" s="320"/>
      <c r="T37" s="377"/>
      <c r="U37" s="1382"/>
      <c r="V37" s="328"/>
      <c r="W37" s="328"/>
      <c r="X37" s="328"/>
      <c r="Y37" s="328"/>
      <c r="Z37" s="328"/>
      <c r="AA37" s="328"/>
      <c r="AB37" s="328"/>
      <c r="AC37" s="328"/>
      <c r="AD37" s="328"/>
      <c r="AE37" s="1382"/>
      <c r="AF37" s="332"/>
      <c r="AG37" s="332"/>
      <c r="AH37" s="332"/>
      <c r="AI37" s="332"/>
      <c r="AJ37" s="332"/>
      <c r="AK37" s="332"/>
      <c r="AL37" s="332"/>
      <c r="AM37" s="332"/>
      <c r="AN37" s="332"/>
      <c r="AO37" s="1382"/>
      <c r="AP37" s="1383"/>
    </row>
    <row r="38" spans="2:43" s="22" customFormat="1" ht="14.25">
      <c r="B38" s="37"/>
      <c r="C38" s="38"/>
      <c r="D38" s="38"/>
      <c r="E38" s="39"/>
      <c r="F38" s="27"/>
      <c r="G38" s="27"/>
      <c r="H38" s="27"/>
      <c r="I38" s="27"/>
      <c r="J38" s="27"/>
      <c r="K38" s="27"/>
      <c r="L38" s="27"/>
      <c r="M38" s="27"/>
      <c r="N38" s="27"/>
      <c r="T38" s="259"/>
      <c r="U38" s="1385"/>
      <c r="V38" s="345"/>
      <c r="W38" s="345"/>
      <c r="X38" s="345"/>
      <c r="Y38" s="345"/>
      <c r="Z38" s="345"/>
      <c r="AA38" s="345"/>
      <c r="AB38" s="345"/>
      <c r="AC38" s="345"/>
      <c r="AD38" s="345"/>
      <c r="AE38" s="1385"/>
      <c r="AF38" s="346"/>
      <c r="AG38" s="346"/>
      <c r="AH38" s="346"/>
      <c r="AI38" s="345"/>
      <c r="AJ38" s="346"/>
      <c r="AK38" s="346"/>
      <c r="AL38" s="346"/>
      <c r="AM38" s="346"/>
      <c r="AN38" s="346"/>
      <c r="AO38" s="1385"/>
      <c r="AP38" s="1383"/>
    </row>
    <row r="39" spans="2:43" s="10" customFormat="1" ht="14.25">
      <c r="B39" s="278" t="s">
        <v>284</v>
      </c>
      <c r="C39" s="1390"/>
      <c r="D39" s="1378"/>
      <c r="E39" s="1378"/>
      <c r="F39" s="1378"/>
      <c r="G39" s="1378"/>
      <c r="H39" s="1378"/>
      <c r="I39" s="1378"/>
      <c r="J39" s="1378"/>
      <c r="K39" s="1378"/>
      <c r="L39" s="1378"/>
      <c r="M39" s="1378"/>
      <c r="N39" s="1378"/>
      <c r="O39" s="1381"/>
      <c r="P39" s="1381"/>
      <c r="Q39" s="1381"/>
      <c r="R39" s="1381"/>
      <c r="S39" s="1381"/>
      <c r="T39" s="1381"/>
      <c r="U39" s="1383"/>
      <c r="V39" s="1383"/>
      <c r="W39" s="339"/>
      <c r="X39" s="339"/>
      <c r="Y39" s="339"/>
      <c r="Z39" s="339"/>
      <c r="AA39" s="339"/>
      <c r="AB39" s="339"/>
      <c r="AC39" s="339"/>
      <c r="AD39" s="339"/>
      <c r="AE39" s="339"/>
      <c r="AF39" s="1383"/>
      <c r="AG39" s="340"/>
      <c r="AH39" s="340"/>
      <c r="AI39" s="340"/>
      <c r="AJ39" s="339"/>
      <c r="AK39" s="339"/>
      <c r="AL39" s="339"/>
      <c r="AM39" s="339"/>
      <c r="AN39" s="339"/>
      <c r="AO39" s="340"/>
      <c r="AP39" s="340"/>
      <c r="AQ39" s="1383"/>
    </row>
    <row r="40" spans="2:43" ht="14.25">
      <c r="U40" s="279"/>
      <c r="V40" s="1383"/>
      <c r="W40" s="339"/>
      <c r="X40" s="339"/>
      <c r="Y40" s="339"/>
      <c r="Z40" s="339"/>
      <c r="AA40" s="339"/>
      <c r="AB40" s="339"/>
      <c r="AC40" s="339"/>
      <c r="AD40" s="339"/>
      <c r="AE40" s="339"/>
      <c r="AF40" s="1383"/>
      <c r="AG40" s="340"/>
      <c r="AH40" s="340"/>
      <c r="AI40" s="340"/>
      <c r="AJ40" s="339"/>
      <c r="AK40" s="339"/>
      <c r="AL40" s="339"/>
      <c r="AM40" s="339"/>
      <c r="AN40" s="339"/>
      <c r="AO40" s="340"/>
      <c r="AP40" s="340"/>
      <c r="AQ40" s="279"/>
    </row>
    <row r="41" spans="2:43" ht="14.25">
      <c r="B41" s="1858" t="s">
        <v>285</v>
      </c>
      <c r="U41" s="279"/>
      <c r="V41" s="1383"/>
      <c r="W41" s="339"/>
      <c r="X41" s="339"/>
      <c r="Y41" s="339"/>
      <c r="Z41" s="339"/>
      <c r="AA41" s="339"/>
      <c r="AB41" s="339"/>
      <c r="AC41" s="339"/>
      <c r="AD41" s="339"/>
      <c r="AE41" s="339"/>
      <c r="AF41" s="1383"/>
      <c r="AG41" s="340"/>
      <c r="AH41" s="340"/>
      <c r="AI41" s="340"/>
      <c r="AJ41" s="339"/>
      <c r="AK41" s="339"/>
      <c r="AL41" s="339"/>
      <c r="AM41" s="339"/>
      <c r="AN41" s="339"/>
      <c r="AO41" s="340"/>
      <c r="AP41" s="340"/>
      <c r="AQ41" s="279"/>
    </row>
    <row r="42" spans="2:43" ht="14.65" thickBot="1">
      <c r="U42" s="279"/>
      <c r="V42" s="1383"/>
      <c r="W42" s="339"/>
      <c r="X42" s="339"/>
      <c r="Y42" s="339"/>
      <c r="Z42" s="339"/>
      <c r="AA42" s="339"/>
      <c r="AB42" s="339"/>
      <c r="AC42" s="339"/>
      <c r="AD42" s="339"/>
      <c r="AE42" s="339"/>
      <c r="AF42" s="1383"/>
      <c r="AG42" s="340"/>
      <c r="AH42" s="340"/>
      <c r="AI42" s="340"/>
      <c r="AJ42" s="339"/>
      <c r="AK42" s="339"/>
      <c r="AL42" s="339"/>
      <c r="AM42" s="339"/>
      <c r="AN42" s="339"/>
      <c r="AO42" s="340"/>
      <c r="AP42" s="340"/>
      <c r="AQ42" s="279"/>
    </row>
    <row r="43" spans="2:43" ht="27" thickTop="1" thickBot="1">
      <c r="B43" s="1859" t="s">
        <v>286</v>
      </c>
      <c r="U43" s="279"/>
      <c r="V43" s="1383"/>
      <c r="W43" s="339"/>
      <c r="X43" s="339"/>
      <c r="Y43" s="339"/>
      <c r="Z43" s="339"/>
      <c r="AA43" s="339"/>
      <c r="AB43" s="339"/>
      <c r="AC43" s="339"/>
      <c r="AD43" s="339"/>
      <c r="AE43" s="339"/>
      <c r="AF43" s="1383"/>
      <c r="AG43" s="340"/>
      <c r="AH43" s="340"/>
      <c r="AI43" s="340"/>
      <c r="AJ43" s="339"/>
      <c r="AK43" s="339"/>
      <c r="AL43" s="339"/>
      <c r="AM43" s="339"/>
      <c r="AN43" s="339"/>
      <c r="AO43" s="340"/>
      <c r="AP43" s="340"/>
      <c r="AQ43" s="279"/>
    </row>
    <row r="44" spans="2:43" ht="14.65" thickTop="1">
      <c r="U44" s="279"/>
      <c r="V44" s="1383"/>
      <c r="W44" s="339"/>
      <c r="X44" s="339"/>
      <c r="Y44" s="339"/>
      <c r="Z44" s="339"/>
      <c r="AA44" s="339"/>
      <c r="AB44" s="339"/>
      <c r="AC44" s="339"/>
      <c r="AD44" s="339"/>
      <c r="AE44" s="339"/>
      <c r="AF44" s="1383"/>
      <c r="AG44" s="340"/>
      <c r="AH44" s="340"/>
      <c r="AI44" s="340"/>
      <c r="AJ44" s="339"/>
      <c r="AK44" s="339"/>
      <c r="AL44" s="339"/>
      <c r="AM44" s="339"/>
      <c r="AN44" s="339"/>
      <c r="AO44" s="340"/>
      <c r="AP44" s="340"/>
      <c r="AQ44" s="279"/>
    </row>
    <row r="45" spans="2:43" ht="14.25">
      <c r="B45" s="1860" t="s">
        <v>287</v>
      </c>
      <c r="U45" s="279"/>
      <c r="V45" s="1383"/>
      <c r="W45" s="339"/>
      <c r="X45" s="339"/>
      <c r="Y45" s="339"/>
      <c r="Z45" s="339"/>
      <c r="AA45" s="339"/>
      <c r="AB45" s="339"/>
      <c r="AC45" s="339"/>
      <c r="AD45" s="339"/>
      <c r="AE45" s="339"/>
      <c r="AF45" s="1383"/>
      <c r="AG45" s="340"/>
      <c r="AH45" s="340"/>
      <c r="AI45" s="340"/>
      <c r="AJ45" s="339"/>
      <c r="AK45" s="339"/>
      <c r="AL45" s="339"/>
      <c r="AM45" s="339"/>
      <c r="AN45" s="339"/>
      <c r="AO45" s="340"/>
      <c r="AP45" s="340"/>
      <c r="AQ45" s="279"/>
    </row>
    <row r="46" spans="2:43" ht="14.25">
      <c r="U46" s="279"/>
      <c r="V46" s="1383"/>
      <c r="W46" s="339"/>
      <c r="X46" s="339"/>
      <c r="Y46" s="339"/>
      <c r="Z46" s="339"/>
      <c r="AA46" s="339"/>
      <c r="AB46" s="339"/>
      <c r="AC46" s="339"/>
      <c r="AD46" s="339"/>
      <c r="AE46" s="339"/>
      <c r="AF46" s="1383"/>
      <c r="AG46" s="340"/>
      <c r="AH46" s="340"/>
      <c r="AI46" s="340"/>
      <c r="AJ46" s="339"/>
      <c r="AK46" s="339"/>
      <c r="AL46" s="339"/>
      <c r="AM46" s="339"/>
      <c r="AN46" s="339"/>
      <c r="AO46" s="340"/>
      <c r="AP46" s="340"/>
      <c r="AQ46" s="279"/>
    </row>
    <row r="47" spans="2:43">
      <c r="B47" s="1861" t="s">
        <v>288</v>
      </c>
      <c r="U47" s="279"/>
      <c r="V47" s="279"/>
      <c r="W47" s="279"/>
      <c r="X47" s="279"/>
      <c r="Y47" s="279"/>
      <c r="Z47" s="279"/>
      <c r="AA47" s="279"/>
      <c r="AB47" s="279"/>
      <c r="AC47" s="279"/>
      <c r="AD47" s="279"/>
      <c r="AE47" s="279"/>
      <c r="AF47" s="279"/>
      <c r="AG47" s="279"/>
      <c r="AH47" s="279"/>
      <c r="AI47" s="279"/>
      <c r="AJ47" s="279"/>
      <c r="AK47" s="279"/>
      <c r="AL47" s="279"/>
      <c r="AM47" s="279"/>
      <c r="AN47" s="279"/>
      <c r="AO47" s="279"/>
      <c r="AQ47" s="279"/>
    </row>
    <row r="48" spans="2:43">
      <c r="U48" s="279"/>
      <c r="V48" s="279"/>
      <c r="W48" s="279"/>
      <c r="X48" s="279"/>
      <c r="Y48" s="279"/>
      <c r="Z48" s="279"/>
      <c r="AA48" s="279"/>
      <c r="AB48" s="279"/>
      <c r="AC48" s="279"/>
      <c r="AD48" s="279"/>
      <c r="AE48" s="279"/>
      <c r="AF48" s="279"/>
      <c r="AG48" s="279"/>
      <c r="AH48" s="279"/>
      <c r="AI48" s="279"/>
      <c r="AJ48" s="279"/>
      <c r="AK48" s="279"/>
      <c r="AL48" s="279"/>
      <c r="AM48" s="279"/>
      <c r="AN48" s="279"/>
      <c r="AO48" s="279"/>
      <c r="AQ48" s="279"/>
    </row>
    <row r="49" spans="2:2" ht="14.25">
      <c r="B49" s="296" t="str">
        <f>'3A'!$B$53</f>
        <v>Please refer to RAG 4.12 - Guideline for the table definitions in the annual performance report for the reporting year 2023-24</v>
      </c>
    </row>
    <row r="50" spans="2:2"/>
  </sheetData>
  <mergeCells count="4">
    <mergeCell ref="C1:F1"/>
    <mergeCell ref="B4:D4"/>
    <mergeCell ref="E4:G4"/>
    <mergeCell ref="H4:N4"/>
  </mergeCells>
  <conditionalFormatting sqref="R12:S12">
    <cfRule type="cellIs" dxfId="228" priority="22" operator="equal">
      <formula>0</formula>
    </cfRule>
  </conditionalFormatting>
  <conditionalFormatting sqref="R18:S19">
    <cfRule type="cellIs" dxfId="227" priority="20"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8"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5"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11"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10"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7"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4"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1" id="{8615B2D0-712D-4F40-96FA-540D7C09BA4E}">
            <xm:f>'Validation summary'!$B$3="South Staffs Water"</xm:f>
            <x14:dxf>
              <fill>
                <patternFill>
                  <bgColor rgb="FFFFEFCA"/>
                </patternFill>
              </fill>
            </x14:dxf>
          </x14:cfRule>
          <xm:sqref>H19:J19</xm:sqref>
        </x14:conditionalFormatting>
        <x14:conditionalFormatting xmlns:xm="http://schemas.microsoft.com/office/excel/2006/main">
          <x14:cfRule type="expression" priority="2" id="{194B8527-1446-4039-8BAB-75C899F02966}">
            <xm:f>OR('Validation summary'!$B$3="Northumbrian Water",'Validation summary'!$B$3="South Staffs Water")</xm:f>
            <x14:dxf>
              <fill>
                <patternFill>
                  <bgColor rgb="FFFFEFCA"/>
                </patternFill>
              </fill>
            </x14:dxf>
          </x14:cfRule>
          <xm:sqref>H18:K18</xm:sqref>
        </x14:conditionalFormatting>
        <x14:conditionalFormatting xmlns:xm="http://schemas.microsoft.com/office/excel/2006/main">
          <x14:cfRule type="expression" priority="6" id="{48B465B7-C82B-4155-85BB-73829889E935}">
            <xm:f>'Validation summary'!$B$3="South Staffs Water"</xm:f>
            <x14:dxf>
              <fill>
                <patternFill>
                  <bgColor rgb="FFFF84D3"/>
                </patternFill>
              </fill>
            </x14:dxf>
          </x14:cfRule>
          <xm:sqref>K19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DC91-400F-4EFB-B075-CAD52E82DD5D}">
  <sheetPr>
    <tabColor rgb="FF0071CE"/>
    <pageSetUpPr fitToPage="1"/>
  </sheetPr>
  <dimension ref="B1:AP26"/>
  <sheetViews>
    <sheetView showGridLines="0" zoomScale="80" zoomScaleNormal="80" zoomScaleSheetLayoutView="100" workbookViewId="0"/>
  </sheetViews>
  <sheetFormatPr defaultColWidth="23.5" defaultRowHeight="13.5" zeroHeight="1"/>
  <cols>
    <col min="1" max="1" width="1.625" style="8" customWidth="1"/>
    <col min="2" max="2" width="27.75" style="8" customWidth="1"/>
    <col min="3" max="3" width="20.625" style="8" customWidth="1"/>
    <col min="4" max="4" width="17.25" style="8" customWidth="1"/>
    <col min="5" max="8" width="12" style="8" customWidth="1"/>
    <col min="9" max="9" width="2.25" style="8" customWidth="1"/>
    <col min="10" max="10" width="7.75" style="8" customWidth="1"/>
    <col min="11" max="11" width="1.625" style="8" customWidth="1"/>
    <col min="12" max="13" width="12.625" style="8" customWidth="1"/>
    <col min="14" max="14" width="14.375" style="8" bestFit="1" customWidth="1"/>
    <col min="15" max="15" width="16.375" style="8" hidden="1" customWidth="1"/>
    <col min="16"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23.5" style="8"/>
    <col min="37" max="37" width="20.625" style="8" customWidth="1"/>
    <col min="38" max="39" width="23.5" style="8"/>
    <col min="40" max="42" width="15.625" style="8" customWidth="1"/>
    <col min="43" max="16384" width="23.5" style="8"/>
  </cols>
  <sheetData>
    <row r="1" spans="2:42" s="1" customFormat="1" ht="35.25" customHeight="1">
      <c r="B1" s="44" t="s">
        <v>41</v>
      </c>
      <c r="C1" s="6"/>
      <c r="D1" s="6"/>
      <c r="F1" s="6"/>
      <c r="G1" s="6"/>
      <c r="H1" s="6"/>
      <c r="V1" s="322"/>
      <c r="AB1" s="322"/>
      <c r="AH1" s="322"/>
    </row>
    <row r="2" spans="2:42" s="1" customFormat="1" ht="10.15" customHeight="1">
      <c r="B2" s="7"/>
      <c r="C2" s="7"/>
      <c r="D2" s="7"/>
      <c r="E2" s="7"/>
      <c r="F2" s="7"/>
      <c r="G2" s="7"/>
      <c r="H2" s="7"/>
      <c r="V2" s="322"/>
      <c r="AB2" s="322"/>
      <c r="AH2" s="322"/>
    </row>
    <row r="3" spans="2:42" s="10" customFormat="1" ht="31.5" customHeight="1">
      <c r="B3" s="321" t="s">
        <v>42</v>
      </c>
      <c r="C3" s="297"/>
      <c r="D3" s="297"/>
      <c r="E3" s="297"/>
      <c r="F3" s="297"/>
      <c r="G3" s="297"/>
      <c r="H3" s="297"/>
      <c r="I3" s="1384"/>
      <c r="J3" s="309" t="str">
        <f>'Validation summary'!$B$3</f>
        <v>Southern Water</v>
      </c>
      <c r="K3" s="1384"/>
      <c r="L3" s="300" t="s">
        <v>109</v>
      </c>
      <c r="M3" s="300"/>
      <c r="N3" s="1381"/>
      <c r="O3" s="1381"/>
      <c r="P3" s="1381"/>
      <c r="Q3" s="1381"/>
      <c r="R3" s="1381"/>
      <c r="S3" s="1381"/>
      <c r="T3" s="1381"/>
      <c r="U3" s="1381"/>
      <c r="V3" s="1382"/>
      <c r="W3" s="1381"/>
      <c r="X3" s="1381"/>
      <c r="Y3" s="1381"/>
      <c r="Z3" s="1381"/>
      <c r="AA3" s="1381"/>
      <c r="AB3" s="1382"/>
      <c r="AC3" s="1381"/>
      <c r="AD3" s="1381"/>
      <c r="AE3" s="1381"/>
      <c r="AF3" s="1381"/>
      <c r="AG3" s="1381"/>
      <c r="AH3" s="1382"/>
      <c r="AI3" s="1381"/>
      <c r="AJ3" s="300" t="s">
        <v>110</v>
      </c>
      <c r="AK3" s="1381"/>
      <c r="AL3" s="1381"/>
      <c r="AM3" s="1381"/>
      <c r="AN3" s="1381"/>
      <c r="AO3" s="1381"/>
      <c r="AP3" s="1381"/>
    </row>
    <row r="4" spans="2:42" s="10" customFormat="1" ht="14.25">
      <c r="B4" s="1381"/>
      <c r="C4" s="1381"/>
      <c r="D4" s="1381"/>
      <c r="E4" s="1381"/>
      <c r="F4" s="1381"/>
      <c r="G4" s="1381"/>
      <c r="H4" s="1381"/>
      <c r="I4" s="1381"/>
      <c r="J4" s="1381"/>
      <c r="K4" s="1381"/>
      <c r="L4" s="1381"/>
      <c r="M4" s="1381"/>
      <c r="N4" s="1381"/>
      <c r="O4" s="1381"/>
      <c r="P4" s="1381"/>
      <c r="Q4" s="1381"/>
      <c r="R4" s="1381"/>
      <c r="S4" s="1381"/>
      <c r="T4" s="1381"/>
      <c r="U4" s="1381"/>
      <c r="V4" s="1382"/>
      <c r="W4" s="1381"/>
      <c r="X4" s="1381"/>
      <c r="Y4" s="1381"/>
      <c r="Z4" s="1381"/>
      <c r="AA4" s="1381"/>
      <c r="AB4" s="1382"/>
      <c r="AC4" s="1381"/>
      <c r="AD4" s="1381"/>
      <c r="AE4" s="1381"/>
      <c r="AF4" s="1381"/>
      <c r="AG4" s="1381"/>
      <c r="AH4" s="1382"/>
      <c r="AI4" s="1381"/>
      <c r="AJ4" s="1381"/>
      <c r="AK4" s="1381"/>
      <c r="AL4" s="1381"/>
      <c r="AM4" s="1381"/>
      <c r="AN4" s="1381"/>
      <c r="AO4" s="1381"/>
      <c r="AP4" s="1381"/>
    </row>
    <row r="5" spans="2:42" s="10" customFormat="1" ht="14.25">
      <c r="B5" s="1381"/>
      <c r="C5" s="26">
        <v>1</v>
      </c>
      <c r="D5" s="26">
        <v>2</v>
      </c>
      <c r="E5" s="26">
        <v>3</v>
      </c>
      <c r="F5" s="26">
        <v>4</v>
      </c>
      <c r="G5" s="26">
        <v>5</v>
      </c>
      <c r="H5" s="26">
        <v>6</v>
      </c>
      <c r="I5" s="1381"/>
      <c r="J5" s="1381"/>
      <c r="K5" s="1381"/>
      <c r="L5" s="1381"/>
      <c r="M5" s="1381"/>
      <c r="N5" s="1381"/>
      <c r="O5" s="1381"/>
      <c r="P5" s="1381"/>
      <c r="Q5" s="1381"/>
      <c r="R5" s="1381"/>
      <c r="S5" s="1381"/>
      <c r="T5" s="1381"/>
      <c r="U5" s="1381"/>
      <c r="V5" s="1382"/>
      <c r="W5" s="1381" t="s">
        <v>121</v>
      </c>
      <c r="X5" s="1381"/>
      <c r="Y5" s="1381"/>
      <c r="Z5" s="1381"/>
      <c r="AA5" s="1381"/>
      <c r="AB5" s="1382"/>
      <c r="AC5" s="1381" t="s">
        <v>122</v>
      </c>
      <c r="AD5" s="1381"/>
      <c r="AE5" s="1381"/>
      <c r="AF5" s="1381"/>
      <c r="AG5" s="1381"/>
      <c r="AH5" s="1382"/>
      <c r="AI5" s="1381"/>
      <c r="AJ5" s="1381"/>
      <c r="AK5" s="1381"/>
      <c r="AL5" s="1381"/>
      <c r="AM5" s="1381"/>
      <c r="AN5" s="1381"/>
      <c r="AO5" s="1381"/>
      <c r="AP5" s="1381"/>
    </row>
    <row r="6" spans="2:42" s="10" customFormat="1" ht="65.25" customHeight="1">
      <c r="B6" s="1321" t="s">
        <v>112</v>
      </c>
      <c r="C6" s="1320" t="s">
        <v>113</v>
      </c>
      <c r="D6" s="1320" t="s">
        <v>114</v>
      </c>
      <c r="E6" s="1320" t="s">
        <v>628</v>
      </c>
      <c r="F6" s="1320" t="s">
        <v>678</v>
      </c>
      <c r="G6" s="1320" t="s">
        <v>719</v>
      </c>
      <c r="H6" s="1320" t="s">
        <v>720</v>
      </c>
      <c r="I6" s="285"/>
      <c r="J6" s="1320" t="s">
        <v>120</v>
      </c>
      <c r="K6" s="1381"/>
      <c r="L6" s="1319" t="s">
        <v>121</v>
      </c>
      <c r="M6" s="1319" t="s">
        <v>122</v>
      </c>
      <c r="N6" s="1381"/>
      <c r="O6" s="1381"/>
      <c r="P6" s="1381"/>
      <c r="Q6" s="1381"/>
      <c r="R6" s="1381"/>
      <c r="S6" s="1381"/>
      <c r="T6" s="1381"/>
      <c r="U6" s="1381"/>
      <c r="V6" s="1382"/>
      <c r="W6" s="330" t="s">
        <v>124</v>
      </c>
      <c r="X6" s="1381"/>
      <c r="Y6" s="1381"/>
      <c r="Z6" s="1381"/>
      <c r="AA6" s="1381"/>
      <c r="AB6" s="1382"/>
      <c r="AC6" s="330" t="s">
        <v>125</v>
      </c>
      <c r="AD6" s="1381"/>
      <c r="AE6" s="330"/>
      <c r="AF6" s="330"/>
      <c r="AG6" s="1381"/>
      <c r="AH6" s="1382"/>
      <c r="AI6" s="1381"/>
      <c r="AJ6" s="1321" t="s">
        <v>112</v>
      </c>
      <c r="AK6" s="1320" t="s">
        <v>113</v>
      </c>
      <c r="AL6" s="1320" t="s">
        <v>114</v>
      </c>
      <c r="AM6" s="1320" t="s">
        <v>628</v>
      </c>
      <c r="AN6" s="1320" t="s">
        <v>678</v>
      </c>
      <c r="AO6" s="1320" t="s">
        <v>719</v>
      </c>
      <c r="AP6" s="1320" t="s">
        <v>720</v>
      </c>
    </row>
    <row r="7" spans="2:42" s="10" customFormat="1" ht="15.75">
      <c r="B7" s="286"/>
      <c r="C7" s="286"/>
      <c r="D7" s="286"/>
      <c r="E7" s="286"/>
      <c r="F7" s="286"/>
      <c r="G7" s="286"/>
      <c r="H7" s="286"/>
      <c r="I7" s="285"/>
      <c r="J7" s="285"/>
      <c r="K7" s="1381"/>
      <c r="L7" s="344"/>
      <c r="M7" s="344"/>
      <c r="N7" s="1381"/>
      <c r="O7" s="1381"/>
      <c r="P7" s="1381"/>
      <c r="Q7" s="1381"/>
      <c r="R7" s="1381"/>
      <c r="S7" s="1381"/>
      <c r="T7" s="1381"/>
      <c r="U7" s="1381"/>
      <c r="V7" s="1382"/>
      <c r="W7" s="1381"/>
      <c r="X7" s="1381"/>
      <c r="Y7" s="1381"/>
      <c r="Z7" s="1381"/>
      <c r="AA7" s="1381"/>
      <c r="AB7" s="1382"/>
      <c r="AC7" s="1381"/>
      <c r="AD7" s="1381"/>
      <c r="AE7" s="330"/>
      <c r="AF7" s="1381"/>
      <c r="AG7" s="1381"/>
      <c r="AH7" s="1382"/>
      <c r="AI7" s="1381"/>
      <c r="AJ7" s="1381"/>
      <c r="AK7" s="1381"/>
      <c r="AL7" s="1381"/>
      <c r="AM7" s="1381"/>
      <c r="AN7" s="1381"/>
      <c r="AO7" s="1381"/>
      <c r="AP7" s="1381"/>
    </row>
    <row r="8" spans="2:42" s="10" customFormat="1" ht="39.75" customHeight="1">
      <c r="B8" s="311" t="s">
        <v>721</v>
      </c>
      <c r="C8" s="287"/>
      <c r="D8" s="286"/>
      <c r="E8" s="286"/>
      <c r="F8" s="286"/>
      <c r="G8" s="286"/>
      <c r="H8" s="286"/>
      <c r="I8" s="285"/>
      <c r="J8" s="285"/>
      <c r="K8" s="1381"/>
      <c r="L8" s="1381"/>
      <c r="M8" s="1381"/>
      <c r="N8" s="1381"/>
      <c r="O8" s="1381"/>
      <c r="P8" s="1381"/>
      <c r="Q8" s="1381"/>
      <c r="R8" s="1381"/>
      <c r="S8" s="1381"/>
      <c r="T8" s="1381"/>
      <c r="U8" s="1381"/>
      <c r="V8" s="1382"/>
      <c r="W8" s="327">
        <v>4</v>
      </c>
      <c r="X8" s="327">
        <v>5</v>
      </c>
      <c r="Y8" s="327">
        <v>6</v>
      </c>
      <c r="Z8" s="327"/>
      <c r="AA8" s="327"/>
      <c r="AB8" s="331"/>
      <c r="AC8" s="327">
        <v>4</v>
      </c>
      <c r="AD8" s="327">
        <v>5</v>
      </c>
      <c r="AE8" s="327">
        <v>6</v>
      </c>
      <c r="AF8" s="327"/>
      <c r="AG8" s="327"/>
      <c r="AH8" s="1382"/>
      <c r="AI8" s="1381"/>
      <c r="AJ8" s="311" t="s">
        <v>721</v>
      </c>
      <c r="AK8" s="287"/>
      <c r="AL8" s="286"/>
      <c r="AM8" s="286"/>
      <c r="AN8" s="286"/>
      <c r="AO8" s="286"/>
      <c r="AP8" s="286"/>
    </row>
    <row r="9" spans="2:42" s="22" customFormat="1" ht="55.15" customHeight="1">
      <c r="B9" s="310" t="s">
        <v>722</v>
      </c>
      <c r="C9" s="295" t="str">
        <f>IF(OR($J$3="Select company",'Validation summary'!$F$3="WoC"),"",VLOOKUP('3A'!$R$1,C_ISF,2,0))</f>
        <v>PR19SRN_WWN01</v>
      </c>
      <c r="D9" s="310" t="s">
        <v>723</v>
      </c>
      <c r="E9" s="380" t="s">
        <v>724</v>
      </c>
      <c r="F9" s="1917">
        <f>IF($C9="","",$F$11)</f>
        <v>2048.9009999999998</v>
      </c>
      <c r="G9" s="1918">
        <v>424</v>
      </c>
      <c r="H9" s="1877">
        <f>IF('Validation summary'!$F$3="WoC","",(G9/(F9*1000))*10000)</f>
        <v>2.0694020843369203</v>
      </c>
      <c r="J9" s="294" t="s">
        <v>725</v>
      </c>
      <c r="L9" s="329">
        <f>IF(SUM($W9:$Y9)=0,0,$W$6)</f>
        <v>0</v>
      </c>
      <c r="M9" s="343">
        <f>IF(SUM($AC9:$AE9)&lt;&gt;0,$AC$6,0)</f>
        <v>0</v>
      </c>
      <c r="N9" s="257"/>
      <c r="O9" s="2096"/>
      <c r="V9" s="1382"/>
      <c r="W9" s="328">
        <f>IF($C9="",0,IF(ISBLANK($F9)=TRUE,1,0))</f>
        <v>0</v>
      </c>
      <c r="X9" s="328">
        <f>IF(C9="",0,IF(ISBLANK($G9)=TRUE,1,0))</f>
        <v>0</v>
      </c>
      <c r="Y9" s="328"/>
      <c r="Z9" s="328"/>
      <c r="AA9" s="328"/>
      <c r="AB9" s="1382"/>
      <c r="AC9" s="332">
        <f>IF($F9&lt;0,1,0)</f>
        <v>0</v>
      </c>
      <c r="AD9" s="332">
        <f>IF($G9&lt;0,1,0)</f>
        <v>0</v>
      </c>
      <c r="AE9" s="332"/>
      <c r="AF9" s="328"/>
      <c r="AG9" s="332"/>
      <c r="AH9" s="1382"/>
      <c r="AJ9" s="310" t="str">
        <f>B9</f>
        <v>Internal sewer flooding - customer proactively reported</v>
      </c>
      <c r="AK9" s="310" t="str">
        <f t="shared" ref="AK9:AM13" si="0">C9</f>
        <v>PR19SRN_WWN01</v>
      </c>
      <c r="AL9" s="310" t="str">
        <f t="shared" si="0"/>
        <v>Number of internal sewer flooding incidents per 10,000 sewer connection</v>
      </c>
      <c r="AM9" s="380" t="str">
        <f t="shared" si="0"/>
        <v>Number of sewer connections</v>
      </c>
      <c r="AN9" s="1510"/>
      <c r="AO9" s="1514" t="s">
        <v>726</v>
      </c>
      <c r="AP9" s="1491" t="s">
        <v>727</v>
      </c>
    </row>
    <row r="10" spans="2:42" s="22" customFormat="1" ht="55.15" customHeight="1" thickBot="1">
      <c r="B10" s="310" t="s">
        <v>728</v>
      </c>
      <c r="C10" s="295" t="str">
        <f>IF(OR($J$3="Select company",'Validation summary'!$F$3="WoC"),"",VLOOKUP('3A'!$R$1,C_ISF,2,0))</f>
        <v>PR19SRN_WWN01</v>
      </c>
      <c r="D10" s="310" t="s">
        <v>723</v>
      </c>
      <c r="E10" s="380" t="s">
        <v>724</v>
      </c>
      <c r="F10" s="1917">
        <f>IF($C10="","",$F$11)</f>
        <v>2048.9009999999998</v>
      </c>
      <c r="G10" s="1918">
        <v>103</v>
      </c>
      <c r="H10" s="1877">
        <f>IF('Validation summary'!$F$3="WoC","",(G10/(F10*1000))*10000)</f>
        <v>0.50270852520448772</v>
      </c>
      <c r="J10" s="294" t="s">
        <v>729</v>
      </c>
      <c r="L10" s="329">
        <f>IF(SUM($W10:$Y10)=0,0,$W$6)</f>
        <v>0</v>
      </c>
      <c r="M10" s="343">
        <f t="shared" ref="M10:M13" si="1">IF(SUM($AC10:$AE10)&lt;&gt;0,$AC$6,0)</f>
        <v>0</v>
      </c>
      <c r="N10" s="257"/>
      <c r="O10" s="2096"/>
      <c r="V10" s="1382"/>
      <c r="W10" s="328">
        <f t="shared" ref="W10:W13" si="2">IF($C10="",0,IF(ISBLANK($F10)=TRUE,1,0))</f>
        <v>0</v>
      </c>
      <c r="X10" s="328">
        <f t="shared" ref="X10:X13" si="3">IF(C10="",0,IF(ISBLANK($G10)=TRUE,1,0))</f>
        <v>0</v>
      </c>
      <c r="Y10" s="328"/>
      <c r="Z10" s="328"/>
      <c r="AA10" s="328"/>
      <c r="AB10" s="1382"/>
      <c r="AC10" s="332">
        <f>IF($F10&lt;0,1,0)</f>
        <v>0</v>
      </c>
      <c r="AD10" s="332">
        <f>IF($G10&lt;0,1,0)</f>
        <v>0</v>
      </c>
      <c r="AE10" s="332"/>
      <c r="AF10" s="328"/>
      <c r="AG10" s="332"/>
      <c r="AH10" s="1382"/>
      <c r="AJ10" s="310" t="str">
        <f t="shared" ref="AJ10:AJ13" si="4">B10</f>
        <v>Internal sewer flooding - company reactively identified (ie neighbouring properties)</v>
      </c>
      <c r="AK10" s="310" t="str">
        <f t="shared" si="0"/>
        <v>PR19SRN_WWN01</v>
      </c>
      <c r="AL10" s="310" t="str">
        <f t="shared" si="0"/>
        <v>Number of internal sewer flooding incidents per 10,000 sewer connection</v>
      </c>
      <c r="AM10" s="380" t="str">
        <f t="shared" si="0"/>
        <v>Number of sewer connections</v>
      </c>
      <c r="AN10" s="1510"/>
      <c r="AO10" s="1514" t="s">
        <v>730</v>
      </c>
      <c r="AP10" s="1491" t="s">
        <v>731</v>
      </c>
    </row>
    <row r="11" spans="2:42" s="22" customFormat="1" ht="55.15" customHeight="1" thickTop="1" thickBot="1">
      <c r="B11" s="310" t="s">
        <v>732</v>
      </c>
      <c r="C11" s="295" t="str">
        <f>IF(OR($J$3="Select company",'Validation summary'!$F$3="WoC"),"",VLOOKUP('3A'!$R$1,C_ISF,2,0))</f>
        <v>PR19SRN_WWN01</v>
      </c>
      <c r="D11" s="310" t="s">
        <v>723</v>
      </c>
      <c r="E11" s="380" t="s">
        <v>724</v>
      </c>
      <c r="F11" s="1897">
        <v>2048.9009999999998</v>
      </c>
      <c r="G11" s="1920">
        <f>IF('Validation summary'!$F$3="WoC","",SUM(G9:G10))</f>
        <v>527</v>
      </c>
      <c r="H11" s="1877">
        <f>IF('Validation summary'!$F$3="WoC","",(G11/(F11*1000))*10000)</f>
        <v>2.5721106095414079</v>
      </c>
      <c r="J11" s="294" t="s">
        <v>733</v>
      </c>
      <c r="L11" s="329">
        <f>IF(SUM($W11:$Y11)=0,0,$W$6)</f>
        <v>0</v>
      </c>
      <c r="M11" s="343">
        <f t="shared" si="1"/>
        <v>0</v>
      </c>
      <c r="N11" s="257"/>
      <c r="O11" s="2096"/>
      <c r="V11" s="1382"/>
      <c r="W11" s="328">
        <f t="shared" si="2"/>
        <v>0</v>
      </c>
      <c r="X11" s="328">
        <f t="shared" si="3"/>
        <v>0</v>
      </c>
      <c r="Y11" s="328"/>
      <c r="Z11" s="328"/>
      <c r="AA11" s="328"/>
      <c r="AB11" s="1382"/>
      <c r="AC11" s="332">
        <f>IF($F11&lt;0,1,0)</f>
        <v>0</v>
      </c>
      <c r="AD11" s="332">
        <f>IF($G11&lt;0,1,0)</f>
        <v>0</v>
      </c>
      <c r="AE11" s="332"/>
      <c r="AF11" s="328"/>
      <c r="AG11" s="332"/>
      <c r="AH11" s="1382"/>
      <c r="AJ11" s="310" t="str">
        <f t="shared" si="4"/>
        <v>Internal sewer flooding</v>
      </c>
      <c r="AK11" s="310" t="str">
        <f t="shared" si="0"/>
        <v>PR19SRN_WWN01</v>
      </c>
      <c r="AL11" s="310" t="str">
        <f t="shared" si="0"/>
        <v>Number of internal sewer flooding incidents per 10,000 sewer connection</v>
      </c>
      <c r="AM11" s="380" t="str">
        <f t="shared" si="0"/>
        <v>Number of sewer connections</v>
      </c>
      <c r="AN11" s="1512"/>
      <c r="AO11" s="1513" t="s">
        <v>734</v>
      </c>
      <c r="AP11" s="1491" t="s">
        <v>735</v>
      </c>
    </row>
    <row r="12" spans="2:42" s="22" customFormat="1" ht="55.15" customHeight="1" thickTop="1" thickBot="1">
      <c r="B12" s="310" t="s">
        <v>736</v>
      </c>
      <c r="C12" s="295" t="str">
        <f>IF(OR($J$3="Select company",'Validation summary'!$F$3="WoC"),"",VLOOKUP('3A'!$R$1,C_PI,2,0))</f>
        <v>PR19SRN_WWN02</v>
      </c>
      <c r="D12" s="310" t="s">
        <v>737</v>
      </c>
      <c r="E12" s="310" t="s">
        <v>738</v>
      </c>
      <c r="F12" s="1919">
        <v>39729</v>
      </c>
      <c r="G12" s="1880">
        <v>234</v>
      </c>
      <c r="H12" s="1877">
        <f>IF('Validation summary'!$F$3="WoC","",(G12/F12*10000))</f>
        <v>58.899041002793929</v>
      </c>
      <c r="J12" s="294" t="s">
        <v>739</v>
      </c>
      <c r="L12" s="329">
        <f>IF(SUM($W12:$Y12)=0,0,$W$6)</f>
        <v>0</v>
      </c>
      <c r="M12" s="343">
        <f t="shared" si="1"/>
        <v>0</v>
      </c>
      <c r="N12" s="257"/>
      <c r="V12" s="1382"/>
      <c r="W12" s="328">
        <f t="shared" si="2"/>
        <v>0</v>
      </c>
      <c r="X12" s="328">
        <f t="shared" si="3"/>
        <v>0</v>
      </c>
      <c r="Y12" s="328"/>
      <c r="Z12" s="328"/>
      <c r="AA12" s="328"/>
      <c r="AB12" s="1382"/>
      <c r="AC12" s="332">
        <f>IF($F12&lt;0,1,0)</f>
        <v>0</v>
      </c>
      <c r="AD12" s="332">
        <f>IF($G12&lt;0,1,0)</f>
        <v>0</v>
      </c>
      <c r="AE12" s="332"/>
      <c r="AF12" s="328"/>
      <c r="AG12" s="332"/>
      <c r="AH12" s="1382"/>
      <c r="AJ12" s="310" t="str">
        <f t="shared" si="4"/>
        <v>Pollution incidents</v>
      </c>
      <c r="AK12" s="310" t="str">
        <f t="shared" si="0"/>
        <v>PR19SRN_WWN02</v>
      </c>
      <c r="AL12" s="310" t="str">
        <f t="shared" si="0"/>
        <v>Pollution incidents per 10,000 km of sewer length</v>
      </c>
      <c r="AM12" s="380" t="str">
        <f t="shared" si="0"/>
        <v>Sewer length in km</v>
      </c>
      <c r="AN12" s="1512" t="s">
        <v>740</v>
      </c>
      <c r="AO12" s="1514" t="s">
        <v>741</v>
      </c>
      <c r="AP12" s="1491" t="s">
        <v>742</v>
      </c>
    </row>
    <row r="13" spans="2:42" s="22" customFormat="1" ht="55.15" customHeight="1" thickTop="1" thickBot="1">
      <c r="B13" s="310" t="s">
        <v>743</v>
      </c>
      <c r="C13" s="295" t="str">
        <f>IF(OR($J$3="Select company",'Validation summary'!$F$3="WoC"),"",VLOOKUP('3A'!$R$1,C_SC,2,0))</f>
        <v>PR19SRN_WWN04</v>
      </c>
      <c r="D13" s="310" t="s">
        <v>744</v>
      </c>
      <c r="E13" s="380" t="s">
        <v>738</v>
      </c>
      <c r="F13" s="1897">
        <v>40031</v>
      </c>
      <c r="G13" s="1918">
        <v>234</v>
      </c>
      <c r="H13" s="1877">
        <f>IF('Validation summary'!$F$3="WoC","",(G13/F13*1000))</f>
        <v>5.8454697609352753</v>
      </c>
      <c r="J13" s="294" t="s">
        <v>745</v>
      </c>
      <c r="L13" s="329">
        <f>IF(SUM($W13:$Y13)=0,0,$W$6)</f>
        <v>0</v>
      </c>
      <c r="M13" s="343">
        <f t="shared" si="1"/>
        <v>0</v>
      </c>
      <c r="N13" s="257"/>
      <c r="V13" s="1385"/>
      <c r="W13" s="328">
        <f t="shared" si="2"/>
        <v>0</v>
      </c>
      <c r="X13" s="328">
        <f t="shared" si="3"/>
        <v>0</v>
      </c>
      <c r="Y13" s="328"/>
      <c r="Z13" s="328"/>
      <c r="AA13" s="328"/>
      <c r="AB13" s="1382"/>
      <c r="AC13" s="332">
        <f>IF($F13&lt;0,1,0)</f>
        <v>0</v>
      </c>
      <c r="AD13" s="332">
        <f>IF($G13&lt;0,1,0)</f>
        <v>0</v>
      </c>
      <c r="AE13" s="332"/>
      <c r="AF13" s="328"/>
      <c r="AG13" s="332"/>
      <c r="AH13" s="1382"/>
      <c r="AJ13" s="310" t="str">
        <f t="shared" si="4"/>
        <v>Sewer collapses</v>
      </c>
      <c r="AK13" s="310" t="str">
        <f t="shared" si="0"/>
        <v>PR19SRN_WWN04</v>
      </c>
      <c r="AL13" s="310" t="str">
        <f t="shared" si="0"/>
        <v>Number of sewer collapses per 1,000 km of all sewers</v>
      </c>
      <c r="AM13" s="380" t="str">
        <f t="shared" si="0"/>
        <v>Sewer length in km</v>
      </c>
      <c r="AN13" s="1512" t="s">
        <v>746</v>
      </c>
      <c r="AO13" s="1514" t="s">
        <v>747</v>
      </c>
      <c r="AP13" s="1491" t="s">
        <v>748</v>
      </c>
    </row>
    <row r="14" spans="2:42" s="10" customFormat="1" ht="14.65" thickTop="1">
      <c r="B14" s="1381"/>
      <c r="C14" s="1381"/>
      <c r="D14" s="1381"/>
      <c r="E14" s="1381"/>
      <c r="F14" s="1381"/>
      <c r="G14" s="1381"/>
      <c r="H14" s="1381"/>
      <c r="I14" s="1381"/>
      <c r="J14" s="1381"/>
      <c r="K14" s="1381"/>
      <c r="L14" s="1381"/>
      <c r="M14" s="1381"/>
      <c r="N14" s="1381"/>
      <c r="O14" s="1381"/>
      <c r="P14" s="1381"/>
      <c r="Q14" s="1381"/>
      <c r="R14" s="1381"/>
      <c r="S14" s="1381"/>
      <c r="T14" s="1381"/>
      <c r="U14" s="1381"/>
      <c r="V14" s="1385"/>
      <c r="W14" s="1385"/>
      <c r="X14" s="345"/>
      <c r="Y14" s="345"/>
      <c r="Z14" s="345"/>
      <c r="AA14" s="345"/>
      <c r="AB14" s="1385"/>
      <c r="AC14" s="1385"/>
      <c r="AD14" s="1385"/>
      <c r="AE14" s="1385"/>
      <c r="AF14" s="346"/>
      <c r="AG14" s="1385"/>
      <c r="AH14" s="1382"/>
      <c r="AI14" s="1381"/>
      <c r="AJ14" s="1381"/>
      <c r="AK14" s="1381"/>
      <c r="AL14" s="1381"/>
      <c r="AM14" s="1381"/>
      <c r="AN14" s="1381"/>
      <c r="AO14" s="1381"/>
      <c r="AP14" s="1381"/>
    </row>
    <row r="15" spans="2:42" s="10" customFormat="1" ht="14.25">
      <c r="B15" s="278" t="s">
        <v>284</v>
      </c>
      <c r="C15" s="1381"/>
      <c r="D15" s="1381"/>
      <c r="E15" s="1381"/>
      <c r="F15" s="1381"/>
      <c r="G15" s="1381"/>
      <c r="H15" s="1381"/>
      <c r="I15" s="1381"/>
      <c r="J15" s="1381"/>
      <c r="K15" s="1381"/>
      <c r="L15" s="1381"/>
      <c r="M15" s="1381"/>
      <c r="N15" s="1381"/>
      <c r="O15" s="1381"/>
      <c r="P15" s="1381"/>
      <c r="Q15" s="1381"/>
      <c r="R15" s="1381"/>
      <c r="S15" s="1381"/>
      <c r="T15" s="1381"/>
      <c r="U15" s="1381"/>
      <c r="V15" s="1383"/>
      <c r="W15" s="347"/>
      <c r="X15" s="347"/>
      <c r="Y15" s="347"/>
      <c r="Z15" s="347"/>
      <c r="AA15" s="347"/>
      <c r="AB15" s="348"/>
      <c r="AC15" s="347"/>
      <c r="AD15" s="347"/>
      <c r="AE15" s="347"/>
      <c r="AF15" s="347"/>
      <c r="AG15" s="347"/>
      <c r="AH15" s="1383"/>
      <c r="AI15" s="1381"/>
      <c r="AJ15" s="1381"/>
      <c r="AK15" s="1381"/>
      <c r="AL15" s="1381"/>
      <c r="AM15" s="1381"/>
      <c r="AN15" s="1381"/>
      <c r="AO15" s="1381"/>
      <c r="AP15" s="1381"/>
    </row>
    <row r="16" spans="2:42" ht="15.75">
      <c r="V16" s="1383"/>
      <c r="W16" s="339"/>
      <c r="X16" s="339"/>
      <c r="Y16" s="339"/>
      <c r="Z16" s="339"/>
      <c r="AA16" s="339"/>
      <c r="AB16" s="325"/>
      <c r="AC16" s="325"/>
      <c r="AD16" s="325"/>
      <c r="AE16" s="325"/>
      <c r="AF16" s="340"/>
      <c r="AG16" s="325"/>
      <c r="AH16" s="1383"/>
    </row>
    <row r="17" spans="2:34" ht="15.75">
      <c r="B17" s="1858" t="s">
        <v>285</v>
      </c>
      <c r="V17" s="1383"/>
      <c r="W17" s="339"/>
      <c r="X17" s="339"/>
      <c r="Y17" s="339"/>
      <c r="Z17" s="339"/>
      <c r="AA17" s="339"/>
      <c r="AB17" s="325"/>
      <c r="AC17" s="325"/>
      <c r="AD17" s="325"/>
      <c r="AE17" s="325"/>
      <c r="AF17" s="340"/>
      <c r="AG17" s="325"/>
      <c r="AH17" s="1383"/>
    </row>
    <row r="18" spans="2:34" ht="16.149999999999999" thickBot="1">
      <c r="V18" s="1383"/>
      <c r="W18" s="339"/>
      <c r="X18" s="339"/>
      <c r="Y18" s="339"/>
      <c r="Z18" s="339"/>
      <c r="AA18" s="339"/>
      <c r="AB18" s="325"/>
      <c r="AC18" s="325"/>
      <c r="AD18" s="325"/>
      <c r="AE18" s="325"/>
      <c r="AF18" s="340"/>
      <c r="AG18" s="325"/>
      <c r="AH18" s="1383"/>
    </row>
    <row r="19" spans="2:34" ht="27" thickTop="1" thickBot="1">
      <c r="B19" s="1859" t="s">
        <v>286</v>
      </c>
      <c r="V19" s="1383"/>
      <c r="W19" s="339"/>
      <c r="X19" s="339"/>
      <c r="Y19" s="339"/>
      <c r="Z19" s="339"/>
      <c r="AA19" s="339"/>
      <c r="AB19" s="325"/>
      <c r="AC19" s="325"/>
      <c r="AD19" s="325"/>
      <c r="AE19" s="325"/>
      <c r="AF19" s="340"/>
      <c r="AG19" s="325"/>
      <c r="AH19" s="1383"/>
    </row>
    <row r="20" spans="2:34" ht="16.149999999999999" thickTop="1">
      <c r="V20" s="1383"/>
      <c r="W20" s="339"/>
      <c r="X20" s="339"/>
      <c r="Y20" s="339"/>
      <c r="Z20" s="339"/>
      <c r="AA20" s="339"/>
      <c r="AB20" s="325"/>
      <c r="AC20" s="325"/>
      <c r="AD20" s="325"/>
      <c r="AE20" s="325"/>
      <c r="AF20" s="340"/>
      <c r="AG20" s="325"/>
      <c r="AH20" s="1383"/>
    </row>
    <row r="21" spans="2:34" ht="15.75">
      <c r="B21" s="1860" t="s">
        <v>287</v>
      </c>
      <c r="V21" s="325"/>
      <c r="W21" s="339"/>
      <c r="X21" s="339"/>
      <c r="Y21" s="339"/>
      <c r="Z21" s="339"/>
      <c r="AA21" s="339"/>
      <c r="AB21" s="325"/>
      <c r="AC21" s="325"/>
      <c r="AD21" s="325"/>
      <c r="AE21" s="325"/>
      <c r="AF21" s="340"/>
      <c r="AG21" s="325"/>
      <c r="AH21" s="325"/>
    </row>
    <row r="22" spans="2:34" ht="15.75">
      <c r="V22" s="325"/>
      <c r="W22" s="339"/>
      <c r="X22" s="339"/>
      <c r="Y22" s="339"/>
      <c r="Z22" s="339"/>
      <c r="AA22" s="339"/>
      <c r="AB22" s="325"/>
      <c r="AC22" s="325"/>
      <c r="AD22" s="325"/>
      <c r="AE22" s="325"/>
      <c r="AF22" s="340"/>
      <c r="AG22" s="325"/>
      <c r="AH22" s="325"/>
    </row>
    <row r="23" spans="2:34">
      <c r="B23" s="1861" t="s">
        <v>288</v>
      </c>
    </row>
    <row r="24" spans="2:34"/>
    <row r="25" spans="2:34" ht="14.25">
      <c r="B25" s="296" t="str">
        <f>'3A'!$B$53</f>
        <v>Please refer to RAG 4.12 - Guideline for the table definitions in the annual performance report for the reporting year 2023-24</v>
      </c>
    </row>
    <row r="26" spans="2:34"/>
  </sheetData>
  <mergeCells count="1">
    <mergeCell ref="O9:O11"/>
  </mergeCells>
  <conditionalFormatting sqref="L9:M13">
    <cfRule type="cellIs" dxfId="22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2" id="{EF12D780-E984-418B-941A-C8E9078AD782}">
            <xm:f>'Validation summary'!$F$3="WoC"</xm:f>
            <x14:dxf>
              <font>
                <color rgb="FFE7E2DE"/>
              </font>
              <fill>
                <patternFill>
                  <bgColor rgb="FFD9D9D9"/>
                </patternFill>
              </fill>
            </x14:dxf>
          </x14:cfRule>
          <xm:sqref>F9:H13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46782-281C-4AB0-946C-B0638F6E9102}">
  <sheetPr>
    <tabColor rgb="FF0071CE"/>
    <pageSetUpPr fitToPage="1"/>
  </sheetPr>
  <dimension ref="B1:AK47"/>
  <sheetViews>
    <sheetView showGridLines="0" zoomScale="80" zoomScaleNormal="80" zoomScaleSheetLayoutView="100" workbookViewId="0"/>
  </sheetViews>
  <sheetFormatPr defaultColWidth="23.5" defaultRowHeight="13.5" zeroHeight="1"/>
  <cols>
    <col min="1" max="1" width="1.625" style="8" customWidth="1"/>
    <col min="2" max="2" width="51.25" style="8" customWidth="1"/>
    <col min="3" max="3" width="16" style="8" customWidth="1"/>
    <col min="4" max="4" width="1.625" style="8" customWidth="1"/>
    <col min="5" max="5" width="7.625" style="8" customWidth="1"/>
    <col min="6" max="6" width="1" style="8" customWidth="1"/>
    <col min="7" max="7" width="23.5" style="8" customWidth="1"/>
    <col min="8" max="8" width="1.625" style="8" customWidth="1"/>
    <col min="9" max="10" width="12.625" style="8" customWidth="1"/>
    <col min="11" max="11" width="8.625" style="8" customWidth="1"/>
    <col min="12" max="21" width="8.625" style="8" hidden="1" customWidth="1"/>
    <col min="22" max="22" width="1.625" style="8" hidden="1" customWidth="1"/>
    <col min="23" max="27" width="3.625" style="8" hidden="1" customWidth="1"/>
    <col min="28" max="28" width="1.625" style="8" hidden="1" customWidth="1"/>
    <col min="29" max="33" width="3.625" style="8" hidden="1" customWidth="1"/>
    <col min="34" max="34" width="1.625" style="8" hidden="1" customWidth="1"/>
    <col min="35" max="35" width="8.625" style="8" customWidth="1"/>
    <col min="36" max="36" width="52.25" style="8" customWidth="1"/>
    <col min="37" max="16384" width="23.5" style="8"/>
  </cols>
  <sheetData>
    <row r="1" spans="2:37" s="1" customFormat="1" ht="35.25" customHeight="1">
      <c r="B1" s="44" t="s">
        <v>43</v>
      </c>
      <c r="C1" s="5"/>
      <c r="V1" s="322"/>
      <c r="AB1" s="322"/>
      <c r="AH1" s="322"/>
    </row>
    <row r="2" spans="2:37" s="1" customFormat="1" ht="10.15" customHeight="1">
      <c r="B2" s="7"/>
      <c r="C2" s="7"/>
      <c r="V2" s="322"/>
      <c r="AB2" s="322"/>
      <c r="AH2" s="322"/>
    </row>
    <row r="3" spans="2:37" s="10" customFormat="1" ht="31.5" customHeight="1">
      <c r="B3" s="297" t="s">
        <v>749</v>
      </c>
      <c r="C3" s="297"/>
      <c r="D3" s="297"/>
      <c r="E3" s="297"/>
      <c r="F3" s="1704"/>
      <c r="G3" s="309" t="str">
        <f>'Validation summary'!$B$3</f>
        <v>Southern Water</v>
      </c>
      <c r="H3" s="309"/>
      <c r="I3" s="300" t="s">
        <v>109</v>
      </c>
      <c r="J3" s="300"/>
      <c r="K3" s="1381"/>
      <c r="L3" s="1381"/>
      <c r="M3" s="1381"/>
      <c r="N3" s="1381"/>
      <c r="O3" s="1381"/>
      <c r="P3" s="1381"/>
      <c r="Q3" s="1381"/>
      <c r="R3" s="1381"/>
      <c r="S3" s="1381"/>
      <c r="T3" s="1381"/>
      <c r="U3" s="1381"/>
      <c r="V3" s="1382"/>
      <c r="W3" s="1381"/>
      <c r="X3" s="1381"/>
      <c r="Y3" s="1381"/>
      <c r="Z3" s="1381"/>
      <c r="AA3" s="1381"/>
      <c r="AB3" s="1382"/>
      <c r="AC3" s="1381"/>
      <c r="AD3" s="1381"/>
      <c r="AE3" s="1381"/>
      <c r="AF3" s="1381"/>
      <c r="AG3" s="1381"/>
      <c r="AH3" s="1382"/>
      <c r="AI3" s="1381"/>
      <c r="AJ3" s="300" t="s">
        <v>110</v>
      </c>
      <c r="AK3" s="1381"/>
    </row>
    <row r="4" spans="2:37" s="10" customFormat="1" ht="4.5" customHeight="1">
      <c r="B4" s="18"/>
      <c r="C4" s="18"/>
      <c r="D4" s="35"/>
      <c r="E4" s="1381"/>
      <c r="F4" s="14"/>
      <c r="G4" s="1381"/>
      <c r="H4" s="1381"/>
      <c r="I4" s="1381"/>
      <c r="J4" s="1381"/>
      <c r="K4" s="1381"/>
      <c r="L4" s="1381"/>
      <c r="M4" s="1381"/>
      <c r="N4" s="1381"/>
      <c r="O4" s="1381"/>
      <c r="P4" s="1381"/>
      <c r="Q4" s="1381"/>
      <c r="R4" s="1381"/>
      <c r="S4" s="1381"/>
      <c r="T4" s="1381"/>
      <c r="U4" s="1381"/>
      <c r="V4" s="1382"/>
      <c r="W4" s="1381"/>
      <c r="X4" s="1381"/>
      <c r="Y4" s="1381"/>
      <c r="Z4" s="1381"/>
      <c r="AA4" s="1381"/>
      <c r="AB4" s="1382"/>
      <c r="AC4" s="1381"/>
      <c r="AD4" s="1381"/>
      <c r="AE4" s="1381"/>
      <c r="AF4" s="1381"/>
      <c r="AG4" s="1381"/>
      <c r="AH4" s="1382"/>
      <c r="AI4" s="1381"/>
      <c r="AJ4" s="1381"/>
      <c r="AK4" s="1381"/>
    </row>
    <row r="5" spans="2:37" s="10" customFormat="1" ht="19.5" customHeight="1">
      <c r="B5" s="1378"/>
      <c r="C5" s="26">
        <v>1</v>
      </c>
      <c r="D5" s="36"/>
      <c r="E5" s="14"/>
      <c r="F5" s="1381"/>
      <c r="G5" s="1381"/>
      <c r="H5" s="1381"/>
      <c r="I5" s="1381"/>
      <c r="J5" s="1381"/>
      <c r="K5" s="1381"/>
      <c r="L5" s="1381"/>
      <c r="M5" s="1381"/>
      <c r="N5" s="1381"/>
      <c r="O5" s="1381"/>
      <c r="P5" s="1381"/>
      <c r="Q5" s="1381"/>
      <c r="R5" s="1381"/>
      <c r="S5" s="1381"/>
      <c r="T5" s="1381"/>
      <c r="U5" s="1381"/>
      <c r="V5" s="1382"/>
      <c r="W5" s="1381" t="s">
        <v>121</v>
      </c>
      <c r="X5" s="1381"/>
      <c r="Y5" s="1381"/>
      <c r="Z5" s="1381"/>
      <c r="AA5" s="1381"/>
      <c r="AB5" s="1382"/>
      <c r="AC5" s="1381" t="s">
        <v>122</v>
      </c>
      <c r="AD5" s="1381"/>
      <c r="AE5" s="1381"/>
      <c r="AF5" s="1381"/>
      <c r="AG5" s="1381"/>
      <c r="AH5" s="1382"/>
      <c r="AI5" s="1381"/>
      <c r="AJ5" s="1381"/>
      <c r="AK5" s="1381"/>
    </row>
    <row r="6" spans="2:37" s="10" customFormat="1" ht="60.75" customHeight="1">
      <c r="B6" s="1321" t="s">
        <v>112</v>
      </c>
      <c r="C6" s="1320" t="s">
        <v>750</v>
      </c>
      <c r="D6" s="282"/>
      <c r="E6" s="1320" t="s">
        <v>120</v>
      </c>
      <c r="F6" s="16"/>
      <c r="G6" s="1381"/>
      <c r="H6" s="1381"/>
      <c r="I6" s="1319" t="s">
        <v>121</v>
      </c>
      <c r="J6" s="1319" t="s">
        <v>122</v>
      </c>
      <c r="K6" s="1381"/>
      <c r="L6" s="1381"/>
      <c r="M6" s="1381"/>
      <c r="N6" s="1381"/>
      <c r="O6" s="1381"/>
      <c r="P6" s="1381"/>
      <c r="Q6" s="1381"/>
      <c r="R6" s="1381"/>
      <c r="S6" s="1381"/>
      <c r="T6" s="1381"/>
      <c r="U6" s="1381"/>
      <c r="V6" s="1382"/>
      <c r="W6" s="330" t="s">
        <v>392</v>
      </c>
      <c r="X6" s="1381"/>
      <c r="Y6" s="1381"/>
      <c r="Z6" s="1381"/>
      <c r="AA6" s="1381"/>
      <c r="AB6" s="1382"/>
      <c r="AC6" s="330" t="s">
        <v>751</v>
      </c>
      <c r="AD6" s="1381"/>
      <c r="AE6" s="330"/>
      <c r="AF6" s="330"/>
      <c r="AG6" s="1381"/>
      <c r="AH6" s="1382"/>
      <c r="AI6" s="1381"/>
      <c r="AJ6" s="1321" t="s">
        <v>112</v>
      </c>
      <c r="AK6" s="1320" t="s">
        <v>750</v>
      </c>
    </row>
    <row r="7" spans="2:37" s="10" customFormat="1" ht="15.75">
      <c r="B7" s="284"/>
      <c r="C7" s="1320" t="s">
        <v>752</v>
      </c>
      <c r="D7" s="282"/>
      <c r="E7" s="288"/>
      <c r="F7" s="1381"/>
      <c r="G7" s="1381"/>
      <c r="H7" s="1381"/>
      <c r="I7" s="1381"/>
      <c r="J7" s="1381"/>
      <c r="K7" s="1381"/>
      <c r="L7" s="1381"/>
      <c r="M7" s="1381"/>
      <c r="N7" s="1381"/>
      <c r="O7" s="1381"/>
      <c r="P7" s="1381"/>
      <c r="Q7" s="1381"/>
      <c r="R7" s="1381"/>
      <c r="S7" s="1381"/>
      <c r="T7" s="1381"/>
      <c r="U7" s="1381"/>
      <c r="V7" s="1382"/>
      <c r="W7" s="1381"/>
      <c r="X7" s="1381"/>
      <c r="Y7" s="1381"/>
      <c r="Z7" s="1381"/>
      <c r="AA7" s="1381"/>
      <c r="AB7" s="1382"/>
      <c r="AC7" s="1381"/>
      <c r="AD7" s="1381"/>
      <c r="AE7" s="330"/>
      <c r="AF7" s="1381"/>
      <c r="AG7" s="1381"/>
      <c r="AH7" s="1382"/>
      <c r="AI7" s="1381"/>
      <c r="AJ7" s="1381"/>
      <c r="AK7" s="1381"/>
    </row>
    <row r="8" spans="2:37" s="10" customFormat="1" ht="15.75">
      <c r="B8" s="284"/>
      <c r="C8" s="289"/>
      <c r="D8" s="282"/>
      <c r="E8" s="288"/>
      <c r="F8" s="1381"/>
      <c r="G8" s="1381"/>
      <c r="H8" s="1381"/>
      <c r="I8" s="1381"/>
      <c r="J8" s="1381"/>
      <c r="K8" s="1381"/>
      <c r="L8" s="1381"/>
      <c r="M8" s="1381"/>
      <c r="N8" s="1381"/>
      <c r="O8" s="1381"/>
      <c r="P8" s="1381"/>
      <c r="Q8" s="1381"/>
      <c r="R8" s="1381"/>
      <c r="S8" s="1381"/>
      <c r="T8" s="1381"/>
      <c r="U8" s="1381"/>
      <c r="V8" s="1382"/>
      <c r="W8" s="327"/>
      <c r="X8" s="327"/>
      <c r="Y8" s="327"/>
      <c r="Z8" s="327"/>
      <c r="AA8" s="327"/>
      <c r="AB8" s="331"/>
      <c r="AC8" s="327"/>
      <c r="AD8" s="327"/>
      <c r="AE8" s="327"/>
      <c r="AF8" s="327"/>
      <c r="AG8" s="327"/>
      <c r="AH8" s="1382"/>
      <c r="AI8" s="1381"/>
      <c r="AJ8" s="1381"/>
      <c r="AK8" s="1381"/>
    </row>
    <row r="9" spans="2:37" s="10" customFormat="1" ht="20.25" customHeight="1">
      <c r="B9" s="311" t="s">
        <v>753</v>
      </c>
      <c r="C9" s="287"/>
      <c r="D9" s="282"/>
      <c r="E9" s="288"/>
      <c r="F9" s="1381"/>
      <c r="G9" s="1381"/>
      <c r="H9" s="1381"/>
      <c r="I9" s="1381"/>
      <c r="J9" s="1381"/>
      <c r="K9" s="1381"/>
      <c r="L9" s="1381"/>
      <c r="M9" s="1381"/>
      <c r="N9" s="1381"/>
      <c r="O9" s="1381"/>
      <c r="P9" s="1381"/>
      <c r="Q9" s="1381"/>
      <c r="R9" s="1381"/>
      <c r="S9" s="1381"/>
      <c r="T9" s="1381"/>
      <c r="U9" s="1381"/>
      <c r="V9" s="1382"/>
      <c r="W9" s="327">
        <v>1</v>
      </c>
      <c r="X9" s="327"/>
      <c r="Y9" s="327"/>
      <c r="Z9" s="327"/>
      <c r="AA9" s="327"/>
      <c r="AB9" s="331"/>
      <c r="AC9" s="327">
        <v>1</v>
      </c>
      <c r="AD9" s="327"/>
      <c r="AE9" s="327"/>
      <c r="AF9" s="327"/>
      <c r="AG9" s="327"/>
      <c r="AH9" s="1382"/>
      <c r="AI9" s="1381"/>
      <c r="AJ9" s="311" t="str">
        <f>B9</f>
        <v>Initial calculation of in period revenue adjustment by price control</v>
      </c>
      <c r="AK9" s="287"/>
    </row>
    <row r="10" spans="2:37" s="10" customFormat="1" ht="20.25" customHeight="1">
      <c r="B10" s="290" t="s">
        <v>754</v>
      </c>
      <c r="C10" s="1872">
        <f>'Model outputs - Aggregate level'!$F7</f>
        <v>0.18745600000000007</v>
      </c>
      <c r="D10" s="36"/>
      <c r="E10" s="294" t="s">
        <v>755</v>
      </c>
      <c r="F10" s="1381"/>
      <c r="G10" s="1381"/>
      <c r="H10" s="1381"/>
      <c r="I10" s="329"/>
      <c r="J10" s="343">
        <f>IF($AC10=1,$AC$6,0)</f>
        <v>0</v>
      </c>
      <c r="K10" s="1381"/>
      <c r="L10" s="1381"/>
      <c r="M10" s="1381"/>
      <c r="N10" s="1381"/>
      <c r="O10" s="1381"/>
      <c r="P10" s="1381"/>
      <c r="Q10" s="1381"/>
      <c r="R10" s="1381"/>
      <c r="S10" s="1381"/>
      <c r="T10" s="1381"/>
      <c r="U10" s="1381"/>
      <c r="V10" s="1382"/>
      <c r="W10" s="328"/>
      <c r="X10" s="328"/>
      <c r="Y10" s="328"/>
      <c r="Z10" s="328"/>
      <c r="AA10" s="328"/>
      <c r="AB10" s="1382"/>
      <c r="AC10" s="332">
        <f>IF(ISERROR($C10)=TRUE,1,0)</f>
        <v>0</v>
      </c>
      <c r="AD10" s="332"/>
      <c r="AE10" s="332"/>
      <c r="AF10" s="328"/>
      <c r="AG10" s="332"/>
      <c r="AH10" s="1382"/>
      <c r="AI10" s="1381"/>
      <c r="AJ10" s="290" t="str">
        <f>B10</f>
        <v>Water resources</v>
      </c>
      <c r="AK10" s="1512" t="s">
        <v>756</v>
      </c>
    </row>
    <row r="11" spans="2:37" s="10" customFormat="1" ht="20.25" customHeight="1">
      <c r="B11" s="290" t="s">
        <v>757</v>
      </c>
      <c r="C11" s="1872">
        <f>'Model outputs - Aggregate level'!$F8</f>
        <v>-13.457406666666666</v>
      </c>
      <c r="D11" s="36"/>
      <c r="E11" s="294" t="s">
        <v>758</v>
      </c>
      <c r="F11" s="1381"/>
      <c r="G11" s="1381"/>
      <c r="H11" s="1381"/>
      <c r="I11" s="329"/>
      <c r="J11" s="343">
        <f t="shared" ref="J11:J16" si="0">IF($AC11=1,$AC$6,0)</f>
        <v>0</v>
      </c>
      <c r="K11" s="1381"/>
      <c r="L11" s="1381"/>
      <c r="M11" s="1381"/>
      <c r="N11" s="1381"/>
      <c r="O11" s="1381"/>
      <c r="P11" s="1381"/>
      <c r="Q11" s="1381"/>
      <c r="R11" s="1381"/>
      <c r="S11" s="1381"/>
      <c r="T11" s="1381"/>
      <c r="U11" s="1381"/>
      <c r="V11" s="1382"/>
      <c r="W11" s="328"/>
      <c r="X11" s="328"/>
      <c r="Y11" s="328"/>
      <c r="Z11" s="328"/>
      <c r="AA11" s="328"/>
      <c r="AB11" s="1382"/>
      <c r="AC11" s="332">
        <f t="shared" ref="AC11:AC34" si="1">IF(ISERROR($C11)=TRUE,1,0)</f>
        <v>0</v>
      </c>
      <c r="AD11" s="332"/>
      <c r="AE11" s="332"/>
      <c r="AF11" s="328"/>
      <c r="AG11" s="332"/>
      <c r="AH11" s="1382"/>
      <c r="AI11" s="1381"/>
      <c r="AJ11" s="290" t="str">
        <f t="shared" ref="AJ11:AJ16" si="2">B11</f>
        <v>Water network plus</v>
      </c>
      <c r="AK11" s="1512" t="s">
        <v>759</v>
      </c>
    </row>
    <row r="12" spans="2:37" s="10" customFormat="1" ht="20.25" customHeight="1">
      <c r="B12" s="290" t="s">
        <v>760</v>
      </c>
      <c r="C12" s="1872">
        <f>'Model outputs - Aggregate level'!$F9</f>
        <v>-17.650538489999999</v>
      </c>
      <c r="D12" s="36"/>
      <c r="E12" s="294" t="s">
        <v>761</v>
      </c>
      <c r="F12" s="1381"/>
      <c r="G12" s="1381"/>
      <c r="H12" s="1381"/>
      <c r="I12" s="329"/>
      <c r="J12" s="343">
        <f t="shared" si="0"/>
        <v>0</v>
      </c>
      <c r="K12" s="1381"/>
      <c r="L12" s="1381"/>
      <c r="M12" s="1381"/>
      <c r="N12" s="1381"/>
      <c r="O12" s="1381"/>
      <c r="P12" s="1381"/>
      <c r="Q12" s="1381"/>
      <c r="R12" s="1381"/>
      <c r="S12" s="1381"/>
      <c r="T12" s="1381"/>
      <c r="U12" s="1381"/>
      <c r="V12" s="1382"/>
      <c r="W12" s="328"/>
      <c r="X12" s="328"/>
      <c r="Y12" s="328"/>
      <c r="Z12" s="328"/>
      <c r="AA12" s="328"/>
      <c r="AB12" s="1382"/>
      <c r="AC12" s="332">
        <f t="shared" si="1"/>
        <v>0</v>
      </c>
      <c r="AD12" s="332"/>
      <c r="AE12" s="332"/>
      <c r="AF12" s="328"/>
      <c r="AG12" s="332"/>
      <c r="AH12" s="1382"/>
      <c r="AI12" s="1381"/>
      <c r="AJ12" s="290" t="str">
        <f t="shared" si="2"/>
        <v>Wastewater network plus</v>
      </c>
      <c r="AK12" s="1512" t="s">
        <v>762</v>
      </c>
    </row>
    <row r="13" spans="2:37" s="10" customFormat="1" ht="20.25" customHeight="1">
      <c r="B13" s="290" t="s">
        <v>763</v>
      </c>
      <c r="C13" s="1872">
        <f>'Model outputs - Aggregate level'!$F10</f>
        <v>-1.2862200000000001</v>
      </c>
      <c r="D13" s="36"/>
      <c r="E13" s="294" t="s">
        <v>764</v>
      </c>
      <c r="F13" s="1381"/>
      <c r="G13" s="1381"/>
      <c r="H13" s="1381"/>
      <c r="I13" s="329"/>
      <c r="J13" s="343">
        <f t="shared" si="0"/>
        <v>0</v>
      </c>
      <c r="K13" s="1381"/>
      <c r="L13" s="1381"/>
      <c r="M13" s="1381"/>
      <c r="N13" s="1381"/>
      <c r="O13" s="1381"/>
      <c r="P13" s="1381"/>
      <c r="Q13" s="1381"/>
      <c r="R13" s="1381"/>
      <c r="S13" s="1381"/>
      <c r="T13" s="1381"/>
      <c r="U13" s="1381"/>
      <c r="V13" s="1382"/>
      <c r="W13" s="328"/>
      <c r="X13" s="328"/>
      <c r="Y13" s="328"/>
      <c r="Z13" s="328"/>
      <c r="AA13" s="328"/>
      <c r="AB13" s="1382"/>
      <c r="AC13" s="332">
        <f t="shared" si="1"/>
        <v>0</v>
      </c>
      <c r="AD13" s="332"/>
      <c r="AE13" s="332"/>
      <c r="AF13" s="328"/>
      <c r="AG13" s="332"/>
      <c r="AH13" s="1382"/>
      <c r="AI13" s="1381"/>
      <c r="AJ13" s="290" t="str">
        <f t="shared" si="2"/>
        <v>Bioresources (sludge)</v>
      </c>
      <c r="AK13" s="1512" t="s">
        <v>765</v>
      </c>
    </row>
    <row r="14" spans="2:37" s="10" customFormat="1" ht="20.25" customHeight="1">
      <c r="B14" s="290" t="s">
        <v>766</v>
      </c>
      <c r="C14" s="1872">
        <f>'Model outputs - Aggregate level'!$F11</f>
        <v>-0.6</v>
      </c>
      <c r="D14" s="36"/>
      <c r="E14" s="294" t="s">
        <v>767</v>
      </c>
      <c r="F14" s="1381"/>
      <c r="G14" s="1381"/>
      <c r="H14" s="1381"/>
      <c r="I14" s="329"/>
      <c r="J14" s="343">
        <f t="shared" si="0"/>
        <v>0</v>
      </c>
      <c r="K14" s="1381"/>
      <c r="L14" s="1381"/>
      <c r="M14" s="1381"/>
      <c r="N14" s="1381"/>
      <c r="O14" s="1381"/>
      <c r="P14" s="1381"/>
      <c r="Q14" s="1381"/>
      <c r="R14" s="1381"/>
      <c r="S14" s="1381"/>
      <c r="T14" s="1381"/>
      <c r="U14" s="1381"/>
      <c r="V14" s="1382"/>
      <c r="W14" s="328"/>
      <c r="X14" s="328"/>
      <c r="Y14" s="328"/>
      <c r="Z14" s="328"/>
      <c r="AA14" s="328"/>
      <c r="AB14" s="1382"/>
      <c r="AC14" s="332">
        <f t="shared" si="1"/>
        <v>0</v>
      </c>
      <c r="AD14" s="332"/>
      <c r="AE14" s="332"/>
      <c r="AF14" s="328"/>
      <c r="AG14" s="332"/>
      <c r="AH14" s="1382"/>
      <c r="AI14" s="1381"/>
      <c r="AJ14" s="290" t="str">
        <f t="shared" si="2"/>
        <v>Residential retail</v>
      </c>
      <c r="AK14" s="1512" t="s">
        <v>768</v>
      </c>
    </row>
    <row r="15" spans="2:37" s="10" customFormat="1" ht="20.25" customHeight="1">
      <c r="B15" s="290" t="s">
        <v>769</v>
      </c>
      <c r="C15" s="1872">
        <f>'Model outputs - Aggregate level'!$F12</f>
        <v>0</v>
      </c>
      <c r="D15" s="36"/>
      <c r="E15" s="294" t="s">
        <v>770</v>
      </c>
      <c r="F15" s="1381"/>
      <c r="G15" s="1381"/>
      <c r="H15" s="1381"/>
      <c r="I15" s="329"/>
      <c r="J15" s="343">
        <f t="shared" si="0"/>
        <v>0</v>
      </c>
      <c r="K15" s="1381"/>
      <c r="L15" s="1381"/>
      <c r="M15" s="1381"/>
      <c r="N15" s="1381"/>
      <c r="O15" s="1381"/>
      <c r="P15" s="1381"/>
      <c r="Q15" s="1381"/>
      <c r="R15" s="1381"/>
      <c r="S15" s="1381"/>
      <c r="T15" s="1381"/>
      <c r="U15" s="1381"/>
      <c r="V15" s="1382"/>
      <c r="W15" s="328"/>
      <c r="X15" s="328"/>
      <c r="Y15" s="328"/>
      <c r="Z15" s="328"/>
      <c r="AA15" s="328"/>
      <c r="AB15" s="1382"/>
      <c r="AC15" s="332">
        <f t="shared" si="1"/>
        <v>0</v>
      </c>
      <c r="AD15" s="332"/>
      <c r="AE15" s="332"/>
      <c r="AF15" s="328"/>
      <c r="AG15" s="332"/>
      <c r="AH15" s="1382"/>
      <c r="AI15" s="1381"/>
      <c r="AJ15" s="290" t="str">
        <f t="shared" si="2"/>
        <v>Business retail</v>
      </c>
      <c r="AK15" s="1512" t="s">
        <v>771</v>
      </c>
    </row>
    <row r="16" spans="2:37" s="10" customFormat="1" ht="20.25" customHeight="1">
      <c r="B16" s="290" t="s">
        <v>772</v>
      </c>
      <c r="C16" s="1872">
        <f>'Model outputs - Aggregate level'!$F13</f>
        <v>0</v>
      </c>
      <c r="D16" s="36"/>
      <c r="E16" s="294" t="s">
        <v>773</v>
      </c>
      <c r="F16" s="1381"/>
      <c r="G16" s="1381"/>
      <c r="H16" s="1381"/>
      <c r="I16" s="329"/>
      <c r="J16" s="343">
        <f t="shared" si="0"/>
        <v>0</v>
      </c>
      <c r="K16" s="1381"/>
      <c r="L16" s="1381"/>
      <c r="M16" s="1381"/>
      <c r="N16" s="1381"/>
      <c r="O16" s="1381"/>
      <c r="P16" s="1381"/>
      <c r="Q16" s="1381"/>
      <c r="R16" s="1381"/>
      <c r="S16" s="1381"/>
      <c r="T16" s="1381"/>
      <c r="U16" s="1381"/>
      <c r="V16" s="1382"/>
      <c r="W16" s="328"/>
      <c r="X16" s="328"/>
      <c r="Y16" s="328"/>
      <c r="Z16" s="328"/>
      <c r="AA16" s="328"/>
      <c r="AB16" s="1382"/>
      <c r="AC16" s="332">
        <f t="shared" si="1"/>
        <v>0</v>
      </c>
      <c r="AD16" s="332"/>
      <c r="AE16" s="332"/>
      <c r="AF16" s="328"/>
      <c r="AG16" s="332"/>
      <c r="AH16" s="1382"/>
      <c r="AI16" s="1381"/>
      <c r="AJ16" s="290" t="str">
        <f t="shared" si="2"/>
        <v>Dummy control</v>
      </c>
      <c r="AK16" s="1512" t="s">
        <v>774</v>
      </c>
    </row>
    <row r="17" spans="2:37" s="10" customFormat="1" ht="20.25" customHeight="1">
      <c r="B17" s="1378"/>
      <c r="C17" s="1378"/>
      <c r="D17" s="36"/>
      <c r="E17" s="14"/>
      <c r="F17" s="1381"/>
      <c r="G17" s="1381"/>
      <c r="H17" s="1381"/>
      <c r="I17" s="14"/>
      <c r="J17" s="14"/>
      <c r="K17" s="1381"/>
      <c r="L17" s="1381"/>
      <c r="M17" s="1381"/>
      <c r="N17" s="1381"/>
      <c r="O17" s="1381"/>
      <c r="P17" s="1381"/>
      <c r="Q17" s="1381"/>
      <c r="R17" s="1381"/>
      <c r="S17" s="1381"/>
      <c r="T17" s="1381"/>
      <c r="U17" s="1381"/>
      <c r="V17" s="1382"/>
      <c r="W17" s="328"/>
      <c r="X17" s="328"/>
      <c r="Y17" s="328"/>
      <c r="Z17" s="328"/>
      <c r="AA17" s="328"/>
      <c r="AB17" s="1382"/>
      <c r="AC17" s="332"/>
      <c r="AD17" s="332"/>
      <c r="AE17" s="332"/>
      <c r="AF17" s="328"/>
      <c r="AG17" s="332"/>
      <c r="AH17" s="1382"/>
      <c r="AI17" s="1381"/>
      <c r="AJ17" s="1378"/>
      <c r="AK17" s="1378"/>
    </row>
    <row r="18" spans="2:37" s="10" customFormat="1" ht="20.25" customHeight="1">
      <c r="B18" s="311" t="s">
        <v>775</v>
      </c>
      <c r="C18" s="13"/>
      <c r="D18" s="36"/>
      <c r="E18" s="14"/>
      <c r="F18" s="1381"/>
      <c r="G18" s="1381"/>
      <c r="H18" s="1381"/>
      <c r="I18" s="14"/>
      <c r="J18" s="14"/>
      <c r="K18" s="1381"/>
      <c r="L18" s="1381"/>
      <c r="M18" s="1381"/>
      <c r="N18" s="1381"/>
      <c r="O18" s="1381"/>
      <c r="P18" s="1381"/>
      <c r="Q18" s="1381"/>
      <c r="R18" s="1381"/>
      <c r="S18" s="1381"/>
      <c r="T18" s="1381"/>
      <c r="U18" s="1381"/>
      <c r="V18" s="1382"/>
      <c r="W18" s="328"/>
      <c r="X18" s="328"/>
      <c r="Y18" s="328"/>
      <c r="Z18" s="328"/>
      <c r="AA18" s="328"/>
      <c r="AB18" s="1382"/>
      <c r="AC18" s="332"/>
      <c r="AD18" s="332"/>
      <c r="AE18" s="332"/>
      <c r="AF18" s="328"/>
      <c r="AG18" s="332"/>
      <c r="AH18" s="1382"/>
      <c r="AI18" s="1381"/>
      <c r="AJ18" s="311" t="s">
        <v>775</v>
      </c>
      <c r="AK18" s="13"/>
    </row>
    <row r="19" spans="2:37" s="10" customFormat="1" ht="20.25" customHeight="1">
      <c r="B19" s="290" t="s">
        <v>754</v>
      </c>
      <c r="C19" s="1872">
        <f>'Model outputs - Aggregate level'!$F19</f>
        <v>0</v>
      </c>
      <c r="D19" s="36"/>
      <c r="E19" s="294" t="s">
        <v>776</v>
      </c>
      <c r="F19" s="1381"/>
      <c r="G19" s="1381"/>
      <c r="H19" s="1381"/>
      <c r="I19" s="329"/>
      <c r="J19" s="343">
        <f t="shared" ref="J19:J25" si="3">IF($AC19=1,$AC$6,0)</f>
        <v>0</v>
      </c>
      <c r="K19" s="1381"/>
      <c r="L19" s="1381"/>
      <c r="M19" s="1381"/>
      <c r="N19" s="1381"/>
      <c r="O19" s="1381"/>
      <c r="P19" s="1381"/>
      <c r="Q19" s="1381"/>
      <c r="R19" s="1381"/>
      <c r="S19" s="1381"/>
      <c r="T19" s="1381"/>
      <c r="U19" s="1381"/>
      <c r="V19" s="1382"/>
      <c r="W19" s="328"/>
      <c r="X19" s="328"/>
      <c r="Y19" s="328"/>
      <c r="Z19" s="328"/>
      <c r="AA19" s="328"/>
      <c r="AB19" s="1382"/>
      <c r="AC19" s="332">
        <f t="shared" si="1"/>
        <v>0</v>
      </c>
      <c r="AD19" s="332"/>
      <c r="AE19" s="332"/>
      <c r="AF19" s="328"/>
      <c r="AG19" s="332"/>
      <c r="AH19" s="1382"/>
      <c r="AI19" s="1381"/>
      <c r="AJ19" s="290" t="str">
        <f t="shared" ref="AJ19:AJ25" si="4">B19</f>
        <v>Water resources</v>
      </c>
      <c r="AK19" s="1512" t="s">
        <v>777</v>
      </c>
    </row>
    <row r="20" spans="2:37" s="10" customFormat="1" ht="20.25" customHeight="1">
      <c r="B20" s="290" t="s">
        <v>757</v>
      </c>
      <c r="C20" s="1872">
        <f>'Model outputs - Aggregate level'!$F20</f>
        <v>0</v>
      </c>
      <c r="D20" s="36"/>
      <c r="E20" s="294" t="s">
        <v>778</v>
      </c>
      <c r="F20" s="1381"/>
      <c r="G20" s="1381"/>
      <c r="H20" s="1381"/>
      <c r="I20" s="329"/>
      <c r="J20" s="343">
        <f t="shared" si="3"/>
        <v>0</v>
      </c>
      <c r="K20" s="1381"/>
      <c r="L20" s="1381"/>
      <c r="M20" s="1381"/>
      <c r="N20" s="1381"/>
      <c r="O20" s="1381"/>
      <c r="P20" s="1381"/>
      <c r="Q20" s="1381"/>
      <c r="R20" s="1381"/>
      <c r="S20" s="1381"/>
      <c r="T20" s="1381"/>
      <c r="U20" s="1381"/>
      <c r="V20" s="1382"/>
      <c r="W20" s="328"/>
      <c r="X20" s="328"/>
      <c r="Y20" s="328"/>
      <c r="Z20" s="328"/>
      <c r="AA20" s="328"/>
      <c r="AB20" s="1382"/>
      <c r="AC20" s="332">
        <f t="shared" si="1"/>
        <v>0</v>
      </c>
      <c r="AD20" s="332"/>
      <c r="AE20" s="332"/>
      <c r="AF20" s="328"/>
      <c r="AG20" s="332"/>
      <c r="AH20" s="1382"/>
      <c r="AI20" s="1381"/>
      <c r="AJ20" s="290" t="str">
        <f t="shared" si="4"/>
        <v>Water network plus</v>
      </c>
      <c r="AK20" s="1512" t="s">
        <v>779</v>
      </c>
    </row>
    <row r="21" spans="2:37" s="10" customFormat="1" ht="20.25" customHeight="1">
      <c r="B21" s="290" t="s">
        <v>760</v>
      </c>
      <c r="C21" s="1872">
        <f>'Model outputs - Aggregate level'!$F21</f>
        <v>0</v>
      </c>
      <c r="D21" s="36"/>
      <c r="E21" s="294" t="s">
        <v>780</v>
      </c>
      <c r="F21" s="1381"/>
      <c r="G21" s="1381"/>
      <c r="H21" s="1381"/>
      <c r="I21" s="329"/>
      <c r="J21" s="343">
        <f t="shared" si="3"/>
        <v>0</v>
      </c>
      <c r="K21" s="1381"/>
      <c r="L21" s="1381"/>
      <c r="M21" s="1381"/>
      <c r="N21" s="1381"/>
      <c r="O21" s="1381"/>
      <c r="P21" s="1381"/>
      <c r="Q21" s="1381"/>
      <c r="R21" s="1381"/>
      <c r="S21" s="1381"/>
      <c r="T21" s="1381"/>
      <c r="U21" s="1381"/>
      <c r="V21" s="1382"/>
      <c r="W21" s="328"/>
      <c r="X21" s="328"/>
      <c r="Y21" s="328"/>
      <c r="Z21" s="328"/>
      <c r="AA21" s="328"/>
      <c r="AB21" s="1382"/>
      <c r="AC21" s="332">
        <f t="shared" si="1"/>
        <v>0</v>
      </c>
      <c r="AD21" s="332"/>
      <c r="AE21" s="332"/>
      <c r="AF21" s="328"/>
      <c r="AG21" s="332"/>
      <c r="AH21" s="1382"/>
      <c r="AI21" s="1381"/>
      <c r="AJ21" s="290" t="str">
        <f t="shared" si="4"/>
        <v>Wastewater network plus</v>
      </c>
      <c r="AK21" s="1512" t="s">
        <v>781</v>
      </c>
    </row>
    <row r="22" spans="2:37" s="10" customFormat="1" ht="20.25" customHeight="1">
      <c r="B22" s="290" t="s">
        <v>763</v>
      </c>
      <c r="C22" s="1872">
        <f>'Model outputs - Aggregate level'!$F22</f>
        <v>0</v>
      </c>
      <c r="D22" s="36"/>
      <c r="E22" s="294" t="s">
        <v>782</v>
      </c>
      <c r="F22" s="1381"/>
      <c r="G22" s="1381"/>
      <c r="H22" s="1381"/>
      <c r="I22" s="329"/>
      <c r="J22" s="343">
        <f t="shared" si="3"/>
        <v>0</v>
      </c>
      <c r="K22" s="1381"/>
      <c r="L22" s="1381"/>
      <c r="M22" s="1381"/>
      <c r="N22" s="1381"/>
      <c r="O22" s="1381"/>
      <c r="P22" s="1381"/>
      <c r="Q22" s="1381"/>
      <c r="R22" s="1381"/>
      <c r="S22" s="1381"/>
      <c r="T22" s="1381"/>
      <c r="U22" s="1381"/>
      <c r="V22" s="1382"/>
      <c r="W22" s="328"/>
      <c r="X22" s="328"/>
      <c r="Y22" s="328"/>
      <c r="Z22" s="328"/>
      <c r="AA22" s="328"/>
      <c r="AB22" s="1382"/>
      <c r="AC22" s="332">
        <f t="shared" si="1"/>
        <v>0</v>
      </c>
      <c r="AD22" s="332"/>
      <c r="AE22" s="332"/>
      <c r="AF22" s="328"/>
      <c r="AG22" s="332"/>
      <c r="AH22" s="1382"/>
      <c r="AI22" s="1381"/>
      <c r="AJ22" s="290" t="str">
        <f t="shared" si="4"/>
        <v>Bioresources (sludge)</v>
      </c>
      <c r="AK22" s="1512" t="s">
        <v>783</v>
      </c>
    </row>
    <row r="23" spans="2:37" s="10" customFormat="1" ht="20.25" customHeight="1">
      <c r="B23" s="290" t="s">
        <v>766</v>
      </c>
      <c r="C23" s="1872">
        <f>'Model outputs - Aggregate level'!$F23</f>
        <v>0</v>
      </c>
      <c r="D23" s="36"/>
      <c r="E23" s="294" t="s">
        <v>784</v>
      </c>
      <c r="F23" s="1381"/>
      <c r="G23" s="1381"/>
      <c r="H23" s="1381"/>
      <c r="I23" s="329"/>
      <c r="J23" s="343">
        <f t="shared" si="3"/>
        <v>0</v>
      </c>
      <c r="K23" s="1381"/>
      <c r="L23" s="1381"/>
      <c r="M23" s="1381"/>
      <c r="N23" s="1381"/>
      <c r="O23" s="1381"/>
      <c r="P23" s="1381"/>
      <c r="Q23" s="1381"/>
      <c r="R23" s="1381"/>
      <c r="S23" s="1381"/>
      <c r="T23" s="1381"/>
      <c r="U23" s="1381"/>
      <c r="V23" s="1382"/>
      <c r="W23" s="328"/>
      <c r="X23" s="328"/>
      <c r="Y23" s="328"/>
      <c r="Z23" s="328"/>
      <c r="AA23" s="328"/>
      <c r="AB23" s="1382"/>
      <c r="AC23" s="332">
        <f t="shared" si="1"/>
        <v>0</v>
      </c>
      <c r="AD23" s="332"/>
      <c r="AE23" s="332"/>
      <c r="AF23" s="328"/>
      <c r="AG23" s="332"/>
      <c r="AH23" s="1382"/>
      <c r="AI23" s="1381"/>
      <c r="AJ23" s="290" t="str">
        <f t="shared" si="4"/>
        <v>Residential retail</v>
      </c>
      <c r="AK23" s="1512" t="s">
        <v>785</v>
      </c>
    </row>
    <row r="24" spans="2:37" s="10" customFormat="1" ht="20.25" customHeight="1">
      <c r="B24" s="290" t="s">
        <v>769</v>
      </c>
      <c r="C24" s="1872">
        <f>'Model outputs - Aggregate level'!$F24</f>
        <v>0</v>
      </c>
      <c r="D24" s="36"/>
      <c r="E24" s="294" t="s">
        <v>786</v>
      </c>
      <c r="F24" s="1381"/>
      <c r="G24" s="1381"/>
      <c r="H24" s="1381"/>
      <c r="I24" s="329"/>
      <c r="J24" s="343">
        <f t="shared" si="3"/>
        <v>0</v>
      </c>
      <c r="K24" s="1381"/>
      <c r="L24" s="1381"/>
      <c r="M24" s="1381"/>
      <c r="N24" s="1381"/>
      <c r="O24" s="1381"/>
      <c r="P24" s="1381"/>
      <c r="Q24" s="1381"/>
      <c r="R24" s="1381"/>
      <c r="S24" s="1381"/>
      <c r="T24" s="1381"/>
      <c r="U24" s="1381"/>
      <c r="V24" s="1382"/>
      <c r="W24" s="328"/>
      <c r="X24" s="328"/>
      <c r="Y24" s="328"/>
      <c r="Z24" s="328"/>
      <c r="AA24" s="328"/>
      <c r="AB24" s="1382"/>
      <c r="AC24" s="332">
        <f t="shared" si="1"/>
        <v>0</v>
      </c>
      <c r="AD24" s="332"/>
      <c r="AE24" s="332"/>
      <c r="AF24" s="328"/>
      <c r="AG24" s="332"/>
      <c r="AH24" s="1382"/>
      <c r="AI24" s="1381"/>
      <c r="AJ24" s="290" t="str">
        <f t="shared" si="4"/>
        <v>Business retail</v>
      </c>
      <c r="AK24" s="1512" t="s">
        <v>787</v>
      </c>
    </row>
    <row r="25" spans="2:37" s="10" customFormat="1" ht="20.25" customHeight="1">
      <c r="B25" s="290" t="s">
        <v>772</v>
      </c>
      <c r="C25" s="1872">
        <f>'Model outputs - Aggregate level'!$F25</f>
        <v>0</v>
      </c>
      <c r="D25" s="36"/>
      <c r="E25" s="294" t="s">
        <v>788</v>
      </c>
      <c r="F25" s="1381"/>
      <c r="G25" s="1381"/>
      <c r="H25" s="1381"/>
      <c r="I25" s="329"/>
      <c r="J25" s="343">
        <f t="shared" si="3"/>
        <v>0</v>
      </c>
      <c r="K25" s="1381"/>
      <c r="L25" s="1381"/>
      <c r="M25" s="1381"/>
      <c r="N25" s="1381"/>
      <c r="O25" s="1381"/>
      <c r="P25" s="1381"/>
      <c r="Q25" s="1381"/>
      <c r="R25" s="1381"/>
      <c r="S25" s="1381"/>
      <c r="T25" s="1381"/>
      <c r="U25" s="1381"/>
      <c r="V25" s="1382"/>
      <c r="W25" s="328"/>
      <c r="X25" s="328"/>
      <c r="Y25" s="328"/>
      <c r="Z25" s="328"/>
      <c r="AA25" s="328"/>
      <c r="AB25" s="1382"/>
      <c r="AC25" s="332">
        <f t="shared" si="1"/>
        <v>0</v>
      </c>
      <c r="AD25" s="332"/>
      <c r="AE25" s="332"/>
      <c r="AF25" s="328"/>
      <c r="AG25" s="332"/>
      <c r="AH25" s="1382"/>
      <c r="AI25" s="1381"/>
      <c r="AJ25" s="290" t="str">
        <f t="shared" si="4"/>
        <v>Dummy control</v>
      </c>
      <c r="AK25" s="1512" t="s">
        <v>789</v>
      </c>
    </row>
    <row r="26" spans="2:37" s="10" customFormat="1" ht="20.25" customHeight="1">
      <c r="B26" s="1378"/>
      <c r="C26" s="1378"/>
      <c r="D26" s="36"/>
      <c r="E26" s="1381"/>
      <c r="F26" s="1381"/>
      <c r="G26" s="1381"/>
      <c r="H26" s="1381"/>
      <c r="I26" s="1381"/>
      <c r="J26" s="1381"/>
      <c r="K26" s="1381"/>
      <c r="L26" s="1381"/>
      <c r="M26" s="1381"/>
      <c r="N26" s="1381"/>
      <c r="O26" s="1381"/>
      <c r="P26" s="1381"/>
      <c r="Q26" s="1381"/>
      <c r="R26" s="1381"/>
      <c r="S26" s="1381"/>
      <c r="T26" s="1381"/>
      <c r="U26" s="1381"/>
      <c r="V26" s="1382"/>
      <c r="W26" s="328"/>
      <c r="X26" s="328"/>
      <c r="Y26" s="328"/>
      <c r="Z26" s="328"/>
      <c r="AA26" s="328"/>
      <c r="AB26" s="1382"/>
      <c r="AC26" s="332"/>
      <c r="AD26" s="332"/>
      <c r="AE26" s="332"/>
      <c r="AF26" s="328"/>
      <c r="AG26" s="332"/>
      <c r="AH26" s="1382"/>
      <c r="AI26" s="1381"/>
      <c r="AJ26" s="1378"/>
      <c r="AK26" s="1378"/>
    </row>
    <row r="27" spans="2:37" s="10" customFormat="1" ht="20.25" customHeight="1">
      <c r="B27" s="311" t="s">
        <v>790</v>
      </c>
      <c r="C27" s="13"/>
      <c r="D27" s="36"/>
      <c r="E27" s="1381"/>
      <c r="F27" s="1381"/>
      <c r="G27" s="1381"/>
      <c r="H27" s="1381"/>
      <c r="I27" s="1381"/>
      <c r="J27" s="1381"/>
      <c r="K27" s="1381"/>
      <c r="L27" s="1381"/>
      <c r="M27" s="1381"/>
      <c r="N27" s="1381"/>
      <c r="O27" s="1381"/>
      <c r="P27" s="1381"/>
      <c r="Q27" s="1381"/>
      <c r="R27" s="1381"/>
      <c r="S27" s="1381"/>
      <c r="T27" s="1381"/>
      <c r="U27" s="1381"/>
      <c r="V27" s="1382"/>
      <c r="W27" s="328"/>
      <c r="X27" s="328"/>
      <c r="Y27" s="328"/>
      <c r="Z27" s="328"/>
      <c r="AA27" s="328"/>
      <c r="AB27" s="1382"/>
      <c r="AC27" s="332"/>
      <c r="AD27" s="332"/>
      <c r="AE27" s="332"/>
      <c r="AF27" s="328"/>
      <c r="AG27" s="332"/>
      <c r="AH27" s="1382"/>
      <c r="AI27" s="1381"/>
      <c r="AJ27" s="311" t="s">
        <v>790</v>
      </c>
      <c r="AK27" s="13"/>
    </row>
    <row r="28" spans="2:37" s="10" customFormat="1" ht="20.25" customHeight="1">
      <c r="B28" s="290" t="s">
        <v>754</v>
      </c>
      <c r="C28" s="1872">
        <f>'Model outputs - Aggregate level'!$F28</f>
        <v>0</v>
      </c>
      <c r="D28" s="36"/>
      <c r="E28" s="294" t="s">
        <v>791</v>
      </c>
      <c r="F28" s="1381"/>
      <c r="G28" s="1381"/>
      <c r="H28" s="1381"/>
      <c r="I28" s="329"/>
      <c r="J28" s="343">
        <f t="shared" ref="J28:J34" si="5">IF($AC28=1,$AC$6,0)</f>
        <v>0</v>
      </c>
      <c r="K28" s="1381"/>
      <c r="L28" s="1381"/>
      <c r="M28" s="1381"/>
      <c r="N28" s="1381"/>
      <c r="O28" s="1381"/>
      <c r="P28" s="1381"/>
      <c r="Q28" s="1381"/>
      <c r="R28" s="1381"/>
      <c r="S28" s="1381"/>
      <c r="T28" s="1381"/>
      <c r="U28" s="1381"/>
      <c r="V28" s="1382"/>
      <c r="W28" s="328"/>
      <c r="X28" s="328"/>
      <c r="Y28" s="328"/>
      <c r="Z28" s="328"/>
      <c r="AA28" s="328"/>
      <c r="AB28" s="1382"/>
      <c r="AC28" s="332">
        <f t="shared" si="1"/>
        <v>0</v>
      </c>
      <c r="AD28" s="332"/>
      <c r="AE28" s="332"/>
      <c r="AF28" s="328"/>
      <c r="AG28" s="332"/>
      <c r="AH28" s="1382"/>
      <c r="AI28" s="1381"/>
      <c r="AJ28" s="290" t="str">
        <f t="shared" ref="AJ28:AJ34" si="6">B28</f>
        <v>Water resources</v>
      </c>
      <c r="AK28" s="1512" t="s">
        <v>792</v>
      </c>
    </row>
    <row r="29" spans="2:37" s="10" customFormat="1" ht="20.25" customHeight="1">
      <c r="B29" s="290" t="s">
        <v>757</v>
      </c>
      <c r="C29" s="1872">
        <f>'Model outputs - Aggregate level'!$F29</f>
        <v>0</v>
      </c>
      <c r="D29" s="36"/>
      <c r="E29" s="294" t="s">
        <v>793</v>
      </c>
      <c r="F29" s="1381"/>
      <c r="G29" s="1381"/>
      <c r="H29" s="1381"/>
      <c r="I29" s="329"/>
      <c r="J29" s="343">
        <f t="shared" si="5"/>
        <v>0</v>
      </c>
      <c r="K29" s="1381"/>
      <c r="L29" s="1381"/>
      <c r="M29" s="1381"/>
      <c r="N29" s="1381"/>
      <c r="O29" s="1381"/>
      <c r="P29" s="1381"/>
      <c r="Q29" s="1381"/>
      <c r="R29" s="1381"/>
      <c r="S29" s="1381"/>
      <c r="T29" s="1381"/>
      <c r="U29" s="1381"/>
      <c r="V29" s="1382"/>
      <c r="W29" s="328"/>
      <c r="X29" s="328"/>
      <c r="Y29" s="328"/>
      <c r="Z29" s="328"/>
      <c r="AA29" s="328"/>
      <c r="AB29" s="1382"/>
      <c r="AC29" s="332">
        <f t="shared" si="1"/>
        <v>0</v>
      </c>
      <c r="AD29" s="332"/>
      <c r="AE29" s="332"/>
      <c r="AF29" s="328"/>
      <c r="AG29" s="332"/>
      <c r="AH29" s="1382"/>
      <c r="AI29" s="1381"/>
      <c r="AJ29" s="290" t="str">
        <f t="shared" si="6"/>
        <v>Water network plus</v>
      </c>
      <c r="AK29" s="1512" t="s">
        <v>794</v>
      </c>
    </row>
    <row r="30" spans="2:37" s="10" customFormat="1" ht="20.25" customHeight="1">
      <c r="B30" s="290" t="s">
        <v>760</v>
      </c>
      <c r="C30" s="1872">
        <f>'Model outputs - Aggregate level'!$F30</f>
        <v>0</v>
      </c>
      <c r="D30" s="36"/>
      <c r="E30" s="294" t="s">
        <v>795</v>
      </c>
      <c r="F30" s="1381"/>
      <c r="G30" s="1381"/>
      <c r="H30" s="1381"/>
      <c r="I30" s="329"/>
      <c r="J30" s="343">
        <f t="shared" si="5"/>
        <v>0</v>
      </c>
      <c r="K30" s="1381"/>
      <c r="L30" s="1381"/>
      <c r="M30" s="1381"/>
      <c r="N30" s="1381"/>
      <c r="O30" s="1381"/>
      <c r="P30" s="1381"/>
      <c r="Q30" s="1381"/>
      <c r="R30" s="1381"/>
      <c r="S30" s="1381"/>
      <c r="T30" s="1381"/>
      <c r="U30" s="1381"/>
      <c r="V30" s="1382"/>
      <c r="W30" s="328"/>
      <c r="X30" s="328"/>
      <c r="Y30" s="328"/>
      <c r="Z30" s="328"/>
      <c r="AA30" s="328"/>
      <c r="AB30" s="1382"/>
      <c r="AC30" s="332">
        <f t="shared" si="1"/>
        <v>0</v>
      </c>
      <c r="AD30" s="332"/>
      <c r="AE30" s="332"/>
      <c r="AF30" s="328"/>
      <c r="AG30" s="332"/>
      <c r="AH30" s="1382"/>
      <c r="AI30" s="1381"/>
      <c r="AJ30" s="290" t="str">
        <f t="shared" si="6"/>
        <v>Wastewater network plus</v>
      </c>
      <c r="AK30" s="1512" t="s">
        <v>796</v>
      </c>
    </row>
    <row r="31" spans="2:37" s="10" customFormat="1" ht="20.25" customHeight="1">
      <c r="B31" s="290" t="s">
        <v>763</v>
      </c>
      <c r="C31" s="1872">
        <f>'Model outputs - Aggregate level'!$F31</f>
        <v>0</v>
      </c>
      <c r="D31" s="36"/>
      <c r="E31" s="294" t="s">
        <v>797</v>
      </c>
      <c r="F31" s="1381"/>
      <c r="G31" s="1381"/>
      <c r="H31" s="1381"/>
      <c r="I31" s="329"/>
      <c r="J31" s="343">
        <f t="shared" si="5"/>
        <v>0</v>
      </c>
      <c r="K31" s="1381"/>
      <c r="L31" s="1381"/>
      <c r="M31" s="1381"/>
      <c r="N31" s="1381"/>
      <c r="O31" s="1381"/>
      <c r="P31" s="1381"/>
      <c r="Q31" s="1381"/>
      <c r="R31" s="1381"/>
      <c r="S31" s="1381"/>
      <c r="T31" s="1381"/>
      <c r="U31" s="1381"/>
      <c r="V31" s="1382"/>
      <c r="W31" s="328"/>
      <c r="X31" s="328"/>
      <c r="Y31" s="328"/>
      <c r="Z31" s="328"/>
      <c r="AA31" s="328"/>
      <c r="AB31" s="1382"/>
      <c r="AC31" s="332">
        <f t="shared" si="1"/>
        <v>0</v>
      </c>
      <c r="AD31" s="332"/>
      <c r="AE31" s="332"/>
      <c r="AF31" s="328"/>
      <c r="AG31" s="332"/>
      <c r="AH31" s="1382"/>
      <c r="AI31" s="1381"/>
      <c r="AJ31" s="290" t="str">
        <f t="shared" si="6"/>
        <v>Bioresources (sludge)</v>
      </c>
      <c r="AK31" s="1512" t="s">
        <v>798</v>
      </c>
    </row>
    <row r="32" spans="2:37" s="10" customFormat="1" ht="20.25" customHeight="1">
      <c r="B32" s="290" t="s">
        <v>766</v>
      </c>
      <c r="C32" s="1872">
        <f>'Model outputs - Aggregate level'!$F32</f>
        <v>0</v>
      </c>
      <c r="D32" s="36"/>
      <c r="E32" s="294" t="s">
        <v>799</v>
      </c>
      <c r="F32" s="1381"/>
      <c r="G32" s="1381"/>
      <c r="H32" s="1381"/>
      <c r="I32" s="329"/>
      <c r="J32" s="343">
        <f t="shared" si="5"/>
        <v>0</v>
      </c>
      <c r="K32" s="1381"/>
      <c r="L32" s="1381"/>
      <c r="M32" s="1381"/>
      <c r="N32" s="1381"/>
      <c r="O32" s="1381"/>
      <c r="P32" s="1381"/>
      <c r="Q32" s="1381"/>
      <c r="R32" s="1381"/>
      <c r="S32" s="1381"/>
      <c r="T32" s="1381"/>
      <c r="U32" s="1381"/>
      <c r="V32" s="1382"/>
      <c r="W32" s="328"/>
      <c r="X32" s="328"/>
      <c r="Y32" s="328"/>
      <c r="Z32" s="328"/>
      <c r="AA32" s="328"/>
      <c r="AB32" s="1382"/>
      <c r="AC32" s="332">
        <f t="shared" si="1"/>
        <v>0</v>
      </c>
      <c r="AD32" s="332"/>
      <c r="AE32" s="332"/>
      <c r="AF32" s="328"/>
      <c r="AG32" s="332"/>
      <c r="AH32" s="1382"/>
      <c r="AI32" s="1381"/>
      <c r="AJ32" s="290" t="str">
        <f t="shared" si="6"/>
        <v>Residential retail</v>
      </c>
      <c r="AK32" s="1512" t="s">
        <v>800</v>
      </c>
    </row>
    <row r="33" spans="2:37" s="10" customFormat="1" ht="20.25" customHeight="1">
      <c r="B33" s="290" t="s">
        <v>769</v>
      </c>
      <c r="C33" s="1872">
        <f>'Model outputs - Aggregate level'!$F33</f>
        <v>0</v>
      </c>
      <c r="D33" s="36"/>
      <c r="E33" s="294" t="s">
        <v>801</v>
      </c>
      <c r="F33" s="1381"/>
      <c r="G33" s="1381"/>
      <c r="H33" s="1381"/>
      <c r="I33" s="329"/>
      <c r="J33" s="343">
        <f t="shared" si="5"/>
        <v>0</v>
      </c>
      <c r="K33" s="1381"/>
      <c r="L33" s="1381"/>
      <c r="M33" s="1381"/>
      <c r="N33" s="1381"/>
      <c r="O33" s="1381"/>
      <c r="P33" s="1381"/>
      <c r="Q33" s="1381"/>
      <c r="R33" s="1381"/>
      <c r="S33" s="1381"/>
      <c r="T33" s="1381"/>
      <c r="U33" s="1381"/>
      <c r="V33" s="1382"/>
      <c r="W33" s="328"/>
      <c r="X33" s="328"/>
      <c r="Y33" s="328"/>
      <c r="Z33" s="328"/>
      <c r="AA33" s="328"/>
      <c r="AB33" s="1382"/>
      <c r="AC33" s="332">
        <f t="shared" si="1"/>
        <v>0</v>
      </c>
      <c r="AD33" s="332"/>
      <c r="AE33" s="332"/>
      <c r="AF33" s="328"/>
      <c r="AG33" s="332"/>
      <c r="AH33" s="1382"/>
      <c r="AI33" s="1381"/>
      <c r="AJ33" s="290" t="str">
        <f t="shared" si="6"/>
        <v>Business retail</v>
      </c>
      <c r="AK33" s="1512" t="s">
        <v>802</v>
      </c>
    </row>
    <row r="34" spans="2:37" s="10" customFormat="1" ht="20.25" customHeight="1">
      <c r="B34" s="290" t="s">
        <v>772</v>
      </c>
      <c r="C34" s="1872">
        <f>'Model outputs - Aggregate level'!$F34</f>
        <v>0</v>
      </c>
      <c r="D34" s="1381"/>
      <c r="E34" s="294" t="s">
        <v>803</v>
      </c>
      <c r="F34" s="1381"/>
      <c r="G34" s="1381"/>
      <c r="H34" s="1381"/>
      <c r="I34" s="329"/>
      <c r="J34" s="343">
        <f t="shared" si="5"/>
        <v>0</v>
      </c>
      <c r="K34" s="1381"/>
      <c r="L34" s="1381"/>
      <c r="M34" s="1381"/>
      <c r="N34" s="1381"/>
      <c r="O34" s="1381"/>
      <c r="P34" s="1381"/>
      <c r="Q34" s="1381"/>
      <c r="R34" s="1381"/>
      <c r="S34" s="1381"/>
      <c r="T34" s="1381"/>
      <c r="U34" s="1381"/>
      <c r="V34" s="1382"/>
      <c r="W34" s="328"/>
      <c r="X34" s="328"/>
      <c r="Y34" s="328"/>
      <c r="Z34" s="328"/>
      <c r="AA34" s="328"/>
      <c r="AB34" s="1382"/>
      <c r="AC34" s="332">
        <f t="shared" si="1"/>
        <v>0</v>
      </c>
      <c r="AD34" s="332"/>
      <c r="AE34" s="332"/>
      <c r="AF34" s="328"/>
      <c r="AG34" s="332"/>
      <c r="AH34" s="1382"/>
      <c r="AI34" s="1381"/>
      <c r="AJ34" s="290" t="str">
        <f t="shared" si="6"/>
        <v>Dummy control</v>
      </c>
      <c r="AK34" s="1512" t="s">
        <v>804</v>
      </c>
    </row>
    <row r="35" spans="2:37" s="10" customFormat="1" ht="14.25">
      <c r="B35" s="1378"/>
      <c r="C35" s="1378"/>
      <c r="D35" s="1381"/>
      <c r="E35" s="1381"/>
      <c r="F35" s="1381"/>
      <c r="G35" s="1381"/>
      <c r="H35" s="1381"/>
      <c r="I35" s="1381"/>
      <c r="J35" s="1381"/>
      <c r="K35" s="1381"/>
      <c r="L35" s="1381"/>
      <c r="M35" s="1381"/>
      <c r="N35" s="1381"/>
      <c r="O35" s="1381"/>
      <c r="P35" s="1381"/>
      <c r="Q35" s="1381"/>
      <c r="R35" s="1381"/>
      <c r="S35" s="1381"/>
      <c r="T35" s="1381"/>
      <c r="U35" s="1381"/>
      <c r="V35" s="1385"/>
      <c r="W35" s="1385"/>
      <c r="X35" s="1385"/>
      <c r="Y35" s="1385"/>
      <c r="Z35" s="1385"/>
      <c r="AA35" s="1385"/>
      <c r="AB35" s="1385"/>
      <c r="AC35" s="1385"/>
      <c r="AD35" s="1385"/>
      <c r="AE35" s="1385"/>
      <c r="AF35" s="1385"/>
      <c r="AG35" s="1385"/>
      <c r="AH35" s="1385"/>
      <c r="AI35" s="1381"/>
      <c r="AJ35" s="1381"/>
      <c r="AK35" s="1381"/>
    </row>
    <row r="36" spans="2:37" s="10" customFormat="1" ht="14.25">
      <c r="B36" s="278" t="s">
        <v>284</v>
      </c>
      <c r="C36" s="1381"/>
      <c r="D36" s="1381"/>
      <c r="E36" s="1381"/>
      <c r="F36" s="1381"/>
      <c r="G36" s="1381"/>
      <c r="H36" s="1381"/>
      <c r="I36" s="1381"/>
      <c r="J36" s="1381"/>
      <c r="K36" s="1381"/>
      <c r="L36" s="1381"/>
      <c r="M36" s="1381"/>
      <c r="N36" s="1381"/>
      <c r="O36" s="1381"/>
      <c r="P36" s="1381"/>
      <c r="Q36" s="1381"/>
      <c r="R36" s="1381"/>
      <c r="S36" s="1381"/>
      <c r="T36" s="1381"/>
      <c r="U36" s="1381"/>
      <c r="V36" s="1381"/>
      <c r="W36" s="1381"/>
      <c r="X36" s="1381"/>
      <c r="Y36" s="1381"/>
      <c r="Z36" s="1381"/>
      <c r="AA36" s="1381"/>
      <c r="AB36" s="1381"/>
      <c r="AC36" s="1381"/>
      <c r="AD36" s="1381"/>
      <c r="AE36" s="1381"/>
      <c r="AF36" s="1381"/>
      <c r="AG36" s="1381"/>
      <c r="AH36" s="1381"/>
      <c r="AI36" s="1381"/>
      <c r="AJ36" s="1381"/>
      <c r="AK36" s="1381"/>
    </row>
    <row r="37" spans="2:37"/>
    <row r="38" spans="2:37">
      <c r="B38" s="1858" t="s">
        <v>285</v>
      </c>
    </row>
    <row r="39" spans="2:37" ht="13.9" thickBot="1"/>
    <row r="40" spans="2:37" ht="14.25" thickTop="1" thickBot="1">
      <c r="B40" s="1859" t="s">
        <v>286</v>
      </c>
    </row>
    <row r="41" spans="2:37" ht="13.9" thickTop="1"/>
    <row r="42" spans="2:37">
      <c r="B42" s="1860" t="s">
        <v>287</v>
      </c>
    </row>
    <row r="43" spans="2:37"/>
    <row r="44" spans="2:37">
      <c r="B44" s="1861" t="s">
        <v>288</v>
      </c>
    </row>
    <row r="45" spans="2:37"/>
    <row r="46" spans="2:37" ht="14.25">
      <c r="B46" s="296" t="str">
        <f>'3A'!$B$53</f>
        <v>Please refer to RAG 4.12 - Guideline for the table definitions in the annual performance report for the reporting year 2023-24</v>
      </c>
    </row>
    <row r="47" spans="2:37"/>
  </sheetData>
  <conditionalFormatting sqref="I10:J16">
    <cfRule type="cellIs" dxfId="224" priority="5" operator="equal">
      <formula>0</formula>
    </cfRule>
  </conditionalFormatting>
  <conditionalFormatting sqref="I19:J25">
    <cfRule type="cellIs" dxfId="223" priority="3" operator="equal">
      <formula>0</formula>
    </cfRule>
  </conditionalFormatting>
  <conditionalFormatting sqref="I28:J34">
    <cfRule type="cellIs" dxfId="222"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5058-D064-407B-B9B8-5B73D82BCD1B}">
  <sheetPr>
    <tabColor rgb="FF0071CE"/>
    <pageSetUpPr fitToPage="1"/>
  </sheetPr>
  <dimension ref="B1:BD42"/>
  <sheetViews>
    <sheetView showGridLines="0" zoomScale="80" zoomScaleNormal="80" zoomScaleSheetLayoutView="100" workbookViewId="0"/>
  </sheetViews>
  <sheetFormatPr defaultColWidth="23.5" defaultRowHeight="13.5" zeroHeight="1"/>
  <cols>
    <col min="1" max="1" width="1.625" style="8" customWidth="1"/>
    <col min="2" max="2" width="18.75" style="8" customWidth="1"/>
    <col min="3" max="3" width="17.5" style="8" customWidth="1"/>
    <col min="4" max="4" width="10.625" style="8" customWidth="1"/>
    <col min="5" max="5" width="9.75" style="8" customWidth="1"/>
    <col min="6" max="6" width="10.625" style="8" customWidth="1"/>
    <col min="7" max="7" width="9.375" style="8" customWidth="1"/>
    <col min="8" max="8" width="10.625" style="8" customWidth="1"/>
    <col min="9" max="9" width="9.75" style="8" customWidth="1"/>
    <col min="10" max="12" width="6.625" style="8" customWidth="1"/>
    <col min="13" max="13" width="0.875" style="8" customWidth="1"/>
    <col min="14" max="14" width="7.625" style="8" customWidth="1"/>
    <col min="15" max="15" width="1.625" style="8" customWidth="1"/>
    <col min="16" max="17" width="12.625" style="8" customWidth="1"/>
    <col min="18" max="21" width="8.625" style="8" customWidth="1"/>
    <col min="22" max="22" width="1.625" style="8" hidden="1" customWidth="1"/>
    <col min="23" max="32" width="3.625" style="8" hidden="1" customWidth="1"/>
    <col min="33" max="33" width="1.625" style="8" hidden="1" customWidth="1"/>
    <col min="34" max="43" width="3.625" style="8" hidden="1" customWidth="1"/>
    <col min="44" max="44" width="1.625" style="8" hidden="1" customWidth="1"/>
    <col min="45" max="45" width="8.625" style="8" customWidth="1"/>
    <col min="46" max="46" width="23.5" style="8"/>
    <col min="47" max="56" width="15.625" style="8" customWidth="1"/>
    <col min="57" max="16384" width="23.5" style="8"/>
  </cols>
  <sheetData>
    <row r="1" spans="2:56" s="1" customFormat="1" ht="35.65" customHeight="1">
      <c r="B1" s="44" t="s">
        <v>45</v>
      </c>
      <c r="C1" s="6"/>
      <c r="F1" s="2109"/>
      <c r="G1" s="2109"/>
      <c r="H1" s="2109"/>
      <c r="V1" s="322"/>
      <c r="AG1" s="322"/>
      <c r="AR1" s="322"/>
    </row>
    <row r="2" spans="2:56" s="1" customFormat="1" ht="10.15" customHeight="1">
      <c r="B2" s="7"/>
      <c r="C2" s="7"/>
      <c r="D2" s="7"/>
      <c r="E2" s="7"/>
      <c r="F2" s="7"/>
      <c r="G2" s="7"/>
      <c r="H2" s="7"/>
      <c r="I2" s="7"/>
      <c r="J2" s="7"/>
      <c r="V2" s="322"/>
      <c r="AG2" s="322"/>
      <c r="AR2" s="322"/>
    </row>
    <row r="3" spans="2:56" s="10" customFormat="1" ht="31.5" customHeight="1">
      <c r="B3" s="297" t="s">
        <v>46</v>
      </c>
      <c r="C3" s="321"/>
      <c r="D3" s="297"/>
      <c r="E3" s="297"/>
      <c r="F3" s="297"/>
      <c r="G3" s="297"/>
      <c r="H3" s="297"/>
      <c r="I3" s="297"/>
      <c r="J3" s="297"/>
      <c r="K3" s="297"/>
      <c r="L3" s="297"/>
      <c r="M3" s="307"/>
      <c r="N3" s="309" t="str">
        <f>'Validation summary'!$B$3</f>
        <v>Southern Water</v>
      </c>
      <c r="O3" s="1384"/>
      <c r="P3" s="300" t="s">
        <v>109</v>
      </c>
      <c r="Q3" s="300"/>
      <c r="R3" s="1381"/>
      <c r="S3" s="1381"/>
      <c r="T3" s="1381"/>
      <c r="U3" s="1381"/>
      <c r="V3" s="1382"/>
      <c r="W3" s="1381"/>
      <c r="X3" s="1381"/>
      <c r="Y3" s="1381"/>
      <c r="Z3" s="1381"/>
      <c r="AA3" s="1381"/>
      <c r="AB3" s="1381"/>
      <c r="AC3" s="1381"/>
      <c r="AD3" s="1381"/>
      <c r="AE3" s="1381"/>
      <c r="AF3" s="1381"/>
      <c r="AG3" s="1382"/>
      <c r="AH3" s="1381"/>
      <c r="AI3" s="1381"/>
      <c r="AJ3" s="1381"/>
      <c r="AK3" s="1381"/>
      <c r="AL3" s="1381"/>
      <c r="AM3" s="1381"/>
      <c r="AN3" s="1381"/>
      <c r="AO3" s="1381"/>
      <c r="AP3" s="1381"/>
      <c r="AQ3" s="1381"/>
      <c r="AR3" s="1382"/>
      <c r="AS3" s="1381"/>
      <c r="AT3" s="300" t="s">
        <v>110</v>
      </c>
      <c r="AU3" s="1381"/>
      <c r="AV3" s="1381"/>
      <c r="AW3" s="1381"/>
      <c r="AX3" s="1381"/>
      <c r="AY3" s="1381"/>
      <c r="AZ3" s="1381"/>
      <c r="BA3" s="1381"/>
      <c r="BB3" s="1381"/>
      <c r="BC3" s="1381"/>
      <c r="BD3" s="1381"/>
    </row>
    <row r="4" spans="2:56" s="10" customFormat="1" ht="14.25" customHeight="1">
      <c r="B4" s="18"/>
      <c r="C4" s="18"/>
      <c r="D4" s="18"/>
      <c r="E4" s="18"/>
      <c r="F4" s="18"/>
      <c r="G4" s="18"/>
      <c r="H4" s="18"/>
      <c r="I4" s="18"/>
      <c r="J4" s="18"/>
      <c r="K4" s="25"/>
      <c r="L4" s="25"/>
      <c r="M4" s="1381"/>
      <c r="N4" s="1381"/>
      <c r="O4" s="1381"/>
      <c r="P4" s="1381"/>
      <c r="Q4" s="1381"/>
      <c r="R4" s="1381"/>
      <c r="S4" s="1381"/>
      <c r="T4" s="1381"/>
      <c r="U4" s="1381"/>
      <c r="V4" s="1382"/>
      <c r="W4" s="1381"/>
      <c r="X4" s="1381"/>
      <c r="Y4" s="1381"/>
      <c r="Z4" s="1381"/>
      <c r="AA4" s="1381"/>
      <c r="AB4" s="1381"/>
      <c r="AC4" s="1381"/>
      <c r="AD4" s="1381"/>
      <c r="AE4" s="1381"/>
      <c r="AF4" s="1381"/>
      <c r="AG4" s="1382"/>
      <c r="AH4" s="1381"/>
      <c r="AI4" s="1381"/>
      <c r="AJ4" s="1381"/>
      <c r="AK4" s="1381"/>
      <c r="AL4" s="1381"/>
      <c r="AM4" s="1381"/>
      <c r="AN4" s="1381"/>
      <c r="AO4" s="1381"/>
      <c r="AP4" s="1381"/>
      <c r="AQ4" s="1381"/>
      <c r="AR4" s="1382"/>
      <c r="AS4" s="1381"/>
      <c r="AT4" s="1381"/>
      <c r="AU4" s="1381"/>
      <c r="AV4" s="1381"/>
      <c r="AW4" s="1381"/>
      <c r="AX4" s="1381"/>
      <c r="AY4" s="1381"/>
      <c r="AZ4" s="1381"/>
      <c r="BA4" s="1381"/>
      <c r="BB4" s="1381"/>
      <c r="BC4" s="1381"/>
      <c r="BD4" s="1381"/>
    </row>
    <row r="5" spans="2:56" s="10" customFormat="1" ht="14.25">
      <c r="B5" s="1381"/>
      <c r="C5" s="26">
        <v>1</v>
      </c>
      <c r="D5" s="26">
        <v>2</v>
      </c>
      <c r="E5" s="26">
        <v>3</v>
      </c>
      <c r="F5" s="1381"/>
      <c r="G5" s="1381"/>
      <c r="H5" s="1381"/>
      <c r="I5" s="1388"/>
      <c r="J5" s="1381"/>
      <c r="K5" s="1378"/>
      <c r="L5" s="1378"/>
      <c r="M5" s="1381"/>
      <c r="N5" s="1381"/>
      <c r="O5" s="1381"/>
      <c r="P5" s="1381"/>
      <c r="Q5" s="1381"/>
      <c r="R5" s="1381"/>
      <c r="S5" s="1381"/>
      <c r="T5" s="1381"/>
      <c r="U5" s="1381"/>
      <c r="V5" s="1382"/>
      <c r="W5" s="1381" t="s">
        <v>121</v>
      </c>
      <c r="X5" s="1381"/>
      <c r="Y5" s="1381"/>
      <c r="Z5" s="1381"/>
      <c r="AA5" s="1381"/>
      <c r="AB5" s="1381"/>
      <c r="AC5" s="1381"/>
      <c r="AD5" s="1381"/>
      <c r="AE5" s="1381"/>
      <c r="AF5" s="1381"/>
      <c r="AG5" s="1382"/>
      <c r="AH5" s="1381" t="s">
        <v>122</v>
      </c>
      <c r="AI5" s="1381"/>
      <c r="AJ5" s="1381"/>
      <c r="AK5" s="1381"/>
      <c r="AL5" s="1381"/>
      <c r="AM5" s="1381"/>
      <c r="AN5" s="1381"/>
      <c r="AO5" s="1381"/>
      <c r="AP5" s="1381"/>
      <c r="AQ5" s="1381"/>
      <c r="AR5" s="1382"/>
      <c r="AS5" s="1381"/>
      <c r="AT5" s="1381"/>
      <c r="AU5" s="1381"/>
      <c r="AV5" s="1381"/>
      <c r="AW5" s="1381"/>
      <c r="AX5" s="1381"/>
      <c r="AY5" s="1381"/>
      <c r="AZ5" s="1381"/>
      <c r="BA5" s="1381"/>
      <c r="BB5" s="1381"/>
      <c r="BC5" s="1381"/>
      <c r="BD5" s="1381"/>
    </row>
    <row r="6" spans="2:56" s="10" customFormat="1" ht="57.75" customHeight="1">
      <c r="B6" s="1321" t="s">
        <v>112</v>
      </c>
      <c r="C6" s="1320" t="s">
        <v>687</v>
      </c>
      <c r="D6" s="1320" t="s">
        <v>688</v>
      </c>
      <c r="E6" s="1320" t="s">
        <v>689</v>
      </c>
      <c r="F6" s="285"/>
      <c r="G6" s="285"/>
      <c r="H6" s="285"/>
      <c r="I6" s="284"/>
      <c r="J6" s="284"/>
      <c r="K6" s="284"/>
      <c r="L6" s="284"/>
      <c r="M6" s="285"/>
      <c r="N6" s="1320" t="s">
        <v>120</v>
      </c>
      <c r="O6" s="1381"/>
      <c r="P6" s="1319" t="s">
        <v>121</v>
      </c>
      <c r="Q6" s="1319" t="s">
        <v>122</v>
      </c>
      <c r="R6" s="1381"/>
      <c r="S6" s="1381"/>
      <c r="T6" s="1381"/>
      <c r="U6" s="1381"/>
      <c r="V6" s="1382"/>
      <c r="W6" s="330" t="s">
        <v>805</v>
      </c>
      <c r="X6" s="1381"/>
      <c r="Y6" s="1381"/>
      <c r="Z6" s="1381"/>
      <c r="AA6" s="330"/>
      <c r="AB6" s="1381"/>
      <c r="AC6" s="1381"/>
      <c r="AD6" s="1381"/>
      <c r="AE6" s="1381"/>
      <c r="AF6" s="1381"/>
      <c r="AG6" s="1382"/>
      <c r="AH6" s="330" t="s">
        <v>125</v>
      </c>
      <c r="AI6" s="1381"/>
      <c r="AJ6" s="330" t="s">
        <v>806</v>
      </c>
      <c r="AK6" s="330"/>
      <c r="AL6" s="330"/>
      <c r="AM6" s="1381"/>
      <c r="AN6" s="1381"/>
      <c r="AO6" s="1381"/>
      <c r="AP6" s="1381"/>
      <c r="AQ6" s="1381"/>
      <c r="AR6" s="1382"/>
      <c r="AS6" s="1381"/>
      <c r="AT6" s="1321" t="str">
        <f>B6</f>
        <v>Line description</v>
      </c>
      <c r="AU6" s="1321" t="str">
        <f t="shared" ref="AU6:AW6" si="0">C6</f>
        <v>Current company level peak week production capacity (PWPC) 
Ml/d</v>
      </c>
      <c r="AV6" s="1321" t="str">
        <f t="shared" si="0"/>
        <v>Reduction in company level PWPC 
Ml/d</v>
      </c>
      <c r="AW6" s="1321" t="str">
        <f t="shared" si="0"/>
        <v>Outage proportion of PWPC 
%</v>
      </c>
      <c r="AX6" s="285"/>
      <c r="AY6" s="285"/>
      <c r="AZ6" s="285"/>
      <c r="BA6" s="284"/>
      <c r="BB6" s="284"/>
      <c r="BC6" s="284"/>
      <c r="BD6" s="284"/>
    </row>
    <row r="7" spans="2:56" s="10" customFormat="1" ht="15.75">
      <c r="B7" s="286"/>
      <c r="C7" s="286"/>
      <c r="D7" s="286"/>
      <c r="E7" s="286"/>
      <c r="F7" s="286"/>
      <c r="G7" s="286"/>
      <c r="H7" s="286"/>
      <c r="I7" s="286"/>
      <c r="J7" s="286"/>
      <c r="K7" s="286"/>
      <c r="L7" s="284"/>
      <c r="M7" s="285"/>
      <c r="N7" s="285"/>
      <c r="O7" s="1381"/>
      <c r="P7" s="1381"/>
      <c r="Q7" s="1381"/>
      <c r="R7" s="1381"/>
      <c r="S7" s="1381"/>
      <c r="T7" s="1381"/>
      <c r="U7" s="1381"/>
      <c r="V7" s="1382"/>
      <c r="W7" s="1381"/>
      <c r="X7" s="1381"/>
      <c r="Y7" s="1381"/>
      <c r="Z7" s="1381"/>
      <c r="AA7" s="1381"/>
      <c r="AB7" s="1381"/>
      <c r="AC7" s="1381"/>
      <c r="AD7" s="1381"/>
      <c r="AE7" s="1381"/>
      <c r="AF7" s="1381"/>
      <c r="AG7" s="1382"/>
      <c r="AH7" s="1381"/>
      <c r="AI7" s="1381"/>
      <c r="AJ7" s="330"/>
      <c r="AK7" s="1381"/>
      <c r="AL7" s="1381"/>
      <c r="AM7" s="1381"/>
      <c r="AN7" s="1381"/>
      <c r="AO7" s="1381"/>
      <c r="AP7" s="1381"/>
      <c r="AQ7" s="1381"/>
      <c r="AR7" s="1382"/>
      <c r="AS7" s="1381"/>
      <c r="AT7" s="286"/>
      <c r="AU7" s="286"/>
      <c r="AV7" s="286"/>
      <c r="AW7" s="286"/>
      <c r="AX7" s="286"/>
      <c r="AY7" s="286"/>
      <c r="AZ7" s="286"/>
      <c r="BA7" s="286"/>
      <c r="BB7" s="286"/>
      <c r="BC7" s="286"/>
      <c r="BD7" s="284"/>
    </row>
    <row r="8" spans="2:56" s="10" customFormat="1" ht="26.25">
      <c r="B8" s="311" t="s">
        <v>690</v>
      </c>
      <c r="C8" s="286"/>
      <c r="D8" s="286"/>
      <c r="E8" s="286"/>
      <c r="F8" s="286"/>
      <c r="G8" s="286"/>
      <c r="H8" s="286"/>
      <c r="I8" s="286"/>
      <c r="J8" s="286"/>
      <c r="K8" s="286"/>
      <c r="L8" s="284"/>
      <c r="M8" s="285"/>
      <c r="N8" s="285"/>
      <c r="O8" s="1381"/>
      <c r="P8" s="1381"/>
      <c r="Q8" s="1381"/>
      <c r="R8" s="1381"/>
      <c r="S8" s="1381"/>
      <c r="T8" s="1381"/>
      <c r="U8" s="1381"/>
      <c r="V8" s="1382"/>
      <c r="W8" s="327">
        <v>1</v>
      </c>
      <c r="X8" s="327">
        <v>2</v>
      </c>
      <c r="Y8" s="327">
        <v>3</v>
      </c>
      <c r="Z8" s="327"/>
      <c r="AA8" s="327"/>
      <c r="AB8" s="327"/>
      <c r="AC8" s="327"/>
      <c r="AD8" s="327"/>
      <c r="AE8" s="327"/>
      <c r="AF8" s="327"/>
      <c r="AG8" s="331"/>
      <c r="AH8" s="327">
        <v>1</v>
      </c>
      <c r="AI8" s="327">
        <v>2</v>
      </c>
      <c r="AJ8" s="327">
        <v>3</v>
      </c>
      <c r="AK8" s="327"/>
      <c r="AL8" s="327"/>
      <c r="AM8" s="327"/>
      <c r="AN8" s="327"/>
      <c r="AO8" s="327"/>
      <c r="AP8" s="327"/>
      <c r="AQ8" s="327"/>
      <c r="AR8" s="1382"/>
      <c r="AS8" s="1381"/>
      <c r="AT8" s="311" t="s">
        <v>690</v>
      </c>
      <c r="AU8" s="286"/>
      <c r="AV8" s="286"/>
      <c r="AW8" s="286"/>
      <c r="AX8" s="286"/>
      <c r="AY8" s="286"/>
      <c r="AZ8" s="286"/>
      <c r="BA8" s="286"/>
      <c r="BB8" s="286"/>
      <c r="BC8" s="286"/>
      <c r="BD8" s="284"/>
    </row>
    <row r="9" spans="2:56" s="22" customFormat="1" ht="25.5" customHeight="1">
      <c r="B9" s="310" t="s">
        <v>807</v>
      </c>
      <c r="C9" s="1921">
        <v>867.67000000000007</v>
      </c>
      <c r="D9" s="1922">
        <v>49.260000000000005</v>
      </c>
      <c r="E9" s="1924">
        <f>(D9/C9)</f>
        <v>5.6772736178501045E-2</v>
      </c>
      <c r="H9" s="27"/>
      <c r="I9" s="27"/>
      <c r="J9" s="27"/>
      <c r="K9" s="27"/>
      <c r="L9" s="27"/>
      <c r="N9" s="294" t="s">
        <v>808</v>
      </c>
      <c r="P9" s="329">
        <f>IF(SUM($W9:$Y9)=0,0,$W$6)</f>
        <v>0</v>
      </c>
      <c r="Q9" s="343">
        <f>IF(AI9=1,$AH$6,IF(OR(AH9=1,AJ9=1),$AJ$6,0))</f>
        <v>0</v>
      </c>
      <c r="R9" s="259"/>
      <c r="S9" s="259"/>
      <c r="T9" s="259"/>
      <c r="U9" s="259"/>
      <c r="V9" s="1382"/>
      <c r="W9" s="332">
        <f>IF(ISBLANK($C9)=TRUE,1,0)</f>
        <v>0</v>
      </c>
      <c r="X9" s="332">
        <f>IF(ISBLANK($D9)=TRUE,1,0)</f>
        <v>0</v>
      </c>
      <c r="Y9" s="332"/>
      <c r="Z9" s="327"/>
      <c r="AA9" s="327"/>
      <c r="AB9" s="327"/>
      <c r="AC9" s="327"/>
      <c r="AD9" s="327"/>
      <c r="AE9" s="327"/>
      <c r="AF9" s="327"/>
      <c r="AG9" s="331"/>
      <c r="AH9" s="332">
        <f>IF($C9&lt;0,1,0)</f>
        <v>0</v>
      </c>
      <c r="AI9" s="332">
        <f>IF($D9&lt;0,1,0)</f>
        <v>0</v>
      </c>
      <c r="AJ9" s="332">
        <f>IF(ISERROR($E9)=TRUE,1,0)</f>
        <v>0</v>
      </c>
      <c r="AK9" s="332"/>
      <c r="AL9" s="332"/>
      <c r="AM9" s="332"/>
      <c r="AN9" s="332"/>
      <c r="AO9" s="332"/>
      <c r="AP9" s="332"/>
      <c r="AQ9" s="332"/>
      <c r="AR9" s="1382"/>
      <c r="AT9" s="1515" t="str">
        <f>B9</f>
        <v>Planned outage</v>
      </c>
      <c r="AU9" s="1512" t="s">
        <v>809</v>
      </c>
      <c r="AV9" s="1516" t="s">
        <v>810</v>
      </c>
      <c r="AW9" s="1517" t="s">
        <v>811</v>
      </c>
      <c r="AZ9" s="27"/>
      <c r="BA9" s="27"/>
      <c r="BB9" s="27"/>
      <c r="BC9" s="27"/>
      <c r="BD9" s="27"/>
    </row>
    <row r="10" spans="2:56" s="22" customFormat="1" ht="14.25" customHeight="1">
      <c r="B10" s="28"/>
      <c r="C10" s="12"/>
      <c r="D10" s="12"/>
      <c r="E10" s="12"/>
      <c r="H10" s="27"/>
      <c r="I10" s="27"/>
      <c r="J10" s="27"/>
      <c r="K10" s="27"/>
      <c r="L10" s="27"/>
      <c r="N10" s="11"/>
      <c r="P10" s="11"/>
      <c r="Q10" s="11"/>
      <c r="R10" s="259"/>
      <c r="S10" s="259"/>
      <c r="T10" s="259"/>
      <c r="V10" s="1382"/>
      <c r="W10" s="328"/>
      <c r="X10" s="328"/>
      <c r="Y10" s="328"/>
      <c r="Z10" s="328"/>
      <c r="AA10" s="328"/>
      <c r="AB10" s="328"/>
      <c r="AC10" s="328"/>
      <c r="AD10" s="328"/>
      <c r="AE10" s="328"/>
      <c r="AF10" s="328"/>
      <c r="AG10" s="1382"/>
      <c r="AH10" s="332"/>
      <c r="AI10" s="332"/>
      <c r="AJ10" s="332"/>
      <c r="AK10" s="328"/>
      <c r="AL10" s="328"/>
      <c r="AM10" s="332"/>
      <c r="AN10" s="332"/>
      <c r="AO10" s="332"/>
      <c r="AP10" s="332"/>
      <c r="AQ10" s="332"/>
      <c r="AR10" s="1382"/>
      <c r="AT10" s="28"/>
      <c r="AU10" s="12"/>
      <c r="AV10" s="12"/>
      <c r="AW10" s="12"/>
      <c r="AZ10" s="27"/>
      <c r="BA10" s="27"/>
      <c r="BB10" s="27"/>
      <c r="BC10" s="27"/>
      <c r="BD10" s="27"/>
    </row>
    <row r="11" spans="2:56" s="10" customFormat="1" ht="14.25">
      <c r="B11" s="1378"/>
      <c r="C11" s="26">
        <v>4</v>
      </c>
      <c r="D11" s="26">
        <v>5</v>
      </c>
      <c r="E11" s="26">
        <v>6</v>
      </c>
      <c r="F11" s="26">
        <v>7</v>
      </c>
      <c r="G11" s="26">
        <v>8</v>
      </c>
      <c r="H11" s="26">
        <v>9</v>
      </c>
      <c r="I11" s="26"/>
      <c r="J11" s="1378"/>
      <c r="K11" s="1378"/>
      <c r="L11" s="1378"/>
      <c r="M11" s="1381"/>
      <c r="N11" s="1381"/>
      <c r="O11" s="1381"/>
      <c r="P11" s="1381"/>
      <c r="Q11" s="1381"/>
      <c r="R11" s="1381"/>
      <c r="S11" s="1381"/>
      <c r="T11" s="1381"/>
      <c r="U11" s="1381"/>
      <c r="V11" s="1382"/>
      <c r="W11" s="328"/>
      <c r="X11" s="328"/>
      <c r="Y11" s="328"/>
      <c r="Z11" s="328"/>
      <c r="AA11" s="328"/>
      <c r="AB11" s="328"/>
      <c r="AC11" s="328"/>
      <c r="AD11" s="328"/>
      <c r="AE11" s="328"/>
      <c r="AF11" s="328"/>
      <c r="AG11" s="1382"/>
      <c r="AH11" s="332"/>
      <c r="AI11" s="332"/>
      <c r="AJ11" s="332"/>
      <c r="AK11" s="328"/>
      <c r="AL11" s="328"/>
      <c r="AM11" s="332"/>
      <c r="AN11" s="332"/>
      <c r="AO11" s="332"/>
      <c r="AP11" s="332"/>
      <c r="AQ11" s="332"/>
      <c r="AR11" s="1382"/>
      <c r="AS11" s="1381"/>
      <c r="AT11" s="1378"/>
      <c r="AU11" s="26">
        <v>4</v>
      </c>
      <c r="AV11" s="26">
        <v>5</v>
      </c>
      <c r="AW11" s="26">
        <v>6</v>
      </c>
      <c r="AX11" s="26">
        <v>7</v>
      </c>
      <c r="AY11" s="26">
        <v>8</v>
      </c>
      <c r="AZ11" s="26">
        <v>9</v>
      </c>
      <c r="BA11" s="26"/>
      <c r="BB11" s="1378"/>
      <c r="BC11" s="1378"/>
      <c r="BD11" s="1378"/>
    </row>
    <row r="12" spans="2:56" s="10" customFormat="1" ht="44.25" customHeight="1">
      <c r="B12" s="1321" t="s">
        <v>112</v>
      </c>
      <c r="C12" s="1320" t="s">
        <v>812</v>
      </c>
      <c r="D12" s="1320" t="s">
        <v>813</v>
      </c>
      <c r="E12" s="1320" t="s">
        <v>814</v>
      </c>
      <c r="F12" s="1320" t="s">
        <v>815</v>
      </c>
      <c r="G12" s="1320" t="s">
        <v>816</v>
      </c>
      <c r="H12" s="1320" t="s">
        <v>817</v>
      </c>
      <c r="I12" s="1378"/>
      <c r="J12" s="1378"/>
      <c r="K12" s="1378"/>
      <c r="L12" s="1378"/>
      <c r="M12" s="1381"/>
      <c r="N12" s="1381"/>
      <c r="O12" s="1381"/>
      <c r="P12" s="1381"/>
      <c r="Q12" s="1381"/>
      <c r="R12" s="1381"/>
      <c r="S12" s="1381"/>
      <c r="T12" s="1381"/>
      <c r="U12" s="1381"/>
      <c r="V12" s="1382"/>
      <c r="W12" s="328"/>
      <c r="X12" s="328"/>
      <c r="Y12" s="328"/>
      <c r="Z12" s="328"/>
      <c r="AA12" s="328"/>
      <c r="AB12" s="328"/>
      <c r="AC12" s="328"/>
      <c r="AD12" s="328"/>
      <c r="AE12" s="328"/>
      <c r="AF12" s="328"/>
      <c r="AG12" s="1382"/>
      <c r="AH12" s="332"/>
      <c r="AI12" s="332"/>
      <c r="AJ12" s="332"/>
      <c r="AK12" s="328"/>
      <c r="AL12" s="328"/>
      <c r="AM12" s="332"/>
      <c r="AN12" s="332"/>
      <c r="AO12" s="332"/>
      <c r="AP12" s="332"/>
      <c r="AQ12" s="332"/>
      <c r="AR12" s="1382"/>
      <c r="AS12" s="1381"/>
      <c r="AT12" s="1321" t="str">
        <f t="shared" ref="AT12:AZ12" si="1">B12</f>
        <v>Line description</v>
      </c>
      <c r="AU12" s="1321" t="str">
        <f t="shared" si="1"/>
        <v>Deployable output</v>
      </c>
      <c r="AV12" s="1321" t="str">
        <f t="shared" si="1"/>
        <v>Outage allowance</v>
      </c>
      <c r="AW12" s="1321" t="str">
        <f t="shared" si="1"/>
        <v>Dry year demand</v>
      </c>
      <c r="AX12" s="1321" t="str">
        <f t="shared" si="1"/>
        <v>Target headroom</v>
      </c>
      <c r="AY12" s="1321" t="str">
        <f t="shared" si="1"/>
        <v>Total population supplied</v>
      </c>
      <c r="AZ12" s="1321" t="str">
        <f t="shared" si="1"/>
        <v>Customers at risk</v>
      </c>
      <c r="BA12" s="1378"/>
      <c r="BB12" s="1378"/>
      <c r="BC12" s="1378"/>
      <c r="BD12" s="1378"/>
    </row>
    <row r="13" spans="2:56" s="10" customFormat="1" ht="15.75">
      <c r="B13" s="286"/>
      <c r="C13" s="286"/>
      <c r="D13" s="286"/>
      <c r="E13" s="286"/>
      <c r="F13" s="286"/>
      <c r="G13" s="286"/>
      <c r="H13" s="286"/>
      <c r="I13" s="1378"/>
      <c r="J13" s="1378"/>
      <c r="K13" s="1378"/>
      <c r="L13" s="1378"/>
      <c r="M13" s="1381"/>
      <c r="N13" s="1381"/>
      <c r="O13" s="1381"/>
      <c r="P13" s="1381"/>
      <c r="Q13" s="1381"/>
      <c r="R13" s="1381"/>
      <c r="S13" s="1381"/>
      <c r="T13" s="1381"/>
      <c r="U13" s="1381"/>
      <c r="V13" s="1382"/>
      <c r="W13" s="330" t="s">
        <v>124</v>
      </c>
      <c r="X13" s="328"/>
      <c r="Y13" s="328"/>
      <c r="Z13" s="328"/>
      <c r="AA13" s="328"/>
      <c r="AB13" s="328"/>
      <c r="AC13" s="328"/>
      <c r="AD13" s="328"/>
      <c r="AE13" s="328"/>
      <c r="AF13" s="328"/>
      <c r="AG13" s="1382"/>
      <c r="AH13" s="330" t="s">
        <v>818</v>
      </c>
      <c r="AI13" s="332"/>
      <c r="AJ13" s="332"/>
      <c r="AK13" s="328"/>
      <c r="AL13" s="328"/>
      <c r="AM13" s="332"/>
      <c r="AN13" s="332"/>
      <c r="AO13" s="332"/>
      <c r="AP13" s="332"/>
      <c r="AQ13" s="332"/>
      <c r="AR13" s="1382"/>
      <c r="AS13" s="1381"/>
      <c r="AT13" s="286"/>
      <c r="AU13" s="286"/>
      <c r="AV13" s="286"/>
      <c r="AW13" s="286"/>
      <c r="AX13" s="286"/>
      <c r="AY13" s="286"/>
      <c r="AZ13" s="286"/>
      <c r="BA13" s="1378"/>
      <c r="BB13" s="1378"/>
      <c r="BC13" s="1378"/>
      <c r="BD13" s="1378"/>
    </row>
    <row r="14" spans="2:56" s="10" customFormat="1" ht="31.5" customHeight="1">
      <c r="B14" s="311" t="s">
        <v>819</v>
      </c>
      <c r="C14" s="286"/>
      <c r="D14" s="286"/>
      <c r="E14" s="286"/>
      <c r="F14" s="286"/>
      <c r="G14" s="286"/>
      <c r="H14" s="286"/>
      <c r="I14" s="1378"/>
      <c r="J14" s="1378"/>
      <c r="K14" s="1378"/>
      <c r="L14" s="1378"/>
      <c r="M14" s="1381"/>
      <c r="N14" s="1381"/>
      <c r="O14" s="1381"/>
      <c r="P14" s="1381"/>
      <c r="Q14" s="1381"/>
      <c r="R14" s="1381"/>
      <c r="S14" s="1381"/>
      <c r="T14" s="1381"/>
      <c r="U14" s="1381"/>
      <c r="V14" s="1382"/>
      <c r="W14" s="327">
        <v>4</v>
      </c>
      <c r="X14" s="327">
        <v>5</v>
      </c>
      <c r="Y14" s="327">
        <v>6</v>
      </c>
      <c r="Z14" s="327">
        <v>7</v>
      </c>
      <c r="AA14" s="327">
        <v>8</v>
      </c>
      <c r="AB14" s="327">
        <v>9</v>
      </c>
      <c r="AC14" s="327"/>
      <c r="AD14" s="327"/>
      <c r="AE14" s="327"/>
      <c r="AF14" s="327"/>
      <c r="AG14" s="1382"/>
      <c r="AH14" s="327">
        <v>4</v>
      </c>
      <c r="AI14" s="327">
        <v>5</v>
      </c>
      <c r="AJ14" s="327">
        <v>6</v>
      </c>
      <c r="AK14" s="327">
        <v>7</v>
      </c>
      <c r="AL14" s="327">
        <v>8</v>
      </c>
      <c r="AM14" s="327">
        <v>9</v>
      </c>
      <c r="AN14" s="327"/>
      <c r="AO14" s="327"/>
      <c r="AP14" s="327"/>
      <c r="AQ14" s="327"/>
      <c r="AR14" s="1382"/>
      <c r="AS14" s="1381"/>
      <c r="AT14" s="311" t="s">
        <v>819</v>
      </c>
      <c r="AU14" s="286"/>
      <c r="AV14" s="286"/>
      <c r="AW14" s="286"/>
      <c r="AX14" s="286"/>
      <c r="AY14" s="286"/>
      <c r="AZ14" s="286"/>
      <c r="BA14" s="1378"/>
      <c r="BB14" s="1378"/>
      <c r="BC14" s="1378"/>
      <c r="BD14" s="1378"/>
    </row>
    <row r="15" spans="2:56" s="22" customFormat="1" ht="31.5" customHeight="1">
      <c r="B15" s="310" t="s">
        <v>819</v>
      </c>
      <c r="C15" s="1922">
        <v>756.97285596858501</v>
      </c>
      <c r="D15" s="1922">
        <v>73.267219113287481</v>
      </c>
      <c r="E15" s="1922">
        <v>565.16300000000001</v>
      </c>
      <c r="F15" s="1922">
        <v>31.161458156705823</v>
      </c>
      <c r="G15" s="1922">
        <v>2676565</v>
      </c>
      <c r="H15" s="1922">
        <v>0</v>
      </c>
      <c r="I15" s="27"/>
      <c r="J15" s="27"/>
      <c r="K15" s="27"/>
      <c r="L15" s="27"/>
      <c r="N15" s="294" t="s">
        <v>820</v>
      </c>
      <c r="P15" s="329">
        <f>IF(SUM($W15:$AB15)=0,0,$W$13)</f>
        <v>0</v>
      </c>
      <c r="Q15" s="343">
        <f>IF(SUM($AH15:$AM15)=0,0,$AH$13)</f>
        <v>0</v>
      </c>
      <c r="R15" s="259"/>
      <c r="S15" s="259"/>
      <c r="T15" s="259"/>
      <c r="U15" s="259"/>
      <c r="V15" s="1382"/>
      <c r="W15" s="332">
        <f>IF(ISBLANK($C15)=TRUE,1,0)</f>
        <v>0</v>
      </c>
      <c r="X15" s="332">
        <f>IF(ISBLANK($D15)=TRUE,1,0)</f>
        <v>0</v>
      </c>
      <c r="Y15" s="332">
        <f>IF(ISBLANK($E15)=TRUE,1,0)</f>
        <v>0</v>
      </c>
      <c r="Z15" s="332">
        <f>IF(ISBLANK($F15)=TRUE,1,0)</f>
        <v>0</v>
      </c>
      <c r="AA15" s="332">
        <f>IF(ISBLANK($G15)=TRUE,1,0)</f>
        <v>0</v>
      </c>
      <c r="AB15" s="332">
        <f>IF(ISBLANK($H15)=TRUE,1,0)</f>
        <v>0</v>
      </c>
      <c r="AC15" s="332"/>
      <c r="AD15" s="332"/>
      <c r="AE15" s="332"/>
      <c r="AF15" s="332"/>
      <c r="AG15" s="1382"/>
      <c r="AH15" s="332">
        <f>IF($C15&lt;0,1,0)</f>
        <v>0</v>
      </c>
      <c r="AI15" s="332">
        <f>IF($D15&lt;0,1,0)</f>
        <v>0</v>
      </c>
      <c r="AJ15" s="332">
        <f>IF($E15&lt;0,1,0)</f>
        <v>0</v>
      </c>
      <c r="AK15" s="332">
        <f>IF($F15&lt;0,1,0)</f>
        <v>0</v>
      </c>
      <c r="AL15" s="332">
        <f>IF($G15&lt;0,1,0)</f>
        <v>0</v>
      </c>
      <c r="AM15" s="332">
        <f>IF($H15&lt;0,1,0)</f>
        <v>0</v>
      </c>
      <c r="AN15" s="332"/>
      <c r="AO15" s="332"/>
      <c r="AP15" s="332"/>
      <c r="AQ15" s="332"/>
      <c r="AR15" s="1382"/>
      <c r="AT15" s="1515" t="str">
        <f>B15</f>
        <v>Risk of severe restrictions in drought</v>
      </c>
      <c r="AU15" s="1516" t="s">
        <v>821</v>
      </c>
      <c r="AV15" s="1516" t="s">
        <v>822</v>
      </c>
      <c r="AW15" s="1516" t="s">
        <v>823</v>
      </c>
      <c r="AX15" s="1516" t="s">
        <v>824</v>
      </c>
      <c r="AY15" s="1516" t="s">
        <v>825</v>
      </c>
      <c r="AZ15" s="1516" t="s">
        <v>826</v>
      </c>
      <c r="BA15" s="27"/>
      <c r="BB15" s="27"/>
      <c r="BC15" s="27"/>
      <c r="BD15" s="27"/>
    </row>
    <row r="16" spans="2:56" s="22" customFormat="1" ht="31.5" customHeight="1">
      <c r="B16" s="28"/>
      <c r="C16" s="12"/>
      <c r="D16" s="12"/>
      <c r="E16" s="12"/>
      <c r="F16" s="12"/>
      <c r="G16" s="12"/>
      <c r="H16" s="12"/>
      <c r="I16" s="27"/>
      <c r="J16" s="27"/>
      <c r="K16" s="27"/>
      <c r="L16" s="27"/>
      <c r="N16" s="11"/>
      <c r="P16" s="11"/>
      <c r="Q16" s="11"/>
      <c r="V16" s="1382"/>
      <c r="W16" s="332"/>
      <c r="X16" s="332"/>
      <c r="Y16" s="332"/>
      <c r="Z16" s="332"/>
      <c r="AA16" s="332"/>
      <c r="AB16" s="332"/>
      <c r="AC16" s="332"/>
      <c r="AD16" s="332"/>
      <c r="AE16" s="332"/>
      <c r="AF16" s="332"/>
      <c r="AG16" s="1382"/>
      <c r="AH16" s="332"/>
      <c r="AI16" s="332"/>
      <c r="AJ16" s="332"/>
      <c r="AK16" s="332"/>
      <c r="AL16" s="332"/>
      <c r="AM16" s="332"/>
      <c r="AN16" s="332"/>
      <c r="AO16" s="332"/>
      <c r="AP16" s="332"/>
      <c r="AQ16" s="332"/>
      <c r="AR16" s="1382"/>
      <c r="AT16" s="28"/>
      <c r="AU16" s="12"/>
      <c r="AV16" s="12"/>
      <c r="AW16" s="12"/>
      <c r="AX16" s="12"/>
      <c r="AY16" s="12"/>
      <c r="AZ16" s="12"/>
      <c r="BA16" s="27"/>
      <c r="BB16" s="27"/>
      <c r="BC16" s="27"/>
      <c r="BD16" s="27"/>
    </row>
    <row r="17" spans="2:56" s="10" customFormat="1" ht="14.25">
      <c r="B17" s="1386"/>
      <c r="C17" s="26">
        <v>10</v>
      </c>
      <c r="D17" s="26">
        <v>11</v>
      </c>
      <c r="E17" s="26">
        <v>12</v>
      </c>
      <c r="F17" s="26">
        <v>13</v>
      </c>
      <c r="G17" s="26">
        <v>14</v>
      </c>
      <c r="H17" s="26">
        <v>15</v>
      </c>
      <c r="I17" s="26">
        <v>16</v>
      </c>
      <c r="J17" s="26">
        <v>17</v>
      </c>
      <c r="K17" s="26">
        <v>18</v>
      </c>
      <c r="L17" s="26">
        <v>19</v>
      </c>
      <c r="M17" s="1381">
        <v>20</v>
      </c>
      <c r="N17" s="1381"/>
      <c r="O17" s="1381"/>
      <c r="P17" s="1381"/>
      <c r="Q17" s="1381"/>
      <c r="R17" s="1381"/>
      <c r="S17" s="1381"/>
      <c r="T17" s="1381"/>
      <c r="U17" s="1381"/>
      <c r="V17" s="1382"/>
      <c r="W17" s="327"/>
      <c r="X17" s="327"/>
      <c r="Y17" s="327"/>
      <c r="Z17" s="327"/>
      <c r="AA17" s="327"/>
      <c r="AB17" s="327"/>
      <c r="AC17" s="327"/>
      <c r="AD17" s="327"/>
      <c r="AE17" s="327"/>
      <c r="AF17" s="327"/>
      <c r="AG17" s="1382"/>
      <c r="AH17" s="327"/>
      <c r="AI17" s="327"/>
      <c r="AJ17" s="327"/>
      <c r="AK17" s="327"/>
      <c r="AL17" s="327"/>
      <c r="AM17" s="327"/>
      <c r="AN17" s="327"/>
      <c r="AO17" s="327"/>
      <c r="AP17" s="327"/>
      <c r="AQ17" s="327"/>
      <c r="AR17" s="1382"/>
      <c r="AS17" s="1381"/>
      <c r="AT17" s="1386"/>
      <c r="AU17" s="26">
        <v>10</v>
      </c>
      <c r="AV17" s="26">
        <v>11</v>
      </c>
      <c r="AW17" s="26">
        <v>12</v>
      </c>
      <c r="AX17" s="26">
        <v>13</v>
      </c>
      <c r="AY17" s="26">
        <v>14</v>
      </c>
      <c r="AZ17" s="26">
        <v>15</v>
      </c>
      <c r="BA17" s="26">
        <v>16</v>
      </c>
      <c r="BB17" s="26">
        <v>17</v>
      </c>
      <c r="BC17" s="26">
        <v>18</v>
      </c>
      <c r="BD17" s="26">
        <v>19</v>
      </c>
    </row>
    <row r="18" spans="2:56" s="10" customFormat="1" ht="31.5" customHeight="1">
      <c r="B18" s="2087" t="s">
        <v>112</v>
      </c>
      <c r="C18" s="2087" t="s">
        <v>827</v>
      </c>
      <c r="D18" s="2087" t="s">
        <v>828</v>
      </c>
      <c r="E18" s="2087" t="s">
        <v>829</v>
      </c>
      <c r="F18" s="2087" t="s">
        <v>830</v>
      </c>
      <c r="G18" s="2087" t="s">
        <v>831</v>
      </c>
      <c r="H18" s="2087" t="s">
        <v>832</v>
      </c>
      <c r="I18" s="2087" t="s">
        <v>833</v>
      </c>
      <c r="J18" s="2087" t="s">
        <v>834</v>
      </c>
      <c r="K18" s="2087"/>
      <c r="L18" s="2087"/>
      <c r="M18" s="285"/>
      <c r="N18" s="285"/>
      <c r="O18" s="1381"/>
      <c r="P18" s="285"/>
      <c r="Q18" s="285"/>
      <c r="R18" s="1381"/>
      <c r="S18" s="1381"/>
      <c r="T18" s="1381"/>
      <c r="U18" s="1381"/>
      <c r="V18" s="1382"/>
      <c r="W18" s="332"/>
      <c r="X18" s="332"/>
      <c r="Y18" s="332"/>
      <c r="Z18" s="332"/>
      <c r="AA18" s="332"/>
      <c r="AB18" s="332"/>
      <c r="AC18" s="332"/>
      <c r="AD18" s="332"/>
      <c r="AE18" s="332"/>
      <c r="AF18" s="332"/>
      <c r="AG18" s="1382"/>
      <c r="AH18" s="332"/>
      <c r="AI18" s="332"/>
      <c r="AJ18" s="332"/>
      <c r="AK18" s="332"/>
      <c r="AL18" s="332"/>
      <c r="AM18" s="332"/>
      <c r="AN18" s="332"/>
      <c r="AO18" s="332"/>
      <c r="AP18" s="332"/>
      <c r="AQ18" s="332"/>
      <c r="AR18" s="1382"/>
      <c r="AS18" s="1381"/>
      <c r="AT18" s="2090" t="str">
        <f>B18</f>
        <v>Line description</v>
      </c>
      <c r="AU18" s="2090" t="str">
        <f t="shared" ref="AU18:BA18" si="2">C18</f>
        <v xml:space="preserve">Total pe served </v>
      </c>
      <c r="AV18" s="2090" t="str">
        <f t="shared" si="2"/>
        <v xml:space="preserve">Total pe in excluded catchments </v>
      </c>
      <c r="AW18" s="2090" t="str">
        <f t="shared" si="2"/>
        <v xml:space="preserve">Percentage of total pe in excluded catchments </v>
      </c>
      <c r="AX18" s="2090" t="str">
        <f t="shared" si="2"/>
        <v xml:space="preserve">Total pe Option 1a </v>
      </c>
      <c r="AY18" s="2090" t="str">
        <f t="shared" si="2"/>
        <v xml:space="preserve">Percentage of total pe Option 1a </v>
      </c>
      <c r="AZ18" s="2090" t="str">
        <f t="shared" si="2"/>
        <v xml:space="preserve">Total pe Option 1b </v>
      </c>
      <c r="BA18" s="2090" t="str">
        <f t="shared" si="2"/>
        <v xml:space="preserve">Percentage of total pe Option 1b </v>
      </c>
      <c r="BB18" s="2098" t="str">
        <f>J18</f>
        <v>Vulnerability risk grade</v>
      </c>
      <c r="BC18" s="2099"/>
      <c r="BD18" s="2100"/>
    </row>
    <row r="19" spans="2:56" s="10" customFormat="1" ht="30" customHeight="1">
      <c r="B19" s="2087"/>
      <c r="C19" s="2087"/>
      <c r="D19" s="2087"/>
      <c r="E19" s="2087"/>
      <c r="F19" s="2087"/>
      <c r="G19" s="2087"/>
      <c r="H19" s="2087"/>
      <c r="I19" s="2087"/>
      <c r="J19" s="1320" t="s">
        <v>835</v>
      </c>
      <c r="K19" s="1320" t="s">
        <v>836</v>
      </c>
      <c r="L19" s="1320" t="s">
        <v>837</v>
      </c>
      <c r="M19" s="285"/>
      <c r="N19" s="285"/>
      <c r="O19" s="1381"/>
      <c r="P19" s="285"/>
      <c r="Q19" s="285"/>
      <c r="R19" s="1381"/>
      <c r="S19" s="1381"/>
      <c r="T19" s="1381"/>
      <c r="U19" s="1381"/>
      <c r="V19" s="1382"/>
      <c r="W19" s="332"/>
      <c r="X19" s="332"/>
      <c r="Y19" s="332"/>
      <c r="Z19" s="332"/>
      <c r="AA19" s="332"/>
      <c r="AB19" s="332"/>
      <c r="AC19" s="332"/>
      <c r="AD19" s="332"/>
      <c r="AE19" s="332"/>
      <c r="AF19" s="332"/>
      <c r="AG19" s="1382"/>
      <c r="AH19" s="332"/>
      <c r="AI19" s="332"/>
      <c r="AJ19" s="332"/>
      <c r="AK19" s="332"/>
      <c r="AL19" s="332"/>
      <c r="AM19" s="332"/>
      <c r="AN19" s="332"/>
      <c r="AO19" s="332"/>
      <c r="AP19" s="332"/>
      <c r="AQ19" s="332"/>
      <c r="AR19" s="1382"/>
      <c r="AS19" s="1381"/>
      <c r="AT19" s="2097"/>
      <c r="AU19" s="2097"/>
      <c r="AV19" s="2097"/>
      <c r="AW19" s="2097"/>
      <c r="AX19" s="2097"/>
      <c r="AY19" s="2097"/>
      <c r="AZ19" s="2097"/>
      <c r="BA19" s="2097"/>
      <c r="BB19" s="1321" t="str">
        <f t="shared" ref="BB19:BD19" si="3">J19</f>
        <v>Low</v>
      </c>
      <c r="BC19" s="1321" t="str">
        <f t="shared" si="3"/>
        <v>Medium</v>
      </c>
      <c r="BD19" s="1321" t="str">
        <f t="shared" si="3"/>
        <v>High</v>
      </c>
    </row>
    <row r="20" spans="2:56" s="10" customFormat="1" ht="34.5" customHeight="1">
      <c r="B20" s="2087"/>
      <c r="C20" s="2087"/>
      <c r="D20" s="2087"/>
      <c r="E20" s="2087"/>
      <c r="F20" s="2087"/>
      <c r="G20" s="2087"/>
      <c r="H20" s="2087"/>
      <c r="I20" s="2087"/>
      <c r="J20" s="2087" t="s">
        <v>838</v>
      </c>
      <c r="K20" s="2087"/>
      <c r="L20" s="2087"/>
      <c r="M20" s="285"/>
      <c r="N20" s="285"/>
      <c r="O20" s="1381"/>
      <c r="P20" s="285"/>
      <c r="Q20" s="285"/>
      <c r="R20" s="1381"/>
      <c r="S20" s="1381"/>
      <c r="T20" s="1381"/>
      <c r="U20" s="1381"/>
      <c r="V20" s="1382"/>
      <c r="W20" s="332"/>
      <c r="X20" s="332"/>
      <c r="Y20" s="332"/>
      <c r="Z20" s="332"/>
      <c r="AA20" s="332"/>
      <c r="AB20" s="332"/>
      <c r="AC20" s="332"/>
      <c r="AD20" s="332"/>
      <c r="AE20" s="332"/>
      <c r="AF20" s="332"/>
      <c r="AG20" s="1382"/>
      <c r="AH20" s="332"/>
      <c r="AI20" s="332"/>
      <c r="AJ20" s="332"/>
      <c r="AK20" s="332"/>
      <c r="AL20" s="332"/>
      <c r="AM20" s="332"/>
      <c r="AN20" s="332"/>
      <c r="AO20" s="332"/>
      <c r="AP20" s="332"/>
      <c r="AQ20" s="332"/>
      <c r="AR20" s="1382"/>
      <c r="AS20" s="1381"/>
      <c r="AT20" s="2091"/>
      <c r="AU20" s="2091"/>
      <c r="AV20" s="2091"/>
      <c r="AW20" s="2091"/>
      <c r="AX20" s="2091"/>
      <c r="AY20" s="2091"/>
      <c r="AZ20" s="2091"/>
      <c r="BA20" s="2091"/>
      <c r="BB20" s="2098" t="str">
        <f>J20</f>
        <v>Percentage of total population served</v>
      </c>
      <c r="BC20" s="2099"/>
      <c r="BD20" s="2100"/>
    </row>
    <row r="21" spans="2:56" s="10" customFormat="1" ht="15.75">
      <c r="B21" s="286"/>
      <c r="C21" s="286"/>
      <c r="D21" s="286"/>
      <c r="E21" s="286"/>
      <c r="F21" s="286"/>
      <c r="G21" s="286"/>
      <c r="H21" s="286"/>
      <c r="I21" s="286"/>
      <c r="J21" s="285"/>
      <c r="K21" s="285"/>
      <c r="L21" s="285"/>
      <c r="M21" s="285"/>
      <c r="N21" s="285"/>
      <c r="O21" s="1381"/>
      <c r="P21" s="285"/>
      <c r="Q21" s="285"/>
      <c r="R21" s="1381"/>
      <c r="S21" s="1381"/>
      <c r="T21" s="1381"/>
      <c r="U21" s="1381"/>
      <c r="V21" s="1382"/>
      <c r="W21" s="332"/>
      <c r="X21" s="332"/>
      <c r="Y21" s="332"/>
      <c r="Z21" s="332"/>
      <c r="AA21" s="332"/>
      <c r="AB21" s="332"/>
      <c r="AC21" s="332"/>
      <c r="AD21" s="332"/>
      <c r="AE21" s="332"/>
      <c r="AF21" s="332"/>
      <c r="AG21" s="1382"/>
      <c r="AH21" s="332"/>
      <c r="AI21" s="332"/>
      <c r="AJ21" s="332"/>
      <c r="AK21" s="332"/>
      <c r="AL21" s="332"/>
      <c r="AM21" s="332"/>
      <c r="AN21" s="332"/>
      <c r="AO21" s="332"/>
      <c r="AP21" s="332"/>
      <c r="AQ21" s="332"/>
      <c r="AR21" s="1382"/>
      <c r="AS21" s="1381"/>
      <c r="AT21" s="286"/>
      <c r="AU21" s="286"/>
      <c r="AV21" s="286"/>
      <c r="AW21" s="286"/>
      <c r="AX21" s="286"/>
      <c r="AY21" s="286"/>
      <c r="AZ21" s="286"/>
      <c r="BA21" s="286"/>
      <c r="BB21" s="285"/>
      <c r="BC21" s="285"/>
      <c r="BD21" s="285"/>
    </row>
    <row r="22" spans="2:56" s="10" customFormat="1" ht="33" customHeight="1">
      <c r="B22" s="311" t="s">
        <v>839</v>
      </c>
      <c r="C22" s="286"/>
      <c r="D22" s="286"/>
      <c r="E22" s="286"/>
      <c r="F22" s="286"/>
      <c r="G22" s="286"/>
      <c r="H22" s="286"/>
      <c r="I22" s="286"/>
      <c r="J22" s="286"/>
      <c r="K22" s="286"/>
      <c r="L22" s="286"/>
      <c r="M22" s="285"/>
      <c r="N22" s="285"/>
      <c r="O22" s="1381"/>
      <c r="P22" s="285"/>
      <c r="Q22" s="285"/>
      <c r="R22" s="1381"/>
      <c r="S22" s="1381"/>
      <c r="T22" s="1381"/>
      <c r="U22" s="1381"/>
      <c r="V22" s="1382"/>
      <c r="W22" s="327">
        <v>10</v>
      </c>
      <c r="X22" s="327">
        <v>11</v>
      </c>
      <c r="Y22" s="327">
        <v>12</v>
      </c>
      <c r="Z22" s="327">
        <v>13</v>
      </c>
      <c r="AA22" s="327">
        <v>14</v>
      </c>
      <c r="AB22" s="327">
        <v>15</v>
      </c>
      <c r="AC22" s="327">
        <v>16</v>
      </c>
      <c r="AD22" s="327">
        <v>17</v>
      </c>
      <c r="AE22" s="327">
        <v>18</v>
      </c>
      <c r="AF22" s="327">
        <v>19</v>
      </c>
      <c r="AG22" s="1382"/>
      <c r="AH22" s="327">
        <v>10</v>
      </c>
      <c r="AI22" s="327">
        <v>11</v>
      </c>
      <c r="AJ22" s="327">
        <v>12</v>
      </c>
      <c r="AK22" s="327">
        <v>13</v>
      </c>
      <c r="AL22" s="327">
        <v>14</v>
      </c>
      <c r="AM22" s="327">
        <v>15</v>
      </c>
      <c r="AN22" s="327">
        <v>16</v>
      </c>
      <c r="AO22" s="327">
        <v>17</v>
      </c>
      <c r="AP22" s="327">
        <v>18</v>
      </c>
      <c r="AQ22" s="327">
        <v>19</v>
      </c>
      <c r="AR22" s="1382"/>
      <c r="AS22" s="1381"/>
      <c r="AT22" s="311" t="s">
        <v>839</v>
      </c>
      <c r="AU22" s="286"/>
      <c r="AV22" s="286"/>
      <c r="AW22" s="286"/>
      <c r="AX22" s="286"/>
      <c r="AY22" s="286"/>
      <c r="AZ22" s="286"/>
      <c r="BA22" s="286"/>
      <c r="BB22" s="286"/>
      <c r="BC22" s="286"/>
      <c r="BD22" s="286"/>
    </row>
    <row r="23" spans="2:56" s="22" customFormat="1" ht="33" customHeight="1">
      <c r="B23" s="310" t="s">
        <v>839</v>
      </c>
      <c r="C23" s="1880">
        <v>4858401</v>
      </c>
      <c r="D23" s="1880">
        <v>0</v>
      </c>
      <c r="E23" s="1924">
        <f>IF('Validation summary'!$F$3="WoC","",(D23/$C23))</f>
        <v>0</v>
      </c>
      <c r="F23" s="1880">
        <v>195393</v>
      </c>
      <c r="G23" s="1924">
        <f>IF('Validation summary'!$F$3="WoC","",(F23/$C23))</f>
        <v>4.0217553059123771E-2</v>
      </c>
      <c r="H23" s="1880">
        <v>4663008</v>
      </c>
      <c r="I23" s="1924">
        <f>IF('Validation summary'!$F$3="WoC","",(H23/$C23))</f>
        <v>0.95978244694087622</v>
      </c>
      <c r="J23" s="1923">
        <v>0.89134999999999998</v>
      </c>
      <c r="K23" s="1923">
        <v>2.981E-2</v>
      </c>
      <c r="L23" s="1923">
        <v>7.8839999999999993E-2</v>
      </c>
      <c r="N23" s="294" t="s">
        <v>840</v>
      </c>
      <c r="P23" s="329">
        <f>IF(SUM($W23:$AF23)=0,0,$W$13)</f>
        <v>0</v>
      </c>
      <c r="Q23" s="343">
        <f>IF(SUM($AH23,$AI23,$AK23,$AM23,$AO23,$AP23,$AQ23)&lt;&gt;0,$AH$13,IF(SUM($AJ23,$AL23,$AN23)&lt;&gt;0,$AJ$6,0))</f>
        <v>0</v>
      </c>
      <c r="R23" s="259"/>
      <c r="S23" s="259"/>
      <c r="T23" s="259"/>
      <c r="U23" s="259"/>
      <c r="V23" s="1382"/>
      <c r="W23" s="332">
        <f>IF('Validation summary'!$F$3="WoC",0,IF(ISBLANK($C23)=TRUE,1,0))</f>
        <v>0</v>
      </c>
      <c r="X23" s="332">
        <f>IF('Validation summary'!$F$3="WoC",0,IF(ISBLANK($D23)=TRUE,1,0))</f>
        <v>0</v>
      </c>
      <c r="Y23" s="332"/>
      <c r="Z23" s="332">
        <f>IF('Validation summary'!$F$3="WoC",0,IF(ISBLANK($F23)=TRUE,1,0))</f>
        <v>0</v>
      </c>
      <c r="AA23" s="332"/>
      <c r="AB23" s="332">
        <f>IF('Validation summary'!$F$3="WoC",0,IF(ISBLANK($H23)=TRUE,1,0))</f>
        <v>0</v>
      </c>
      <c r="AC23" s="332"/>
      <c r="AD23" s="332">
        <f>IF('Validation summary'!$F$3="WoC",0,IF(ISBLANK($J23)=TRUE,1,0))</f>
        <v>0</v>
      </c>
      <c r="AE23" s="332">
        <f>IF('Validation summary'!$F$3="WoC",0,IF(ISBLANK($K23)=TRUE,1,0))</f>
        <v>0</v>
      </c>
      <c r="AF23" s="332">
        <f>IF('Validation summary'!$F$3="WoC",0,IF(ISBLANK($L23)=TRUE,1,0))</f>
        <v>0</v>
      </c>
      <c r="AG23" s="1382"/>
      <c r="AH23" s="332">
        <f>IF($C23&lt;0,1,0)</f>
        <v>0</v>
      </c>
      <c r="AI23" s="332">
        <f>IF($D23&lt;0,1,0)</f>
        <v>0</v>
      </c>
      <c r="AJ23" s="332">
        <f>IF('Validation summary'!$F$3="WoC",0,IF(ISERROR($E23)=TRUE,1,0))</f>
        <v>0</v>
      </c>
      <c r="AK23" s="332">
        <f>IF($F23&lt;0,1,0)</f>
        <v>0</v>
      </c>
      <c r="AL23" s="332">
        <f>IF('Validation summary'!$F$3="WoC",0,IF(ISERROR($G23)=TRUE,1,0))</f>
        <v>0</v>
      </c>
      <c r="AM23" s="332">
        <f>IF($H23&lt;0,1,0)</f>
        <v>0</v>
      </c>
      <c r="AN23" s="332">
        <f>IF('Validation summary'!$F$3="WoC",0,IF(ISERROR($I23)=TRUE,1,0))</f>
        <v>0</v>
      </c>
      <c r="AO23" s="332">
        <f>IF($J23&lt;0,1,0)</f>
        <v>0</v>
      </c>
      <c r="AP23" s="332">
        <f>IF($K23&lt;0,1,0)</f>
        <v>0</v>
      </c>
      <c r="AQ23" s="332">
        <f>IF($L23&lt;0,1,0)</f>
        <v>0</v>
      </c>
      <c r="AR23" s="1382"/>
      <c r="AT23" s="1515" t="str">
        <f>B23</f>
        <v>Risk of sewer flooding in a storm</v>
      </c>
      <c r="AU23" s="1516" t="s">
        <v>841</v>
      </c>
      <c r="AV23" s="1516" t="s">
        <v>842</v>
      </c>
      <c r="AW23" s="1517" t="s">
        <v>843</v>
      </c>
      <c r="AX23" s="1516" t="s">
        <v>844</v>
      </c>
      <c r="AY23" s="1517" t="s">
        <v>845</v>
      </c>
      <c r="AZ23" s="1516" t="s">
        <v>846</v>
      </c>
      <c r="BA23" s="1517" t="s">
        <v>847</v>
      </c>
      <c r="BB23" s="1518" t="s">
        <v>848</v>
      </c>
      <c r="BC23" s="1518" t="s">
        <v>849</v>
      </c>
      <c r="BD23" s="1518" t="s">
        <v>850</v>
      </c>
    </row>
    <row r="24" spans="2:56" s="22" customFormat="1" ht="16.5" customHeight="1">
      <c r="B24" s="28"/>
      <c r="C24" s="12"/>
      <c r="D24" s="12"/>
      <c r="E24" s="12"/>
      <c r="F24" s="12"/>
      <c r="G24" s="12"/>
      <c r="H24" s="12"/>
      <c r="I24" s="12"/>
      <c r="J24" s="12"/>
      <c r="K24" s="12"/>
      <c r="L24" s="12"/>
      <c r="N24" s="11"/>
      <c r="P24" s="11"/>
      <c r="Q24" s="11"/>
      <c r="V24" s="1382"/>
      <c r="W24" s="332"/>
      <c r="X24" s="332"/>
      <c r="Y24" s="332"/>
      <c r="Z24" s="332"/>
      <c r="AA24" s="332"/>
      <c r="AB24" s="332"/>
      <c r="AC24" s="332"/>
      <c r="AD24" s="332"/>
      <c r="AE24" s="332"/>
      <c r="AF24" s="332"/>
      <c r="AG24" s="1382"/>
      <c r="AH24" s="332"/>
      <c r="AI24" s="332"/>
      <c r="AJ24" s="332"/>
      <c r="AK24" s="332"/>
      <c r="AL24" s="332"/>
      <c r="AM24" s="332"/>
      <c r="AN24" s="332"/>
      <c r="AO24" s="332"/>
      <c r="AP24" s="332"/>
      <c r="AQ24" s="332"/>
      <c r="AR24" s="1382"/>
      <c r="AT24" s="28"/>
      <c r="AU24" s="12"/>
      <c r="AV24" s="12"/>
      <c r="AW24" s="12"/>
      <c r="AX24" s="12"/>
      <c r="AY24" s="12"/>
      <c r="AZ24" s="12"/>
      <c r="BA24" s="12"/>
      <c r="BB24" s="12"/>
      <c r="BC24" s="12"/>
      <c r="BD24" s="12"/>
    </row>
    <row r="25" spans="2:56" s="10" customFormat="1" ht="15.75">
      <c r="B25" s="15"/>
      <c r="C25" s="26">
        <v>20</v>
      </c>
      <c r="D25" s="29"/>
      <c r="E25" s="29"/>
      <c r="F25" s="30"/>
      <c r="G25" s="29"/>
      <c r="H25" s="30"/>
      <c r="I25" s="29"/>
      <c r="J25" s="1381"/>
      <c r="K25" s="1381"/>
      <c r="L25" s="1381"/>
      <c r="M25" s="1381"/>
      <c r="N25" s="1381"/>
      <c r="O25" s="1381"/>
      <c r="P25" s="1381"/>
      <c r="Q25" s="1381"/>
      <c r="R25" s="1381"/>
      <c r="S25" s="1381"/>
      <c r="T25" s="1381"/>
      <c r="U25" s="1381"/>
      <c r="V25" s="1382"/>
      <c r="W25" s="332"/>
      <c r="X25" s="332"/>
      <c r="Y25" s="332"/>
      <c r="Z25" s="332"/>
      <c r="AA25" s="332"/>
      <c r="AB25" s="332"/>
      <c r="AC25" s="332"/>
      <c r="AD25" s="332"/>
      <c r="AE25" s="332"/>
      <c r="AF25" s="332"/>
      <c r="AG25" s="1382"/>
      <c r="AH25" s="332"/>
      <c r="AI25" s="332"/>
      <c r="AJ25" s="332"/>
      <c r="AK25" s="332"/>
      <c r="AL25" s="332"/>
      <c r="AM25" s="332"/>
      <c r="AN25" s="332"/>
      <c r="AO25" s="332"/>
      <c r="AP25" s="332"/>
      <c r="AQ25" s="332"/>
      <c r="AR25" s="1382"/>
      <c r="AS25" s="1381"/>
      <c r="AT25" s="15"/>
      <c r="AU25" s="26">
        <v>20</v>
      </c>
      <c r="AV25" s="29"/>
      <c r="AW25" s="29"/>
      <c r="AX25" s="30"/>
      <c r="AY25" s="29"/>
      <c r="AZ25" s="30"/>
      <c r="BA25" s="29"/>
      <c r="BB25" s="1381"/>
      <c r="BC25" s="1381"/>
      <c r="BD25" s="1381"/>
    </row>
    <row r="26" spans="2:56" s="10" customFormat="1" ht="94.5" customHeight="1">
      <c r="B26" s="1321" t="s">
        <v>112</v>
      </c>
      <c r="C26" s="1320" t="s">
        <v>851</v>
      </c>
      <c r="D26" s="31"/>
      <c r="E26" s="31"/>
      <c r="F26" s="31"/>
      <c r="G26" s="31"/>
      <c r="H26" s="31"/>
      <c r="I26" s="1378"/>
      <c r="J26" s="32"/>
      <c r="K26" s="1378"/>
      <c r="L26" s="1378"/>
      <c r="M26" s="1381"/>
      <c r="N26" s="1381"/>
      <c r="O26" s="1381"/>
      <c r="P26" s="1381"/>
      <c r="Q26" s="1381"/>
      <c r="R26" s="1381"/>
      <c r="S26" s="1381"/>
      <c r="T26" s="1381"/>
      <c r="U26" s="1381"/>
      <c r="V26" s="1382"/>
      <c r="W26" s="332"/>
      <c r="X26" s="332"/>
      <c r="Y26" s="332"/>
      <c r="Z26" s="332"/>
      <c r="AA26" s="332"/>
      <c r="AB26" s="332"/>
      <c r="AC26" s="332"/>
      <c r="AD26" s="332"/>
      <c r="AE26" s="332"/>
      <c r="AF26" s="332"/>
      <c r="AG26" s="1382"/>
      <c r="AH26" s="332"/>
      <c r="AI26" s="332"/>
      <c r="AJ26" s="332"/>
      <c r="AK26" s="332"/>
      <c r="AL26" s="332"/>
      <c r="AM26" s="332"/>
      <c r="AN26" s="332"/>
      <c r="AO26" s="332"/>
      <c r="AP26" s="332"/>
      <c r="AQ26" s="332"/>
      <c r="AR26" s="1382"/>
      <c r="AS26" s="1381"/>
      <c r="AT26" s="1321" t="str">
        <f>B26</f>
        <v>Line description</v>
      </c>
      <c r="AU26" s="1321" t="str">
        <f>C26</f>
        <v>Number of patch repairs or relining undertaken on sewer and not included in reported sewer collapses.</v>
      </c>
      <c r="AV26" s="31"/>
      <c r="AW26" s="31"/>
      <c r="AX26" s="31"/>
      <c r="AY26" s="31"/>
      <c r="AZ26" s="31"/>
      <c r="BA26" s="1378"/>
      <c r="BB26" s="32"/>
      <c r="BC26" s="1378"/>
      <c r="BD26" s="1378"/>
    </row>
    <row r="27" spans="2:56" s="10" customFormat="1" ht="15.75" customHeight="1">
      <c r="B27" s="24"/>
      <c r="C27" s="24"/>
      <c r="D27" s="33"/>
      <c r="E27" s="33"/>
      <c r="F27" s="33"/>
      <c r="G27" s="33"/>
      <c r="H27" s="33"/>
      <c r="I27" s="1378"/>
      <c r="J27" s="1378"/>
      <c r="K27" s="1378"/>
      <c r="L27" s="1378"/>
      <c r="M27" s="1381"/>
      <c r="N27" s="1381"/>
      <c r="O27" s="1381"/>
      <c r="P27" s="1381"/>
      <c r="Q27" s="1381"/>
      <c r="R27" s="1381"/>
      <c r="S27" s="1381"/>
      <c r="T27" s="1381"/>
      <c r="U27" s="1381"/>
      <c r="V27" s="1382"/>
      <c r="W27" s="332"/>
      <c r="X27" s="332"/>
      <c r="Y27" s="332"/>
      <c r="Z27" s="332"/>
      <c r="AA27" s="332"/>
      <c r="AB27" s="332"/>
      <c r="AC27" s="332"/>
      <c r="AD27" s="332"/>
      <c r="AE27" s="332"/>
      <c r="AF27" s="332"/>
      <c r="AG27" s="1382"/>
      <c r="AH27" s="332"/>
      <c r="AI27" s="332"/>
      <c r="AJ27" s="332"/>
      <c r="AK27" s="332"/>
      <c r="AL27" s="332"/>
      <c r="AM27" s="332"/>
      <c r="AN27" s="332"/>
      <c r="AO27" s="332"/>
      <c r="AP27" s="332"/>
      <c r="AQ27" s="332"/>
      <c r="AR27" s="1382"/>
      <c r="AS27" s="1381"/>
      <c r="AT27" s="24"/>
      <c r="AU27" s="24"/>
      <c r="AV27" s="33"/>
      <c r="AW27" s="33"/>
      <c r="AX27" s="33"/>
      <c r="AY27" s="33"/>
      <c r="AZ27" s="33"/>
      <c r="BA27" s="1378"/>
      <c r="BB27" s="1378"/>
      <c r="BC27" s="1378"/>
      <c r="BD27" s="1378"/>
    </row>
    <row r="28" spans="2:56" s="10" customFormat="1" ht="16.5" customHeight="1">
      <c r="B28" s="311" t="s">
        <v>743</v>
      </c>
      <c r="C28" s="24"/>
      <c r="D28" s="33"/>
      <c r="E28" s="33"/>
      <c r="F28" s="33"/>
      <c r="G28" s="33"/>
      <c r="H28" s="33"/>
      <c r="I28" s="1378"/>
      <c r="J28" s="1378"/>
      <c r="K28" s="1378"/>
      <c r="L28" s="1378"/>
      <c r="M28" s="1381"/>
      <c r="N28" s="1381"/>
      <c r="O28" s="1381"/>
      <c r="P28" s="1381"/>
      <c r="Q28" s="1381"/>
      <c r="R28" s="1381"/>
      <c r="S28" s="1381"/>
      <c r="T28" s="1381"/>
      <c r="U28" s="1381"/>
      <c r="V28" s="1382"/>
      <c r="W28" s="327">
        <v>20</v>
      </c>
      <c r="X28" s="332"/>
      <c r="Y28" s="332"/>
      <c r="Z28" s="332"/>
      <c r="AA28" s="332"/>
      <c r="AB28" s="332"/>
      <c r="AC28" s="332"/>
      <c r="AD28" s="332"/>
      <c r="AE28" s="332"/>
      <c r="AF28" s="332"/>
      <c r="AG28" s="1382"/>
      <c r="AH28" s="327">
        <v>20</v>
      </c>
      <c r="AI28" s="332"/>
      <c r="AJ28" s="332"/>
      <c r="AK28" s="332"/>
      <c r="AL28" s="332"/>
      <c r="AM28" s="332"/>
      <c r="AN28" s="332"/>
      <c r="AO28" s="332"/>
      <c r="AP28" s="332"/>
      <c r="AQ28" s="332"/>
      <c r="AR28" s="1382"/>
      <c r="AS28" s="1381"/>
      <c r="AT28" s="311" t="s">
        <v>743</v>
      </c>
      <c r="AU28" s="24"/>
      <c r="AV28" s="33"/>
      <c r="AW28" s="33"/>
      <c r="AX28" s="33"/>
      <c r="AY28" s="33"/>
      <c r="AZ28" s="33"/>
      <c r="BA28" s="1378"/>
      <c r="BB28" s="1378"/>
      <c r="BC28" s="1378"/>
      <c r="BD28" s="1378"/>
    </row>
    <row r="29" spans="2:56" s="22" customFormat="1" ht="24.75" customHeight="1">
      <c r="B29" s="310" t="s">
        <v>743</v>
      </c>
      <c r="C29" s="1880">
        <v>659</v>
      </c>
      <c r="D29" s="34"/>
      <c r="E29" s="34"/>
      <c r="F29" s="34"/>
      <c r="G29" s="34"/>
      <c r="H29" s="34"/>
      <c r="I29" s="27"/>
      <c r="J29" s="1378"/>
      <c r="K29" s="1378"/>
      <c r="L29" s="1378"/>
      <c r="N29" s="294" t="s">
        <v>852</v>
      </c>
      <c r="P29" s="329">
        <f>IF($W29=0,0,$W$6)</f>
        <v>0</v>
      </c>
      <c r="Q29" s="343">
        <f>IF($AH29=0,0,$AH$13)</f>
        <v>0</v>
      </c>
      <c r="R29" s="259"/>
      <c r="S29" s="259"/>
      <c r="T29" s="259"/>
      <c r="U29" s="259"/>
      <c r="V29" s="1382"/>
      <c r="W29" s="332">
        <f>IF('Validation summary'!$F$3="WoC",0,IF(ISBLANK($C29)=TRUE,1,0))</f>
        <v>0</v>
      </c>
      <c r="X29" s="332"/>
      <c r="Y29" s="332"/>
      <c r="Z29" s="332"/>
      <c r="AA29" s="332"/>
      <c r="AB29" s="332"/>
      <c r="AC29" s="332"/>
      <c r="AD29" s="332"/>
      <c r="AE29" s="332"/>
      <c r="AF29" s="332"/>
      <c r="AG29" s="1382"/>
      <c r="AH29" s="332">
        <f>IF($C29&lt;0,1,0)</f>
        <v>0</v>
      </c>
      <c r="AI29" s="332"/>
      <c r="AJ29" s="332"/>
      <c r="AK29" s="332"/>
      <c r="AL29" s="332"/>
      <c r="AM29" s="332"/>
      <c r="AN29" s="332"/>
      <c r="AO29" s="332"/>
      <c r="AP29" s="332"/>
      <c r="AQ29" s="332"/>
      <c r="AR29" s="1382"/>
      <c r="AT29" s="1515" t="str">
        <f>B29</f>
        <v>Sewer collapses</v>
      </c>
      <c r="AU29" s="1511" t="s">
        <v>853</v>
      </c>
      <c r="AV29" s="34"/>
      <c r="AW29" s="34"/>
      <c r="AX29" s="34"/>
      <c r="AY29" s="34"/>
      <c r="AZ29" s="34"/>
      <c r="BA29" s="27"/>
      <c r="BB29" s="1378"/>
      <c r="BC29" s="1378"/>
      <c r="BD29" s="1378"/>
    </row>
    <row r="30" spans="2:56" s="10" customFormat="1" ht="16.149999999999999" customHeight="1">
      <c r="B30" s="1391"/>
      <c r="C30" s="1390"/>
      <c r="D30" s="1390"/>
      <c r="E30" s="1378"/>
      <c r="F30" s="1378"/>
      <c r="G30" s="1378"/>
      <c r="H30" s="1378"/>
      <c r="I30" s="1378"/>
      <c r="J30" s="27"/>
      <c r="K30" s="27"/>
      <c r="L30" s="27"/>
      <c r="M30" s="1381"/>
      <c r="N30" s="1381"/>
      <c r="O30" s="1381"/>
      <c r="P30" s="1381"/>
      <c r="Q30" s="1381"/>
      <c r="R30" s="1381"/>
      <c r="S30" s="1381"/>
      <c r="T30" s="1381"/>
      <c r="U30" s="1381"/>
      <c r="V30" s="1385"/>
      <c r="W30" s="1385"/>
      <c r="X30" s="1385"/>
      <c r="Y30" s="1385"/>
      <c r="Z30" s="1385"/>
      <c r="AA30" s="1385"/>
      <c r="AB30" s="1385"/>
      <c r="AC30" s="1385"/>
      <c r="AD30" s="1385"/>
      <c r="AE30" s="1385"/>
      <c r="AF30" s="1385"/>
      <c r="AG30" s="1385"/>
      <c r="AH30" s="1385"/>
      <c r="AI30" s="1385"/>
      <c r="AJ30" s="1385"/>
      <c r="AK30" s="1385"/>
      <c r="AL30" s="1385"/>
      <c r="AM30" s="1385"/>
      <c r="AN30" s="1385"/>
      <c r="AO30" s="1385"/>
      <c r="AP30" s="1385"/>
      <c r="AQ30" s="1385"/>
      <c r="AR30" s="1385"/>
      <c r="AS30" s="1381"/>
      <c r="AT30" s="1381"/>
      <c r="AU30" s="1381"/>
      <c r="AV30" s="1381"/>
      <c r="AW30" s="1381"/>
      <c r="AX30" s="1381"/>
      <c r="AY30" s="1381"/>
      <c r="AZ30" s="1381"/>
      <c r="BA30" s="1381"/>
      <c r="BB30" s="1381"/>
      <c r="BC30" s="1381"/>
      <c r="BD30" s="1381"/>
    </row>
    <row r="31" spans="2:56" s="10" customFormat="1" ht="14.25">
      <c r="B31" s="278" t="s">
        <v>284</v>
      </c>
      <c r="C31" s="1381"/>
      <c r="D31" s="1381"/>
      <c r="E31" s="1381"/>
      <c r="F31" s="1381"/>
      <c r="G31" s="1381"/>
      <c r="H31" s="1381"/>
      <c r="I31" s="1381"/>
      <c r="J31" s="1378"/>
      <c r="K31" s="1378"/>
      <c r="L31" s="1378"/>
      <c r="M31" s="1381"/>
      <c r="N31" s="1381"/>
      <c r="O31" s="1381"/>
      <c r="P31" s="1381"/>
      <c r="Q31" s="1381"/>
      <c r="R31" s="1381"/>
      <c r="S31" s="1381"/>
      <c r="T31" s="1381"/>
      <c r="U31" s="1381"/>
      <c r="V31" s="1381"/>
      <c r="W31" s="1381"/>
      <c r="X31" s="1381"/>
      <c r="Y31" s="1381"/>
      <c r="Z31" s="1381"/>
      <c r="AA31" s="1381"/>
      <c r="AB31" s="1381"/>
      <c r="AC31" s="1381"/>
      <c r="AD31" s="1381"/>
      <c r="AE31" s="1381"/>
      <c r="AF31" s="1381"/>
      <c r="AG31" s="1381"/>
      <c r="AH31" s="1381"/>
      <c r="AI31" s="1381"/>
      <c r="AJ31" s="1381"/>
      <c r="AK31" s="1381"/>
      <c r="AL31" s="1381"/>
      <c r="AM31" s="1381"/>
      <c r="AN31" s="1381"/>
      <c r="AO31" s="1381"/>
      <c r="AP31" s="1381"/>
      <c r="AQ31" s="1381"/>
      <c r="AR31" s="1381"/>
      <c r="AS31" s="1381"/>
      <c r="AT31" s="1381"/>
      <c r="AU31" s="1381"/>
      <c r="AV31" s="1381"/>
      <c r="AW31" s="1381"/>
      <c r="AX31" s="1381"/>
      <c r="AY31" s="1381"/>
      <c r="AZ31" s="1381"/>
      <c r="BA31" s="1381"/>
      <c r="BB31" s="1381"/>
      <c r="BC31" s="1381"/>
      <c r="BD31" s="1381"/>
    </row>
    <row r="32" spans="2:56"/>
    <row r="33" spans="2:3">
      <c r="B33" s="2101" t="s">
        <v>285</v>
      </c>
      <c r="C33" s="2102"/>
    </row>
    <row r="34" spans="2:3" ht="13.9" thickBot="1"/>
    <row r="35" spans="2:3" ht="27" customHeight="1" thickTop="1" thickBot="1">
      <c r="B35" s="2103" t="s">
        <v>286</v>
      </c>
      <c r="C35" s="2104"/>
    </row>
    <row r="36" spans="2:3" ht="13.9" thickTop="1"/>
    <row r="37" spans="2:3">
      <c r="B37" s="2105" t="s">
        <v>287</v>
      </c>
      <c r="C37" s="2106"/>
    </row>
    <row r="38" spans="2:3"/>
    <row r="39" spans="2:3">
      <c r="B39" s="2107" t="s">
        <v>288</v>
      </c>
      <c r="C39" s="2108"/>
    </row>
    <row r="40" spans="2:3"/>
    <row r="41" spans="2:3" ht="14.25">
      <c r="B41" s="296" t="str">
        <f>'3A'!$B$53</f>
        <v>Please refer to RAG 4.12 - Guideline for the table definitions in the annual performance report for the reporting year 2023-24</v>
      </c>
    </row>
    <row r="42" spans="2:3"/>
  </sheetData>
  <mergeCells count="2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 ref="AT18:AT20"/>
    <mergeCell ref="AU18:AU20"/>
    <mergeCell ref="AV18:AV20"/>
    <mergeCell ref="AW18:AW20"/>
    <mergeCell ref="AX18:AX20"/>
    <mergeCell ref="AY18:AY20"/>
    <mergeCell ref="AZ18:AZ20"/>
    <mergeCell ref="BA18:BA20"/>
    <mergeCell ref="BB18:BD18"/>
    <mergeCell ref="BB20:BD20"/>
  </mergeCells>
  <conditionalFormatting sqref="P9:Q9">
    <cfRule type="cellIs" dxfId="220" priority="8" operator="equal">
      <formula>0</formula>
    </cfRule>
  </conditionalFormatting>
  <conditionalFormatting sqref="P15:Q15">
    <cfRule type="cellIs" dxfId="219" priority="6" operator="equal">
      <formula>0</formula>
    </cfRule>
  </conditionalFormatting>
  <conditionalFormatting sqref="P23:Q23">
    <cfRule type="cellIs" dxfId="218" priority="3" operator="equal">
      <formula>0</formula>
    </cfRule>
  </conditionalFormatting>
  <conditionalFormatting sqref="P29:Q29">
    <cfRule type="cellIs" dxfId="217" priority="2"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34D-6156-4FCF-B725-1008C94E0AAC}">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1ED0-408F-458B-B851-7DB054B779EB}">
  <sheetPr>
    <tabColor theme="0" tint="-0.14999847407452621"/>
    <pageSetUpPr fitToPage="1"/>
  </sheetPr>
  <dimension ref="A1:XFD62"/>
  <sheetViews>
    <sheetView zoomScale="80" zoomScaleNormal="80" zoomScaleSheetLayoutView="100" workbookViewId="0"/>
  </sheetViews>
  <sheetFormatPr defaultColWidth="0" defaultRowHeight="12.75" zeroHeight="1"/>
  <cols>
    <col min="1" max="1" width="28.25" style="170" bestFit="1" customWidth="1"/>
    <col min="2" max="2" width="104.25" style="170" customWidth="1"/>
    <col min="3" max="3" width="23.125" style="170" customWidth="1"/>
    <col min="4" max="4" width="16" style="170" customWidth="1"/>
    <col min="5" max="5" width="9.125" style="170" customWidth="1"/>
    <col min="6" max="6" width="9.125" style="170" hidden="1"/>
    <col min="7" max="16381" width="0" style="170" hidden="1"/>
    <col min="16382" max="16384" width="9.125" style="170" hidden="1"/>
  </cols>
  <sheetData>
    <row r="1" spans="1:1021 1025:2045 2049:3069 3073:4093 4097:5117 5121:6141 6145:7165 7169:8189 8193:9213 9217:10237 10241:11261 11265:12285 12289:13309 13313:14333 14337:15357 15361:16381" s="165" customFormat="1" ht="48" thickBot="1">
      <c r="A1" s="406" t="str">
        <f ca="1" xml:space="preserve"> RIGHT(CELL("filename", $A$1), LEN(CELL("filename", $A$1)) - SEARCH("]", CELL("filename", $A$1)))</f>
        <v>Cover (ODI model)</v>
      </c>
    </row>
    <row r="2" spans="1:1021 1025:2045 2049:3069 3073:4093 4097:5117 5121:6141 6145:7165 7169:8189 8193:9213 9217:10237 10241:11261 11265:12285 12289:13309 13313:14333 14337:15357 15361:16381" s="167" customFormat="1" ht="4.1500000000000004" customHeight="1">
      <c r="A2" s="166"/>
      <c r="B2" s="166"/>
      <c r="C2" s="166"/>
      <c r="D2" s="166"/>
      <c r="E2" s="166"/>
      <c r="F2" s="166"/>
    </row>
    <row r="3" spans="1:1021 1025:2045 2049:3069 3073:4093 4097:5117 5121:6141 6145:7165 7169:8189 8193:9213 9217:10237 10241:11261 11265:12285 12289:13309 13313:14333 14337:15357 15361:16381" s="169" customFormat="1" ht="22.15">
      <c r="A3" s="407" t="s">
        <v>854</v>
      </c>
      <c r="B3" s="408" t="s">
        <v>855</v>
      </c>
      <c r="C3" s="168"/>
      <c r="D3" s="168"/>
      <c r="E3" s="168"/>
      <c r="F3" s="168"/>
    </row>
    <row r="4" spans="1:1021 1025:2045 2049:3069 3073:4093 4097:5117 5121:6141 6145:7165 7169:8189 8193:9213 9217:10237 10241:11261 11265:12285 12289:13309 13313:14333 14337:15357 15361:16381" s="169" customFormat="1" ht="22.15">
      <c r="A4" s="407" t="s">
        <v>856</v>
      </c>
      <c r="B4" s="2023">
        <v>1.1100000000000001</v>
      </c>
      <c r="C4" s="168"/>
      <c r="D4" s="168"/>
      <c r="E4" s="168"/>
      <c r="F4" s="168"/>
    </row>
    <row r="5" spans="1:1021 1025:2045 2049:3069 3073:4093 4097:5117 5121:6141 6145:7165 7169:8189 8193:9213 9217:10237 10241:11261 11265:12285 12289:13309 13313:14333 14337:15357 15361:16381" s="169" customFormat="1" ht="22.15">
      <c r="A5" s="407" t="s">
        <v>857</v>
      </c>
      <c r="B5" s="408" t="s">
        <v>5184</v>
      </c>
      <c r="C5" s="168"/>
      <c r="D5" s="168"/>
      <c r="E5" s="168"/>
      <c r="F5" s="168"/>
    </row>
    <row r="6" spans="1:1021 1025:2045 2049:3069 3073:4093 4097:5117 5121:6141 6145:7165 7169:8189 8193:9213 9217:10237 10241:11261 11265:12285 12289:13309 13313:14333 14337:15357 15361:16381" s="169" customFormat="1" ht="22.15">
      <c r="A6" s="407" t="s">
        <v>858</v>
      </c>
      <c r="B6" s="409">
        <v>45602</v>
      </c>
      <c r="C6" s="168"/>
      <c r="D6" s="168"/>
      <c r="E6" s="168"/>
      <c r="F6" s="168"/>
    </row>
    <row r="7" spans="1:1021 1025:2045 2049:3069 3073:4093 4097:5117 5121:6141 6145:7165 7169:8189 8193:9213 9217:10237 10241:11261 11265:12285 12289:13309 13313:14333 14337:15357 15361:16381" s="169" customFormat="1" ht="22.15">
      <c r="A7" s="407" t="s">
        <v>859</v>
      </c>
      <c r="B7" s="407" t="s">
        <v>860</v>
      </c>
      <c r="C7" s="168"/>
      <c r="D7" s="168"/>
      <c r="E7" s="168"/>
      <c r="F7" s="168"/>
    </row>
    <row r="8" spans="1:1021 1025:2045 2049:3069 3073:4093 4097:5117 5121:6141 6145:7165 7169:8189 8193:9213 9217:10237 10241:11261 11265:12285 12289:13309 13313:14333 14337:15357 15361:16381" s="169" customFormat="1" ht="22.15">
      <c r="A8" s="407" t="s">
        <v>861</v>
      </c>
      <c r="B8" s="1935" t="s">
        <v>862</v>
      </c>
      <c r="C8" s="168"/>
      <c r="D8" s="168"/>
      <c r="E8" s="168"/>
      <c r="F8" s="168"/>
    </row>
    <row r="9" spans="1:1021 1025:2045 2049:3069 3073:4093 4097:5117 5121:6141 6145:7165 7169:8189 8193:9213 9217:10237 10241:11261 11265:12285 12289:13309 13313:14333 14337:15357 15361:16381" s="169" customFormat="1" ht="3.75" customHeight="1">
      <c r="A9" s="168"/>
      <c r="B9" s="168"/>
      <c r="C9" s="168"/>
      <c r="D9" s="168"/>
      <c r="E9" s="168"/>
      <c r="F9" s="168"/>
    </row>
    <row r="10" spans="1:1021 1025:2045 2049:3069 3073:4093 4097:5117 5121:6141 6145:7165 7169:8189 8193:9213 9217:10237 10241:11261 11265:12285 12289:13309 13313:14333 14337:15357 15361:16381"/>
    <row r="11" spans="1:1021 1025:2045 2049:3069 3073:4093 4097:5117 5121:6141 6145:7165 7169:8189 8193:9213 9217:10237 10241:11261 11265:12285 12289:13309 13313:14333 14337:15357 15361:16381" ht="175.15" customHeight="1">
      <c r="A11" s="423" t="s">
        <v>863</v>
      </c>
      <c r="B11" s="2110" t="s">
        <v>864</v>
      </c>
      <c r="C11" s="2110"/>
      <c r="D11" s="2110"/>
    </row>
    <row r="12" spans="1:1021 1025:2045 2049:3069 3073:4093 4097:5117 5121:6141 6145:7165 7169:8189 8193:9213 9217:10237 10241:11261 11265:12285 12289:13309 13313:14333 14337:15357 15361:16381" ht="32.25" customHeight="1">
      <c r="A12" s="423" t="s">
        <v>865</v>
      </c>
      <c r="B12" s="2113" t="s">
        <v>866</v>
      </c>
      <c r="C12" s="2113"/>
      <c r="D12" s="2113"/>
      <c r="E12" s="2113"/>
    </row>
    <row r="13" spans="1:1021 1025:2045 2049:3069 3073:4093 4097:5117 5121:6141 6145:7165 7169:8189 8193:9213 9217:10237 10241:11261 11265:12285 12289:13309 13313:14333 14337:15357 15361:16381" ht="321.75" customHeight="1">
      <c r="A13" s="423" t="s">
        <v>867</v>
      </c>
      <c r="B13" s="2110" t="s">
        <v>868</v>
      </c>
      <c r="C13" s="2110"/>
      <c r="D13" s="2110"/>
    </row>
    <row r="14" spans="1:1021 1025:2045 2049:3069 3073:4093 4097:5117 5121:6141 6145:7165 7169:8189 8193:9213 9217:10237 10241:11261 11265:12285 12289:13309 13313:14333 14337:15357 15361:16381" s="172" customFormat="1" ht="22.15">
      <c r="A14" s="412"/>
      <c r="B14" s="1392"/>
      <c r="C14" s="1392"/>
      <c r="D14" s="1392"/>
    </row>
    <row r="15" spans="1:1021 1025:2045 2049:3069 3073:4093 4097:5117 5121:6141 6145:7165 7169:8189 8193:9213 9217:10237 10241:11261 11265:12285 12289:13309 13313:14333 14337:15357 15361:16381" s="172" customFormat="1" ht="34.5" customHeight="1">
      <c r="A15" s="423" t="s">
        <v>869</v>
      </c>
      <c r="B15" s="2111" t="s">
        <v>870</v>
      </c>
      <c r="C15" s="2111"/>
      <c r="D15" s="2111"/>
    </row>
    <row r="16" spans="1:1021 1025:2045 2049:3069 3073:4093 4097:5117 5121:6141 6145:7165 7169:8189 8193:9213 9217:10237 10241:11261 11265:12285 12289:13309 13313:14333 14337:15357 15361:16381" s="173" customFormat="1" ht="23.65">
      <c r="A16" s="413"/>
      <c r="B16" s="416"/>
      <c r="C16" s="416"/>
      <c r="D16" s="416"/>
      <c r="E16" s="174"/>
      <c r="I16" s="174"/>
      <c r="M16" s="174"/>
      <c r="Q16" s="174"/>
      <c r="U16" s="174"/>
      <c r="Y16" s="174"/>
      <c r="AC16" s="174"/>
      <c r="AG16" s="174"/>
      <c r="AK16" s="174"/>
      <c r="AO16" s="174"/>
      <c r="AS16" s="174"/>
      <c r="AW16" s="174"/>
      <c r="BA16" s="174"/>
      <c r="BE16" s="174"/>
      <c r="BI16" s="174"/>
      <c r="BM16" s="174"/>
      <c r="BQ16" s="174"/>
      <c r="BU16" s="174"/>
      <c r="BY16" s="174"/>
      <c r="CC16" s="174"/>
      <c r="CG16" s="174"/>
      <c r="CK16" s="174"/>
      <c r="CO16" s="174"/>
      <c r="CS16" s="174"/>
      <c r="CW16" s="174"/>
      <c r="DA16" s="174"/>
      <c r="DE16" s="174"/>
      <c r="DI16" s="174"/>
      <c r="DM16" s="174"/>
      <c r="DQ16" s="174"/>
      <c r="DU16" s="174"/>
      <c r="DY16" s="174"/>
      <c r="EC16" s="174"/>
      <c r="EG16" s="174"/>
      <c r="EK16" s="174"/>
      <c r="EO16" s="174"/>
      <c r="ES16" s="174"/>
      <c r="EW16" s="174"/>
      <c r="FA16" s="174"/>
      <c r="FE16" s="174"/>
      <c r="FI16" s="174"/>
      <c r="FM16" s="174"/>
      <c r="FQ16" s="174"/>
      <c r="FU16" s="174"/>
      <c r="FY16" s="174"/>
      <c r="GC16" s="174"/>
      <c r="GG16" s="174"/>
      <c r="GK16" s="174"/>
      <c r="GO16" s="174"/>
      <c r="GS16" s="174"/>
      <c r="GW16" s="174"/>
      <c r="HA16" s="174"/>
      <c r="HE16" s="174"/>
      <c r="HI16" s="174"/>
      <c r="HM16" s="174"/>
      <c r="HQ16" s="174"/>
      <c r="HU16" s="174"/>
      <c r="HY16" s="174"/>
      <c r="IC16" s="174"/>
      <c r="IG16" s="174"/>
      <c r="IK16" s="174"/>
      <c r="IO16" s="174"/>
      <c r="IS16" s="174"/>
      <c r="IW16" s="174"/>
      <c r="JA16" s="174"/>
      <c r="JE16" s="174"/>
      <c r="JI16" s="174"/>
      <c r="JM16" s="174"/>
      <c r="JQ16" s="174"/>
      <c r="JU16" s="174"/>
      <c r="JY16" s="174"/>
      <c r="KC16" s="174"/>
      <c r="KG16" s="174"/>
      <c r="KK16" s="174"/>
      <c r="KO16" s="174"/>
      <c r="KS16" s="174"/>
      <c r="KW16" s="174"/>
      <c r="LA16" s="174"/>
      <c r="LE16" s="174"/>
      <c r="LI16" s="174"/>
      <c r="LM16" s="174"/>
      <c r="LQ16" s="174"/>
      <c r="LU16" s="174"/>
      <c r="LY16" s="174"/>
      <c r="MC16" s="174"/>
      <c r="MG16" s="174"/>
      <c r="MK16" s="174"/>
      <c r="MO16" s="174"/>
      <c r="MS16" s="174"/>
      <c r="MW16" s="174"/>
      <c r="NA16" s="174"/>
      <c r="NE16" s="174"/>
      <c r="NI16" s="174"/>
      <c r="NM16" s="174"/>
      <c r="NQ16" s="174"/>
      <c r="NU16" s="174"/>
      <c r="NY16" s="174"/>
      <c r="OC16" s="174"/>
      <c r="OG16" s="174"/>
      <c r="OK16" s="174"/>
      <c r="OO16" s="174"/>
      <c r="OS16" s="174"/>
      <c r="OW16" s="174"/>
      <c r="PA16" s="174"/>
      <c r="PE16" s="174"/>
      <c r="PI16" s="174"/>
      <c r="PM16" s="174"/>
      <c r="PQ16" s="174"/>
      <c r="PU16" s="174"/>
      <c r="PY16" s="174"/>
      <c r="QC16" s="174"/>
      <c r="QG16" s="174"/>
      <c r="QK16" s="174"/>
      <c r="QO16" s="174"/>
      <c r="QS16" s="174"/>
      <c r="QW16" s="174"/>
      <c r="RA16" s="174"/>
      <c r="RE16" s="174"/>
      <c r="RI16" s="174"/>
      <c r="RM16" s="174"/>
      <c r="RQ16" s="174"/>
      <c r="RU16" s="174"/>
      <c r="RY16" s="174"/>
      <c r="SC16" s="174"/>
      <c r="SG16" s="174"/>
      <c r="SK16" s="174"/>
      <c r="SO16" s="174"/>
      <c r="SS16" s="174"/>
      <c r="SW16" s="174"/>
      <c r="TA16" s="174"/>
      <c r="TE16" s="174"/>
      <c r="TI16" s="174"/>
      <c r="TM16" s="174"/>
      <c r="TQ16" s="174"/>
      <c r="TU16" s="174"/>
      <c r="TY16" s="174"/>
      <c r="UC16" s="174"/>
      <c r="UG16" s="174"/>
      <c r="UK16" s="174"/>
      <c r="UO16" s="174"/>
      <c r="US16" s="174"/>
      <c r="UW16" s="174"/>
      <c r="VA16" s="174"/>
      <c r="VE16" s="174"/>
      <c r="VI16" s="174"/>
      <c r="VM16" s="174"/>
      <c r="VQ16" s="174"/>
      <c r="VU16" s="174"/>
      <c r="VY16" s="174"/>
      <c r="WC16" s="174"/>
      <c r="WG16" s="174"/>
      <c r="WK16" s="174"/>
      <c r="WO16" s="174"/>
      <c r="WS16" s="174"/>
      <c r="WW16" s="174"/>
      <c r="XA16" s="174"/>
      <c r="XE16" s="174"/>
      <c r="XI16" s="174"/>
      <c r="XM16" s="174"/>
      <c r="XQ16" s="174"/>
      <c r="XU16" s="174"/>
      <c r="XY16" s="174"/>
      <c r="YC16" s="174"/>
      <c r="YG16" s="174"/>
      <c r="YK16" s="174"/>
      <c r="YO16" s="174"/>
      <c r="YS16" s="174"/>
      <c r="YW16" s="174"/>
      <c r="ZA16" s="174"/>
      <c r="ZE16" s="174"/>
      <c r="ZI16" s="174"/>
      <c r="ZM16" s="174"/>
      <c r="ZQ16" s="174"/>
      <c r="ZU16" s="174"/>
      <c r="ZY16" s="174"/>
      <c r="AAC16" s="174"/>
      <c r="AAG16" s="174"/>
      <c r="AAK16" s="174"/>
      <c r="AAO16" s="174"/>
      <c r="AAS16" s="174"/>
      <c r="AAW16" s="174"/>
      <c r="ABA16" s="174"/>
      <c r="ABE16" s="174"/>
      <c r="ABI16" s="174"/>
      <c r="ABM16" s="174"/>
      <c r="ABQ16" s="174"/>
      <c r="ABU16" s="174"/>
      <c r="ABY16" s="174"/>
      <c r="ACC16" s="174"/>
      <c r="ACG16" s="174"/>
      <c r="ACK16" s="174"/>
      <c r="ACO16" s="174"/>
      <c r="ACS16" s="174"/>
      <c r="ACW16" s="174"/>
      <c r="ADA16" s="174"/>
      <c r="ADE16" s="174"/>
      <c r="ADI16" s="174"/>
      <c r="ADM16" s="174"/>
      <c r="ADQ16" s="174"/>
      <c r="ADU16" s="174"/>
      <c r="ADY16" s="174"/>
      <c r="AEC16" s="174"/>
      <c r="AEG16" s="174"/>
      <c r="AEK16" s="174"/>
      <c r="AEO16" s="174"/>
      <c r="AES16" s="174"/>
      <c r="AEW16" s="174"/>
      <c r="AFA16" s="174"/>
      <c r="AFE16" s="174"/>
      <c r="AFI16" s="174"/>
      <c r="AFM16" s="174"/>
      <c r="AFQ16" s="174"/>
      <c r="AFU16" s="174"/>
      <c r="AFY16" s="174"/>
      <c r="AGC16" s="174"/>
      <c r="AGG16" s="174"/>
      <c r="AGK16" s="174"/>
      <c r="AGO16" s="174"/>
      <c r="AGS16" s="174"/>
      <c r="AGW16" s="174"/>
      <c r="AHA16" s="174"/>
      <c r="AHE16" s="174"/>
      <c r="AHI16" s="174"/>
      <c r="AHM16" s="174"/>
      <c r="AHQ16" s="174"/>
      <c r="AHU16" s="174"/>
      <c r="AHY16" s="174"/>
      <c r="AIC16" s="174"/>
      <c r="AIG16" s="174"/>
      <c r="AIK16" s="174"/>
      <c r="AIO16" s="174"/>
      <c r="AIS16" s="174"/>
      <c r="AIW16" s="174"/>
      <c r="AJA16" s="174"/>
      <c r="AJE16" s="174"/>
      <c r="AJI16" s="174"/>
      <c r="AJM16" s="174"/>
      <c r="AJQ16" s="174"/>
      <c r="AJU16" s="174"/>
      <c r="AJY16" s="174"/>
      <c r="AKC16" s="174"/>
      <c r="AKG16" s="174"/>
      <c r="AKK16" s="174"/>
      <c r="AKO16" s="174"/>
      <c r="AKS16" s="174"/>
      <c r="AKW16" s="174"/>
      <c r="ALA16" s="174"/>
      <c r="ALE16" s="174"/>
      <c r="ALI16" s="174"/>
      <c r="ALM16" s="174"/>
      <c r="ALQ16" s="174"/>
      <c r="ALU16" s="174"/>
      <c r="ALY16" s="174"/>
      <c r="AMC16" s="174"/>
      <c r="AMG16" s="174"/>
      <c r="AMK16" s="174"/>
      <c r="AMO16" s="174"/>
      <c r="AMS16" s="174"/>
      <c r="AMW16" s="174"/>
      <c r="ANA16" s="174"/>
      <c r="ANE16" s="174"/>
      <c r="ANI16" s="174"/>
      <c r="ANM16" s="174"/>
      <c r="ANQ16" s="174"/>
      <c r="ANU16" s="174"/>
      <c r="ANY16" s="174"/>
      <c r="AOC16" s="174"/>
      <c r="AOG16" s="174"/>
      <c r="AOK16" s="174"/>
      <c r="AOO16" s="174"/>
      <c r="AOS16" s="174"/>
      <c r="AOW16" s="174"/>
      <c r="APA16" s="174"/>
      <c r="APE16" s="174"/>
      <c r="API16" s="174"/>
      <c r="APM16" s="174"/>
      <c r="APQ16" s="174"/>
      <c r="APU16" s="174"/>
      <c r="APY16" s="174"/>
      <c r="AQC16" s="174"/>
      <c r="AQG16" s="174"/>
      <c r="AQK16" s="174"/>
      <c r="AQO16" s="174"/>
      <c r="AQS16" s="174"/>
      <c r="AQW16" s="174"/>
      <c r="ARA16" s="174"/>
      <c r="ARE16" s="174"/>
      <c r="ARI16" s="174"/>
      <c r="ARM16" s="174"/>
      <c r="ARQ16" s="174"/>
      <c r="ARU16" s="174"/>
      <c r="ARY16" s="174"/>
      <c r="ASC16" s="174"/>
      <c r="ASG16" s="174"/>
      <c r="ASK16" s="174"/>
      <c r="ASO16" s="174"/>
      <c r="ASS16" s="174"/>
      <c r="ASW16" s="174"/>
      <c r="ATA16" s="174"/>
      <c r="ATE16" s="174"/>
      <c r="ATI16" s="174"/>
      <c r="ATM16" s="174"/>
      <c r="ATQ16" s="174"/>
      <c r="ATU16" s="174"/>
      <c r="ATY16" s="174"/>
      <c r="AUC16" s="174"/>
      <c r="AUG16" s="174"/>
      <c r="AUK16" s="174"/>
      <c r="AUO16" s="174"/>
      <c r="AUS16" s="174"/>
      <c r="AUW16" s="174"/>
      <c r="AVA16" s="174"/>
      <c r="AVE16" s="174"/>
      <c r="AVI16" s="174"/>
      <c r="AVM16" s="174"/>
      <c r="AVQ16" s="174"/>
      <c r="AVU16" s="174"/>
      <c r="AVY16" s="174"/>
      <c r="AWC16" s="174"/>
      <c r="AWG16" s="174"/>
      <c r="AWK16" s="174"/>
      <c r="AWO16" s="174"/>
      <c r="AWS16" s="174"/>
      <c r="AWW16" s="174"/>
      <c r="AXA16" s="174"/>
      <c r="AXE16" s="174"/>
      <c r="AXI16" s="174"/>
      <c r="AXM16" s="174"/>
      <c r="AXQ16" s="174"/>
      <c r="AXU16" s="174"/>
      <c r="AXY16" s="174"/>
      <c r="AYC16" s="174"/>
      <c r="AYG16" s="174"/>
      <c r="AYK16" s="174"/>
      <c r="AYO16" s="174"/>
      <c r="AYS16" s="174"/>
      <c r="AYW16" s="174"/>
      <c r="AZA16" s="174"/>
      <c r="AZE16" s="174"/>
      <c r="AZI16" s="174"/>
      <c r="AZM16" s="174"/>
      <c r="AZQ16" s="174"/>
      <c r="AZU16" s="174"/>
      <c r="AZY16" s="174"/>
      <c r="BAC16" s="174"/>
      <c r="BAG16" s="174"/>
      <c r="BAK16" s="174"/>
      <c r="BAO16" s="174"/>
      <c r="BAS16" s="174"/>
      <c r="BAW16" s="174"/>
      <c r="BBA16" s="174"/>
      <c r="BBE16" s="174"/>
      <c r="BBI16" s="174"/>
      <c r="BBM16" s="174"/>
      <c r="BBQ16" s="174"/>
      <c r="BBU16" s="174"/>
      <c r="BBY16" s="174"/>
      <c r="BCC16" s="174"/>
      <c r="BCG16" s="174"/>
      <c r="BCK16" s="174"/>
      <c r="BCO16" s="174"/>
      <c r="BCS16" s="174"/>
      <c r="BCW16" s="174"/>
      <c r="BDA16" s="174"/>
      <c r="BDE16" s="174"/>
      <c r="BDI16" s="174"/>
      <c r="BDM16" s="174"/>
      <c r="BDQ16" s="174"/>
      <c r="BDU16" s="174"/>
      <c r="BDY16" s="174"/>
      <c r="BEC16" s="174"/>
      <c r="BEG16" s="174"/>
      <c r="BEK16" s="174"/>
      <c r="BEO16" s="174"/>
      <c r="BES16" s="174"/>
      <c r="BEW16" s="174"/>
      <c r="BFA16" s="174"/>
      <c r="BFE16" s="174"/>
      <c r="BFI16" s="174"/>
      <c r="BFM16" s="174"/>
      <c r="BFQ16" s="174"/>
      <c r="BFU16" s="174"/>
      <c r="BFY16" s="174"/>
      <c r="BGC16" s="174"/>
      <c r="BGG16" s="174"/>
      <c r="BGK16" s="174"/>
      <c r="BGO16" s="174"/>
      <c r="BGS16" s="174"/>
      <c r="BGW16" s="174"/>
      <c r="BHA16" s="174"/>
      <c r="BHE16" s="174"/>
      <c r="BHI16" s="174"/>
      <c r="BHM16" s="174"/>
      <c r="BHQ16" s="174"/>
      <c r="BHU16" s="174"/>
      <c r="BHY16" s="174"/>
      <c r="BIC16" s="174"/>
      <c r="BIG16" s="174"/>
      <c r="BIK16" s="174"/>
      <c r="BIO16" s="174"/>
      <c r="BIS16" s="174"/>
      <c r="BIW16" s="174"/>
      <c r="BJA16" s="174"/>
      <c r="BJE16" s="174"/>
      <c r="BJI16" s="174"/>
      <c r="BJM16" s="174"/>
      <c r="BJQ16" s="174"/>
      <c r="BJU16" s="174"/>
      <c r="BJY16" s="174"/>
      <c r="BKC16" s="174"/>
      <c r="BKG16" s="174"/>
      <c r="BKK16" s="174"/>
      <c r="BKO16" s="174"/>
      <c r="BKS16" s="174"/>
      <c r="BKW16" s="174"/>
      <c r="BLA16" s="174"/>
      <c r="BLE16" s="174"/>
      <c r="BLI16" s="174"/>
      <c r="BLM16" s="174"/>
      <c r="BLQ16" s="174"/>
      <c r="BLU16" s="174"/>
      <c r="BLY16" s="174"/>
      <c r="BMC16" s="174"/>
      <c r="BMG16" s="174"/>
      <c r="BMK16" s="174"/>
      <c r="BMO16" s="174"/>
      <c r="BMS16" s="174"/>
      <c r="BMW16" s="174"/>
      <c r="BNA16" s="174"/>
      <c r="BNE16" s="174"/>
      <c r="BNI16" s="174"/>
      <c r="BNM16" s="174"/>
      <c r="BNQ16" s="174"/>
      <c r="BNU16" s="174"/>
      <c r="BNY16" s="174"/>
      <c r="BOC16" s="174"/>
      <c r="BOG16" s="174"/>
      <c r="BOK16" s="174"/>
      <c r="BOO16" s="174"/>
      <c r="BOS16" s="174"/>
      <c r="BOW16" s="174"/>
      <c r="BPA16" s="174"/>
      <c r="BPE16" s="174"/>
      <c r="BPI16" s="174"/>
      <c r="BPM16" s="174"/>
      <c r="BPQ16" s="174"/>
      <c r="BPU16" s="174"/>
      <c r="BPY16" s="174"/>
      <c r="BQC16" s="174"/>
      <c r="BQG16" s="174"/>
      <c r="BQK16" s="174"/>
      <c r="BQO16" s="174"/>
      <c r="BQS16" s="174"/>
      <c r="BQW16" s="174"/>
      <c r="BRA16" s="174"/>
      <c r="BRE16" s="174"/>
      <c r="BRI16" s="174"/>
      <c r="BRM16" s="174"/>
      <c r="BRQ16" s="174"/>
      <c r="BRU16" s="174"/>
      <c r="BRY16" s="174"/>
      <c r="BSC16" s="174"/>
      <c r="BSG16" s="174"/>
      <c r="BSK16" s="174"/>
      <c r="BSO16" s="174"/>
      <c r="BSS16" s="174"/>
      <c r="BSW16" s="174"/>
      <c r="BTA16" s="174"/>
      <c r="BTE16" s="174"/>
      <c r="BTI16" s="174"/>
      <c r="BTM16" s="174"/>
      <c r="BTQ16" s="174"/>
      <c r="BTU16" s="174"/>
      <c r="BTY16" s="174"/>
      <c r="BUC16" s="174"/>
      <c r="BUG16" s="174"/>
      <c r="BUK16" s="174"/>
      <c r="BUO16" s="174"/>
      <c r="BUS16" s="174"/>
      <c r="BUW16" s="174"/>
      <c r="BVA16" s="174"/>
      <c r="BVE16" s="174"/>
      <c r="BVI16" s="174"/>
      <c r="BVM16" s="174"/>
      <c r="BVQ16" s="174"/>
      <c r="BVU16" s="174"/>
      <c r="BVY16" s="174"/>
      <c r="BWC16" s="174"/>
      <c r="BWG16" s="174"/>
      <c r="BWK16" s="174"/>
      <c r="BWO16" s="174"/>
      <c r="BWS16" s="174"/>
      <c r="BWW16" s="174"/>
      <c r="BXA16" s="174"/>
      <c r="BXE16" s="174"/>
      <c r="BXI16" s="174"/>
      <c r="BXM16" s="174"/>
      <c r="BXQ16" s="174"/>
      <c r="BXU16" s="174"/>
      <c r="BXY16" s="174"/>
      <c r="BYC16" s="174"/>
      <c r="BYG16" s="174"/>
      <c r="BYK16" s="174"/>
      <c r="BYO16" s="174"/>
      <c r="BYS16" s="174"/>
      <c r="BYW16" s="174"/>
      <c r="BZA16" s="174"/>
      <c r="BZE16" s="174"/>
      <c r="BZI16" s="174"/>
      <c r="BZM16" s="174"/>
      <c r="BZQ16" s="174"/>
      <c r="BZU16" s="174"/>
      <c r="BZY16" s="174"/>
      <c r="CAC16" s="174"/>
      <c r="CAG16" s="174"/>
      <c r="CAK16" s="174"/>
      <c r="CAO16" s="174"/>
      <c r="CAS16" s="174"/>
      <c r="CAW16" s="174"/>
      <c r="CBA16" s="174"/>
      <c r="CBE16" s="174"/>
      <c r="CBI16" s="174"/>
      <c r="CBM16" s="174"/>
      <c r="CBQ16" s="174"/>
      <c r="CBU16" s="174"/>
      <c r="CBY16" s="174"/>
      <c r="CCC16" s="174"/>
      <c r="CCG16" s="174"/>
      <c r="CCK16" s="174"/>
      <c r="CCO16" s="174"/>
      <c r="CCS16" s="174"/>
      <c r="CCW16" s="174"/>
      <c r="CDA16" s="174"/>
      <c r="CDE16" s="174"/>
      <c r="CDI16" s="174"/>
      <c r="CDM16" s="174"/>
      <c r="CDQ16" s="174"/>
      <c r="CDU16" s="174"/>
      <c r="CDY16" s="174"/>
      <c r="CEC16" s="174"/>
      <c r="CEG16" s="174"/>
      <c r="CEK16" s="174"/>
      <c r="CEO16" s="174"/>
      <c r="CES16" s="174"/>
      <c r="CEW16" s="174"/>
      <c r="CFA16" s="174"/>
      <c r="CFE16" s="174"/>
      <c r="CFI16" s="174"/>
      <c r="CFM16" s="174"/>
      <c r="CFQ16" s="174"/>
      <c r="CFU16" s="174"/>
      <c r="CFY16" s="174"/>
      <c r="CGC16" s="174"/>
      <c r="CGG16" s="174"/>
      <c r="CGK16" s="174"/>
      <c r="CGO16" s="174"/>
      <c r="CGS16" s="174"/>
      <c r="CGW16" s="174"/>
      <c r="CHA16" s="174"/>
      <c r="CHE16" s="174"/>
      <c r="CHI16" s="174"/>
      <c r="CHM16" s="174"/>
      <c r="CHQ16" s="174"/>
      <c r="CHU16" s="174"/>
      <c r="CHY16" s="174"/>
      <c r="CIC16" s="174"/>
      <c r="CIG16" s="174"/>
      <c r="CIK16" s="174"/>
      <c r="CIO16" s="174"/>
      <c r="CIS16" s="174"/>
      <c r="CIW16" s="174"/>
      <c r="CJA16" s="174"/>
      <c r="CJE16" s="174"/>
      <c r="CJI16" s="174"/>
      <c r="CJM16" s="174"/>
      <c r="CJQ16" s="174"/>
      <c r="CJU16" s="174"/>
      <c r="CJY16" s="174"/>
      <c r="CKC16" s="174"/>
      <c r="CKG16" s="174"/>
      <c r="CKK16" s="174"/>
      <c r="CKO16" s="174"/>
      <c r="CKS16" s="174"/>
      <c r="CKW16" s="174"/>
      <c r="CLA16" s="174"/>
      <c r="CLE16" s="174"/>
      <c r="CLI16" s="174"/>
      <c r="CLM16" s="174"/>
      <c r="CLQ16" s="174"/>
      <c r="CLU16" s="174"/>
      <c r="CLY16" s="174"/>
      <c r="CMC16" s="174"/>
      <c r="CMG16" s="174"/>
      <c r="CMK16" s="174"/>
      <c r="CMO16" s="174"/>
      <c r="CMS16" s="174"/>
      <c r="CMW16" s="174"/>
      <c r="CNA16" s="174"/>
      <c r="CNE16" s="174"/>
      <c r="CNI16" s="174"/>
      <c r="CNM16" s="174"/>
      <c r="CNQ16" s="174"/>
      <c r="CNU16" s="174"/>
      <c r="CNY16" s="174"/>
      <c r="COC16" s="174"/>
      <c r="COG16" s="174"/>
      <c r="COK16" s="174"/>
      <c r="COO16" s="174"/>
      <c r="COS16" s="174"/>
      <c r="COW16" s="174"/>
      <c r="CPA16" s="174"/>
      <c r="CPE16" s="174"/>
      <c r="CPI16" s="174"/>
      <c r="CPM16" s="174"/>
      <c r="CPQ16" s="174"/>
      <c r="CPU16" s="174"/>
      <c r="CPY16" s="174"/>
      <c r="CQC16" s="174"/>
      <c r="CQG16" s="174"/>
      <c r="CQK16" s="174"/>
      <c r="CQO16" s="174"/>
      <c r="CQS16" s="174"/>
      <c r="CQW16" s="174"/>
      <c r="CRA16" s="174"/>
      <c r="CRE16" s="174"/>
      <c r="CRI16" s="174"/>
      <c r="CRM16" s="174"/>
      <c r="CRQ16" s="174"/>
      <c r="CRU16" s="174"/>
      <c r="CRY16" s="174"/>
      <c r="CSC16" s="174"/>
      <c r="CSG16" s="174"/>
      <c r="CSK16" s="174"/>
      <c r="CSO16" s="174"/>
      <c r="CSS16" s="174"/>
      <c r="CSW16" s="174"/>
      <c r="CTA16" s="174"/>
      <c r="CTE16" s="174"/>
      <c r="CTI16" s="174"/>
      <c r="CTM16" s="174"/>
      <c r="CTQ16" s="174"/>
      <c r="CTU16" s="174"/>
      <c r="CTY16" s="174"/>
      <c r="CUC16" s="174"/>
      <c r="CUG16" s="174"/>
      <c r="CUK16" s="174"/>
      <c r="CUO16" s="174"/>
      <c r="CUS16" s="174"/>
      <c r="CUW16" s="174"/>
      <c r="CVA16" s="174"/>
      <c r="CVE16" s="174"/>
      <c r="CVI16" s="174"/>
      <c r="CVM16" s="174"/>
      <c r="CVQ16" s="174"/>
      <c r="CVU16" s="174"/>
      <c r="CVY16" s="174"/>
      <c r="CWC16" s="174"/>
      <c r="CWG16" s="174"/>
      <c r="CWK16" s="174"/>
      <c r="CWO16" s="174"/>
      <c r="CWS16" s="174"/>
      <c r="CWW16" s="174"/>
      <c r="CXA16" s="174"/>
      <c r="CXE16" s="174"/>
      <c r="CXI16" s="174"/>
      <c r="CXM16" s="174"/>
      <c r="CXQ16" s="174"/>
      <c r="CXU16" s="174"/>
      <c r="CXY16" s="174"/>
      <c r="CYC16" s="174"/>
      <c r="CYG16" s="174"/>
      <c r="CYK16" s="174"/>
      <c r="CYO16" s="174"/>
      <c r="CYS16" s="174"/>
      <c r="CYW16" s="174"/>
      <c r="CZA16" s="174"/>
      <c r="CZE16" s="174"/>
      <c r="CZI16" s="174"/>
      <c r="CZM16" s="174"/>
      <c r="CZQ16" s="174"/>
      <c r="CZU16" s="174"/>
      <c r="CZY16" s="174"/>
      <c r="DAC16" s="174"/>
      <c r="DAG16" s="174"/>
      <c r="DAK16" s="174"/>
      <c r="DAO16" s="174"/>
      <c r="DAS16" s="174"/>
      <c r="DAW16" s="174"/>
      <c r="DBA16" s="174"/>
      <c r="DBE16" s="174"/>
      <c r="DBI16" s="174"/>
      <c r="DBM16" s="174"/>
      <c r="DBQ16" s="174"/>
      <c r="DBU16" s="174"/>
      <c r="DBY16" s="174"/>
      <c r="DCC16" s="174"/>
      <c r="DCG16" s="174"/>
      <c r="DCK16" s="174"/>
      <c r="DCO16" s="174"/>
      <c r="DCS16" s="174"/>
      <c r="DCW16" s="174"/>
      <c r="DDA16" s="174"/>
      <c r="DDE16" s="174"/>
      <c r="DDI16" s="174"/>
      <c r="DDM16" s="174"/>
      <c r="DDQ16" s="174"/>
      <c r="DDU16" s="174"/>
      <c r="DDY16" s="174"/>
      <c r="DEC16" s="174"/>
      <c r="DEG16" s="174"/>
      <c r="DEK16" s="174"/>
      <c r="DEO16" s="174"/>
      <c r="DES16" s="174"/>
      <c r="DEW16" s="174"/>
      <c r="DFA16" s="174"/>
      <c r="DFE16" s="174"/>
      <c r="DFI16" s="174"/>
      <c r="DFM16" s="174"/>
      <c r="DFQ16" s="174"/>
      <c r="DFU16" s="174"/>
      <c r="DFY16" s="174"/>
      <c r="DGC16" s="174"/>
      <c r="DGG16" s="174"/>
      <c r="DGK16" s="174"/>
      <c r="DGO16" s="174"/>
      <c r="DGS16" s="174"/>
      <c r="DGW16" s="174"/>
      <c r="DHA16" s="174"/>
      <c r="DHE16" s="174"/>
      <c r="DHI16" s="174"/>
      <c r="DHM16" s="174"/>
      <c r="DHQ16" s="174"/>
      <c r="DHU16" s="174"/>
      <c r="DHY16" s="174"/>
      <c r="DIC16" s="174"/>
      <c r="DIG16" s="174"/>
      <c r="DIK16" s="174"/>
      <c r="DIO16" s="174"/>
      <c r="DIS16" s="174"/>
      <c r="DIW16" s="174"/>
      <c r="DJA16" s="174"/>
      <c r="DJE16" s="174"/>
      <c r="DJI16" s="174"/>
      <c r="DJM16" s="174"/>
      <c r="DJQ16" s="174"/>
      <c r="DJU16" s="174"/>
      <c r="DJY16" s="174"/>
      <c r="DKC16" s="174"/>
      <c r="DKG16" s="174"/>
      <c r="DKK16" s="174"/>
      <c r="DKO16" s="174"/>
      <c r="DKS16" s="174"/>
      <c r="DKW16" s="174"/>
      <c r="DLA16" s="174"/>
      <c r="DLE16" s="174"/>
      <c r="DLI16" s="174"/>
      <c r="DLM16" s="174"/>
      <c r="DLQ16" s="174"/>
      <c r="DLU16" s="174"/>
      <c r="DLY16" s="174"/>
      <c r="DMC16" s="174"/>
      <c r="DMG16" s="174"/>
      <c r="DMK16" s="174"/>
      <c r="DMO16" s="174"/>
      <c r="DMS16" s="174"/>
      <c r="DMW16" s="174"/>
      <c r="DNA16" s="174"/>
      <c r="DNE16" s="174"/>
      <c r="DNI16" s="174"/>
      <c r="DNM16" s="174"/>
      <c r="DNQ16" s="174"/>
      <c r="DNU16" s="174"/>
      <c r="DNY16" s="174"/>
      <c r="DOC16" s="174"/>
      <c r="DOG16" s="174"/>
      <c r="DOK16" s="174"/>
      <c r="DOO16" s="174"/>
      <c r="DOS16" s="174"/>
      <c r="DOW16" s="174"/>
      <c r="DPA16" s="174"/>
      <c r="DPE16" s="174"/>
      <c r="DPI16" s="174"/>
      <c r="DPM16" s="174"/>
      <c r="DPQ16" s="174"/>
      <c r="DPU16" s="174"/>
      <c r="DPY16" s="174"/>
      <c r="DQC16" s="174"/>
      <c r="DQG16" s="174"/>
      <c r="DQK16" s="174"/>
      <c r="DQO16" s="174"/>
      <c r="DQS16" s="174"/>
      <c r="DQW16" s="174"/>
      <c r="DRA16" s="174"/>
      <c r="DRE16" s="174"/>
      <c r="DRI16" s="174"/>
      <c r="DRM16" s="174"/>
      <c r="DRQ16" s="174"/>
      <c r="DRU16" s="174"/>
      <c r="DRY16" s="174"/>
      <c r="DSC16" s="174"/>
      <c r="DSG16" s="174"/>
      <c r="DSK16" s="174"/>
      <c r="DSO16" s="174"/>
      <c r="DSS16" s="174"/>
      <c r="DSW16" s="174"/>
      <c r="DTA16" s="174"/>
      <c r="DTE16" s="174"/>
      <c r="DTI16" s="174"/>
      <c r="DTM16" s="174"/>
      <c r="DTQ16" s="174"/>
      <c r="DTU16" s="174"/>
      <c r="DTY16" s="174"/>
      <c r="DUC16" s="174"/>
      <c r="DUG16" s="174"/>
      <c r="DUK16" s="174"/>
      <c r="DUO16" s="174"/>
      <c r="DUS16" s="174"/>
      <c r="DUW16" s="174"/>
      <c r="DVA16" s="174"/>
      <c r="DVE16" s="174"/>
      <c r="DVI16" s="174"/>
      <c r="DVM16" s="174"/>
      <c r="DVQ16" s="174"/>
      <c r="DVU16" s="174"/>
      <c r="DVY16" s="174"/>
      <c r="DWC16" s="174"/>
      <c r="DWG16" s="174"/>
      <c r="DWK16" s="174"/>
      <c r="DWO16" s="174"/>
      <c r="DWS16" s="174"/>
      <c r="DWW16" s="174"/>
      <c r="DXA16" s="174"/>
      <c r="DXE16" s="174"/>
      <c r="DXI16" s="174"/>
      <c r="DXM16" s="174"/>
      <c r="DXQ16" s="174"/>
      <c r="DXU16" s="174"/>
      <c r="DXY16" s="174"/>
      <c r="DYC16" s="174"/>
      <c r="DYG16" s="174"/>
      <c r="DYK16" s="174"/>
      <c r="DYO16" s="174"/>
      <c r="DYS16" s="174"/>
      <c r="DYW16" s="174"/>
      <c r="DZA16" s="174"/>
      <c r="DZE16" s="174"/>
      <c r="DZI16" s="174"/>
      <c r="DZM16" s="174"/>
      <c r="DZQ16" s="174"/>
      <c r="DZU16" s="174"/>
      <c r="DZY16" s="174"/>
      <c r="EAC16" s="174"/>
      <c r="EAG16" s="174"/>
      <c r="EAK16" s="174"/>
      <c r="EAO16" s="174"/>
      <c r="EAS16" s="174"/>
      <c r="EAW16" s="174"/>
      <c r="EBA16" s="174"/>
      <c r="EBE16" s="174"/>
      <c r="EBI16" s="174"/>
      <c r="EBM16" s="174"/>
      <c r="EBQ16" s="174"/>
      <c r="EBU16" s="174"/>
      <c r="EBY16" s="174"/>
      <c r="ECC16" s="174"/>
      <c r="ECG16" s="174"/>
      <c r="ECK16" s="174"/>
      <c r="ECO16" s="174"/>
      <c r="ECS16" s="174"/>
      <c r="ECW16" s="174"/>
      <c r="EDA16" s="174"/>
      <c r="EDE16" s="174"/>
      <c r="EDI16" s="174"/>
      <c r="EDM16" s="174"/>
      <c r="EDQ16" s="174"/>
      <c r="EDU16" s="174"/>
      <c r="EDY16" s="174"/>
      <c r="EEC16" s="174"/>
      <c r="EEG16" s="174"/>
      <c r="EEK16" s="174"/>
      <c r="EEO16" s="174"/>
      <c r="EES16" s="174"/>
      <c r="EEW16" s="174"/>
      <c r="EFA16" s="174"/>
      <c r="EFE16" s="174"/>
      <c r="EFI16" s="174"/>
      <c r="EFM16" s="174"/>
      <c r="EFQ16" s="174"/>
      <c r="EFU16" s="174"/>
      <c r="EFY16" s="174"/>
      <c r="EGC16" s="174"/>
      <c r="EGG16" s="174"/>
      <c r="EGK16" s="174"/>
      <c r="EGO16" s="174"/>
      <c r="EGS16" s="174"/>
      <c r="EGW16" s="174"/>
      <c r="EHA16" s="174"/>
      <c r="EHE16" s="174"/>
      <c r="EHI16" s="174"/>
      <c r="EHM16" s="174"/>
      <c r="EHQ16" s="174"/>
      <c r="EHU16" s="174"/>
      <c r="EHY16" s="174"/>
      <c r="EIC16" s="174"/>
      <c r="EIG16" s="174"/>
      <c r="EIK16" s="174"/>
      <c r="EIO16" s="174"/>
      <c r="EIS16" s="174"/>
      <c r="EIW16" s="174"/>
      <c r="EJA16" s="174"/>
      <c r="EJE16" s="174"/>
      <c r="EJI16" s="174"/>
      <c r="EJM16" s="174"/>
      <c r="EJQ16" s="174"/>
      <c r="EJU16" s="174"/>
      <c r="EJY16" s="174"/>
      <c r="EKC16" s="174"/>
      <c r="EKG16" s="174"/>
      <c r="EKK16" s="174"/>
      <c r="EKO16" s="174"/>
      <c r="EKS16" s="174"/>
      <c r="EKW16" s="174"/>
      <c r="ELA16" s="174"/>
      <c r="ELE16" s="174"/>
      <c r="ELI16" s="174"/>
      <c r="ELM16" s="174"/>
      <c r="ELQ16" s="174"/>
      <c r="ELU16" s="174"/>
      <c r="ELY16" s="174"/>
      <c r="EMC16" s="174"/>
      <c r="EMG16" s="174"/>
      <c r="EMK16" s="174"/>
      <c r="EMO16" s="174"/>
      <c r="EMS16" s="174"/>
      <c r="EMW16" s="174"/>
      <c r="ENA16" s="174"/>
      <c r="ENE16" s="174"/>
      <c r="ENI16" s="174"/>
      <c r="ENM16" s="174"/>
      <c r="ENQ16" s="174"/>
      <c r="ENU16" s="174"/>
      <c r="ENY16" s="174"/>
      <c r="EOC16" s="174"/>
      <c r="EOG16" s="174"/>
      <c r="EOK16" s="174"/>
      <c r="EOO16" s="174"/>
      <c r="EOS16" s="174"/>
      <c r="EOW16" s="174"/>
      <c r="EPA16" s="174"/>
      <c r="EPE16" s="174"/>
      <c r="EPI16" s="174"/>
      <c r="EPM16" s="174"/>
      <c r="EPQ16" s="174"/>
      <c r="EPU16" s="174"/>
      <c r="EPY16" s="174"/>
      <c r="EQC16" s="174"/>
      <c r="EQG16" s="174"/>
      <c r="EQK16" s="174"/>
      <c r="EQO16" s="174"/>
      <c r="EQS16" s="174"/>
      <c r="EQW16" s="174"/>
      <c r="ERA16" s="174"/>
      <c r="ERE16" s="174"/>
      <c r="ERI16" s="174"/>
      <c r="ERM16" s="174"/>
      <c r="ERQ16" s="174"/>
      <c r="ERU16" s="174"/>
      <c r="ERY16" s="174"/>
      <c r="ESC16" s="174"/>
      <c r="ESG16" s="174"/>
      <c r="ESK16" s="174"/>
      <c r="ESO16" s="174"/>
      <c r="ESS16" s="174"/>
      <c r="ESW16" s="174"/>
      <c r="ETA16" s="174"/>
      <c r="ETE16" s="174"/>
      <c r="ETI16" s="174"/>
      <c r="ETM16" s="174"/>
      <c r="ETQ16" s="174"/>
      <c r="ETU16" s="174"/>
      <c r="ETY16" s="174"/>
      <c r="EUC16" s="174"/>
      <c r="EUG16" s="174"/>
      <c r="EUK16" s="174"/>
      <c r="EUO16" s="174"/>
      <c r="EUS16" s="174"/>
      <c r="EUW16" s="174"/>
      <c r="EVA16" s="174"/>
      <c r="EVE16" s="174"/>
      <c r="EVI16" s="174"/>
      <c r="EVM16" s="174"/>
      <c r="EVQ16" s="174"/>
      <c r="EVU16" s="174"/>
      <c r="EVY16" s="174"/>
      <c r="EWC16" s="174"/>
      <c r="EWG16" s="174"/>
      <c r="EWK16" s="174"/>
      <c r="EWO16" s="174"/>
      <c r="EWS16" s="174"/>
      <c r="EWW16" s="174"/>
      <c r="EXA16" s="174"/>
      <c r="EXE16" s="174"/>
      <c r="EXI16" s="174"/>
      <c r="EXM16" s="174"/>
      <c r="EXQ16" s="174"/>
      <c r="EXU16" s="174"/>
      <c r="EXY16" s="174"/>
      <c r="EYC16" s="174"/>
      <c r="EYG16" s="174"/>
      <c r="EYK16" s="174"/>
      <c r="EYO16" s="174"/>
      <c r="EYS16" s="174"/>
      <c r="EYW16" s="174"/>
      <c r="EZA16" s="174"/>
      <c r="EZE16" s="174"/>
      <c r="EZI16" s="174"/>
      <c r="EZM16" s="174"/>
      <c r="EZQ16" s="174"/>
      <c r="EZU16" s="174"/>
      <c r="EZY16" s="174"/>
      <c r="FAC16" s="174"/>
      <c r="FAG16" s="174"/>
      <c r="FAK16" s="174"/>
      <c r="FAO16" s="174"/>
      <c r="FAS16" s="174"/>
      <c r="FAW16" s="174"/>
      <c r="FBA16" s="174"/>
      <c r="FBE16" s="174"/>
      <c r="FBI16" s="174"/>
      <c r="FBM16" s="174"/>
      <c r="FBQ16" s="174"/>
      <c r="FBU16" s="174"/>
      <c r="FBY16" s="174"/>
      <c r="FCC16" s="174"/>
      <c r="FCG16" s="174"/>
      <c r="FCK16" s="174"/>
      <c r="FCO16" s="174"/>
      <c r="FCS16" s="174"/>
      <c r="FCW16" s="174"/>
      <c r="FDA16" s="174"/>
      <c r="FDE16" s="174"/>
      <c r="FDI16" s="174"/>
      <c r="FDM16" s="174"/>
      <c r="FDQ16" s="174"/>
      <c r="FDU16" s="174"/>
      <c r="FDY16" s="174"/>
      <c r="FEC16" s="174"/>
      <c r="FEG16" s="174"/>
      <c r="FEK16" s="174"/>
      <c r="FEO16" s="174"/>
      <c r="FES16" s="174"/>
      <c r="FEW16" s="174"/>
      <c r="FFA16" s="174"/>
      <c r="FFE16" s="174"/>
      <c r="FFI16" s="174"/>
      <c r="FFM16" s="174"/>
      <c r="FFQ16" s="174"/>
      <c r="FFU16" s="174"/>
      <c r="FFY16" s="174"/>
      <c r="FGC16" s="174"/>
      <c r="FGG16" s="174"/>
      <c r="FGK16" s="174"/>
      <c r="FGO16" s="174"/>
      <c r="FGS16" s="174"/>
      <c r="FGW16" s="174"/>
      <c r="FHA16" s="174"/>
      <c r="FHE16" s="174"/>
      <c r="FHI16" s="174"/>
      <c r="FHM16" s="174"/>
      <c r="FHQ16" s="174"/>
      <c r="FHU16" s="174"/>
      <c r="FHY16" s="174"/>
      <c r="FIC16" s="174"/>
      <c r="FIG16" s="174"/>
      <c r="FIK16" s="174"/>
      <c r="FIO16" s="174"/>
      <c r="FIS16" s="174"/>
      <c r="FIW16" s="174"/>
      <c r="FJA16" s="174"/>
      <c r="FJE16" s="174"/>
      <c r="FJI16" s="174"/>
      <c r="FJM16" s="174"/>
      <c r="FJQ16" s="174"/>
      <c r="FJU16" s="174"/>
      <c r="FJY16" s="174"/>
      <c r="FKC16" s="174"/>
      <c r="FKG16" s="174"/>
      <c r="FKK16" s="174"/>
      <c r="FKO16" s="174"/>
      <c r="FKS16" s="174"/>
      <c r="FKW16" s="174"/>
      <c r="FLA16" s="174"/>
      <c r="FLE16" s="174"/>
      <c r="FLI16" s="174"/>
      <c r="FLM16" s="174"/>
      <c r="FLQ16" s="174"/>
      <c r="FLU16" s="174"/>
      <c r="FLY16" s="174"/>
      <c r="FMC16" s="174"/>
      <c r="FMG16" s="174"/>
      <c r="FMK16" s="174"/>
      <c r="FMO16" s="174"/>
      <c r="FMS16" s="174"/>
      <c r="FMW16" s="174"/>
      <c r="FNA16" s="174"/>
      <c r="FNE16" s="174"/>
      <c r="FNI16" s="174"/>
      <c r="FNM16" s="174"/>
      <c r="FNQ16" s="174"/>
      <c r="FNU16" s="174"/>
      <c r="FNY16" s="174"/>
      <c r="FOC16" s="174"/>
      <c r="FOG16" s="174"/>
      <c r="FOK16" s="174"/>
      <c r="FOO16" s="174"/>
      <c r="FOS16" s="174"/>
      <c r="FOW16" s="174"/>
      <c r="FPA16" s="174"/>
      <c r="FPE16" s="174"/>
      <c r="FPI16" s="174"/>
      <c r="FPM16" s="174"/>
      <c r="FPQ16" s="174"/>
      <c r="FPU16" s="174"/>
      <c r="FPY16" s="174"/>
      <c r="FQC16" s="174"/>
      <c r="FQG16" s="174"/>
      <c r="FQK16" s="174"/>
      <c r="FQO16" s="174"/>
      <c r="FQS16" s="174"/>
      <c r="FQW16" s="174"/>
      <c r="FRA16" s="174"/>
      <c r="FRE16" s="174"/>
      <c r="FRI16" s="174"/>
      <c r="FRM16" s="174"/>
      <c r="FRQ16" s="174"/>
      <c r="FRU16" s="174"/>
      <c r="FRY16" s="174"/>
      <c r="FSC16" s="174"/>
      <c r="FSG16" s="174"/>
      <c r="FSK16" s="174"/>
      <c r="FSO16" s="174"/>
      <c r="FSS16" s="174"/>
      <c r="FSW16" s="174"/>
      <c r="FTA16" s="174"/>
      <c r="FTE16" s="174"/>
      <c r="FTI16" s="174"/>
      <c r="FTM16" s="174"/>
      <c r="FTQ16" s="174"/>
      <c r="FTU16" s="174"/>
      <c r="FTY16" s="174"/>
      <c r="FUC16" s="174"/>
      <c r="FUG16" s="174"/>
      <c r="FUK16" s="174"/>
      <c r="FUO16" s="174"/>
      <c r="FUS16" s="174"/>
      <c r="FUW16" s="174"/>
      <c r="FVA16" s="174"/>
      <c r="FVE16" s="174"/>
      <c r="FVI16" s="174"/>
      <c r="FVM16" s="174"/>
      <c r="FVQ16" s="174"/>
      <c r="FVU16" s="174"/>
      <c r="FVY16" s="174"/>
      <c r="FWC16" s="174"/>
      <c r="FWG16" s="174"/>
      <c r="FWK16" s="174"/>
      <c r="FWO16" s="174"/>
      <c r="FWS16" s="174"/>
      <c r="FWW16" s="174"/>
      <c r="FXA16" s="174"/>
      <c r="FXE16" s="174"/>
      <c r="FXI16" s="174"/>
      <c r="FXM16" s="174"/>
      <c r="FXQ16" s="174"/>
      <c r="FXU16" s="174"/>
      <c r="FXY16" s="174"/>
      <c r="FYC16" s="174"/>
      <c r="FYG16" s="174"/>
      <c r="FYK16" s="174"/>
      <c r="FYO16" s="174"/>
      <c r="FYS16" s="174"/>
      <c r="FYW16" s="174"/>
      <c r="FZA16" s="174"/>
      <c r="FZE16" s="174"/>
      <c r="FZI16" s="174"/>
      <c r="FZM16" s="174"/>
      <c r="FZQ16" s="174"/>
      <c r="FZU16" s="174"/>
      <c r="FZY16" s="174"/>
      <c r="GAC16" s="174"/>
      <c r="GAG16" s="174"/>
      <c r="GAK16" s="174"/>
      <c r="GAO16" s="174"/>
      <c r="GAS16" s="174"/>
      <c r="GAW16" s="174"/>
      <c r="GBA16" s="174"/>
      <c r="GBE16" s="174"/>
      <c r="GBI16" s="174"/>
      <c r="GBM16" s="174"/>
      <c r="GBQ16" s="174"/>
      <c r="GBU16" s="174"/>
      <c r="GBY16" s="174"/>
      <c r="GCC16" s="174"/>
      <c r="GCG16" s="174"/>
      <c r="GCK16" s="174"/>
      <c r="GCO16" s="174"/>
      <c r="GCS16" s="174"/>
      <c r="GCW16" s="174"/>
      <c r="GDA16" s="174"/>
      <c r="GDE16" s="174"/>
      <c r="GDI16" s="174"/>
      <c r="GDM16" s="174"/>
      <c r="GDQ16" s="174"/>
      <c r="GDU16" s="174"/>
      <c r="GDY16" s="174"/>
      <c r="GEC16" s="174"/>
      <c r="GEG16" s="174"/>
      <c r="GEK16" s="174"/>
      <c r="GEO16" s="174"/>
      <c r="GES16" s="174"/>
      <c r="GEW16" s="174"/>
      <c r="GFA16" s="174"/>
      <c r="GFE16" s="174"/>
      <c r="GFI16" s="174"/>
      <c r="GFM16" s="174"/>
      <c r="GFQ16" s="174"/>
      <c r="GFU16" s="174"/>
      <c r="GFY16" s="174"/>
      <c r="GGC16" s="174"/>
      <c r="GGG16" s="174"/>
      <c r="GGK16" s="174"/>
      <c r="GGO16" s="174"/>
      <c r="GGS16" s="174"/>
      <c r="GGW16" s="174"/>
      <c r="GHA16" s="174"/>
      <c r="GHE16" s="174"/>
      <c r="GHI16" s="174"/>
      <c r="GHM16" s="174"/>
      <c r="GHQ16" s="174"/>
      <c r="GHU16" s="174"/>
      <c r="GHY16" s="174"/>
      <c r="GIC16" s="174"/>
      <c r="GIG16" s="174"/>
      <c r="GIK16" s="174"/>
      <c r="GIO16" s="174"/>
      <c r="GIS16" s="174"/>
      <c r="GIW16" s="174"/>
      <c r="GJA16" s="174"/>
      <c r="GJE16" s="174"/>
      <c r="GJI16" s="174"/>
      <c r="GJM16" s="174"/>
      <c r="GJQ16" s="174"/>
      <c r="GJU16" s="174"/>
      <c r="GJY16" s="174"/>
      <c r="GKC16" s="174"/>
      <c r="GKG16" s="174"/>
      <c r="GKK16" s="174"/>
      <c r="GKO16" s="174"/>
      <c r="GKS16" s="174"/>
      <c r="GKW16" s="174"/>
      <c r="GLA16" s="174"/>
      <c r="GLE16" s="174"/>
      <c r="GLI16" s="174"/>
      <c r="GLM16" s="174"/>
      <c r="GLQ16" s="174"/>
      <c r="GLU16" s="174"/>
      <c r="GLY16" s="174"/>
      <c r="GMC16" s="174"/>
      <c r="GMG16" s="174"/>
      <c r="GMK16" s="174"/>
      <c r="GMO16" s="174"/>
      <c r="GMS16" s="174"/>
      <c r="GMW16" s="174"/>
      <c r="GNA16" s="174"/>
      <c r="GNE16" s="174"/>
      <c r="GNI16" s="174"/>
      <c r="GNM16" s="174"/>
      <c r="GNQ16" s="174"/>
      <c r="GNU16" s="174"/>
      <c r="GNY16" s="174"/>
      <c r="GOC16" s="174"/>
      <c r="GOG16" s="174"/>
      <c r="GOK16" s="174"/>
      <c r="GOO16" s="174"/>
      <c r="GOS16" s="174"/>
      <c r="GOW16" s="174"/>
      <c r="GPA16" s="174"/>
      <c r="GPE16" s="174"/>
      <c r="GPI16" s="174"/>
      <c r="GPM16" s="174"/>
      <c r="GPQ16" s="174"/>
      <c r="GPU16" s="174"/>
      <c r="GPY16" s="174"/>
      <c r="GQC16" s="174"/>
      <c r="GQG16" s="174"/>
      <c r="GQK16" s="174"/>
      <c r="GQO16" s="174"/>
      <c r="GQS16" s="174"/>
      <c r="GQW16" s="174"/>
      <c r="GRA16" s="174"/>
      <c r="GRE16" s="174"/>
      <c r="GRI16" s="174"/>
      <c r="GRM16" s="174"/>
      <c r="GRQ16" s="174"/>
      <c r="GRU16" s="174"/>
      <c r="GRY16" s="174"/>
      <c r="GSC16" s="174"/>
      <c r="GSG16" s="174"/>
      <c r="GSK16" s="174"/>
      <c r="GSO16" s="174"/>
      <c r="GSS16" s="174"/>
      <c r="GSW16" s="174"/>
      <c r="GTA16" s="174"/>
      <c r="GTE16" s="174"/>
      <c r="GTI16" s="174"/>
      <c r="GTM16" s="174"/>
      <c r="GTQ16" s="174"/>
      <c r="GTU16" s="174"/>
      <c r="GTY16" s="174"/>
      <c r="GUC16" s="174"/>
      <c r="GUG16" s="174"/>
      <c r="GUK16" s="174"/>
      <c r="GUO16" s="174"/>
      <c r="GUS16" s="174"/>
      <c r="GUW16" s="174"/>
      <c r="GVA16" s="174"/>
      <c r="GVE16" s="174"/>
      <c r="GVI16" s="174"/>
      <c r="GVM16" s="174"/>
      <c r="GVQ16" s="174"/>
      <c r="GVU16" s="174"/>
      <c r="GVY16" s="174"/>
      <c r="GWC16" s="174"/>
      <c r="GWG16" s="174"/>
      <c r="GWK16" s="174"/>
      <c r="GWO16" s="174"/>
      <c r="GWS16" s="174"/>
      <c r="GWW16" s="174"/>
      <c r="GXA16" s="174"/>
      <c r="GXE16" s="174"/>
      <c r="GXI16" s="174"/>
      <c r="GXM16" s="174"/>
      <c r="GXQ16" s="174"/>
      <c r="GXU16" s="174"/>
      <c r="GXY16" s="174"/>
      <c r="GYC16" s="174"/>
      <c r="GYG16" s="174"/>
      <c r="GYK16" s="174"/>
      <c r="GYO16" s="174"/>
      <c r="GYS16" s="174"/>
      <c r="GYW16" s="174"/>
      <c r="GZA16" s="174"/>
      <c r="GZE16" s="174"/>
      <c r="GZI16" s="174"/>
      <c r="GZM16" s="174"/>
      <c r="GZQ16" s="174"/>
      <c r="GZU16" s="174"/>
      <c r="GZY16" s="174"/>
      <c r="HAC16" s="174"/>
      <c r="HAG16" s="174"/>
      <c r="HAK16" s="174"/>
      <c r="HAO16" s="174"/>
      <c r="HAS16" s="174"/>
      <c r="HAW16" s="174"/>
      <c r="HBA16" s="174"/>
      <c r="HBE16" s="174"/>
      <c r="HBI16" s="174"/>
      <c r="HBM16" s="174"/>
      <c r="HBQ16" s="174"/>
      <c r="HBU16" s="174"/>
      <c r="HBY16" s="174"/>
      <c r="HCC16" s="174"/>
      <c r="HCG16" s="174"/>
      <c r="HCK16" s="174"/>
      <c r="HCO16" s="174"/>
      <c r="HCS16" s="174"/>
      <c r="HCW16" s="174"/>
      <c r="HDA16" s="174"/>
      <c r="HDE16" s="174"/>
      <c r="HDI16" s="174"/>
      <c r="HDM16" s="174"/>
      <c r="HDQ16" s="174"/>
      <c r="HDU16" s="174"/>
      <c r="HDY16" s="174"/>
      <c r="HEC16" s="174"/>
      <c r="HEG16" s="174"/>
      <c r="HEK16" s="174"/>
      <c r="HEO16" s="174"/>
      <c r="HES16" s="174"/>
      <c r="HEW16" s="174"/>
      <c r="HFA16" s="174"/>
      <c r="HFE16" s="174"/>
      <c r="HFI16" s="174"/>
      <c r="HFM16" s="174"/>
      <c r="HFQ16" s="174"/>
      <c r="HFU16" s="174"/>
      <c r="HFY16" s="174"/>
      <c r="HGC16" s="174"/>
      <c r="HGG16" s="174"/>
      <c r="HGK16" s="174"/>
      <c r="HGO16" s="174"/>
      <c r="HGS16" s="174"/>
      <c r="HGW16" s="174"/>
      <c r="HHA16" s="174"/>
      <c r="HHE16" s="174"/>
      <c r="HHI16" s="174"/>
      <c r="HHM16" s="174"/>
      <c r="HHQ16" s="174"/>
      <c r="HHU16" s="174"/>
      <c r="HHY16" s="174"/>
      <c r="HIC16" s="174"/>
      <c r="HIG16" s="174"/>
      <c r="HIK16" s="174"/>
      <c r="HIO16" s="174"/>
      <c r="HIS16" s="174"/>
      <c r="HIW16" s="174"/>
      <c r="HJA16" s="174"/>
      <c r="HJE16" s="174"/>
      <c r="HJI16" s="174"/>
      <c r="HJM16" s="174"/>
      <c r="HJQ16" s="174"/>
      <c r="HJU16" s="174"/>
      <c r="HJY16" s="174"/>
      <c r="HKC16" s="174"/>
      <c r="HKG16" s="174"/>
      <c r="HKK16" s="174"/>
      <c r="HKO16" s="174"/>
      <c r="HKS16" s="174"/>
      <c r="HKW16" s="174"/>
      <c r="HLA16" s="174"/>
      <c r="HLE16" s="174"/>
      <c r="HLI16" s="174"/>
      <c r="HLM16" s="174"/>
      <c r="HLQ16" s="174"/>
      <c r="HLU16" s="174"/>
      <c r="HLY16" s="174"/>
      <c r="HMC16" s="174"/>
      <c r="HMG16" s="174"/>
      <c r="HMK16" s="174"/>
      <c r="HMO16" s="174"/>
      <c r="HMS16" s="174"/>
      <c r="HMW16" s="174"/>
      <c r="HNA16" s="174"/>
      <c r="HNE16" s="174"/>
      <c r="HNI16" s="174"/>
      <c r="HNM16" s="174"/>
      <c r="HNQ16" s="174"/>
      <c r="HNU16" s="174"/>
      <c r="HNY16" s="174"/>
      <c r="HOC16" s="174"/>
      <c r="HOG16" s="174"/>
      <c r="HOK16" s="174"/>
      <c r="HOO16" s="174"/>
      <c r="HOS16" s="174"/>
      <c r="HOW16" s="174"/>
      <c r="HPA16" s="174"/>
      <c r="HPE16" s="174"/>
      <c r="HPI16" s="174"/>
      <c r="HPM16" s="174"/>
      <c r="HPQ16" s="174"/>
      <c r="HPU16" s="174"/>
      <c r="HPY16" s="174"/>
      <c r="HQC16" s="174"/>
      <c r="HQG16" s="174"/>
      <c r="HQK16" s="174"/>
      <c r="HQO16" s="174"/>
      <c r="HQS16" s="174"/>
      <c r="HQW16" s="174"/>
      <c r="HRA16" s="174"/>
      <c r="HRE16" s="174"/>
      <c r="HRI16" s="174"/>
      <c r="HRM16" s="174"/>
      <c r="HRQ16" s="174"/>
      <c r="HRU16" s="174"/>
      <c r="HRY16" s="174"/>
      <c r="HSC16" s="174"/>
      <c r="HSG16" s="174"/>
      <c r="HSK16" s="174"/>
      <c r="HSO16" s="174"/>
      <c r="HSS16" s="174"/>
      <c r="HSW16" s="174"/>
      <c r="HTA16" s="174"/>
      <c r="HTE16" s="174"/>
      <c r="HTI16" s="174"/>
      <c r="HTM16" s="174"/>
      <c r="HTQ16" s="174"/>
      <c r="HTU16" s="174"/>
      <c r="HTY16" s="174"/>
      <c r="HUC16" s="174"/>
      <c r="HUG16" s="174"/>
      <c r="HUK16" s="174"/>
      <c r="HUO16" s="174"/>
      <c r="HUS16" s="174"/>
      <c r="HUW16" s="174"/>
      <c r="HVA16" s="174"/>
      <c r="HVE16" s="174"/>
      <c r="HVI16" s="174"/>
      <c r="HVM16" s="174"/>
      <c r="HVQ16" s="174"/>
      <c r="HVU16" s="174"/>
      <c r="HVY16" s="174"/>
      <c r="HWC16" s="174"/>
      <c r="HWG16" s="174"/>
      <c r="HWK16" s="174"/>
      <c r="HWO16" s="174"/>
      <c r="HWS16" s="174"/>
      <c r="HWW16" s="174"/>
      <c r="HXA16" s="174"/>
      <c r="HXE16" s="174"/>
      <c r="HXI16" s="174"/>
      <c r="HXM16" s="174"/>
      <c r="HXQ16" s="174"/>
      <c r="HXU16" s="174"/>
      <c r="HXY16" s="174"/>
      <c r="HYC16" s="174"/>
      <c r="HYG16" s="174"/>
      <c r="HYK16" s="174"/>
      <c r="HYO16" s="174"/>
      <c r="HYS16" s="174"/>
      <c r="HYW16" s="174"/>
      <c r="HZA16" s="174"/>
      <c r="HZE16" s="174"/>
      <c r="HZI16" s="174"/>
      <c r="HZM16" s="174"/>
      <c r="HZQ16" s="174"/>
      <c r="HZU16" s="174"/>
      <c r="HZY16" s="174"/>
      <c r="IAC16" s="174"/>
      <c r="IAG16" s="174"/>
      <c r="IAK16" s="174"/>
      <c r="IAO16" s="174"/>
      <c r="IAS16" s="174"/>
      <c r="IAW16" s="174"/>
      <c r="IBA16" s="174"/>
      <c r="IBE16" s="174"/>
      <c r="IBI16" s="174"/>
      <c r="IBM16" s="174"/>
      <c r="IBQ16" s="174"/>
      <c r="IBU16" s="174"/>
      <c r="IBY16" s="174"/>
      <c r="ICC16" s="174"/>
      <c r="ICG16" s="174"/>
      <c r="ICK16" s="174"/>
      <c r="ICO16" s="174"/>
      <c r="ICS16" s="174"/>
      <c r="ICW16" s="174"/>
      <c r="IDA16" s="174"/>
      <c r="IDE16" s="174"/>
      <c r="IDI16" s="174"/>
      <c r="IDM16" s="174"/>
      <c r="IDQ16" s="174"/>
      <c r="IDU16" s="174"/>
      <c r="IDY16" s="174"/>
      <c r="IEC16" s="174"/>
      <c r="IEG16" s="174"/>
      <c r="IEK16" s="174"/>
      <c r="IEO16" s="174"/>
      <c r="IES16" s="174"/>
      <c r="IEW16" s="174"/>
      <c r="IFA16" s="174"/>
      <c r="IFE16" s="174"/>
      <c r="IFI16" s="174"/>
      <c r="IFM16" s="174"/>
      <c r="IFQ16" s="174"/>
      <c r="IFU16" s="174"/>
      <c r="IFY16" s="174"/>
      <c r="IGC16" s="174"/>
      <c r="IGG16" s="174"/>
      <c r="IGK16" s="174"/>
      <c r="IGO16" s="174"/>
      <c r="IGS16" s="174"/>
      <c r="IGW16" s="174"/>
      <c r="IHA16" s="174"/>
      <c r="IHE16" s="174"/>
      <c r="IHI16" s="174"/>
      <c r="IHM16" s="174"/>
      <c r="IHQ16" s="174"/>
      <c r="IHU16" s="174"/>
      <c r="IHY16" s="174"/>
      <c r="IIC16" s="174"/>
      <c r="IIG16" s="174"/>
      <c r="IIK16" s="174"/>
      <c r="IIO16" s="174"/>
      <c r="IIS16" s="174"/>
      <c r="IIW16" s="174"/>
      <c r="IJA16" s="174"/>
      <c r="IJE16" s="174"/>
      <c r="IJI16" s="174"/>
      <c r="IJM16" s="174"/>
      <c r="IJQ16" s="174"/>
      <c r="IJU16" s="174"/>
      <c r="IJY16" s="174"/>
      <c r="IKC16" s="174"/>
      <c r="IKG16" s="174"/>
      <c r="IKK16" s="174"/>
      <c r="IKO16" s="174"/>
      <c r="IKS16" s="174"/>
      <c r="IKW16" s="174"/>
      <c r="ILA16" s="174"/>
      <c r="ILE16" s="174"/>
      <c r="ILI16" s="174"/>
      <c r="ILM16" s="174"/>
      <c r="ILQ16" s="174"/>
      <c r="ILU16" s="174"/>
      <c r="ILY16" s="174"/>
      <c r="IMC16" s="174"/>
      <c r="IMG16" s="174"/>
      <c r="IMK16" s="174"/>
      <c r="IMO16" s="174"/>
      <c r="IMS16" s="174"/>
      <c r="IMW16" s="174"/>
      <c r="INA16" s="174"/>
      <c r="INE16" s="174"/>
      <c r="INI16" s="174"/>
      <c r="INM16" s="174"/>
      <c r="INQ16" s="174"/>
      <c r="INU16" s="174"/>
      <c r="INY16" s="174"/>
      <c r="IOC16" s="174"/>
      <c r="IOG16" s="174"/>
      <c r="IOK16" s="174"/>
      <c r="IOO16" s="174"/>
      <c r="IOS16" s="174"/>
      <c r="IOW16" s="174"/>
      <c r="IPA16" s="174"/>
      <c r="IPE16" s="174"/>
      <c r="IPI16" s="174"/>
      <c r="IPM16" s="174"/>
      <c r="IPQ16" s="174"/>
      <c r="IPU16" s="174"/>
      <c r="IPY16" s="174"/>
      <c r="IQC16" s="174"/>
      <c r="IQG16" s="174"/>
      <c r="IQK16" s="174"/>
      <c r="IQO16" s="174"/>
      <c r="IQS16" s="174"/>
      <c r="IQW16" s="174"/>
      <c r="IRA16" s="174"/>
      <c r="IRE16" s="174"/>
      <c r="IRI16" s="174"/>
      <c r="IRM16" s="174"/>
      <c r="IRQ16" s="174"/>
      <c r="IRU16" s="174"/>
      <c r="IRY16" s="174"/>
      <c r="ISC16" s="174"/>
      <c r="ISG16" s="174"/>
      <c r="ISK16" s="174"/>
      <c r="ISO16" s="174"/>
      <c r="ISS16" s="174"/>
      <c r="ISW16" s="174"/>
      <c r="ITA16" s="174"/>
      <c r="ITE16" s="174"/>
      <c r="ITI16" s="174"/>
      <c r="ITM16" s="174"/>
      <c r="ITQ16" s="174"/>
      <c r="ITU16" s="174"/>
      <c r="ITY16" s="174"/>
      <c r="IUC16" s="174"/>
      <c r="IUG16" s="174"/>
      <c r="IUK16" s="174"/>
      <c r="IUO16" s="174"/>
      <c r="IUS16" s="174"/>
      <c r="IUW16" s="174"/>
      <c r="IVA16" s="174"/>
      <c r="IVE16" s="174"/>
      <c r="IVI16" s="174"/>
      <c r="IVM16" s="174"/>
      <c r="IVQ16" s="174"/>
      <c r="IVU16" s="174"/>
      <c r="IVY16" s="174"/>
      <c r="IWC16" s="174"/>
      <c r="IWG16" s="174"/>
      <c r="IWK16" s="174"/>
      <c r="IWO16" s="174"/>
      <c r="IWS16" s="174"/>
      <c r="IWW16" s="174"/>
      <c r="IXA16" s="174"/>
      <c r="IXE16" s="174"/>
      <c r="IXI16" s="174"/>
      <c r="IXM16" s="174"/>
      <c r="IXQ16" s="174"/>
      <c r="IXU16" s="174"/>
      <c r="IXY16" s="174"/>
      <c r="IYC16" s="174"/>
      <c r="IYG16" s="174"/>
      <c r="IYK16" s="174"/>
      <c r="IYO16" s="174"/>
      <c r="IYS16" s="174"/>
      <c r="IYW16" s="174"/>
      <c r="IZA16" s="174"/>
      <c r="IZE16" s="174"/>
      <c r="IZI16" s="174"/>
      <c r="IZM16" s="174"/>
      <c r="IZQ16" s="174"/>
      <c r="IZU16" s="174"/>
      <c r="IZY16" s="174"/>
      <c r="JAC16" s="174"/>
      <c r="JAG16" s="174"/>
      <c r="JAK16" s="174"/>
      <c r="JAO16" s="174"/>
      <c r="JAS16" s="174"/>
      <c r="JAW16" s="174"/>
      <c r="JBA16" s="174"/>
      <c r="JBE16" s="174"/>
      <c r="JBI16" s="174"/>
      <c r="JBM16" s="174"/>
      <c r="JBQ16" s="174"/>
      <c r="JBU16" s="174"/>
      <c r="JBY16" s="174"/>
      <c r="JCC16" s="174"/>
      <c r="JCG16" s="174"/>
      <c r="JCK16" s="174"/>
      <c r="JCO16" s="174"/>
      <c r="JCS16" s="174"/>
      <c r="JCW16" s="174"/>
      <c r="JDA16" s="174"/>
      <c r="JDE16" s="174"/>
      <c r="JDI16" s="174"/>
      <c r="JDM16" s="174"/>
      <c r="JDQ16" s="174"/>
      <c r="JDU16" s="174"/>
      <c r="JDY16" s="174"/>
      <c r="JEC16" s="174"/>
      <c r="JEG16" s="174"/>
      <c r="JEK16" s="174"/>
      <c r="JEO16" s="174"/>
      <c r="JES16" s="174"/>
      <c r="JEW16" s="174"/>
      <c r="JFA16" s="174"/>
      <c r="JFE16" s="174"/>
      <c r="JFI16" s="174"/>
      <c r="JFM16" s="174"/>
      <c r="JFQ16" s="174"/>
      <c r="JFU16" s="174"/>
      <c r="JFY16" s="174"/>
      <c r="JGC16" s="174"/>
      <c r="JGG16" s="174"/>
      <c r="JGK16" s="174"/>
      <c r="JGO16" s="174"/>
      <c r="JGS16" s="174"/>
      <c r="JGW16" s="174"/>
      <c r="JHA16" s="174"/>
      <c r="JHE16" s="174"/>
      <c r="JHI16" s="174"/>
      <c r="JHM16" s="174"/>
      <c r="JHQ16" s="174"/>
      <c r="JHU16" s="174"/>
      <c r="JHY16" s="174"/>
      <c r="JIC16" s="174"/>
      <c r="JIG16" s="174"/>
      <c r="JIK16" s="174"/>
      <c r="JIO16" s="174"/>
      <c r="JIS16" s="174"/>
      <c r="JIW16" s="174"/>
      <c r="JJA16" s="174"/>
      <c r="JJE16" s="174"/>
      <c r="JJI16" s="174"/>
      <c r="JJM16" s="174"/>
      <c r="JJQ16" s="174"/>
      <c r="JJU16" s="174"/>
      <c r="JJY16" s="174"/>
      <c r="JKC16" s="174"/>
      <c r="JKG16" s="174"/>
      <c r="JKK16" s="174"/>
      <c r="JKO16" s="174"/>
      <c r="JKS16" s="174"/>
      <c r="JKW16" s="174"/>
      <c r="JLA16" s="174"/>
      <c r="JLE16" s="174"/>
      <c r="JLI16" s="174"/>
      <c r="JLM16" s="174"/>
      <c r="JLQ16" s="174"/>
      <c r="JLU16" s="174"/>
      <c r="JLY16" s="174"/>
      <c r="JMC16" s="174"/>
      <c r="JMG16" s="174"/>
      <c r="JMK16" s="174"/>
      <c r="JMO16" s="174"/>
      <c r="JMS16" s="174"/>
      <c r="JMW16" s="174"/>
      <c r="JNA16" s="174"/>
      <c r="JNE16" s="174"/>
      <c r="JNI16" s="174"/>
      <c r="JNM16" s="174"/>
      <c r="JNQ16" s="174"/>
      <c r="JNU16" s="174"/>
      <c r="JNY16" s="174"/>
      <c r="JOC16" s="174"/>
      <c r="JOG16" s="174"/>
      <c r="JOK16" s="174"/>
      <c r="JOO16" s="174"/>
      <c r="JOS16" s="174"/>
      <c r="JOW16" s="174"/>
      <c r="JPA16" s="174"/>
      <c r="JPE16" s="174"/>
      <c r="JPI16" s="174"/>
      <c r="JPM16" s="174"/>
      <c r="JPQ16" s="174"/>
      <c r="JPU16" s="174"/>
      <c r="JPY16" s="174"/>
      <c r="JQC16" s="174"/>
      <c r="JQG16" s="174"/>
      <c r="JQK16" s="174"/>
      <c r="JQO16" s="174"/>
      <c r="JQS16" s="174"/>
      <c r="JQW16" s="174"/>
      <c r="JRA16" s="174"/>
      <c r="JRE16" s="174"/>
      <c r="JRI16" s="174"/>
      <c r="JRM16" s="174"/>
      <c r="JRQ16" s="174"/>
      <c r="JRU16" s="174"/>
      <c r="JRY16" s="174"/>
      <c r="JSC16" s="174"/>
      <c r="JSG16" s="174"/>
      <c r="JSK16" s="174"/>
      <c r="JSO16" s="174"/>
      <c r="JSS16" s="174"/>
      <c r="JSW16" s="174"/>
      <c r="JTA16" s="174"/>
      <c r="JTE16" s="174"/>
      <c r="JTI16" s="174"/>
      <c r="JTM16" s="174"/>
      <c r="JTQ16" s="174"/>
      <c r="JTU16" s="174"/>
      <c r="JTY16" s="174"/>
      <c r="JUC16" s="174"/>
      <c r="JUG16" s="174"/>
      <c r="JUK16" s="174"/>
      <c r="JUO16" s="174"/>
      <c r="JUS16" s="174"/>
      <c r="JUW16" s="174"/>
      <c r="JVA16" s="174"/>
      <c r="JVE16" s="174"/>
      <c r="JVI16" s="174"/>
      <c r="JVM16" s="174"/>
      <c r="JVQ16" s="174"/>
      <c r="JVU16" s="174"/>
      <c r="JVY16" s="174"/>
      <c r="JWC16" s="174"/>
      <c r="JWG16" s="174"/>
      <c r="JWK16" s="174"/>
      <c r="JWO16" s="174"/>
      <c r="JWS16" s="174"/>
      <c r="JWW16" s="174"/>
      <c r="JXA16" s="174"/>
      <c r="JXE16" s="174"/>
      <c r="JXI16" s="174"/>
      <c r="JXM16" s="174"/>
      <c r="JXQ16" s="174"/>
      <c r="JXU16" s="174"/>
      <c r="JXY16" s="174"/>
      <c r="JYC16" s="174"/>
      <c r="JYG16" s="174"/>
      <c r="JYK16" s="174"/>
      <c r="JYO16" s="174"/>
      <c r="JYS16" s="174"/>
      <c r="JYW16" s="174"/>
      <c r="JZA16" s="174"/>
      <c r="JZE16" s="174"/>
      <c r="JZI16" s="174"/>
      <c r="JZM16" s="174"/>
      <c r="JZQ16" s="174"/>
      <c r="JZU16" s="174"/>
      <c r="JZY16" s="174"/>
      <c r="KAC16" s="174"/>
      <c r="KAG16" s="174"/>
      <c r="KAK16" s="174"/>
      <c r="KAO16" s="174"/>
      <c r="KAS16" s="174"/>
      <c r="KAW16" s="174"/>
      <c r="KBA16" s="174"/>
      <c r="KBE16" s="174"/>
      <c r="KBI16" s="174"/>
      <c r="KBM16" s="174"/>
      <c r="KBQ16" s="174"/>
      <c r="KBU16" s="174"/>
      <c r="KBY16" s="174"/>
      <c r="KCC16" s="174"/>
      <c r="KCG16" s="174"/>
      <c r="KCK16" s="174"/>
      <c r="KCO16" s="174"/>
      <c r="KCS16" s="174"/>
      <c r="KCW16" s="174"/>
      <c r="KDA16" s="174"/>
      <c r="KDE16" s="174"/>
      <c r="KDI16" s="174"/>
      <c r="KDM16" s="174"/>
      <c r="KDQ16" s="174"/>
      <c r="KDU16" s="174"/>
      <c r="KDY16" s="174"/>
      <c r="KEC16" s="174"/>
      <c r="KEG16" s="174"/>
      <c r="KEK16" s="174"/>
      <c r="KEO16" s="174"/>
      <c r="KES16" s="174"/>
      <c r="KEW16" s="174"/>
      <c r="KFA16" s="174"/>
      <c r="KFE16" s="174"/>
      <c r="KFI16" s="174"/>
      <c r="KFM16" s="174"/>
      <c r="KFQ16" s="174"/>
      <c r="KFU16" s="174"/>
      <c r="KFY16" s="174"/>
      <c r="KGC16" s="174"/>
      <c r="KGG16" s="174"/>
      <c r="KGK16" s="174"/>
      <c r="KGO16" s="174"/>
      <c r="KGS16" s="174"/>
      <c r="KGW16" s="174"/>
      <c r="KHA16" s="174"/>
      <c r="KHE16" s="174"/>
      <c r="KHI16" s="174"/>
      <c r="KHM16" s="174"/>
      <c r="KHQ16" s="174"/>
      <c r="KHU16" s="174"/>
      <c r="KHY16" s="174"/>
      <c r="KIC16" s="174"/>
      <c r="KIG16" s="174"/>
      <c r="KIK16" s="174"/>
      <c r="KIO16" s="174"/>
      <c r="KIS16" s="174"/>
      <c r="KIW16" s="174"/>
      <c r="KJA16" s="174"/>
      <c r="KJE16" s="174"/>
      <c r="KJI16" s="174"/>
      <c r="KJM16" s="174"/>
      <c r="KJQ16" s="174"/>
      <c r="KJU16" s="174"/>
      <c r="KJY16" s="174"/>
      <c r="KKC16" s="174"/>
      <c r="KKG16" s="174"/>
      <c r="KKK16" s="174"/>
      <c r="KKO16" s="174"/>
      <c r="KKS16" s="174"/>
      <c r="KKW16" s="174"/>
      <c r="KLA16" s="174"/>
      <c r="KLE16" s="174"/>
      <c r="KLI16" s="174"/>
      <c r="KLM16" s="174"/>
      <c r="KLQ16" s="174"/>
      <c r="KLU16" s="174"/>
      <c r="KLY16" s="174"/>
      <c r="KMC16" s="174"/>
      <c r="KMG16" s="174"/>
      <c r="KMK16" s="174"/>
      <c r="KMO16" s="174"/>
      <c r="KMS16" s="174"/>
      <c r="KMW16" s="174"/>
      <c r="KNA16" s="174"/>
      <c r="KNE16" s="174"/>
      <c r="KNI16" s="174"/>
      <c r="KNM16" s="174"/>
      <c r="KNQ16" s="174"/>
      <c r="KNU16" s="174"/>
      <c r="KNY16" s="174"/>
      <c r="KOC16" s="174"/>
      <c r="KOG16" s="174"/>
      <c r="KOK16" s="174"/>
      <c r="KOO16" s="174"/>
      <c r="KOS16" s="174"/>
      <c r="KOW16" s="174"/>
      <c r="KPA16" s="174"/>
      <c r="KPE16" s="174"/>
      <c r="KPI16" s="174"/>
      <c r="KPM16" s="174"/>
      <c r="KPQ16" s="174"/>
      <c r="KPU16" s="174"/>
      <c r="KPY16" s="174"/>
      <c r="KQC16" s="174"/>
      <c r="KQG16" s="174"/>
      <c r="KQK16" s="174"/>
      <c r="KQO16" s="174"/>
      <c r="KQS16" s="174"/>
      <c r="KQW16" s="174"/>
      <c r="KRA16" s="174"/>
      <c r="KRE16" s="174"/>
      <c r="KRI16" s="174"/>
      <c r="KRM16" s="174"/>
      <c r="KRQ16" s="174"/>
      <c r="KRU16" s="174"/>
      <c r="KRY16" s="174"/>
      <c r="KSC16" s="174"/>
      <c r="KSG16" s="174"/>
      <c r="KSK16" s="174"/>
      <c r="KSO16" s="174"/>
      <c r="KSS16" s="174"/>
      <c r="KSW16" s="174"/>
      <c r="KTA16" s="174"/>
      <c r="KTE16" s="174"/>
      <c r="KTI16" s="174"/>
      <c r="KTM16" s="174"/>
      <c r="KTQ16" s="174"/>
      <c r="KTU16" s="174"/>
      <c r="KTY16" s="174"/>
      <c r="KUC16" s="174"/>
      <c r="KUG16" s="174"/>
      <c r="KUK16" s="174"/>
      <c r="KUO16" s="174"/>
      <c r="KUS16" s="174"/>
      <c r="KUW16" s="174"/>
      <c r="KVA16" s="174"/>
      <c r="KVE16" s="174"/>
      <c r="KVI16" s="174"/>
      <c r="KVM16" s="174"/>
      <c r="KVQ16" s="174"/>
      <c r="KVU16" s="174"/>
      <c r="KVY16" s="174"/>
      <c r="KWC16" s="174"/>
      <c r="KWG16" s="174"/>
      <c r="KWK16" s="174"/>
      <c r="KWO16" s="174"/>
      <c r="KWS16" s="174"/>
      <c r="KWW16" s="174"/>
      <c r="KXA16" s="174"/>
      <c r="KXE16" s="174"/>
      <c r="KXI16" s="174"/>
      <c r="KXM16" s="174"/>
      <c r="KXQ16" s="174"/>
      <c r="KXU16" s="174"/>
      <c r="KXY16" s="174"/>
      <c r="KYC16" s="174"/>
      <c r="KYG16" s="174"/>
      <c r="KYK16" s="174"/>
      <c r="KYO16" s="174"/>
      <c r="KYS16" s="174"/>
      <c r="KYW16" s="174"/>
      <c r="KZA16" s="174"/>
      <c r="KZE16" s="174"/>
      <c r="KZI16" s="174"/>
      <c r="KZM16" s="174"/>
      <c r="KZQ16" s="174"/>
      <c r="KZU16" s="174"/>
      <c r="KZY16" s="174"/>
      <c r="LAC16" s="174"/>
      <c r="LAG16" s="174"/>
      <c r="LAK16" s="174"/>
      <c r="LAO16" s="174"/>
      <c r="LAS16" s="174"/>
      <c r="LAW16" s="174"/>
      <c r="LBA16" s="174"/>
      <c r="LBE16" s="174"/>
      <c r="LBI16" s="174"/>
      <c r="LBM16" s="174"/>
      <c r="LBQ16" s="174"/>
      <c r="LBU16" s="174"/>
      <c r="LBY16" s="174"/>
      <c r="LCC16" s="174"/>
      <c r="LCG16" s="174"/>
      <c r="LCK16" s="174"/>
      <c r="LCO16" s="174"/>
      <c r="LCS16" s="174"/>
      <c r="LCW16" s="174"/>
      <c r="LDA16" s="174"/>
      <c r="LDE16" s="174"/>
      <c r="LDI16" s="174"/>
      <c r="LDM16" s="174"/>
      <c r="LDQ16" s="174"/>
      <c r="LDU16" s="174"/>
      <c r="LDY16" s="174"/>
      <c r="LEC16" s="174"/>
      <c r="LEG16" s="174"/>
      <c r="LEK16" s="174"/>
      <c r="LEO16" s="174"/>
      <c r="LES16" s="174"/>
      <c r="LEW16" s="174"/>
      <c r="LFA16" s="174"/>
      <c r="LFE16" s="174"/>
      <c r="LFI16" s="174"/>
      <c r="LFM16" s="174"/>
      <c r="LFQ16" s="174"/>
      <c r="LFU16" s="174"/>
      <c r="LFY16" s="174"/>
      <c r="LGC16" s="174"/>
      <c r="LGG16" s="174"/>
      <c r="LGK16" s="174"/>
      <c r="LGO16" s="174"/>
      <c r="LGS16" s="174"/>
      <c r="LGW16" s="174"/>
      <c r="LHA16" s="174"/>
      <c r="LHE16" s="174"/>
      <c r="LHI16" s="174"/>
      <c r="LHM16" s="174"/>
      <c r="LHQ16" s="174"/>
      <c r="LHU16" s="174"/>
      <c r="LHY16" s="174"/>
      <c r="LIC16" s="174"/>
      <c r="LIG16" s="174"/>
      <c r="LIK16" s="174"/>
      <c r="LIO16" s="174"/>
      <c r="LIS16" s="174"/>
      <c r="LIW16" s="174"/>
      <c r="LJA16" s="174"/>
      <c r="LJE16" s="174"/>
      <c r="LJI16" s="174"/>
      <c r="LJM16" s="174"/>
      <c r="LJQ16" s="174"/>
      <c r="LJU16" s="174"/>
      <c r="LJY16" s="174"/>
      <c r="LKC16" s="174"/>
      <c r="LKG16" s="174"/>
      <c r="LKK16" s="174"/>
      <c r="LKO16" s="174"/>
      <c r="LKS16" s="174"/>
      <c r="LKW16" s="174"/>
      <c r="LLA16" s="174"/>
      <c r="LLE16" s="174"/>
      <c r="LLI16" s="174"/>
      <c r="LLM16" s="174"/>
      <c r="LLQ16" s="174"/>
      <c r="LLU16" s="174"/>
      <c r="LLY16" s="174"/>
      <c r="LMC16" s="174"/>
      <c r="LMG16" s="174"/>
      <c r="LMK16" s="174"/>
      <c r="LMO16" s="174"/>
      <c r="LMS16" s="174"/>
      <c r="LMW16" s="174"/>
      <c r="LNA16" s="174"/>
      <c r="LNE16" s="174"/>
      <c r="LNI16" s="174"/>
      <c r="LNM16" s="174"/>
      <c r="LNQ16" s="174"/>
      <c r="LNU16" s="174"/>
      <c r="LNY16" s="174"/>
      <c r="LOC16" s="174"/>
      <c r="LOG16" s="174"/>
      <c r="LOK16" s="174"/>
      <c r="LOO16" s="174"/>
      <c r="LOS16" s="174"/>
      <c r="LOW16" s="174"/>
      <c r="LPA16" s="174"/>
      <c r="LPE16" s="174"/>
      <c r="LPI16" s="174"/>
      <c r="LPM16" s="174"/>
      <c r="LPQ16" s="174"/>
      <c r="LPU16" s="174"/>
      <c r="LPY16" s="174"/>
      <c r="LQC16" s="174"/>
      <c r="LQG16" s="174"/>
      <c r="LQK16" s="174"/>
      <c r="LQO16" s="174"/>
      <c r="LQS16" s="174"/>
      <c r="LQW16" s="174"/>
      <c r="LRA16" s="174"/>
      <c r="LRE16" s="174"/>
      <c r="LRI16" s="174"/>
      <c r="LRM16" s="174"/>
      <c r="LRQ16" s="174"/>
      <c r="LRU16" s="174"/>
      <c r="LRY16" s="174"/>
      <c r="LSC16" s="174"/>
      <c r="LSG16" s="174"/>
      <c r="LSK16" s="174"/>
      <c r="LSO16" s="174"/>
      <c r="LSS16" s="174"/>
      <c r="LSW16" s="174"/>
      <c r="LTA16" s="174"/>
      <c r="LTE16" s="174"/>
      <c r="LTI16" s="174"/>
      <c r="LTM16" s="174"/>
      <c r="LTQ16" s="174"/>
      <c r="LTU16" s="174"/>
      <c r="LTY16" s="174"/>
      <c r="LUC16" s="174"/>
      <c r="LUG16" s="174"/>
      <c r="LUK16" s="174"/>
      <c r="LUO16" s="174"/>
      <c r="LUS16" s="174"/>
      <c r="LUW16" s="174"/>
      <c r="LVA16" s="174"/>
      <c r="LVE16" s="174"/>
      <c r="LVI16" s="174"/>
      <c r="LVM16" s="174"/>
      <c r="LVQ16" s="174"/>
      <c r="LVU16" s="174"/>
      <c r="LVY16" s="174"/>
      <c r="LWC16" s="174"/>
      <c r="LWG16" s="174"/>
      <c r="LWK16" s="174"/>
      <c r="LWO16" s="174"/>
      <c r="LWS16" s="174"/>
      <c r="LWW16" s="174"/>
      <c r="LXA16" s="174"/>
      <c r="LXE16" s="174"/>
      <c r="LXI16" s="174"/>
      <c r="LXM16" s="174"/>
      <c r="LXQ16" s="174"/>
      <c r="LXU16" s="174"/>
      <c r="LXY16" s="174"/>
      <c r="LYC16" s="174"/>
      <c r="LYG16" s="174"/>
      <c r="LYK16" s="174"/>
      <c r="LYO16" s="174"/>
      <c r="LYS16" s="174"/>
      <c r="LYW16" s="174"/>
      <c r="LZA16" s="174"/>
      <c r="LZE16" s="174"/>
      <c r="LZI16" s="174"/>
      <c r="LZM16" s="174"/>
      <c r="LZQ16" s="174"/>
      <c r="LZU16" s="174"/>
      <c r="LZY16" s="174"/>
      <c r="MAC16" s="174"/>
      <c r="MAG16" s="174"/>
      <c r="MAK16" s="174"/>
      <c r="MAO16" s="174"/>
      <c r="MAS16" s="174"/>
      <c r="MAW16" s="174"/>
      <c r="MBA16" s="174"/>
      <c r="MBE16" s="174"/>
      <c r="MBI16" s="174"/>
      <c r="MBM16" s="174"/>
      <c r="MBQ16" s="174"/>
      <c r="MBU16" s="174"/>
      <c r="MBY16" s="174"/>
      <c r="MCC16" s="174"/>
      <c r="MCG16" s="174"/>
      <c r="MCK16" s="174"/>
      <c r="MCO16" s="174"/>
      <c r="MCS16" s="174"/>
      <c r="MCW16" s="174"/>
      <c r="MDA16" s="174"/>
      <c r="MDE16" s="174"/>
      <c r="MDI16" s="174"/>
      <c r="MDM16" s="174"/>
      <c r="MDQ16" s="174"/>
      <c r="MDU16" s="174"/>
      <c r="MDY16" s="174"/>
      <c r="MEC16" s="174"/>
      <c r="MEG16" s="174"/>
      <c r="MEK16" s="174"/>
      <c r="MEO16" s="174"/>
      <c r="MES16" s="174"/>
      <c r="MEW16" s="174"/>
      <c r="MFA16" s="174"/>
      <c r="MFE16" s="174"/>
      <c r="MFI16" s="174"/>
      <c r="MFM16" s="174"/>
      <c r="MFQ16" s="174"/>
      <c r="MFU16" s="174"/>
      <c r="MFY16" s="174"/>
      <c r="MGC16" s="174"/>
      <c r="MGG16" s="174"/>
      <c r="MGK16" s="174"/>
      <c r="MGO16" s="174"/>
      <c r="MGS16" s="174"/>
      <c r="MGW16" s="174"/>
      <c r="MHA16" s="174"/>
      <c r="MHE16" s="174"/>
      <c r="MHI16" s="174"/>
      <c r="MHM16" s="174"/>
      <c r="MHQ16" s="174"/>
      <c r="MHU16" s="174"/>
      <c r="MHY16" s="174"/>
      <c r="MIC16" s="174"/>
      <c r="MIG16" s="174"/>
      <c r="MIK16" s="174"/>
      <c r="MIO16" s="174"/>
      <c r="MIS16" s="174"/>
      <c r="MIW16" s="174"/>
      <c r="MJA16" s="174"/>
      <c r="MJE16" s="174"/>
      <c r="MJI16" s="174"/>
      <c r="MJM16" s="174"/>
      <c r="MJQ16" s="174"/>
      <c r="MJU16" s="174"/>
      <c r="MJY16" s="174"/>
      <c r="MKC16" s="174"/>
      <c r="MKG16" s="174"/>
      <c r="MKK16" s="174"/>
      <c r="MKO16" s="174"/>
      <c r="MKS16" s="174"/>
      <c r="MKW16" s="174"/>
      <c r="MLA16" s="174"/>
      <c r="MLE16" s="174"/>
      <c r="MLI16" s="174"/>
      <c r="MLM16" s="174"/>
      <c r="MLQ16" s="174"/>
      <c r="MLU16" s="174"/>
      <c r="MLY16" s="174"/>
      <c r="MMC16" s="174"/>
      <c r="MMG16" s="174"/>
      <c r="MMK16" s="174"/>
      <c r="MMO16" s="174"/>
      <c r="MMS16" s="174"/>
      <c r="MMW16" s="174"/>
      <c r="MNA16" s="174"/>
      <c r="MNE16" s="174"/>
      <c r="MNI16" s="174"/>
      <c r="MNM16" s="174"/>
      <c r="MNQ16" s="174"/>
      <c r="MNU16" s="174"/>
      <c r="MNY16" s="174"/>
      <c r="MOC16" s="174"/>
      <c r="MOG16" s="174"/>
      <c r="MOK16" s="174"/>
      <c r="MOO16" s="174"/>
      <c r="MOS16" s="174"/>
      <c r="MOW16" s="174"/>
      <c r="MPA16" s="174"/>
      <c r="MPE16" s="174"/>
      <c r="MPI16" s="174"/>
      <c r="MPM16" s="174"/>
      <c r="MPQ16" s="174"/>
      <c r="MPU16" s="174"/>
      <c r="MPY16" s="174"/>
      <c r="MQC16" s="174"/>
      <c r="MQG16" s="174"/>
      <c r="MQK16" s="174"/>
      <c r="MQO16" s="174"/>
      <c r="MQS16" s="174"/>
      <c r="MQW16" s="174"/>
      <c r="MRA16" s="174"/>
      <c r="MRE16" s="174"/>
      <c r="MRI16" s="174"/>
      <c r="MRM16" s="174"/>
      <c r="MRQ16" s="174"/>
      <c r="MRU16" s="174"/>
      <c r="MRY16" s="174"/>
      <c r="MSC16" s="174"/>
      <c r="MSG16" s="174"/>
      <c r="MSK16" s="174"/>
      <c r="MSO16" s="174"/>
      <c r="MSS16" s="174"/>
      <c r="MSW16" s="174"/>
      <c r="MTA16" s="174"/>
      <c r="MTE16" s="174"/>
      <c r="MTI16" s="174"/>
      <c r="MTM16" s="174"/>
      <c r="MTQ16" s="174"/>
      <c r="MTU16" s="174"/>
      <c r="MTY16" s="174"/>
      <c r="MUC16" s="174"/>
      <c r="MUG16" s="174"/>
      <c r="MUK16" s="174"/>
      <c r="MUO16" s="174"/>
      <c r="MUS16" s="174"/>
      <c r="MUW16" s="174"/>
      <c r="MVA16" s="174"/>
      <c r="MVE16" s="174"/>
      <c r="MVI16" s="174"/>
      <c r="MVM16" s="174"/>
      <c r="MVQ16" s="174"/>
      <c r="MVU16" s="174"/>
      <c r="MVY16" s="174"/>
      <c r="MWC16" s="174"/>
      <c r="MWG16" s="174"/>
      <c r="MWK16" s="174"/>
      <c r="MWO16" s="174"/>
      <c r="MWS16" s="174"/>
      <c r="MWW16" s="174"/>
      <c r="MXA16" s="174"/>
      <c r="MXE16" s="174"/>
      <c r="MXI16" s="174"/>
      <c r="MXM16" s="174"/>
      <c r="MXQ16" s="174"/>
      <c r="MXU16" s="174"/>
      <c r="MXY16" s="174"/>
      <c r="MYC16" s="174"/>
      <c r="MYG16" s="174"/>
      <c r="MYK16" s="174"/>
      <c r="MYO16" s="174"/>
      <c r="MYS16" s="174"/>
      <c r="MYW16" s="174"/>
      <c r="MZA16" s="174"/>
      <c r="MZE16" s="174"/>
      <c r="MZI16" s="174"/>
      <c r="MZM16" s="174"/>
      <c r="MZQ16" s="174"/>
      <c r="MZU16" s="174"/>
      <c r="MZY16" s="174"/>
      <c r="NAC16" s="174"/>
      <c r="NAG16" s="174"/>
      <c r="NAK16" s="174"/>
      <c r="NAO16" s="174"/>
      <c r="NAS16" s="174"/>
      <c r="NAW16" s="174"/>
      <c r="NBA16" s="174"/>
      <c r="NBE16" s="174"/>
      <c r="NBI16" s="174"/>
      <c r="NBM16" s="174"/>
      <c r="NBQ16" s="174"/>
      <c r="NBU16" s="174"/>
      <c r="NBY16" s="174"/>
      <c r="NCC16" s="174"/>
      <c r="NCG16" s="174"/>
      <c r="NCK16" s="174"/>
      <c r="NCO16" s="174"/>
      <c r="NCS16" s="174"/>
      <c r="NCW16" s="174"/>
      <c r="NDA16" s="174"/>
      <c r="NDE16" s="174"/>
      <c r="NDI16" s="174"/>
      <c r="NDM16" s="174"/>
      <c r="NDQ16" s="174"/>
      <c r="NDU16" s="174"/>
      <c r="NDY16" s="174"/>
      <c r="NEC16" s="174"/>
      <c r="NEG16" s="174"/>
      <c r="NEK16" s="174"/>
      <c r="NEO16" s="174"/>
      <c r="NES16" s="174"/>
      <c r="NEW16" s="174"/>
      <c r="NFA16" s="174"/>
      <c r="NFE16" s="174"/>
      <c r="NFI16" s="174"/>
      <c r="NFM16" s="174"/>
      <c r="NFQ16" s="174"/>
      <c r="NFU16" s="174"/>
      <c r="NFY16" s="174"/>
      <c r="NGC16" s="174"/>
      <c r="NGG16" s="174"/>
      <c r="NGK16" s="174"/>
      <c r="NGO16" s="174"/>
      <c r="NGS16" s="174"/>
      <c r="NGW16" s="174"/>
      <c r="NHA16" s="174"/>
      <c r="NHE16" s="174"/>
      <c r="NHI16" s="174"/>
      <c r="NHM16" s="174"/>
      <c r="NHQ16" s="174"/>
      <c r="NHU16" s="174"/>
      <c r="NHY16" s="174"/>
      <c r="NIC16" s="174"/>
      <c r="NIG16" s="174"/>
      <c r="NIK16" s="174"/>
      <c r="NIO16" s="174"/>
      <c r="NIS16" s="174"/>
      <c r="NIW16" s="174"/>
      <c r="NJA16" s="174"/>
      <c r="NJE16" s="174"/>
      <c r="NJI16" s="174"/>
      <c r="NJM16" s="174"/>
      <c r="NJQ16" s="174"/>
      <c r="NJU16" s="174"/>
      <c r="NJY16" s="174"/>
      <c r="NKC16" s="174"/>
      <c r="NKG16" s="174"/>
      <c r="NKK16" s="174"/>
      <c r="NKO16" s="174"/>
      <c r="NKS16" s="174"/>
      <c r="NKW16" s="174"/>
      <c r="NLA16" s="174"/>
      <c r="NLE16" s="174"/>
      <c r="NLI16" s="174"/>
      <c r="NLM16" s="174"/>
      <c r="NLQ16" s="174"/>
      <c r="NLU16" s="174"/>
      <c r="NLY16" s="174"/>
      <c r="NMC16" s="174"/>
      <c r="NMG16" s="174"/>
      <c r="NMK16" s="174"/>
      <c r="NMO16" s="174"/>
      <c r="NMS16" s="174"/>
      <c r="NMW16" s="174"/>
      <c r="NNA16" s="174"/>
      <c r="NNE16" s="174"/>
      <c r="NNI16" s="174"/>
      <c r="NNM16" s="174"/>
      <c r="NNQ16" s="174"/>
      <c r="NNU16" s="174"/>
      <c r="NNY16" s="174"/>
      <c r="NOC16" s="174"/>
      <c r="NOG16" s="174"/>
      <c r="NOK16" s="174"/>
      <c r="NOO16" s="174"/>
      <c r="NOS16" s="174"/>
      <c r="NOW16" s="174"/>
      <c r="NPA16" s="174"/>
      <c r="NPE16" s="174"/>
      <c r="NPI16" s="174"/>
      <c r="NPM16" s="174"/>
      <c r="NPQ16" s="174"/>
      <c r="NPU16" s="174"/>
      <c r="NPY16" s="174"/>
      <c r="NQC16" s="174"/>
      <c r="NQG16" s="174"/>
      <c r="NQK16" s="174"/>
      <c r="NQO16" s="174"/>
      <c r="NQS16" s="174"/>
      <c r="NQW16" s="174"/>
      <c r="NRA16" s="174"/>
      <c r="NRE16" s="174"/>
      <c r="NRI16" s="174"/>
      <c r="NRM16" s="174"/>
      <c r="NRQ16" s="174"/>
      <c r="NRU16" s="174"/>
      <c r="NRY16" s="174"/>
      <c r="NSC16" s="174"/>
      <c r="NSG16" s="174"/>
      <c r="NSK16" s="174"/>
      <c r="NSO16" s="174"/>
      <c r="NSS16" s="174"/>
      <c r="NSW16" s="174"/>
      <c r="NTA16" s="174"/>
      <c r="NTE16" s="174"/>
      <c r="NTI16" s="174"/>
      <c r="NTM16" s="174"/>
      <c r="NTQ16" s="174"/>
      <c r="NTU16" s="174"/>
      <c r="NTY16" s="174"/>
      <c r="NUC16" s="174"/>
      <c r="NUG16" s="174"/>
      <c r="NUK16" s="174"/>
      <c r="NUO16" s="174"/>
      <c r="NUS16" s="174"/>
      <c r="NUW16" s="174"/>
      <c r="NVA16" s="174"/>
      <c r="NVE16" s="174"/>
      <c r="NVI16" s="174"/>
      <c r="NVM16" s="174"/>
      <c r="NVQ16" s="174"/>
      <c r="NVU16" s="174"/>
      <c r="NVY16" s="174"/>
      <c r="NWC16" s="174"/>
      <c r="NWG16" s="174"/>
      <c r="NWK16" s="174"/>
      <c r="NWO16" s="174"/>
      <c r="NWS16" s="174"/>
      <c r="NWW16" s="174"/>
      <c r="NXA16" s="174"/>
      <c r="NXE16" s="174"/>
      <c r="NXI16" s="174"/>
      <c r="NXM16" s="174"/>
      <c r="NXQ16" s="174"/>
      <c r="NXU16" s="174"/>
      <c r="NXY16" s="174"/>
      <c r="NYC16" s="174"/>
      <c r="NYG16" s="174"/>
      <c r="NYK16" s="174"/>
      <c r="NYO16" s="174"/>
      <c r="NYS16" s="174"/>
      <c r="NYW16" s="174"/>
      <c r="NZA16" s="174"/>
      <c r="NZE16" s="174"/>
      <c r="NZI16" s="174"/>
      <c r="NZM16" s="174"/>
      <c r="NZQ16" s="174"/>
      <c r="NZU16" s="174"/>
      <c r="NZY16" s="174"/>
      <c r="OAC16" s="174"/>
      <c r="OAG16" s="174"/>
      <c r="OAK16" s="174"/>
      <c r="OAO16" s="174"/>
      <c r="OAS16" s="174"/>
      <c r="OAW16" s="174"/>
      <c r="OBA16" s="174"/>
      <c r="OBE16" s="174"/>
      <c r="OBI16" s="174"/>
      <c r="OBM16" s="174"/>
      <c r="OBQ16" s="174"/>
      <c r="OBU16" s="174"/>
      <c r="OBY16" s="174"/>
      <c r="OCC16" s="174"/>
      <c r="OCG16" s="174"/>
      <c r="OCK16" s="174"/>
      <c r="OCO16" s="174"/>
      <c r="OCS16" s="174"/>
      <c r="OCW16" s="174"/>
      <c r="ODA16" s="174"/>
      <c r="ODE16" s="174"/>
      <c r="ODI16" s="174"/>
      <c r="ODM16" s="174"/>
      <c r="ODQ16" s="174"/>
      <c r="ODU16" s="174"/>
      <c r="ODY16" s="174"/>
      <c r="OEC16" s="174"/>
      <c r="OEG16" s="174"/>
      <c r="OEK16" s="174"/>
      <c r="OEO16" s="174"/>
      <c r="OES16" s="174"/>
      <c r="OEW16" s="174"/>
      <c r="OFA16" s="174"/>
      <c r="OFE16" s="174"/>
      <c r="OFI16" s="174"/>
      <c r="OFM16" s="174"/>
      <c r="OFQ16" s="174"/>
      <c r="OFU16" s="174"/>
      <c r="OFY16" s="174"/>
      <c r="OGC16" s="174"/>
      <c r="OGG16" s="174"/>
      <c r="OGK16" s="174"/>
      <c r="OGO16" s="174"/>
      <c r="OGS16" s="174"/>
      <c r="OGW16" s="174"/>
      <c r="OHA16" s="174"/>
      <c r="OHE16" s="174"/>
      <c r="OHI16" s="174"/>
      <c r="OHM16" s="174"/>
      <c r="OHQ16" s="174"/>
      <c r="OHU16" s="174"/>
      <c r="OHY16" s="174"/>
      <c r="OIC16" s="174"/>
      <c r="OIG16" s="174"/>
      <c r="OIK16" s="174"/>
      <c r="OIO16" s="174"/>
      <c r="OIS16" s="174"/>
      <c r="OIW16" s="174"/>
      <c r="OJA16" s="174"/>
      <c r="OJE16" s="174"/>
      <c r="OJI16" s="174"/>
      <c r="OJM16" s="174"/>
      <c r="OJQ16" s="174"/>
      <c r="OJU16" s="174"/>
      <c r="OJY16" s="174"/>
      <c r="OKC16" s="174"/>
      <c r="OKG16" s="174"/>
      <c r="OKK16" s="174"/>
      <c r="OKO16" s="174"/>
      <c r="OKS16" s="174"/>
      <c r="OKW16" s="174"/>
      <c r="OLA16" s="174"/>
      <c r="OLE16" s="174"/>
      <c r="OLI16" s="174"/>
      <c r="OLM16" s="174"/>
      <c r="OLQ16" s="174"/>
      <c r="OLU16" s="174"/>
      <c r="OLY16" s="174"/>
      <c r="OMC16" s="174"/>
      <c r="OMG16" s="174"/>
      <c r="OMK16" s="174"/>
      <c r="OMO16" s="174"/>
      <c r="OMS16" s="174"/>
      <c r="OMW16" s="174"/>
      <c r="ONA16" s="174"/>
      <c r="ONE16" s="174"/>
      <c r="ONI16" s="174"/>
      <c r="ONM16" s="174"/>
      <c r="ONQ16" s="174"/>
      <c r="ONU16" s="174"/>
      <c r="ONY16" s="174"/>
      <c r="OOC16" s="174"/>
      <c r="OOG16" s="174"/>
      <c r="OOK16" s="174"/>
      <c r="OOO16" s="174"/>
      <c r="OOS16" s="174"/>
      <c r="OOW16" s="174"/>
      <c r="OPA16" s="174"/>
      <c r="OPE16" s="174"/>
      <c r="OPI16" s="174"/>
      <c r="OPM16" s="174"/>
      <c r="OPQ16" s="174"/>
      <c r="OPU16" s="174"/>
      <c r="OPY16" s="174"/>
      <c r="OQC16" s="174"/>
      <c r="OQG16" s="174"/>
      <c r="OQK16" s="174"/>
      <c r="OQO16" s="174"/>
      <c r="OQS16" s="174"/>
      <c r="OQW16" s="174"/>
      <c r="ORA16" s="174"/>
      <c r="ORE16" s="174"/>
      <c r="ORI16" s="174"/>
      <c r="ORM16" s="174"/>
      <c r="ORQ16" s="174"/>
      <c r="ORU16" s="174"/>
      <c r="ORY16" s="174"/>
      <c r="OSC16" s="174"/>
      <c r="OSG16" s="174"/>
      <c r="OSK16" s="174"/>
      <c r="OSO16" s="174"/>
      <c r="OSS16" s="174"/>
      <c r="OSW16" s="174"/>
      <c r="OTA16" s="174"/>
      <c r="OTE16" s="174"/>
      <c r="OTI16" s="174"/>
      <c r="OTM16" s="174"/>
      <c r="OTQ16" s="174"/>
      <c r="OTU16" s="174"/>
      <c r="OTY16" s="174"/>
      <c r="OUC16" s="174"/>
      <c r="OUG16" s="174"/>
      <c r="OUK16" s="174"/>
      <c r="OUO16" s="174"/>
      <c r="OUS16" s="174"/>
      <c r="OUW16" s="174"/>
      <c r="OVA16" s="174"/>
      <c r="OVE16" s="174"/>
      <c r="OVI16" s="174"/>
      <c r="OVM16" s="174"/>
      <c r="OVQ16" s="174"/>
      <c r="OVU16" s="174"/>
      <c r="OVY16" s="174"/>
      <c r="OWC16" s="174"/>
      <c r="OWG16" s="174"/>
      <c r="OWK16" s="174"/>
      <c r="OWO16" s="174"/>
      <c r="OWS16" s="174"/>
      <c r="OWW16" s="174"/>
      <c r="OXA16" s="174"/>
      <c r="OXE16" s="174"/>
      <c r="OXI16" s="174"/>
      <c r="OXM16" s="174"/>
      <c r="OXQ16" s="174"/>
      <c r="OXU16" s="174"/>
      <c r="OXY16" s="174"/>
      <c r="OYC16" s="174"/>
      <c r="OYG16" s="174"/>
      <c r="OYK16" s="174"/>
      <c r="OYO16" s="174"/>
      <c r="OYS16" s="174"/>
      <c r="OYW16" s="174"/>
      <c r="OZA16" s="174"/>
      <c r="OZE16" s="174"/>
      <c r="OZI16" s="174"/>
      <c r="OZM16" s="174"/>
      <c r="OZQ16" s="174"/>
      <c r="OZU16" s="174"/>
      <c r="OZY16" s="174"/>
      <c r="PAC16" s="174"/>
      <c r="PAG16" s="174"/>
      <c r="PAK16" s="174"/>
      <c r="PAO16" s="174"/>
      <c r="PAS16" s="174"/>
      <c r="PAW16" s="174"/>
      <c r="PBA16" s="174"/>
      <c r="PBE16" s="174"/>
      <c r="PBI16" s="174"/>
      <c r="PBM16" s="174"/>
      <c r="PBQ16" s="174"/>
      <c r="PBU16" s="174"/>
      <c r="PBY16" s="174"/>
      <c r="PCC16" s="174"/>
      <c r="PCG16" s="174"/>
      <c r="PCK16" s="174"/>
      <c r="PCO16" s="174"/>
      <c r="PCS16" s="174"/>
      <c r="PCW16" s="174"/>
      <c r="PDA16" s="174"/>
      <c r="PDE16" s="174"/>
      <c r="PDI16" s="174"/>
      <c r="PDM16" s="174"/>
      <c r="PDQ16" s="174"/>
      <c r="PDU16" s="174"/>
      <c r="PDY16" s="174"/>
      <c r="PEC16" s="174"/>
      <c r="PEG16" s="174"/>
      <c r="PEK16" s="174"/>
      <c r="PEO16" s="174"/>
      <c r="PES16" s="174"/>
      <c r="PEW16" s="174"/>
      <c r="PFA16" s="174"/>
      <c r="PFE16" s="174"/>
      <c r="PFI16" s="174"/>
      <c r="PFM16" s="174"/>
      <c r="PFQ16" s="174"/>
      <c r="PFU16" s="174"/>
      <c r="PFY16" s="174"/>
      <c r="PGC16" s="174"/>
      <c r="PGG16" s="174"/>
      <c r="PGK16" s="174"/>
      <c r="PGO16" s="174"/>
      <c r="PGS16" s="174"/>
      <c r="PGW16" s="174"/>
      <c r="PHA16" s="174"/>
      <c r="PHE16" s="174"/>
      <c r="PHI16" s="174"/>
      <c r="PHM16" s="174"/>
      <c r="PHQ16" s="174"/>
      <c r="PHU16" s="174"/>
      <c r="PHY16" s="174"/>
      <c r="PIC16" s="174"/>
      <c r="PIG16" s="174"/>
      <c r="PIK16" s="174"/>
      <c r="PIO16" s="174"/>
      <c r="PIS16" s="174"/>
      <c r="PIW16" s="174"/>
      <c r="PJA16" s="174"/>
      <c r="PJE16" s="174"/>
      <c r="PJI16" s="174"/>
      <c r="PJM16" s="174"/>
      <c r="PJQ16" s="174"/>
      <c r="PJU16" s="174"/>
      <c r="PJY16" s="174"/>
      <c r="PKC16" s="174"/>
      <c r="PKG16" s="174"/>
      <c r="PKK16" s="174"/>
      <c r="PKO16" s="174"/>
      <c r="PKS16" s="174"/>
      <c r="PKW16" s="174"/>
      <c r="PLA16" s="174"/>
      <c r="PLE16" s="174"/>
      <c r="PLI16" s="174"/>
      <c r="PLM16" s="174"/>
      <c r="PLQ16" s="174"/>
      <c r="PLU16" s="174"/>
      <c r="PLY16" s="174"/>
      <c r="PMC16" s="174"/>
      <c r="PMG16" s="174"/>
      <c r="PMK16" s="174"/>
      <c r="PMO16" s="174"/>
      <c r="PMS16" s="174"/>
      <c r="PMW16" s="174"/>
      <c r="PNA16" s="174"/>
      <c r="PNE16" s="174"/>
      <c r="PNI16" s="174"/>
      <c r="PNM16" s="174"/>
      <c r="PNQ16" s="174"/>
      <c r="PNU16" s="174"/>
      <c r="PNY16" s="174"/>
      <c r="POC16" s="174"/>
      <c r="POG16" s="174"/>
      <c r="POK16" s="174"/>
      <c r="POO16" s="174"/>
      <c r="POS16" s="174"/>
      <c r="POW16" s="174"/>
      <c r="PPA16" s="174"/>
      <c r="PPE16" s="174"/>
      <c r="PPI16" s="174"/>
      <c r="PPM16" s="174"/>
      <c r="PPQ16" s="174"/>
      <c r="PPU16" s="174"/>
      <c r="PPY16" s="174"/>
      <c r="PQC16" s="174"/>
      <c r="PQG16" s="174"/>
      <c r="PQK16" s="174"/>
      <c r="PQO16" s="174"/>
      <c r="PQS16" s="174"/>
      <c r="PQW16" s="174"/>
      <c r="PRA16" s="174"/>
      <c r="PRE16" s="174"/>
      <c r="PRI16" s="174"/>
      <c r="PRM16" s="174"/>
      <c r="PRQ16" s="174"/>
      <c r="PRU16" s="174"/>
      <c r="PRY16" s="174"/>
      <c r="PSC16" s="174"/>
      <c r="PSG16" s="174"/>
      <c r="PSK16" s="174"/>
      <c r="PSO16" s="174"/>
      <c r="PSS16" s="174"/>
      <c r="PSW16" s="174"/>
      <c r="PTA16" s="174"/>
      <c r="PTE16" s="174"/>
      <c r="PTI16" s="174"/>
      <c r="PTM16" s="174"/>
      <c r="PTQ16" s="174"/>
      <c r="PTU16" s="174"/>
      <c r="PTY16" s="174"/>
      <c r="PUC16" s="174"/>
      <c r="PUG16" s="174"/>
      <c r="PUK16" s="174"/>
      <c r="PUO16" s="174"/>
      <c r="PUS16" s="174"/>
      <c r="PUW16" s="174"/>
      <c r="PVA16" s="174"/>
      <c r="PVE16" s="174"/>
      <c r="PVI16" s="174"/>
      <c r="PVM16" s="174"/>
      <c r="PVQ16" s="174"/>
      <c r="PVU16" s="174"/>
      <c r="PVY16" s="174"/>
      <c r="PWC16" s="174"/>
      <c r="PWG16" s="174"/>
      <c r="PWK16" s="174"/>
      <c r="PWO16" s="174"/>
      <c r="PWS16" s="174"/>
      <c r="PWW16" s="174"/>
      <c r="PXA16" s="174"/>
      <c r="PXE16" s="174"/>
      <c r="PXI16" s="174"/>
      <c r="PXM16" s="174"/>
      <c r="PXQ16" s="174"/>
      <c r="PXU16" s="174"/>
      <c r="PXY16" s="174"/>
      <c r="PYC16" s="174"/>
      <c r="PYG16" s="174"/>
      <c r="PYK16" s="174"/>
      <c r="PYO16" s="174"/>
      <c r="PYS16" s="174"/>
      <c r="PYW16" s="174"/>
      <c r="PZA16" s="174"/>
      <c r="PZE16" s="174"/>
      <c r="PZI16" s="174"/>
      <c r="PZM16" s="174"/>
      <c r="PZQ16" s="174"/>
      <c r="PZU16" s="174"/>
      <c r="PZY16" s="174"/>
      <c r="QAC16" s="174"/>
      <c r="QAG16" s="174"/>
      <c r="QAK16" s="174"/>
      <c r="QAO16" s="174"/>
      <c r="QAS16" s="174"/>
      <c r="QAW16" s="174"/>
      <c r="QBA16" s="174"/>
      <c r="QBE16" s="174"/>
      <c r="QBI16" s="174"/>
      <c r="QBM16" s="174"/>
      <c r="QBQ16" s="174"/>
      <c r="QBU16" s="174"/>
      <c r="QBY16" s="174"/>
      <c r="QCC16" s="174"/>
      <c r="QCG16" s="174"/>
      <c r="QCK16" s="174"/>
      <c r="QCO16" s="174"/>
      <c r="QCS16" s="174"/>
      <c r="QCW16" s="174"/>
      <c r="QDA16" s="174"/>
      <c r="QDE16" s="174"/>
      <c r="QDI16" s="174"/>
      <c r="QDM16" s="174"/>
      <c r="QDQ16" s="174"/>
      <c r="QDU16" s="174"/>
      <c r="QDY16" s="174"/>
      <c r="QEC16" s="174"/>
      <c r="QEG16" s="174"/>
      <c r="QEK16" s="174"/>
      <c r="QEO16" s="174"/>
      <c r="QES16" s="174"/>
      <c r="QEW16" s="174"/>
      <c r="QFA16" s="174"/>
      <c r="QFE16" s="174"/>
      <c r="QFI16" s="174"/>
      <c r="QFM16" s="174"/>
      <c r="QFQ16" s="174"/>
      <c r="QFU16" s="174"/>
      <c r="QFY16" s="174"/>
      <c r="QGC16" s="174"/>
      <c r="QGG16" s="174"/>
      <c r="QGK16" s="174"/>
      <c r="QGO16" s="174"/>
      <c r="QGS16" s="174"/>
      <c r="QGW16" s="174"/>
      <c r="QHA16" s="174"/>
      <c r="QHE16" s="174"/>
      <c r="QHI16" s="174"/>
      <c r="QHM16" s="174"/>
      <c r="QHQ16" s="174"/>
      <c r="QHU16" s="174"/>
      <c r="QHY16" s="174"/>
      <c r="QIC16" s="174"/>
      <c r="QIG16" s="174"/>
      <c r="QIK16" s="174"/>
      <c r="QIO16" s="174"/>
      <c r="QIS16" s="174"/>
      <c r="QIW16" s="174"/>
      <c r="QJA16" s="174"/>
      <c r="QJE16" s="174"/>
      <c r="QJI16" s="174"/>
      <c r="QJM16" s="174"/>
      <c r="QJQ16" s="174"/>
      <c r="QJU16" s="174"/>
      <c r="QJY16" s="174"/>
      <c r="QKC16" s="174"/>
      <c r="QKG16" s="174"/>
      <c r="QKK16" s="174"/>
      <c r="QKO16" s="174"/>
      <c r="QKS16" s="174"/>
      <c r="QKW16" s="174"/>
      <c r="QLA16" s="174"/>
      <c r="QLE16" s="174"/>
      <c r="QLI16" s="174"/>
      <c r="QLM16" s="174"/>
      <c r="QLQ16" s="174"/>
      <c r="QLU16" s="174"/>
      <c r="QLY16" s="174"/>
      <c r="QMC16" s="174"/>
      <c r="QMG16" s="174"/>
      <c r="QMK16" s="174"/>
      <c r="QMO16" s="174"/>
      <c r="QMS16" s="174"/>
      <c r="QMW16" s="174"/>
      <c r="QNA16" s="174"/>
      <c r="QNE16" s="174"/>
      <c r="QNI16" s="174"/>
      <c r="QNM16" s="174"/>
      <c r="QNQ16" s="174"/>
      <c r="QNU16" s="174"/>
      <c r="QNY16" s="174"/>
      <c r="QOC16" s="174"/>
      <c r="QOG16" s="174"/>
      <c r="QOK16" s="174"/>
      <c r="QOO16" s="174"/>
      <c r="QOS16" s="174"/>
      <c r="QOW16" s="174"/>
      <c r="QPA16" s="174"/>
      <c r="QPE16" s="174"/>
      <c r="QPI16" s="174"/>
      <c r="QPM16" s="174"/>
      <c r="QPQ16" s="174"/>
      <c r="QPU16" s="174"/>
      <c r="QPY16" s="174"/>
      <c r="QQC16" s="174"/>
      <c r="QQG16" s="174"/>
      <c r="QQK16" s="174"/>
      <c r="QQO16" s="174"/>
      <c r="QQS16" s="174"/>
      <c r="QQW16" s="174"/>
      <c r="QRA16" s="174"/>
      <c r="QRE16" s="174"/>
      <c r="QRI16" s="174"/>
      <c r="QRM16" s="174"/>
      <c r="QRQ16" s="174"/>
      <c r="QRU16" s="174"/>
      <c r="QRY16" s="174"/>
      <c r="QSC16" s="174"/>
      <c r="QSG16" s="174"/>
      <c r="QSK16" s="174"/>
      <c r="QSO16" s="174"/>
      <c r="QSS16" s="174"/>
      <c r="QSW16" s="174"/>
      <c r="QTA16" s="174"/>
      <c r="QTE16" s="174"/>
      <c r="QTI16" s="174"/>
      <c r="QTM16" s="174"/>
      <c r="QTQ16" s="174"/>
      <c r="QTU16" s="174"/>
      <c r="QTY16" s="174"/>
      <c r="QUC16" s="174"/>
      <c r="QUG16" s="174"/>
      <c r="QUK16" s="174"/>
      <c r="QUO16" s="174"/>
      <c r="QUS16" s="174"/>
      <c r="QUW16" s="174"/>
      <c r="QVA16" s="174"/>
      <c r="QVE16" s="174"/>
      <c r="QVI16" s="174"/>
      <c r="QVM16" s="174"/>
      <c r="QVQ16" s="174"/>
      <c r="QVU16" s="174"/>
      <c r="QVY16" s="174"/>
      <c r="QWC16" s="174"/>
      <c r="QWG16" s="174"/>
      <c r="QWK16" s="174"/>
      <c r="QWO16" s="174"/>
      <c r="QWS16" s="174"/>
      <c r="QWW16" s="174"/>
      <c r="QXA16" s="174"/>
      <c r="QXE16" s="174"/>
      <c r="QXI16" s="174"/>
      <c r="QXM16" s="174"/>
      <c r="QXQ16" s="174"/>
      <c r="QXU16" s="174"/>
      <c r="QXY16" s="174"/>
      <c r="QYC16" s="174"/>
      <c r="QYG16" s="174"/>
      <c r="QYK16" s="174"/>
      <c r="QYO16" s="174"/>
      <c r="QYS16" s="174"/>
      <c r="QYW16" s="174"/>
      <c r="QZA16" s="174"/>
      <c r="QZE16" s="174"/>
      <c r="QZI16" s="174"/>
      <c r="QZM16" s="174"/>
      <c r="QZQ16" s="174"/>
      <c r="QZU16" s="174"/>
      <c r="QZY16" s="174"/>
      <c r="RAC16" s="174"/>
      <c r="RAG16" s="174"/>
      <c r="RAK16" s="174"/>
      <c r="RAO16" s="174"/>
      <c r="RAS16" s="174"/>
      <c r="RAW16" s="174"/>
      <c r="RBA16" s="174"/>
      <c r="RBE16" s="174"/>
      <c r="RBI16" s="174"/>
      <c r="RBM16" s="174"/>
      <c r="RBQ16" s="174"/>
      <c r="RBU16" s="174"/>
      <c r="RBY16" s="174"/>
      <c r="RCC16" s="174"/>
      <c r="RCG16" s="174"/>
      <c r="RCK16" s="174"/>
      <c r="RCO16" s="174"/>
      <c r="RCS16" s="174"/>
      <c r="RCW16" s="174"/>
      <c r="RDA16" s="174"/>
      <c r="RDE16" s="174"/>
      <c r="RDI16" s="174"/>
      <c r="RDM16" s="174"/>
      <c r="RDQ16" s="174"/>
      <c r="RDU16" s="174"/>
      <c r="RDY16" s="174"/>
      <c r="REC16" s="174"/>
      <c r="REG16" s="174"/>
      <c r="REK16" s="174"/>
      <c r="REO16" s="174"/>
      <c r="RES16" s="174"/>
      <c r="REW16" s="174"/>
      <c r="RFA16" s="174"/>
      <c r="RFE16" s="174"/>
      <c r="RFI16" s="174"/>
      <c r="RFM16" s="174"/>
      <c r="RFQ16" s="174"/>
      <c r="RFU16" s="174"/>
      <c r="RFY16" s="174"/>
      <c r="RGC16" s="174"/>
      <c r="RGG16" s="174"/>
      <c r="RGK16" s="174"/>
      <c r="RGO16" s="174"/>
      <c r="RGS16" s="174"/>
      <c r="RGW16" s="174"/>
      <c r="RHA16" s="174"/>
      <c r="RHE16" s="174"/>
      <c r="RHI16" s="174"/>
      <c r="RHM16" s="174"/>
      <c r="RHQ16" s="174"/>
      <c r="RHU16" s="174"/>
      <c r="RHY16" s="174"/>
      <c r="RIC16" s="174"/>
      <c r="RIG16" s="174"/>
      <c r="RIK16" s="174"/>
      <c r="RIO16" s="174"/>
      <c r="RIS16" s="174"/>
      <c r="RIW16" s="174"/>
      <c r="RJA16" s="174"/>
      <c r="RJE16" s="174"/>
      <c r="RJI16" s="174"/>
      <c r="RJM16" s="174"/>
      <c r="RJQ16" s="174"/>
      <c r="RJU16" s="174"/>
      <c r="RJY16" s="174"/>
      <c r="RKC16" s="174"/>
      <c r="RKG16" s="174"/>
      <c r="RKK16" s="174"/>
      <c r="RKO16" s="174"/>
      <c r="RKS16" s="174"/>
      <c r="RKW16" s="174"/>
      <c r="RLA16" s="174"/>
      <c r="RLE16" s="174"/>
      <c r="RLI16" s="174"/>
      <c r="RLM16" s="174"/>
      <c r="RLQ16" s="174"/>
      <c r="RLU16" s="174"/>
      <c r="RLY16" s="174"/>
      <c r="RMC16" s="174"/>
      <c r="RMG16" s="174"/>
      <c r="RMK16" s="174"/>
      <c r="RMO16" s="174"/>
      <c r="RMS16" s="174"/>
      <c r="RMW16" s="174"/>
      <c r="RNA16" s="174"/>
      <c r="RNE16" s="174"/>
      <c r="RNI16" s="174"/>
      <c r="RNM16" s="174"/>
      <c r="RNQ16" s="174"/>
      <c r="RNU16" s="174"/>
      <c r="RNY16" s="174"/>
      <c r="ROC16" s="174"/>
      <c r="ROG16" s="174"/>
      <c r="ROK16" s="174"/>
      <c r="ROO16" s="174"/>
      <c r="ROS16" s="174"/>
      <c r="ROW16" s="174"/>
      <c r="RPA16" s="174"/>
      <c r="RPE16" s="174"/>
      <c r="RPI16" s="174"/>
      <c r="RPM16" s="174"/>
      <c r="RPQ16" s="174"/>
      <c r="RPU16" s="174"/>
      <c r="RPY16" s="174"/>
      <c r="RQC16" s="174"/>
      <c r="RQG16" s="174"/>
      <c r="RQK16" s="174"/>
      <c r="RQO16" s="174"/>
      <c r="RQS16" s="174"/>
      <c r="RQW16" s="174"/>
      <c r="RRA16" s="174"/>
      <c r="RRE16" s="174"/>
      <c r="RRI16" s="174"/>
      <c r="RRM16" s="174"/>
      <c r="RRQ16" s="174"/>
      <c r="RRU16" s="174"/>
      <c r="RRY16" s="174"/>
      <c r="RSC16" s="174"/>
      <c r="RSG16" s="174"/>
      <c r="RSK16" s="174"/>
      <c r="RSO16" s="174"/>
      <c r="RSS16" s="174"/>
      <c r="RSW16" s="174"/>
      <c r="RTA16" s="174"/>
      <c r="RTE16" s="174"/>
      <c r="RTI16" s="174"/>
      <c r="RTM16" s="174"/>
      <c r="RTQ16" s="174"/>
      <c r="RTU16" s="174"/>
      <c r="RTY16" s="174"/>
      <c r="RUC16" s="174"/>
      <c r="RUG16" s="174"/>
      <c r="RUK16" s="174"/>
      <c r="RUO16" s="174"/>
      <c r="RUS16" s="174"/>
      <c r="RUW16" s="174"/>
      <c r="RVA16" s="174"/>
      <c r="RVE16" s="174"/>
      <c r="RVI16" s="174"/>
      <c r="RVM16" s="174"/>
      <c r="RVQ16" s="174"/>
      <c r="RVU16" s="174"/>
      <c r="RVY16" s="174"/>
      <c r="RWC16" s="174"/>
      <c r="RWG16" s="174"/>
      <c r="RWK16" s="174"/>
      <c r="RWO16" s="174"/>
      <c r="RWS16" s="174"/>
      <c r="RWW16" s="174"/>
      <c r="RXA16" s="174"/>
      <c r="RXE16" s="174"/>
      <c r="RXI16" s="174"/>
      <c r="RXM16" s="174"/>
      <c r="RXQ16" s="174"/>
      <c r="RXU16" s="174"/>
      <c r="RXY16" s="174"/>
      <c r="RYC16" s="174"/>
      <c r="RYG16" s="174"/>
      <c r="RYK16" s="174"/>
      <c r="RYO16" s="174"/>
      <c r="RYS16" s="174"/>
      <c r="RYW16" s="174"/>
      <c r="RZA16" s="174"/>
      <c r="RZE16" s="174"/>
      <c r="RZI16" s="174"/>
      <c r="RZM16" s="174"/>
      <c r="RZQ16" s="174"/>
      <c r="RZU16" s="174"/>
      <c r="RZY16" s="174"/>
      <c r="SAC16" s="174"/>
      <c r="SAG16" s="174"/>
      <c r="SAK16" s="174"/>
      <c r="SAO16" s="174"/>
      <c r="SAS16" s="174"/>
      <c r="SAW16" s="174"/>
      <c r="SBA16" s="174"/>
      <c r="SBE16" s="174"/>
      <c r="SBI16" s="174"/>
      <c r="SBM16" s="174"/>
      <c r="SBQ16" s="174"/>
      <c r="SBU16" s="174"/>
      <c r="SBY16" s="174"/>
      <c r="SCC16" s="174"/>
      <c r="SCG16" s="174"/>
      <c r="SCK16" s="174"/>
      <c r="SCO16" s="174"/>
      <c r="SCS16" s="174"/>
      <c r="SCW16" s="174"/>
      <c r="SDA16" s="174"/>
      <c r="SDE16" s="174"/>
      <c r="SDI16" s="174"/>
      <c r="SDM16" s="174"/>
      <c r="SDQ16" s="174"/>
      <c r="SDU16" s="174"/>
      <c r="SDY16" s="174"/>
      <c r="SEC16" s="174"/>
      <c r="SEG16" s="174"/>
      <c r="SEK16" s="174"/>
      <c r="SEO16" s="174"/>
      <c r="SES16" s="174"/>
      <c r="SEW16" s="174"/>
      <c r="SFA16" s="174"/>
      <c r="SFE16" s="174"/>
      <c r="SFI16" s="174"/>
      <c r="SFM16" s="174"/>
      <c r="SFQ16" s="174"/>
      <c r="SFU16" s="174"/>
      <c r="SFY16" s="174"/>
      <c r="SGC16" s="174"/>
      <c r="SGG16" s="174"/>
      <c r="SGK16" s="174"/>
      <c r="SGO16" s="174"/>
      <c r="SGS16" s="174"/>
      <c r="SGW16" s="174"/>
      <c r="SHA16" s="174"/>
      <c r="SHE16" s="174"/>
      <c r="SHI16" s="174"/>
      <c r="SHM16" s="174"/>
      <c r="SHQ16" s="174"/>
      <c r="SHU16" s="174"/>
      <c r="SHY16" s="174"/>
      <c r="SIC16" s="174"/>
      <c r="SIG16" s="174"/>
      <c r="SIK16" s="174"/>
      <c r="SIO16" s="174"/>
      <c r="SIS16" s="174"/>
      <c r="SIW16" s="174"/>
      <c r="SJA16" s="174"/>
      <c r="SJE16" s="174"/>
      <c r="SJI16" s="174"/>
      <c r="SJM16" s="174"/>
      <c r="SJQ16" s="174"/>
      <c r="SJU16" s="174"/>
      <c r="SJY16" s="174"/>
      <c r="SKC16" s="174"/>
      <c r="SKG16" s="174"/>
      <c r="SKK16" s="174"/>
      <c r="SKO16" s="174"/>
      <c r="SKS16" s="174"/>
      <c r="SKW16" s="174"/>
      <c r="SLA16" s="174"/>
      <c r="SLE16" s="174"/>
      <c r="SLI16" s="174"/>
      <c r="SLM16" s="174"/>
      <c r="SLQ16" s="174"/>
      <c r="SLU16" s="174"/>
      <c r="SLY16" s="174"/>
      <c r="SMC16" s="174"/>
      <c r="SMG16" s="174"/>
      <c r="SMK16" s="174"/>
      <c r="SMO16" s="174"/>
      <c r="SMS16" s="174"/>
      <c r="SMW16" s="174"/>
      <c r="SNA16" s="174"/>
      <c r="SNE16" s="174"/>
      <c r="SNI16" s="174"/>
      <c r="SNM16" s="174"/>
      <c r="SNQ16" s="174"/>
      <c r="SNU16" s="174"/>
      <c r="SNY16" s="174"/>
      <c r="SOC16" s="174"/>
      <c r="SOG16" s="174"/>
      <c r="SOK16" s="174"/>
      <c r="SOO16" s="174"/>
      <c r="SOS16" s="174"/>
      <c r="SOW16" s="174"/>
      <c r="SPA16" s="174"/>
      <c r="SPE16" s="174"/>
      <c r="SPI16" s="174"/>
      <c r="SPM16" s="174"/>
      <c r="SPQ16" s="174"/>
      <c r="SPU16" s="174"/>
      <c r="SPY16" s="174"/>
      <c r="SQC16" s="174"/>
      <c r="SQG16" s="174"/>
      <c r="SQK16" s="174"/>
      <c r="SQO16" s="174"/>
      <c r="SQS16" s="174"/>
      <c r="SQW16" s="174"/>
      <c r="SRA16" s="174"/>
      <c r="SRE16" s="174"/>
      <c r="SRI16" s="174"/>
      <c r="SRM16" s="174"/>
      <c r="SRQ16" s="174"/>
      <c r="SRU16" s="174"/>
      <c r="SRY16" s="174"/>
      <c r="SSC16" s="174"/>
      <c r="SSG16" s="174"/>
      <c r="SSK16" s="174"/>
      <c r="SSO16" s="174"/>
      <c r="SSS16" s="174"/>
      <c r="SSW16" s="174"/>
      <c r="STA16" s="174"/>
      <c r="STE16" s="174"/>
      <c r="STI16" s="174"/>
      <c r="STM16" s="174"/>
      <c r="STQ16" s="174"/>
      <c r="STU16" s="174"/>
      <c r="STY16" s="174"/>
      <c r="SUC16" s="174"/>
      <c r="SUG16" s="174"/>
      <c r="SUK16" s="174"/>
      <c r="SUO16" s="174"/>
      <c r="SUS16" s="174"/>
      <c r="SUW16" s="174"/>
      <c r="SVA16" s="174"/>
      <c r="SVE16" s="174"/>
      <c r="SVI16" s="174"/>
      <c r="SVM16" s="174"/>
      <c r="SVQ16" s="174"/>
      <c r="SVU16" s="174"/>
      <c r="SVY16" s="174"/>
      <c r="SWC16" s="174"/>
      <c r="SWG16" s="174"/>
      <c r="SWK16" s="174"/>
      <c r="SWO16" s="174"/>
      <c r="SWS16" s="174"/>
      <c r="SWW16" s="174"/>
      <c r="SXA16" s="174"/>
      <c r="SXE16" s="174"/>
      <c r="SXI16" s="174"/>
      <c r="SXM16" s="174"/>
      <c r="SXQ16" s="174"/>
      <c r="SXU16" s="174"/>
      <c r="SXY16" s="174"/>
      <c r="SYC16" s="174"/>
      <c r="SYG16" s="174"/>
      <c r="SYK16" s="174"/>
      <c r="SYO16" s="174"/>
      <c r="SYS16" s="174"/>
      <c r="SYW16" s="174"/>
      <c r="SZA16" s="174"/>
      <c r="SZE16" s="174"/>
      <c r="SZI16" s="174"/>
      <c r="SZM16" s="174"/>
      <c r="SZQ16" s="174"/>
      <c r="SZU16" s="174"/>
      <c r="SZY16" s="174"/>
      <c r="TAC16" s="174"/>
      <c r="TAG16" s="174"/>
      <c r="TAK16" s="174"/>
      <c r="TAO16" s="174"/>
      <c r="TAS16" s="174"/>
      <c r="TAW16" s="174"/>
      <c r="TBA16" s="174"/>
      <c r="TBE16" s="174"/>
      <c r="TBI16" s="174"/>
      <c r="TBM16" s="174"/>
      <c r="TBQ16" s="174"/>
      <c r="TBU16" s="174"/>
      <c r="TBY16" s="174"/>
      <c r="TCC16" s="174"/>
      <c r="TCG16" s="174"/>
      <c r="TCK16" s="174"/>
      <c r="TCO16" s="174"/>
      <c r="TCS16" s="174"/>
      <c r="TCW16" s="174"/>
      <c r="TDA16" s="174"/>
      <c r="TDE16" s="174"/>
      <c r="TDI16" s="174"/>
      <c r="TDM16" s="174"/>
      <c r="TDQ16" s="174"/>
      <c r="TDU16" s="174"/>
      <c r="TDY16" s="174"/>
      <c r="TEC16" s="174"/>
      <c r="TEG16" s="174"/>
      <c r="TEK16" s="174"/>
      <c r="TEO16" s="174"/>
      <c r="TES16" s="174"/>
      <c r="TEW16" s="174"/>
      <c r="TFA16" s="174"/>
      <c r="TFE16" s="174"/>
      <c r="TFI16" s="174"/>
      <c r="TFM16" s="174"/>
      <c r="TFQ16" s="174"/>
      <c r="TFU16" s="174"/>
      <c r="TFY16" s="174"/>
      <c r="TGC16" s="174"/>
      <c r="TGG16" s="174"/>
      <c r="TGK16" s="174"/>
      <c r="TGO16" s="174"/>
      <c r="TGS16" s="174"/>
      <c r="TGW16" s="174"/>
      <c r="THA16" s="174"/>
      <c r="THE16" s="174"/>
      <c r="THI16" s="174"/>
      <c r="THM16" s="174"/>
      <c r="THQ16" s="174"/>
      <c r="THU16" s="174"/>
      <c r="THY16" s="174"/>
      <c r="TIC16" s="174"/>
      <c r="TIG16" s="174"/>
      <c r="TIK16" s="174"/>
      <c r="TIO16" s="174"/>
      <c r="TIS16" s="174"/>
      <c r="TIW16" s="174"/>
      <c r="TJA16" s="174"/>
      <c r="TJE16" s="174"/>
      <c r="TJI16" s="174"/>
      <c r="TJM16" s="174"/>
      <c r="TJQ16" s="174"/>
      <c r="TJU16" s="174"/>
      <c r="TJY16" s="174"/>
      <c r="TKC16" s="174"/>
      <c r="TKG16" s="174"/>
      <c r="TKK16" s="174"/>
      <c r="TKO16" s="174"/>
      <c r="TKS16" s="174"/>
      <c r="TKW16" s="174"/>
      <c r="TLA16" s="174"/>
      <c r="TLE16" s="174"/>
      <c r="TLI16" s="174"/>
      <c r="TLM16" s="174"/>
      <c r="TLQ16" s="174"/>
      <c r="TLU16" s="174"/>
      <c r="TLY16" s="174"/>
      <c r="TMC16" s="174"/>
      <c r="TMG16" s="174"/>
      <c r="TMK16" s="174"/>
      <c r="TMO16" s="174"/>
      <c r="TMS16" s="174"/>
      <c r="TMW16" s="174"/>
      <c r="TNA16" s="174"/>
      <c r="TNE16" s="174"/>
      <c r="TNI16" s="174"/>
      <c r="TNM16" s="174"/>
      <c r="TNQ16" s="174"/>
      <c r="TNU16" s="174"/>
      <c r="TNY16" s="174"/>
      <c r="TOC16" s="174"/>
      <c r="TOG16" s="174"/>
      <c r="TOK16" s="174"/>
      <c r="TOO16" s="174"/>
      <c r="TOS16" s="174"/>
      <c r="TOW16" s="174"/>
      <c r="TPA16" s="174"/>
      <c r="TPE16" s="174"/>
      <c r="TPI16" s="174"/>
      <c r="TPM16" s="174"/>
      <c r="TPQ16" s="174"/>
      <c r="TPU16" s="174"/>
      <c r="TPY16" s="174"/>
      <c r="TQC16" s="174"/>
      <c r="TQG16" s="174"/>
      <c r="TQK16" s="174"/>
      <c r="TQO16" s="174"/>
      <c r="TQS16" s="174"/>
      <c r="TQW16" s="174"/>
      <c r="TRA16" s="174"/>
      <c r="TRE16" s="174"/>
      <c r="TRI16" s="174"/>
      <c r="TRM16" s="174"/>
      <c r="TRQ16" s="174"/>
      <c r="TRU16" s="174"/>
      <c r="TRY16" s="174"/>
      <c r="TSC16" s="174"/>
      <c r="TSG16" s="174"/>
      <c r="TSK16" s="174"/>
      <c r="TSO16" s="174"/>
      <c r="TSS16" s="174"/>
      <c r="TSW16" s="174"/>
      <c r="TTA16" s="174"/>
      <c r="TTE16" s="174"/>
      <c r="TTI16" s="174"/>
      <c r="TTM16" s="174"/>
      <c r="TTQ16" s="174"/>
      <c r="TTU16" s="174"/>
      <c r="TTY16" s="174"/>
      <c r="TUC16" s="174"/>
      <c r="TUG16" s="174"/>
      <c r="TUK16" s="174"/>
      <c r="TUO16" s="174"/>
      <c r="TUS16" s="174"/>
      <c r="TUW16" s="174"/>
      <c r="TVA16" s="174"/>
      <c r="TVE16" s="174"/>
      <c r="TVI16" s="174"/>
      <c r="TVM16" s="174"/>
      <c r="TVQ16" s="174"/>
      <c r="TVU16" s="174"/>
      <c r="TVY16" s="174"/>
      <c r="TWC16" s="174"/>
      <c r="TWG16" s="174"/>
      <c r="TWK16" s="174"/>
      <c r="TWO16" s="174"/>
      <c r="TWS16" s="174"/>
      <c r="TWW16" s="174"/>
      <c r="TXA16" s="174"/>
      <c r="TXE16" s="174"/>
      <c r="TXI16" s="174"/>
      <c r="TXM16" s="174"/>
      <c r="TXQ16" s="174"/>
      <c r="TXU16" s="174"/>
      <c r="TXY16" s="174"/>
      <c r="TYC16" s="174"/>
      <c r="TYG16" s="174"/>
      <c r="TYK16" s="174"/>
      <c r="TYO16" s="174"/>
      <c r="TYS16" s="174"/>
      <c r="TYW16" s="174"/>
      <c r="TZA16" s="174"/>
      <c r="TZE16" s="174"/>
      <c r="TZI16" s="174"/>
      <c r="TZM16" s="174"/>
      <c r="TZQ16" s="174"/>
      <c r="TZU16" s="174"/>
      <c r="TZY16" s="174"/>
      <c r="UAC16" s="174"/>
      <c r="UAG16" s="174"/>
      <c r="UAK16" s="174"/>
      <c r="UAO16" s="174"/>
      <c r="UAS16" s="174"/>
      <c r="UAW16" s="174"/>
      <c r="UBA16" s="174"/>
      <c r="UBE16" s="174"/>
      <c r="UBI16" s="174"/>
      <c r="UBM16" s="174"/>
      <c r="UBQ16" s="174"/>
      <c r="UBU16" s="174"/>
      <c r="UBY16" s="174"/>
      <c r="UCC16" s="174"/>
      <c r="UCG16" s="174"/>
      <c r="UCK16" s="174"/>
      <c r="UCO16" s="174"/>
      <c r="UCS16" s="174"/>
      <c r="UCW16" s="174"/>
      <c r="UDA16" s="174"/>
      <c r="UDE16" s="174"/>
      <c r="UDI16" s="174"/>
      <c r="UDM16" s="174"/>
      <c r="UDQ16" s="174"/>
      <c r="UDU16" s="174"/>
      <c r="UDY16" s="174"/>
      <c r="UEC16" s="174"/>
      <c r="UEG16" s="174"/>
      <c r="UEK16" s="174"/>
      <c r="UEO16" s="174"/>
      <c r="UES16" s="174"/>
      <c r="UEW16" s="174"/>
      <c r="UFA16" s="174"/>
      <c r="UFE16" s="174"/>
      <c r="UFI16" s="174"/>
      <c r="UFM16" s="174"/>
      <c r="UFQ16" s="174"/>
      <c r="UFU16" s="174"/>
      <c r="UFY16" s="174"/>
      <c r="UGC16" s="174"/>
      <c r="UGG16" s="174"/>
      <c r="UGK16" s="174"/>
      <c r="UGO16" s="174"/>
      <c r="UGS16" s="174"/>
      <c r="UGW16" s="174"/>
      <c r="UHA16" s="174"/>
      <c r="UHE16" s="174"/>
      <c r="UHI16" s="174"/>
      <c r="UHM16" s="174"/>
      <c r="UHQ16" s="174"/>
      <c r="UHU16" s="174"/>
      <c r="UHY16" s="174"/>
      <c r="UIC16" s="174"/>
      <c r="UIG16" s="174"/>
      <c r="UIK16" s="174"/>
      <c r="UIO16" s="174"/>
      <c r="UIS16" s="174"/>
      <c r="UIW16" s="174"/>
      <c r="UJA16" s="174"/>
      <c r="UJE16" s="174"/>
      <c r="UJI16" s="174"/>
      <c r="UJM16" s="174"/>
      <c r="UJQ16" s="174"/>
      <c r="UJU16" s="174"/>
      <c r="UJY16" s="174"/>
      <c r="UKC16" s="174"/>
      <c r="UKG16" s="174"/>
      <c r="UKK16" s="174"/>
      <c r="UKO16" s="174"/>
      <c r="UKS16" s="174"/>
      <c r="UKW16" s="174"/>
      <c r="ULA16" s="174"/>
      <c r="ULE16" s="174"/>
      <c r="ULI16" s="174"/>
      <c r="ULM16" s="174"/>
      <c r="ULQ16" s="174"/>
      <c r="ULU16" s="174"/>
      <c r="ULY16" s="174"/>
      <c r="UMC16" s="174"/>
      <c r="UMG16" s="174"/>
      <c r="UMK16" s="174"/>
      <c r="UMO16" s="174"/>
      <c r="UMS16" s="174"/>
      <c r="UMW16" s="174"/>
      <c r="UNA16" s="174"/>
      <c r="UNE16" s="174"/>
      <c r="UNI16" s="174"/>
      <c r="UNM16" s="174"/>
      <c r="UNQ16" s="174"/>
      <c r="UNU16" s="174"/>
      <c r="UNY16" s="174"/>
      <c r="UOC16" s="174"/>
      <c r="UOG16" s="174"/>
      <c r="UOK16" s="174"/>
      <c r="UOO16" s="174"/>
      <c r="UOS16" s="174"/>
      <c r="UOW16" s="174"/>
      <c r="UPA16" s="174"/>
      <c r="UPE16" s="174"/>
      <c r="UPI16" s="174"/>
      <c r="UPM16" s="174"/>
      <c r="UPQ16" s="174"/>
      <c r="UPU16" s="174"/>
      <c r="UPY16" s="174"/>
      <c r="UQC16" s="174"/>
      <c r="UQG16" s="174"/>
      <c r="UQK16" s="174"/>
      <c r="UQO16" s="174"/>
      <c r="UQS16" s="174"/>
      <c r="UQW16" s="174"/>
      <c r="URA16" s="174"/>
      <c r="URE16" s="174"/>
      <c r="URI16" s="174"/>
      <c r="URM16" s="174"/>
      <c r="URQ16" s="174"/>
      <c r="URU16" s="174"/>
      <c r="URY16" s="174"/>
      <c r="USC16" s="174"/>
      <c r="USG16" s="174"/>
      <c r="USK16" s="174"/>
      <c r="USO16" s="174"/>
      <c r="USS16" s="174"/>
      <c r="USW16" s="174"/>
      <c r="UTA16" s="174"/>
      <c r="UTE16" s="174"/>
      <c r="UTI16" s="174"/>
      <c r="UTM16" s="174"/>
      <c r="UTQ16" s="174"/>
      <c r="UTU16" s="174"/>
      <c r="UTY16" s="174"/>
      <c r="UUC16" s="174"/>
      <c r="UUG16" s="174"/>
      <c r="UUK16" s="174"/>
      <c r="UUO16" s="174"/>
      <c r="UUS16" s="174"/>
      <c r="UUW16" s="174"/>
      <c r="UVA16" s="174"/>
      <c r="UVE16" s="174"/>
      <c r="UVI16" s="174"/>
      <c r="UVM16" s="174"/>
      <c r="UVQ16" s="174"/>
      <c r="UVU16" s="174"/>
      <c r="UVY16" s="174"/>
      <c r="UWC16" s="174"/>
      <c r="UWG16" s="174"/>
      <c r="UWK16" s="174"/>
      <c r="UWO16" s="174"/>
      <c r="UWS16" s="174"/>
      <c r="UWW16" s="174"/>
      <c r="UXA16" s="174"/>
      <c r="UXE16" s="174"/>
      <c r="UXI16" s="174"/>
      <c r="UXM16" s="174"/>
      <c r="UXQ16" s="174"/>
      <c r="UXU16" s="174"/>
      <c r="UXY16" s="174"/>
      <c r="UYC16" s="174"/>
      <c r="UYG16" s="174"/>
      <c r="UYK16" s="174"/>
      <c r="UYO16" s="174"/>
      <c r="UYS16" s="174"/>
      <c r="UYW16" s="174"/>
      <c r="UZA16" s="174"/>
      <c r="UZE16" s="174"/>
      <c r="UZI16" s="174"/>
      <c r="UZM16" s="174"/>
      <c r="UZQ16" s="174"/>
      <c r="UZU16" s="174"/>
      <c r="UZY16" s="174"/>
      <c r="VAC16" s="174"/>
      <c r="VAG16" s="174"/>
      <c r="VAK16" s="174"/>
      <c r="VAO16" s="174"/>
      <c r="VAS16" s="174"/>
      <c r="VAW16" s="174"/>
      <c r="VBA16" s="174"/>
      <c r="VBE16" s="174"/>
      <c r="VBI16" s="174"/>
      <c r="VBM16" s="174"/>
      <c r="VBQ16" s="174"/>
      <c r="VBU16" s="174"/>
      <c r="VBY16" s="174"/>
      <c r="VCC16" s="174"/>
      <c r="VCG16" s="174"/>
      <c r="VCK16" s="174"/>
      <c r="VCO16" s="174"/>
      <c r="VCS16" s="174"/>
      <c r="VCW16" s="174"/>
      <c r="VDA16" s="174"/>
      <c r="VDE16" s="174"/>
      <c r="VDI16" s="174"/>
      <c r="VDM16" s="174"/>
      <c r="VDQ16" s="174"/>
      <c r="VDU16" s="174"/>
      <c r="VDY16" s="174"/>
      <c r="VEC16" s="174"/>
      <c r="VEG16" s="174"/>
      <c r="VEK16" s="174"/>
      <c r="VEO16" s="174"/>
      <c r="VES16" s="174"/>
      <c r="VEW16" s="174"/>
      <c r="VFA16" s="174"/>
      <c r="VFE16" s="174"/>
      <c r="VFI16" s="174"/>
      <c r="VFM16" s="174"/>
      <c r="VFQ16" s="174"/>
      <c r="VFU16" s="174"/>
      <c r="VFY16" s="174"/>
      <c r="VGC16" s="174"/>
      <c r="VGG16" s="174"/>
      <c r="VGK16" s="174"/>
      <c r="VGO16" s="174"/>
      <c r="VGS16" s="174"/>
      <c r="VGW16" s="174"/>
      <c r="VHA16" s="174"/>
      <c r="VHE16" s="174"/>
      <c r="VHI16" s="174"/>
      <c r="VHM16" s="174"/>
      <c r="VHQ16" s="174"/>
      <c r="VHU16" s="174"/>
      <c r="VHY16" s="174"/>
      <c r="VIC16" s="174"/>
      <c r="VIG16" s="174"/>
      <c r="VIK16" s="174"/>
      <c r="VIO16" s="174"/>
      <c r="VIS16" s="174"/>
      <c r="VIW16" s="174"/>
      <c r="VJA16" s="174"/>
      <c r="VJE16" s="174"/>
      <c r="VJI16" s="174"/>
      <c r="VJM16" s="174"/>
      <c r="VJQ16" s="174"/>
      <c r="VJU16" s="174"/>
      <c r="VJY16" s="174"/>
      <c r="VKC16" s="174"/>
      <c r="VKG16" s="174"/>
      <c r="VKK16" s="174"/>
      <c r="VKO16" s="174"/>
      <c r="VKS16" s="174"/>
      <c r="VKW16" s="174"/>
      <c r="VLA16" s="174"/>
      <c r="VLE16" s="174"/>
      <c r="VLI16" s="174"/>
      <c r="VLM16" s="174"/>
      <c r="VLQ16" s="174"/>
      <c r="VLU16" s="174"/>
      <c r="VLY16" s="174"/>
      <c r="VMC16" s="174"/>
      <c r="VMG16" s="174"/>
      <c r="VMK16" s="174"/>
      <c r="VMO16" s="174"/>
      <c r="VMS16" s="174"/>
      <c r="VMW16" s="174"/>
      <c r="VNA16" s="174"/>
      <c r="VNE16" s="174"/>
      <c r="VNI16" s="174"/>
      <c r="VNM16" s="174"/>
      <c r="VNQ16" s="174"/>
      <c r="VNU16" s="174"/>
      <c r="VNY16" s="174"/>
      <c r="VOC16" s="174"/>
      <c r="VOG16" s="174"/>
      <c r="VOK16" s="174"/>
      <c r="VOO16" s="174"/>
      <c r="VOS16" s="174"/>
      <c r="VOW16" s="174"/>
      <c r="VPA16" s="174"/>
      <c r="VPE16" s="174"/>
      <c r="VPI16" s="174"/>
      <c r="VPM16" s="174"/>
      <c r="VPQ16" s="174"/>
      <c r="VPU16" s="174"/>
      <c r="VPY16" s="174"/>
      <c r="VQC16" s="174"/>
      <c r="VQG16" s="174"/>
      <c r="VQK16" s="174"/>
      <c r="VQO16" s="174"/>
      <c r="VQS16" s="174"/>
      <c r="VQW16" s="174"/>
      <c r="VRA16" s="174"/>
      <c r="VRE16" s="174"/>
      <c r="VRI16" s="174"/>
      <c r="VRM16" s="174"/>
      <c r="VRQ16" s="174"/>
      <c r="VRU16" s="174"/>
      <c r="VRY16" s="174"/>
      <c r="VSC16" s="174"/>
      <c r="VSG16" s="174"/>
      <c r="VSK16" s="174"/>
      <c r="VSO16" s="174"/>
      <c r="VSS16" s="174"/>
      <c r="VSW16" s="174"/>
      <c r="VTA16" s="174"/>
      <c r="VTE16" s="174"/>
      <c r="VTI16" s="174"/>
      <c r="VTM16" s="174"/>
      <c r="VTQ16" s="174"/>
      <c r="VTU16" s="174"/>
      <c r="VTY16" s="174"/>
      <c r="VUC16" s="174"/>
      <c r="VUG16" s="174"/>
      <c r="VUK16" s="174"/>
      <c r="VUO16" s="174"/>
      <c r="VUS16" s="174"/>
      <c r="VUW16" s="174"/>
      <c r="VVA16" s="174"/>
      <c r="VVE16" s="174"/>
      <c r="VVI16" s="174"/>
      <c r="VVM16" s="174"/>
      <c r="VVQ16" s="174"/>
      <c r="VVU16" s="174"/>
      <c r="VVY16" s="174"/>
      <c r="VWC16" s="174"/>
      <c r="VWG16" s="174"/>
      <c r="VWK16" s="174"/>
      <c r="VWO16" s="174"/>
      <c r="VWS16" s="174"/>
      <c r="VWW16" s="174"/>
      <c r="VXA16" s="174"/>
      <c r="VXE16" s="174"/>
      <c r="VXI16" s="174"/>
      <c r="VXM16" s="174"/>
      <c r="VXQ16" s="174"/>
      <c r="VXU16" s="174"/>
      <c r="VXY16" s="174"/>
      <c r="VYC16" s="174"/>
      <c r="VYG16" s="174"/>
      <c r="VYK16" s="174"/>
      <c r="VYO16" s="174"/>
      <c r="VYS16" s="174"/>
      <c r="VYW16" s="174"/>
      <c r="VZA16" s="174"/>
      <c r="VZE16" s="174"/>
      <c r="VZI16" s="174"/>
      <c r="VZM16" s="174"/>
      <c r="VZQ16" s="174"/>
      <c r="VZU16" s="174"/>
      <c r="VZY16" s="174"/>
      <c r="WAC16" s="174"/>
      <c r="WAG16" s="174"/>
      <c r="WAK16" s="174"/>
      <c r="WAO16" s="174"/>
      <c r="WAS16" s="174"/>
      <c r="WAW16" s="174"/>
      <c r="WBA16" s="174"/>
      <c r="WBE16" s="174"/>
      <c r="WBI16" s="174"/>
      <c r="WBM16" s="174"/>
      <c r="WBQ16" s="174"/>
      <c r="WBU16" s="174"/>
      <c r="WBY16" s="174"/>
      <c r="WCC16" s="174"/>
      <c r="WCG16" s="174"/>
      <c r="WCK16" s="174"/>
      <c r="WCO16" s="174"/>
      <c r="WCS16" s="174"/>
      <c r="WCW16" s="174"/>
      <c r="WDA16" s="174"/>
      <c r="WDE16" s="174"/>
      <c r="WDI16" s="174"/>
      <c r="WDM16" s="174"/>
      <c r="WDQ16" s="174"/>
      <c r="WDU16" s="174"/>
      <c r="WDY16" s="174"/>
      <c r="WEC16" s="174"/>
      <c r="WEG16" s="174"/>
      <c r="WEK16" s="174"/>
      <c r="WEO16" s="174"/>
      <c r="WES16" s="174"/>
      <c r="WEW16" s="174"/>
      <c r="WFA16" s="174"/>
      <c r="WFE16" s="174"/>
      <c r="WFI16" s="174"/>
      <c r="WFM16" s="174"/>
      <c r="WFQ16" s="174"/>
      <c r="WFU16" s="174"/>
      <c r="WFY16" s="174"/>
      <c r="WGC16" s="174"/>
      <c r="WGG16" s="174"/>
      <c r="WGK16" s="174"/>
      <c r="WGO16" s="174"/>
      <c r="WGS16" s="174"/>
      <c r="WGW16" s="174"/>
      <c r="WHA16" s="174"/>
      <c r="WHE16" s="174"/>
      <c r="WHI16" s="174"/>
      <c r="WHM16" s="174"/>
      <c r="WHQ16" s="174"/>
      <c r="WHU16" s="174"/>
      <c r="WHY16" s="174"/>
      <c r="WIC16" s="174"/>
      <c r="WIG16" s="174"/>
      <c r="WIK16" s="174"/>
      <c r="WIO16" s="174"/>
      <c r="WIS16" s="174"/>
      <c r="WIW16" s="174"/>
      <c r="WJA16" s="174"/>
      <c r="WJE16" s="174"/>
      <c r="WJI16" s="174"/>
      <c r="WJM16" s="174"/>
      <c r="WJQ16" s="174"/>
      <c r="WJU16" s="174"/>
      <c r="WJY16" s="174"/>
      <c r="WKC16" s="174"/>
      <c r="WKG16" s="174"/>
      <c r="WKK16" s="174"/>
      <c r="WKO16" s="174"/>
      <c r="WKS16" s="174"/>
      <c r="WKW16" s="174"/>
      <c r="WLA16" s="174"/>
      <c r="WLE16" s="174"/>
      <c r="WLI16" s="174"/>
      <c r="WLM16" s="174"/>
      <c r="WLQ16" s="174"/>
      <c r="WLU16" s="174"/>
      <c r="WLY16" s="174"/>
      <c r="WMC16" s="174"/>
      <c r="WMG16" s="174"/>
      <c r="WMK16" s="174"/>
      <c r="WMO16" s="174"/>
      <c r="WMS16" s="174"/>
      <c r="WMW16" s="174"/>
      <c r="WNA16" s="174"/>
      <c r="WNE16" s="174"/>
      <c r="WNI16" s="174"/>
      <c r="WNM16" s="174"/>
      <c r="WNQ16" s="174"/>
      <c r="WNU16" s="174"/>
      <c r="WNY16" s="174"/>
      <c r="WOC16" s="174"/>
      <c r="WOG16" s="174"/>
      <c r="WOK16" s="174"/>
      <c r="WOO16" s="174"/>
      <c r="WOS16" s="174"/>
      <c r="WOW16" s="174"/>
      <c r="WPA16" s="174"/>
      <c r="WPE16" s="174"/>
      <c r="WPI16" s="174"/>
      <c r="WPM16" s="174"/>
      <c r="WPQ16" s="174"/>
      <c r="WPU16" s="174"/>
      <c r="WPY16" s="174"/>
      <c r="WQC16" s="174"/>
      <c r="WQG16" s="174"/>
      <c r="WQK16" s="174"/>
      <c r="WQO16" s="174"/>
      <c r="WQS16" s="174"/>
      <c r="WQW16" s="174"/>
      <c r="WRA16" s="174"/>
      <c r="WRE16" s="174"/>
      <c r="WRI16" s="174"/>
      <c r="WRM16" s="174"/>
      <c r="WRQ16" s="174"/>
      <c r="WRU16" s="174"/>
      <c r="WRY16" s="174"/>
      <c r="WSC16" s="174"/>
      <c r="WSG16" s="174"/>
      <c r="WSK16" s="174"/>
      <c r="WSO16" s="174"/>
      <c r="WSS16" s="174"/>
      <c r="WSW16" s="174"/>
      <c r="WTA16" s="174"/>
      <c r="WTE16" s="174"/>
      <c r="WTI16" s="174"/>
      <c r="WTM16" s="174"/>
      <c r="WTQ16" s="174"/>
      <c r="WTU16" s="174"/>
      <c r="WTY16" s="174"/>
      <c r="WUC16" s="174"/>
      <c r="WUG16" s="174"/>
      <c r="WUK16" s="174"/>
      <c r="WUO16" s="174"/>
      <c r="WUS16" s="174"/>
      <c r="WUW16" s="174"/>
      <c r="WVA16" s="174"/>
      <c r="WVE16" s="174"/>
      <c r="WVI16" s="174"/>
      <c r="WVM16" s="174"/>
      <c r="WVQ16" s="174"/>
      <c r="WVU16" s="174"/>
      <c r="WVY16" s="174"/>
      <c r="WWC16" s="174"/>
      <c r="WWG16" s="174"/>
      <c r="WWK16" s="174"/>
      <c r="WWO16" s="174"/>
      <c r="WWS16" s="174"/>
      <c r="WWW16" s="174"/>
      <c r="WXA16" s="174"/>
      <c r="WXE16" s="174"/>
      <c r="WXI16" s="174"/>
      <c r="WXM16" s="174"/>
      <c r="WXQ16" s="174"/>
      <c r="WXU16" s="174"/>
      <c r="WXY16" s="174"/>
      <c r="WYC16" s="174"/>
      <c r="WYG16" s="174"/>
      <c r="WYK16" s="174"/>
      <c r="WYO16" s="174"/>
      <c r="WYS16" s="174"/>
      <c r="WYW16" s="174"/>
      <c r="WZA16" s="174"/>
      <c r="WZE16" s="174"/>
      <c r="WZI16" s="174"/>
      <c r="WZM16" s="174"/>
      <c r="WZQ16" s="174"/>
      <c r="WZU16" s="174"/>
      <c r="WZY16" s="174"/>
      <c r="XAC16" s="174"/>
      <c r="XAG16" s="174"/>
      <c r="XAK16" s="174"/>
      <c r="XAO16" s="174"/>
      <c r="XAS16" s="174"/>
      <c r="XAW16" s="174"/>
      <c r="XBA16" s="174"/>
      <c r="XBE16" s="174"/>
      <c r="XBI16" s="174"/>
      <c r="XBM16" s="174"/>
      <c r="XBQ16" s="174"/>
      <c r="XBU16" s="174"/>
      <c r="XBY16" s="174"/>
      <c r="XCC16" s="174"/>
      <c r="XCG16" s="174"/>
      <c r="XCK16" s="174"/>
      <c r="XCO16" s="174"/>
      <c r="XCS16" s="174"/>
      <c r="XCW16" s="174"/>
      <c r="XDA16" s="174"/>
      <c r="XDE16" s="174"/>
      <c r="XDI16" s="174"/>
      <c r="XDM16" s="174"/>
      <c r="XDQ16" s="174"/>
      <c r="XDU16" s="174"/>
      <c r="XDY16" s="174"/>
      <c r="XEC16" s="174"/>
      <c r="XEG16" s="174"/>
      <c r="XEK16" s="174"/>
      <c r="XEO16" s="174"/>
      <c r="XES16" s="174"/>
      <c r="XEW16" s="174"/>
      <c r="XFA16" s="174"/>
    </row>
    <row r="17" spans="1:4" s="172" customFormat="1" ht="13.5">
      <c r="A17" s="1560" t="s">
        <v>871</v>
      </c>
      <c r="B17" s="1561" t="s">
        <v>872</v>
      </c>
      <c r="C17" s="1561" t="s">
        <v>873</v>
      </c>
      <c r="D17" s="170"/>
    </row>
    <row r="18" spans="1:4" s="172" customFormat="1" ht="42.75" customHeight="1">
      <c r="A18" s="417" t="s">
        <v>874</v>
      </c>
      <c r="B18" s="417" t="s">
        <v>875</v>
      </c>
      <c r="C18" s="417" t="s">
        <v>876</v>
      </c>
      <c r="D18" s="170"/>
    </row>
    <row r="19" spans="1:4" s="172" customFormat="1" ht="13.5">
      <c r="A19" s="422" t="s">
        <v>877</v>
      </c>
      <c r="B19" s="422" t="s">
        <v>878</v>
      </c>
      <c r="C19" s="422" t="s">
        <v>879</v>
      </c>
      <c r="D19" s="170"/>
    </row>
    <row r="20" spans="1:4" s="172" customFormat="1" ht="26.25">
      <c r="A20" s="422" t="s">
        <v>880</v>
      </c>
      <c r="B20" s="422" t="s">
        <v>881</v>
      </c>
      <c r="C20" s="422" t="s">
        <v>882</v>
      </c>
      <c r="D20" s="170"/>
    </row>
    <row r="21" spans="1:4" s="172" customFormat="1" ht="26.25">
      <c r="A21" s="422" t="s">
        <v>877</v>
      </c>
      <c r="B21" s="422" t="s">
        <v>883</v>
      </c>
      <c r="C21" s="422" t="s">
        <v>884</v>
      </c>
      <c r="D21" s="170"/>
    </row>
    <row r="22" spans="1:4" s="172" customFormat="1" ht="44.25" customHeight="1">
      <c r="A22" s="422" t="s">
        <v>877</v>
      </c>
      <c r="B22" s="422" t="s">
        <v>885</v>
      </c>
      <c r="C22" s="422" t="s">
        <v>882</v>
      </c>
      <c r="D22" s="170"/>
    </row>
    <row r="23" spans="1:4" s="172" customFormat="1" ht="26.25">
      <c r="A23" s="422" t="s">
        <v>880</v>
      </c>
      <c r="B23" s="422" t="s">
        <v>886</v>
      </c>
      <c r="C23" s="422" t="s">
        <v>887</v>
      </c>
      <c r="D23" s="170"/>
    </row>
    <row r="24" spans="1:4" s="172" customFormat="1" ht="86.25" customHeight="1">
      <c r="A24" s="422" t="s">
        <v>877</v>
      </c>
      <c r="B24" s="422" t="s">
        <v>888</v>
      </c>
      <c r="C24" s="422" t="s">
        <v>887</v>
      </c>
      <c r="D24" s="170"/>
    </row>
    <row r="25" spans="1:4" s="172" customFormat="1" ht="13.5">
      <c r="A25" s="422" t="s">
        <v>880</v>
      </c>
      <c r="B25" s="422" t="s">
        <v>889</v>
      </c>
      <c r="C25" s="422" t="s">
        <v>882</v>
      </c>
      <c r="D25" s="170"/>
    </row>
    <row r="26" spans="1:4" s="172" customFormat="1" ht="26.25">
      <c r="A26" s="422" t="s">
        <v>880</v>
      </c>
      <c r="B26" s="422" t="s">
        <v>890</v>
      </c>
      <c r="C26" s="422" t="s">
        <v>887</v>
      </c>
      <c r="D26" s="170"/>
    </row>
    <row r="27" spans="1:4" s="172" customFormat="1" ht="39.4">
      <c r="A27" s="422" t="s">
        <v>877</v>
      </c>
      <c r="B27" s="422" t="s">
        <v>891</v>
      </c>
      <c r="C27" s="422" t="s">
        <v>892</v>
      </c>
      <c r="D27" s="170"/>
    </row>
    <row r="28" spans="1:4" s="172" customFormat="1" ht="26.25">
      <c r="A28" s="421" t="s">
        <v>877</v>
      </c>
      <c r="B28" s="421" t="s">
        <v>893</v>
      </c>
      <c r="C28" s="421" t="s">
        <v>894</v>
      </c>
      <c r="D28" s="170"/>
    </row>
    <row r="29" spans="1:4" s="172" customFormat="1" ht="13.5">
      <c r="A29" s="418" t="s">
        <v>895</v>
      </c>
      <c r="B29" s="418" t="s">
        <v>896</v>
      </c>
      <c r="C29" s="418" t="s">
        <v>894</v>
      </c>
      <c r="D29" s="170"/>
    </row>
    <row r="30" spans="1:4" s="172" customFormat="1" ht="87.75" customHeight="1">
      <c r="A30" s="418" t="s">
        <v>880</v>
      </c>
      <c r="B30" s="418" t="s">
        <v>897</v>
      </c>
      <c r="C30" s="418" t="s">
        <v>882</v>
      </c>
      <c r="D30" s="170"/>
    </row>
    <row r="31" spans="1:4" s="172" customFormat="1" ht="13.5">
      <c r="A31" s="418" t="s">
        <v>895</v>
      </c>
      <c r="B31" s="418" t="s">
        <v>898</v>
      </c>
      <c r="C31" s="418" t="s">
        <v>899</v>
      </c>
      <c r="D31" s="170"/>
    </row>
    <row r="32" spans="1:4" s="172" customFormat="1" ht="39.4">
      <c r="A32" s="418" t="s">
        <v>880</v>
      </c>
      <c r="B32" s="418" t="s">
        <v>900</v>
      </c>
      <c r="C32" s="418" t="s">
        <v>901</v>
      </c>
      <c r="D32" s="170"/>
    </row>
    <row r="33" spans="1:16384" s="172" customFormat="1" ht="41.25" customHeight="1">
      <c r="A33" s="418" t="s">
        <v>880</v>
      </c>
      <c r="B33" s="418" t="s">
        <v>902</v>
      </c>
      <c r="C33" s="418" t="s">
        <v>901</v>
      </c>
      <c r="D33" s="170"/>
    </row>
    <row r="34" spans="1:16384" s="172" customFormat="1" ht="13.5">
      <c r="A34" s="419" t="s">
        <v>877</v>
      </c>
      <c r="B34" s="419" t="s">
        <v>903</v>
      </c>
      <c r="C34" s="419" t="s">
        <v>904</v>
      </c>
      <c r="D34" s="170"/>
    </row>
    <row r="35" spans="1:16384" s="172" customFormat="1" ht="39.4">
      <c r="A35" s="419" t="s">
        <v>895</v>
      </c>
      <c r="B35" s="419" t="s">
        <v>905</v>
      </c>
      <c r="C35" s="419" t="s">
        <v>892</v>
      </c>
      <c r="D35" s="170"/>
    </row>
    <row r="36" spans="1:16384" s="172" customFormat="1" ht="13.5">
      <c r="A36" s="1357" t="s">
        <v>877</v>
      </c>
      <c r="B36" s="1357" t="s">
        <v>906</v>
      </c>
      <c r="C36" s="1357" t="s">
        <v>894</v>
      </c>
      <c r="D36" s="170"/>
    </row>
    <row r="37" spans="1:16384" s="172" customFormat="1" ht="13.5">
      <c r="A37" s="1357" t="s">
        <v>880</v>
      </c>
      <c r="B37" s="1357" t="s">
        <v>907</v>
      </c>
      <c r="C37" s="1357" t="s">
        <v>894</v>
      </c>
      <c r="D37" s="170"/>
    </row>
    <row r="38" spans="1:16384" s="172" customFormat="1" ht="13.5">
      <c r="A38" s="1357" t="s">
        <v>895</v>
      </c>
      <c r="B38" s="1357" t="s">
        <v>908</v>
      </c>
      <c r="C38" s="1357" t="s">
        <v>894</v>
      </c>
      <c r="D38" s="170"/>
    </row>
    <row r="39" spans="1:16384" s="172" customFormat="1" ht="78.75">
      <c r="A39" s="1357" t="s">
        <v>877</v>
      </c>
      <c r="B39" s="1357" t="s">
        <v>909</v>
      </c>
      <c r="C39" s="1357" t="s">
        <v>882</v>
      </c>
      <c r="D39" s="170"/>
    </row>
    <row r="40" spans="1:16384" s="172" customFormat="1" ht="13.5">
      <c r="A40" s="1357" t="s">
        <v>895</v>
      </c>
      <c r="B40" s="1357" t="s">
        <v>910</v>
      </c>
      <c r="C40" s="1357" t="s">
        <v>911</v>
      </c>
      <c r="D40" s="170"/>
    </row>
    <row r="41" spans="1:16384" s="172" customFormat="1" ht="52.5">
      <c r="A41" s="1357" t="s">
        <v>877</v>
      </c>
      <c r="B41" s="1357" t="s">
        <v>912</v>
      </c>
      <c r="C41" s="1357" t="s">
        <v>913</v>
      </c>
      <c r="D41" s="170"/>
    </row>
    <row r="42" spans="1:16384" s="172" customFormat="1" ht="26.25">
      <c r="A42" s="1357" t="s">
        <v>877</v>
      </c>
      <c r="B42" s="1357" t="s">
        <v>914</v>
      </c>
      <c r="C42" s="1531" t="s">
        <v>915</v>
      </c>
      <c r="D42" s="170"/>
    </row>
    <row r="43" spans="1:16384" s="172" customFormat="1" ht="26.25">
      <c r="A43" s="1357" t="s">
        <v>895</v>
      </c>
      <c r="B43" s="1357" t="s">
        <v>916</v>
      </c>
      <c r="C43" s="1532" t="s">
        <v>917</v>
      </c>
      <c r="D43" s="170"/>
    </row>
    <row r="44" spans="1:16384" s="1820" customFormat="1" ht="26.25">
      <c r="A44" s="1357" t="s">
        <v>880</v>
      </c>
      <c r="B44" s="1357" t="s">
        <v>918</v>
      </c>
      <c r="C44" s="1532" t="s">
        <v>919</v>
      </c>
      <c r="D44" s="170"/>
      <c r="E44" s="172"/>
      <c r="F44" s="170"/>
      <c r="G44" s="172"/>
      <c r="H44" s="170"/>
      <c r="I44" s="172"/>
      <c r="J44" s="170"/>
      <c r="K44" s="172"/>
      <c r="L44" s="170"/>
      <c r="M44" s="172"/>
      <c r="N44" s="170"/>
      <c r="O44" s="172"/>
      <c r="P44" s="170"/>
      <c r="Q44" s="172"/>
      <c r="R44" s="170"/>
      <c r="S44" s="172"/>
      <c r="T44" s="170"/>
      <c r="U44" s="172"/>
      <c r="V44" s="170"/>
      <c r="W44" s="172"/>
      <c r="X44" s="170"/>
      <c r="Y44" s="172"/>
      <c r="Z44" s="170"/>
      <c r="AA44" s="172"/>
      <c r="AB44" s="170"/>
      <c r="AC44" s="172"/>
      <c r="AD44" s="170"/>
      <c r="AE44" s="172"/>
      <c r="AF44" s="170"/>
      <c r="AG44" s="172"/>
      <c r="AH44" s="170"/>
      <c r="AI44" s="172"/>
      <c r="AJ44" s="170"/>
      <c r="AK44" s="172"/>
      <c r="AL44" s="170"/>
      <c r="AM44" s="172"/>
      <c r="AN44" s="170"/>
      <c r="AO44" s="172"/>
      <c r="AP44" s="170"/>
      <c r="AQ44" s="172"/>
      <c r="AR44" s="170"/>
      <c r="AS44" s="172"/>
      <c r="AT44" s="170"/>
      <c r="AU44" s="172"/>
      <c r="AV44" s="170"/>
      <c r="AW44" s="172"/>
      <c r="AX44" s="170"/>
      <c r="AY44" s="172"/>
      <c r="AZ44" s="170"/>
      <c r="BA44" s="172"/>
      <c r="BB44" s="170"/>
      <c r="BC44" s="172"/>
      <c r="BD44" s="170"/>
      <c r="BE44" s="172"/>
      <c r="BF44" s="170"/>
      <c r="BG44" s="172"/>
      <c r="BH44" s="170"/>
      <c r="BI44" s="172"/>
      <c r="BJ44" s="170"/>
      <c r="BK44" s="172"/>
      <c r="BL44" s="170"/>
      <c r="BM44" s="172"/>
      <c r="BN44" s="170"/>
      <c r="BO44" s="172"/>
      <c r="BP44" s="170"/>
      <c r="BQ44" s="172"/>
      <c r="BR44" s="170"/>
      <c r="BS44" s="172"/>
      <c r="BT44" s="170"/>
      <c r="BU44" s="172"/>
      <c r="BV44" s="170"/>
      <c r="BW44" s="172"/>
      <c r="BX44" s="170"/>
      <c r="BY44" s="172"/>
      <c r="BZ44" s="170"/>
      <c r="CA44" s="172"/>
      <c r="CB44" s="170"/>
      <c r="CC44" s="172"/>
      <c r="CD44" s="170"/>
      <c r="CE44" s="172"/>
      <c r="CF44" s="170"/>
      <c r="CG44" s="172"/>
      <c r="CH44" s="170"/>
      <c r="CI44" s="172"/>
      <c r="CJ44" s="170"/>
      <c r="CK44" s="172"/>
      <c r="CL44" s="170"/>
      <c r="CM44" s="172"/>
      <c r="CN44" s="170"/>
      <c r="CO44" s="172"/>
      <c r="CP44" s="170"/>
      <c r="CQ44" s="172"/>
      <c r="CR44" s="170"/>
      <c r="CS44" s="172"/>
      <c r="CT44" s="170"/>
      <c r="CU44" s="172"/>
      <c r="CV44" s="170"/>
      <c r="CW44" s="172"/>
      <c r="CX44" s="170"/>
      <c r="CY44" s="172"/>
      <c r="CZ44" s="170"/>
      <c r="DA44" s="172"/>
      <c r="DB44" s="170"/>
      <c r="DC44" s="172"/>
      <c r="DD44" s="170"/>
      <c r="DE44" s="172"/>
      <c r="DF44" s="170"/>
      <c r="DG44" s="172"/>
      <c r="DH44" s="170"/>
      <c r="DI44" s="172"/>
      <c r="DJ44" s="170"/>
      <c r="DK44" s="172"/>
      <c r="DL44" s="170"/>
      <c r="DM44" s="172"/>
      <c r="DN44" s="170"/>
      <c r="DO44" s="172"/>
      <c r="DP44" s="170"/>
      <c r="DQ44" s="172"/>
      <c r="DR44" s="170"/>
      <c r="DS44" s="172"/>
      <c r="DT44" s="170"/>
      <c r="DU44" s="172"/>
      <c r="DV44" s="170"/>
      <c r="DW44" s="172"/>
      <c r="DX44" s="170"/>
      <c r="DY44" s="172"/>
      <c r="DZ44" s="170"/>
      <c r="EA44" s="172"/>
      <c r="EB44" s="170"/>
      <c r="EC44" s="172"/>
      <c r="ED44" s="170"/>
      <c r="EE44" s="172"/>
      <c r="EF44" s="170"/>
      <c r="EG44" s="172"/>
      <c r="EH44" s="170"/>
      <c r="EI44" s="172"/>
      <c r="EJ44" s="170"/>
      <c r="EK44" s="172"/>
      <c r="EL44" s="170"/>
      <c r="EM44" s="172"/>
      <c r="EN44" s="170"/>
      <c r="EO44" s="172"/>
      <c r="EP44" s="170"/>
      <c r="EQ44" s="172"/>
      <c r="ER44" s="170"/>
      <c r="ES44" s="172"/>
      <c r="ET44" s="170"/>
      <c r="EU44" s="172"/>
      <c r="EV44" s="170"/>
      <c r="EW44" s="172"/>
      <c r="EX44" s="170"/>
      <c r="EY44" s="172"/>
      <c r="EZ44" s="170"/>
      <c r="FA44" s="172"/>
      <c r="FB44" s="170"/>
      <c r="FC44" s="172"/>
      <c r="FD44" s="170"/>
      <c r="FE44" s="172"/>
      <c r="FF44" s="170"/>
      <c r="FG44" s="172"/>
      <c r="FH44" s="170"/>
      <c r="FI44" s="172"/>
      <c r="FJ44" s="170"/>
      <c r="FK44" s="172"/>
      <c r="FL44" s="170"/>
      <c r="FM44" s="172"/>
      <c r="FN44" s="170"/>
      <c r="FO44" s="172"/>
      <c r="FP44" s="170"/>
      <c r="FQ44" s="172"/>
      <c r="FR44" s="170"/>
      <c r="FS44" s="172"/>
      <c r="FT44" s="170"/>
      <c r="FU44" s="172"/>
      <c r="FV44" s="170"/>
      <c r="FW44" s="172"/>
      <c r="FX44" s="170"/>
      <c r="FY44" s="172"/>
      <c r="FZ44" s="170"/>
      <c r="GA44" s="172"/>
      <c r="GB44" s="170"/>
      <c r="GC44" s="172"/>
      <c r="GD44" s="170"/>
      <c r="GE44" s="172"/>
      <c r="GF44" s="170"/>
      <c r="GG44" s="172"/>
      <c r="GH44" s="170"/>
      <c r="GI44" s="172"/>
      <c r="GJ44" s="170"/>
      <c r="GK44" s="172"/>
      <c r="GL44" s="170"/>
      <c r="GM44" s="172"/>
      <c r="GN44" s="170"/>
      <c r="GO44" s="172"/>
      <c r="GP44" s="170"/>
      <c r="GQ44" s="172"/>
      <c r="GR44" s="170"/>
      <c r="GS44" s="172"/>
      <c r="GT44" s="170"/>
      <c r="GU44" s="172"/>
      <c r="GV44" s="170"/>
      <c r="GW44" s="172"/>
      <c r="GX44" s="170"/>
      <c r="GY44" s="172"/>
      <c r="GZ44" s="170"/>
      <c r="HA44" s="172"/>
      <c r="HB44" s="170"/>
      <c r="HC44" s="172"/>
      <c r="HD44" s="170"/>
      <c r="HE44" s="172"/>
      <c r="HF44" s="170"/>
      <c r="HG44" s="172"/>
      <c r="HH44" s="170"/>
      <c r="HI44" s="172"/>
      <c r="HJ44" s="170"/>
      <c r="HK44" s="172"/>
      <c r="HL44" s="170"/>
      <c r="HM44" s="172"/>
      <c r="HN44" s="170"/>
      <c r="HO44" s="172"/>
      <c r="HP44" s="170"/>
      <c r="HQ44" s="172"/>
      <c r="HR44" s="170"/>
      <c r="HS44" s="172"/>
      <c r="HT44" s="170"/>
      <c r="HU44" s="172"/>
      <c r="HV44" s="170"/>
      <c r="HW44" s="172"/>
      <c r="HX44" s="170"/>
      <c r="HY44" s="172"/>
      <c r="HZ44" s="170"/>
      <c r="IA44" s="172"/>
      <c r="IB44" s="170"/>
      <c r="IC44" s="172"/>
      <c r="ID44" s="170"/>
      <c r="IE44" s="172"/>
      <c r="IF44" s="170"/>
      <c r="IG44" s="172"/>
      <c r="IH44" s="170"/>
      <c r="II44" s="172"/>
      <c r="IJ44" s="170"/>
      <c r="IK44" s="172"/>
      <c r="IL44" s="170"/>
      <c r="IM44" s="172"/>
      <c r="IN44" s="170"/>
      <c r="IO44" s="172"/>
      <c r="IP44" s="170"/>
      <c r="IQ44" s="172"/>
      <c r="IR44" s="170"/>
      <c r="IS44" s="172"/>
      <c r="IT44" s="170"/>
      <c r="IU44" s="172"/>
      <c r="IV44" s="170"/>
      <c r="IW44" s="172"/>
      <c r="IX44" s="170"/>
      <c r="IY44" s="172"/>
      <c r="IZ44" s="170"/>
      <c r="JA44" s="172"/>
      <c r="JB44" s="170"/>
      <c r="JC44" s="172"/>
      <c r="JD44" s="170"/>
      <c r="JE44" s="172"/>
      <c r="JF44" s="170"/>
      <c r="JG44" s="172"/>
      <c r="JH44" s="170"/>
      <c r="JI44" s="172"/>
      <c r="JJ44" s="170"/>
      <c r="JK44" s="172"/>
      <c r="JL44" s="170"/>
      <c r="JM44" s="172"/>
      <c r="JN44" s="170"/>
      <c r="JO44" s="172"/>
      <c r="JP44" s="170"/>
      <c r="JQ44" s="172"/>
      <c r="JR44" s="170"/>
      <c r="JS44" s="172"/>
      <c r="JT44" s="170"/>
      <c r="JU44" s="172"/>
      <c r="JV44" s="170"/>
      <c r="JW44" s="172"/>
      <c r="JX44" s="170"/>
      <c r="JY44" s="172"/>
      <c r="JZ44" s="170"/>
      <c r="KA44" s="172"/>
      <c r="KB44" s="170"/>
      <c r="KC44" s="172"/>
      <c r="KD44" s="170"/>
      <c r="KE44" s="172"/>
      <c r="KF44" s="170"/>
      <c r="KG44" s="172"/>
      <c r="KH44" s="170"/>
      <c r="KI44" s="172"/>
      <c r="KJ44" s="170"/>
      <c r="KK44" s="172"/>
      <c r="KL44" s="170"/>
      <c r="KM44" s="172"/>
      <c r="KN44" s="170"/>
      <c r="KO44" s="172"/>
      <c r="KP44" s="170"/>
      <c r="KQ44" s="172"/>
      <c r="KR44" s="170"/>
      <c r="KS44" s="172"/>
      <c r="KT44" s="170"/>
      <c r="KU44" s="172"/>
      <c r="KV44" s="170"/>
      <c r="KW44" s="172"/>
      <c r="KX44" s="170"/>
      <c r="KY44" s="172"/>
      <c r="KZ44" s="170"/>
      <c r="LA44" s="172"/>
      <c r="LB44" s="170"/>
      <c r="LC44" s="172"/>
      <c r="LD44" s="170"/>
      <c r="LE44" s="172"/>
      <c r="LF44" s="170"/>
      <c r="LG44" s="172"/>
      <c r="LH44" s="170"/>
      <c r="LI44" s="172"/>
      <c r="LJ44" s="170"/>
      <c r="LK44" s="172"/>
      <c r="LL44" s="170"/>
      <c r="LM44" s="172"/>
      <c r="LN44" s="170"/>
      <c r="LO44" s="172"/>
      <c r="LP44" s="170"/>
      <c r="LQ44" s="172"/>
      <c r="LR44" s="170"/>
      <c r="LS44" s="172"/>
      <c r="LT44" s="170"/>
      <c r="LU44" s="172"/>
      <c r="LV44" s="170"/>
      <c r="LW44" s="172"/>
      <c r="LX44" s="170"/>
      <c r="LY44" s="172"/>
      <c r="LZ44" s="170"/>
      <c r="MA44" s="172"/>
      <c r="MB44" s="170"/>
      <c r="MC44" s="172"/>
      <c r="MD44" s="170"/>
      <c r="ME44" s="172"/>
      <c r="MF44" s="170"/>
      <c r="MG44" s="172"/>
      <c r="MH44" s="170"/>
      <c r="MI44" s="172"/>
      <c r="MJ44" s="170"/>
      <c r="MK44" s="172"/>
      <c r="ML44" s="170"/>
      <c r="MM44" s="172"/>
      <c r="MN44" s="170"/>
      <c r="MO44" s="172"/>
      <c r="MP44" s="170"/>
      <c r="MQ44" s="172"/>
      <c r="MR44" s="170"/>
      <c r="MS44" s="172"/>
      <c r="MT44" s="170"/>
      <c r="MU44" s="172"/>
      <c r="MV44" s="170"/>
      <c r="MW44" s="172"/>
      <c r="MX44" s="170"/>
      <c r="MY44" s="172"/>
      <c r="MZ44" s="170"/>
      <c r="NA44" s="172"/>
      <c r="NB44" s="170"/>
      <c r="NC44" s="172"/>
      <c r="ND44" s="170"/>
      <c r="NE44" s="172"/>
      <c r="NF44" s="170"/>
      <c r="NG44" s="172"/>
      <c r="NH44" s="170"/>
      <c r="NI44" s="172"/>
      <c r="NJ44" s="170"/>
      <c r="NK44" s="172"/>
      <c r="NL44" s="170"/>
      <c r="NM44" s="172"/>
      <c r="NN44" s="170"/>
      <c r="NO44" s="172"/>
      <c r="NP44" s="170"/>
      <c r="NQ44" s="172"/>
      <c r="NR44" s="170"/>
      <c r="NS44" s="172"/>
      <c r="NT44" s="170"/>
      <c r="NU44" s="172"/>
      <c r="NV44" s="170"/>
      <c r="NW44" s="172"/>
      <c r="NX44" s="170"/>
      <c r="NY44" s="172"/>
      <c r="NZ44" s="170"/>
      <c r="OA44" s="172"/>
      <c r="OB44" s="170"/>
      <c r="OC44" s="172"/>
      <c r="OD44" s="170"/>
      <c r="OE44" s="172"/>
      <c r="OF44" s="170"/>
      <c r="OG44" s="172"/>
      <c r="OH44" s="170"/>
      <c r="OI44" s="172"/>
      <c r="OJ44" s="170"/>
      <c r="OK44" s="172"/>
      <c r="OL44" s="170"/>
      <c r="OM44" s="172"/>
      <c r="ON44" s="170"/>
      <c r="OO44" s="172"/>
      <c r="OP44" s="170"/>
      <c r="OQ44" s="172"/>
      <c r="OR44" s="170"/>
      <c r="OS44" s="172"/>
      <c r="OT44" s="170"/>
      <c r="OU44" s="172"/>
      <c r="OV44" s="170"/>
      <c r="OW44" s="172"/>
      <c r="OX44" s="170"/>
      <c r="OY44" s="172"/>
      <c r="OZ44" s="170"/>
      <c r="PA44" s="172"/>
      <c r="PB44" s="170"/>
      <c r="PC44" s="172"/>
      <c r="PD44" s="170"/>
      <c r="PE44" s="172"/>
      <c r="PF44" s="170"/>
      <c r="PG44" s="172"/>
      <c r="PH44" s="170"/>
      <c r="PI44" s="172"/>
      <c r="PJ44" s="170"/>
      <c r="PK44" s="172"/>
      <c r="PL44" s="170"/>
      <c r="PM44" s="172"/>
      <c r="PN44" s="170"/>
      <c r="PO44" s="172"/>
      <c r="PP44" s="170"/>
      <c r="PQ44" s="172"/>
      <c r="PR44" s="170"/>
      <c r="PS44" s="172"/>
      <c r="PT44" s="170"/>
      <c r="PU44" s="172"/>
      <c r="PV44" s="170"/>
      <c r="PW44" s="172"/>
      <c r="PX44" s="170"/>
      <c r="PY44" s="172"/>
      <c r="PZ44" s="170"/>
      <c r="QA44" s="172"/>
      <c r="QB44" s="170"/>
      <c r="QC44" s="172"/>
      <c r="QD44" s="170"/>
      <c r="QE44" s="172"/>
      <c r="QF44" s="170"/>
      <c r="QG44" s="172"/>
      <c r="QH44" s="170"/>
      <c r="QI44" s="172"/>
      <c r="QJ44" s="170"/>
      <c r="QK44" s="172"/>
      <c r="QL44" s="170"/>
      <c r="QM44" s="172"/>
      <c r="QN44" s="170"/>
      <c r="QO44" s="172"/>
      <c r="QP44" s="170"/>
      <c r="QQ44" s="172"/>
      <c r="QR44" s="170"/>
      <c r="QS44" s="172"/>
      <c r="QT44" s="170"/>
      <c r="QU44" s="172"/>
      <c r="QV44" s="170"/>
      <c r="QW44" s="172"/>
      <c r="QX44" s="170"/>
      <c r="QY44" s="172"/>
      <c r="QZ44" s="170"/>
      <c r="RA44" s="172"/>
      <c r="RB44" s="170"/>
      <c r="RC44" s="172"/>
      <c r="RD44" s="170"/>
      <c r="RE44" s="172"/>
      <c r="RF44" s="170"/>
      <c r="RG44" s="172"/>
      <c r="RH44" s="170"/>
      <c r="RI44" s="172"/>
      <c r="RJ44" s="170"/>
      <c r="RK44" s="172"/>
      <c r="RL44" s="170"/>
      <c r="RM44" s="172"/>
      <c r="RN44" s="170"/>
      <c r="RO44" s="172"/>
      <c r="RP44" s="170"/>
      <c r="RQ44" s="172"/>
      <c r="RR44" s="170"/>
      <c r="RS44" s="172"/>
      <c r="RT44" s="170"/>
      <c r="RU44" s="172"/>
      <c r="RV44" s="170"/>
      <c r="RW44" s="172"/>
      <c r="RX44" s="170"/>
      <c r="RY44" s="172"/>
      <c r="RZ44" s="170"/>
      <c r="SA44" s="172"/>
      <c r="SB44" s="170"/>
      <c r="SC44" s="172"/>
      <c r="SD44" s="170"/>
      <c r="SE44" s="172"/>
      <c r="SF44" s="170"/>
      <c r="SG44" s="172"/>
      <c r="SH44" s="170"/>
      <c r="SI44" s="172"/>
      <c r="SJ44" s="170"/>
      <c r="SK44" s="172"/>
      <c r="SL44" s="170"/>
      <c r="SM44" s="172"/>
      <c r="SN44" s="170"/>
      <c r="SO44" s="172"/>
      <c r="SP44" s="170"/>
      <c r="SQ44" s="172"/>
      <c r="SR44" s="170"/>
      <c r="SS44" s="172"/>
      <c r="ST44" s="170"/>
      <c r="SU44" s="172"/>
      <c r="SV44" s="170"/>
      <c r="SW44" s="172"/>
      <c r="SX44" s="170"/>
      <c r="SY44" s="172"/>
      <c r="SZ44" s="170"/>
      <c r="TA44" s="172"/>
      <c r="TB44" s="170"/>
      <c r="TC44" s="172"/>
      <c r="TD44" s="170"/>
      <c r="TE44" s="172"/>
      <c r="TF44" s="170"/>
      <c r="TG44" s="172"/>
      <c r="TH44" s="170"/>
      <c r="TI44" s="172"/>
      <c r="TJ44" s="170"/>
      <c r="TK44" s="172"/>
      <c r="TL44" s="170"/>
      <c r="TM44" s="172"/>
      <c r="TN44" s="170"/>
      <c r="TO44" s="172"/>
      <c r="TP44" s="170"/>
      <c r="TQ44" s="172"/>
      <c r="TR44" s="170"/>
      <c r="TS44" s="172"/>
      <c r="TT44" s="170"/>
      <c r="TU44" s="172"/>
      <c r="TV44" s="170"/>
      <c r="TW44" s="172"/>
      <c r="TX44" s="170"/>
      <c r="TY44" s="172"/>
      <c r="TZ44" s="170"/>
      <c r="UA44" s="172"/>
      <c r="UB44" s="170"/>
      <c r="UC44" s="172"/>
      <c r="UD44" s="170"/>
      <c r="UE44" s="172"/>
      <c r="UF44" s="170"/>
      <c r="UG44" s="172"/>
      <c r="UH44" s="170"/>
      <c r="UI44" s="172"/>
      <c r="UJ44" s="170"/>
      <c r="UK44" s="172"/>
      <c r="UL44" s="170"/>
      <c r="UM44" s="172"/>
      <c r="UN44" s="170"/>
      <c r="UO44" s="172"/>
      <c r="UP44" s="170"/>
      <c r="UQ44" s="172"/>
      <c r="UR44" s="170"/>
      <c r="US44" s="172"/>
      <c r="UT44" s="170"/>
      <c r="UU44" s="172"/>
      <c r="UV44" s="170"/>
      <c r="UW44" s="172"/>
      <c r="UX44" s="170"/>
      <c r="UY44" s="172"/>
      <c r="UZ44" s="170"/>
      <c r="VA44" s="172"/>
      <c r="VB44" s="170"/>
      <c r="VC44" s="172"/>
      <c r="VD44" s="170"/>
      <c r="VE44" s="172"/>
      <c r="VF44" s="170"/>
      <c r="VG44" s="172"/>
      <c r="VH44" s="170"/>
      <c r="VI44" s="172"/>
      <c r="VJ44" s="170"/>
      <c r="VK44" s="172"/>
      <c r="VL44" s="170"/>
      <c r="VM44" s="172"/>
      <c r="VN44" s="170"/>
      <c r="VO44" s="172"/>
      <c r="VP44" s="170"/>
      <c r="VQ44" s="172"/>
      <c r="VR44" s="170"/>
      <c r="VS44" s="172"/>
      <c r="VT44" s="170"/>
      <c r="VU44" s="172"/>
      <c r="VV44" s="170"/>
      <c r="VW44" s="172"/>
      <c r="VX44" s="170"/>
      <c r="VY44" s="172"/>
      <c r="VZ44" s="170"/>
      <c r="WA44" s="172"/>
      <c r="WB44" s="170"/>
      <c r="WC44" s="172"/>
      <c r="WD44" s="170"/>
      <c r="WE44" s="172"/>
      <c r="WF44" s="170"/>
      <c r="WG44" s="172"/>
      <c r="WH44" s="170"/>
      <c r="WI44" s="172"/>
      <c r="WJ44" s="170"/>
      <c r="WK44" s="172"/>
      <c r="WL44" s="170"/>
      <c r="WM44" s="172"/>
      <c r="WN44" s="170"/>
      <c r="WO44" s="172"/>
      <c r="WP44" s="170"/>
      <c r="WQ44" s="172"/>
      <c r="WR44" s="170"/>
      <c r="WS44" s="172"/>
      <c r="WT44" s="170"/>
      <c r="WU44" s="172"/>
      <c r="WV44" s="170"/>
      <c r="WW44" s="172"/>
      <c r="WX44" s="170"/>
      <c r="WY44" s="172"/>
      <c r="WZ44" s="170"/>
      <c r="XA44" s="172"/>
      <c r="XB44" s="170"/>
      <c r="XC44" s="172"/>
      <c r="XD44" s="170"/>
      <c r="XE44" s="172"/>
      <c r="XF44" s="170"/>
      <c r="XG44" s="172"/>
      <c r="XH44" s="170"/>
      <c r="XI44" s="172"/>
      <c r="XJ44" s="170"/>
      <c r="XK44" s="172"/>
      <c r="XL44" s="170"/>
      <c r="XM44" s="172"/>
      <c r="XN44" s="170"/>
      <c r="XO44" s="172"/>
      <c r="XP44" s="170"/>
      <c r="XQ44" s="172"/>
      <c r="XR44" s="170"/>
      <c r="XS44" s="172"/>
      <c r="XT44" s="170"/>
      <c r="XU44" s="172"/>
      <c r="XV44" s="170"/>
      <c r="XW44" s="172"/>
      <c r="XX44" s="170"/>
      <c r="XY44" s="172"/>
      <c r="XZ44" s="170"/>
      <c r="YA44" s="172"/>
      <c r="YB44" s="170"/>
      <c r="YC44" s="172"/>
      <c r="YD44" s="170"/>
      <c r="YE44" s="172"/>
      <c r="YF44" s="170"/>
      <c r="YG44" s="172"/>
      <c r="YH44" s="170"/>
      <c r="YI44" s="172"/>
      <c r="YJ44" s="170"/>
      <c r="YK44" s="172"/>
      <c r="YL44" s="170"/>
      <c r="YM44" s="172"/>
      <c r="YN44" s="170"/>
      <c r="YO44" s="172"/>
      <c r="YP44" s="170"/>
      <c r="YQ44" s="172"/>
      <c r="YR44" s="170"/>
      <c r="YS44" s="172"/>
      <c r="YT44" s="170"/>
      <c r="YU44" s="172"/>
      <c r="YV44" s="170"/>
      <c r="YW44" s="172"/>
      <c r="YX44" s="170"/>
      <c r="YY44" s="172"/>
      <c r="YZ44" s="170"/>
      <c r="ZA44" s="172"/>
      <c r="ZB44" s="170"/>
      <c r="ZC44" s="172"/>
      <c r="ZD44" s="170"/>
      <c r="ZE44" s="172"/>
      <c r="ZF44" s="170"/>
      <c r="ZG44" s="172"/>
      <c r="ZH44" s="170"/>
      <c r="ZI44" s="172"/>
      <c r="ZJ44" s="170"/>
      <c r="ZK44" s="172"/>
      <c r="ZL44" s="170"/>
      <c r="ZM44" s="172"/>
      <c r="ZN44" s="170"/>
      <c r="ZO44" s="172"/>
      <c r="ZP44" s="170"/>
      <c r="ZQ44" s="172"/>
      <c r="ZR44" s="170"/>
      <c r="ZS44" s="172"/>
      <c r="ZT44" s="170"/>
      <c r="ZU44" s="172"/>
      <c r="ZV44" s="170"/>
      <c r="ZW44" s="172"/>
      <c r="ZX44" s="170"/>
      <c r="ZY44" s="172"/>
      <c r="ZZ44" s="170"/>
      <c r="AAA44" s="172"/>
      <c r="AAB44" s="170"/>
      <c r="AAC44" s="172"/>
      <c r="AAD44" s="170"/>
      <c r="AAE44" s="172"/>
      <c r="AAF44" s="170"/>
      <c r="AAG44" s="172"/>
      <c r="AAH44" s="170"/>
      <c r="AAI44" s="172"/>
      <c r="AAJ44" s="170"/>
      <c r="AAK44" s="172"/>
      <c r="AAL44" s="170"/>
      <c r="AAM44" s="172"/>
      <c r="AAN44" s="170"/>
      <c r="AAO44" s="172"/>
      <c r="AAP44" s="170"/>
      <c r="AAQ44" s="172"/>
      <c r="AAR44" s="170"/>
      <c r="AAS44" s="172"/>
      <c r="AAT44" s="170"/>
      <c r="AAU44" s="172"/>
      <c r="AAV44" s="170"/>
      <c r="AAW44" s="172"/>
      <c r="AAX44" s="170"/>
      <c r="AAY44" s="172"/>
      <c r="AAZ44" s="170"/>
      <c r="ABA44" s="172"/>
      <c r="ABB44" s="170"/>
      <c r="ABC44" s="172"/>
      <c r="ABD44" s="170"/>
      <c r="ABE44" s="172"/>
      <c r="ABF44" s="170"/>
      <c r="ABG44" s="172"/>
      <c r="ABH44" s="170"/>
      <c r="ABI44" s="172"/>
      <c r="ABJ44" s="170"/>
      <c r="ABK44" s="172"/>
      <c r="ABL44" s="170"/>
      <c r="ABM44" s="172"/>
      <c r="ABN44" s="170"/>
      <c r="ABO44" s="172"/>
      <c r="ABP44" s="170"/>
      <c r="ABQ44" s="172"/>
      <c r="ABR44" s="170"/>
      <c r="ABS44" s="172"/>
      <c r="ABT44" s="170"/>
      <c r="ABU44" s="172"/>
      <c r="ABV44" s="170"/>
      <c r="ABW44" s="172"/>
      <c r="ABX44" s="170"/>
      <c r="ABY44" s="172"/>
      <c r="ABZ44" s="170"/>
      <c r="ACA44" s="172"/>
      <c r="ACB44" s="170"/>
      <c r="ACC44" s="172"/>
      <c r="ACD44" s="170"/>
      <c r="ACE44" s="172"/>
      <c r="ACF44" s="170"/>
      <c r="ACG44" s="172"/>
      <c r="ACH44" s="170"/>
      <c r="ACI44" s="172"/>
      <c r="ACJ44" s="170"/>
      <c r="ACK44" s="172"/>
      <c r="ACL44" s="170"/>
      <c r="ACM44" s="172"/>
      <c r="ACN44" s="170"/>
      <c r="ACO44" s="172"/>
      <c r="ACP44" s="170"/>
      <c r="ACQ44" s="172"/>
      <c r="ACR44" s="170"/>
      <c r="ACS44" s="172"/>
      <c r="ACT44" s="170"/>
      <c r="ACU44" s="172"/>
      <c r="ACV44" s="170"/>
      <c r="ACW44" s="172"/>
      <c r="ACX44" s="170"/>
      <c r="ACY44" s="172"/>
      <c r="ACZ44" s="170"/>
      <c r="ADA44" s="172"/>
      <c r="ADB44" s="170"/>
      <c r="ADC44" s="172"/>
      <c r="ADD44" s="170"/>
      <c r="ADE44" s="172"/>
      <c r="ADF44" s="170"/>
      <c r="ADG44" s="172"/>
      <c r="ADH44" s="170"/>
      <c r="ADI44" s="172"/>
      <c r="ADJ44" s="170"/>
      <c r="ADK44" s="172"/>
      <c r="ADL44" s="170"/>
      <c r="ADM44" s="172"/>
      <c r="ADN44" s="170"/>
      <c r="ADO44" s="172"/>
      <c r="ADP44" s="170"/>
      <c r="ADQ44" s="172"/>
      <c r="ADR44" s="170"/>
      <c r="ADS44" s="172"/>
      <c r="ADT44" s="170"/>
      <c r="ADU44" s="172"/>
      <c r="ADV44" s="170"/>
      <c r="ADW44" s="172"/>
      <c r="ADX44" s="170"/>
      <c r="ADY44" s="172"/>
      <c r="ADZ44" s="170"/>
      <c r="AEA44" s="172"/>
      <c r="AEB44" s="170"/>
      <c r="AEC44" s="172"/>
      <c r="AED44" s="170"/>
      <c r="AEE44" s="172"/>
      <c r="AEF44" s="170"/>
      <c r="AEG44" s="172"/>
      <c r="AEH44" s="170"/>
      <c r="AEI44" s="172"/>
      <c r="AEJ44" s="170"/>
      <c r="AEK44" s="172"/>
      <c r="AEL44" s="170"/>
      <c r="AEM44" s="172"/>
      <c r="AEN44" s="170"/>
      <c r="AEO44" s="172"/>
      <c r="AEP44" s="170"/>
      <c r="AEQ44" s="172"/>
      <c r="AER44" s="170"/>
      <c r="AES44" s="172"/>
      <c r="AET44" s="170"/>
      <c r="AEU44" s="172"/>
      <c r="AEV44" s="170"/>
      <c r="AEW44" s="172"/>
      <c r="AEX44" s="170"/>
      <c r="AEY44" s="172"/>
      <c r="AEZ44" s="170"/>
      <c r="AFA44" s="172"/>
      <c r="AFB44" s="170"/>
      <c r="AFC44" s="172"/>
      <c r="AFD44" s="170"/>
      <c r="AFE44" s="172"/>
      <c r="AFF44" s="170"/>
      <c r="AFG44" s="172"/>
      <c r="AFH44" s="170"/>
      <c r="AFI44" s="172"/>
      <c r="AFJ44" s="170"/>
      <c r="AFK44" s="172"/>
      <c r="AFL44" s="170"/>
      <c r="AFM44" s="172"/>
      <c r="AFN44" s="170"/>
      <c r="AFO44" s="172"/>
      <c r="AFP44" s="170"/>
      <c r="AFQ44" s="172"/>
      <c r="AFR44" s="170"/>
      <c r="AFS44" s="172"/>
      <c r="AFT44" s="170"/>
      <c r="AFU44" s="172"/>
      <c r="AFV44" s="170"/>
      <c r="AFW44" s="172"/>
      <c r="AFX44" s="170"/>
      <c r="AFY44" s="172"/>
      <c r="AFZ44" s="170"/>
      <c r="AGA44" s="172"/>
      <c r="AGB44" s="170"/>
      <c r="AGC44" s="172"/>
      <c r="AGD44" s="170"/>
      <c r="AGE44" s="172"/>
      <c r="AGF44" s="170"/>
      <c r="AGG44" s="172"/>
      <c r="AGH44" s="170"/>
      <c r="AGI44" s="172"/>
      <c r="AGJ44" s="170"/>
      <c r="AGK44" s="172"/>
      <c r="AGL44" s="170"/>
      <c r="AGM44" s="172"/>
      <c r="AGN44" s="170"/>
      <c r="AGO44" s="172"/>
      <c r="AGP44" s="170"/>
      <c r="AGQ44" s="172"/>
      <c r="AGR44" s="170"/>
      <c r="AGS44" s="172"/>
      <c r="AGT44" s="170"/>
      <c r="AGU44" s="172"/>
      <c r="AGV44" s="170"/>
      <c r="AGW44" s="172"/>
      <c r="AGX44" s="170"/>
      <c r="AGY44" s="172"/>
      <c r="AGZ44" s="170"/>
      <c r="AHA44" s="172"/>
      <c r="AHB44" s="170"/>
      <c r="AHC44" s="172"/>
      <c r="AHD44" s="170"/>
      <c r="AHE44" s="172"/>
      <c r="AHF44" s="170"/>
      <c r="AHG44" s="172"/>
      <c r="AHH44" s="170"/>
      <c r="AHI44" s="172"/>
      <c r="AHJ44" s="170"/>
      <c r="AHK44" s="172"/>
      <c r="AHL44" s="170"/>
      <c r="AHM44" s="172"/>
      <c r="AHN44" s="170"/>
      <c r="AHO44" s="172"/>
      <c r="AHP44" s="170"/>
      <c r="AHQ44" s="172"/>
      <c r="AHR44" s="170"/>
      <c r="AHS44" s="172"/>
      <c r="AHT44" s="170"/>
      <c r="AHU44" s="172"/>
      <c r="AHV44" s="170"/>
      <c r="AHW44" s="172"/>
      <c r="AHX44" s="170"/>
      <c r="AHY44" s="172"/>
      <c r="AHZ44" s="170"/>
      <c r="AIA44" s="172"/>
      <c r="AIB44" s="170"/>
      <c r="AIC44" s="172"/>
      <c r="AID44" s="170"/>
      <c r="AIE44" s="172"/>
      <c r="AIF44" s="170"/>
      <c r="AIG44" s="172"/>
      <c r="AIH44" s="170"/>
      <c r="AII44" s="172"/>
      <c r="AIJ44" s="170"/>
      <c r="AIK44" s="172"/>
      <c r="AIL44" s="170"/>
      <c r="AIM44" s="172"/>
      <c r="AIN44" s="170"/>
      <c r="AIO44" s="172"/>
      <c r="AIP44" s="170"/>
      <c r="AIQ44" s="172"/>
      <c r="AIR44" s="170"/>
      <c r="AIS44" s="172"/>
      <c r="AIT44" s="170"/>
      <c r="AIU44" s="172"/>
      <c r="AIV44" s="170"/>
      <c r="AIW44" s="172"/>
      <c r="AIX44" s="170"/>
      <c r="AIY44" s="172"/>
      <c r="AIZ44" s="170"/>
      <c r="AJA44" s="172"/>
      <c r="AJB44" s="170"/>
      <c r="AJC44" s="172"/>
      <c r="AJD44" s="170"/>
      <c r="AJE44" s="172"/>
      <c r="AJF44" s="170"/>
      <c r="AJG44" s="172"/>
      <c r="AJH44" s="170"/>
      <c r="AJI44" s="172"/>
      <c r="AJJ44" s="170"/>
      <c r="AJK44" s="172"/>
      <c r="AJL44" s="170"/>
      <c r="AJM44" s="172"/>
      <c r="AJN44" s="170"/>
      <c r="AJO44" s="172"/>
      <c r="AJP44" s="170"/>
      <c r="AJQ44" s="172"/>
      <c r="AJR44" s="170"/>
      <c r="AJS44" s="172"/>
      <c r="AJT44" s="170"/>
      <c r="AJU44" s="172"/>
      <c r="AJV44" s="170"/>
      <c r="AJW44" s="172"/>
      <c r="AJX44" s="170"/>
      <c r="AJY44" s="172"/>
      <c r="AJZ44" s="170"/>
      <c r="AKA44" s="172"/>
      <c r="AKB44" s="170"/>
      <c r="AKC44" s="172"/>
      <c r="AKD44" s="170"/>
      <c r="AKE44" s="172"/>
      <c r="AKF44" s="170"/>
      <c r="AKG44" s="172"/>
      <c r="AKH44" s="170"/>
      <c r="AKI44" s="172"/>
      <c r="AKJ44" s="170"/>
      <c r="AKK44" s="172"/>
      <c r="AKL44" s="170"/>
      <c r="AKM44" s="172"/>
      <c r="AKN44" s="170"/>
      <c r="AKO44" s="172"/>
      <c r="AKP44" s="170"/>
      <c r="AKQ44" s="172"/>
      <c r="AKR44" s="170"/>
      <c r="AKS44" s="172"/>
      <c r="AKT44" s="170"/>
      <c r="AKU44" s="172"/>
      <c r="AKV44" s="170"/>
      <c r="AKW44" s="172"/>
      <c r="AKX44" s="170"/>
      <c r="AKY44" s="172"/>
      <c r="AKZ44" s="170"/>
      <c r="ALA44" s="172"/>
      <c r="ALB44" s="170"/>
      <c r="ALC44" s="172"/>
      <c r="ALD44" s="170"/>
      <c r="ALE44" s="172"/>
      <c r="ALF44" s="170"/>
      <c r="ALG44" s="172"/>
      <c r="ALH44" s="170"/>
      <c r="ALI44" s="172"/>
      <c r="ALJ44" s="170"/>
      <c r="ALK44" s="172"/>
      <c r="ALL44" s="170"/>
      <c r="ALM44" s="172"/>
      <c r="ALN44" s="170"/>
      <c r="ALO44" s="172"/>
      <c r="ALP44" s="170"/>
      <c r="ALQ44" s="172"/>
      <c r="ALR44" s="170"/>
      <c r="ALS44" s="172"/>
      <c r="ALT44" s="170"/>
      <c r="ALU44" s="172"/>
      <c r="ALV44" s="170"/>
      <c r="ALW44" s="172"/>
      <c r="ALX44" s="170"/>
      <c r="ALY44" s="172"/>
      <c r="ALZ44" s="170"/>
      <c r="AMA44" s="172"/>
      <c r="AMB44" s="170"/>
      <c r="AMC44" s="172"/>
      <c r="AMD44" s="170"/>
      <c r="AME44" s="172"/>
      <c r="AMF44" s="170"/>
      <c r="AMG44" s="172"/>
      <c r="AMH44" s="170"/>
      <c r="AMI44" s="172"/>
      <c r="AMJ44" s="170"/>
      <c r="AMK44" s="172"/>
      <c r="AML44" s="170"/>
      <c r="AMM44" s="172"/>
      <c r="AMN44" s="170"/>
      <c r="AMO44" s="172"/>
      <c r="AMP44" s="170"/>
      <c r="AMQ44" s="172"/>
      <c r="AMR44" s="170"/>
      <c r="AMS44" s="172"/>
      <c r="AMT44" s="170"/>
      <c r="AMU44" s="172"/>
      <c r="AMV44" s="170"/>
      <c r="AMW44" s="172"/>
      <c r="AMX44" s="170"/>
      <c r="AMY44" s="172"/>
      <c r="AMZ44" s="170"/>
      <c r="ANA44" s="172"/>
      <c r="ANB44" s="170"/>
      <c r="ANC44" s="172"/>
      <c r="AND44" s="170"/>
      <c r="ANE44" s="172"/>
      <c r="ANF44" s="170"/>
      <c r="ANG44" s="172"/>
      <c r="ANH44" s="170"/>
      <c r="ANI44" s="172"/>
      <c r="ANJ44" s="170"/>
      <c r="ANK44" s="172"/>
      <c r="ANL44" s="170"/>
      <c r="ANM44" s="172"/>
      <c r="ANN44" s="170"/>
      <c r="ANO44" s="172"/>
      <c r="ANP44" s="170"/>
      <c r="ANQ44" s="172"/>
      <c r="ANR44" s="170"/>
      <c r="ANS44" s="172"/>
      <c r="ANT44" s="170"/>
      <c r="ANU44" s="172"/>
      <c r="ANV44" s="170"/>
      <c r="ANW44" s="172"/>
      <c r="ANX44" s="170"/>
      <c r="ANY44" s="172"/>
      <c r="ANZ44" s="170"/>
      <c r="AOA44" s="172"/>
      <c r="AOB44" s="170"/>
      <c r="AOC44" s="172"/>
      <c r="AOD44" s="170"/>
      <c r="AOE44" s="172"/>
      <c r="AOF44" s="170"/>
      <c r="AOG44" s="172"/>
      <c r="AOH44" s="170"/>
      <c r="AOI44" s="172"/>
      <c r="AOJ44" s="170"/>
      <c r="AOK44" s="172"/>
      <c r="AOL44" s="170"/>
      <c r="AOM44" s="172"/>
      <c r="AON44" s="170"/>
      <c r="AOO44" s="172"/>
      <c r="AOP44" s="170"/>
      <c r="AOQ44" s="172"/>
      <c r="AOR44" s="170"/>
      <c r="AOS44" s="172"/>
      <c r="AOT44" s="170"/>
      <c r="AOU44" s="172"/>
      <c r="AOV44" s="170"/>
      <c r="AOW44" s="172"/>
      <c r="AOX44" s="170"/>
      <c r="AOY44" s="172"/>
      <c r="AOZ44" s="170"/>
      <c r="APA44" s="172"/>
      <c r="APB44" s="170"/>
      <c r="APC44" s="172"/>
      <c r="APD44" s="170"/>
      <c r="APE44" s="172"/>
      <c r="APF44" s="170"/>
      <c r="APG44" s="172"/>
      <c r="APH44" s="170"/>
      <c r="API44" s="172"/>
      <c r="APJ44" s="170"/>
      <c r="APK44" s="172"/>
      <c r="APL44" s="170"/>
      <c r="APM44" s="172"/>
      <c r="APN44" s="170"/>
      <c r="APO44" s="172"/>
      <c r="APP44" s="170"/>
      <c r="APQ44" s="172"/>
      <c r="APR44" s="170"/>
      <c r="APS44" s="172"/>
      <c r="APT44" s="170"/>
      <c r="APU44" s="172"/>
      <c r="APV44" s="170"/>
      <c r="APW44" s="172"/>
      <c r="APX44" s="170"/>
      <c r="APY44" s="172"/>
      <c r="APZ44" s="170"/>
      <c r="AQA44" s="172"/>
      <c r="AQB44" s="170"/>
      <c r="AQC44" s="172"/>
      <c r="AQD44" s="170"/>
      <c r="AQE44" s="172"/>
      <c r="AQF44" s="170"/>
      <c r="AQG44" s="172"/>
      <c r="AQH44" s="170"/>
      <c r="AQI44" s="172"/>
      <c r="AQJ44" s="170"/>
      <c r="AQK44" s="172"/>
      <c r="AQL44" s="170"/>
      <c r="AQM44" s="172"/>
      <c r="AQN44" s="170"/>
      <c r="AQO44" s="172"/>
      <c r="AQP44" s="170"/>
      <c r="AQQ44" s="172"/>
      <c r="AQR44" s="170"/>
      <c r="AQS44" s="172"/>
      <c r="AQT44" s="170"/>
      <c r="AQU44" s="172"/>
      <c r="AQV44" s="170"/>
      <c r="AQW44" s="172"/>
      <c r="AQX44" s="170"/>
      <c r="AQY44" s="172"/>
      <c r="AQZ44" s="170"/>
      <c r="ARA44" s="172"/>
      <c r="ARB44" s="170"/>
      <c r="ARC44" s="172"/>
      <c r="ARD44" s="170"/>
      <c r="ARE44" s="172"/>
      <c r="ARF44" s="170"/>
      <c r="ARG44" s="172"/>
      <c r="ARH44" s="170"/>
      <c r="ARI44" s="172"/>
      <c r="ARJ44" s="170"/>
      <c r="ARK44" s="172"/>
      <c r="ARL44" s="170"/>
      <c r="ARM44" s="172"/>
      <c r="ARN44" s="170"/>
      <c r="ARO44" s="172"/>
      <c r="ARP44" s="170"/>
      <c r="ARQ44" s="172"/>
      <c r="ARR44" s="170"/>
      <c r="ARS44" s="172"/>
      <c r="ART44" s="170"/>
      <c r="ARU44" s="172"/>
      <c r="ARV44" s="170"/>
      <c r="ARW44" s="172"/>
      <c r="ARX44" s="170"/>
      <c r="ARY44" s="172"/>
      <c r="ARZ44" s="170"/>
      <c r="ASA44" s="172"/>
      <c r="ASB44" s="170"/>
      <c r="ASC44" s="172"/>
      <c r="ASD44" s="170"/>
      <c r="ASE44" s="172"/>
      <c r="ASF44" s="170"/>
      <c r="ASG44" s="172"/>
      <c r="ASH44" s="170"/>
      <c r="ASI44" s="172"/>
      <c r="ASJ44" s="170"/>
      <c r="ASK44" s="172"/>
      <c r="ASL44" s="170"/>
      <c r="ASM44" s="172"/>
      <c r="ASN44" s="170"/>
      <c r="ASO44" s="172"/>
      <c r="ASP44" s="170"/>
      <c r="ASQ44" s="172"/>
      <c r="ASR44" s="170"/>
      <c r="ASS44" s="172"/>
      <c r="AST44" s="170"/>
      <c r="ASU44" s="172"/>
      <c r="ASV44" s="170"/>
      <c r="ASW44" s="172"/>
      <c r="ASX44" s="170"/>
      <c r="ASY44" s="172"/>
      <c r="ASZ44" s="170"/>
      <c r="ATA44" s="172"/>
      <c r="ATB44" s="170"/>
      <c r="ATC44" s="172"/>
      <c r="ATD44" s="170"/>
      <c r="ATE44" s="172"/>
      <c r="ATF44" s="170"/>
      <c r="ATG44" s="172"/>
      <c r="ATH44" s="170"/>
      <c r="ATI44" s="172"/>
      <c r="ATJ44" s="170"/>
      <c r="ATK44" s="172"/>
      <c r="ATL44" s="170"/>
      <c r="ATM44" s="172"/>
      <c r="ATN44" s="170"/>
      <c r="ATO44" s="172"/>
      <c r="ATP44" s="170"/>
      <c r="ATQ44" s="172"/>
      <c r="ATR44" s="170"/>
      <c r="ATS44" s="172"/>
      <c r="ATT44" s="170"/>
      <c r="ATU44" s="172"/>
      <c r="ATV44" s="170"/>
      <c r="ATW44" s="172"/>
      <c r="ATX44" s="170"/>
      <c r="ATY44" s="172"/>
      <c r="ATZ44" s="170"/>
      <c r="AUA44" s="172"/>
      <c r="AUB44" s="170"/>
      <c r="AUC44" s="172"/>
      <c r="AUD44" s="170"/>
      <c r="AUE44" s="172"/>
      <c r="AUF44" s="170"/>
      <c r="AUG44" s="172"/>
      <c r="AUH44" s="170"/>
      <c r="AUI44" s="172"/>
      <c r="AUJ44" s="170"/>
      <c r="AUK44" s="172"/>
      <c r="AUL44" s="170"/>
      <c r="AUM44" s="172"/>
      <c r="AUN44" s="170"/>
      <c r="AUO44" s="172"/>
      <c r="AUP44" s="170"/>
      <c r="AUQ44" s="172"/>
      <c r="AUR44" s="170"/>
      <c r="AUS44" s="172"/>
      <c r="AUT44" s="170"/>
      <c r="AUU44" s="172"/>
      <c r="AUV44" s="170"/>
      <c r="AUW44" s="172"/>
      <c r="AUX44" s="170"/>
      <c r="AUY44" s="172"/>
      <c r="AUZ44" s="170"/>
      <c r="AVA44" s="172"/>
      <c r="AVB44" s="170"/>
      <c r="AVC44" s="172"/>
      <c r="AVD44" s="170"/>
      <c r="AVE44" s="172"/>
      <c r="AVF44" s="170"/>
      <c r="AVG44" s="172"/>
      <c r="AVH44" s="170"/>
      <c r="AVI44" s="172"/>
      <c r="AVJ44" s="170"/>
      <c r="AVK44" s="172"/>
      <c r="AVL44" s="170"/>
      <c r="AVM44" s="172"/>
      <c r="AVN44" s="170"/>
      <c r="AVO44" s="172"/>
      <c r="AVP44" s="170"/>
      <c r="AVQ44" s="172"/>
      <c r="AVR44" s="170"/>
      <c r="AVS44" s="172"/>
      <c r="AVT44" s="170"/>
      <c r="AVU44" s="172"/>
      <c r="AVV44" s="170"/>
      <c r="AVW44" s="172"/>
      <c r="AVX44" s="170"/>
      <c r="AVY44" s="172"/>
      <c r="AVZ44" s="170"/>
      <c r="AWA44" s="172"/>
      <c r="AWB44" s="170"/>
      <c r="AWC44" s="172"/>
      <c r="AWD44" s="170"/>
      <c r="AWE44" s="172"/>
      <c r="AWF44" s="170"/>
      <c r="AWG44" s="172"/>
      <c r="AWH44" s="170"/>
      <c r="AWI44" s="172"/>
      <c r="AWJ44" s="170"/>
      <c r="AWK44" s="172"/>
      <c r="AWL44" s="170"/>
      <c r="AWM44" s="172"/>
      <c r="AWN44" s="170"/>
      <c r="AWO44" s="172"/>
      <c r="AWP44" s="170"/>
      <c r="AWQ44" s="172"/>
      <c r="AWR44" s="170"/>
      <c r="AWS44" s="172"/>
      <c r="AWT44" s="170"/>
      <c r="AWU44" s="172"/>
      <c r="AWV44" s="170"/>
      <c r="AWW44" s="172"/>
      <c r="AWX44" s="170"/>
      <c r="AWY44" s="172"/>
      <c r="AWZ44" s="170"/>
      <c r="AXA44" s="172"/>
      <c r="AXB44" s="170"/>
      <c r="AXC44" s="172"/>
      <c r="AXD44" s="170"/>
      <c r="AXE44" s="172"/>
      <c r="AXF44" s="170"/>
      <c r="AXG44" s="172"/>
      <c r="AXH44" s="170"/>
      <c r="AXI44" s="172"/>
      <c r="AXJ44" s="170"/>
      <c r="AXK44" s="172"/>
      <c r="AXL44" s="170"/>
      <c r="AXM44" s="172"/>
      <c r="AXN44" s="170"/>
      <c r="AXO44" s="172"/>
      <c r="AXP44" s="170"/>
      <c r="AXQ44" s="172"/>
      <c r="AXR44" s="170"/>
      <c r="AXS44" s="172"/>
      <c r="AXT44" s="170"/>
      <c r="AXU44" s="172"/>
      <c r="AXV44" s="170"/>
      <c r="AXW44" s="172"/>
      <c r="AXX44" s="170"/>
      <c r="AXY44" s="172"/>
      <c r="AXZ44" s="170"/>
      <c r="AYA44" s="172"/>
      <c r="AYB44" s="170"/>
      <c r="AYC44" s="172"/>
      <c r="AYD44" s="170"/>
      <c r="AYE44" s="172"/>
      <c r="AYF44" s="170"/>
      <c r="AYG44" s="172"/>
      <c r="AYH44" s="170"/>
      <c r="AYI44" s="172"/>
      <c r="AYJ44" s="170"/>
      <c r="AYK44" s="172"/>
      <c r="AYL44" s="170"/>
      <c r="AYM44" s="172"/>
      <c r="AYN44" s="170"/>
      <c r="AYO44" s="172"/>
      <c r="AYP44" s="170"/>
      <c r="AYQ44" s="172"/>
      <c r="AYR44" s="170"/>
      <c r="AYS44" s="172"/>
      <c r="AYT44" s="170"/>
      <c r="AYU44" s="172"/>
      <c r="AYV44" s="170"/>
      <c r="AYW44" s="172"/>
      <c r="AYX44" s="170"/>
      <c r="AYY44" s="172"/>
      <c r="AYZ44" s="170"/>
      <c r="AZA44" s="172"/>
      <c r="AZB44" s="170"/>
      <c r="AZC44" s="172"/>
      <c r="AZD44" s="170"/>
      <c r="AZE44" s="172"/>
      <c r="AZF44" s="170"/>
      <c r="AZG44" s="172"/>
      <c r="AZH44" s="170"/>
      <c r="AZI44" s="172"/>
      <c r="AZJ44" s="170"/>
      <c r="AZK44" s="172"/>
      <c r="AZL44" s="170"/>
      <c r="AZM44" s="172"/>
      <c r="AZN44" s="170"/>
      <c r="AZO44" s="172"/>
      <c r="AZP44" s="170"/>
      <c r="AZQ44" s="172"/>
      <c r="AZR44" s="170"/>
      <c r="AZS44" s="172"/>
      <c r="AZT44" s="170"/>
      <c r="AZU44" s="172"/>
      <c r="AZV44" s="170"/>
      <c r="AZW44" s="172"/>
      <c r="AZX44" s="170"/>
      <c r="AZY44" s="172"/>
      <c r="AZZ44" s="170"/>
      <c r="BAA44" s="172"/>
      <c r="BAB44" s="170"/>
      <c r="BAC44" s="172"/>
      <c r="BAD44" s="170"/>
      <c r="BAE44" s="172"/>
      <c r="BAF44" s="170"/>
      <c r="BAG44" s="172"/>
      <c r="BAH44" s="170"/>
      <c r="BAI44" s="172"/>
      <c r="BAJ44" s="170"/>
      <c r="BAK44" s="172"/>
      <c r="BAL44" s="170"/>
      <c r="BAM44" s="172"/>
      <c r="BAN44" s="170"/>
      <c r="BAO44" s="172"/>
      <c r="BAP44" s="170"/>
      <c r="BAQ44" s="172"/>
      <c r="BAR44" s="170"/>
      <c r="BAS44" s="172"/>
      <c r="BAT44" s="170"/>
      <c r="BAU44" s="172"/>
      <c r="BAV44" s="170"/>
      <c r="BAW44" s="172"/>
      <c r="BAX44" s="170"/>
      <c r="BAY44" s="172"/>
      <c r="BAZ44" s="170"/>
      <c r="BBA44" s="172"/>
      <c r="BBB44" s="170"/>
      <c r="BBC44" s="172"/>
      <c r="BBD44" s="170"/>
      <c r="BBE44" s="172"/>
      <c r="BBF44" s="170"/>
      <c r="BBG44" s="172"/>
      <c r="BBH44" s="170"/>
      <c r="BBI44" s="172"/>
      <c r="BBJ44" s="170"/>
      <c r="BBK44" s="172"/>
      <c r="BBL44" s="170"/>
      <c r="BBM44" s="172"/>
      <c r="BBN44" s="170"/>
      <c r="BBO44" s="172"/>
      <c r="BBP44" s="170"/>
      <c r="BBQ44" s="172"/>
      <c r="BBR44" s="170"/>
      <c r="BBS44" s="172"/>
      <c r="BBT44" s="170"/>
      <c r="BBU44" s="172"/>
      <c r="BBV44" s="170"/>
      <c r="BBW44" s="172"/>
      <c r="BBX44" s="170"/>
      <c r="BBY44" s="172"/>
      <c r="BBZ44" s="170"/>
      <c r="BCA44" s="172"/>
      <c r="BCB44" s="170"/>
      <c r="BCC44" s="172"/>
      <c r="BCD44" s="170"/>
      <c r="BCE44" s="172"/>
      <c r="BCF44" s="170"/>
      <c r="BCG44" s="172"/>
      <c r="BCH44" s="170"/>
      <c r="BCI44" s="172"/>
      <c r="BCJ44" s="170"/>
      <c r="BCK44" s="172"/>
      <c r="BCL44" s="170"/>
      <c r="BCM44" s="172"/>
      <c r="BCN44" s="170"/>
      <c r="BCO44" s="172"/>
      <c r="BCP44" s="170"/>
      <c r="BCQ44" s="172"/>
      <c r="BCR44" s="170"/>
      <c r="BCS44" s="172"/>
      <c r="BCT44" s="170"/>
      <c r="BCU44" s="172"/>
      <c r="BCV44" s="170"/>
      <c r="BCW44" s="172"/>
      <c r="BCX44" s="170"/>
      <c r="BCY44" s="172"/>
      <c r="BCZ44" s="170"/>
      <c r="BDA44" s="172"/>
      <c r="BDB44" s="170"/>
      <c r="BDC44" s="172"/>
      <c r="BDD44" s="170"/>
      <c r="BDE44" s="172"/>
      <c r="BDF44" s="170"/>
      <c r="BDG44" s="172"/>
      <c r="BDH44" s="170"/>
      <c r="BDI44" s="172"/>
      <c r="BDJ44" s="170"/>
      <c r="BDK44" s="172"/>
      <c r="BDL44" s="170"/>
      <c r="BDM44" s="172"/>
      <c r="BDN44" s="170"/>
      <c r="BDO44" s="172"/>
      <c r="BDP44" s="170"/>
      <c r="BDQ44" s="172"/>
      <c r="BDR44" s="170"/>
      <c r="BDS44" s="172"/>
      <c r="BDT44" s="170"/>
      <c r="BDU44" s="172"/>
      <c r="BDV44" s="170"/>
      <c r="BDW44" s="172"/>
      <c r="BDX44" s="170"/>
      <c r="BDY44" s="172"/>
      <c r="BDZ44" s="170"/>
      <c r="BEA44" s="172"/>
      <c r="BEB44" s="170"/>
      <c r="BEC44" s="172"/>
      <c r="BED44" s="170"/>
      <c r="BEE44" s="172"/>
      <c r="BEF44" s="170"/>
      <c r="BEG44" s="172"/>
      <c r="BEH44" s="170"/>
      <c r="BEI44" s="172"/>
      <c r="BEJ44" s="170"/>
      <c r="BEK44" s="172"/>
      <c r="BEL44" s="170"/>
      <c r="BEM44" s="172"/>
      <c r="BEN44" s="170"/>
      <c r="BEO44" s="172"/>
      <c r="BEP44" s="170"/>
      <c r="BEQ44" s="172"/>
      <c r="BER44" s="170"/>
      <c r="BES44" s="172"/>
      <c r="BET44" s="170"/>
      <c r="BEU44" s="172"/>
      <c r="BEV44" s="170"/>
      <c r="BEW44" s="172"/>
      <c r="BEX44" s="170"/>
      <c r="BEY44" s="172"/>
      <c r="BEZ44" s="170"/>
      <c r="BFA44" s="172"/>
      <c r="BFB44" s="170"/>
      <c r="BFC44" s="172"/>
      <c r="BFD44" s="170"/>
      <c r="BFE44" s="172"/>
      <c r="BFF44" s="170"/>
      <c r="BFG44" s="172"/>
      <c r="BFH44" s="170"/>
      <c r="BFI44" s="172"/>
      <c r="BFJ44" s="170"/>
      <c r="BFK44" s="172"/>
      <c r="BFL44" s="170"/>
      <c r="BFM44" s="172"/>
      <c r="BFN44" s="170"/>
      <c r="BFO44" s="172"/>
      <c r="BFP44" s="170"/>
      <c r="BFQ44" s="172"/>
      <c r="BFR44" s="170"/>
      <c r="BFS44" s="172"/>
      <c r="BFT44" s="170"/>
      <c r="BFU44" s="172"/>
      <c r="BFV44" s="170"/>
      <c r="BFW44" s="172"/>
      <c r="BFX44" s="170"/>
      <c r="BFY44" s="172"/>
      <c r="BFZ44" s="170"/>
      <c r="BGA44" s="172"/>
      <c r="BGB44" s="170"/>
      <c r="BGC44" s="172"/>
      <c r="BGD44" s="170"/>
      <c r="BGE44" s="172"/>
      <c r="BGF44" s="170"/>
      <c r="BGG44" s="172"/>
      <c r="BGH44" s="170"/>
      <c r="BGI44" s="172"/>
      <c r="BGJ44" s="170"/>
      <c r="BGK44" s="172"/>
      <c r="BGL44" s="170"/>
      <c r="BGM44" s="172"/>
      <c r="BGN44" s="170"/>
      <c r="BGO44" s="172"/>
      <c r="BGP44" s="170"/>
      <c r="BGQ44" s="172"/>
      <c r="BGR44" s="170"/>
      <c r="BGS44" s="172"/>
      <c r="BGT44" s="170"/>
      <c r="BGU44" s="172"/>
      <c r="BGV44" s="170"/>
      <c r="BGW44" s="172"/>
      <c r="BGX44" s="170"/>
      <c r="BGY44" s="172"/>
      <c r="BGZ44" s="170"/>
      <c r="BHA44" s="172"/>
      <c r="BHB44" s="170"/>
      <c r="BHC44" s="172"/>
      <c r="BHD44" s="170"/>
      <c r="BHE44" s="172"/>
      <c r="BHF44" s="170"/>
      <c r="BHG44" s="172"/>
      <c r="BHH44" s="170"/>
      <c r="BHI44" s="172"/>
      <c r="BHJ44" s="170"/>
      <c r="BHK44" s="172"/>
      <c r="BHL44" s="170"/>
      <c r="BHM44" s="172"/>
      <c r="BHN44" s="170"/>
      <c r="BHO44" s="172"/>
      <c r="BHP44" s="170"/>
      <c r="BHQ44" s="172"/>
      <c r="BHR44" s="170"/>
      <c r="BHS44" s="172"/>
      <c r="BHT44" s="170"/>
      <c r="BHU44" s="172"/>
      <c r="BHV44" s="170"/>
      <c r="BHW44" s="172"/>
      <c r="BHX44" s="170"/>
      <c r="BHY44" s="172"/>
      <c r="BHZ44" s="170"/>
      <c r="BIA44" s="172"/>
      <c r="BIB44" s="170"/>
      <c r="BIC44" s="172"/>
      <c r="BID44" s="170"/>
      <c r="BIE44" s="172"/>
      <c r="BIF44" s="170"/>
      <c r="BIG44" s="172"/>
      <c r="BIH44" s="170"/>
      <c r="BII44" s="172"/>
      <c r="BIJ44" s="170"/>
      <c r="BIK44" s="172"/>
      <c r="BIL44" s="170"/>
      <c r="BIM44" s="172"/>
      <c r="BIN44" s="170"/>
      <c r="BIO44" s="172"/>
      <c r="BIP44" s="170"/>
      <c r="BIQ44" s="172"/>
      <c r="BIR44" s="170"/>
      <c r="BIS44" s="172"/>
      <c r="BIT44" s="170"/>
      <c r="BIU44" s="172"/>
      <c r="BIV44" s="170"/>
      <c r="BIW44" s="172"/>
      <c r="BIX44" s="170"/>
      <c r="BIY44" s="172"/>
      <c r="BIZ44" s="170"/>
      <c r="BJA44" s="172"/>
      <c r="BJB44" s="170"/>
      <c r="BJC44" s="172"/>
      <c r="BJD44" s="170"/>
      <c r="BJE44" s="172"/>
      <c r="BJF44" s="170"/>
      <c r="BJG44" s="172"/>
      <c r="BJH44" s="170"/>
      <c r="BJI44" s="172"/>
      <c r="BJJ44" s="170"/>
      <c r="BJK44" s="172"/>
      <c r="BJL44" s="170"/>
      <c r="BJM44" s="172"/>
      <c r="BJN44" s="170"/>
      <c r="BJO44" s="172"/>
      <c r="BJP44" s="170"/>
      <c r="BJQ44" s="172"/>
      <c r="BJR44" s="170"/>
      <c r="BJS44" s="172"/>
      <c r="BJT44" s="170"/>
      <c r="BJU44" s="172"/>
      <c r="BJV44" s="170"/>
      <c r="BJW44" s="172"/>
      <c r="BJX44" s="170"/>
      <c r="BJY44" s="172"/>
      <c r="BJZ44" s="170"/>
      <c r="BKA44" s="172"/>
      <c r="BKB44" s="170"/>
      <c r="BKC44" s="172"/>
      <c r="BKD44" s="170"/>
      <c r="BKE44" s="172"/>
      <c r="BKF44" s="170"/>
      <c r="BKG44" s="172"/>
      <c r="BKH44" s="170"/>
      <c r="BKI44" s="172"/>
      <c r="BKJ44" s="170"/>
      <c r="BKK44" s="172"/>
      <c r="BKL44" s="170"/>
      <c r="BKM44" s="172"/>
      <c r="BKN44" s="170"/>
      <c r="BKO44" s="172"/>
      <c r="BKP44" s="170"/>
      <c r="BKQ44" s="172"/>
      <c r="BKR44" s="170"/>
      <c r="BKS44" s="172"/>
      <c r="BKT44" s="170"/>
      <c r="BKU44" s="172"/>
      <c r="BKV44" s="170"/>
      <c r="BKW44" s="172"/>
      <c r="BKX44" s="170"/>
      <c r="BKY44" s="172"/>
      <c r="BKZ44" s="170"/>
      <c r="BLA44" s="172"/>
      <c r="BLB44" s="170"/>
      <c r="BLC44" s="172"/>
      <c r="BLD44" s="170"/>
      <c r="BLE44" s="172"/>
      <c r="BLF44" s="170"/>
      <c r="BLG44" s="172"/>
      <c r="BLH44" s="170"/>
      <c r="BLI44" s="172"/>
      <c r="BLJ44" s="170"/>
      <c r="BLK44" s="172"/>
      <c r="BLL44" s="170"/>
      <c r="BLM44" s="172"/>
      <c r="BLN44" s="170"/>
      <c r="BLO44" s="172"/>
      <c r="BLP44" s="170"/>
      <c r="BLQ44" s="172"/>
      <c r="BLR44" s="170"/>
      <c r="BLS44" s="172"/>
      <c r="BLT44" s="170"/>
      <c r="BLU44" s="172"/>
      <c r="BLV44" s="170"/>
      <c r="BLW44" s="172"/>
      <c r="BLX44" s="170"/>
      <c r="BLY44" s="172"/>
      <c r="BLZ44" s="170"/>
      <c r="BMA44" s="172"/>
      <c r="BMB44" s="170"/>
      <c r="BMC44" s="172"/>
      <c r="BMD44" s="170"/>
      <c r="BME44" s="172"/>
      <c r="BMF44" s="170"/>
      <c r="BMG44" s="172"/>
      <c r="BMH44" s="170"/>
      <c r="BMI44" s="172"/>
      <c r="BMJ44" s="170"/>
      <c r="BMK44" s="172"/>
      <c r="BML44" s="170"/>
      <c r="BMM44" s="172"/>
      <c r="BMN44" s="170"/>
      <c r="BMO44" s="172"/>
      <c r="BMP44" s="170"/>
      <c r="BMQ44" s="172"/>
      <c r="BMR44" s="170"/>
      <c r="BMS44" s="172"/>
      <c r="BMT44" s="170"/>
      <c r="BMU44" s="172"/>
      <c r="BMV44" s="170"/>
      <c r="BMW44" s="172"/>
      <c r="BMX44" s="170"/>
      <c r="BMY44" s="172"/>
      <c r="BMZ44" s="170"/>
      <c r="BNA44" s="172"/>
      <c r="BNB44" s="170"/>
      <c r="BNC44" s="172"/>
      <c r="BND44" s="170"/>
      <c r="BNE44" s="172"/>
      <c r="BNF44" s="170"/>
      <c r="BNG44" s="172"/>
      <c r="BNH44" s="170"/>
      <c r="BNI44" s="172"/>
      <c r="BNJ44" s="170"/>
      <c r="BNK44" s="172"/>
      <c r="BNL44" s="170"/>
      <c r="BNM44" s="172"/>
      <c r="BNN44" s="170"/>
      <c r="BNO44" s="172"/>
      <c r="BNP44" s="170"/>
      <c r="BNQ44" s="172"/>
      <c r="BNR44" s="170"/>
      <c r="BNS44" s="172"/>
      <c r="BNT44" s="170"/>
      <c r="BNU44" s="172"/>
      <c r="BNV44" s="170"/>
      <c r="BNW44" s="172"/>
      <c r="BNX44" s="170"/>
      <c r="BNY44" s="172"/>
      <c r="BNZ44" s="170"/>
      <c r="BOA44" s="172"/>
      <c r="BOB44" s="170"/>
      <c r="BOC44" s="172"/>
      <c r="BOD44" s="170"/>
      <c r="BOE44" s="172"/>
      <c r="BOF44" s="170"/>
      <c r="BOG44" s="172"/>
      <c r="BOH44" s="170"/>
      <c r="BOI44" s="172"/>
      <c r="BOJ44" s="170"/>
      <c r="BOK44" s="172"/>
      <c r="BOL44" s="170"/>
      <c r="BOM44" s="172"/>
      <c r="BON44" s="170"/>
      <c r="BOO44" s="172"/>
      <c r="BOP44" s="170"/>
      <c r="BOQ44" s="172"/>
      <c r="BOR44" s="170"/>
      <c r="BOS44" s="172"/>
      <c r="BOT44" s="170"/>
      <c r="BOU44" s="172"/>
      <c r="BOV44" s="170"/>
      <c r="BOW44" s="172"/>
      <c r="BOX44" s="170"/>
      <c r="BOY44" s="172"/>
      <c r="BOZ44" s="170"/>
      <c r="BPA44" s="172"/>
      <c r="BPB44" s="170"/>
      <c r="BPC44" s="172"/>
      <c r="BPD44" s="170"/>
      <c r="BPE44" s="172"/>
      <c r="BPF44" s="170"/>
      <c r="BPG44" s="172"/>
      <c r="BPH44" s="170"/>
      <c r="BPI44" s="172"/>
      <c r="BPJ44" s="170"/>
      <c r="BPK44" s="172"/>
      <c r="BPL44" s="170"/>
      <c r="BPM44" s="172"/>
      <c r="BPN44" s="170"/>
      <c r="BPO44" s="172"/>
      <c r="BPP44" s="170"/>
      <c r="BPQ44" s="172"/>
      <c r="BPR44" s="170"/>
      <c r="BPS44" s="172"/>
      <c r="BPT44" s="170"/>
      <c r="BPU44" s="172"/>
      <c r="BPV44" s="170"/>
      <c r="BPW44" s="172"/>
      <c r="BPX44" s="170"/>
      <c r="BPY44" s="172"/>
      <c r="BPZ44" s="170"/>
      <c r="BQA44" s="172"/>
      <c r="BQB44" s="170"/>
      <c r="BQC44" s="172"/>
      <c r="BQD44" s="170"/>
      <c r="BQE44" s="172"/>
      <c r="BQF44" s="170"/>
      <c r="BQG44" s="172"/>
      <c r="BQH44" s="170"/>
      <c r="BQI44" s="172"/>
      <c r="BQJ44" s="170"/>
      <c r="BQK44" s="172"/>
      <c r="BQL44" s="170"/>
      <c r="BQM44" s="172"/>
      <c r="BQN44" s="170"/>
      <c r="BQO44" s="172"/>
      <c r="BQP44" s="170"/>
      <c r="BQQ44" s="172"/>
      <c r="BQR44" s="170"/>
      <c r="BQS44" s="172"/>
      <c r="BQT44" s="170"/>
      <c r="BQU44" s="172"/>
      <c r="BQV44" s="170"/>
      <c r="BQW44" s="172"/>
      <c r="BQX44" s="170"/>
      <c r="BQY44" s="172"/>
      <c r="BQZ44" s="170"/>
      <c r="BRA44" s="172"/>
      <c r="BRB44" s="170"/>
      <c r="BRC44" s="172"/>
      <c r="BRD44" s="170"/>
      <c r="BRE44" s="172"/>
      <c r="BRF44" s="170"/>
      <c r="BRG44" s="172"/>
      <c r="BRH44" s="170"/>
      <c r="BRI44" s="172"/>
      <c r="BRJ44" s="170"/>
      <c r="BRK44" s="172"/>
      <c r="BRL44" s="170"/>
      <c r="BRM44" s="172"/>
      <c r="BRN44" s="170"/>
      <c r="BRO44" s="172"/>
      <c r="BRP44" s="170"/>
      <c r="BRQ44" s="172"/>
      <c r="BRR44" s="170"/>
      <c r="BRS44" s="172"/>
      <c r="BRT44" s="170"/>
      <c r="BRU44" s="172"/>
      <c r="BRV44" s="170"/>
      <c r="BRW44" s="172"/>
      <c r="BRX44" s="170"/>
      <c r="BRY44" s="172"/>
      <c r="BRZ44" s="170"/>
      <c r="BSA44" s="172"/>
      <c r="BSB44" s="170"/>
      <c r="BSC44" s="172"/>
      <c r="BSD44" s="170"/>
      <c r="BSE44" s="172"/>
      <c r="BSF44" s="170"/>
      <c r="BSG44" s="172"/>
      <c r="BSH44" s="170"/>
      <c r="BSI44" s="172"/>
      <c r="BSJ44" s="170"/>
      <c r="BSK44" s="172"/>
      <c r="BSL44" s="170"/>
      <c r="BSM44" s="172"/>
      <c r="BSN44" s="170"/>
      <c r="BSO44" s="172"/>
      <c r="BSP44" s="170"/>
      <c r="BSQ44" s="172"/>
      <c r="BSR44" s="170"/>
      <c r="BSS44" s="172"/>
      <c r="BST44" s="170"/>
      <c r="BSU44" s="172"/>
      <c r="BSV44" s="170"/>
      <c r="BSW44" s="172"/>
      <c r="BSX44" s="170"/>
      <c r="BSY44" s="172"/>
      <c r="BSZ44" s="170"/>
      <c r="BTA44" s="172"/>
      <c r="BTB44" s="170"/>
      <c r="BTC44" s="172"/>
      <c r="BTD44" s="170"/>
      <c r="BTE44" s="172"/>
      <c r="BTF44" s="170"/>
      <c r="BTG44" s="172"/>
      <c r="BTH44" s="170"/>
      <c r="BTI44" s="172"/>
      <c r="BTJ44" s="170"/>
      <c r="BTK44" s="172"/>
      <c r="BTL44" s="170"/>
      <c r="BTM44" s="172"/>
      <c r="BTN44" s="170"/>
      <c r="BTO44" s="172"/>
      <c r="BTP44" s="170"/>
      <c r="BTQ44" s="172"/>
      <c r="BTR44" s="170"/>
      <c r="BTS44" s="172"/>
      <c r="BTT44" s="170"/>
      <c r="BTU44" s="172"/>
      <c r="BTV44" s="170"/>
      <c r="BTW44" s="172"/>
      <c r="BTX44" s="170"/>
      <c r="BTY44" s="172"/>
      <c r="BTZ44" s="170"/>
      <c r="BUA44" s="172"/>
      <c r="BUB44" s="170"/>
      <c r="BUC44" s="172"/>
      <c r="BUD44" s="170"/>
      <c r="BUE44" s="172"/>
      <c r="BUF44" s="170"/>
      <c r="BUG44" s="172"/>
      <c r="BUH44" s="170"/>
      <c r="BUI44" s="172"/>
      <c r="BUJ44" s="170"/>
      <c r="BUK44" s="172"/>
      <c r="BUL44" s="170"/>
      <c r="BUM44" s="172"/>
      <c r="BUN44" s="170"/>
      <c r="BUO44" s="172"/>
      <c r="BUP44" s="170"/>
      <c r="BUQ44" s="172"/>
      <c r="BUR44" s="170"/>
      <c r="BUS44" s="172"/>
      <c r="BUT44" s="170"/>
      <c r="BUU44" s="172"/>
      <c r="BUV44" s="170"/>
      <c r="BUW44" s="172"/>
      <c r="BUX44" s="170"/>
      <c r="BUY44" s="172"/>
      <c r="BUZ44" s="170"/>
      <c r="BVA44" s="172"/>
      <c r="BVB44" s="170"/>
      <c r="BVC44" s="172"/>
      <c r="BVD44" s="170"/>
      <c r="BVE44" s="172"/>
      <c r="BVF44" s="170"/>
      <c r="BVG44" s="172"/>
      <c r="BVH44" s="170"/>
      <c r="BVI44" s="172"/>
      <c r="BVJ44" s="170"/>
      <c r="BVK44" s="172"/>
      <c r="BVL44" s="170"/>
      <c r="BVM44" s="172"/>
      <c r="BVN44" s="170"/>
      <c r="BVO44" s="172"/>
      <c r="BVP44" s="170"/>
      <c r="BVQ44" s="172"/>
      <c r="BVR44" s="170"/>
      <c r="BVS44" s="172"/>
      <c r="BVT44" s="170"/>
      <c r="BVU44" s="172"/>
      <c r="BVV44" s="170"/>
      <c r="BVW44" s="172"/>
      <c r="BVX44" s="170"/>
      <c r="BVY44" s="172"/>
      <c r="BVZ44" s="170"/>
      <c r="BWA44" s="172"/>
      <c r="BWB44" s="170"/>
      <c r="BWC44" s="172"/>
      <c r="BWD44" s="170"/>
      <c r="BWE44" s="172"/>
      <c r="BWF44" s="170"/>
      <c r="BWG44" s="172"/>
      <c r="BWH44" s="170"/>
      <c r="BWI44" s="172"/>
      <c r="BWJ44" s="170"/>
      <c r="BWK44" s="172"/>
      <c r="BWL44" s="170"/>
      <c r="BWM44" s="172"/>
      <c r="BWN44" s="170"/>
      <c r="BWO44" s="172"/>
      <c r="BWP44" s="170"/>
      <c r="BWQ44" s="172"/>
      <c r="BWR44" s="170"/>
      <c r="BWS44" s="172"/>
      <c r="BWT44" s="170"/>
      <c r="BWU44" s="172"/>
      <c r="BWV44" s="170"/>
      <c r="BWW44" s="172"/>
      <c r="BWX44" s="170"/>
      <c r="BWY44" s="172"/>
      <c r="BWZ44" s="170"/>
      <c r="BXA44" s="172"/>
      <c r="BXB44" s="170"/>
      <c r="BXC44" s="172"/>
      <c r="BXD44" s="170"/>
      <c r="BXE44" s="172"/>
      <c r="BXF44" s="170"/>
      <c r="BXG44" s="172"/>
      <c r="BXH44" s="170"/>
      <c r="BXI44" s="172"/>
      <c r="BXJ44" s="170"/>
      <c r="BXK44" s="172"/>
      <c r="BXL44" s="170"/>
      <c r="BXM44" s="172"/>
      <c r="BXN44" s="170"/>
      <c r="BXO44" s="172"/>
      <c r="BXP44" s="170"/>
      <c r="BXQ44" s="172"/>
      <c r="BXR44" s="170"/>
      <c r="BXS44" s="172"/>
      <c r="BXT44" s="170"/>
      <c r="BXU44" s="172"/>
      <c r="BXV44" s="170"/>
      <c r="BXW44" s="172"/>
      <c r="BXX44" s="170"/>
      <c r="BXY44" s="172"/>
      <c r="BXZ44" s="170"/>
      <c r="BYA44" s="172"/>
      <c r="BYB44" s="170"/>
      <c r="BYC44" s="172"/>
      <c r="BYD44" s="170"/>
      <c r="BYE44" s="172"/>
      <c r="BYF44" s="170"/>
      <c r="BYG44" s="172"/>
      <c r="BYH44" s="170"/>
      <c r="BYI44" s="172"/>
      <c r="BYJ44" s="170"/>
      <c r="BYK44" s="172"/>
      <c r="BYL44" s="170"/>
      <c r="BYM44" s="172"/>
      <c r="BYN44" s="170"/>
      <c r="BYO44" s="172"/>
      <c r="BYP44" s="170"/>
      <c r="BYQ44" s="172"/>
      <c r="BYR44" s="170"/>
      <c r="BYS44" s="172"/>
      <c r="BYT44" s="170"/>
      <c r="BYU44" s="172"/>
      <c r="BYV44" s="170"/>
      <c r="BYW44" s="172"/>
      <c r="BYX44" s="170"/>
      <c r="BYY44" s="172"/>
      <c r="BYZ44" s="170"/>
      <c r="BZA44" s="172"/>
      <c r="BZB44" s="170"/>
      <c r="BZC44" s="172"/>
      <c r="BZD44" s="170"/>
      <c r="BZE44" s="172"/>
      <c r="BZF44" s="170"/>
      <c r="BZG44" s="172"/>
      <c r="BZH44" s="170"/>
      <c r="BZI44" s="172"/>
      <c r="BZJ44" s="170"/>
      <c r="BZK44" s="172"/>
      <c r="BZL44" s="170"/>
      <c r="BZM44" s="172"/>
      <c r="BZN44" s="170"/>
      <c r="BZO44" s="172"/>
      <c r="BZP44" s="170"/>
      <c r="BZQ44" s="172"/>
      <c r="BZR44" s="170"/>
      <c r="BZS44" s="172"/>
      <c r="BZT44" s="170"/>
      <c r="BZU44" s="172"/>
      <c r="BZV44" s="170"/>
      <c r="BZW44" s="172"/>
      <c r="BZX44" s="170"/>
      <c r="BZY44" s="172"/>
      <c r="BZZ44" s="170"/>
      <c r="CAA44" s="172"/>
      <c r="CAB44" s="170"/>
      <c r="CAC44" s="172"/>
      <c r="CAD44" s="170"/>
      <c r="CAE44" s="172"/>
      <c r="CAF44" s="170"/>
      <c r="CAG44" s="172"/>
      <c r="CAH44" s="170"/>
      <c r="CAI44" s="172"/>
      <c r="CAJ44" s="170"/>
      <c r="CAK44" s="172"/>
      <c r="CAL44" s="170"/>
      <c r="CAM44" s="172"/>
      <c r="CAN44" s="170"/>
      <c r="CAO44" s="172"/>
      <c r="CAP44" s="170"/>
      <c r="CAQ44" s="172"/>
      <c r="CAR44" s="170"/>
      <c r="CAS44" s="172"/>
      <c r="CAT44" s="170"/>
      <c r="CAU44" s="172"/>
      <c r="CAV44" s="170"/>
      <c r="CAW44" s="172"/>
      <c r="CAX44" s="170"/>
      <c r="CAY44" s="172"/>
      <c r="CAZ44" s="170"/>
      <c r="CBA44" s="172"/>
      <c r="CBB44" s="170"/>
      <c r="CBC44" s="172"/>
      <c r="CBD44" s="170"/>
      <c r="CBE44" s="172"/>
      <c r="CBF44" s="170"/>
      <c r="CBG44" s="172"/>
      <c r="CBH44" s="170"/>
      <c r="CBI44" s="172"/>
      <c r="CBJ44" s="170"/>
      <c r="CBK44" s="172"/>
      <c r="CBL44" s="170"/>
      <c r="CBM44" s="172"/>
      <c r="CBN44" s="170"/>
      <c r="CBO44" s="172"/>
      <c r="CBP44" s="170"/>
      <c r="CBQ44" s="172"/>
      <c r="CBR44" s="170"/>
      <c r="CBS44" s="172"/>
      <c r="CBT44" s="170"/>
      <c r="CBU44" s="172"/>
      <c r="CBV44" s="170"/>
      <c r="CBW44" s="172"/>
      <c r="CBX44" s="170"/>
      <c r="CBY44" s="172"/>
      <c r="CBZ44" s="170"/>
      <c r="CCA44" s="172"/>
      <c r="CCB44" s="170"/>
      <c r="CCC44" s="172"/>
      <c r="CCD44" s="170"/>
      <c r="CCE44" s="172"/>
      <c r="CCF44" s="170"/>
      <c r="CCG44" s="172"/>
      <c r="CCH44" s="170"/>
      <c r="CCI44" s="172"/>
      <c r="CCJ44" s="170"/>
      <c r="CCK44" s="172"/>
      <c r="CCL44" s="170"/>
      <c r="CCM44" s="172"/>
      <c r="CCN44" s="170"/>
      <c r="CCO44" s="172"/>
      <c r="CCP44" s="170"/>
      <c r="CCQ44" s="172"/>
      <c r="CCR44" s="170"/>
      <c r="CCS44" s="172"/>
      <c r="CCT44" s="170"/>
      <c r="CCU44" s="172"/>
      <c r="CCV44" s="170"/>
      <c r="CCW44" s="172"/>
      <c r="CCX44" s="170"/>
      <c r="CCY44" s="172"/>
      <c r="CCZ44" s="170"/>
      <c r="CDA44" s="172"/>
      <c r="CDB44" s="170"/>
      <c r="CDC44" s="172"/>
      <c r="CDD44" s="170"/>
      <c r="CDE44" s="172"/>
      <c r="CDF44" s="170"/>
      <c r="CDG44" s="172"/>
      <c r="CDH44" s="170"/>
      <c r="CDI44" s="172"/>
      <c r="CDJ44" s="170"/>
      <c r="CDK44" s="172"/>
      <c r="CDL44" s="170"/>
      <c r="CDM44" s="172"/>
      <c r="CDN44" s="170"/>
      <c r="CDO44" s="172"/>
      <c r="CDP44" s="170"/>
      <c r="CDQ44" s="172"/>
      <c r="CDR44" s="170"/>
      <c r="CDS44" s="172"/>
      <c r="CDT44" s="170"/>
      <c r="CDU44" s="172"/>
      <c r="CDV44" s="170"/>
      <c r="CDW44" s="172"/>
      <c r="CDX44" s="170"/>
      <c r="CDY44" s="172"/>
      <c r="CDZ44" s="170"/>
      <c r="CEA44" s="172"/>
      <c r="CEB44" s="170"/>
      <c r="CEC44" s="172"/>
      <c r="CED44" s="170"/>
      <c r="CEE44" s="172"/>
      <c r="CEF44" s="170"/>
      <c r="CEG44" s="172"/>
      <c r="CEH44" s="170"/>
      <c r="CEI44" s="172"/>
      <c r="CEJ44" s="170"/>
      <c r="CEK44" s="172"/>
      <c r="CEL44" s="170"/>
      <c r="CEM44" s="172"/>
      <c r="CEN44" s="170"/>
      <c r="CEO44" s="172"/>
      <c r="CEP44" s="170"/>
      <c r="CEQ44" s="172"/>
      <c r="CER44" s="170"/>
      <c r="CES44" s="172"/>
      <c r="CET44" s="170"/>
      <c r="CEU44" s="172"/>
      <c r="CEV44" s="170"/>
      <c r="CEW44" s="172"/>
      <c r="CEX44" s="170"/>
      <c r="CEY44" s="172"/>
      <c r="CEZ44" s="170"/>
      <c r="CFA44" s="172"/>
      <c r="CFB44" s="170"/>
      <c r="CFC44" s="172"/>
      <c r="CFD44" s="170"/>
      <c r="CFE44" s="172"/>
      <c r="CFF44" s="170"/>
      <c r="CFG44" s="172"/>
      <c r="CFH44" s="170"/>
      <c r="CFI44" s="172"/>
      <c r="CFJ44" s="170"/>
      <c r="CFK44" s="172"/>
      <c r="CFL44" s="170"/>
      <c r="CFM44" s="172"/>
      <c r="CFN44" s="170"/>
      <c r="CFO44" s="172"/>
      <c r="CFP44" s="170"/>
      <c r="CFQ44" s="172"/>
      <c r="CFR44" s="170"/>
      <c r="CFS44" s="172"/>
      <c r="CFT44" s="170"/>
      <c r="CFU44" s="172"/>
      <c r="CFV44" s="170"/>
      <c r="CFW44" s="172"/>
      <c r="CFX44" s="170"/>
      <c r="CFY44" s="172"/>
      <c r="CFZ44" s="170"/>
      <c r="CGA44" s="172"/>
      <c r="CGB44" s="170"/>
      <c r="CGC44" s="172"/>
      <c r="CGD44" s="170"/>
      <c r="CGE44" s="172"/>
      <c r="CGF44" s="170"/>
      <c r="CGG44" s="172"/>
      <c r="CGH44" s="170"/>
      <c r="CGI44" s="172"/>
      <c r="CGJ44" s="170"/>
      <c r="CGK44" s="172"/>
      <c r="CGL44" s="170"/>
      <c r="CGM44" s="172"/>
      <c r="CGN44" s="170"/>
      <c r="CGO44" s="172"/>
      <c r="CGP44" s="170"/>
      <c r="CGQ44" s="172"/>
      <c r="CGR44" s="170"/>
      <c r="CGS44" s="172"/>
      <c r="CGT44" s="170"/>
      <c r="CGU44" s="172"/>
      <c r="CGV44" s="170"/>
      <c r="CGW44" s="172"/>
      <c r="CGX44" s="170"/>
      <c r="CGY44" s="172"/>
      <c r="CGZ44" s="170"/>
      <c r="CHA44" s="172"/>
      <c r="CHB44" s="170"/>
      <c r="CHC44" s="172"/>
      <c r="CHD44" s="170"/>
      <c r="CHE44" s="172"/>
      <c r="CHF44" s="170"/>
      <c r="CHG44" s="172"/>
      <c r="CHH44" s="170"/>
      <c r="CHI44" s="172"/>
      <c r="CHJ44" s="170"/>
      <c r="CHK44" s="172"/>
      <c r="CHL44" s="170"/>
      <c r="CHM44" s="172"/>
      <c r="CHN44" s="170"/>
      <c r="CHO44" s="172"/>
      <c r="CHP44" s="170"/>
      <c r="CHQ44" s="172"/>
      <c r="CHR44" s="170"/>
      <c r="CHS44" s="172"/>
      <c r="CHT44" s="170"/>
      <c r="CHU44" s="172"/>
      <c r="CHV44" s="170"/>
      <c r="CHW44" s="172"/>
      <c r="CHX44" s="170"/>
      <c r="CHY44" s="172"/>
      <c r="CHZ44" s="170"/>
      <c r="CIA44" s="172"/>
      <c r="CIB44" s="170"/>
      <c r="CIC44" s="172"/>
      <c r="CID44" s="170"/>
      <c r="CIE44" s="172"/>
      <c r="CIF44" s="170"/>
      <c r="CIG44" s="172"/>
      <c r="CIH44" s="170"/>
      <c r="CII44" s="172"/>
      <c r="CIJ44" s="170"/>
      <c r="CIK44" s="172"/>
      <c r="CIL44" s="170"/>
      <c r="CIM44" s="172"/>
      <c r="CIN44" s="170"/>
      <c r="CIO44" s="172"/>
      <c r="CIP44" s="170"/>
      <c r="CIQ44" s="172"/>
      <c r="CIR44" s="170"/>
      <c r="CIS44" s="172"/>
      <c r="CIT44" s="170"/>
      <c r="CIU44" s="172"/>
      <c r="CIV44" s="170"/>
      <c r="CIW44" s="172"/>
      <c r="CIX44" s="170"/>
      <c r="CIY44" s="172"/>
      <c r="CIZ44" s="170"/>
      <c r="CJA44" s="172"/>
      <c r="CJB44" s="170"/>
      <c r="CJC44" s="172"/>
      <c r="CJD44" s="170"/>
      <c r="CJE44" s="172"/>
      <c r="CJF44" s="170"/>
      <c r="CJG44" s="172"/>
      <c r="CJH44" s="170"/>
      <c r="CJI44" s="172"/>
      <c r="CJJ44" s="170"/>
      <c r="CJK44" s="172"/>
      <c r="CJL44" s="170"/>
      <c r="CJM44" s="172"/>
      <c r="CJN44" s="170"/>
      <c r="CJO44" s="172"/>
      <c r="CJP44" s="170"/>
      <c r="CJQ44" s="172"/>
      <c r="CJR44" s="170"/>
      <c r="CJS44" s="172"/>
      <c r="CJT44" s="170"/>
      <c r="CJU44" s="172"/>
      <c r="CJV44" s="170"/>
      <c r="CJW44" s="172"/>
      <c r="CJX44" s="170"/>
      <c r="CJY44" s="172"/>
      <c r="CJZ44" s="170"/>
      <c r="CKA44" s="172"/>
      <c r="CKB44" s="170"/>
      <c r="CKC44" s="172"/>
      <c r="CKD44" s="170"/>
      <c r="CKE44" s="172"/>
      <c r="CKF44" s="170"/>
      <c r="CKG44" s="172"/>
      <c r="CKH44" s="170"/>
      <c r="CKI44" s="172"/>
      <c r="CKJ44" s="170"/>
      <c r="CKK44" s="172"/>
      <c r="CKL44" s="170"/>
      <c r="CKM44" s="172"/>
      <c r="CKN44" s="170"/>
      <c r="CKO44" s="172"/>
      <c r="CKP44" s="170"/>
      <c r="CKQ44" s="172"/>
      <c r="CKR44" s="170"/>
      <c r="CKS44" s="172"/>
      <c r="CKT44" s="170"/>
      <c r="CKU44" s="172"/>
      <c r="CKV44" s="170"/>
      <c r="CKW44" s="172"/>
      <c r="CKX44" s="170"/>
      <c r="CKY44" s="172"/>
      <c r="CKZ44" s="170"/>
      <c r="CLA44" s="172"/>
      <c r="CLB44" s="170"/>
      <c r="CLC44" s="172"/>
      <c r="CLD44" s="170"/>
      <c r="CLE44" s="172"/>
      <c r="CLF44" s="170"/>
      <c r="CLG44" s="172"/>
      <c r="CLH44" s="170"/>
      <c r="CLI44" s="172"/>
      <c r="CLJ44" s="170"/>
      <c r="CLK44" s="172"/>
      <c r="CLL44" s="170"/>
      <c r="CLM44" s="172"/>
      <c r="CLN44" s="170"/>
      <c r="CLO44" s="172"/>
      <c r="CLP44" s="170"/>
      <c r="CLQ44" s="172"/>
      <c r="CLR44" s="170"/>
      <c r="CLS44" s="172"/>
      <c r="CLT44" s="170"/>
      <c r="CLU44" s="172"/>
      <c r="CLV44" s="170"/>
      <c r="CLW44" s="172"/>
      <c r="CLX44" s="170"/>
      <c r="CLY44" s="172"/>
      <c r="CLZ44" s="170"/>
      <c r="CMA44" s="172"/>
      <c r="CMB44" s="170"/>
      <c r="CMC44" s="172"/>
      <c r="CMD44" s="170"/>
      <c r="CME44" s="172"/>
      <c r="CMF44" s="170"/>
      <c r="CMG44" s="172"/>
      <c r="CMH44" s="170"/>
      <c r="CMI44" s="172"/>
      <c r="CMJ44" s="170"/>
      <c r="CMK44" s="172"/>
      <c r="CML44" s="170"/>
      <c r="CMM44" s="172"/>
      <c r="CMN44" s="170"/>
      <c r="CMO44" s="172"/>
      <c r="CMP44" s="170"/>
      <c r="CMQ44" s="172"/>
      <c r="CMR44" s="170"/>
      <c r="CMS44" s="172"/>
      <c r="CMT44" s="170"/>
      <c r="CMU44" s="172"/>
      <c r="CMV44" s="170"/>
      <c r="CMW44" s="172"/>
      <c r="CMX44" s="170"/>
      <c r="CMY44" s="172"/>
      <c r="CMZ44" s="170"/>
      <c r="CNA44" s="172"/>
      <c r="CNB44" s="170"/>
      <c r="CNC44" s="172"/>
      <c r="CND44" s="170"/>
      <c r="CNE44" s="172"/>
      <c r="CNF44" s="170"/>
      <c r="CNG44" s="172"/>
      <c r="CNH44" s="170"/>
      <c r="CNI44" s="172"/>
      <c r="CNJ44" s="170"/>
      <c r="CNK44" s="172"/>
      <c r="CNL44" s="170"/>
      <c r="CNM44" s="172"/>
      <c r="CNN44" s="170"/>
      <c r="CNO44" s="172"/>
      <c r="CNP44" s="170"/>
      <c r="CNQ44" s="172"/>
      <c r="CNR44" s="170"/>
      <c r="CNS44" s="172"/>
      <c r="CNT44" s="170"/>
      <c r="CNU44" s="172"/>
      <c r="CNV44" s="170"/>
      <c r="CNW44" s="172"/>
      <c r="CNX44" s="170"/>
      <c r="CNY44" s="172"/>
      <c r="CNZ44" s="170"/>
      <c r="COA44" s="172"/>
      <c r="COB44" s="170"/>
      <c r="COC44" s="172"/>
      <c r="COD44" s="170"/>
      <c r="COE44" s="172"/>
      <c r="COF44" s="170"/>
      <c r="COG44" s="172"/>
      <c r="COH44" s="170"/>
      <c r="COI44" s="172"/>
      <c r="COJ44" s="170"/>
      <c r="COK44" s="172"/>
      <c r="COL44" s="170"/>
      <c r="COM44" s="172"/>
      <c r="CON44" s="170"/>
      <c r="COO44" s="172"/>
      <c r="COP44" s="170"/>
      <c r="COQ44" s="172"/>
      <c r="COR44" s="170"/>
      <c r="COS44" s="172"/>
      <c r="COT44" s="170"/>
      <c r="COU44" s="172"/>
      <c r="COV44" s="170"/>
      <c r="COW44" s="172"/>
      <c r="COX44" s="170"/>
      <c r="COY44" s="172"/>
      <c r="COZ44" s="170"/>
      <c r="CPA44" s="172"/>
      <c r="CPB44" s="170"/>
      <c r="CPC44" s="172"/>
      <c r="CPD44" s="170"/>
      <c r="CPE44" s="172"/>
      <c r="CPF44" s="170"/>
      <c r="CPG44" s="172"/>
      <c r="CPH44" s="170"/>
      <c r="CPI44" s="172"/>
      <c r="CPJ44" s="170"/>
      <c r="CPK44" s="172"/>
      <c r="CPL44" s="170"/>
      <c r="CPM44" s="172"/>
      <c r="CPN44" s="170"/>
      <c r="CPO44" s="172"/>
      <c r="CPP44" s="170"/>
      <c r="CPQ44" s="172"/>
      <c r="CPR44" s="170"/>
      <c r="CPS44" s="172"/>
      <c r="CPT44" s="170"/>
      <c r="CPU44" s="172"/>
      <c r="CPV44" s="170"/>
      <c r="CPW44" s="172"/>
      <c r="CPX44" s="170"/>
      <c r="CPY44" s="172"/>
      <c r="CPZ44" s="170"/>
      <c r="CQA44" s="172"/>
      <c r="CQB44" s="170"/>
      <c r="CQC44" s="172"/>
      <c r="CQD44" s="170"/>
      <c r="CQE44" s="172"/>
      <c r="CQF44" s="170"/>
      <c r="CQG44" s="172"/>
      <c r="CQH44" s="170"/>
      <c r="CQI44" s="172"/>
      <c r="CQJ44" s="170"/>
      <c r="CQK44" s="172"/>
      <c r="CQL44" s="170"/>
      <c r="CQM44" s="172"/>
      <c r="CQN44" s="170"/>
      <c r="CQO44" s="172"/>
      <c r="CQP44" s="170"/>
      <c r="CQQ44" s="172"/>
      <c r="CQR44" s="170"/>
      <c r="CQS44" s="172"/>
      <c r="CQT44" s="170"/>
      <c r="CQU44" s="172"/>
      <c r="CQV44" s="170"/>
      <c r="CQW44" s="172"/>
      <c r="CQX44" s="170"/>
      <c r="CQY44" s="172"/>
      <c r="CQZ44" s="170"/>
      <c r="CRA44" s="172"/>
      <c r="CRB44" s="170"/>
      <c r="CRC44" s="172"/>
      <c r="CRD44" s="170"/>
      <c r="CRE44" s="172"/>
      <c r="CRF44" s="170"/>
      <c r="CRG44" s="172"/>
      <c r="CRH44" s="170"/>
      <c r="CRI44" s="172"/>
      <c r="CRJ44" s="170"/>
      <c r="CRK44" s="172"/>
      <c r="CRL44" s="170"/>
      <c r="CRM44" s="172"/>
      <c r="CRN44" s="170"/>
      <c r="CRO44" s="172"/>
      <c r="CRP44" s="170"/>
      <c r="CRQ44" s="172"/>
      <c r="CRR44" s="170"/>
      <c r="CRS44" s="172"/>
      <c r="CRT44" s="170"/>
      <c r="CRU44" s="172"/>
      <c r="CRV44" s="170"/>
      <c r="CRW44" s="172"/>
      <c r="CRX44" s="170"/>
      <c r="CRY44" s="172"/>
      <c r="CRZ44" s="170"/>
      <c r="CSA44" s="172"/>
      <c r="CSB44" s="170"/>
      <c r="CSC44" s="172"/>
      <c r="CSD44" s="170"/>
      <c r="CSE44" s="172"/>
      <c r="CSF44" s="170"/>
      <c r="CSG44" s="172"/>
      <c r="CSH44" s="170"/>
      <c r="CSI44" s="172"/>
      <c r="CSJ44" s="170"/>
      <c r="CSK44" s="172"/>
      <c r="CSL44" s="170"/>
      <c r="CSM44" s="172"/>
      <c r="CSN44" s="170"/>
      <c r="CSO44" s="172"/>
      <c r="CSP44" s="170"/>
      <c r="CSQ44" s="172"/>
      <c r="CSR44" s="170"/>
      <c r="CSS44" s="172"/>
      <c r="CST44" s="170"/>
      <c r="CSU44" s="172"/>
      <c r="CSV44" s="170"/>
      <c r="CSW44" s="172"/>
      <c r="CSX44" s="170"/>
      <c r="CSY44" s="172"/>
      <c r="CSZ44" s="170"/>
      <c r="CTA44" s="172"/>
      <c r="CTB44" s="170"/>
      <c r="CTC44" s="172"/>
      <c r="CTD44" s="170"/>
      <c r="CTE44" s="172"/>
      <c r="CTF44" s="170"/>
      <c r="CTG44" s="172"/>
      <c r="CTH44" s="170"/>
      <c r="CTI44" s="172"/>
      <c r="CTJ44" s="170"/>
      <c r="CTK44" s="172"/>
      <c r="CTL44" s="170"/>
      <c r="CTM44" s="172"/>
      <c r="CTN44" s="170"/>
      <c r="CTO44" s="172"/>
      <c r="CTP44" s="170"/>
      <c r="CTQ44" s="172"/>
      <c r="CTR44" s="170"/>
      <c r="CTS44" s="172"/>
      <c r="CTT44" s="170"/>
      <c r="CTU44" s="172"/>
      <c r="CTV44" s="170"/>
      <c r="CTW44" s="172"/>
      <c r="CTX44" s="170"/>
      <c r="CTY44" s="172"/>
      <c r="CTZ44" s="170"/>
      <c r="CUA44" s="172"/>
      <c r="CUB44" s="170"/>
      <c r="CUC44" s="172"/>
      <c r="CUD44" s="170"/>
      <c r="CUE44" s="172"/>
      <c r="CUF44" s="170"/>
      <c r="CUG44" s="172"/>
      <c r="CUH44" s="170"/>
      <c r="CUI44" s="172"/>
      <c r="CUJ44" s="170"/>
      <c r="CUK44" s="172"/>
      <c r="CUL44" s="170"/>
      <c r="CUM44" s="172"/>
      <c r="CUN44" s="170"/>
      <c r="CUO44" s="172"/>
      <c r="CUP44" s="170"/>
      <c r="CUQ44" s="172"/>
      <c r="CUR44" s="170"/>
      <c r="CUS44" s="172"/>
      <c r="CUT44" s="170"/>
      <c r="CUU44" s="172"/>
      <c r="CUV44" s="170"/>
      <c r="CUW44" s="172"/>
      <c r="CUX44" s="170"/>
      <c r="CUY44" s="172"/>
      <c r="CUZ44" s="170"/>
      <c r="CVA44" s="172"/>
      <c r="CVB44" s="170"/>
      <c r="CVC44" s="172"/>
      <c r="CVD44" s="170"/>
      <c r="CVE44" s="172"/>
      <c r="CVF44" s="170"/>
      <c r="CVG44" s="172"/>
      <c r="CVH44" s="170"/>
      <c r="CVI44" s="172"/>
      <c r="CVJ44" s="170"/>
      <c r="CVK44" s="172"/>
      <c r="CVL44" s="170"/>
      <c r="CVM44" s="172"/>
      <c r="CVN44" s="170"/>
      <c r="CVO44" s="172"/>
      <c r="CVP44" s="170"/>
      <c r="CVQ44" s="172"/>
      <c r="CVR44" s="170"/>
      <c r="CVS44" s="172"/>
      <c r="CVT44" s="170"/>
      <c r="CVU44" s="172"/>
      <c r="CVV44" s="170"/>
      <c r="CVW44" s="172"/>
      <c r="CVX44" s="170"/>
      <c r="CVY44" s="172"/>
      <c r="CVZ44" s="170"/>
      <c r="CWA44" s="172"/>
      <c r="CWB44" s="170"/>
      <c r="CWC44" s="172"/>
      <c r="CWD44" s="170"/>
      <c r="CWE44" s="172"/>
      <c r="CWF44" s="170"/>
      <c r="CWG44" s="172"/>
      <c r="CWH44" s="170"/>
      <c r="CWI44" s="172"/>
      <c r="CWJ44" s="170"/>
      <c r="CWK44" s="172"/>
      <c r="CWL44" s="170"/>
      <c r="CWM44" s="172"/>
      <c r="CWN44" s="170"/>
      <c r="CWO44" s="172"/>
      <c r="CWP44" s="170"/>
      <c r="CWQ44" s="172"/>
      <c r="CWR44" s="170"/>
      <c r="CWS44" s="172"/>
      <c r="CWT44" s="170"/>
      <c r="CWU44" s="172"/>
      <c r="CWV44" s="170"/>
      <c r="CWW44" s="172"/>
      <c r="CWX44" s="170"/>
      <c r="CWY44" s="172"/>
      <c r="CWZ44" s="170"/>
      <c r="CXA44" s="172"/>
      <c r="CXB44" s="170"/>
      <c r="CXC44" s="172"/>
      <c r="CXD44" s="170"/>
      <c r="CXE44" s="172"/>
      <c r="CXF44" s="170"/>
      <c r="CXG44" s="172"/>
      <c r="CXH44" s="170"/>
      <c r="CXI44" s="172"/>
      <c r="CXJ44" s="170"/>
      <c r="CXK44" s="172"/>
      <c r="CXL44" s="170"/>
      <c r="CXM44" s="172"/>
      <c r="CXN44" s="170"/>
      <c r="CXO44" s="172"/>
      <c r="CXP44" s="170"/>
      <c r="CXQ44" s="172"/>
      <c r="CXR44" s="170"/>
      <c r="CXS44" s="172"/>
      <c r="CXT44" s="170"/>
      <c r="CXU44" s="172"/>
      <c r="CXV44" s="170"/>
      <c r="CXW44" s="172"/>
      <c r="CXX44" s="170"/>
      <c r="CXY44" s="172"/>
      <c r="CXZ44" s="170"/>
      <c r="CYA44" s="172"/>
      <c r="CYB44" s="170"/>
      <c r="CYC44" s="172"/>
      <c r="CYD44" s="170"/>
      <c r="CYE44" s="172"/>
      <c r="CYF44" s="170"/>
      <c r="CYG44" s="172"/>
      <c r="CYH44" s="170"/>
      <c r="CYI44" s="172"/>
      <c r="CYJ44" s="170"/>
      <c r="CYK44" s="172"/>
      <c r="CYL44" s="170"/>
      <c r="CYM44" s="172"/>
      <c r="CYN44" s="170"/>
      <c r="CYO44" s="172"/>
      <c r="CYP44" s="170"/>
      <c r="CYQ44" s="172"/>
      <c r="CYR44" s="170"/>
      <c r="CYS44" s="172"/>
      <c r="CYT44" s="170"/>
      <c r="CYU44" s="172"/>
      <c r="CYV44" s="170"/>
      <c r="CYW44" s="172"/>
      <c r="CYX44" s="170"/>
      <c r="CYY44" s="172"/>
      <c r="CYZ44" s="170"/>
      <c r="CZA44" s="172"/>
      <c r="CZB44" s="170"/>
      <c r="CZC44" s="172"/>
      <c r="CZD44" s="170"/>
      <c r="CZE44" s="172"/>
      <c r="CZF44" s="170"/>
      <c r="CZG44" s="172"/>
      <c r="CZH44" s="170"/>
      <c r="CZI44" s="172"/>
      <c r="CZJ44" s="170"/>
      <c r="CZK44" s="172"/>
      <c r="CZL44" s="170"/>
      <c r="CZM44" s="172"/>
      <c r="CZN44" s="170"/>
      <c r="CZO44" s="172"/>
      <c r="CZP44" s="170"/>
      <c r="CZQ44" s="172"/>
      <c r="CZR44" s="170"/>
      <c r="CZS44" s="172"/>
      <c r="CZT44" s="170"/>
      <c r="CZU44" s="172"/>
      <c r="CZV44" s="170"/>
      <c r="CZW44" s="172"/>
      <c r="CZX44" s="170"/>
      <c r="CZY44" s="172"/>
      <c r="CZZ44" s="170"/>
      <c r="DAA44" s="172"/>
      <c r="DAB44" s="170"/>
      <c r="DAC44" s="172"/>
      <c r="DAD44" s="170"/>
      <c r="DAE44" s="172"/>
      <c r="DAF44" s="170"/>
      <c r="DAG44" s="172"/>
      <c r="DAH44" s="170"/>
      <c r="DAI44" s="172"/>
      <c r="DAJ44" s="170"/>
      <c r="DAK44" s="172"/>
      <c r="DAL44" s="170"/>
      <c r="DAM44" s="172"/>
      <c r="DAN44" s="170"/>
      <c r="DAO44" s="172"/>
      <c r="DAP44" s="170"/>
      <c r="DAQ44" s="172"/>
      <c r="DAR44" s="170"/>
      <c r="DAS44" s="172"/>
      <c r="DAT44" s="170"/>
      <c r="DAU44" s="172"/>
      <c r="DAV44" s="170"/>
      <c r="DAW44" s="172"/>
      <c r="DAX44" s="170"/>
      <c r="DAY44" s="172"/>
      <c r="DAZ44" s="170"/>
      <c r="DBA44" s="172"/>
      <c r="DBB44" s="170"/>
      <c r="DBC44" s="172"/>
      <c r="DBD44" s="170"/>
      <c r="DBE44" s="172"/>
      <c r="DBF44" s="170"/>
      <c r="DBG44" s="172"/>
      <c r="DBH44" s="170"/>
      <c r="DBI44" s="172"/>
      <c r="DBJ44" s="170"/>
      <c r="DBK44" s="172"/>
      <c r="DBL44" s="170"/>
      <c r="DBM44" s="172"/>
      <c r="DBN44" s="170"/>
      <c r="DBO44" s="172"/>
      <c r="DBP44" s="170"/>
      <c r="DBQ44" s="172"/>
      <c r="DBR44" s="170"/>
      <c r="DBS44" s="172"/>
      <c r="DBT44" s="170"/>
      <c r="DBU44" s="172"/>
      <c r="DBV44" s="170"/>
      <c r="DBW44" s="172"/>
      <c r="DBX44" s="170"/>
      <c r="DBY44" s="172"/>
      <c r="DBZ44" s="170"/>
      <c r="DCA44" s="172"/>
      <c r="DCB44" s="170"/>
      <c r="DCC44" s="172"/>
      <c r="DCD44" s="170"/>
      <c r="DCE44" s="172"/>
      <c r="DCF44" s="170"/>
      <c r="DCG44" s="172"/>
      <c r="DCH44" s="170"/>
      <c r="DCI44" s="172"/>
      <c r="DCJ44" s="170"/>
      <c r="DCK44" s="172"/>
      <c r="DCL44" s="170"/>
      <c r="DCM44" s="172"/>
      <c r="DCN44" s="170"/>
      <c r="DCO44" s="172"/>
      <c r="DCP44" s="170"/>
      <c r="DCQ44" s="172"/>
      <c r="DCR44" s="170"/>
      <c r="DCS44" s="172"/>
      <c r="DCT44" s="170"/>
      <c r="DCU44" s="172"/>
      <c r="DCV44" s="170"/>
      <c r="DCW44" s="172"/>
      <c r="DCX44" s="170"/>
      <c r="DCY44" s="172"/>
      <c r="DCZ44" s="170"/>
      <c r="DDA44" s="172"/>
      <c r="DDB44" s="170"/>
      <c r="DDC44" s="172"/>
      <c r="DDD44" s="170"/>
      <c r="DDE44" s="172"/>
      <c r="DDF44" s="170"/>
      <c r="DDG44" s="172"/>
      <c r="DDH44" s="170"/>
      <c r="DDI44" s="172"/>
      <c r="DDJ44" s="170"/>
      <c r="DDK44" s="172"/>
      <c r="DDL44" s="170"/>
      <c r="DDM44" s="172"/>
      <c r="DDN44" s="170"/>
      <c r="DDO44" s="172"/>
      <c r="DDP44" s="170"/>
      <c r="DDQ44" s="172"/>
      <c r="DDR44" s="170"/>
      <c r="DDS44" s="172"/>
      <c r="DDT44" s="170"/>
      <c r="DDU44" s="172"/>
      <c r="DDV44" s="170"/>
      <c r="DDW44" s="172"/>
      <c r="DDX44" s="170"/>
      <c r="DDY44" s="172"/>
      <c r="DDZ44" s="170"/>
      <c r="DEA44" s="172"/>
      <c r="DEB44" s="170"/>
      <c r="DEC44" s="172"/>
      <c r="DED44" s="170"/>
      <c r="DEE44" s="172"/>
      <c r="DEF44" s="170"/>
      <c r="DEG44" s="172"/>
      <c r="DEH44" s="170"/>
      <c r="DEI44" s="172"/>
      <c r="DEJ44" s="170"/>
      <c r="DEK44" s="172"/>
      <c r="DEL44" s="170"/>
      <c r="DEM44" s="172"/>
      <c r="DEN44" s="170"/>
      <c r="DEO44" s="172"/>
      <c r="DEP44" s="170"/>
      <c r="DEQ44" s="172"/>
      <c r="DER44" s="170"/>
      <c r="DES44" s="172"/>
      <c r="DET44" s="170"/>
      <c r="DEU44" s="172"/>
      <c r="DEV44" s="170"/>
      <c r="DEW44" s="172"/>
      <c r="DEX44" s="170"/>
      <c r="DEY44" s="172"/>
      <c r="DEZ44" s="170"/>
      <c r="DFA44" s="172"/>
      <c r="DFB44" s="170"/>
      <c r="DFC44" s="172"/>
      <c r="DFD44" s="170"/>
      <c r="DFE44" s="172"/>
      <c r="DFF44" s="170"/>
      <c r="DFG44" s="172"/>
      <c r="DFH44" s="170"/>
      <c r="DFI44" s="172"/>
      <c r="DFJ44" s="170"/>
      <c r="DFK44" s="172"/>
      <c r="DFL44" s="170"/>
      <c r="DFM44" s="172"/>
      <c r="DFN44" s="170"/>
      <c r="DFO44" s="172"/>
      <c r="DFP44" s="170"/>
      <c r="DFQ44" s="172"/>
      <c r="DFR44" s="170"/>
      <c r="DFS44" s="172"/>
      <c r="DFT44" s="170"/>
      <c r="DFU44" s="172"/>
      <c r="DFV44" s="170"/>
      <c r="DFW44" s="172"/>
      <c r="DFX44" s="170"/>
      <c r="DFY44" s="172"/>
      <c r="DFZ44" s="170"/>
      <c r="DGA44" s="172"/>
      <c r="DGB44" s="170"/>
      <c r="DGC44" s="172"/>
      <c r="DGD44" s="170"/>
      <c r="DGE44" s="172"/>
      <c r="DGF44" s="170"/>
      <c r="DGG44" s="172"/>
      <c r="DGH44" s="170"/>
      <c r="DGI44" s="172"/>
      <c r="DGJ44" s="170"/>
      <c r="DGK44" s="172"/>
      <c r="DGL44" s="170"/>
      <c r="DGM44" s="172"/>
      <c r="DGN44" s="170"/>
      <c r="DGO44" s="172"/>
      <c r="DGP44" s="170"/>
      <c r="DGQ44" s="172"/>
      <c r="DGR44" s="170"/>
      <c r="DGS44" s="172"/>
      <c r="DGT44" s="170"/>
      <c r="DGU44" s="172"/>
      <c r="DGV44" s="170"/>
      <c r="DGW44" s="172"/>
      <c r="DGX44" s="170"/>
      <c r="DGY44" s="172"/>
      <c r="DGZ44" s="170"/>
      <c r="DHA44" s="172"/>
      <c r="DHB44" s="170"/>
      <c r="DHC44" s="172"/>
      <c r="DHD44" s="170"/>
      <c r="DHE44" s="172"/>
      <c r="DHF44" s="170"/>
      <c r="DHG44" s="172"/>
      <c r="DHH44" s="170"/>
      <c r="DHI44" s="172"/>
      <c r="DHJ44" s="170"/>
      <c r="DHK44" s="172"/>
      <c r="DHL44" s="170"/>
      <c r="DHM44" s="172"/>
      <c r="DHN44" s="170"/>
      <c r="DHO44" s="172"/>
      <c r="DHP44" s="170"/>
      <c r="DHQ44" s="172"/>
      <c r="DHR44" s="170"/>
      <c r="DHS44" s="172"/>
      <c r="DHT44" s="170"/>
      <c r="DHU44" s="172"/>
      <c r="DHV44" s="170"/>
      <c r="DHW44" s="172"/>
      <c r="DHX44" s="170"/>
      <c r="DHY44" s="172"/>
      <c r="DHZ44" s="170"/>
      <c r="DIA44" s="172"/>
      <c r="DIB44" s="170"/>
      <c r="DIC44" s="172"/>
      <c r="DID44" s="170"/>
      <c r="DIE44" s="172"/>
      <c r="DIF44" s="170"/>
      <c r="DIG44" s="172"/>
      <c r="DIH44" s="170"/>
      <c r="DII44" s="172"/>
      <c r="DIJ44" s="170"/>
      <c r="DIK44" s="172"/>
      <c r="DIL44" s="170"/>
      <c r="DIM44" s="172"/>
      <c r="DIN44" s="170"/>
      <c r="DIO44" s="172"/>
      <c r="DIP44" s="170"/>
      <c r="DIQ44" s="172"/>
      <c r="DIR44" s="170"/>
      <c r="DIS44" s="172"/>
      <c r="DIT44" s="170"/>
      <c r="DIU44" s="172"/>
      <c r="DIV44" s="170"/>
      <c r="DIW44" s="172"/>
      <c r="DIX44" s="170"/>
      <c r="DIY44" s="172"/>
      <c r="DIZ44" s="170"/>
      <c r="DJA44" s="172"/>
      <c r="DJB44" s="170"/>
      <c r="DJC44" s="172"/>
      <c r="DJD44" s="170"/>
      <c r="DJE44" s="172"/>
      <c r="DJF44" s="170"/>
      <c r="DJG44" s="172"/>
      <c r="DJH44" s="170"/>
      <c r="DJI44" s="172"/>
      <c r="DJJ44" s="170"/>
      <c r="DJK44" s="172"/>
      <c r="DJL44" s="170"/>
      <c r="DJM44" s="172"/>
      <c r="DJN44" s="170"/>
      <c r="DJO44" s="172"/>
      <c r="DJP44" s="170"/>
      <c r="DJQ44" s="172"/>
      <c r="DJR44" s="170"/>
      <c r="DJS44" s="172"/>
      <c r="DJT44" s="170"/>
      <c r="DJU44" s="172"/>
      <c r="DJV44" s="170"/>
      <c r="DJW44" s="172"/>
      <c r="DJX44" s="170"/>
      <c r="DJY44" s="172"/>
      <c r="DJZ44" s="170"/>
      <c r="DKA44" s="172"/>
      <c r="DKB44" s="170"/>
      <c r="DKC44" s="172"/>
      <c r="DKD44" s="170"/>
      <c r="DKE44" s="172"/>
      <c r="DKF44" s="170"/>
      <c r="DKG44" s="172"/>
      <c r="DKH44" s="170"/>
      <c r="DKI44" s="172"/>
      <c r="DKJ44" s="170"/>
      <c r="DKK44" s="172"/>
      <c r="DKL44" s="170"/>
      <c r="DKM44" s="172"/>
      <c r="DKN44" s="170"/>
      <c r="DKO44" s="172"/>
      <c r="DKP44" s="170"/>
      <c r="DKQ44" s="172"/>
      <c r="DKR44" s="170"/>
      <c r="DKS44" s="172"/>
      <c r="DKT44" s="170"/>
      <c r="DKU44" s="172"/>
      <c r="DKV44" s="170"/>
      <c r="DKW44" s="172"/>
      <c r="DKX44" s="170"/>
      <c r="DKY44" s="172"/>
      <c r="DKZ44" s="170"/>
      <c r="DLA44" s="172"/>
      <c r="DLB44" s="170"/>
      <c r="DLC44" s="172"/>
      <c r="DLD44" s="170"/>
      <c r="DLE44" s="172"/>
      <c r="DLF44" s="170"/>
      <c r="DLG44" s="172"/>
      <c r="DLH44" s="170"/>
      <c r="DLI44" s="172"/>
      <c r="DLJ44" s="170"/>
      <c r="DLK44" s="172"/>
      <c r="DLL44" s="170"/>
      <c r="DLM44" s="172"/>
      <c r="DLN44" s="170"/>
      <c r="DLO44" s="172"/>
      <c r="DLP44" s="170"/>
      <c r="DLQ44" s="172"/>
      <c r="DLR44" s="170"/>
      <c r="DLS44" s="172"/>
      <c r="DLT44" s="170"/>
      <c r="DLU44" s="172"/>
      <c r="DLV44" s="170"/>
      <c r="DLW44" s="172"/>
      <c r="DLX44" s="170"/>
      <c r="DLY44" s="172"/>
      <c r="DLZ44" s="170"/>
      <c r="DMA44" s="172"/>
      <c r="DMB44" s="170"/>
      <c r="DMC44" s="172"/>
      <c r="DMD44" s="170"/>
      <c r="DME44" s="172"/>
      <c r="DMF44" s="170"/>
      <c r="DMG44" s="172"/>
      <c r="DMH44" s="170"/>
      <c r="DMI44" s="172"/>
      <c r="DMJ44" s="170"/>
      <c r="DMK44" s="172"/>
      <c r="DML44" s="170"/>
      <c r="DMM44" s="172"/>
      <c r="DMN44" s="170"/>
      <c r="DMO44" s="172"/>
      <c r="DMP44" s="170"/>
      <c r="DMQ44" s="172"/>
      <c r="DMR44" s="170"/>
      <c r="DMS44" s="172"/>
      <c r="DMT44" s="170"/>
      <c r="DMU44" s="172"/>
      <c r="DMV44" s="170"/>
      <c r="DMW44" s="172"/>
      <c r="DMX44" s="170"/>
      <c r="DMY44" s="172"/>
      <c r="DMZ44" s="170"/>
      <c r="DNA44" s="172"/>
      <c r="DNB44" s="170"/>
      <c r="DNC44" s="172"/>
      <c r="DND44" s="170"/>
      <c r="DNE44" s="172"/>
      <c r="DNF44" s="170"/>
      <c r="DNG44" s="172"/>
      <c r="DNH44" s="170"/>
      <c r="DNI44" s="172"/>
      <c r="DNJ44" s="170"/>
      <c r="DNK44" s="172"/>
      <c r="DNL44" s="170"/>
      <c r="DNM44" s="172"/>
      <c r="DNN44" s="170"/>
      <c r="DNO44" s="172"/>
      <c r="DNP44" s="170"/>
      <c r="DNQ44" s="172"/>
      <c r="DNR44" s="170"/>
      <c r="DNS44" s="172"/>
      <c r="DNT44" s="170"/>
      <c r="DNU44" s="172"/>
      <c r="DNV44" s="170"/>
      <c r="DNW44" s="172"/>
      <c r="DNX44" s="170"/>
      <c r="DNY44" s="172"/>
      <c r="DNZ44" s="170"/>
      <c r="DOA44" s="172"/>
      <c r="DOB44" s="170"/>
      <c r="DOC44" s="172"/>
      <c r="DOD44" s="170"/>
      <c r="DOE44" s="172"/>
      <c r="DOF44" s="170"/>
      <c r="DOG44" s="172"/>
      <c r="DOH44" s="170"/>
      <c r="DOI44" s="172"/>
      <c r="DOJ44" s="170"/>
      <c r="DOK44" s="172"/>
      <c r="DOL44" s="170"/>
      <c r="DOM44" s="172"/>
      <c r="DON44" s="170"/>
      <c r="DOO44" s="172"/>
      <c r="DOP44" s="170"/>
      <c r="DOQ44" s="172"/>
      <c r="DOR44" s="170"/>
      <c r="DOS44" s="172"/>
      <c r="DOT44" s="170"/>
      <c r="DOU44" s="172"/>
      <c r="DOV44" s="170"/>
      <c r="DOW44" s="172"/>
      <c r="DOX44" s="170"/>
      <c r="DOY44" s="172"/>
      <c r="DOZ44" s="170"/>
      <c r="DPA44" s="172"/>
      <c r="DPB44" s="170"/>
      <c r="DPC44" s="172"/>
      <c r="DPD44" s="170"/>
      <c r="DPE44" s="172"/>
      <c r="DPF44" s="170"/>
      <c r="DPG44" s="172"/>
      <c r="DPH44" s="170"/>
      <c r="DPI44" s="172"/>
      <c r="DPJ44" s="170"/>
      <c r="DPK44" s="172"/>
      <c r="DPL44" s="170"/>
      <c r="DPM44" s="172"/>
      <c r="DPN44" s="170"/>
      <c r="DPO44" s="172"/>
      <c r="DPP44" s="170"/>
      <c r="DPQ44" s="172"/>
      <c r="DPR44" s="170"/>
      <c r="DPS44" s="172"/>
      <c r="DPT44" s="170"/>
      <c r="DPU44" s="172"/>
      <c r="DPV44" s="170"/>
      <c r="DPW44" s="172"/>
      <c r="DPX44" s="170"/>
      <c r="DPY44" s="172"/>
      <c r="DPZ44" s="170"/>
      <c r="DQA44" s="172"/>
      <c r="DQB44" s="170"/>
      <c r="DQC44" s="172"/>
      <c r="DQD44" s="170"/>
      <c r="DQE44" s="172"/>
      <c r="DQF44" s="170"/>
      <c r="DQG44" s="172"/>
      <c r="DQH44" s="170"/>
      <c r="DQI44" s="172"/>
      <c r="DQJ44" s="170"/>
      <c r="DQK44" s="172"/>
      <c r="DQL44" s="170"/>
      <c r="DQM44" s="172"/>
      <c r="DQN44" s="170"/>
      <c r="DQO44" s="172"/>
      <c r="DQP44" s="170"/>
      <c r="DQQ44" s="172"/>
      <c r="DQR44" s="170"/>
      <c r="DQS44" s="172"/>
      <c r="DQT44" s="170"/>
      <c r="DQU44" s="172"/>
      <c r="DQV44" s="170"/>
      <c r="DQW44" s="172"/>
      <c r="DQX44" s="170"/>
      <c r="DQY44" s="172"/>
      <c r="DQZ44" s="170"/>
      <c r="DRA44" s="172"/>
      <c r="DRB44" s="170"/>
      <c r="DRC44" s="172"/>
      <c r="DRD44" s="170"/>
      <c r="DRE44" s="172"/>
      <c r="DRF44" s="170"/>
      <c r="DRG44" s="172"/>
      <c r="DRH44" s="170"/>
      <c r="DRI44" s="172"/>
      <c r="DRJ44" s="170"/>
      <c r="DRK44" s="172"/>
      <c r="DRL44" s="170"/>
      <c r="DRM44" s="172"/>
      <c r="DRN44" s="170"/>
      <c r="DRO44" s="172"/>
      <c r="DRP44" s="170"/>
      <c r="DRQ44" s="172"/>
      <c r="DRR44" s="170"/>
      <c r="DRS44" s="172"/>
      <c r="DRT44" s="170"/>
      <c r="DRU44" s="172"/>
      <c r="DRV44" s="170"/>
      <c r="DRW44" s="172"/>
      <c r="DRX44" s="170"/>
      <c r="DRY44" s="172"/>
      <c r="DRZ44" s="170"/>
      <c r="DSA44" s="172"/>
      <c r="DSB44" s="170"/>
      <c r="DSC44" s="172"/>
      <c r="DSD44" s="170"/>
      <c r="DSE44" s="172"/>
      <c r="DSF44" s="170"/>
      <c r="DSG44" s="172"/>
      <c r="DSH44" s="170"/>
      <c r="DSI44" s="172"/>
      <c r="DSJ44" s="170"/>
      <c r="DSK44" s="172"/>
      <c r="DSL44" s="170"/>
      <c r="DSM44" s="172"/>
      <c r="DSN44" s="170"/>
      <c r="DSO44" s="172"/>
      <c r="DSP44" s="170"/>
      <c r="DSQ44" s="172"/>
      <c r="DSR44" s="170"/>
      <c r="DSS44" s="172"/>
      <c r="DST44" s="170"/>
      <c r="DSU44" s="172"/>
      <c r="DSV44" s="170"/>
      <c r="DSW44" s="172"/>
      <c r="DSX44" s="170"/>
      <c r="DSY44" s="172"/>
      <c r="DSZ44" s="170"/>
      <c r="DTA44" s="172"/>
      <c r="DTB44" s="170"/>
      <c r="DTC44" s="172"/>
      <c r="DTD44" s="170"/>
      <c r="DTE44" s="172"/>
      <c r="DTF44" s="170"/>
      <c r="DTG44" s="172"/>
      <c r="DTH44" s="170"/>
      <c r="DTI44" s="172"/>
      <c r="DTJ44" s="170"/>
      <c r="DTK44" s="172"/>
      <c r="DTL44" s="170"/>
      <c r="DTM44" s="172"/>
      <c r="DTN44" s="170"/>
      <c r="DTO44" s="172"/>
      <c r="DTP44" s="170"/>
      <c r="DTQ44" s="172"/>
      <c r="DTR44" s="170"/>
      <c r="DTS44" s="172"/>
      <c r="DTT44" s="170"/>
      <c r="DTU44" s="172"/>
      <c r="DTV44" s="170"/>
      <c r="DTW44" s="172"/>
      <c r="DTX44" s="170"/>
      <c r="DTY44" s="172"/>
      <c r="DTZ44" s="170"/>
      <c r="DUA44" s="172"/>
      <c r="DUB44" s="170"/>
      <c r="DUC44" s="172"/>
      <c r="DUD44" s="170"/>
      <c r="DUE44" s="172"/>
      <c r="DUF44" s="170"/>
      <c r="DUG44" s="172"/>
      <c r="DUH44" s="170"/>
      <c r="DUI44" s="172"/>
      <c r="DUJ44" s="170"/>
      <c r="DUK44" s="172"/>
      <c r="DUL44" s="170"/>
      <c r="DUM44" s="172"/>
      <c r="DUN44" s="170"/>
      <c r="DUO44" s="172"/>
      <c r="DUP44" s="170"/>
      <c r="DUQ44" s="172"/>
      <c r="DUR44" s="170"/>
      <c r="DUS44" s="172"/>
      <c r="DUT44" s="170"/>
      <c r="DUU44" s="172"/>
      <c r="DUV44" s="170"/>
      <c r="DUW44" s="172"/>
      <c r="DUX44" s="170"/>
      <c r="DUY44" s="172"/>
      <c r="DUZ44" s="170"/>
      <c r="DVA44" s="172"/>
      <c r="DVB44" s="170"/>
      <c r="DVC44" s="172"/>
      <c r="DVD44" s="170"/>
      <c r="DVE44" s="172"/>
      <c r="DVF44" s="170"/>
      <c r="DVG44" s="172"/>
      <c r="DVH44" s="170"/>
      <c r="DVI44" s="172"/>
      <c r="DVJ44" s="170"/>
      <c r="DVK44" s="172"/>
      <c r="DVL44" s="170"/>
      <c r="DVM44" s="172"/>
      <c r="DVN44" s="170"/>
      <c r="DVO44" s="172"/>
      <c r="DVP44" s="170"/>
      <c r="DVQ44" s="172"/>
      <c r="DVR44" s="170"/>
      <c r="DVS44" s="172"/>
      <c r="DVT44" s="170"/>
      <c r="DVU44" s="172"/>
      <c r="DVV44" s="170"/>
      <c r="DVW44" s="172"/>
      <c r="DVX44" s="170"/>
      <c r="DVY44" s="172"/>
      <c r="DVZ44" s="170"/>
      <c r="DWA44" s="172"/>
      <c r="DWB44" s="170"/>
      <c r="DWC44" s="172"/>
      <c r="DWD44" s="170"/>
      <c r="DWE44" s="172"/>
      <c r="DWF44" s="170"/>
      <c r="DWG44" s="172"/>
      <c r="DWH44" s="170"/>
      <c r="DWI44" s="172"/>
      <c r="DWJ44" s="170"/>
      <c r="DWK44" s="172"/>
      <c r="DWL44" s="170"/>
      <c r="DWM44" s="172"/>
      <c r="DWN44" s="170"/>
      <c r="DWO44" s="172"/>
      <c r="DWP44" s="170"/>
      <c r="DWQ44" s="172"/>
      <c r="DWR44" s="170"/>
      <c r="DWS44" s="172"/>
      <c r="DWT44" s="170"/>
      <c r="DWU44" s="172"/>
      <c r="DWV44" s="170"/>
      <c r="DWW44" s="172"/>
      <c r="DWX44" s="170"/>
      <c r="DWY44" s="172"/>
      <c r="DWZ44" s="170"/>
      <c r="DXA44" s="172"/>
      <c r="DXB44" s="170"/>
      <c r="DXC44" s="172"/>
      <c r="DXD44" s="170"/>
      <c r="DXE44" s="172"/>
      <c r="DXF44" s="170"/>
      <c r="DXG44" s="172"/>
      <c r="DXH44" s="170"/>
      <c r="DXI44" s="172"/>
      <c r="DXJ44" s="170"/>
      <c r="DXK44" s="172"/>
      <c r="DXL44" s="170"/>
      <c r="DXM44" s="172"/>
      <c r="DXN44" s="170"/>
      <c r="DXO44" s="172"/>
      <c r="DXP44" s="170"/>
      <c r="DXQ44" s="172"/>
      <c r="DXR44" s="170"/>
      <c r="DXS44" s="172"/>
      <c r="DXT44" s="170"/>
      <c r="DXU44" s="172"/>
      <c r="DXV44" s="170"/>
      <c r="DXW44" s="172"/>
      <c r="DXX44" s="170"/>
      <c r="DXY44" s="172"/>
      <c r="DXZ44" s="170"/>
      <c r="DYA44" s="172"/>
      <c r="DYB44" s="170"/>
      <c r="DYC44" s="172"/>
      <c r="DYD44" s="170"/>
      <c r="DYE44" s="172"/>
      <c r="DYF44" s="170"/>
      <c r="DYG44" s="172"/>
      <c r="DYH44" s="170"/>
      <c r="DYI44" s="172"/>
      <c r="DYJ44" s="170"/>
      <c r="DYK44" s="172"/>
      <c r="DYL44" s="170"/>
      <c r="DYM44" s="172"/>
      <c r="DYN44" s="170"/>
      <c r="DYO44" s="172"/>
      <c r="DYP44" s="170"/>
      <c r="DYQ44" s="172"/>
      <c r="DYR44" s="170"/>
      <c r="DYS44" s="172"/>
      <c r="DYT44" s="170"/>
      <c r="DYU44" s="172"/>
      <c r="DYV44" s="170"/>
      <c r="DYW44" s="172"/>
      <c r="DYX44" s="170"/>
      <c r="DYY44" s="172"/>
      <c r="DYZ44" s="170"/>
      <c r="DZA44" s="172"/>
      <c r="DZB44" s="170"/>
      <c r="DZC44" s="172"/>
      <c r="DZD44" s="170"/>
      <c r="DZE44" s="172"/>
      <c r="DZF44" s="170"/>
      <c r="DZG44" s="172"/>
      <c r="DZH44" s="170"/>
      <c r="DZI44" s="172"/>
      <c r="DZJ44" s="170"/>
      <c r="DZK44" s="172"/>
      <c r="DZL44" s="170"/>
      <c r="DZM44" s="172"/>
      <c r="DZN44" s="170"/>
      <c r="DZO44" s="172"/>
      <c r="DZP44" s="170"/>
      <c r="DZQ44" s="172"/>
      <c r="DZR44" s="170"/>
      <c r="DZS44" s="172"/>
      <c r="DZT44" s="170"/>
      <c r="DZU44" s="172"/>
      <c r="DZV44" s="170"/>
      <c r="DZW44" s="172"/>
      <c r="DZX44" s="170"/>
      <c r="DZY44" s="172"/>
      <c r="DZZ44" s="170"/>
      <c r="EAA44" s="172"/>
      <c r="EAB44" s="170"/>
      <c r="EAC44" s="172"/>
      <c r="EAD44" s="170"/>
      <c r="EAE44" s="172"/>
      <c r="EAF44" s="170"/>
      <c r="EAG44" s="172"/>
      <c r="EAH44" s="170"/>
      <c r="EAI44" s="172"/>
      <c r="EAJ44" s="170"/>
      <c r="EAK44" s="172"/>
      <c r="EAL44" s="170"/>
      <c r="EAM44" s="172"/>
      <c r="EAN44" s="170"/>
      <c r="EAO44" s="172"/>
      <c r="EAP44" s="170"/>
      <c r="EAQ44" s="172"/>
      <c r="EAR44" s="170"/>
      <c r="EAS44" s="172"/>
      <c r="EAT44" s="170"/>
      <c r="EAU44" s="172"/>
      <c r="EAV44" s="170"/>
      <c r="EAW44" s="172"/>
      <c r="EAX44" s="170"/>
      <c r="EAY44" s="172"/>
      <c r="EAZ44" s="170"/>
      <c r="EBA44" s="172"/>
      <c r="EBB44" s="170"/>
      <c r="EBC44" s="172"/>
      <c r="EBD44" s="170"/>
      <c r="EBE44" s="172"/>
      <c r="EBF44" s="170"/>
      <c r="EBG44" s="172"/>
      <c r="EBH44" s="170"/>
      <c r="EBI44" s="172"/>
      <c r="EBJ44" s="170"/>
      <c r="EBK44" s="172"/>
      <c r="EBL44" s="170"/>
      <c r="EBM44" s="172"/>
      <c r="EBN44" s="170"/>
      <c r="EBO44" s="172"/>
      <c r="EBP44" s="170"/>
      <c r="EBQ44" s="172"/>
      <c r="EBR44" s="170"/>
      <c r="EBS44" s="172"/>
      <c r="EBT44" s="170"/>
      <c r="EBU44" s="172"/>
      <c r="EBV44" s="170"/>
      <c r="EBW44" s="172"/>
      <c r="EBX44" s="170"/>
      <c r="EBY44" s="172"/>
      <c r="EBZ44" s="170"/>
      <c r="ECA44" s="172"/>
      <c r="ECB44" s="170"/>
      <c r="ECC44" s="172"/>
      <c r="ECD44" s="170"/>
      <c r="ECE44" s="172"/>
      <c r="ECF44" s="170"/>
      <c r="ECG44" s="172"/>
      <c r="ECH44" s="170"/>
      <c r="ECI44" s="172"/>
      <c r="ECJ44" s="170"/>
      <c r="ECK44" s="172"/>
      <c r="ECL44" s="170"/>
      <c r="ECM44" s="172"/>
      <c r="ECN44" s="170"/>
      <c r="ECO44" s="172"/>
      <c r="ECP44" s="170"/>
      <c r="ECQ44" s="172"/>
      <c r="ECR44" s="170"/>
      <c r="ECS44" s="172"/>
      <c r="ECT44" s="170"/>
      <c r="ECU44" s="172"/>
      <c r="ECV44" s="170"/>
      <c r="ECW44" s="172"/>
      <c r="ECX44" s="170"/>
      <c r="ECY44" s="172"/>
      <c r="ECZ44" s="170"/>
      <c r="EDA44" s="172"/>
      <c r="EDB44" s="170"/>
      <c r="EDC44" s="172"/>
      <c r="EDD44" s="170"/>
      <c r="EDE44" s="172"/>
      <c r="EDF44" s="170"/>
      <c r="EDG44" s="172"/>
      <c r="EDH44" s="170"/>
      <c r="EDI44" s="172"/>
      <c r="EDJ44" s="170"/>
      <c r="EDK44" s="172"/>
      <c r="EDL44" s="170"/>
      <c r="EDM44" s="172"/>
      <c r="EDN44" s="170"/>
      <c r="EDO44" s="172"/>
      <c r="EDP44" s="170"/>
      <c r="EDQ44" s="172"/>
      <c r="EDR44" s="170"/>
      <c r="EDS44" s="172"/>
      <c r="EDT44" s="170"/>
      <c r="EDU44" s="172"/>
      <c r="EDV44" s="170"/>
      <c r="EDW44" s="172"/>
      <c r="EDX44" s="170"/>
      <c r="EDY44" s="172"/>
      <c r="EDZ44" s="170"/>
      <c r="EEA44" s="172"/>
      <c r="EEB44" s="170"/>
      <c r="EEC44" s="172"/>
      <c r="EED44" s="170"/>
      <c r="EEE44" s="172"/>
      <c r="EEF44" s="170"/>
      <c r="EEG44" s="172"/>
      <c r="EEH44" s="170"/>
      <c r="EEI44" s="172"/>
      <c r="EEJ44" s="170"/>
      <c r="EEK44" s="172"/>
      <c r="EEL44" s="170"/>
      <c r="EEM44" s="172"/>
      <c r="EEN44" s="170"/>
      <c r="EEO44" s="172"/>
      <c r="EEP44" s="170"/>
      <c r="EEQ44" s="172"/>
      <c r="EER44" s="170"/>
      <c r="EES44" s="172"/>
      <c r="EET44" s="170"/>
      <c r="EEU44" s="172"/>
      <c r="EEV44" s="170"/>
      <c r="EEW44" s="172"/>
      <c r="EEX44" s="170"/>
      <c r="EEY44" s="172"/>
      <c r="EEZ44" s="170"/>
      <c r="EFA44" s="172"/>
      <c r="EFB44" s="170"/>
      <c r="EFC44" s="172"/>
      <c r="EFD44" s="170"/>
      <c r="EFE44" s="172"/>
      <c r="EFF44" s="170"/>
      <c r="EFG44" s="172"/>
      <c r="EFH44" s="170"/>
      <c r="EFI44" s="172"/>
      <c r="EFJ44" s="170"/>
      <c r="EFK44" s="172"/>
      <c r="EFL44" s="170"/>
      <c r="EFM44" s="172"/>
      <c r="EFN44" s="170"/>
      <c r="EFO44" s="172"/>
      <c r="EFP44" s="170"/>
      <c r="EFQ44" s="172"/>
      <c r="EFR44" s="170"/>
      <c r="EFS44" s="172"/>
      <c r="EFT44" s="170"/>
      <c r="EFU44" s="172"/>
      <c r="EFV44" s="170"/>
      <c r="EFW44" s="172"/>
      <c r="EFX44" s="170"/>
      <c r="EFY44" s="172"/>
      <c r="EFZ44" s="170"/>
      <c r="EGA44" s="172"/>
      <c r="EGB44" s="170"/>
      <c r="EGC44" s="172"/>
      <c r="EGD44" s="170"/>
      <c r="EGE44" s="172"/>
      <c r="EGF44" s="170"/>
      <c r="EGG44" s="172"/>
      <c r="EGH44" s="170"/>
      <c r="EGI44" s="172"/>
      <c r="EGJ44" s="170"/>
      <c r="EGK44" s="172"/>
      <c r="EGL44" s="170"/>
      <c r="EGM44" s="172"/>
      <c r="EGN44" s="170"/>
      <c r="EGO44" s="172"/>
      <c r="EGP44" s="170"/>
      <c r="EGQ44" s="172"/>
      <c r="EGR44" s="170"/>
      <c r="EGS44" s="172"/>
      <c r="EGT44" s="170"/>
      <c r="EGU44" s="172"/>
      <c r="EGV44" s="170"/>
      <c r="EGW44" s="172"/>
      <c r="EGX44" s="170"/>
      <c r="EGY44" s="172"/>
      <c r="EGZ44" s="170"/>
      <c r="EHA44" s="172"/>
      <c r="EHB44" s="170"/>
      <c r="EHC44" s="172"/>
      <c r="EHD44" s="170"/>
      <c r="EHE44" s="172"/>
      <c r="EHF44" s="170"/>
      <c r="EHG44" s="172"/>
      <c r="EHH44" s="170"/>
      <c r="EHI44" s="172"/>
      <c r="EHJ44" s="170"/>
      <c r="EHK44" s="172"/>
      <c r="EHL44" s="170"/>
      <c r="EHM44" s="172"/>
      <c r="EHN44" s="170"/>
      <c r="EHO44" s="172"/>
      <c r="EHP44" s="170"/>
      <c r="EHQ44" s="172"/>
      <c r="EHR44" s="170"/>
      <c r="EHS44" s="172"/>
      <c r="EHT44" s="170"/>
      <c r="EHU44" s="172"/>
      <c r="EHV44" s="170"/>
      <c r="EHW44" s="172"/>
      <c r="EHX44" s="170"/>
      <c r="EHY44" s="172"/>
      <c r="EHZ44" s="170"/>
      <c r="EIA44" s="172"/>
      <c r="EIB44" s="170"/>
      <c r="EIC44" s="172"/>
      <c r="EID44" s="170"/>
      <c r="EIE44" s="172"/>
      <c r="EIF44" s="170"/>
      <c r="EIG44" s="172"/>
      <c r="EIH44" s="170"/>
      <c r="EII44" s="172"/>
      <c r="EIJ44" s="170"/>
      <c r="EIK44" s="172"/>
      <c r="EIL44" s="170"/>
      <c r="EIM44" s="172"/>
      <c r="EIN44" s="170"/>
      <c r="EIO44" s="172"/>
      <c r="EIP44" s="170"/>
      <c r="EIQ44" s="172"/>
      <c r="EIR44" s="170"/>
      <c r="EIS44" s="172"/>
      <c r="EIT44" s="170"/>
      <c r="EIU44" s="172"/>
      <c r="EIV44" s="170"/>
      <c r="EIW44" s="172"/>
      <c r="EIX44" s="170"/>
      <c r="EIY44" s="172"/>
      <c r="EIZ44" s="170"/>
      <c r="EJA44" s="172"/>
      <c r="EJB44" s="170"/>
      <c r="EJC44" s="172"/>
      <c r="EJD44" s="170"/>
      <c r="EJE44" s="172"/>
      <c r="EJF44" s="170"/>
      <c r="EJG44" s="172"/>
      <c r="EJH44" s="170"/>
      <c r="EJI44" s="172"/>
      <c r="EJJ44" s="170"/>
      <c r="EJK44" s="172"/>
      <c r="EJL44" s="170"/>
      <c r="EJM44" s="172"/>
      <c r="EJN44" s="170"/>
      <c r="EJO44" s="172"/>
      <c r="EJP44" s="170"/>
      <c r="EJQ44" s="172"/>
      <c r="EJR44" s="170"/>
      <c r="EJS44" s="172"/>
      <c r="EJT44" s="170"/>
      <c r="EJU44" s="172"/>
      <c r="EJV44" s="170"/>
      <c r="EJW44" s="172"/>
      <c r="EJX44" s="170"/>
      <c r="EJY44" s="172"/>
      <c r="EJZ44" s="170"/>
      <c r="EKA44" s="172"/>
      <c r="EKB44" s="170"/>
      <c r="EKC44" s="172"/>
      <c r="EKD44" s="170"/>
      <c r="EKE44" s="172"/>
      <c r="EKF44" s="170"/>
      <c r="EKG44" s="172"/>
      <c r="EKH44" s="170"/>
      <c r="EKI44" s="172"/>
      <c r="EKJ44" s="170"/>
      <c r="EKK44" s="172"/>
      <c r="EKL44" s="170"/>
      <c r="EKM44" s="172"/>
      <c r="EKN44" s="170"/>
      <c r="EKO44" s="172"/>
      <c r="EKP44" s="170"/>
      <c r="EKQ44" s="172"/>
      <c r="EKR44" s="170"/>
      <c r="EKS44" s="172"/>
      <c r="EKT44" s="170"/>
      <c r="EKU44" s="172"/>
      <c r="EKV44" s="170"/>
      <c r="EKW44" s="172"/>
      <c r="EKX44" s="170"/>
      <c r="EKY44" s="172"/>
      <c r="EKZ44" s="170"/>
      <c r="ELA44" s="172"/>
      <c r="ELB44" s="170"/>
      <c r="ELC44" s="172"/>
      <c r="ELD44" s="170"/>
      <c r="ELE44" s="172"/>
      <c r="ELF44" s="170"/>
      <c r="ELG44" s="172"/>
      <c r="ELH44" s="170"/>
      <c r="ELI44" s="172"/>
      <c r="ELJ44" s="170"/>
      <c r="ELK44" s="172"/>
      <c r="ELL44" s="170"/>
      <c r="ELM44" s="172"/>
      <c r="ELN44" s="170"/>
      <c r="ELO44" s="172"/>
      <c r="ELP44" s="170"/>
      <c r="ELQ44" s="172"/>
      <c r="ELR44" s="170"/>
      <c r="ELS44" s="172"/>
      <c r="ELT44" s="170"/>
      <c r="ELU44" s="172"/>
      <c r="ELV44" s="170"/>
      <c r="ELW44" s="172"/>
      <c r="ELX44" s="170"/>
      <c r="ELY44" s="172"/>
      <c r="ELZ44" s="170"/>
      <c r="EMA44" s="172"/>
      <c r="EMB44" s="170"/>
      <c r="EMC44" s="172"/>
      <c r="EMD44" s="170"/>
      <c r="EME44" s="172"/>
      <c r="EMF44" s="170"/>
      <c r="EMG44" s="172"/>
      <c r="EMH44" s="170"/>
      <c r="EMI44" s="172"/>
      <c r="EMJ44" s="170"/>
      <c r="EMK44" s="172"/>
      <c r="EML44" s="170"/>
      <c r="EMM44" s="172"/>
      <c r="EMN44" s="170"/>
      <c r="EMO44" s="172"/>
      <c r="EMP44" s="170"/>
      <c r="EMQ44" s="172"/>
      <c r="EMR44" s="170"/>
      <c r="EMS44" s="172"/>
      <c r="EMT44" s="170"/>
      <c r="EMU44" s="172"/>
      <c r="EMV44" s="170"/>
      <c r="EMW44" s="172"/>
      <c r="EMX44" s="170"/>
      <c r="EMY44" s="172"/>
      <c r="EMZ44" s="170"/>
      <c r="ENA44" s="172"/>
      <c r="ENB44" s="170"/>
      <c r="ENC44" s="172"/>
      <c r="END44" s="170"/>
      <c r="ENE44" s="172"/>
      <c r="ENF44" s="170"/>
      <c r="ENG44" s="172"/>
      <c r="ENH44" s="170"/>
      <c r="ENI44" s="172"/>
      <c r="ENJ44" s="170"/>
      <c r="ENK44" s="172"/>
      <c r="ENL44" s="170"/>
      <c r="ENM44" s="172"/>
      <c r="ENN44" s="170"/>
      <c r="ENO44" s="172"/>
      <c r="ENP44" s="170"/>
      <c r="ENQ44" s="172"/>
      <c r="ENR44" s="170"/>
      <c r="ENS44" s="172"/>
      <c r="ENT44" s="170"/>
      <c r="ENU44" s="172"/>
      <c r="ENV44" s="170"/>
      <c r="ENW44" s="172"/>
      <c r="ENX44" s="170"/>
      <c r="ENY44" s="172"/>
      <c r="ENZ44" s="170"/>
      <c r="EOA44" s="172"/>
      <c r="EOB44" s="170"/>
      <c r="EOC44" s="172"/>
      <c r="EOD44" s="170"/>
      <c r="EOE44" s="172"/>
      <c r="EOF44" s="170"/>
      <c r="EOG44" s="172"/>
      <c r="EOH44" s="170"/>
      <c r="EOI44" s="172"/>
      <c r="EOJ44" s="170"/>
      <c r="EOK44" s="172"/>
      <c r="EOL44" s="170"/>
      <c r="EOM44" s="172"/>
      <c r="EON44" s="170"/>
      <c r="EOO44" s="172"/>
      <c r="EOP44" s="170"/>
      <c r="EOQ44" s="172"/>
      <c r="EOR44" s="170"/>
      <c r="EOS44" s="172"/>
      <c r="EOT44" s="170"/>
      <c r="EOU44" s="172"/>
      <c r="EOV44" s="170"/>
      <c r="EOW44" s="172"/>
      <c r="EOX44" s="170"/>
      <c r="EOY44" s="172"/>
      <c r="EOZ44" s="170"/>
      <c r="EPA44" s="172"/>
      <c r="EPB44" s="170"/>
      <c r="EPC44" s="172"/>
      <c r="EPD44" s="170"/>
      <c r="EPE44" s="172"/>
      <c r="EPF44" s="170"/>
      <c r="EPG44" s="172"/>
      <c r="EPH44" s="170"/>
      <c r="EPI44" s="172"/>
      <c r="EPJ44" s="170"/>
      <c r="EPK44" s="172"/>
      <c r="EPL44" s="170"/>
      <c r="EPM44" s="172"/>
      <c r="EPN44" s="170"/>
      <c r="EPO44" s="172"/>
      <c r="EPP44" s="170"/>
      <c r="EPQ44" s="172"/>
      <c r="EPR44" s="170"/>
      <c r="EPS44" s="172"/>
      <c r="EPT44" s="170"/>
      <c r="EPU44" s="172"/>
      <c r="EPV44" s="170"/>
      <c r="EPW44" s="172"/>
      <c r="EPX44" s="170"/>
      <c r="EPY44" s="172"/>
      <c r="EPZ44" s="170"/>
      <c r="EQA44" s="172"/>
      <c r="EQB44" s="170"/>
      <c r="EQC44" s="172"/>
      <c r="EQD44" s="170"/>
      <c r="EQE44" s="172"/>
      <c r="EQF44" s="170"/>
      <c r="EQG44" s="172"/>
      <c r="EQH44" s="170"/>
      <c r="EQI44" s="172"/>
      <c r="EQJ44" s="170"/>
      <c r="EQK44" s="172"/>
      <c r="EQL44" s="170"/>
      <c r="EQM44" s="172"/>
      <c r="EQN44" s="170"/>
      <c r="EQO44" s="172"/>
      <c r="EQP44" s="170"/>
      <c r="EQQ44" s="172"/>
      <c r="EQR44" s="170"/>
      <c r="EQS44" s="172"/>
      <c r="EQT44" s="170"/>
      <c r="EQU44" s="172"/>
      <c r="EQV44" s="170"/>
      <c r="EQW44" s="172"/>
      <c r="EQX44" s="170"/>
      <c r="EQY44" s="172"/>
      <c r="EQZ44" s="170"/>
      <c r="ERA44" s="172"/>
      <c r="ERB44" s="170"/>
      <c r="ERC44" s="172"/>
      <c r="ERD44" s="170"/>
      <c r="ERE44" s="172"/>
      <c r="ERF44" s="170"/>
      <c r="ERG44" s="172"/>
      <c r="ERH44" s="170"/>
      <c r="ERI44" s="172"/>
      <c r="ERJ44" s="170"/>
      <c r="ERK44" s="172"/>
      <c r="ERL44" s="170"/>
      <c r="ERM44" s="172"/>
      <c r="ERN44" s="170"/>
      <c r="ERO44" s="172"/>
      <c r="ERP44" s="170"/>
      <c r="ERQ44" s="172"/>
      <c r="ERR44" s="170"/>
      <c r="ERS44" s="172"/>
      <c r="ERT44" s="170"/>
      <c r="ERU44" s="172"/>
      <c r="ERV44" s="170"/>
      <c r="ERW44" s="172"/>
      <c r="ERX44" s="170"/>
      <c r="ERY44" s="172"/>
      <c r="ERZ44" s="170"/>
      <c r="ESA44" s="172"/>
      <c r="ESB44" s="170"/>
      <c r="ESC44" s="172"/>
      <c r="ESD44" s="170"/>
      <c r="ESE44" s="172"/>
      <c r="ESF44" s="170"/>
      <c r="ESG44" s="172"/>
      <c r="ESH44" s="170"/>
      <c r="ESI44" s="172"/>
      <c r="ESJ44" s="170"/>
      <c r="ESK44" s="172"/>
      <c r="ESL44" s="170"/>
      <c r="ESM44" s="172"/>
      <c r="ESN44" s="170"/>
      <c r="ESO44" s="172"/>
      <c r="ESP44" s="170"/>
      <c r="ESQ44" s="172"/>
      <c r="ESR44" s="170"/>
      <c r="ESS44" s="172"/>
      <c r="EST44" s="170"/>
      <c r="ESU44" s="172"/>
      <c r="ESV44" s="170"/>
      <c r="ESW44" s="172"/>
      <c r="ESX44" s="170"/>
      <c r="ESY44" s="172"/>
      <c r="ESZ44" s="170"/>
      <c r="ETA44" s="172"/>
      <c r="ETB44" s="170"/>
      <c r="ETC44" s="172"/>
      <c r="ETD44" s="170"/>
      <c r="ETE44" s="172"/>
      <c r="ETF44" s="170"/>
      <c r="ETG44" s="172"/>
      <c r="ETH44" s="170"/>
      <c r="ETI44" s="172"/>
      <c r="ETJ44" s="170"/>
      <c r="ETK44" s="172"/>
      <c r="ETL44" s="170"/>
      <c r="ETM44" s="172"/>
      <c r="ETN44" s="170"/>
      <c r="ETO44" s="172"/>
      <c r="ETP44" s="170"/>
      <c r="ETQ44" s="172"/>
      <c r="ETR44" s="170"/>
      <c r="ETS44" s="172"/>
      <c r="ETT44" s="170"/>
      <c r="ETU44" s="172"/>
      <c r="ETV44" s="170"/>
      <c r="ETW44" s="172"/>
      <c r="ETX44" s="170"/>
      <c r="ETY44" s="172"/>
      <c r="ETZ44" s="170"/>
      <c r="EUA44" s="172"/>
      <c r="EUB44" s="170"/>
      <c r="EUC44" s="172"/>
      <c r="EUD44" s="170"/>
      <c r="EUE44" s="172"/>
      <c r="EUF44" s="170"/>
      <c r="EUG44" s="172"/>
      <c r="EUH44" s="170"/>
      <c r="EUI44" s="172"/>
      <c r="EUJ44" s="170"/>
      <c r="EUK44" s="172"/>
      <c r="EUL44" s="170"/>
      <c r="EUM44" s="172"/>
      <c r="EUN44" s="170"/>
      <c r="EUO44" s="172"/>
      <c r="EUP44" s="170"/>
      <c r="EUQ44" s="172"/>
      <c r="EUR44" s="170"/>
      <c r="EUS44" s="172"/>
      <c r="EUT44" s="170"/>
      <c r="EUU44" s="172"/>
      <c r="EUV44" s="170"/>
      <c r="EUW44" s="172"/>
      <c r="EUX44" s="170"/>
      <c r="EUY44" s="172"/>
      <c r="EUZ44" s="170"/>
      <c r="EVA44" s="172"/>
      <c r="EVB44" s="170"/>
      <c r="EVC44" s="172"/>
      <c r="EVD44" s="170"/>
      <c r="EVE44" s="172"/>
      <c r="EVF44" s="170"/>
      <c r="EVG44" s="172"/>
      <c r="EVH44" s="170"/>
      <c r="EVI44" s="172"/>
      <c r="EVJ44" s="170"/>
      <c r="EVK44" s="172"/>
      <c r="EVL44" s="170"/>
      <c r="EVM44" s="172"/>
      <c r="EVN44" s="170"/>
      <c r="EVO44" s="172"/>
      <c r="EVP44" s="170"/>
      <c r="EVQ44" s="172"/>
      <c r="EVR44" s="170"/>
      <c r="EVS44" s="172"/>
      <c r="EVT44" s="170"/>
      <c r="EVU44" s="172"/>
      <c r="EVV44" s="170"/>
      <c r="EVW44" s="172"/>
      <c r="EVX44" s="170"/>
      <c r="EVY44" s="172"/>
      <c r="EVZ44" s="170"/>
      <c r="EWA44" s="172"/>
      <c r="EWB44" s="170"/>
      <c r="EWC44" s="172"/>
      <c r="EWD44" s="170"/>
      <c r="EWE44" s="172"/>
      <c r="EWF44" s="170"/>
      <c r="EWG44" s="172"/>
      <c r="EWH44" s="170"/>
      <c r="EWI44" s="172"/>
      <c r="EWJ44" s="170"/>
      <c r="EWK44" s="172"/>
      <c r="EWL44" s="170"/>
      <c r="EWM44" s="172"/>
      <c r="EWN44" s="170"/>
      <c r="EWO44" s="172"/>
      <c r="EWP44" s="170"/>
      <c r="EWQ44" s="172"/>
      <c r="EWR44" s="170"/>
      <c r="EWS44" s="172"/>
      <c r="EWT44" s="170"/>
      <c r="EWU44" s="172"/>
      <c r="EWV44" s="170"/>
      <c r="EWW44" s="172"/>
      <c r="EWX44" s="170"/>
      <c r="EWY44" s="172"/>
      <c r="EWZ44" s="170"/>
      <c r="EXA44" s="172"/>
      <c r="EXB44" s="170"/>
      <c r="EXC44" s="172"/>
      <c r="EXD44" s="170"/>
      <c r="EXE44" s="172"/>
      <c r="EXF44" s="170"/>
      <c r="EXG44" s="172"/>
      <c r="EXH44" s="170"/>
      <c r="EXI44" s="172"/>
      <c r="EXJ44" s="170"/>
      <c r="EXK44" s="172"/>
      <c r="EXL44" s="170"/>
      <c r="EXM44" s="172"/>
      <c r="EXN44" s="170"/>
      <c r="EXO44" s="172"/>
      <c r="EXP44" s="170"/>
      <c r="EXQ44" s="172"/>
      <c r="EXR44" s="170"/>
      <c r="EXS44" s="172"/>
      <c r="EXT44" s="170"/>
      <c r="EXU44" s="172"/>
      <c r="EXV44" s="170"/>
      <c r="EXW44" s="172"/>
      <c r="EXX44" s="170"/>
      <c r="EXY44" s="172"/>
      <c r="EXZ44" s="170"/>
      <c r="EYA44" s="172"/>
      <c r="EYB44" s="170"/>
      <c r="EYC44" s="172"/>
      <c r="EYD44" s="170"/>
      <c r="EYE44" s="172"/>
      <c r="EYF44" s="170"/>
      <c r="EYG44" s="172"/>
      <c r="EYH44" s="170"/>
      <c r="EYI44" s="172"/>
      <c r="EYJ44" s="170"/>
      <c r="EYK44" s="172"/>
      <c r="EYL44" s="170"/>
      <c r="EYM44" s="172"/>
      <c r="EYN44" s="170"/>
      <c r="EYO44" s="172"/>
      <c r="EYP44" s="170"/>
      <c r="EYQ44" s="172"/>
      <c r="EYR44" s="170"/>
      <c r="EYS44" s="172"/>
      <c r="EYT44" s="170"/>
      <c r="EYU44" s="172"/>
      <c r="EYV44" s="170"/>
      <c r="EYW44" s="172"/>
      <c r="EYX44" s="170"/>
      <c r="EYY44" s="172"/>
      <c r="EYZ44" s="170"/>
      <c r="EZA44" s="172"/>
      <c r="EZB44" s="170"/>
      <c r="EZC44" s="172"/>
      <c r="EZD44" s="170"/>
      <c r="EZE44" s="172"/>
      <c r="EZF44" s="170"/>
      <c r="EZG44" s="172"/>
      <c r="EZH44" s="170"/>
      <c r="EZI44" s="172"/>
      <c r="EZJ44" s="170"/>
      <c r="EZK44" s="172"/>
      <c r="EZL44" s="170"/>
      <c r="EZM44" s="172"/>
      <c r="EZN44" s="170"/>
      <c r="EZO44" s="172"/>
      <c r="EZP44" s="170"/>
      <c r="EZQ44" s="172"/>
      <c r="EZR44" s="170"/>
      <c r="EZS44" s="172"/>
      <c r="EZT44" s="170"/>
      <c r="EZU44" s="172"/>
      <c r="EZV44" s="170"/>
      <c r="EZW44" s="172"/>
      <c r="EZX44" s="170"/>
      <c r="EZY44" s="172"/>
      <c r="EZZ44" s="170"/>
      <c r="FAA44" s="172"/>
      <c r="FAB44" s="170"/>
      <c r="FAC44" s="172"/>
      <c r="FAD44" s="170"/>
      <c r="FAE44" s="172"/>
      <c r="FAF44" s="170"/>
      <c r="FAG44" s="172"/>
      <c r="FAH44" s="170"/>
      <c r="FAI44" s="172"/>
      <c r="FAJ44" s="170"/>
      <c r="FAK44" s="172"/>
      <c r="FAL44" s="170"/>
      <c r="FAM44" s="172"/>
      <c r="FAN44" s="170"/>
      <c r="FAO44" s="172"/>
      <c r="FAP44" s="170"/>
      <c r="FAQ44" s="172"/>
      <c r="FAR44" s="170"/>
      <c r="FAS44" s="172"/>
      <c r="FAT44" s="170"/>
      <c r="FAU44" s="172"/>
      <c r="FAV44" s="170"/>
      <c r="FAW44" s="172"/>
      <c r="FAX44" s="170"/>
      <c r="FAY44" s="172"/>
      <c r="FAZ44" s="170"/>
      <c r="FBA44" s="172"/>
      <c r="FBB44" s="170"/>
      <c r="FBC44" s="172"/>
      <c r="FBD44" s="170"/>
      <c r="FBE44" s="172"/>
      <c r="FBF44" s="170"/>
      <c r="FBG44" s="172"/>
      <c r="FBH44" s="170"/>
      <c r="FBI44" s="172"/>
      <c r="FBJ44" s="170"/>
      <c r="FBK44" s="172"/>
      <c r="FBL44" s="170"/>
      <c r="FBM44" s="172"/>
      <c r="FBN44" s="170"/>
      <c r="FBO44" s="172"/>
      <c r="FBP44" s="170"/>
      <c r="FBQ44" s="172"/>
      <c r="FBR44" s="170"/>
      <c r="FBS44" s="172"/>
      <c r="FBT44" s="170"/>
      <c r="FBU44" s="172"/>
      <c r="FBV44" s="170"/>
      <c r="FBW44" s="172"/>
      <c r="FBX44" s="170"/>
      <c r="FBY44" s="172"/>
      <c r="FBZ44" s="170"/>
      <c r="FCA44" s="172"/>
      <c r="FCB44" s="170"/>
      <c r="FCC44" s="172"/>
      <c r="FCD44" s="170"/>
      <c r="FCE44" s="172"/>
      <c r="FCF44" s="170"/>
      <c r="FCG44" s="172"/>
      <c r="FCH44" s="170"/>
      <c r="FCI44" s="172"/>
      <c r="FCJ44" s="170"/>
      <c r="FCK44" s="172"/>
      <c r="FCL44" s="170"/>
      <c r="FCM44" s="172"/>
      <c r="FCN44" s="170"/>
      <c r="FCO44" s="172"/>
      <c r="FCP44" s="170"/>
      <c r="FCQ44" s="172"/>
      <c r="FCR44" s="170"/>
      <c r="FCS44" s="172"/>
      <c r="FCT44" s="170"/>
      <c r="FCU44" s="172"/>
      <c r="FCV44" s="170"/>
      <c r="FCW44" s="172"/>
      <c r="FCX44" s="170"/>
      <c r="FCY44" s="172"/>
      <c r="FCZ44" s="170"/>
      <c r="FDA44" s="172"/>
      <c r="FDB44" s="170"/>
      <c r="FDC44" s="172"/>
      <c r="FDD44" s="170"/>
      <c r="FDE44" s="172"/>
      <c r="FDF44" s="170"/>
      <c r="FDG44" s="172"/>
      <c r="FDH44" s="170"/>
      <c r="FDI44" s="172"/>
      <c r="FDJ44" s="170"/>
      <c r="FDK44" s="172"/>
      <c r="FDL44" s="170"/>
      <c r="FDM44" s="172"/>
      <c r="FDN44" s="170"/>
      <c r="FDO44" s="172"/>
      <c r="FDP44" s="170"/>
      <c r="FDQ44" s="172"/>
      <c r="FDR44" s="170"/>
      <c r="FDS44" s="172"/>
      <c r="FDT44" s="170"/>
      <c r="FDU44" s="172"/>
      <c r="FDV44" s="170"/>
      <c r="FDW44" s="172"/>
      <c r="FDX44" s="170"/>
      <c r="FDY44" s="172"/>
      <c r="FDZ44" s="170"/>
      <c r="FEA44" s="172"/>
      <c r="FEB44" s="170"/>
      <c r="FEC44" s="172"/>
      <c r="FED44" s="170"/>
      <c r="FEE44" s="172"/>
      <c r="FEF44" s="170"/>
      <c r="FEG44" s="172"/>
      <c r="FEH44" s="170"/>
      <c r="FEI44" s="172"/>
      <c r="FEJ44" s="170"/>
      <c r="FEK44" s="172"/>
      <c r="FEL44" s="170"/>
      <c r="FEM44" s="172"/>
      <c r="FEN44" s="170"/>
      <c r="FEO44" s="172"/>
      <c r="FEP44" s="170"/>
      <c r="FEQ44" s="172"/>
      <c r="FER44" s="170"/>
      <c r="FES44" s="172"/>
      <c r="FET44" s="170"/>
      <c r="FEU44" s="172"/>
      <c r="FEV44" s="170"/>
      <c r="FEW44" s="172"/>
      <c r="FEX44" s="170"/>
      <c r="FEY44" s="172"/>
      <c r="FEZ44" s="170"/>
      <c r="FFA44" s="172"/>
      <c r="FFB44" s="170"/>
      <c r="FFC44" s="172"/>
      <c r="FFD44" s="170"/>
      <c r="FFE44" s="172"/>
      <c r="FFF44" s="170"/>
      <c r="FFG44" s="172"/>
      <c r="FFH44" s="170"/>
      <c r="FFI44" s="172"/>
      <c r="FFJ44" s="170"/>
      <c r="FFK44" s="172"/>
      <c r="FFL44" s="170"/>
      <c r="FFM44" s="172"/>
      <c r="FFN44" s="170"/>
      <c r="FFO44" s="172"/>
      <c r="FFP44" s="170"/>
      <c r="FFQ44" s="172"/>
      <c r="FFR44" s="170"/>
      <c r="FFS44" s="172"/>
      <c r="FFT44" s="170"/>
      <c r="FFU44" s="172"/>
      <c r="FFV44" s="170"/>
      <c r="FFW44" s="172"/>
      <c r="FFX44" s="170"/>
      <c r="FFY44" s="172"/>
      <c r="FFZ44" s="170"/>
      <c r="FGA44" s="172"/>
      <c r="FGB44" s="170"/>
      <c r="FGC44" s="172"/>
      <c r="FGD44" s="170"/>
      <c r="FGE44" s="172"/>
      <c r="FGF44" s="170"/>
      <c r="FGG44" s="172"/>
      <c r="FGH44" s="170"/>
      <c r="FGI44" s="172"/>
      <c r="FGJ44" s="170"/>
      <c r="FGK44" s="172"/>
      <c r="FGL44" s="170"/>
      <c r="FGM44" s="172"/>
      <c r="FGN44" s="170"/>
      <c r="FGO44" s="172"/>
      <c r="FGP44" s="170"/>
      <c r="FGQ44" s="172"/>
      <c r="FGR44" s="170"/>
      <c r="FGS44" s="172"/>
      <c r="FGT44" s="170"/>
      <c r="FGU44" s="172"/>
      <c r="FGV44" s="170"/>
      <c r="FGW44" s="172"/>
      <c r="FGX44" s="170"/>
      <c r="FGY44" s="172"/>
      <c r="FGZ44" s="170"/>
      <c r="FHA44" s="172"/>
      <c r="FHB44" s="170"/>
      <c r="FHC44" s="172"/>
      <c r="FHD44" s="170"/>
      <c r="FHE44" s="172"/>
      <c r="FHF44" s="170"/>
      <c r="FHG44" s="172"/>
      <c r="FHH44" s="170"/>
      <c r="FHI44" s="172"/>
      <c r="FHJ44" s="170"/>
      <c r="FHK44" s="172"/>
      <c r="FHL44" s="170"/>
      <c r="FHM44" s="172"/>
      <c r="FHN44" s="170"/>
      <c r="FHO44" s="172"/>
      <c r="FHP44" s="170"/>
      <c r="FHQ44" s="172"/>
      <c r="FHR44" s="170"/>
      <c r="FHS44" s="172"/>
      <c r="FHT44" s="170"/>
      <c r="FHU44" s="172"/>
      <c r="FHV44" s="170"/>
      <c r="FHW44" s="172"/>
      <c r="FHX44" s="170"/>
      <c r="FHY44" s="172"/>
      <c r="FHZ44" s="170"/>
      <c r="FIA44" s="172"/>
      <c r="FIB44" s="170"/>
      <c r="FIC44" s="172"/>
      <c r="FID44" s="170"/>
      <c r="FIE44" s="172"/>
      <c r="FIF44" s="170"/>
      <c r="FIG44" s="172"/>
      <c r="FIH44" s="170"/>
      <c r="FII44" s="172"/>
      <c r="FIJ44" s="170"/>
      <c r="FIK44" s="172"/>
      <c r="FIL44" s="170"/>
      <c r="FIM44" s="172"/>
      <c r="FIN44" s="170"/>
      <c r="FIO44" s="172"/>
      <c r="FIP44" s="170"/>
      <c r="FIQ44" s="172"/>
      <c r="FIR44" s="170"/>
      <c r="FIS44" s="172"/>
      <c r="FIT44" s="170"/>
      <c r="FIU44" s="172"/>
      <c r="FIV44" s="170"/>
      <c r="FIW44" s="172"/>
      <c r="FIX44" s="170"/>
      <c r="FIY44" s="172"/>
      <c r="FIZ44" s="170"/>
      <c r="FJA44" s="172"/>
      <c r="FJB44" s="170"/>
      <c r="FJC44" s="172"/>
      <c r="FJD44" s="170"/>
      <c r="FJE44" s="172"/>
      <c r="FJF44" s="170"/>
      <c r="FJG44" s="172"/>
      <c r="FJH44" s="170"/>
      <c r="FJI44" s="172"/>
      <c r="FJJ44" s="170"/>
      <c r="FJK44" s="172"/>
      <c r="FJL44" s="170"/>
      <c r="FJM44" s="172"/>
      <c r="FJN44" s="170"/>
      <c r="FJO44" s="172"/>
      <c r="FJP44" s="170"/>
      <c r="FJQ44" s="172"/>
      <c r="FJR44" s="170"/>
      <c r="FJS44" s="172"/>
      <c r="FJT44" s="170"/>
      <c r="FJU44" s="172"/>
      <c r="FJV44" s="170"/>
      <c r="FJW44" s="172"/>
      <c r="FJX44" s="170"/>
      <c r="FJY44" s="172"/>
      <c r="FJZ44" s="170"/>
      <c r="FKA44" s="172"/>
      <c r="FKB44" s="170"/>
      <c r="FKC44" s="172"/>
      <c r="FKD44" s="170"/>
      <c r="FKE44" s="172"/>
      <c r="FKF44" s="170"/>
      <c r="FKG44" s="172"/>
      <c r="FKH44" s="170"/>
      <c r="FKI44" s="172"/>
      <c r="FKJ44" s="170"/>
      <c r="FKK44" s="172"/>
      <c r="FKL44" s="170"/>
      <c r="FKM44" s="172"/>
      <c r="FKN44" s="170"/>
      <c r="FKO44" s="172"/>
      <c r="FKP44" s="170"/>
      <c r="FKQ44" s="172"/>
      <c r="FKR44" s="170"/>
      <c r="FKS44" s="172"/>
      <c r="FKT44" s="170"/>
      <c r="FKU44" s="172"/>
      <c r="FKV44" s="170"/>
      <c r="FKW44" s="172"/>
      <c r="FKX44" s="170"/>
      <c r="FKY44" s="172"/>
      <c r="FKZ44" s="170"/>
      <c r="FLA44" s="172"/>
      <c r="FLB44" s="170"/>
      <c r="FLC44" s="172"/>
      <c r="FLD44" s="170"/>
      <c r="FLE44" s="172"/>
      <c r="FLF44" s="170"/>
      <c r="FLG44" s="172"/>
      <c r="FLH44" s="170"/>
      <c r="FLI44" s="172"/>
      <c r="FLJ44" s="170"/>
      <c r="FLK44" s="172"/>
      <c r="FLL44" s="170"/>
      <c r="FLM44" s="172"/>
      <c r="FLN44" s="170"/>
      <c r="FLO44" s="172"/>
      <c r="FLP44" s="170"/>
      <c r="FLQ44" s="172"/>
      <c r="FLR44" s="170"/>
      <c r="FLS44" s="172"/>
      <c r="FLT44" s="170"/>
      <c r="FLU44" s="172"/>
      <c r="FLV44" s="170"/>
      <c r="FLW44" s="172"/>
      <c r="FLX44" s="170"/>
      <c r="FLY44" s="172"/>
      <c r="FLZ44" s="170"/>
      <c r="FMA44" s="172"/>
      <c r="FMB44" s="170"/>
      <c r="FMC44" s="172"/>
      <c r="FMD44" s="170"/>
      <c r="FME44" s="172"/>
      <c r="FMF44" s="170"/>
      <c r="FMG44" s="172"/>
      <c r="FMH44" s="170"/>
      <c r="FMI44" s="172"/>
      <c r="FMJ44" s="170"/>
      <c r="FMK44" s="172"/>
      <c r="FML44" s="170"/>
      <c r="FMM44" s="172"/>
      <c r="FMN44" s="170"/>
      <c r="FMO44" s="172"/>
      <c r="FMP44" s="170"/>
      <c r="FMQ44" s="172"/>
      <c r="FMR44" s="170"/>
      <c r="FMS44" s="172"/>
      <c r="FMT44" s="170"/>
      <c r="FMU44" s="172"/>
      <c r="FMV44" s="170"/>
      <c r="FMW44" s="172"/>
      <c r="FMX44" s="170"/>
      <c r="FMY44" s="172"/>
      <c r="FMZ44" s="170"/>
      <c r="FNA44" s="172"/>
      <c r="FNB44" s="170"/>
      <c r="FNC44" s="172"/>
      <c r="FND44" s="170"/>
      <c r="FNE44" s="172"/>
      <c r="FNF44" s="170"/>
      <c r="FNG44" s="172"/>
      <c r="FNH44" s="170"/>
      <c r="FNI44" s="172"/>
      <c r="FNJ44" s="170"/>
      <c r="FNK44" s="172"/>
      <c r="FNL44" s="170"/>
      <c r="FNM44" s="172"/>
      <c r="FNN44" s="170"/>
      <c r="FNO44" s="172"/>
      <c r="FNP44" s="170"/>
      <c r="FNQ44" s="172"/>
      <c r="FNR44" s="170"/>
      <c r="FNS44" s="172"/>
      <c r="FNT44" s="170"/>
      <c r="FNU44" s="172"/>
      <c r="FNV44" s="170"/>
      <c r="FNW44" s="172"/>
      <c r="FNX44" s="170"/>
      <c r="FNY44" s="172"/>
      <c r="FNZ44" s="170"/>
      <c r="FOA44" s="172"/>
      <c r="FOB44" s="170"/>
      <c r="FOC44" s="172"/>
      <c r="FOD44" s="170"/>
      <c r="FOE44" s="172"/>
      <c r="FOF44" s="170"/>
      <c r="FOG44" s="172"/>
      <c r="FOH44" s="170"/>
      <c r="FOI44" s="172"/>
      <c r="FOJ44" s="170"/>
      <c r="FOK44" s="172"/>
      <c r="FOL44" s="170"/>
      <c r="FOM44" s="172"/>
      <c r="FON44" s="170"/>
      <c r="FOO44" s="172"/>
      <c r="FOP44" s="170"/>
      <c r="FOQ44" s="172"/>
      <c r="FOR44" s="170"/>
      <c r="FOS44" s="172"/>
      <c r="FOT44" s="170"/>
      <c r="FOU44" s="172"/>
      <c r="FOV44" s="170"/>
      <c r="FOW44" s="172"/>
      <c r="FOX44" s="170"/>
      <c r="FOY44" s="172"/>
      <c r="FOZ44" s="170"/>
      <c r="FPA44" s="172"/>
      <c r="FPB44" s="170"/>
      <c r="FPC44" s="172"/>
      <c r="FPD44" s="170"/>
      <c r="FPE44" s="172"/>
      <c r="FPF44" s="170"/>
      <c r="FPG44" s="172"/>
      <c r="FPH44" s="170"/>
      <c r="FPI44" s="172"/>
      <c r="FPJ44" s="170"/>
      <c r="FPK44" s="172"/>
      <c r="FPL44" s="170"/>
      <c r="FPM44" s="172"/>
      <c r="FPN44" s="170"/>
      <c r="FPO44" s="172"/>
      <c r="FPP44" s="170"/>
      <c r="FPQ44" s="172"/>
      <c r="FPR44" s="170"/>
      <c r="FPS44" s="172"/>
      <c r="FPT44" s="170"/>
      <c r="FPU44" s="172"/>
      <c r="FPV44" s="170"/>
      <c r="FPW44" s="172"/>
      <c r="FPX44" s="170"/>
      <c r="FPY44" s="172"/>
      <c r="FPZ44" s="170"/>
      <c r="FQA44" s="172"/>
      <c r="FQB44" s="170"/>
      <c r="FQC44" s="172"/>
      <c r="FQD44" s="170"/>
      <c r="FQE44" s="172"/>
      <c r="FQF44" s="170"/>
      <c r="FQG44" s="172"/>
      <c r="FQH44" s="170"/>
      <c r="FQI44" s="172"/>
      <c r="FQJ44" s="170"/>
      <c r="FQK44" s="172"/>
      <c r="FQL44" s="170"/>
      <c r="FQM44" s="172"/>
      <c r="FQN44" s="170"/>
      <c r="FQO44" s="172"/>
      <c r="FQP44" s="170"/>
      <c r="FQQ44" s="172"/>
      <c r="FQR44" s="170"/>
      <c r="FQS44" s="172"/>
      <c r="FQT44" s="170"/>
      <c r="FQU44" s="172"/>
      <c r="FQV44" s="170"/>
      <c r="FQW44" s="172"/>
      <c r="FQX44" s="170"/>
      <c r="FQY44" s="172"/>
      <c r="FQZ44" s="170"/>
      <c r="FRA44" s="172"/>
      <c r="FRB44" s="170"/>
      <c r="FRC44" s="172"/>
      <c r="FRD44" s="170"/>
      <c r="FRE44" s="172"/>
      <c r="FRF44" s="170"/>
      <c r="FRG44" s="172"/>
      <c r="FRH44" s="170"/>
      <c r="FRI44" s="172"/>
      <c r="FRJ44" s="170"/>
      <c r="FRK44" s="172"/>
      <c r="FRL44" s="170"/>
      <c r="FRM44" s="172"/>
      <c r="FRN44" s="170"/>
      <c r="FRO44" s="172"/>
      <c r="FRP44" s="170"/>
      <c r="FRQ44" s="172"/>
      <c r="FRR44" s="170"/>
      <c r="FRS44" s="172"/>
      <c r="FRT44" s="170"/>
      <c r="FRU44" s="172"/>
      <c r="FRV44" s="170"/>
      <c r="FRW44" s="172"/>
      <c r="FRX44" s="170"/>
      <c r="FRY44" s="172"/>
      <c r="FRZ44" s="170"/>
      <c r="FSA44" s="172"/>
      <c r="FSB44" s="170"/>
      <c r="FSC44" s="172"/>
      <c r="FSD44" s="170"/>
      <c r="FSE44" s="172"/>
      <c r="FSF44" s="170"/>
      <c r="FSG44" s="172"/>
      <c r="FSH44" s="170"/>
      <c r="FSI44" s="172"/>
      <c r="FSJ44" s="170"/>
      <c r="FSK44" s="172"/>
      <c r="FSL44" s="170"/>
      <c r="FSM44" s="172"/>
      <c r="FSN44" s="170"/>
      <c r="FSO44" s="172"/>
      <c r="FSP44" s="170"/>
      <c r="FSQ44" s="172"/>
      <c r="FSR44" s="170"/>
      <c r="FSS44" s="172"/>
      <c r="FST44" s="170"/>
      <c r="FSU44" s="172"/>
      <c r="FSV44" s="170"/>
      <c r="FSW44" s="172"/>
      <c r="FSX44" s="170"/>
      <c r="FSY44" s="172"/>
      <c r="FSZ44" s="170"/>
      <c r="FTA44" s="172"/>
      <c r="FTB44" s="170"/>
      <c r="FTC44" s="172"/>
      <c r="FTD44" s="170"/>
      <c r="FTE44" s="172"/>
      <c r="FTF44" s="170"/>
      <c r="FTG44" s="172"/>
      <c r="FTH44" s="170"/>
      <c r="FTI44" s="172"/>
      <c r="FTJ44" s="170"/>
      <c r="FTK44" s="172"/>
      <c r="FTL44" s="170"/>
      <c r="FTM44" s="172"/>
      <c r="FTN44" s="170"/>
      <c r="FTO44" s="172"/>
      <c r="FTP44" s="170"/>
      <c r="FTQ44" s="172"/>
      <c r="FTR44" s="170"/>
      <c r="FTS44" s="172"/>
      <c r="FTT44" s="170"/>
      <c r="FTU44" s="172"/>
      <c r="FTV44" s="170"/>
      <c r="FTW44" s="172"/>
      <c r="FTX44" s="170"/>
      <c r="FTY44" s="172"/>
      <c r="FTZ44" s="170"/>
      <c r="FUA44" s="172"/>
      <c r="FUB44" s="170"/>
      <c r="FUC44" s="172"/>
      <c r="FUD44" s="170"/>
      <c r="FUE44" s="172"/>
      <c r="FUF44" s="170"/>
      <c r="FUG44" s="172"/>
      <c r="FUH44" s="170"/>
      <c r="FUI44" s="172"/>
      <c r="FUJ44" s="170"/>
      <c r="FUK44" s="172"/>
      <c r="FUL44" s="170"/>
      <c r="FUM44" s="172"/>
      <c r="FUN44" s="170"/>
      <c r="FUO44" s="172"/>
      <c r="FUP44" s="170"/>
      <c r="FUQ44" s="172"/>
      <c r="FUR44" s="170"/>
      <c r="FUS44" s="172"/>
      <c r="FUT44" s="170"/>
      <c r="FUU44" s="172"/>
      <c r="FUV44" s="170"/>
      <c r="FUW44" s="172"/>
      <c r="FUX44" s="170"/>
      <c r="FUY44" s="172"/>
      <c r="FUZ44" s="170"/>
      <c r="FVA44" s="172"/>
      <c r="FVB44" s="170"/>
      <c r="FVC44" s="172"/>
      <c r="FVD44" s="170"/>
      <c r="FVE44" s="172"/>
      <c r="FVF44" s="170"/>
      <c r="FVG44" s="172"/>
      <c r="FVH44" s="170"/>
      <c r="FVI44" s="172"/>
      <c r="FVJ44" s="170"/>
      <c r="FVK44" s="172"/>
      <c r="FVL44" s="170"/>
      <c r="FVM44" s="172"/>
      <c r="FVN44" s="170"/>
      <c r="FVO44" s="172"/>
      <c r="FVP44" s="170"/>
      <c r="FVQ44" s="172"/>
      <c r="FVR44" s="170"/>
      <c r="FVS44" s="172"/>
      <c r="FVT44" s="170"/>
      <c r="FVU44" s="172"/>
      <c r="FVV44" s="170"/>
      <c r="FVW44" s="172"/>
      <c r="FVX44" s="170"/>
      <c r="FVY44" s="172"/>
      <c r="FVZ44" s="170"/>
      <c r="FWA44" s="172"/>
      <c r="FWB44" s="170"/>
      <c r="FWC44" s="172"/>
      <c r="FWD44" s="170"/>
      <c r="FWE44" s="172"/>
      <c r="FWF44" s="170"/>
      <c r="FWG44" s="172"/>
      <c r="FWH44" s="170"/>
      <c r="FWI44" s="172"/>
      <c r="FWJ44" s="170"/>
      <c r="FWK44" s="172"/>
      <c r="FWL44" s="170"/>
      <c r="FWM44" s="172"/>
      <c r="FWN44" s="170"/>
      <c r="FWO44" s="172"/>
      <c r="FWP44" s="170"/>
      <c r="FWQ44" s="172"/>
      <c r="FWR44" s="170"/>
      <c r="FWS44" s="172"/>
      <c r="FWT44" s="170"/>
      <c r="FWU44" s="172"/>
      <c r="FWV44" s="170"/>
      <c r="FWW44" s="172"/>
      <c r="FWX44" s="170"/>
      <c r="FWY44" s="172"/>
      <c r="FWZ44" s="170"/>
      <c r="FXA44" s="172"/>
      <c r="FXB44" s="170"/>
      <c r="FXC44" s="172"/>
      <c r="FXD44" s="170"/>
      <c r="FXE44" s="172"/>
      <c r="FXF44" s="170"/>
      <c r="FXG44" s="172"/>
      <c r="FXH44" s="170"/>
      <c r="FXI44" s="172"/>
      <c r="FXJ44" s="170"/>
      <c r="FXK44" s="172"/>
      <c r="FXL44" s="170"/>
      <c r="FXM44" s="172"/>
      <c r="FXN44" s="170"/>
      <c r="FXO44" s="172"/>
      <c r="FXP44" s="170"/>
      <c r="FXQ44" s="172"/>
      <c r="FXR44" s="170"/>
      <c r="FXS44" s="172"/>
      <c r="FXT44" s="170"/>
      <c r="FXU44" s="172"/>
      <c r="FXV44" s="170"/>
      <c r="FXW44" s="172"/>
      <c r="FXX44" s="170"/>
      <c r="FXY44" s="172"/>
      <c r="FXZ44" s="170"/>
      <c r="FYA44" s="172"/>
      <c r="FYB44" s="170"/>
      <c r="FYC44" s="172"/>
      <c r="FYD44" s="170"/>
      <c r="FYE44" s="172"/>
      <c r="FYF44" s="170"/>
      <c r="FYG44" s="172"/>
      <c r="FYH44" s="170"/>
      <c r="FYI44" s="172"/>
      <c r="FYJ44" s="170"/>
      <c r="FYK44" s="172"/>
      <c r="FYL44" s="170"/>
      <c r="FYM44" s="172"/>
      <c r="FYN44" s="170"/>
      <c r="FYO44" s="172"/>
      <c r="FYP44" s="170"/>
      <c r="FYQ44" s="172"/>
      <c r="FYR44" s="170"/>
      <c r="FYS44" s="172"/>
      <c r="FYT44" s="170"/>
      <c r="FYU44" s="172"/>
      <c r="FYV44" s="170"/>
      <c r="FYW44" s="172"/>
      <c r="FYX44" s="170"/>
      <c r="FYY44" s="172"/>
      <c r="FYZ44" s="170"/>
      <c r="FZA44" s="172"/>
      <c r="FZB44" s="170"/>
      <c r="FZC44" s="172"/>
      <c r="FZD44" s="170"/>
      <c r="FZE44" s="172"/>
      <c r="FZF44" s="170"/>
      <c r="FZG44" s="172"/>
      <c r="FZH44" s="170"/>
      <c r="FZI44" s="172"/>
      <c r="FZJ44" s="170"/>
      <c r="FZK44" s="172"/>
      <c r="FZL44" s="170"/>
      <c r="FZM44" s="172"/>
      <c r="FZN44" s="170"/>
      <c r="FZO44" s="172"/>
      <c r="FZP44" s="170"/>
      <c r="FZQ44" s="172"/>
      <c r="FZR44" s="170"/>
      <c r="FZS44" s="172"/>
      <c r="FZT44" s="170"/>
      <c r="FZU44" s="172"/>
      <c r="FZV44" s="170"/>
      <c r="FZW44" s="172"/>
      <c r="FZX44" s="170"/>
      <c r="FZY44" s="172"/>
      <c r="FZZ44" s="170"/>
      <c r="GAA44" s="172"/>
      <c r="GAB44" s="170"/>
      <c r="GAC44" s="172"/>
      <c r="GAD44" s="170"/>
      <c r="GAE44" s="172"/>
      <c r="GAF44" s="170"/>
      <c r="GAG44" s="172"/>
      <c r="GAH44" s="170"/>
      <c r="GAI44" s="172"/>
      <c r="GAJ44" s="170"/>
      <c r="GAK44" s="172"/>
      <c r="GAL44" s="170"/>
      <c r="GAM44" s="172"/>
      <c r="GAN44" s="170"/>
      <c r="GAO44" s="172"/>
      <c r="GAP44" s="170"/>
      <c r="GAQ44" s="172"/>
      <c r="GAR44" s="170"/>
      <c r="GAS44" s="172"/>
      <c r="GAT44" s="170"/>
      <c r="GAU44" s="172"/>
      <c r="GAV44" s="170"/>
      <c r="GAW44" s="172"/>
      <c r="GAX44" s="170"/>
      <c r="GAY44" s="172"/>
      <c r="GAZ44" s="170"/>
      <c r="GBA44" s="172"/>
      <c r="GBB44" s="170"/>
      <c r="GBC44" s="172"/>
      <c r="GBD44" s="170"/>
      <c r="GBE44" s="172"/>
      <c r="GBF44" s="170"/>
      <c r="GBG44" s="172"/>
      <c r="GBH44" s="170"/>
      <c r="GBI44" s="172"/>
      <c r="GBJ44" s="170"/>
      <c r="GBK44" s="172"/>
      <c r="GBL44" s="170"/>
      <c r="GBM44" s="172"/>
      <c r="GBN44" s="170"/>
      <c r="GBO44" s="172"/>
      <c r="GBP44" s="170"/>
      <c r="GBQ44" s="172"/>
      <c r="GBR44" s="170"/>
      <c r="GBS44" s="172"/>
      <c r="GBT44" s="170"/>
      <c r="GBU44" s="172"/>
      <c r="GBV44" s="170"/>
      <c r="GBW44" s="172"/>
      <c r="GBX44" s="170"/>
      <c r="GBY44" s="172"/>
      <c r="GBZ44" s="170"/>
      <c r="GCA44" s="172"/>
      <c r="GCB44" s="170"/>
      <c r="GCC44" s="172"/>
      <c r="GCD44" s="170"/>
      <c r="GCE44" s="172"/>
      <c r="GCF44" s="170"/>
      <c r="GCG44" s="172"/>
      <c r="GCH44" s="170"/>
      <c r="GCI44" s="172"/>
      <c r="GCJ44" s="170"/>
      <c r="GCK44" s="172"/>
      <c r="GCL44" s="170"/>
      <c r="GCM44" s="172"/>
      <c r="GCN44" s="170"/>
      <c r="GCO44" s="172"/>
      <c r="GCP44" s="170"/>
      <c r="GCQ44" s="172"/>
      <c r="GCR44" s="170"/>
      <c r="GCS44" s="172"/>
      <c r="GCT44" s="170"/>
      <c r="GCU44" s="172"/>
      <c r="GCV44" s="170"/>
      <c r="GCW44" s="172"/>
      <c r="GCX44" s="170"/>
      <c r="GCY44" s="172"/>
      <c r="GCZ44" s="170"/>
      <c r="GDA44" s="172"/>
      <c r="GDB44" s="170"/>
      <c r="GDC44" s="172"/>
      <c r="GDD44" s="170"/>
      <c r="GDE44" s="172"/>
      <c r="GDF44" s="170"/>
      <c r="GDG44" s="172"/>
      <c r="GDH44" s="170"/>
      <c r="GDI44" s="172"/>
      <c r="GDJ44" s="170"/>
      <c r="GDK44" s="172"/>
      <c r="GDL44" s="170"/>
      <c r="GDM44" s="172"/>
      <c r="GDN44" s="170"/>
      <c r="GDO44" s="172"/>
      <c r="GDP44" s="170"/>
      <c r="GDQ44" s="172"/>
      <c r="GDR44" s="170"/>
      <c r="GDS44" s="172"/>
      <c r="GDT44" s="170"/>
      <c r="GDU44" s="172"/>
      <c r="GDV44" s="170"/>
      <c r="GDW44" s="172"/>
      <c r="GDX44" s="170"/>
      <c r="GDY44" s="172"/>
      <c r="GDZ44" s="170"/>
      <c r="GEA44" s="172"/>
      <c r="GEB44" s="170"/>
      <c r="GEC44" s="172"/>
      <c r="GED44" s="170"/>
      <c r="GEE44" s="172"/>
      <c r="GEF44" s="170"/>
      <c r="GEG44" s="172"/>
      <c r="GEH44" s="170"/>
      <c r="GEI44" s="172"/>
      <c r="GEJ44" s="170"/>
      <c r="GEK44" s="172"/>
      <c r="GEL44" s="170"/>
      <c r="GEM44" s="172"/>
      <c r="GEN44" s="170"/>
      <c r="GEO44" s="172"/>
      <c r="GEP44" s="170"/>
      <c r="GEQ44" s="172"/>
      <c r="GER44" s="170"/>
      <c r="GES44" s="172"/>
      <c r="GET44" s="170"/>
      <c r="GEU44" s="172"/>
      <c r="GEV44" s="170"/>
      <c r="GEW44" s="172"/>
      <c r="GEX44" s="170"/>
      <c r="GEY44" s="172"/>
      <c r="GEZ44" s="170"/>
      <c r="GFA44" s="172"/>
      <c r="GFB44" s="170"/>
      <c r="GFC44" s="172"/>
      <c r="GFD44" s="170"/>
      <c r="GFE44" s="172"/>
      <c r="GFF44" s="170"/>
      <c r="GFG44" s="172"/>
      <c r="GFH44" s="170"/>
      <c r="GFI44" s="172"/>
      <c r="GFJ44" s="170"/>
      <c r="GFK44" s="172"/>
      <c r="GFL44" s="170"/>
      <c r="GFM44" s="172"/>
      <c r="GFN44" s="170"/>
      <c r="GFO44" s="172"/>
      <c r="GFP44" s="170"/>
      <c r="GFQ44" s="172"/>
      <c r="GFR44" s="170"/>
      <c r="GFS44" s="172"/>
      <c r="GFT44" s="170"/>
      <c r="GFU44" s="172"/>
      <c r="GFV44" s="170"/>
      <c r="GFW44" s="172"/>
      <c r="GFX44" s="170"/>
      <c r="GFY44" s="172"/>
      <c r="GFZ44" s="170"/>
      <c r="GGA44" s="172"/>
      <c r="GGB44" s="170"/>
      <c r="GGC44" s="172"/>
      <c r="GGD44" s="170"/>
      <c r="GGE44" s="172"/>
      <c r="GGF44" s="170"/>
      <c r="GGG44" s="172"/>
      <c r="GGH44" s="170"/>
      <c r="GGI44" s="172"/>
      <c r="GGJ44" s="170"/>
      <c r="GGK44" s="172"/>
      <c r="GGL44" s="170"/>
      <c r="GGM44" s="172"/>
      <c r="GGN44" s="170"/>
      <c r="GGO44" s="172"/>
      <c r="GGP44" s="170"/>
      <c r="GGQ44" s="172"/>
      <c r="GGR44" s="170"/>
      <c r="GGS44" s="172"/>
      <c r="GGT44" s="170"/>
      <c r="GGU44" s="172"/>
      <c r="GGV44" s="170"/>
      <c r="GGW44" s="172"/>
      <c r="GGX44" s="170"/>
      <c r="GGY44" s="172"/>
      <c r="GGZ44" s="170"/>
      <c r="GHA44" s="172"/>
      <c r="GHB44" s="170"/>
      <c r="GHC44" s="172"/>
      <c r="GHD44" s="170"/>
      <c r="GHE44" s="172"/>
      <c r="GHF44" s="170"/>
      <c r="GHG44" s="172"/>
      <c r="GHH44" s="170"/>
      <c r="GHI44" s="172"/>
      <c r="GHJ44" s="170"/>
      <c r="GHK44" s="172"/>
      <c r="GHL44" s="170"/>
      <c r="GHM44" s="172"/>
      <c r="GHN44" s="170"/>
      <c r="GHO44" s="172"/>
      <c r="GHP44" s="170"/>
      <c r="GHQ44" s="172"/>
      <c r="GHR44" s="170"/>
      <c r="GHS44" s="172"/>
      <c r="GHT44" s="170"/>
      <c r="GHU44" s="172"/>
      <c r="GHV44" s="170"/>
      <c r="GHW44" s="172"/>
      <c r="GHX44" s="170"/>
      <c r="GHY44" s="172"/>
      <c r="GHZ44" s="170"/>
      <c r="GIA44" s="172"/>
      <c r="GIB44" s="170"/>
      <c r="GIC44" s="172"/>
      <c r="GID44" s="170"/>
      <c r="GIE44" s="172"/>
      <c r="GIF44" s="170"/>
      <c r="GIG44" s="172"/>
      <c r="GIH44" s="170"/>
      <c r="GII44" s="172"/>
      <c r="GIJ44" s="170"/>
      <c r="GIK44" s="172"/>
      <c r="GIL44" s="170"/>
      <c r="GIM44" s="172"/>
      <c r="GIN44" s="170"/>
      <c r="GIO44" s="172"/>
      <c r="GIP44" s="170"/>
      <c r="GIQ44" s="172"/>
      <c r="GIR44" s="170"/>
      <c r="GIS44" s="172"/>
      <c r="GIT44" s="170"/>
      <c r="GIU44" s="172"/>
      <c r="GIV44" s="170"/>
      <c r="GIW44" s="172"/>
      <c r="GIX44" s="170"/>
      <c r="GIY44" s="172"/>
      <c r="GIZ44" s="170"/>
      <c r="GJA44" s="172"/>
      <c r="GJB44" s="170"/>
      <c r="GJC44" s="172"/>
      <c r="GJD44" s="170"/>
      <c r="GJE44" s="172"/>
      <c r="GJF44" s="170"/>
      <c r="GJG44" s="172"/>
      <c r="GJH44" s="170"/>
      <c r="GJI44" s="172"/>
      <c r="GJJ44" s="170"/>
      <c r="GJK44" s="172"/>
      <c r="GJL44" s="170"/>
      <c r="GJM44" s="172"/>
      <c r="GJN44" s="170"/>
      <c r="GJO44" s="172"/>
      <c r="GJP44" s="170"/>
      <c r="GJQ44" s="172"/>
      <c r="GJR44" s="170"/>
      <c r="GJS44" s="172"/>
      <c r="GJT44" s="170"/>
      <c r="GJU44" s="172"/>
      <c r="GJV44" s="170"/>
      <c r="GJW44" s="172"/>
      <c r="GJX44" s="170"/>
      <c r="GJY44" s="172"/>
      <c r="GJZ44" s="170"/>
      <c r="GKA44" s="172"/>
      <c r="GKB44" s="170"/>
      <c r="GKC44" s="172"/>
      <c r="GKD44" s="170"/>
      <c r="GKE44" s="172"/>
      <c r="GKF44" s="170"/>
      <c r="GKG44" s="172"/>
      <c r="GKH44" s="170"/>
      <c r="GKI44" s="172"/>
      <c r="GKJ44" s="170"/>
      <c r="GKK44" s="172"/>
      <c r="GKL44" s="170"/>
      <c r="GKM44" s="172"/>
      <c r="GKN44" s="170"/>
      <c r="GKO44" s="172"/>
      <c r="GKP44" s="170"/>
      <c r="GKQ44" s="172"/>
      <c r="GKR44" s="170"/>
      <c r="GKS44" s="172"/>
      <c r="GKT44" s="170"/>
      <c r="GKU44" s="172"/>
      <c r="GKV44" s="170"/>
      <c r="GKW44" s="172"/>
      <c r="GKX44" s="170"/>
      <c r="GKY44" s="172"/>
      <c r="GKZ44" s="170"/>
      <c r="GLA44" s="172"/>
      <c r="GLB44" s="170"/>
      <c r="GLC44" s="172"/>
      <c r="GLD44" s="170"/>
      <c r="GLE44" s="172"/>
      <c r="GLF44" s="170"/>
      <c r="GLG44" s="172"/>
      <c r="GLH44" s="170"/>
      <c r="GLI44" s="172"/>
      <c r="GLJ44" s="170"/>
      <c r="GLK44" s="172"/>
      <c r="GLL44" s="170"/>
      <c r="GLM44" s="172"/>
      <c r="GLN44" s="170"/>
      <c r="GLO44" s="172"/>
      <c r="GLP44" s="170"/>
      <c r="GLQ44" s="172"/>
      <c r="GLR44" s="170"/>
      <c r="GLS44" s="172"/>
      <c r="GLT44" s="170"/>
      <c r="GLU44" s="172"/>
      <c r="GLV44" s="170"/>
      <c r="GLW44" s="172"/>
      <c r="GLX44" s="170"/>
      <c r="GLY44" s="172"/>
      <c r="GLZ44" s="170"/>
      <c r="GMA44" s="172"/>
      <c r="GMB44" s="170"/>
      <c r="GMC44" s="172"/>
      <c r="GMD44" s="170"/>
      <c r="GME44" s="172"/>
      <c r="GMF44" s="170"/>
      <c r="GMG44" s="172"/>
      <c r="GMH44" s="170"/>
      <c r="GMI44" s="172"/>
      <c r="GMJ44" s="170"/>
      <c r="GMK44" s="172"/>
      <c r="GML44" s="170"/>
      <c r="GMM44" s="172"/>
      <c r="GMN44" s="170"/>
      <c r="GMO44" s="172"/>
      <c r="GMP44" s="170"/>
      <c r="GMQ44" s="172"/>
      <c r="GMR44" s="170"/>
      <c r="GMS44" s="172"/>
      <c r="GMT44" s="170"/>
      <c r="GMU44" s="172"/>
      <c r="GMV44" s="170"/>
      <c r="GMW44" s="172"/>
      <c r="GMX44" s="170"/>
      <c r="GMY44" s="172"/>
      <c r="GMZ44" s="170"/>
      <c r="GNA44" s="172"/>
      <c r="GNB44" s="170"/>
      <c r="GNC44" s="172"/>
      <c r="GND44" s="170"/>
      <c r="GNE44" s="172"/>
      <c r="GNF44" s="170"/>
      <c r="GNG44" s="172"/>
      <c r="GNH44" s="170"/>
      <c r="GNI44" s="172"/>
      <c r="GNJ44" s="170"/>
      <c r="GNK44" s="172"/>
      <c r="GNL44" s="170"/>
      <c r="GNM44" s="172"/>
      <c r="GNN44" s="170"/>
      <c r="GNO44" s="172"/>
      <c r="GNP44" s="170"/>
      <c r="GNQ44" s="172"/>
      <c r="GNR44" s="170"/>
      <c r="GNS44" s="172"/>
      <c r="GNT44" s="170"/>
      <c r="GNU44" s="172"/>
      <c r="GNV44" s="170"/>
      <c r="GNW44" s="172"/>
      <c r="GNX44" s="170"/>
      <c r="GNY44" s="172"/>
      <c r="GNZ44" s="170"/>
      <c r="GOA44" s="172"/>
      <c r="GOB44" s="170"/>
      <c r="GOC44" s="172"/>
      <c r="GOD44" s="170"/>
      <c r="GOE44" s="172"/>
      <c r="GOF44" s="170"/>
      <c r="GOG44" s="172"/>
      <c r="GOH44" s="170"/>
      <c r="GOI44" s="172"/>
      <c r="GOJ44" s="170"/>
      <c r="GOK44" s="172"/>
      <c r="GOL44" s="170"/>
      <c r="GOM44" s="172"/>
      <c r="GON44" s="170"/>
      <c r="GOO44" s="172"/>
      <c r="GOP44" s="170"/>
      <c r="GOQ44" s="172"/>
      <c r="GOR44" s="170"/>
      <c r="GOS44" s="172"/>
      <c r="GOT44" s="170"/>
      <c r="GOU44" s="172"/>
      <c r="GOV44" s="170"/>
      <c r="GOW44" s="172"/>
      <c r="GOX44" s="170"/>
      <c r="GOY44" s="172"/>
      <c r="GOZ44" s="170"/>
      <c r="GPA44" s="172"/>
      <c r="GPB44" s="170"/>
      <c r="GPC44" s="172"/>
      <c r="GPD44" s="170"/>
      <c r="GPE44" s="172"/>
      <c r="GPF44" s="170"/>
      <c r="GPG44" s="172"/>
      <c r="GPH44" s="170"/>
      <c r="GPI44" s="172"/>
      <c r="GPJ44" s="170"/>
      <c r="GPK44" s="172"/>
      <c r="GPL44" s="170"/>
      <c r="GPM44" s="172"/>
      <c r="GPN44" s="170"/>
      <c r="GPO44" s="172"/>
      <c r="GPP44" s="170"/>
      <c r="GPQ44" s="172"/>
      <c r="GPR44" s="170"/>
      <c r="GPS44" s="172"/>
      <c r="GPT44" s="170"/>
      <c r="GPU44" s="172"/>
      <c r="GPV44" s="170"/>
      <c r="GPW44" s="172"/>
      <c r="GPX44" s="170"/>
      <c r="GPY44" s="172"/>
      <c r="GPZ44" s="170"/>
      <c r="GQA44" s="172"/>
      <c r="GQB44" s="170"/>
      <c r="GQC44" s="172"/>
      <c r="GQD44" s="170"/>
      <c r="GQE44" s="172"/>
      <c r="GQF44" s="170"/>
      <c r="GQG44" s="172"/>
      <c r="GQH44" s="170"/>
      <c r="GQI44" s="172"/>
      <c r="GQJ44" s="170"/>
      <c r="GQK44" s="172"/>
      <c r="GQL44" s="170"/>
      <c r="GQM44" s="172"/>
      <c r="GQN44" s="170"/>
      <c r="GQO44" s="172"/>
      <c r="GQP44" s="170"/>
      <c r="GQQ44" s="172"/>
      <c r="GQR44" s="170"/>
      <c r="GQS44" s="172"/>
      <c r="GQT44" s="170"/>
      <c r="GQU44" s="172"/>
      <c r="GQV44" s="170"/>
      <c r="GQW44" s="172"/>
      <c r="GQX44" s="170"/>
      <c r="GQY44" s="172"/>
      <c r="GQZ44" s="170"/>
      <c r="GRA44" s="172"/>
      <c r="GRB44" s="170"/>
      <c r="GRC44" s="172"/>
      <c r="GRD44" s="170"/>
      <c r="GRE44" s="172"/>
      <c r="GRF44" s="170"/>
      <c r="GRG44" s="172"/>
      <c r="GRH44" s="170"/>
      <c r="GRI44" s="172"/>
      <c r="GRJ44" s="170"/>
      <c r="GRK44" s="172"/>
      <c r="GRL44" s="170"/>
      <c r="GRM44" s="172"/>
      <c r="GRN44" s="170"/>
      <c r="GRO44" s="172"/>
      <c r="GRP44" s="170"/>
      <c r="GRQ44" s="172"/>
      <c r="GRR44" s="170"/>
      <c r="GRS44" s="172"/>
      <c r="GRT44" s="170"/>
      <c r="GRU44" s="172"/>
      <c r="GRV44" s="170"/>
      <c r="GRW44" s="172"/>
      <c r="GRX44" s="170"/>
      <c r="GRY44" s="172"/>
      <c r="GRZ44" s="170"/>
      <c r="GSA44" s="172"/>
      <c r="GSB44" s="170"/>
      <c r="GSC44" s="172"/>
      <c r="GSD44" s="170"/>
      <c r="GSE44" s="172"/>
      <c r="GSF44" s="170"/>
      <c r="GSG44" s="172"/>
      <c r="GSH44" s="170"/>
      <c r="GSI44" s="172"/>
      <c r="GSJ44" s="170"/>
      <c r="GSK44" s="172"/>
      <c r="GSL44" s="170"/>
      <c r="GSM44" s="172"/>
      <c r="GSN44" s="170"/>
      <c r="GSO44" s="172"/>
      <c r="GSP44" s="170"/>
      <c r="GSQ44" s="172"/>
      <c r="GSR44" s="170"/>
      <c r="GSS44" s="172"/>
      <c r="GST44" s="170"/>
      <c r="GSU44" s="172"/>
      <c r="GSV44" s="170"/>
      <c r="GSW44" s="172"/>
      <c r="GSX44" s="170"/>
      <c r="GSY44" s="172"/>
      <c r="GSZ44" s="170"/>
      <c r="GTA44" s="172"/>
      <c r="GTB44" s="170"/>
      <c r="GTC44" s="172"/>
      <c r="GTD44" s="170"/>
      <c r="GTE44" s="172"/>
      <c r="GTF44" s="170"/>
      <c r="GTG44" s="172"/>
      <c r="GTH44" s="170"/>
      <c r="GTI44" s="172"/>
      <c r="GTJ44" s="170"/>
      <c r="GTK44" s="172"/>
      <c r="GTL44" s="170"/>
      <c r="GTM44" s="172"/>
      <c r="GTN44" s="170"/>
      <c r="GTO44" s="172"/>
      <c r="GTP44" s="170"/>
      <c r="GTQ44" s="172"/>
      <c r="GTR44" s="170"/>
      <c r="GTS44" s="172"/>
      <c r="GTT44" s="170"/>
      <c r="GTU44" s="172"/>
      <c r="GTV44" s="170"/>
      <c r="GTW44" s="172"/>
      <c r="GTX44" s="170"/>
      <c r="GTY44" s="172"/>
      <c r="GTZ44" s="170"/>
      <c r="GUA44" s="172"/>
      <c r="GUB44" s="170"/>
      <c r="GUC44" s="172"/>
      <c r="GUD44" s="170"/>
      <c r="GUE44" s="172"/>
      <c r="GUF44" s="170"/>
      <c r="GUG44" s="172"/>
      <c r="GUH44" s="170"/>
      <c r="GUI44" s="172"/>
      <c r="GUJ44" s="170"/>
      <c r="GUK44" s="172"/>
      <c r="GUL44" s="170"/>
      <c r="GUM44" s="172"/>
      <c r="GUN44" s="170"/>
      <c r="GUO44" s="172"/>
      <c r="GUP44" s="170"/>
      <c r="GUQ44" s="172"/>
      <c r="GUR44" s="170"/>
      <c r="GUS44" s="172"/>
      <c r="GUT44" s="170"/>
      <c r="GUU44" s="172"/>
      <c r="GUV44" s="170"/>
      <c r="GUW44" s="172"/>
      <c r="GUX44" s="170"/>
      <c r="GUY44" s="172"/>
      <c r="GUZ44" s="170"/>
      <c r="GVA44" s="172"/>
      <c r="GVB44" s="170"/>
      <c r="GVC44" s="172"/>
      <c r="GVD44" s="170"/>
      <c r="GVE44" s="172"/>
      <c r="GVF44" s="170"/>
      <c r="GVG44" s="172"/>
      <c r="GVH44" s="170"/>
      <c r="GVI44" s="172"/>
      <c r="GVJ44" s="170"/>
      <c r="GVK44" s="172"/>
      <c r="GVL44" s="170"/>
      <c r="GVM44" s="172"/>
      <c r="GVN44" s="170"/>
      <c r="GVO44" s="172"/>
      <c r="GVP44" s="170"/>
      <c r="GVQ44" s="172"/>
      <c r="GVR44" s="170"/>
      <c r="GVS44" s="172"/>
      <c r="GVT44" s="170"/>
      <c r="GVU44" s="172"/>
      <c r="GVV44" s="170"/>
      <c r="GVW44" s="172"/>
      <c r="GVX44" s="170"/>
      <c r="GVY44" s="172"/>
      <c r="GVZ44" s="170"/>
      <c r="GWA44" s="172"/>
      <c r="GWB44" s="170"/>
      <c r="GWC44" s="172"/>
      <c r="GWD44" s="170"/>
      <c r="GWE44" s="172"/>
      <c r="GWF44" s="170"/>
      <c r="GWG44" s="172"/>
      <c r="GWH44" s="170"/>
      <c r="GWI44" s="172"/>
      <c r="GWJ44" s="170"/>
      <c r="GWK44" s="172"/>
      <c r="GWL44" s="170"/>
      <c r="GWM44" s="172"/>
      <c r="GWN44" s="170"/>
      <c r="GWO44" s="172"/>
      <c r="GWP44" s="170"/>
      <c r="GWQ44" s="172"/>
      <c r="GWR44" s="170"/>
      <c r="GWS44" s="172"/>
      <c r="GWT44" s="170"/>
      <c r="GWU44" s="172"/>
      <c r="GWV44" s="170"/>
      <c r="GWW44" s="172"/>
      <c r="GWX44" s="170"/>
      <c r="GWY44" s="172"/>
      <c r="GWZ44" s="170"/>
      <c r="GXA44" s="172"/>
      <c r="GXB44" s="170"/>
      <c r="GXC44" s="172"/>
      <c r="GXD44" s="170"/>
      <c r="GXE44" s="172"/>
      <c r="GXF44" s="170"/>
      <c r="GXG44" s="172"/>
      <c r="GXH44" s="170"/>
      <c r="GXI44" s="172"/>
      <c r="GXJ44" s="170"/>
      <c r="GXK44" s="172"/>
      <c r="GXL44" s="170"/>
      <c r="GXM44" s="172"/>
      <c r="GXN44" s="170"/>
      <c r="GXO44" s="172"/>
      <c r="GXP44" s="170"/>
      <c r="GXQ44" s="172"/>
      <c r="GXR44" s="170"/>
      <c r="GXS44" s="172"/>
      <c r="GXT44" s="170"/>
      <c r="GXU44" s="172"/>
      <c r="GXV44" s="170"/>
      <c r="GXW44" s="172"/>
      <c r="GXX44" s="170"/>
      <c r="GXY44" s="172"/>
      <c r="GXZ44" s="170"/>
      <c r="GYA44" s="172"/>
      <c r="GYB44" s="170"/>
      <c r="GYC44" s="172"/>
      <c r="GYD44" s="170"/>
      <c r="GYE44" s="172"/>
      <c r="GYF44" s="170"/>
      <c r="GYG44" s="172"/>
      <c r="GYH44" s="170"/>
      <c r="GYI44" s="172"/>
      <c r="GYJ44" s="170"/>
      <c r="GYK44" s="172"/>
      <c r="GYL44" s="170"/>
      <c r="GYM44" s="172"/>
      <c r="GYN44" s="170"/>
      <c r="GYO44" s="172"/>
      <c r="GYP44" s="170"/>
      <c r="GYQ44" s="172"/>
      <c r="GYR44" s="170"/>
      <c r="GYS44" s="172"/>
      <c r="GYT44" s="170"/>
      <c r="GYU44" s="172"/>
      <c r="GYV44" s="170"/>
      <c r="GYW44" s="172"/>
      <c r="GYX44" s="170"/>
      <c r="GYY44" s="172"/>
      <c r="GYZ44" s="170"/>
      <c r="GZA44" s="172"/>
      <c r="GZB44" s="170"/>
      <c r="GZC44" s="172"/>
      <c r="GZD44" s="170"/>
      <c r="GZE44" s="172"/>
      <c r="GZF44" s="170"/>
      <c r="GZG44" s="172"/>
      <c r="GZH44" s="170"/>
      <c r="GZI44" s="172"/>
      <c r="GZJ44" s="170"/>
      <c r="GZK44" s="172"/>
      <c r="GZL44" s="170"/>
      <c r="GZM44" s="172"/>
      <c r="GZN44" s="170"/>
      <c r="GZO44" s="172"/>
      <c r="GZP44" s="170"/>
      <c r="GZQ44" s="172"/>
      <c r="GZR44" s="170"/>
      <c r="GZS44" s="172"/>
      <c r="GZT44" s="170"/>
      <c r="GZU44" s="172"/>
      <c r="GZV44" s="170"/>
      <c r="GZW44" s="172"/>
      <c r="GZX44" s="170"/>
      <c r="GZY44" s="172"/>
      <c r="GZZ44" s="170"/>
      <c r="HAA44" s="172"/>
      <c r="HAB44" s="170"/>
      <c r="HAC44" s="172"/>
      <c r="HAD44" s="170"/>
      <c r="HAE44" s="172"/>
      <c r="HAF44" s="170"/>
      <c r="HAG44" s="172"/>
      <c r="HAH44" s="170"/>
      <c r="HAI44" s="172"/>
      <c r="HAJ44" s="170"/>
      <c r="HAK44" s="172"/>
      <c r="HAL44" s="170"/>
      <c r="HAM44" s="172"/>
      <c r="HAN44" s="170"/>
      <c r="HAO44" s="172"/>
      <c r="HAP44" s="170"/>
      <c r="HAQ44" s="172"/>
      <c r="HAR44" s="170"/>
      <c r="HAS44" s="172"/>
      <c r="HAT44" s="170"/>
      <c r="HAU44" s="172"/>
      <c r="HAV44" s="170"/>
      <c r="HAW44" s="172"/>
      <c r="HAX44" s="170"/>
      <c r="HAY44" s="172"/>
      <c r="HAZ44" s="170"/>
      <c r="HBA44" s="172"/>
      <c r="HBB44" s="170"/>
      <c r="HBC44" s="172"/>
      <c r="HBD44" s="170"/>
      <c r="HBE44" s="172"/>
      <c r="HBF44" s="170"/>
      <c r="HBG44" s="172"/>
      <c r="HBH44" s="170"/>
      <c r="HBI44" s="172"/>
      <c r="HBJ44" s="170"/>
      <c r="HBK44" s="172"/>
      <c r="HBL44" s="170"/>
      <c r="HBM44" s="172"/>
      <c r="HBN44" s="170"/>
      <c r="HBO44" s="172"/>
      <c r="HBP44" s="170"/>
      <c r="HBQ44" s="172"/>
      <c r="HBR44" s="170"/>
      <c r="HBS44" s="172"/>
      <c r="HBT44" s="170"/>
      <c r="HBU44" s="172"/>
      <c r="HBV44" s="170"/>
      <c r="HBW44" s="172"/>
      <c r="HBX44" s="170"/>
      <c r="HBY44" s="172"/>
      <c r="HBZ44" s="170"/>
      <c r="HCA44" s="172"/>
      <c r="HCB44" s="170"/>
      <c r="HCC44" s="172"/>
      <c r="HCD44" s="170"/>
      <c r="HCE44" s="172"/>
      <c r="HCF44" s="170"/>
      <c r="HCG44" s="172"/>
      <c r="HCH44" s="170"/>
      <c r="HCI44" s="172"/>
      <c r="HCJ44" s="170"/>
      <c r="HCK44" s="172"/>
      <c r="HCL44" s="170"/>
      <c r="HCM44" s="172"/>
      <c r="HCN44" s="170"/>
      <c r="HCO44" s="172"/>
      <c r="HCP44" s="170"/>
      <c r="HCQ44" s="172"/>
      <c r="HCR44" s="170"/>
      <c r="HCS44" s="172"/>
      <c r="HCT44" s="170"/>
      <c r="HCU44" s="172"/>
      <c r="HCV44" s="170"/>
      <c r="HCW44" s="172"/>
      <c r="HCX44" s="170"/>
      <c r="HCY44" s="172"/>
      <c r="HCZ44" s="170"/>
      <c r="HDA44" s="172"/>
      <c r="HDB44" s="170"/>
      <c r="HDC44" s="172"/>
      <c r="HDD44" s="170"/>
      <c r="HDE44" s="172"/>
      <c r="HDF44" s="170"/>
      <c r="HDG44" s="172"/>
      <c r="HDH44" s="170"/>
      <c r="HDI44" s="172"/>
      <c r="HDJ44" s="170"/>
      <c r="HDK44" s="172"/>
      <c r="HDL44" s="170"/>
      <c r="HDM44" s="172"/>
      <c r="HDN44" s="170"/>
      <c r="HDO44" s="172"/>
      <c r="HDP44" s="170"/>
      <c r="HDQ44" s="172"/>
      <c r="HDR44" s="170"/>
      <c r="HDS44" s="172"/>
      <c r="HDT44" s="170"/>
      <c r="HDU44" s="172"/>
      <c r="HDV44" s="170"/>
      <c r="HDW44" s="172"/>
      <c r="HDX44" s="170"/>
      <c r="HDY44" s="172"/>
      <c r="HDZ44" s="170"/>
      <c r="HEA44" s="172"/>
      <c r="HEB44" s="170"/>
      <c r="HEC44" s="172"/>
      <c r="HED44" s="170"/>
      <c r="HEE44" s="172"/>
      <c r="HEF44" s="170"/>
      <c r="HEG44" s="172"/>
      <c r="HEH44" s="170"/>
      <c r="HEI44" s="172"/>
      <c r="HEJ44" s="170"/>
      <c r="HEK44" s="172"/>
      <c r="HEL44" s="170"/>
      <c r="HEM44" s="172"/>
      <c r="HEN44" s="170"/>
      <c r="HEO44" s="172"/>
      <c r="HEP44" s="170"/>
      <c r="HEQ44" s="172"/>
      <c r="HER44" s="170"/>
      <c r="HES44" s="172"/>
      <c r="HET44" s="170"/>
      <c r="HEU44" s="172"/>
      <c r="HEV44" s="170"/>
      <c r="HEW44" s="172"/>
      <c r="HEX44" s="170"/>
      <c r="HEY44" s="172"/>
      <c r="HEZ44" s="170"/>
      <c r="HFA44" s="172"/>
      <c r="HFB44" s="170"/>
      <c r="HFC44" s="172"/>
      <c r="HFD44" s="170"/>
      <c r="HFE44" s="172"/>
      <c r="HFF44" s="170"/>
      <c r="HFG44" s="172"/>
      <c r="HFH44" s="170"/>
      <c r="HFI44" s="172"/>
      <c r="HFJ44" s="170"/>
      <c r="HFK44" s="172"/>
      <c r="HFL44" s="170"/>
      <c r="HFM44" s="172"/>
      <c r="HFN44" s="170"/>
      <c r="HFO44" s="172"/>
      <c r="HFP44" s="170"/>
      <c r="HFQ44" s="172"/>
      <c r="HFR44" s="170"/>
      <c r="HFS44" s="172"/>
      <c r="HFT44" s="170"/>
      <c r="HFU44" s="172"/>
      <c r="HFV44" s="170"/>
      <c r="HFW44" s="172"/>
      <c r="HFX44" s="170"/>
      <c r="HFY44" s="172"/>
      <c r="HFZ44" s="170"/>
      <c r="HGA44" s="172"/>
      <c r="HGB44" s="170"/>
      <c r="HGC44" s="172"/>
      <c r="HGD44" s="170"/>
      <c r="HGE44" s="172"/>
      <c r="HGF44" s="170"/>
      <c r="HGG44" s="172"/>
      <c r="HGH44" s="170"/>
      <c r="HGI44" s="172"/>
      <c r="HGJ44" s="170"/>
      <c r="HGK44" s="172"/>
      <c r="HGL44" s="170"/>
      <c r="HGM44" s="172"/>
      <c r="HGN44" s="170"/>
      <c r="HGO44" s="172"/>
      <c r="HGP44" s="170"/>
      <c r="HGQ44" s="172"/>
      <c r="HGR44" s="170"/>
      <c r="HGS44" s="172"/>
      <c r="HGT44" s="170"/>
      <c r="HGU44" s="172"/>
      <c r="HGV44" s="170"/>
      <c r="HGW44" s="172"/>
      <c r="HGX44" s="170"/>
      <c r="HGY44" s="172"/>
      <c r="HGZ44" s="170"/>
      <c r="HHA44" s="172"/>
      <c r="HHB44" s="170"/>
      <c r="HHC44" s="172"/>
      <c r="HHD44" s="170"/>
      <c r="HHE44" s="172"/>
      <c r="HHF44" s="170"/>
      <c r="HHG44" s="172"/>
      <c r="HHH44" s="170"/>
      <c r="HHI44" s="172"/>
      <c r="HHJ44" s="170"/>
      <c r="HHK44" s="172"/>
      <c r="HHL44" s="170"/>
      <c r="HHM44" s="172"/>
      <c r="HHN44" s="170"/>
      <c r="HHO44" s="172"/>
      <c r="HHP44" s="170"/>
      <c r="HHQ44" s="172"/>
      <c r="HHR44" s="170"/>
      <c r="HHS44" s="172"/>
      <c r="HHT44" s="170"/>
      <c r="HHU44" s="172"/>
      <c r="HHV44" s="170"/>
      <c r="HHW44" s="172"/>
      <c r="HHX44" s="170"/>
      <c r="HHY44" s="172"/>
      <c r="HHZ44" s="170"/>
      <c r="HIA44" s="172"/>
      <c r="HIB44" s="170"/>
      <c r="HIC44" s="172"/>
      <c r="HID44" s="170"/>
      <c r="HIE44" s="172"/>
      <c r="HIF44" s="170"/>
      <c r="HIG44" s="172"/>
      <c r="HIH44" s="170"/>
      <c r="HII44" s="172"/>
      <c r="HIJ44" s="170"/>
      <c r="HIK44" s="172"/>
      <c r="HIL44" s="170"/>
      <c r="HIM44" s="172"/>
      <c r="HIN44" s="170"/>
      <c r="HIO44" s="172"/>
      <c r="HIP44" s="170"/>
      <c r="HIQ44" s="172"/>
      <c r="HIR44" s="170"/>
      <c r="HIS44" s="172"/>
      <c r="HIT44" s="170"/>
      <c r="HIU44" s="172"/>
      <c r="HIV44" s="170"/>
      <c r="HIW44" s="172"/>
      <c r="HIX44" s="170"/>
      <c r="HIY44" s="172"/>
      <c r="HIZ44" s="170"/>
      <c r="HJA44" s="172"/>
      <c r="HJB44" s="170"/>
      <c r="HJC44" s="172"/>
      <c r="HJD44" s="170"/>
      <c r="HJE44" s="172"/>
      <c r="HJF44" s="170"/>
      <c r="HJG44" s="172"/>
      <c r="HJH44" s="170"/>
      <c r="HJI44" s="172"/>
      <c r="HJJ44" s="170"/>
      <c r="HJK44" s="172"/>
      <c r="HJL44" s="170"/>
      <c r="HJM44" s="172"/>
      <c r="HJN44" s="170"/>
      <c r="HJO44" s="172"/>
      <c r="HJP44" s="170"/>
      <c r="HJQ44" s="172"/>
      <c r="HJR44" s="170"/>
      <c r="HJS44" s="172"/>
      <c r="HJT44" s="170"/>
      <c r="HJU44" s="172"/>
      <c r="HJV44" s="170"/>
      <c r="HJW44" s="172"/>
      <c r="HJX44" s="170"/>
      <c r="HJY44" s="172"/>
      <c r="HJZ44" s="170"/>
      <c r="HKA44" s="172"/>
      <c r="HKB44" s="170"/>
      <c r="HKC44" s="172"/>
      <c r="HKD44" s="170"/>
      <c r="HKE44" s="172"/>
      <c r="HKF44" s="170"/>
      <c r="HKG44" s="172"/>
      <c r="HKH44" s="170"/>
      <c r="HKI44" s="172"/>
      <c r="HKJ44" s="170"/>
      <c r="HKK44" s="172"/>
      <c r="HKL44" s="170"/>
      <c r="HKM44" s="172"/>
      <c r="HKN44" s="170"/>
      <c r="HKO44" s="172"/>
      <c r="HKP44" s="170"/>
      <c r="HKQ44" s="172"/>
      <c r="HKR44" s="170"/>
      <c r="HKS44" s="172"/>
      <c r="HKT44" s="170"/>
      <c r="HKU44" s="172"/>
      <c r="HKV44" s="170"/>
      <c r="HKW44" s="172"/>
      <c r="HKX44" s="170"/>
      <c r="HKY44" s="172"/>
      <c r="HKZ44" s="170"/>
      <c r="HLA44" s="172"/>
      <c r="HLB44" s="170"/>
      <c r="HLC44" s="172"/>
      <c r="HLD44" s="170"/>
      <c r="HLE44" s="172"/>
      <c r="HLF44" s="170"/>
      <c r="HLG44" s="172"/>
      <c r="HLH44" s="170"/>
      <c r="HLI44" s="172"/>
      <c r="HLJ44" s="170"/>
      <c r="HLK44" s="172"/>
      <c r="HLL44" s="170"/>
      <c r="HLM44" s="172"/>
      <c r="HLN44" s="170"/>
      <c r="HLO44" s="172"/>
      <c r="HLP44" s="170"/>
      <c r="HLQ44" s="172"/>
      <c r="HLR44" s="170"/>
      <c r="HLS44" s="172"/>
      <c r="HLT44" s="170"/>
      <c r="HLU44" s="172"/>
      <c r="HLV44" s="170"/>
      <c r="HLW44" s="172"/>
      <c r="HLX44" s="170"/>
      <c r="HLY44" s="172"/>
      <c r="HLZ44" s="170"/>
      <c r="HMA44" s="172"/>
      <c r="HMB44" s="170"/>
      <c r="HMC44" s="172"/>
      <c r="HMD44" s="170"/>
      <c r="HME44" s="172"/>
      <c r="HMF44" s="170"/>
      <c r="HMG44" s="172"/>
      <c r="HMH44" s="170"/>
      <c r="HMI44" s="172"/>
      <c r="HMJ44" s="170"/>
      <c r="HMK44" s="172"/>
      <c r="HML44" s="170"/>
      <c r="HMM44" s="172"/>
      <c r="HMN44" s="170"/>
      <c r="HMO44" s="172"/>
      <c r="HMP44" s="170"/>
      <c r="HMQ44" s="172"/>
      <c r="HMR44" s="170"/>
      <c r="HMS44" s="172"/>
      <c r="HMT44" s="170"/>
      <c r="HMU44" s="172"/>
      <c r="HMV44" s="170"/>
      <c r="HMW44" s="172"/>
      <c r="HMX44" s="170"/>
      <c r="HMY44" s="172"/>
      <c r="HMZ44" s="170"/>
      <c r="HNA44" s="172"/>
      <c r="HNB44" s="170"/>
      <c r="HNC44" s="172"/>
      <c r="HND44" s="170"/>
      <c r="HNE44" s="172"/>
      <c r="HNF44" s="170"/>
      <c r="HNG44" s="172"/>
      <c r="HNH44" s="170"/>
      <c r="HNI44" s="172"/>
      <c r="HNJ44" s="170"/>
      <c r="HNK44" s="172"/>
      <c r="HNL44" s="170"/>
      <c r="HNM44" s="172"/>
      <c r="HNN44" s="170"/>
      <c r="HNO44" s="172"/>
      <c r="HNP44" s="170"/>
      <c r="HNQ44" s="172"/>
      <c r="HNR44" s="170"/>
      <c r="HNS44" s="172"/>
      <c r="HNT44" s="170"/>
      <c r="HNU44" s="172"/>
      <c r="HNV44" s="170"/>
      <c r="HNW44" s="172"/>
      <c r="HNX44" s="170"/>
      <c r="HNY44" s="172"/>
      <c r="HNZ44" s="170"/>
      <c r="HOA44" s="172"/>
      <c r="HOB44" s="170"/>
      <c r="HOC44" s="172"/>
      <c r="HOD44" s="170"/>
      <c r="HOE44" s="172"/>
      <c r="HOF44" s="170"/>
      <c r="HOG44" s="172"/>
      <c r="HOH44" s="170"/>
      <c r="HOI44" s="172"/>
      <c r="HOJ44" s="170"/>
      <c r="HOK44" s="172"/>
      <c r="HOL44" s="170"/>
      <c r="HOM44" s="172"/>
      <c r="HON44" s="170"/>
      <c r="HOO44" s="172"/>
      <c r="HOP44" s="170"/>
      <c r="HOQ44" s="172"/>
      <c r="HOR44" s="170"/>
      <c r="HOS44" s="172"/>
      <c r="HOT44" s="170"/>
      <c r="HOU44" s="172"/>
      <c r="HOV44" s="170"/>
      <c r="HOW44" s="172"/>
      <c r="HOX44" s="170"/>
      <c r="HOY44" s="172"/>
      <c r="HOZ44" s="170"/>
      <c r="HPA44" s="172"/>
      <c r="HPB44" s="170"/>
      <c r="HPC44" s="172"/>
      <c r="HPD44" s="170"/>
      <c r="HPE44" s="172"/>
      <c r="HPF44" s="170"/>
      <c r="HPG44" s="172"/>
      <c r="HPH44" s="170"/>
      <c r="HPI44" s="172"/>
      <c r="HPJ44" s="170"/>
      <c r="HPK44" s="172"/>
      <c r="HPL44" s="170"/>
      <c r="HPM44" s="172"/>
      <c r="HPN44" s="170"/>
      <c r="HPO44" s="172"/>
      <c r="HPP44" s="170"/>
      <c r="HPQ44" s="172"/>
      <c r="HPR44" s="170"/>
      <c r="HPS44" s="172"/>
      <c r="HPT44" s="170"/>
      <c r="HPU44" s="172"/>
      <c r="HPV44" s="170"/>
      <c r="HPW44" s="172"/>
      <c r="HPX44" s="170"/>
      <c r="HPY44" s="172"/>
      <c r="HPZ44" s="170"/>
      <c r="HQA44" s="172"/>
      <c r="HQB44" s="170"/>
      <c r="HQC44" s="172"/>
      <c r="HQD44" s="170"/>
      <c r="HQE44" s="172"/>
      <c r="HQF44" s="170"/>
      <c r="HQG44" s="172"/>
      <c r="HQH44" s="170"/>
      <c r="HQI44" s="172"/>
      <c r="HQJ44" s="170"/>
      <c r="HQK44" s="172"/>
      <c r="HQL44" s="170"/>
      <c r="HQM44" s="172"/>
      <c r="HQN44" s="170"/>
      <c r="HQO44" s="172"/>
      <c r="HQP44" s="170"/>
      <c r="HQQ44" s="172"/>
      <c r="HQR44" s="170"/>
      <c r="HQS44" s="172"/>
      <c r="HQT44" s="170"/>
      <c r="HQU44" s="172"/>
      <c r="HQV44" s="170"/>
      <c r="HQW44" s="172"/>
      <c r="HQX44" s="170"/>
      <c r="HQY44" s="172"/>
      <c r="HQZ44" s="170"/>
      <c r="HRA44" s="172"/>
      <c r="HRB44" s="170"/>
      <c r="HRC44" s="172"/>
      <c r="HRD44" s="170"/>
      <c r="HRE44" s="172"/>
      <c r="HRF44" s="170"/>
      <c r="HRG44" s="172"/>
      <c r="HRH44" s="170"/>
      <c r="HRI44" s="172"/>
      <c r="HRJ44" s="170"/>
      <c r="HRK44" s="172"/>
      <c r="HRL44" s="170"/>
      <c r="HRM44" s="172"/>
      <c r="HRN44" s="170"/>
      <c r="HRO44" s="172"/>
      <c r="HRP44" s="170"/>
      <c r="HRQ44" s="172"/>
      <c r="HRR44" s="170"/>
      <c r="HRS44" s="172"/>
      <c r="HRT44" s="170"/>
      <c r="HRU44" s="172"/>
      <c r="HRV44" s="170"/>
      <c r="HRW44" s="172"/>
      <c r="HRX44" s="170"/>
      <c r="HRY44" s="172"/>
      <c r="HRZ44" s="170"/>
      <c r="HSA44" s="172"/>
      <c r="HSB44" s="170"/>
      <c r="HSC44" s="172"/>
      <c r="HSD44" s="170"/>
      <c r="HSE44" s="172"/>
      <c r="HSF44" s="170"/>
      <c r="HSG44" s="172"/>
      <c r="HSH44" s="170"/>
      <c r="HSI44" s="172"/>
      <c r="HSJ44" s="170"/>
      <c r="HSK44" s="172"/>
      <c r="HSL44" s="170"/>
      <c r="HSM44" s="172"/>
      <c r="HSN44" s="170"/>
      <c r="HSO44" s="172"/>
      <c r="HSP44" s="170"/>
      <c r="HSQ44" s="172"/>
      <c r="HSR44" s="170"/>
      <c r="HSS44" s="172"/>
      <c r="HST44" s="170"/>
      <c r="HSU44" s="172"/>
      <c r="HSV44" s="170"/>
      <c r="HSW44" s="172"/>
      <c r="HSX44" s="170"/>
      <c r="HSY44" s="172"/>
      <c r="HSZ44" s="170"/>
      <c r="HTA44" s="172"/>
      <c r="HTB44" s="170"/>
      <c r="HTC44" s="172"/>
      <c r="HTD44" s="170"/>
      <c r="HTE44" s="172"/>
      <c r="HTF44" s="170"/>
      <c r="HTG44" s="172"/>
      <c r="HTH44" s="170"/>
      <c r="HTI44" s="172"/>
      <c r="HTJ44" s="170"/>
      <c r="HTK44" s="172"/>
      <c r="HTL44" s="170"/>
      <c r="HTM44" s="172"/>
      <c r="HTN44" s="170"/>
      <c r="HTO44" s="172"/>
      <c r="HTP44" s="170"/>
      <c r="HTQ44" s="172"/>
      <c r="HTR44" s="170"/>
      <c r="HTS44" s="172"/>
      <c r="HTT44" s="170"/>
      <c r="HTU44" s="172"/>
      <c r="HTV44" s="170"/>
      <c r="HTW44" s="172"/>
      <c r="HTX44" s="170"/>
      <c r="HTY44" s="172"/>
      <c r="HTZ44" s="170"/>
      <c r="HUA44" s="172"/>
      <c r="HUB44" s="170"/>
      <c r="HUC44" s="172"/>
      <c r="HUD44" s="170"/>
      <c r="HUE44" s="172"/>
      <c r="HUF44" s="170"/>
      <c r="HUG44" s="172"/>
      <c r="HUH44" s="170"/>
      <c r="HUI44" s="172"/>
      <c r="HUJ44" s="170"/>
      <c r="HUK44" s="172"/>
      <c r="HUL44" s="170"/>
      <c r="HUM44" s="172"/>
      <c r="HUN44" s="170"/>
      <c r="HUO44" s="172"/>
      <c r="HUP44" s="170"/>
      <c r="HUQ44" s="172"/>
      <c r="HUR44" s="170"/>
      <c r="HUS44" s="172"/>
      <c r="HUT44" s="170"/>
      <c r="HUU44" s="172"/>
      <c r="HUV44" s="170"/>
      <c r="HUW44" s="172"/>
      <c r="HUX44" s="170"/>
      <c r="HUY44" s="172"/>
      <c r="HUZ44" s="170"/>
      <c r="HVA44" s="172"/>
      <c r="HVB44" s="170"/>
      <c r="HVC44" s="172"/>
      <c r="HVD44" s="170"/>
      <c r="HVE44" s="172"/>
      <c r="HVF44" s="170"/>
      <c r="HVG44" s="172"/>
      <c r="HVH44" s="170"/>
      <c r="HVI44" s="172"/>
      <c r="HVJ44" s="170"/>
      <c r="HVK44" s="172"/>
      <c r="HVL44" s="170"/>
      <c r="HVM44" s="172"/>
      <c r="HVN44" s="170"/>
      <c r="HVO44" s="172"/>
      <c r="HVP44" s="170"/>
      <c r="HVQ44" s="172"/>
      <c r="HVR44" s="170"/>
      <c r="HVS44" s="172"/>
      <c r="HVT44" s="170"/>
      <c r="HVU44" s="172"/>
      <c r="HVV44" s="170"/>
      <c r="HVW44" s="172"/>
      <c r="HVX44" s="170"/>
      <c r="HVY44" s="172"/>
      <c r="HVZ44" s="170"/>
      <c r="HWA44" s="172"/>
      <c r="HWB44" s="170"/>
      <c r="HWC44" s="172"/>
      <c r="HWD44" s="170"/>
      <c r="HWE44" s="172"/>
      <c r="HWF44" s="170"/>
      <c r="HWG44" s="172"/>
      <c r="HWH44" s="170"/>
      <c r="HWI44" s="172"/>
      <c r="HWJ44" s="170"/>
      <c r="HWK44" s="172"/>
      <c r="HWL44" s="170"/>
      <c r="HWM44" s="172"/>
      <c r="HWN44" s="170"/>
      <c r="HWO44" s="172"/>
      <c r="HWP44" s="170"/>
      <c r="HWQ44" s="172"/>
      <c r="HWR44" s="170"/>
      <c r="HWS44" s="172"/>
      <c r="HWT44" s="170"/>
      <c r="HWU44" s="172"/>
      <c r="HWV44" s="170"/>
      <c r="HWW44" s="172"/>
      <c r="HWX44" s="170"/>
      <c r="HWY44" s="172"/>
      <c r="HWZ44" s="170"/>
      <c r="HXA44" s="172"/>
      <c r="HXB44" s="170"/>
      <c r="HXC44" s="172"/>
      <c r="HXD44" s="170"/>
      <c r="HXE44" s="172"/>
      <c r="HXF44" s="170"/>
      <c r="HXG44" s="172"/>
      <c r="HXH44" s="170"/>
      <c r="HXI44" s="172"/>
      <c r="HXJ44" s="170"/>
      <c r="HXK44" s="172"/>
      <c r="HXL44" s="170"/>
      <c r="HXM44" s="172"/>
      <c r="HXN44" s="170"/>
      <c r="HXO44" s="172"/>
      <c r="HXP44" s="170"/>
      <c r="HXQ44" s="172"/>
      <c r="HXR44" s="170"/>
      <c r="HXS44" s="172"/>
      <c r="HXT44" s="170"/>
      <c r="HXU44" s="172"/>
      <c r="HXV44" s="170"/>
      <c r="HXW44" s="172"/>
      <c r="HXX44" s="170"/>
      <c r="HXY44" s="172"/>
      <c r="HXZ44" s="170"/>
      <c r="HYA44" s="172"/>
      <c r="HYB44" s="170"/>
      <c r="HYC44" s="172"/>
      <c r="HYD44" s="170"/>
      <c r="HYE44" s="172"/>
      <c r="HYF44" s="170"/>
      <c r="HYG44" s="172"/>
      <c r="HYH44" s="170"/>
      <c r="HYI44" s="172"/>
      <c r="HYJ44" s="170"/>
      <c r="HYK44" s="172"/>
      <c r="HYL44" s="170"/>
      <c r="HYM44" s="172"/>
      <c r="HYN44" s="170"/>
      <c r="HYO44" s="172"/>
      <c r="HYP44" s="170"/>
      <c r="HYQ44" s="172"/>
      <c r="HYR44" s="170"/>
      <c r="HYS44" s="172"/>
      <c r="HYT44" s="170"/>
      <c r="HYU44" s="172"/>
      <c r="HYV44" s="170"/>
      <c r="HYW44" s="172"/>
      <c r="HYX44" s="170"/>
      <c r="HYY44" s="172"/>
      <c r="HYZ44" s="170"/>
      <c r="HZA44" s="172"/>
      <c r="HZB44" s="170"/>
      <c r="HZC44" s="172"/>
      <c r="HZD44" s="170"/>
      <c r="HZE44" s="172"/>
      <c r="HZF44" s="170"/>
      <c r="HZG44" s="172"/>
      <c r="HZH44" s="170"/>
      <c r="HZI44" s="172"/>
      <c r="HZJ44" s="170"/>
      <c r="HZK44" s="172"/>
      <c r="HZL44" s="170"/>
      <c r="HZM44" s="172"/>
      <c r="HZN44" s="170"/>
      <c r="HZO44" s="172"/>
      <c r="HZP44" s="170"/>
      <c r="HZQ44" s="172"/>
      <c r="HZR44" s="170"/>
      <c r="HZS44" s="172"/>
      <c r="HZT44" s="170"/>
      <c r="HZU44" s="172"/>
      <c r="HZV44" s="170"/>
      <c r="HZW44" s="172"/>
      <c r="HZX44" s="170"/>
      <c r="HZY44" s="172"/>
      <c r="HZZ44" s="170"/>
      <c r="IAA44" s="172"/>
      <c r="IAB44" s="170"/>
      <c r="IAC44" s="172"/>
      <c r="IAD44" s="170"/>
      <c r="IAE44" s="172"/>
      <c r="IAF44" s="170"/>
      <c r="IAG44" s="172"/>
      <c r="IAH44" s="170"/>
      <c r="IAI44" s="172"/>
      <c r="IAJ44" s="170"/>
      <c r="IAK44" s="172"/>
      <c r="IAL44" s="170"/>
      <c r="IAM44" s="172"/>
      <c r="IAN44" s="170"/>
      <c r="IAO44" s="172"/>
      <c r="IAP44" s="170"/>
      <c r="IAQ44" s="172"/>
      <c r="IAR44" s="170"/>
      <c r="IAS44" s="172"/>
      <c r="IAT44" s="170"/>
      <c r="IAU44" s="172"/>
      <c r="IAV44" s="170"/>
      <c r="IAW44" s="172"/>
      <c r="IAX44" s="170"/>
      <c r="IAY44" s="172"/>
      <c r="IAZ44" s="170"/>
      <c r="IBA44" s="172"/>
      <c r="IBB44" s="170"/>
      <c r="IBC44" s="172"/>
      <c r="IBD44" s="170"/>
      <c r="IBE44" s="172"/>
      <c r="IBF44" s="170"/>
      <c r="IBG44" s="172"/>
      <c r="IBH44" s="170"/>
      <c r="IBI44" s="172"/>
      <c r="IBJ44" s="170"/>
      <c r="IBK44" s="172"/>
      <c r="IBL44" s="170"/>
      <c r="IBM44" s="172"/>
      <c r="IBN44" s="170"/>
      <c r="IBO44" s="172"/>
      <c r="IBP44" s="170"/>
      <c r="IBQ44" s="172"/>
      <c r="IBR44" s="170"/>
      <c r="IBS44" s="172"/>
      <c r="IBT44" s="170"/>
      <c r="IBU44" s="172"/>
      <c r="IBV44" s="170"/>
      <c r="IBW44" s="172"/>
      <c r="IBX44" s="170"/>
      <c r="IBY44" s="172"/>
      <c r="IBZ44" s="170"/>
      <c r="ICA44" s="172"/>
      <c r="ICB44" s="170"/>
      <c r="ICC44" s="172"/>
      <c r="ICD44" s="170"/>
      <c r="ICE44" s="172"/>
      <c r="ICF44" s="170"/>
      <c r="ICG44" s="172"/>
      <c r="ICH44" s="170"/>
      <c r="ICI44" s="172"/>
      <c r="ICJ44" s="170"/>
      <c r="ICK44" s="172"/>
      <c r="ICL44" s="170"/>
      <c r="ICM44" s="172"/>
      <c r="ICN44" s="170"/>
      <c r="ICO44" s="172"/>
      <c r="ICP44" s="170"/>
      <c r="ICQ44" s="172"/>
      <c r="ICR44" s="170"/>
      <c r="ICS44" s="172"/>
      <c r="ICT44" s="170"/>
      <c r="ICU44" s="172"/>
      <c r="ICV44" s="170"/>
      <c r="ICW44" s="172"/>
      <c r="ICX44" s="170"/>
      <c r="ICY44" s="172"/>
      <c r="ICZ44" s="170"/>
      <c r="IDA44" s="172"/>
      <c r="IDB44" s="170"/>
      <c r="IDC44" s="172"/>
      <c r="IDD44" s="170"/>
      <c r="IDE44" s="172"/>
      <c r="IDF44" s="170"/>
      <c r="IDG44" s="172"/>
      <c r="IDH44" s="170"/>
      <c r="IDI44" s="172"/>
      <c r="IDJ44" s="170"/>
      <c r="IDK44" s="172"/>
      <c r="IDL44" s="170"/>
      <c r="IDM44" s="172"/>
      <c r="IDN44" s="170"/>
      <c r="IDO44" s="172"/>
      <c r="IDP44" s="170"/>
      <c r="IDQ44" s="172"/>
      <c r="IDR44" s="170"/>
      <c r="IDS44" s="172"/>
      <c r="IDT44" s="170"/>
      <c r="IDU44" s="172"/>
      <c r="IDV44" s="170"/>
      <c r="IDW44" s="172"/>
      <c r="IDX44" s="170"/>
      <c r="IDY44" s="172"/>
      <c r="IDZ44" s="170"/>
      <c r="IEA44" s="172"/>
      <c r="IEB44" s="170"/>
      <c r="IEC44" s="172"/>
      <c r="IED44" s="170"/>
      <c r="IEE44" s="172"/>
      <c r="IEF44" s="170"/>
      <c r="IEG44" s="172"/>
      <c r="IEH44" s="170"/>
      <c r="IEI44" s="172"/>
      <c r="IEJ44" s="170"/>
      <c r="IEK44" s="172"/>
      <c r="IEL44" s="170"/>
      <c r="IEM44" s="172"/>
      <c r="IEN44" s="170"/>
      <c r="IEO44" s="172"/>
      <c r="IEP44" s="170"/>
      <c r="IEQ44" s="172"/>
      <c r="IER44" s="170"/>
      <c r="IES44" s="172"/>
      <c r="IET44" s="170"/>
      <c r="IEU44" s="172"/>
      <c r="IEV44" s="170"/>
      <c r="IEW44" s="172"/>
      <c r="IEX44" s="170"/>
      <c r="IEY44" s="172"/>
      <c r="IEZ44" s="170"/>
      <c r="IFA44" s="172"/>
      <c r="IFB44" s="170"/>
      <c r="IFC44" s="172"/>
      <c r="IFD44" s="170"/>
      <c r="IFE44" s="172"/>
      <c r="IFF44" s="170"/>
      <c r="IFG44" s="172"/>
      <c r="IFH44" s="170"/>
      <c r="IFI44" s="172"/>
      <c r="IFJ44" s="170"/>
      <c r="IFK44" s="172"/>
      <c r="IFL44" s="170"/>
      <c r="IFM44" s="172"/>
      <c r="IFN44" s="170"/>
      <c r="IFO44" s="172"/>
      <c r="IFP44" s="170"/>
      <c r="IFQ44" s="172"/>
      <c r="IFR44" s="170"/>
      <c r="IFS44" s="172"/>
      <c r="IFT44" s="170"/>
      <c r="IFU44" s="172"/>
      <c r="IFV44" s="170"/>
      <c r="IFW44" s="172"/>
      <c r="IFX44" s="170"/>
      <c r="IFY44" s="172"/>
      <c r="IFZ44" s="170"/>
      <c r="IGA44" s="172"/>
      <c r="IGB44" s="170"/>
      <c r="IGC44" s="172"/>
      <c r="IGD44" s="170"/>
      <c r="IGE44" s="172"/>
      <c r="IGF44" s="170"/>
      <c r="IGG44" s="172"/>
      <c r="IGH44" s="170"/>
      <c r="IGI44" s="172"/>
      <c r="IGJ44" s="170"/>
      <c r="IGK44" s="172"/>
      <c r="IGL44" s="170"/>
      <c r="IGM44" s="172"/>
      <c r="IGN44" s="170"/>
      <c r="IGO44" s="172"/>
      <c r="IGP44" s="170"/>
      <c r="IGQ44" s="172"/>
      <c r="IGR44" s="170"/>
      <c r="IGS44" s="172"/>
      <c r="IGT44" s="170"/>
      <c r="IGU44" s="172"/>
      <c r="IGV44" s="170"/>
      <c r="IGW44" s="172"/>
      <c r="IGX44" s="170"/>
      <c r="IGY44" s="172"/>
      <c r="IGZ44" s="170"/>
      <c r="IHA44" s="172"/>
      <c r="IHB44" s="170"/>
      <c r="IHC44" s="172"/>
      <c r="IHD44" s="170"/>
      <c r="IHE44" s="172"/>
      <c r="IHF44" s="170"/>
      <c r="IHG44" s="172"/>
      <c r="IHH44" s="170"/>
      <c r="IHI44" s="172"/>
      <c r="IHJ44" s="170"/>
      <c r="IHK44" s="172"/>
      <c r="IHL44" s="170"/>
      <c r="IHM44" s="172"/>
      <c r="IHN44" s="170"/>
      <c r="IHO44" s="172"/>
      <c r="IHP44" s="170"/>
      <c r="IHQ44" s="172"/>
      <c r="IHR44" s="170"/>
      <c r="IHS44" s="172"/>
      <c r="IHT44" s="170"/>
      <c r="IHU44" s="172"/>
      <c r="IHV44" s="170"/>
      <c r="IHW44" s="172"/>
      <c r="IHX44" s="170"/>
      <c r="IHY44" s="172"/>
      <c r="IHZ44" s="170"/>
      <c r="IIA44" s="172"/>
      <c r="IIB44" s="170"/>
      <c r="IIC44" s="172"/>
      <c r="IID44" s="170"/>
      <c r="IIE44" s="172"/>
      <c r="IIF44" s="170"/>
      <c r="IIG44" s="172"/>
      <c r="IIH44" s="170"/>
      <c r="III44" s="172"/>
      <c r="IIJ44" s="170"/>
      <c r="IIK44" s="172"/>
      <c r="IIL44" s="170"/>
      <c r="IIM44" s="172"/>
      <c r="IIN44" s="170"/>
      <c r="IIO44" s="172"/>
      <c r="IIP44" s="170"/>
      <c r="IIQ44" s="172"/>
      <c r="IIR44" s="170"/>
      <c r="IIS44" s="172"/>
      <c r="IIT44" s="170"/>
      <c r="IIU44" s="172"/>
      <c r="IIV44" s="170"/>
      <c r="IIW44" s="172"/>
      <c r="IIX44" s="170"/>
      <c r="IIY44" s="172"/>
      <c r="IIZ44" s="170"/>
      <c r="IJA44" s="172"/>
      <c r="IJB44" s="170"/>
      <c r="IJC44" s="172"/>
      <c r="IJD44" s="170"/>
      <c r="IJE44" s="172"/>
      <c r="IJF44" s="170"/>
      <c r="IJG44" s="172"/>
      <c r="IJH44" s="170"/>
      <c r="IJI44" s="172"/>
      <c r="IJJ44" s="170"/>
      <c r="IJK44" s="172"/>
      <c r="IJL44" s="170"/>
      <c r="IJM44" s="172"/>
      <c r="IJN44" s="170"/>
      <c r="IJO44" s="172"/>
      <c r="IJP44" s="170"/>
      <c r="IJQ44" s="172"/>
      <c r="IJR44" s="170"/>
      <c r="IJS44" s="172"/>
      <c r="IJT44" s="170"/>
      <c r="IJU44" s="172"/>
      <c r="IJV44" s="170"/>
      <c r="IJW44" s="172"/>
      <c r="IJX44" s="170"/>
      <c r="IJY44" s="172"/>
      <c r="IJZ44" s="170"/>
      <c r="IKA44" s="172"/>
      <c r="IKB44" s="170"/>
      <c r="IKC44" s="172"/>
      <c r="IKD44" s="170"/>
      <c r="IKE44" s="172"/>
      <c r="IKF44" s="170"/>
      <c r="IKG44" s="172"/>
      <c r="IKH44" s="170"/>
      <c r="IKI44" s="172"/>
      <c r="IKJ44" s="170"/>
      <c r="IKK44" s="172"/>
      <c r="IKL44" s="170"/>
      <c r="IKM44" s="172"/>
      <c r="IKN44" s="170"/>
      <c r="IKO44" s="172"/>
      <c r="IKP44" s="170"/>
      <c r="IKQ44" s="172"/>
      <c r="IKR44" s="170"/>
      <c r="IKS44" s="172"/>
      <c r="IKT44" s="170"/>
      <c r="IKU44" s="172"/>
      <c r="IKV44" s="170"/>
      <c r="IKW44" s="172"/>
      <c r="IKX44" s="170"/>
      <c r="IKY44" s="172"/>
      <c r="IKZ44" s="170"/>
      <c r="ILA44" s="172"/>
      <c r="ILB44" s="170"/>
      <c r="ILC44" s="172"/>
      <c r="ILD44" s="170"/>
      <c r="ILE44" s="172"/>
      <c r="ILF44" s="170"/>
      <c r="ILG44" s="172"/>
      <c r="ILH44" s="170"/>
      <c r="ILI44" s="172"/>
      <c r="ILJ44" s="170"/>
      <c r="ILK44" s="172"/>
      <c r="ILL44" s="170"/>
      <c r="ILM44" s="172"/>
      <c r="ILN44" s="170"/>
      <c r="ILO44" s="172"/>
      <c r="ILP44" s="170"/>
      <c r="ILQ44" s="172"/>
      <c r="ILR44" s="170"/>
      <c r="ILS44" s="172"/>
      <c r="ILT44" s="170"/>
      <c r="ILU44" s="172"/>
      <c r="ILV44" s="170"/>
      <c r="ILW44" s="172"/>
      <c r="ILX44" s="170"/>
      <c r="ILY44" s="172"/>
      <c r="ILZ44" s="170"/>
      <c r="IMA44" s="172"/>
      <c r="IMB44" s="170"/>
      <c r="IMC44" s="172"/>
      <c r="IMD44" s="170"/>
      <c r="IME44" s="172"/>
      <c r="IMF44" s="170"/>
      <c r="IMG44" s="172"/>
      <c r="IMH44" s="170"/>
      <c r="IMI44" s="172"/>
      <c r="IMJ44" s="170"/>
      <c r="IMK44" s="172"/>
      <c r="IML44" s="170"/>
      <c r="IMM44" s="172"/>
      <c r="IMN44" s="170"/>
      <c r="IMO44" s="172"/>
      <c r="IMP44" s="170"/>
      <c r="IMQ44" s="172"/>
      <c r="IMR44" s="170"/>
      <c r="IMS44" s="172"/>
      <c r="IMT44" s="170"/>
      <c r="IMU44" s="172"/>
      <c r="IMV44" s="170"/>
      <c r="IMW44" s="172"/>
      <c r="IMX44" s="170"/>
      <c r="IMY44" s="172"/>
      <c r="IMZ44" s="170"/>
      <c r="INA44" s="172"/>
      <c r="INB44" s="170"/>
      <c r="INC44" s="172"/>
      <c r="IND44" s="170"/>
      <c r="INE44" s="172"/>
      <c r="INF44" s="170"/>
      <c r="ING44" s="172"/>
      <c r="INH44" s="170"/>
      <c r="INI44" s="172"/>
      <c r="INJ44" s="170"/>
      <c r="INK44" s="172"/>
      <c r="INL44" s="170"/>
      <c r="INM44" s="172"/>
      <c r="INN44" s="170"/>
      <c r="INO44" s="172"/>
      <c r="INP44" s="170"/>
      <c r="INQ44" s="172"/>
      <c r="INR44" s="170"/>
      <c r="INS44" s="172"/>
      <c r="INT44" s="170"/>
      <c r="INU44" s="172"/>
      <c r="INV44" s="170"/>
      <c r="INW44" s="172"/>
      <c r="INX44" s="170"/>
      <c r="INY44" s="172"/>
      <c r="INZ44" s="170"/>
      <c r="IOA44" s="172"/>
      <c r="IOB44" s="170"/>
      <c r="IOC44" s="172"/>
      <c r="IOD44" s="170"/>
      <c r="IOE44" s="172"/>
      <c r="IOF44" s="170"/>
      <c r="IOG44" s="172"/>
      <c r="IOH44" s="170"/>
      <c r="IOI44" s="172"/>
      <c r="IOJ44" s="170"/>
      <c r="IOK44" s="172"/>
      <c r="IOL44" s="170"/>
      <c r="IOM44" s="172"/>
      <c r="ION44" s="170"/>
      <c r="IOO44" s="172"/>
      <c r="IOP44" s="170"/>
      <c r="IOQ44" s="172"/>
      <c r="IOR44" s="170"/>
      <c r="IOS44" s="172"/>
      <c r="IOT44" s="170"/>
      <c r="IOU44" s="172"/>
      <c r="IOV44" s="170"/>
      <c r="IOW44" s="172"/>
      <c r="IOX44" s="170"/>
      <c r="IOY44" s="172"/>
      <c r="IOZ44" s="170"/>
      <c r="IPA44" s="172"/>
      <c r="IPB44" s="170"/>
      <c r="IPC44" s="172"/>
      <c r="IPD44" s="170"/>
      <c r="IPE44" s="172"/>
      <c r="IPF44" s="170"/>
      <c r="IPG44" s="172"/>
      <c r="IPH44" s="170"/>
      <c r="IPI44" s="172"/>
      <c r="IPJ44" s="170"/>
      <c r="IPK44" s="172"/>
      <c r="IPL44" s="170"/>
      <c r="IPM44" s="172"/>
      <c r="IPN44" s="170"/>
      <c r="IPO44" s="172"/>
      <c r="IPP44" s="170"/>
      <c r="IPQ44" s="172"/>
      <c r="IPR44" s="170"/>
      <c r="IPS44" s="172"/>
      <c r="IPT44" s="170"/>
      <c r="IPU44" s="172"/>
      <c r="IPV44" s="170"/>
      <c r="IPW44" s="172"/>
      <c r="IPX44" s="170"/>
      <c r="IPY44" s="172"/>
      <c r="IPZ44" s="170"/>
      <c r="IQA44" s="172"/>
      <c r="IQB44" s="170"/>
      <c r="IQC44" s="172"/>
      <c r="IQD44" s="170"/>
      <c r="IQE44" s="172"/>
      <c r="IQF44" s="170"/>
      <c r="IQG44" s="172"/>
      <c r="IQH44" s="170"/>
      <c r="IQI44" s="172"/>
      <c r="IQJ44" s="170"/>
      <c r="IQK44" s="172"/>
      <c r="IQL44" s="170"/>
      <c r="IQM44" s="172"/>
      <c r="IQN44" s="170"/>
      <c r="IQO44" s="172"/>
      <c r="IQP44" s="170"/>
      <c r="IQQ44" s="172"/>
      <c r="IQR44" s="170"/>
      <c r="IQS44" s="172"/>
      <c r="IQT44" s="170"/>
      <c r="IQU44" s="172"/>
      <c r="IQV44" s="170"/>
      <c r="IQW44" s="172"/>
      <c r="IQX44" s="170"/>
      <c r="IQY44" s="172"/>
      <c r="IQZ44" s="170"/>
      <c r="IRA44" s="172"/>
      <c r="IRB44" s="170"/>
      <c r="IRC44" s="172"/>
      <c r="IRD44" s="170"/>
      <c r="IRE44" s="172"/>
      <c r="IRF44" s="170"/>
      <c r="IRG44" s="172"/>
      <c r="IRH44" s="170"/>
      <c r="IRI44" s="172"/>
      <c r="IRJ44" s="170"/>
      <c r="IRK44" s="172"/>
      <c r="IRL44" s="170"/>
      <c r="IRM44" s="172"/>
      <c r="IRN44" s="170"/>
      <c r="IRO44" s="172"/>
      <c r="IRP44" s="170"/>
      <c r="IRQ44" s="172"/>
      <c r="IRR44" s="170"/>
      <c r="IRS44" s="172"/>
      <c r="IRT44" s="170"/>
      <c r="IRU44" s="172"/>
      <c r="IRV44" s="170"/>
      <c r="IRW44" s="172"/>
      <c r="IRX44" s="170"/>
      <c r="IRY44" s="172"/>
      <c r="IRZ44" s="170"/>
      <c r="ISA44" s="172"/>
      <c r="ISB44" s="170"/>
      <c r="ISC44" s="172"/>
      <c r="ISD44" s="170"/>
      <c r="ISE44" s="172"/>
      <c r="ISF44" s="170"/>
      <c r="ISG44" s="172"/>
      <c r="ISH44" s="170"/>
      <c r="ISI44" s="172"/>
      <c r="ISJ44" s="170"/>
      <c r="ISK44" s="172"/>
      <c r="ISL44" s="170"/>
      <c r="ISM44" s="172"/>
      <c r="ISN44" s="170"/>
      <c r="ISO44" s="172"/>
      <c r="ISP44" s="170"/>
      <c r="ISQ44" s="172"/>
      <c r="ISR44" s="170"/>
      <c r="ISS44" s="172"/>
      <c r="IST44" s="170"/>
      <c r="ISU44" s="172"/>
      <c r="ISV44" s="170"/>
      <c r="ISW44" s="172"/>
      <c r="ISX44" s="170"/>
      <c r="ISY44" s="172"/>
      <c r="ISZ44" s="170"/>
      <c r="ITA44" s="172"/>
      <c r="ITB44" s="170"/>
      <c r="ITC44" s="172"/>
      <c r="ITD44" s="170"/>
      <c r="ITE44" s="172"/>
      <c r="ITF44" s="170"/>
      <c r="ITG44" s="172"/>
      <c r="ITH44" s="170"/>
      <c r="ITI44" s="172"/>
      <c r="ITJ44" s="170"/>
      <c r="ITK44" s="172"/>
      <c r="ITL44" s="170"/>
      <c r="ITM44" s="172"/>
      <c r="ITN44" s="170"/>
      <c r="ITO44" s="172"/>
      <c r="ITP44" s="170"/>
      <c r="ITQ44" s="172"/>
      <c r="ITR44" s="170"/>
      <c r="ITS44" s="172"/>
      <c r="ITT44" s="170"/>
      <c r="ITU44" s="172"/>
      <c r="ITV44" s="170"/>
      <c r="ITW44" s="172"/>
      <c r="ITX44" s="170"/>
      <c r="ITY44" s="172"/>
      <c r="ITZ44" s="170"/>
      <c r="IUA44" s="172"/>
      <c r="IUB44" s="170"/>
      <c r="IUC44" s="172"/>
      <c r="IUD44" s="170"/>
      <c r="IUE44" s="172"/>
      <c r="IUF44" s="170"/>
      <c r="IUG44" s="172"/>
      <c r="IUH44" s="170"/>
      <c r="IUI44" s="172"/>
      <c r="IUJ44" s="170"/>
      <c r="IUK44" s="172"/>
      <c r="IUL44" s="170"/>
      <c r="IUM44" s="172"/>
      <c r="IUN44" s="170"/>
      <c r="IUO44" s="172"/>
      <c r="IUP44" s="170"/>
      <c r="IUQ44" s="172"/>
      <c r="IUR44" s="170"/>
      <c r="IUS44" s="172"/>
      <c r="IUT44" s="170"/>
      <c r="IUU44" s="172"/>
      <c r="IUV44" s="170"/>
      <c r="IUW44" s="172"/>
      <c r="IUX44" s="170"/>
      <c r="IUY44" s="172"/>
      <c r="IUZ44" s="170"/>
      <c r="IVA44" s="172"/>
      <c r="IVB44" s="170"/>
      <c r="IVC44" s="172"/>
      <c r="IVD44" s="170"/>
      <c r="IVE44" s="172"/>
      <c r="IVF44" s="170"/>
      <c r="IVG44" s="172"/>
      <c r="IVH44" s="170"/>
      <c r="IVI44" s="172"/>
      <c r="IVJ44" s="170"/>
      <c r="IVK44" s="172"/>
      <c r="IVL44" s="170"/>
      <c r="IVM44" s="172"/>
      <c r="IVN44" s="170"/>
      <c r="IVO44" s="172"/>
      <c r="IVP44" s="170"/>
      <c r="IVQ44" s="172"/>
      <c r="IVR44" s="170"/>
      <c r="IVS44" s="172"/>
      <c r="IVT44" s="170"/>
      <c r="IVU44" s="172"/>
      <c r="IVV44" s="170"/>
      <c r="IVW44" s="172"/>
      <c r="IVX44" s="170"/>
      <c r="IVY44" s="172"/>
      <c r="IVZ44" s="170"/>
      <c r="IWA44" s="172"/>
      <c r="IWB44" s="170"/>
      <c r="IWC44" s="172"/>
      <c r="IWD44" s="170"/>
      <c r="IWE44" s="172"/>
      <c r="IWF44" s="170"/>
      <c r="IWG44" s="172"/>
      <c r="IWH44" s="170"/>
      <c r="IWI44" s="172"/>
      <c r="IWJ44" s="170"/>
      <c r="IWK44" s="172"/>
      <c r="IWL44" s="170"/>
      <c r="IWM44" s="172"/>
      <c r="IWN44" s="170"/>
      <c r="IWO44" s="172"/>
      <c r="IWP44" s="170"/>
      <c r="IWQ44" s="172"/>
      <c r="IWR44" s="170"/>
      <c r="IWS44" s="172"/>
      <c r="IWT44" s="170"/>
      <c r="IWU44" s="172"/>
      <c r="IWV44" s="170"/>
      <c r="IWW44" s="172"/>
      <c r="IWX44" s="170"/>
      <c r="IWY44" s="172"/>
      <c r="IWZ44" s="170"/>
      <c r="IXA44" s="172"/>
      <c r="IXB44" s="170"/>
      <c r="IXC44" s="172"/>
      <c r="IXD44" s="170"/>
      <c r="IXE44" s="172"/>
      <c r="IXF44" s="170"/>
      <c r="IXG44" s="172"/>
      <c r="IXH44" s="170"/>
      <c r="IXI44" s="172"/>
      <c r="IXJ44" s="170"/>
      <c r="IXK44" s="172"/>
      <c r="IXL44" s="170"/>
      <c r="IXM44" s="172"/>
      <c r="IXN44" s="170"/>
      <c r="IXO44" s="172"/>
      <c r="IXP44" s="170"/>
      <c r="IXQ44" s="172"/>
      <c r="IXR44" s="170"/>
      <c r="IXS44" s="172"/>
      <c r="IXT44" s="170"/>
      <c r="IXU44" s="172"/>
      <c r="IXV44" s="170"/>
      <c r="IXW44" s="172"/>
      <c r="IXX44" s="170"/>
      <c r="IXY44" s="172"/>
      <c r="IXZ44" s="170"/>
      <c r="IYA44" s="172"/>
      <c r="IYB44" s="170"/>
      <c r="IYC44" s="172"/>
      <c r="IYD44" s="170"/>
      <c r="IYE44" s="172"/>
      <c r="IYF44" s="170"/>
      <c r="IYG44" s="172"/>
      <c r="IYH44" s="170"/>
      <c r="IYI44" s="172"/>
      <c r="IYJ44" s="170"/>
      <c r="IYK44" s="172"/>
      <c r="IYL44" s="170"/>
      <c r="IYM44" s="172"/>
      <c r="IYN44" s="170"/>
      <c r="IYO44" s="172"/>
      <c r="IYP44" s="170"/>
      <c r="IYQ44" s="172"/>
      <c r="IYR44" s="170"/>
      <c r="IYS44" s="172"/>
      <c r="IYT44" s="170"/>
      <c r="IYU44" s="172"/>
      <c r="IYV44" s="170"/>
      <c r="IYW44" s="172"/>
      <c r="IYX44" s="170"/>
      <c r="IYY44" s="172"/>
      <c r="IYZ44" s="170"/>
      <c r="IZA44" s="172"/>
      <c r="IZB44" s="170"/>
      <c r="IZC44" s="172"/>
      <c r="IZD44" s="170"/>
      <c r="IZE44" s="172"/>
      <c r="IZF44" s="170"/>
      <c r="IZG44" s="172"/>
      <c r="IZH44" s="170"/>
      <c r="IZI44" s="172"/>
      <c r="IZJ44" s="170"/>
      <c r="IZK44" s="172"/>
      <c r="IZL44" s="170"/>
      <c r="IZM44" s="172"/>
      <c r="IZN44" s="170"/>
      <c r="IZO44" s="172"/>
      <c r="IZP44" s="170"/>
      <c r="IZQ44" s="172"/>
      <c r="IZR44" s="170"/>
      <c r="IZS44" s="172"/>
      <c r="IZT44" s="170"/>
      <c r="IZU44" s="172"/>
      <c r="IZV44" s="170"/>
      <c r="IZW44" s="172"/>
      <c r="IZX44" s="170"/>
      <c r="IZY44" s="172"/>
      <c r="IZZ44" s="170"/>
      <c r="JAA44" s="172"/>
      <c r="JAB44" s="170"/>
      <c r="JAC44" s="172"/>
      <c r="JAD44" s="170"/>
      <c r="JAE44" s="172"/>
      <c r="JAF44" s="170"/>
      <c r="JAG44" s="172"/>
      <c r="JAH44" s="170"/>
      <c r="JAI44" s="172"/>
      <c r="JAJ44" s="170"/>
      <c r="JAK44" s="172"/>
      <c r="JAL44" s="170"/>
      <c r="JAM44" s="172"/>
      <c r="JAN44" s="170"/>
      <c r="JAO44" s="172"/>
      <c r="JAP44" s="170"/>
      <c r="JAQ44" s="172"/>
      <c r="JAR44" s="170"/>
      <c r="JAS44" s="172"/>
      <c r="JAT44" s="170"/>
      <c r="JAU44" s="172"/>
      <c r="JAV44" s="170"/>
      <c r="JAW44" s="172"/>
      <c r="JAX44" s="170"/>
      <c r="JAY44" s="172"/>
      <c r="JAZ44" s="170"/>
      <c r="JBA44" s="172"/>
      <c r="JBB44" s="170"/>
      <c r="JBC44" s="172"/>
      <c r="JBD44" s="170"/>
      <c r="JBE44" s="172"/>
      <c r="JBF44" s="170"/>
      <c r="JBG44" s="172"/>
      <c r="JBH44" s="170"/>
      <c r="JBI44" s="172"/>
      <c r="JBJ44" s="170"/>
      <c r="JBK44" s="172"/>
      <c r="JBL44" s="170"/>
      <c r="JBM44" s="172"/>
      <c r="JBN44" s="170"/>
      <c r="JBO44" s="172"/>
      <c r="JBP44" s="170"/>
      <c r="JBQ44" s="172"/>
      <c r="JBR44" s="170"/>
      <c r="JBS44" s="172"/>
      <c r="JBT44" s="170"/>
      <c r="JBU44" s="172"/>
      <c r="JBV44" s="170"/>
      <c r="JBW44" s="172"/>
      <c r="JBX44" s="170"/>
      <c r="JBY44" s="172"/>
      <c r="JBZ44" s="170"/>
      <c r="JCA44" s="172"/>
      <c r="JCB44" s="170"/>
      <c r="JCC44" s="172"/>
      <c r="JCD44" s="170"/>
      <c r="JCE44" s="172"/>
      <c r="JCF44" s="170"/>
      <c r="JCG44" s="172"/>
      <c r="JCH44" s="170"/>
      <c r="JCI44" s="172"/>
      <c r="JCJ44" s="170"/>
      <c r="JCK44" s="172"/>
      <c r="JCL44" s="170"/>
      <c r="JCM44" s="172"/>
      <c r="JCN44" s="170"/>
      <c r="JCO44" s="172"/>
      <c r="JCP44" s="170"/>
      <c r="JCQ44" s="172"/>
      <c r="JCR44" s="170"/>
      <c r="JCS44" s="172"/>
      <c r="JCT44" s="170"/>
      <c r="JCU44" s="172"/>
      <c r="JCV44" s="170"/>
      <c r="JCW44" s="172"/>
      <c r="JCX44" s="170"/>
      <c r="JCY44" s="172"/>
      <c r="JCZ44" s="170"/>
      <c r="JDA44" s="172"/>
      <c r="JDB44" s="170"/>
      <c r="JDC44" s="172"/>
      <c r="JDD44" s="170"/>
      <c r="JDE44" s="172"/>
      <c r="JDF44" s="170"/>
      <c r="JDG44" s="172"/>
      <c r="JDH44" s="170"/>
      <c r="JDI44" s="172"/>
      <c r="JDJ44" s="170"/>
      <c r="JDK44" s="172"/>
      <c r="JDL44" s="170"/>
      <c r="JDM44" s="172"/>
      <c r="JDN44" s="170"/>
      <c r="JDO44" s="172"/>
      <c r="JDP44" s="170"/>
      <c r="JDQ44" s="172"/>
      <c r="JDR44" s="170"/>
      <c r="JDS44" s="172"/>
      <c r="JDT44" s="170"/>
      <c r="JDU44" s="172"/>
      <c r="JDV44" s="170"/>
      <c r="JDW44" s="172"/>
      <c r="JDX44" s="170"/>
      <c r="JDY44" s="172"/>
      <c r="JDZ44" s="170"/>
      <c r="JEA44" s="172"/>
      <c r="JEB44" s="170"/>
      <c r="JEC44" s="172"/>
      <c r="JED44" s="170"/>
      <c r="JEE44" s="172"/>
      <c r="JEF44" s="170"/>
      <c r="JEG44" s="172"/>
      <c r="JEH44" s="170"/>
      <c r="JEI44" s="172"/>
      <c r="JEJ44" s="170"/>
      <c r="JEK44" s="172"/>
      <c r="JEL44" s="170"/>
      <c r="JEM44" s="172"/>
      <c r="JEN44" s="170"/>
      <c r="JEO44" s="172"/>
      <c r="JEP44" s="170"/>
      <c r="JEQ44" s="172"/>
      <c r="JER44" s="170"/>
      <c r="JES44" s="172"/>
      <c r="JET44" s="170"/>
      <c r="JEU44" s="172"/>
      <c r="JEV44" s="170"/>
      <c r="JEW44" s="172"/>
      <c r="JEX44" s="170"/>
      <c r="JEY44" s="172"/>
      <c r="JEZ44" s="170"/>
      <c r="JFA44" s="172"/>
      <c r="JFB44" s="170"/>
      <c r="JFC44" s="172"/>
      <c r="JFD44" s="170"/>
      <c r="JFE44" s="172"/>
      <c r="JFF44" s="170"/>
      <c r="JFG44" s="172"/>
      <c r="JFH44" s="170"/>
      <c r="JFI44" s="172"/>
      <c r="JFJ44" s="170"/>
      <c r="JFK44" s="172"/>
      <c r="JFL44" s="170"/>
      <c r="JFM44" s="172"/>
      <c r="JFN44" s="170"/>
      <c r="JFO44" s="172"/>
      <c r="JFP44" s="170"/>
      <c r="JFQ44" s="172"/>
      <c r="JFR44" s="170"/>
      <c r="JFS44" s="172"/>
      <c r="JFT44" s="170"/>
      <c r="JFU44" s="172"/>
      <c r="JFV44" s="170"/>
      <c r="JFW44" s="172"/>
      <c r="JFX44" s="170"/>
      <c r="JFY44" s="172"/>
      <c r="JFZ44" s="170"/>
      <c r="JGA44" s="172"/>
      <c r="JGB44" s="170"/>
      <c r="JGC44" s="172"/>
      <c r="JGD44" s="170"/>
      <c r="JGE44" s="172"/>
      <c r="JGF44" s="170"/>
      <c r="JGG44" s="172"/>
      <c r="JGH44" s="170"/>
      <c r="JGI44" s="172"/>
      <c r="JGJ44" s="170"/>
      <c r="JGK44" s="172"/>
      <c r="JGL44" s="170"/>
      <c r="JGM44" s="172"/>
      <c r="JGN44" s="170"/>
      <c r="JGO44" s="172"/>
      <c r="JGP44" s="170"/>
      <c r="JGQ44" s="172"/>
      <c r="JGR44" s="170"/>
      <c r="JGS44" s="172"/>
      <c r="JGT44" s="170"/>
      <c r="JGU44" s="172"/>
      <c r="JGV44" s="170"/>
      <c r="JGW44" s="172"/>
      <c r="JGX44" s="170"/>
      <c r="JGY44" s="172"/>
      <c r="JGZ44" s="170"/>
      <c r="JHA44" s="172"/>
      <c r="JHB44" s="170"/>
      <c r="JHC44" s="172"/>
      <c r="JHD44" s="170"/>
      <c r="JHE44" s="172"/>
      <c r="JHF44" s="170"/>
      <c r="JHG44" s="172"/>
      <c r="JHH44" s="170"/>
      <c r="JHI44" s="172"/>
      <c r="JHJ44" s="170"/>
      <c r="JHK44" s="172"/>
      <c r="JHL44" s="170"/>
      <c r="JHM44" s="172"/>
      <c r="JHN44" s="170"/>
      <c r="JHO44" s="172"/>
      <c r="JHP44" s="170"/>
      <c r="JHQ44" s="172"/>
      <c r="JHR44" s="170"/>
      <c r="JHS44" s="172"/>
      <c r="JHT44" s="170"/>
      <c r="JHU44" s="172"/>
      <c r="JHV44" s="170"/>
      <c r="JHW44" s="172"/>
      <c r="JHX44" s="170"/>
      <c r="JHY44" s="172"/>
      <c r="JHZ44" s="170"/>
      <c r="JIA44" s="172"/>
      <c r="JIB44" s="170"/>
      <c r="JIC44" s="172"/>
      <c r="JID44" s="170"/>
      <c r="JIE44" s="172"/>
      <c r="JIF44" s="170"/>
      <c r="JIG44" s="172"/>
      <c r="JIH44" s="170"/>
      <c r="JII44" s="172"/>
      <c r="JIJ44" s="170"/>
      <c r="JIK44" s="172"/>
      <c r="JIL44" s="170"/>
      <c r="JIM44" s="172"/>
      <c r="JIN44" s="170"/>
      <c r="JIO44" s="172"/>
      <c r="JIP44" s="170"/>
      <c r="JIQ44" s="172"/>
      <c r="JIR44" s="170"/>
      <c r="JIS44" s="172"/>
      <c r="JIT44" s="170"/>
      <c r="JIU44" s="172"/>
      <c r="JIV44" s="170"/>
      <c r="JIW44" s="172"/>
      <c r="JIX44" s="170"/>
      <c r="JIY44" s="172"/>
      <c r="JIZ44" s="170"/>
      <c r="JJA44" s="172"/>
      <c r="JJB44" s="170"/>
      <c r="JJC44" s="172"/>
      <c r="JJD44" s="170"/>
      <c r="JJE44" s="172"/>
      <c r="JJF44" s="170"/>
      <c r="JJG44" s="172"/>
      <c r="JJH44" s="170"/>
      <c r="JJI44" s="172"/>
      <c r="JJJ44" s="170"/>
      <c r="JJK44" s="172"/>
      <c r="JJL44" s="170"/>
      <c r="JJM44" s="172"/>
      <c r="JJN44" s="170"/>
      <c r="JJO44" s="172"/>
      <c r="JJP44" s="170"/>
      <c r="JJQ44" s="172"/>
      <c r="JJR44" s="170"/>
      <c r="JJS44" s="172"/>
      <c r="JJT44" s="170"/>
      <c r="JJU44" s="172"/>
      <c r="JJV44" s="170"/>
      <c r="JJW44" s="172"/>
      <c r="JJX44" s="170"/>
      <c r="JJY44" s="172"/>
      <c r="JJZ44" s="170"/>
      <c r="JKA44" s="172"/>
      <c r="JKB44" s="170"/>
      <c r="JKC44" s="172"/>
      <c r="JKD44" s="170"/>
      <c r="JKE44" s="172"/>
      <c r="JKF44" s="170"/>
      <c r="JKG44" s="172"/>
      <c r="JKH44" s="170"/>
      <c r="JKI44" s="172"/>
      <c r="JKJ44" s="170"/>
      <c r="JKK44" s="172"/>
      <c r="JKL44" s="170"/>
      <c r="JKM44" s="172"/>
      <c r="JKN44" s="170"/>
      <c r="JKO44" s="172"/>
      <c r="JKP44" s="170"/>
      <c r="JKQ44" s="172"/>
      <c r="JKR44" s="170"/>
      <c r="JKS44" s="172"/>
      <c r="JKT44" s="170"/>
      <c r="JKU44" s="172"/>
      <c r="JKV44" s="170"/>
      <c r="JKW44" s="172"/>
      <c r="JKX44" s="170"/>
      <c r="JKY44" s="172"/>
      <c r="JKZ44" s="170"/>
      <c r="JLA44" s="172"/>
      <c r="JLB44" s="170"/>
      <c r="JLC44" s="172"/>
      <c r="JLD44" s="170"/>
      <c r="JLE44" s="172"/>
      <c r="JLF44" s="170"/>
      <c r="JLG44" s="172"/>
      <c r="JLH44" s="170"/>
      <c r="JLI44" s="172"/>
      <c r="JLJ44" s="170"/>
      <c r="JLK44" s="172"/>
      <c r="JLL44" s="170"/>
      <c r="JLM44" s="172"/>
      <c r="JLN44" s="170"/>
      <c r="JLO44" s="172"/>
      <c r="JLP44" s="170"/>
      <c r="JLQ44" s="172"/>
      <c r="JLR44" s="170"/>
      <c r="JLS44" s="172"/>
      <c r="JLT44" s="170"/>
      <c r="JLU44" s="172"/>
      <c r="JLV44" s="170"/>
      <c r="JLW44" s="172"/>
      <c r="JLX44" s="170"/>
      <c r="JLY44" s="172"/>
      <c r="JLZ44" s="170"/>
      <c r="JMA44" s="172"/>
      <c r="JMB44" s="170"/>
      <c r="JMC44" s="172"/>
      <c r="JMD44" s="170"/>
      <c r="JME44" s="172"/>
      <c r="JMF44" s="170"/>
      <c r="JMG44" s="172"/>
      <c r="JMH44" s="170"/>
      <c r="JMI44" s="172"/>
      <c r="JMJ44" s="170"/>
      <c r="JMK44" s="172"/>
      <c r="JML44" s="170"/>
      <c r="JMM44" s="172"/>
      <c r="JMN44" s="170"/>
      <c r="JMO44" s="172"/>
      <c r="JMP44" s="170"/>
      <c r="JMQ44" s="172"/>
      <c r="JMR44" s="170"/>
      <c r="JMS44" s="172"/>
      <c r="JMT44" s="170"/>
      <c r="JMU44" s="172"/>
      <c r="JMV44" s="170"/>
      <c r="JMW44" s="172"/>
      <c r="JMX44" s="170"/>
      <c r="JMY44" s="172"/>
      <c r="JMZ44" s="170"/>
      <c r="JNA44" s="172"/>
      <c r="JNB44" s="170"/>
      <c r="JNC44" s="172"/>
      <c r="JND44" s="170"/>
      <c r="JNE44" s="172"/>
      <c r="JNF44" s="170"/>
      <c r="JNG44" s="172"/>
      <c r="JNH44" s="170"/>
      <c r="JNI44" s="172"/>
      <c r="JNJ44" s="170"/>
      <c r="JNK44" s="172"/>
      <c r="JNL44" s="170"/>
      <c r="JNM44" s="172"/>
      <c r="JNN44" s="170"/>
      <c r="JNO44" s="172"/>
      <c r="JNP44" s="170"/>
      <c r="JNQ44" s="172"/>
      <c r="JNR44" s="170"/>
      <c r="JNS44" s="172"/>
      <c r="JNT44" s="170"/>
      <c r="JNU44" s="172"/>
      <c r="JNV44" s="170"/>
      <c r="JNW44" s="172"/>
      <c r="JNX44" s="170"/>
      <c r="JNY44" s="172"/>
      <c r="JNZ44" s="170"/>
      <c r="JOA44" s="172"/>
      <c r="JOB44" s="170"/>
      <c r="JOC44" s="172"/>
      <c r="JOD44" s="170"/>
      <c r="JOE44" s="172"/>
      <c r="JOF44" s="170"/>
      <c r="JOG44" s="172"/>
      <c r="JOH44" s="170"/>
      <c r="JOI44" s="172"/>
      <c r="JOJ44" s="170"/>
      <c r="JOK44" s="172"/>
      <c r="JOL44" s="170"/>
      <c r="JOM44" s="172"/>
      <c r="JON44" s="170"/>
      <c r="JOO44" s="172"/>
      <c r="JOP44" s="170"/>
      <c r="JOQ44" s="172"/>
      <c r="JOR44" s="170"/>
      <c r="JOS44" s="172"/>
      <c r="JOT44" s="170"/>
      <c r="JOU44" s="172"/>
      <c r="JOV44" s="170"/>
      <c r="JOW44" s="172"/>
      <c r="JOX44" s="170"/>
      <c r="JOY44" s="172"/>
      <c r="JOZ44" s="170"/>
      <c r="JPA44" s="172"/>
      <c r="JPB44" s="170"/>
      <c r="JPC44" s="172"/>
      <c r="JPD44" s="170"/>
      <c r="JPE44" s="172"/>
      <c r="JPF44" s="170"/>
      <c r="JPG44" s="172"/>
      <c r="JPH44" s="170"/>
      <c r="JPI44" s="172"/>
      <c r="JPJ44" s="170"/>
      <c r="JPK44" s="172"/>
      <c r="JPL44" s="170"/>
      <c r="JPM44" s="172"/>
      <c r="JPN44" s="170"/>
      <c r="JPO44" s="172"/>
      <c r="JPP44" s="170"/>
      <c r="JPQ44" s="172"/>
      <c r="JPR44" s="170"/>
      <c r="JPS44" s="172"/>
      <c r="JPT44" s="170"/>
      <c r="JPU44" s="172"/>
      <c r="JPV44" s="170"/>
      <c r="JPW44" s="172"/>
      <c r="JPX44" s="170"/>
      <c r="JPY44" s="172"/>
      <c r="JPZ44" s="170"/>
      <c r="JQA44" s="172"/>
      <c r="JQB44" s="170"/>
      <c r="JQC44" s="172"/>
      <c r="JQD44" s="170"/>
      <c r="JQE44" s="172"/>
      <c r="JQF44" s="170"/>
      <c r="JQG44" s="172"/>
      <c r="JQH44" s="170"/>
      <c r="JQI44" s="172"/>
      <c r="JQJ44" s="170"/>
      <c r="JQK44" s="172"/>
      <c r="JQL44" s="170"/>
      <c r="JQM44" s="172"/>
      <c r="JQN44" s="170"/>
      <c r="JQO44" s="172"/>
      <c r="JQP44" s="170"/>
      <c r="JQQ44" s="172"/>
      <c r="JQR44" s="170"/>
      <c r="JQS44" s="172"/>
      <c r="JQT44" s="170"/>
      <c r="JQU44" s="172"/>
      <c r="JQV44" s="170"/>
      <c r="JQW44" s="172"/>
      <c r="JQX44" s="170"/>
      <c r="JQY44" s="172"/>
      <c r="JQZ44" s="170"/>
      <c r="JRA44" s="172"/>
      <c r="JRB44" s="170"/>
      <c r="JRC44" s="172"/>
      <c r="JRD44" s="170"/>
      <c r="JRE44" s="172"/>
      <c r="JRF44" s="170"/>
      <c r="JRG44" s="172"/>
      <c r="JRH44" s="170"/>
      <c r="JRI44" s="172"/>
      <c r="JRJ44" s="170"/>
      <c r="JRK44" s="172"/>
      <c r="JRL44" s="170"/>
      <c r="JRM44" s="172"/>
      <c r="JRN44" s="170"/>
      <c r="JRO44" s="172"/>
      <c r="JRP44" s="170"/>
      <c r="JRQ44" s="172"/>
      <c r="JRR44" s="170"/>
      <c r="JRS44" s="172"/>
      <c r="JRT44" s="170"/>
      <c r="JRU44" s="172"/>
      <c r="JRV44" s="170"/>
      <c r="JRW44" s="172"/>
      <c r="JRX44" s="170"/>
      <c r="JRY44" s="172"/>
      <c r="JRZ44" s="170"/>
      <c r="JSA44" s="172"/>
      <c r="JSB44" s="170"/>
      <c r="JSC44" s="172"/>
      <c r="JSD44" s="170"/>
      <c r="JSE44" s="172"/>
      <c r="JSF44" s="170"/>
      <c r="JSG44" s="172"/>
      <c r="JSH44" s="170"/>
      <c r="JSI44" s="172"/>
      <c r="JSJ44" s="170"/>
      <c r="JSK44" s="172"/>
      <c r="JSL44" s="170"/>
      <c r="JSM44" s="172"/>
      <c r="JSN44" s="170"/>
      <c r="JSO44" s="172"/>
      <c r="JSP44" s="170"/>
      <c r="JSQ44" s="172"/>
      <c r="JSR44" s="170"/>
      <c r="JSS44" s="172"/>
      <c r="JST44" s="170"/>
      <c r="JSU44" s="172"/>
      <c r="JSV44" s="170"/>
      <c r="JSW44" s="172"/>
      <c r="JSX44" s="170"/>
      <c r="JSY44" s="172"/>
      <c r="JSZ44" s="170"/>
      <c r="JTA44" s="172"/>
      <c r="JTB44" s="170"/>
      <c r="JTC44" s="172"/>
      <c r="JTD44" s="170"/>
      <c r="JTE44" s="172"/>
      <c r="JTF44" s="170"/>
      <c r="JTG44" s="172"/>
      <c r="JTH44" s="170"/>
      <c r="JTI44" s="172"/>
      <c r="JTJ44" s="170"/>
      <c r="JTK44" s="172"/>
      <c r="JTL44" s="170"/>
      <c r="JTM44" s="172"/>
      <c r="JTN44" s="170"/>
      <c r="JTO44" s="172"/>
      <c r="JTP44" s="170"/>
      <c r="JTQ44" s="172"/>
      <c r="JTR44" s="170"/>
      <c r="JTS44" s="172"/>
      <c r="JTT44" s="170"/>
      <c r="JTU44" s="172"/>
      <c r="JTV44" s="170"/>
      <c r="JTW44" s="172"/>
      <c r="JTX44" s="170"/>
      <c r="JTY44" s="172"/>
      <c r="JTZ44" s="170"/>
      <c r="JUA44" s="172"/>
      <c r="JUB44" s="170"/>
      <c r="JUC44" s="172"/>
      <c r="JUD44" s="170"/>
      <c r="JUE44" s="172"/>
      <c r="JUF44" s="170"/>
      <c r="JUG44" s="172"/>
      <c r="JUH44" s="170"/>
      <c r="JUI44" s="172"/>
      <c r="JUJ44" s="170"/>
      <c r="JUK44" s="172"/>
      <c r="JUL44" s="170"/>
      <c r="JUM44" s="172"/>
      <c r="JUN44" s="170"/>
      <c r="JUO44" s="172"/>
      <c r="JUP44" s="170"/>
      <c r="JUQ44" s="172"/>
      <c r="JUR44" s="170"/>
      <c r="JUS44" s="172"/>
      <c r="JUT44" s="170"/>
      <c r="JUU44" s="172"/>
      <c r="JUV44" s="170"/>
      <c r="JUW44" s="172"/>
      <c r="JUX44" s="170"/>
      <c r="JUY44" s="172"/>
      <c r="JUZ44" s="170"/>
      <c r="JVA44" s="172"/>
      <c r="JVB44" s="170"/>
      <c r="JVC44" s="172"/>
      <c r="JVD44" s="170"/>
      <c r="JVE44" s="172"/>
      <c r="JVF44" s="170"/>
      <c r="JVG44" s="172"/>
      <c r="JVH44" s="170"/>
      <c r="JVI44" s="172"/>
      <c r="JVJ44" s="170"/>
      <c r="JVK44" s="172"/>
      <c r="JVL44" s="170"/>
      <c r="JVM44" s="172"/>
      <c r="JVN44" s="170"/>
      <c r="JVO44" s="172"/>
      <c r="JVP44" s="170"/>
      <c r="JVQ44" s="172"/>
      <c r="JVR44" s="170"/>
      <c r="JVS44" s="172"/>
      <c r="JVT44" s="170"/>
      <c r="JVU44" s="172"/>
      <c r="JVV44" s="170"/>
      <c r="JVW44" s="172"/>
      <c r="JVX44" s="170"/>
      <c r="JVY44" s="172"/>
      <c r="JVZ44" s="170"/>
      <c r="JWA44" s="172"/>
      <c r="JWB44" s="170"/>
      <c r="JWC44" s="172"/>
      <c r="JWD44" s="170"/>
      <c r="JWE44" s="172"/>
      <c r="JWF44" s="170"/>
      <c r="JWG44" s="172"/>
      <c r="JWH44" s="170"/>
      <c r="JWI44" s="172"/>
      <c r="JWJ44" s="170"/>
      <c r="JWK44" s="172"/>
      <c r="JWL44" s="170"/>
      <c r="JWM44" s="172"/>
      <c r="JWN44" s="170"/>
      <c r="JWO44" s="172"/>
      <c r="JWP44" s="170"/>
      <c r="JWQ44" s="172"/>
      <c r="JWR44" s="170"/>
      <c r="JWS44" s="172"/>
      <c r="JWT44" s="170"/>
      <c r="JWU44" s="172"/>
      <c r="JWV44" s="170"/>
      <c r="JWW44" s="172"/>
      <c r="JWX44" s="170"/>
      <c r="JWY44" s="172"/>
      <c r="JWZ44" s="170"/>
      <c r="JXA44" s="172"/>
      <c r="JXB44" s="170"/>
      <c r="JXC44" s="172"/>
      <c r="JXD44" s="170"/>
      <c r="JXE44" s="172"/>
      <c r="JXF44" s="170"/>
      <c r="JXG44" s="172"/>
      <c r="JXH44" s="170"/>
      <c r="JXI44" s="172"/>
      <c r="JXJ44" s="170"/>
      <c r="JXK44" s="172"/>
      <c r="JXL44" s="170"/>
      <c r="JXM44" s="172"/>
      <c r="JXN44" s="170"/>
      <c r="JXO44" s="172"/>
      <c r="JXP44" s="170"/>
      <c r="JXQ44" s="172"/>
      <c r="JXR44" s="170"/>
      <c r="JXS44" s="172"/>
      <c r="JXT44" s="170"/>
      <c r="JXU44" s="172"/>
      <c r="JXV44" s="170"/>
      <c r="JXW44" s="172"/>
      <c r="JXX44" s="170"/>
      <c r="JXY44" s="172"/>
      <c r="JXZ44" s="170"/>
      <c r="JYA44" s="172"/>
      <c r="JYB44" s="170"/>
      <c r="JYC44" s="172"/>
      <c r="JYD44" s="170"/>
      <c r="JYE44" s="172"/>
      <c r="JYF44" s="170"/>
      <c r="JYG44" s="172"/>
      <c r="JYH44" s="170"/>
      <c r="JYI44" s="172"/>
      <c r="JYJ44" s="170"/>
      <c r="JYK44" s="172"/>
      <c r="JYL44" s="170"/>
      <c r="JYM44" s="172"/>
      <c r="JYN44" s="170"/>
      <c r="JYO44" s="172"/>
      <c r="JYP44" s="170"/>
      <c r="JYQ44" s="172"/>
      <c r="JYR44" s="170"/>
      <c r="JYS44" s="172"/>
      <c r="JYT44" s="170"/>
      <c r="JYU44" s="172"/>
      <c r="JYV44" s="170"/>
      <c r="JYW44" s="172"/>
      <c r="JYX44" s="170"/>
      <c r="JYY44" s="172"/>
      <c r="JYZ44" s="170"/>
      <c r="JZA44" s="172"/>
      <c r="JZB44" s="170"/>
      <c r="JZC44" s="172"/>
      <c r="JZD44" s="170"/>
      <c r="JZE44" s="172"/>
      <c r="JZF44" s="170"/>
      <c r="JZG44" s="172"/>
      <c r="JZH44" s="170"/>
      <c r="JZI44" s="172"/>
      <c r="JZJ44" s="170"/>
      <c r="JZK44" s="172"/>
      <c r="JZL44" s="170"/>
      <c r="JZM44" s="172"/>
      <c r="JZN44" s="170"/>
      <c r="JZO44" s="172"/>
      <c r="JZP44" s="170"/>
      <c r="JZQ44" s="172"/>
      <c r="JZR44" s="170"/>
      <c r="JZS44" s="172"/>
      <c r="JZT44" s="170"/>
      <c r="JZU44" s="172"/>
      <c r="JZV44" s="170"/>
      <c r="JZW44" s="172"/>
      <c r="JZX44" s="170"/>
      <c r="JZY44" s="172"/>
      <c r="JZZ44" s="170"/>
      <c r="KAA44" s="172"/>
      <c r="KAB44" s="170"/>
      <c r="KAC44" s="172"/>
      <c r="KAD44" s="170"/>
      <c r="KAE44" s="172"/>
      <c r="KAF44" s="170"/>
      <c r="KAG44" s="172"/>
      <c r="KAH44" s="170"/>
      <c r="KAI44" s="172"/>
      <c r="KAJ44" s="170"/>
      <c r="KAK44" s="172"/>
      <c r="KAL44" s="170"/>
      <c r="KAM44" s="172"/>
      <c r="KAN44" s="170"/>
      <c r="KAO44" s="172"/>
      <c r="KAP44" s="170"/>
      <c r="KAQ44" s="172"/>
      <c r="KAR44" s="170"/>
      <c r="KAS44" s="172"/>
      <c r="KAT44" s="170"/>
      <c r="KAU44" s="172"/>
      <c r="KAV44" s="170"/>
      <c r="KAW44" s="172"/>
      <c r="KAX44" s="170"/>
      <c r="KAY44" s="172"/>
      <c r="KAZ44" s="170"/>
      <c r="KBA44" s="172"/>
      <c r="KBB44" s="170"/>
      <c r="KBC44" s="172"/>
      <c r="KBD44" s="170"/>
      <c r="KBE44" s="172"/>
      <c r="KBF44" s="170"/>
      <c r="KBG44" s="172"/>
      <c r="KBH44" s="170"/>
      <c r="KBI44" s="172"/>
      <c r="KBJ44" s="170"/>
      <c r="KBK44" s="172"/>
      <c r="KBL44" s="170"/>
      <c r="KBM44" s="172"/>
      <c r="KBN44" s="170"/>
      <c r="KBO44" s="172"/>
      <c r="KBP44" s="170"/>
      <c r="KBQ44" s="172"/>
      <c r="KBR44" s="170"/>
      <c r="KBS44" s="172"/>
      <c r="KBT44" s="170"/>
      <c r="KBU44" s="172"/>
      <c r="KBV44" s="170"/>
      <c r="KBW44" s="172"/>
      <c r="KBX44" s="170"/>
      <c r="KBY44" s="172"/>
      <c r="KBZ44" s="170"/>
      <c r="KCA44" s="172"/>
      <c r="KCB44" s="170"/>
      <c r="KCC44" s="172"/>
      <c r="KCD44" s="170"/>
      <c r="KCE44" s="172"/>
      <c r="KCF44" s="170"/>
      <c r="KCG44" s="172"/>
      <c r="KCH44" s="170"/>
      <c r="KCI44" s="172"/>
      <c r="KCJ44" s="170"/>
      <c r="KCK44" s="172"/>
      <c r="KCL44" s="170"/>
      <c r="KCM44" s="172"/>
      <c r="KCN44" s="170"/>
      <c r="KCO44" s="172"/>
      <c r="KCP44" s="170"/>
      <c r="KCQ44" s="172"/>
      <c r="KCR44" s="170"/>
      <c r="KCS44" s="172"/>
      <c r="KCT44" s="170"/>
      <c r="KCU44" s="172"/>
      <c r="KCV44" s="170"/>
      <c r="KCW44" s="172"/>
      <c r="KCX44" s="170"/>
      <c r="KCY44" s="172"/>
      <c r="KCZ44" s="170"/>
      <c r="KDA44" s="172"/>
      <c r="KDB44" s="170"/>
      <c r="KDC44" s="172"/>
      <c r="KDD44" s="170"/>
      <c r="KDE44" s="172"/>
      <c r="KDF44" s="170"/>
      <c r="KDG44" s="172"/>
      <c r="KDH44" s="170"/>
      <c r="KDI44" s="172"/>
      <c r="KDJ44" s="170"/>
      <c r="KDK44" s="172"/>
      <c r="KDL44" s="170"/>
      <c r="KDM44" s="172"/>
      <c r="KDN44" s="170"/>
      <c r="KDO44" s="172"/>
      <c r="KDP44" s="170"/>
      <c r="KDQ44" s="172"/>
      <c r="KDR44" s="170"/>
      <c r="KDS44" s="172"/>
      <c r="KDT44" s="170"/>
      <c r="KDU44" s="172"/>
      <c r="KDV44" s="170"/>
      <c r="KDW44" s="172"/>
      <c r="KDX44" s="170"/>
      <c r="KDY44" s="172"/>
      <c r="KDZ44" s="170"/>
      <c r="KEA44" s="172"/>
      <c r="KEB44" s="170"/>
      <c r="KEC44" s="172"/>
      <c r="KED44" s="170"/>
      <c r="KEE44" s="172"/>
      <c r="KEF44" s="170"/>
      <c r="KEG44" s="172"/>
      <c r="KEH44" s="170"/>
      <c r="KEI44" s="172"/>
      <c r="KEJ44" s="170"/>
      <c r="KEK44" s="172"/>
      <c r="KEL44" s="170"/>
      <c r="KEM44" s="172"/>
      <c r="KEN44" s="170"/>
      <c r="KEO44" s="172"/>
      <c r="KEP44" s="170"/>
      <c r="KEQ44" s="172"/>
      <c r="KER44" s="170"/>
      <c r="KES44" s="172"/>
      <c r="KET44" s="170"/>
      <c r="KEU44" s="172"/>
      <c r="KEV44" s="170"/>
      <c r="KEW44" s="172"/>
      <c r="KEX44" s="170"/>
      <c r="KEY44" s="172"/>
      <c r="KEZ44" s="170"/>
      <c r="KFA44" s="172"/>
      <c r="KFB44" s="170"/>
      <c r="KFC44" s="172"/>
      <c r="KFD44" s="170"/>
      <c r="KFE44" s="172"/>
      <c r="KFF44" s="170"/>
      <c r="KFG44" s="172"/>
      <c r="KFH44" s="170"/>
      <c r="KFI44" s="172"/>
      <c r="KFJ44" s="170"/>
      <c r="KFK44" s="172"/>
      <c r="KFL44" s="170"/>
      <c r="KFM44" s="172"/>
      <c r="KFN44" s="170"/>
      <c r="KFO44" s="172"/>
      <c r="KFP44" s="170"/>
      <c r="KFQ44" s="172"/>
      <c r="KFR44" s="170"/>
      <c r="KFS44" s="172"/>
      <c r="KFT44" s="170"/>
      <c r="KFU44" s="172"/>
      <c r="KFV44" s="170"/>
      <c r="KFW44" s="172"/>
      <c r="KFX44" s="170"/>
      <c r="KFY44" s="172"/>
      <c r="KFZ44" s="170"/>
      <c r="KGA44" s="172"/>
      <c r="KGB44" s="170"/>
      <c r="KGC44" s="172"/>
      <c r="KGD44" s="170"/>
      <c r="KGE44" s="172"/>
      <c r="KGF44" s="170"/>
      <c r="KGG44" s="172"/>
      <c r="KGH44" s="170"/>
      <c r="KGI44" s="172"/>
      <c r="KGJ44" s="170"/>
      <c r="KGK44" s="172"/>
      <c r="KGL44" s="170"/>
      <c r="KGM44" s="172"/>
      <c r="KGN44" s="170"/>
      <c r="KGO44" s="172"/>
      <c r="KGP44" s="170"/>
      <c r="KGQ44" s="172"/>
      <c r="KGR44" s="170"/>
      <c r="KGS44" s="172"/>
      <c r="KGT44" s="170"/>
      <c r="KGU44" s="172"/>
      <c r="KGV44" s="170"/>
      <c r="KGW44" s="172"/>
      <c r="KGX44" s="170"/>
      <c r="KGY44" s="172"/>
      <c r="KGZ44" s="170"/>
      <c r="KHA44" s="172"/>
      <c r="KHB44" s="170"/>
      <c r="KHC44" s="172"/>
      <c r="KHD44" s="170"/>
      <c r="KHE44" s="172"/>
      <c r="KHF44" s="170"/>
      <c r="KHG44" s="172"/>
      <c r="KHH44" s="170"/>
      <c r="KHI44" s="172"/>
      <c r="KHJ44" s="170"/>
      <c r="KHK44" s="172"/>
      <c r="KHL44" s="170"/>
      <c r="KHM44" s="172"/>
      <c r="KHN44" s="170"/>
      <c r="KHO44" s="172"/>
      <c r="KHP44" s="170"/>
      <c r="KHQ44" s="172"/>
      <c r="KHR44" s="170"/>
      <c r="KHS44" s="172"/>
      <c r="KHT44" s="170"/>
      <c r="KHU44" s="172"/>
      <c r="KHV44" s="170"/>
      <c r="KHW44" s="172"/>
      <c r="KHX44" s="170"/>
      <c r="KHY44" s="172"/>
      <c r="KHZ44" s="170"/>
      <c r="KIA44" s="172"/>
      <c r="KIB44" s="170"/>
      <c r="KIC44" s="172"/>
      <c r="KID44" s="170"/>
      <c r="KIE44" s="172"/>
      <c r="KIF44" s="170"/>
      <c r="KIG44" s="172"/>
      <c r="KIH44" s="170"/>
      <c r="KII44" s="172"/>
      <c r="KIJ44" s="170"/>
      <c r="KIK44" s="172"/>
      <c r="KIL44" s="170"/>
      <c r="KIM44" s="172"/>
      <c r="KIN44" s="170"/>
      <c r="KIO44" s="172"/>
      <c r="KIP44" s="170"/>
      <c r="KIQ44" s="172"/>
      <c r="KIR44" s="170"/>
      <c r="KIS44" s="172"/>
      <c r="KIT44" s="170"/>
      <c r="KIU44" s="172"/>
      <c r="KIV44" s="170"/>
      <c r="KIW44" s="172"/>
      <c r="KIX44" s="170"/>
      <c r="KIY44" s="172"/>
      <c r="KIZ44" s="170"/>
      <c r="KJA44" s="172"/>
      <c r="KJB44" s="170"/>
      <c r="KJC44" s="172"/>
      <c r="KJD44" s="170"/>
      <c r="KJE44" s="172"/>
      <c r="KJF44" s="170"/>
      <c r="KJG44" s="172"/>
      <c r="KJH44" s="170"/>
      <c r="KJI44" s="172"/>
      <c r="KJJ44" s="170"/>
      <c r="KJK44" s="172"/>
      <c r="KJL44" s="170"/>
      <c r="KJM44" s="172"/>
      <c r="KJN44" s="170"/>
      <c r="KJO44" s="172"/>
      <c r="KJP44" s="170"/>
      <c r="KJQ44" s="172"/>
      <c r="KJR44" s="170"/>
      <c r="KJS44" s="172"/>
      <c r="KJT44" s="170"/>
      <c r="KJU44" s="172"/>
      <c r="KJV44" s="170"/>
      <c r="KJW44" s="172"/>
      <c r="KJX44" s="170"/>
      <c r="KJY44" s="172"/>
      <c r="KJZ44" s="170"/>
      <c r="KKA44" s="172"/>
      <c r="KKB44" s="170"/>
      <c r="KKC44" s="172"/>
      <c r="KKD44" s="170"/>
      <c r="KKE44" s="172"/>
      <c r="KKF44" s="170"/>
      <c r="KKG44" s="172"/>
      <c r="KKH44" s="170"/>
      <c r="KKI44" s="172"/>
      <c r="KKJ44" s="170"/>
      <c r="KKK44" s="172"/>
      <c r="KKL44" s="170"/>
      <c r="KKM44" s="172"/>
      <c r="KKN44" s="170"/>
      <c r="KKO44" s="172"/>
      <c r="KKP44" s="170"/>
      <c r="KKQ44" s="172"/>
      <c r="KKR44" s="170"/>
      <c r="KKS44" s="172"/>
      <c r="KKT44" s="170"/>
      <c r="KKU44" s="172"/>
      <c r="KKV44" s="170"/>
      <c r="KKW44" s="172"/>
      <c r="KKX44" s="170"/>
      <c r="KKY44" s="172"/>
      <c r="KKZ44" s="170"/>
      <c r="KLA44" s="172"/>
      <c r="KLB44" s="170"/>
      <c r="KLC44" s="172"/>
      <c r="KLD44" s="170"/>
      <c r="KLE44" s="172"/>
      <c r="KLF44" s="170"/>
      <c r="KLG44" s="172"/>
      <c r="KLH44" s="170"/>
      <c r="KLI44" s="172"/>
      <c r="KLJ44" s="170"/>
      <c r="KLK44" s="172"/>
      <c r="KLL44" s="170"/>
      <c r="KLM44" s="172"/>
      <c r="KLN44" s="170"/>
      <c r="KLO44" s="172"/>
      <c r="KLP44" s="170"/>
      <c r="KLQ44" s="172"/>
      <c r="KLR44" s="170"/>
      <c r="KLS44" s="172"/>
      <c r="KLT44" s="170"/>
      <c r="KLU44" s="172"/>
      <c r="KLV44" s="170"/>
      <c r="KLW44" s="172"/>
      <c r="KLX44" s="170"/>
      <c r="KLY44" s="172"/>
      <c r="KLZ44" s="170"/>
      <c r="KMA44" s="172"/>
      <c r="KMB44" s="170"/>
      <c r="KMC44" s="172"/>
      <c r="KMD44" s="170"/>
      <c r="KME44" s="172"/>
      <c r="KMF44" s="170"/>
      <c r="KMG44" s="172"/>
      <c r="KMH44" s="170"/>
      <c r="KMI44" s="172"/>
      <c r="KMJ44" s="170"/>
      <c r="KMK44" s="172"/>
      <c r="KML44" s="170"/>
      <c r="KMM44" s="172"/>
      <c r="KMN44" s="170"/>
      <c r="KMO44" s="172"/>
      <c r="KMP44" s="170"/>
      <c r="KMQ44" s="172"/>
      <c r="KMR44" s="170"/>
      <c r="KMS44" s="172"/>
      <c r="KMT44" s="170"/>
      <c r="KMU44" s="172"/>
      <c r="KMV44" s="170"/>
      <c r="KMW44" s="172"/>
      <c r="KMX44" s="170"/>
      <c r="KMY44" s="172"/>
      <c r="KMZ44" s="170"/>
      <c r="KNA44" s="172"/>
      <c r="KNB44" s="170"/>
      <c r="KNC44" s="172"/>
      <c r="KND44" s="170"/>
      <c r="KNE44" s="172"/>
      <c r="KNF44" s="170"/>
      <c r="KNG44" s="172"/>
      <c r="KNH44" s="170"/>
      <c r="KNI44" s="172"/>
      <c r="KNJ44" s="170"/>
      <c r="KNK44" s="172"/>
      <c r="KNL44" s="170"/>
      <c r="KNM44" s="172"/>
      <c r="KNN44" s="170"/>
      <c r="KNO44" s="172"/>
      <c r="KNP44" s="170"/>
      <c r="KNQ44" s="172"/>
      <c r="KNR44" s="170"/>
      <c r="KNS44" s="172"/>
      <c r="KNT44" s="170"/>
      <c r="KNU44" s="172"/>
      <c r="KNV44" s="170"/>
      <c r="KNW44" s="172"/>
      <c r="KNX44" s="170"/>
      <c r="KNY44" s="172"/>
      <c r="KNZ44" s="170"/>
      <c r="KOA44" s="172"/>
      <c r="KOB44" s="170"/>
      <c r="KOC44" s="172"/>
      <c r="KOD44" s="170"/>
      <c r="KOE44" s="172"/>
      <c r="KOF44" s="170"/>
      <c r="KOG44" s="172"/>
      <c r="KOH44" s="170"/>
      <c r="KOI44" s="172"/>
      <c r="KOJ44" s="170"/>
      <c r="KOK44" s="172"/>
      <c r="KOL44" s="170"/>
      <c r="KOM44" s="172"/>
      <c r="KON44" s="170"/>
      <c r="KOO44" s="172"/>
      <c r="KOP44" s="170"/>
      <c r="KOQ44" s="172"/>
      <c r="KOR44" s="170"/>
      <c r="KOS44" s="172"/>
      <c r="KOT44" s="170"/>
      <c r="KOU44" s="172"/>
      <c r="KOV44" s="170"/>
      <c r="KOW44" s="172"/>
      <c r="KOX44" s="170"/>
      <c r="KOY44" s="172"/>
      <c r="KOZ44" s="170"/>
      <c r="KPA44" s="172"/>
      <c r="KPB44" s="170"/>
      <c r="KPC44" s="172"/>
      <c r="KPD44" s="170"/>
      <c r="KPE44" s="172"/>
      <c r="KPF44" s="170"/>
      <c r="KPG44" s="172"/>
      <c r="KPH44" s="170"/>
      <c r="KPI44" s="172"/>
      <c r="KPJ44" s="170"/>
      <c r="KPK44" s="172"/>
      <c r="KPL44" s="170"/>
      <c r="KPM44" s="172"/>
      <c r="KPN44" s="170"/>
      <c r="KPO44" s="172"/>
      <c r="KPP44" s="170"/>
      <c r="KPQ44" s="172"/>
      <c r="KPR44" s="170"/>
      <c r="KPS44" s="172"/>
      <c r="KPT44" s="170"/>
      <c r="KPU44" s="172"/>
      <c r="KPV44" s="170"/>
      <c r="KPW44" s="172"/>
      <c r="KPX44" s="170"/>
      <c r="KPY44" s="172"/>
      <c r="KPZ44" s="170"/>
      <c r="KQA44" s="172"/>
      <c r="KQB44" s="170"/>
      <c r="KQC44" s="172"/>
      <c r="KQD44" s="170"/>
      <c r="KQE44" s="172"/>
      <c r="KQF44" s="170"/>
      <c r="KQG44" s="172"/>
      <c r="KQH44" s="170"/>
      <c r="KQI44" s="172"/>
      <c r="KQJ44" s="170"/>
      <c r="KQK44" s="172"/>
      <c r="KQL44" s="170"/>
      <c r="KQM44" s="172"/>
      <c r="KQN44" s="170"/>
      <c r="KQO44" s="172"/>
      <c r="KQP44" s="170"/>
      <c r="KQQ44" s="172"/>
      <c r="KQR44" s="170"/>
      <c r="KQS44" s="172"/>
      <c r="KQT44" s="170"/>
      <c r="KQU44" s="172"/>
      <c r="KQV44" s="170"/>
      <c r="KQW44" s="172"/>
      <c r="KQX44" s="170"/>
      <c r="KQY44" s="172"/>
      <c r="KQZ44" s="170"/>
      <c r="KRA44" s="172"/>
      <c r="KRB44" s="170"/>
      <c r="KRC44" s="172"/>
      <c r="KRD44" s="170"/>
      <c r="KRE44" s="172"/>
      <c r="KRF44" s="170"/>
      <c r="KRG44" s="172"/>
      <c r="KRH44" s="170"/>
      <c r="KRI44" s="172"/>
      <c r="KRJ44" s="170"/>
      <c r="KRK44" s="172"/>
      <c r="KRL44" s="170"/>
      <c r="KRM44" s="172"/>
      <c r="KRN44" s="170"/>
      <c r="KRO44" s="172"/>
      <c r="KRP44" s="170"/>
      <c r="KRQ44" s="172"/>
      <c r="KRR44" s="170"/>
      <c r="KRS44" s="172"/>
      <c r="KRT44" s="170"/>
      <c r="KRU44" s="172"/>
      <c r="KRV44" s="170"/>
      <c r="KRW44" s="172"/>
      <c r="KRX44" s="170"/>
      <c r="KRY44" s="172"/>
      <c r="KRZ44" s="170"/>
      <c r="KSA44" s="172"/>
      <c r="KSB44" s="170"/>
      <c r="KSC44" s="172"/>
      <c r="KSD44" s="170"/>
      <c r="KSE44" s="172"/>
      <c r="KSF44" s="170"/>
      <c r="KSG44" s="172"/>
      <c r="KSH44" s="170"/>
      <c r="KSI44" s="172"/>
      <c r="KSJ44" s="170"/>
      <c r="KSK44" s="172"/>
      <c r="KSL44" s="170"/>
      <c r="KSM44" s="172"/>
      <c r="KSN44" s="170"/>
      <c r="KSO44" s="172"/>
      <c r="KSP44" s="170"/>
      <c r="KSQ44" s="172"/>
      <c r="KSR44" s="170"/>
      <c r="KSS44" s="172"/>
      <c r="KST44" s="170"/>
      <c r="KSU44" s="172"/>
      <c r="KSV44" s="170"/>
      <c r="KSW44" s="172"/>
      <c r="KSX44" s="170"/>
      <c r="KSY44" s="172"/>
      <c r="KSZ44" s="170"/>
      <c r="KTA44" s="172"/>
      <c r="KTB44" s="170"/>
      <c r="KTC44" s="172"/>
      <c r="KTD44" s="170"/>
      <c r="KTE44" s="172"/>
      <c r="KTF44" s="170"/>
      <c r="KTG44" s="172"/>
      <c r="KTH44" s="170"/>
      <c r="KTI44" s="172"/>
      <c r="KTJ44" s="170"/>
      <c r="KTK44" s="172"/>
      <c r="KTL44" s="170"/>
      <c r="KTM44" s="172"/>
      <c r="KTN44" s="170"/>
      <c r="KTO44" s="172"/>
      <c r="KTP44" s="170"/>
      <c r="KTQ44" s="172"/>
      <c r="KTR44" s="170"/>
      <c r="KTS44" s="172"/>
      <c r="KTT44" s="170"/>
      <c r="KTU44" s="172"/>
      <c r="KTV44" s="170"/>
      <c r="KTW44" s="172"/>
      <c r="KTX44" s="170"/>
      <c r="KTY44" s="172"/>
      <c r="KTZ44" s="170"/>
      <c r="KUA44" s="172"/>
      <c r="KUB44" s="170"/>
      <c r="KUC44" s="172"/>
      <c r="KUD44" s="170"/>
      <c r="KUE44" s="172"/>
      <c r="KUF44" s="170"/>
      <c r="KUG44" s="172"/>
      <c r="KUH44" s="170"/>
      <c r="KUI44" s="172"/>
      <c r="KUJ44" s="170"/>
      <c r="KUK44" s="172"/>
      <c r="KUL44" s="170"/>
      <c r="KUM44" s="172"/>
      <c r="KUN44" s="170"/>
      <c r="KUO44" s="172"/>
      <c r="KUP44" s="170"/>
      <c r="KUQ44" s="172"/>
      <c r="KUR44" s="170"/>
      <c r="KUS44" s="172"/>
      <c r="KUT44" s="170"/>
      <c r="KUU44" s="172"/>
      <c r="KUV44" s="170"/>
      <c r="KUW44" s="172"/>
      <c r="KUX44" s="170"/>
      <c r="KUY44" s="172"/>
      <c r="KUZ44" s="170"/>
      <c r="KVA44" s="172"/>
      <c r="KVB44" s="170"/>
      <c r="KVC44" s="172"/>
      <c r="KVD44" s="170"/>
      <c r="KVE44" s="172"/>
      <c r="KVF44" s="170"/>
      <c r="KVG44" s="172"/>
      <c r="KVH44" s="170"/>
      <c r="KVI44" s="172"/>
      <c r="KVJ44" s="170"/>
      <c r="KVK44" s="172"/>
      <c r="KVL44" s="170"/>
      <c r="KVM44" s="172"/>
      <c r="KVN44" s="170"/>
      <c r="KVO44" s="172"/>
      <c r="KVP44" s="170"/>
      <c r="KVQ44" s="172"/>
      <c r="KVR44" s="170"/>
      <c r="KVS44" s="172"/>
      <c r="KVT44" s="170"/>
      <c r="KVU44" s="172"/>
      <c r="KVV44" s="170"/>
      <c r="KVW44" s="172"/>
      <c r="KVX44" s="170"/>
      <c r="KVY44" s="172"/>
      <c r="KVZ44" s="170"/>
      <c r="KWA44" s="172"/>
      <c r="KWB44" s="170"/>
      <c r="KWC44" s="172"/>
      <c r="KWD44" s="170"/>
      <c r="KWE44" s="172"/>
      <c r="KWF44" s="170"/>
      <c r="KWG44" s="172"/>
      <c r="KWH44" s="170"/>
      <c r="KWI44" s="172"/>
      <c r="KWJ44" s="170"/>
      <c r="KWK44" s="172"/>
      <c r="KWL44" s="170"/>
      <c r="KWM44" s="172"/>
      <c r="KWN44" s="170"/>
      <c r="KWO44" s="172"/>
      <c r="KWP44" s="170"/>
      <c r="KWQ44" s="172"/>
      <c r="KWR44" s="170"/>
      <c r="KWS44" s="172"/>
      <c r="KWT44" s="170"/>
      <c r="KWU44" s="172"/>
      <c r="KWV44" s="170"/>
      <c r="KWW44" s="172"/>
      <c r="KWX44" s="170"/>
      <c r="KWY44" s="172"/>
      <c r="KWZ44" s="170"/>
      <c r="KXA44" s="172"/>
      <c r="KXB44" s="170"/>
      <c r="KXC44" s="172"/>
      <c r="KXD44" s="170"/>
      <c r="KXE44" s="172"/>
      <c r="KXF44" s="170"/>
      <c r="KXG44" s="172"/>
      <c r="KXH44" s="170"/>
      <c r="KXI44" s="172"/>
      <c r="KXJ44" s="170"/>
      <c r="KXK44" s="172"/>
      <c r="KXL44" s="170"/>
      <c r="KXM44" s="172"/>
      <c r="KXN44" s="170"/>
      <c r="KXO44" s="172"/>
      <c r="KXP44" s="170"/>
      <c r="KXQ44" s="172"/>
      <c r="KXR44" s="170"/>
      <c r="KXS44" s="172"/>
      <c r="KXT44" s="170"/>
      <c r="KXU44" s="172"/>
      <c r="KXV44" s="170"/>
      <c r="KXW44" s="172"/>
      <c r="KXX44" s="170"/>
      <c r="KXY44" s="172"/>
      <c r="KXZ44" s="170"/>
      <c r="KYA44" s="172"/>
      <c r="KYB44" s="170"/>
      <c r="KYC44" s="172"/>
      <c r="KYD44" s="170"/>
      <c r="KYE44" s="172"/>
      <c r="KYF44" s="170"/>
      <c r="KYG44" s="172"/>
      <c r="KYH44" s="170"/>
      <c r="KYI44" s="172"/>
      <c r="KYJ44" s="170"/>
      <c r="KYK44" s="172"/>
      <c r="KYL44" s="170"/>
      <c r="KYM44" s="172"/>
      <c r="KYN44" s="170"/>
      <c r="KYO44" s="172"/>
      <c r="KYP44" s="170"/>
      <c r="KYQ44" s="172"/>
      <c r="KYR44" s="170"/>
      <c r="KYS44" s="172"/>
      <c r="KYT44" s="170"/>
      <c r="KYU44" s="172"/>
      <c r="KYV44" s="170"/>
      <c r="KYW44" s="172"/>
      <c r="KYX44" s="170"/>
      <c r="KYY44" s="172"/>
      <c r="KYZ44" s="170"/>
      <c r="KZA44" s="172"/>
      <c r="KZB44" s="170"/>
      <c r="KZC44" s="172"/>
      <c r="KZD44" s="170"/>
      <c r="KZE44" s="172"/>
      <c r="KZF44" s="170"/>
      <c r="KZG44" s="172"/>
      <c r="KZH44" s="170"/>
      <c r="KZI44" s="172"/>
      <c r="KZJ44" s="170"/>
      <c r="KZK44" s="172"/>
      <c r="KZL44" s="170"/>
      <c r="KZM44" s="172"/>
      <c r="KZN44" s="170"/>
      <c r="KZO44" s="172"/>
      <c r="KZP44" s="170"/>
      <c r="KZQ44" s="172"/>
      <c r="KZR44" s="170"/>
      <c r="KZS44" s="172"/>
      <c r="KZT44" s="170"/>
      <c r="KZU44" s="172"/>
      <c r="KZV44" s="170"/>
      <c r="KZW44" s="172"/>
      <c r="KZX44" s="170"/>
      <c r="KZY44" s="172"/>
      <c r="KZZ44" s="170"/>
      <c r="LAA44" s="172"/>
      <c r="LAB44" s="170"/>
      <c r="LAC44" s="172"/>
      <c r="LAD44" s="170"/>
      <c r="LAE44" s="172"/>
      <c r="LAF44" s="170"/>
      <c r="LAG44" s="172"/>
      <c r="LAH44" s="170"/>
      <c r="LAI44" s="172"/>
      <c r="LAJ44" s="170"/>
      <c r="LAK44" s="172"/>
      <c r="LAL44" s="170"/>
      <c r="LAM44" s="172"/>
      <c r="LAN44" s="170"/>
      <c r="LAO44" s="172"/>
      <c r="LAP44" s="170"/>
      <c r="LAQ44" s="172"/>
      <c r="LAR44" s="170"/>
      <c r="LAS44" s="172"/>
      <c r="LAT44" s="170"/>
      <c r="LAU44" s="172"/>
      <c r="LAV44" s="170"/>
      <c r="LAW44" s="172"/>
      <c r="LAX44" s="170"/>
      <c r="LAY44" s="172"/>
      <c r="LAZ44" s="170"/>
      <c r="LBA44" s="172"/>
      <c r="LBB44" s="170"/>
      <c r="LBC44" s="172"/>
      <c r="LBD44" s="170"/>
      <c r="LBE44" s="172"/>
      <c r="LBF44" s="170"/>
      <c r="LBG44" s="172"/>
      <c r="LBH44" s="170"/>
      <c r="LBI44" s="172"/>
      <c r="LBJ44" s="170"/>
      <c r="LBK44" s="172"/>
      <c r="LBL44" s="170"/>
      <c r="LBM44" s="172"/>
      <c r="LBN44" s="170"/>
      <c r="LBO44" s="172"/>
      <c r="LBP44" s="170"/>
      <c r="LBQ44" s="172"/>
      <c r="LBR44" s="170"/>
      <c r="LBS44" s="172"/>
      <c r="LBT44" s="170"/>
      <c r="LBU44" s="172"/>
      <c r="LBV44" s="170"/>
      <c r="LBW44" s="172"/>
      <c r="LBX44" s="170"/>
      <c r="LBY44" s="172"/>
      <c r="LBZ44" s="170"/>
      <c r="LCA44" s="172"/>
      <c r="LCB44" s="170"/>
      <c r="LCC44" s="172"/>
      <c r="LCD44" s="170"/>
      <c r="LCE44" s="172"/>
      <c r="LCF44" s="170"/>
      <c r="LCG44" s="172"/>
      <c r="LCH44" s="170"/>
      <c r="LCI44" s="172"/>
      <c r="LCJ44" s="170"/>
      <c r="LCK44" s="172"/>
      <c r="LCL44" s="170"/>
      <c r="LCM44" s="172"/>
      <c r="LCN44" s="170"/>
      <c r="LCO44" s="172"/>
      <c r="LCP44" s="170"/>
      <c r="LCQ44" s="172"/>
      <c r="LCR44" s="170"/>
      <c r="LCS44" s="172"/>
      <c r="LCT44" s="170"/>
      <c r="LCU44" s="172"/>
      <c r="LCV44" s="170"/>
      <c r="LCW44" s="172"/>
      <c r="LCX44" s="170"/>
      <c r="LCY44" s="172"/>
      <c r="LCZ44" s="170"/>
      <c r="LDA44" s="172"/>
      <c r="LDB44" s="170"/>
      <c r="LDC44" s="172"/>
      <c r="LDD44" s="170"/>
      <c r="LDE44" s="172"/>
      <c r="LDF44" s="170"/>
      <c r="LDG44" s="172"/>
      <c r="LDH44" s="170"/>
      <c r="LDI44" s="172"/>
      <c r="LDJ44" s="170"/>
      <c r="LDK44" s="172"/>
      <c r="LDL44" s="170"/>
      <c r="LDM44" s="172"/>
      <c r="LDN44" s="170"/>
      <c r="LDO44" s="172"/>
      <c r="LDP44" s="170"/>
      <c r="LDQ44" s="172"/>
      <c r="LDR44" s="170"/>
      <c r="LDS44" s="172"/>
      <c r="LDT44" s="170"/>
      <c r="LDU44" s="172"/>
      <c r="LDV44" s="170"/>
      <c r="LDW44" s="172"/>
      <c r="LDX44" s="170"/>
      <c r="LDY44" s="172"/>
      <c r="LDZ44" s="170"/>
      <c r="LEA44" s="172"/>
      <c r="LEB44" s="170"/>
      <c r="LEC44" s="172"/>
      <c r="LED44" s="170"/>
      <c r="LEE44" s="172"/>
      <c r="LEF44" s="170"/>
      <c r="LEG44" s="172"/>
      <c r="LEH44" s="170"/>
      <c r="LEI44" s="172"/>
      <c r="LEJ44" s="170"/>
      <c r="LEK44" s="172"/>
      <c r="LEL44" s="170"/>
      <c r="LEM44" s="172"/>
      <c r="LEN44" s="170"/>
      <c r="LEO44" s="172"/>
      <c r="LEP44" s="170"/>
      <c r="LEQ44" s="172"/>
      <c r="LER44" s="170"/>
      <c r="LES44" s="172"/>
      <c r="LET44" s="170"/>
      <c r="LEU44" s="172"/>
      <c r="LEV44" s="170"/>
      <c r="LEW44" s="172"/>
      <c r="LEX44" s="170"/>
      <c r="LEY44" s="172"/>
      <c r="LEZ44" s="170"/>
      <c r="LFA44" s="172"/>
      <c r="LFB44" s="170"/>
      <c r="LFC44" s="172"/>
      <c r="LFD44" s="170"/>
      <c r="LFE44" s="172"/>
      <c r="LFF44" s="170"/>
      <c r="LFG44" s="172"/>
      <c r="LFH44" s="170"/>
      <c r="LFI44" s="172"/>
      <c r="LFJ44" s="170"/>
      <c r="LFK44" s="172"/>
      <c r="LFL44" s="170"/>
      <c r="LFM44" s="172"/>
      <c r="LFN44" s="170"/>
      <c r="LFO44" s="172"/>
      <c r="LFP44" s="170"/>
      <c r="LFQ44" s="172"/>
      <c r="LFR44" s="170"/>
      <c r="LFS44" s="172"/>
      <c r="LFT44" s="170"/>
      <c r="LFU44" s="172"/>
      <c r="LFV44" s="170"/>
      <c r="LFW44" s="172"/>
      <c r="LFX44" s="170"/>
      <c r="LFY44" s="172"/>
      <c r="LFZ44" s="170"/>
      <c r="LGA44" s="172"/>
      <c r="LGB44" s="170"/>
      <c r="LGC44" s="172"/>
      <c r="LGD44" s="170"/>
      <c r="LGE44" s="172"/>
      <c r="LGF44" s="170"/>
      <c r="LGG44" s="172"/>
      <c r="LGH44" s="170"/>
      <c r="LGI44" s="172"/>
      <c r="LGJ44" s="170"/>
      <c r="LGK44" s="172"/>
      <c r="LGL44" s="170"/>
      <c r="LGM44" s="172"/>
      <c r="LGN44" s="170"/>
      <c r="LGO44" s="172"/>
      <c r="LGP44" s="170"/>
      <c r="LGQ44" s="172"/>
      <c r="LGR44" s="170"/>
      <c r="LGS44" s="172"/>
      <c r="LGT44" s="170"/>
      <c r="LGU44" s="172"/>
      <c r="LGV44" s="170"/>
      <c r="LGW44" s="172"/>
      <c r="LGX44" s="170"/>
      <c r="LGY44" s="172"/>
      <c r="LGZ44" s="170"/>
      <c r="LHA44" s="172"/>
      <c r="LHB44" s="170"/>
      <c r="LHC44" s="172"/>
      <c r="LHD44" s="170"/>
      <c r="LHE44" s="172"/>
      <c r="LHF44" s="170"/>
      <c r="LHG44" s="172"/>
      <c r="LHH44" s="170"/>
      <c r="LHI44" s="172"/>
      <c r="LHJ44" s="170"/>
      <c r="LHK44" s="172"/>
      <c r="LHL44" s="170"/>
      <c r="LHM44" s="172"/>
      <c r="LHN44" s="170"/>
      <c r="LHO44" s="172"/>
      <c r="LHP44" s="170"/>
      <c r="LHQ44" s="172"/>
      <c r="LHR44" s="170"/>
      <c r="LHS44" s="172"/>
      <c r="LHT44" s="170"/>
      <c r="LHU44" s="172"/>
      <c r="LHV44" s="170"/>
      <c r="LHW44" s="172"/>
      <c r="LHX44" s="170"/>
      <c r="LHY44" s="172"/>
      <c r="LHZ44" s="170"/>
      <c r="LIA44" s="172"/>
      <c r="LIB44" s="170"/>
      <c r="LIC44" s="172"/>
      <c r="LID44" s="170"/>
      <c r="LIE44" s="172"/>
      <c r="LIF44" s="170"/>
      <c r="LIG44" s="172"/>
      <c r="LIH44" s="170"/>
      <c r="LII44" s="172"/>
      <c r="LIJ44" s="170"/>
      <c r="LIK44" s="172"/>
      <c r="LIL44" s="170"/>
      <c r="LIM44" s="172"/>
      <c r="LIN44" s="170"/>
      <c r="LIO44" s="172"/>
      <c r="LIP44" s="170"/>
      <c r="LIQ44" s="172"/>
      <c r="LIR44" s="170"/>
      <c r="LIS44" s="172"/>
      <c r="LIT44" s="170"/>
      <c r="LIU44" s="172"/>
      <c r="LIV44" s="170"/>
      <c r="LIW44" s="172"/>
      <c r="LIX44" s="170"/>
      <c r="LIY44" s="172"/>
      <c r="LIZ44" s="170"/>
      <c r="LJA44" s="172"/>
      <c r="LJB44" s="170"/>
      <c r="LJC44" s="172"/>
      <c r="LJD44" s="170"/>
      <c r="LJE44" s="172"/>
      <c r="LJF44" s="170"/>
      <c r="LJG44" s="172"/>
      <c r="LJH44" s="170"/>
      <c r="LJI44" s="172"/>
      <c r="LJJ44" s="170"/>
      <c r="LJK44" s="172"/>
      <c r="LJL44" s="170"/>
      <c r="LJM44" s="172"/>
      <c r="LJN44" s="170"/>
      <c r="LJO44" s="172"/>
      <c r="LJP44" s="170"/>
      <c r="LJQ44" s="172"/>
      <c r="LJR44" s="170"/>
      <c r="LJS44" s="172"/>
      <c r="LJT44" s="170"/>
      <c r="LJU44" s="172"/>
      <c r="LJV44" s="170"/>
      <c r="LJW44" s="172"/>
      <c r="LJX44" s="170"/>
      <c r="LJY44" s="172"/>
      <c r="LJZ44" s="170"/>
      <c r="LKA44" s="172"/>
      <c r="LKB44" s="170"/>
      <c r="LKC44" s="172"/>
      <c r="LKD44" s="170"/>
      <c r="LKE44" s="172"/>
      <c r="LKF44" s="170"/>
      <c r="LKG44" s="172"/>
      <c r="LKH44" s="170"/>
      <c r="LKI44" s="172"/>
      <c r="LKJ44" s="170"/>
      <c r="LKK44" s="172"/>
      <c r="LKL44" s="170"/>
      <c r="LKM44" s="172"/>
      <c r="LKN44" s="170"/>
      <c r="LKO44" s="172"/>
      <c r="LKP44" s="170"/>
      <c r="LKQ44" s="172"/>
      <c r="LKR44" s="170"/>
      <c r="LKS44" s="172"/>
      <c r="LKT44" s="170"/>
      <c r="LKU44" s="172"/>
      <c r="LKV44" s="170"/>
      <c r="LKW44" s="172"/>
      <c r="LKX44" s="170"/>
      <c r="LKY44" s="172"/>
      <c r="LKZ44" s="170"/>
      <c r="LLA44" s="172"/>
      <c r="LLB44" s="170"/>
      <c r="LLC44" s="172"/>
      <c r="LLD44" s="170"/>
      <c r="LLE44" s="172"/>
      <c r="LLF44" s="170"/>
      <c r="LLG44" s="172"/>
      <c r="LLH44" s="170"/>
      <c r="LLI44" s="172"/>
      <c r="LLJ44" s="170"/>
      <c r="LLK44" s="172"/>
      <c r="LLL44" s="170"/>
      <c r="LLM44" s="172"/>
      <c r="LLN44" s="170"/>
      <c r="LLO44" s="172"/>
      <c r="LLP44" s="170"/>
      <c r="LLQ44" s="172"/>
      <c r="LLR44" s="170"/>
      <c r="LLS44" s="172"/>
      <c r="LLT44" s="170"/>
      <c r="LLU44" s="172"/>
      <c r="LLV44" s="170"/>
      <c r="LLW44" s="172"/>
      <c r="LLX44" s="170"/>
      <c r="LLY44" s="172"/>
      <c r="LLZ44" s="170"/>
      <c r="LMA44" s="172"/>
      <c r="LMB44" s="170"/>
      <c r="LMC44" s="172"/>
      <c r="LMD44" s="170"/>
      <c r="LME44" s="172"/>
      <c r="LMF44" s="170"/>
      <c r="LMG44" s="172"/>
      <c r="LMH44" s="170"/>
      <c r="LMI44" s="172"/>
      <c r="LMJ44" s="170"/>
      <c r="LMK44" s="172"/>
      <c r="LML44" s="170"/>
      <c r="LMM44" s="172"/>
      <c r="LMN44" s="170"/>
      <c r="LMO44" s="172"/>
      <c r="LMP44" s="170"/>
      <c r="LMQ44" s="172"/>
      <c r="LMR44" s="170"/>
      <c r="LMS44" s="172"/>
      <c r="LMT44" s="170"/>
      <c r="LMU44" s="172"/>
      <c r="LMV44" s="170"/>
      <c r="LMW44" s="172"/>
      <c r="LMX44" s="170"/>
      <c r="LMY44" s="172"/>
      <c r="LMZ44" s="170"/>
      <c r="LNA44" s="172"/>
      <c r="LNB44" s="170"/>
      <c r="LNC44" s="172"/>
      <c r="LND44" s="170"/>
      <c r="LNE44" s="172"/>
      <c r="LNF44" s="170"/>
      <c r="LNG44" s="172"/>
      <c r="LNH44" s="170"/>
      <c r="LNI44" s="172"/>
      <c r="LNJ44" s="170"/>
      <c r="LNK44" s="172"/>
      <c r="LNL44" s="170"/>
      <c r="LNM44" s="172"/>
      <c r="LNN44" s="170"/>
      <c r="LNO44" s="172"/>
      <c r="LNP44" s="170"/>
      <c r="LNQ44" s="172"/>
      <c r="LNR44" s="170"/>
      <c r="LNS44" s="172"/>
      <c r="LNT44" s="170"/>
      <c r="LNU44" s="172"/>
      <c r="LNV44" s="170"/>
      <c r="LNW44" s="172"/>
      <c r="LNX44" s="170"/>
      <c r="LNY44" s="172"/>
      <c r="LNZ44" s="170"/>
      <c r="LOA44" s="172"/>
      <c r="LOB44" s="170"/>
      <c r="LOC44" s="172"/>
      <c r="LOD44" s="170"/>
      <c r="LOE44" s="172"/>
      <c r="LOF44" s="170"/>
      <c r="LOG44" s="172"/>
      <c r="LOH44" s="170"/>
      <c r="LOI44" s="172"/>
      <c r="LOJ44" s="170"/>
      <c r="LOK44" s="172"/>
      <c r="LOL44" s="170"/>
      <c r="LOM44" s="172"/>
      <c r="LON44" s="170"/>
      <c r="LOO44" s="172"/>
      <c r="LOP44" s="170"/>
      <c r="LOQ44" s="172"/>
      <c r="LOR44" s="170"/>
      <c r="LOS44" s="172"/>
      <c r="LOT44" s="170"/>
      <c r="LOU44" s="172"/>
      <c r="LOV44" s="170"/>
      <c r="LOW44" s="172"/>
      <c r="LOX44" s="170"/>
      <c r="LOY44" s="172"/>
      <c r="LOZ44" s="170"/>
      <c r="LPA44" s="172"/>
      <c r="LPB44" s="170"/>
      <c r="LPC44" s="172"/>
      <c r="LPD44" s="170"/>
      <c r="LPE44" s="172"/>
      <c r="LPF44" s="170"/>
      <c r="LPG44" s="172"/>
      <c r="LPH44" s="170"/>
      <c r="LPI44" s="172"/>
      <c r="LPJ44" s="170"/>
      <c r="LPK44" s="172"/>
      <c r="LPL44" s="170"/>
      <c r="LPM44" s="172"/>
      <c r="LPN44" s="170"/>
      <c r="LPO44" s="172"/>
      <c r="LPP44" s="170"/>
      <c r="LPQ44" s="172"/>
      <c r="LPR44" s="170"/>
      <c r="LPS44" s="172"/>
      <c r="LPT44" s="170"/>
      <c r="LPU44" s="172"/>
      <c r="LPV44" s="170"/>
      <c r="LPW44" s="172"/>
      <c r="LPX44" s="170"/>
      <c r="LPY44" s="172"/>
      <c r="LPZ44" s="170"/>
      <c r="LQA44" s="172"/>
      <c r="LQB44" s="170"/>
      <c r="LQC44" s="172"/>
      <c r="LQD44" s="170"/>
      <c r="LQE44" s="172"/>
      <c r="LQF44" s="170"/>
      <c r="LQG44" s="172"/>
      <c r="LQH44" s="170"/>
      <c r="LQI44" s="172"/>
      <c r="LQJ44" s="170"/>
      <c r="LQK44" s="172"/>
      <c r="LQL44" s="170"/>
      <c r="LQM44" s="172"/>
      <c r="LQN44" s="170"/>
      <c r="LQO44" s="172"/>
      <c r="LQP44" s="170"/>
      <c r="LQQ44" s="172"/>
      <c r="LQR44" s="170"/>
      <c r="LQS44" s="172"/>
      <c r="LQT44" s="170"/>
      <c r="LQU44" s="172"/>
      <c r="LQV44" s="170"/>
      <c r="LQW44" s="172"/>
      <c r="LQX44" s="170"/>
      <c r="LQY44" s="172"/>
      <c r="LQZ44" s="170"/>
      <c r="LRA44" s="172"/>
      <c r="LRB44" s="170"/>
      <c r="LRC44" s="172"/>
      <c r="LRD44" s="170"/>
      <c r="LRE44" s="172"/>
      <c r="LRF44" s="170"/>
      <c r="LRG44" s="172"/>
      <c r="LRH44" s="170"/>
      <c r="LRI44" s="172"/>
      <c r="LRJ44" s="170"/>
      <c r="LRK44" s="172"/>
      <c r="LRL44" s="170"/>
      <c r="LRM44" s="172"/>
      <c r="LRN44" s="170"/>
      <c r="LRO44" s="172"/>
      <c r="LRP44" s="170"/>
      <c r="LRQ44" s="172"/>
      <c r="LRR44" s="170"/>
      <c r="LRS44" s="172"/>
      <c r="LRT44" s="170"/>
      <c r="LRU44" s="172"/>
      <c r="LRV44" s="170"/>
      <c r="LRW44" s="172"/>
      <c r="LRX44" s="170"/>
      <c r="LRY44" s="172"/>
      <c r="LRZ44" s="170"/>
      <c r="LSA44" s="172"/>
      <c r="LSB44" s="170"/>
      <c r="LSC44" s="172"/>
      <c r="LSD44" s="170"/>
      <c r="LSE44" s="172"/>
      <c r="LSF44" s="170"/>
      <c r="LSG44" s="172"/>
      <c r="LSH44" s="170"/>
      <c r="LSI44" s="172"/>
      <c r="LSJ44" s="170"/>
      <c r="LSK44" s="172"/>
      <c r="LSL44" s="170"/>
      <c r="LSM44" s="172"/>
      <c r="LSN44" s="170"/>
      <c r="LSO44" s="172"/>
      <c r="LSP44" s="170"/>
      <c r="LSQ44" s="172"/>
      <c r="LSR44" s="170"/>
      <c r="LSS44" s="172"/>
      <c r="LST44" s="170"/>
      <c r="LSU44" s="172"/>
      <c r="LSV44" s="170"/>
      <c r="LSW44" s="172"/>
      <c r="LSX44" s="170"/>
      <c r="LSY44" s="172"/>
      <c r="LSZ44" s="170"/>
      <c r="LTA44" s="172"/>
      <c r="LTB44" s="170"/>
      <c r="LTC44" s="172"/>
      <c r="LTD44" s="170"/>
      <c r="LTE44" s="172"/>
      <c r="LTF44" s="170"/>
      <c r="LTG44" s="172"/>
      <c r="LTH44" s="170"/>
      <c r="LTI44" s="172"/>
      <c r="LTJ44" s="170"/>
      <c r="LTK44" s="172"/>
      <c r="LTL44" s="170"/>
      <c r="LTM44" s="172"/>
      <c r="LTN44" s="170"/>
      <c r="LTO44" s="172"/>
      <c r="LTP44" s="170"/>
      <c r="LTQ44" s="172"/>
      <c r="LTR44" s="170"/>
      <c r="LTS44" s="172"/>
      <c r="LTT44" s="170"/>
      <c r="LTU44" s="172"/>
      <c r="LTV44" s="170"/>
      <c r="LTW44" s="172"/>
      <c r="LTX44" s="170"/>
      <c r="LTY44" s="172"/>
      <c r="LTZ44" s="170"/>
      <c r="LUA44" s="172"/>
      <c r="LUB44" s="170"/>
      <c r="LUC44" s="172"/>
      <c r="LUD44" s="170"/>
      <c r="LUE44" s="172"/>
      <c r="LUF44" s="170"/>
      <c r="LUG44" s="172"/>
      <c r="LUH44" s="170"/>
      <c r="LUI44" s="172"/>
      <c r="LUJ44" s="170"/>
      <c r="LUK44" s="172"/>
      <c r="LUL44" s="170"/>
      <c r="LUM44" s="172"/>
      <c r="LUN44" s="170"/>
      <c r="LUO44" s="172"/>
      <c r="LUP44" s="170"/>
      <c r="LUQ44" s="172"/>
      <c r="LUR44" s="170"/>
      <c r="LUS44" s="172"/>
      <c r="LUT44" s="170"/>
      <c r="LUU44" s="172"/>
      <c r="LUV44" s="170"/>
      <c r="LUW44" s="172"/>
      <c r="LUX44" s="170"/>
      <c r="LUY44" s="172"/>
      <c r="LUZ44" s="170"/>
      <c r="LVA44" s="172"/>
      <c r="LVB44" s="170"/>
      <c r="LVC44" s="172"/>
      <c r="LVD44" s="170"/>
      <c r="LVE44" s="172"/>
      <c r="LVF44" s="170"/>
      <c r="LVG44" s="172"/>
      <c r="LVH44" s="170"/>
      <c r="LVI44" s="172"/>
      <c r="LVJ44" s="170"/>
      <c r="LVK44" s="172"/>
      <c r="LVL44" s="170"/>
      <c r="LVM44" s="172"/>
      <c r="LVN44" s="170"/>
      <c r="LVO44" s="172"/>
      <c r="LVP44" s="170"/>
      <c r="LVQ44" s="172"/>
      <c r="LVR44" s="170"/>
      <c r="LVS44" s="172"/>
      <c r="LVT44" s="170"/>
      <c r="LVU44" s="172"/>
      <c r="LVV44" s="170"/>
      <c r="LVW44" s="172"/>
      <c r="LVX44" s="170"/>
      <c r="LVY44" s="172"/>
      <c r="LVZ44" s="170"/>
      <c r="LWA44" s="172"/>
      <c r="LWB44" s="170"/>
      <c r="LWC44" s="172"/>
      <c r="LWD44" s="170"/>
      <c r="LWE44" s="172"/>
      <c r="LWF44" s="170"/>
      <c r="LWG44" s="172"/>
      <c r="LWH44" s="170"/>
      <c r="LWI44" s="172"/>
      <c r="LWJ44" s="170"/>
      <c r="LWK44" s="172"/>
      <c r="LWL44" s="170"/>
      <c r="LWM44" s="172"/>
      <c r="LWN44" s="170"/>
      <c r="LWO44" s="172"/>
      <c r="LWP44" s="170"/>
      <c r="LWQ44" s="172"/>
      <c r="LWR44" s="170"/>
      <c r="LWS44" s="172"/>
      <c r="LWT44" s="170"/>
      <c r="LWU44" s="172"/>
      <c r="LWV44" s="170"/>
      <c r="LWW44" s="172"/>
      <c r="LWX44" s="170"/>
      <c r="LWY44" s="172"/>
      <c r="LWZ44" s="170"/>
      <c r="LXA44" s="172"/>
      <c r="LXB44" s="170"/>
      <c r="LXC44" s="172"/>
      <c r="LXD44" s="170"/>
      <c r="LXE44" s="172"/>
      <c r="LXF44" s="170"/>
      <c r="LXG44" s="172"/>
      <c r="LXH44" s="170"/>
      <c r="LXI44" s="172"/>
      <c r="LXJ44" s="170"/>
      <c r="LXK44" s="172"/>
      <c r="LXL44" s="170"/>
      <c r="LXM44" s="172"/>
      <c r="LXN44" s="170"/>
      <c r="LXO44" s="172"/>
      <c r="LXP44" s="170"/>
      <c r="LXQ44" s="172"/>
      <c r="LXR44" s="170"/>
      <c r="LXS44" s="172"/>
      <c r="LXT44" s="170"/>
      <c r="LXU44" s="172"/>
      <c r="LXV44" s="170"/>
      <c r="LXW44" s="172"/>
      <c r="LXX44" s="170"/>
      <c r="LXY44" s="172"/>
      <c r="LXZ44" s="170"/>
      <c r="LYA44" s="172"/>
      <c r="LYB44" s="170"/>
      <c r="LYC44" s="172"/>
      <c r="LYD44" s="170"/>
      <c r="LYE44" s="172"/>
      <c r="LYF44" s="170"/>
      <c r="LYG44" s="172"/>
      <c r="LYH44" s="170"/>
      <c r="LYI44" s="172"/>
      <c r="LYJ44" s="170"/>
      <c r="LYK44" s="172"/>
      <c r="LYL44" s="170"/>
      <c r="LYM44" s="172"/>
      <c r="LYN44" s="170"/>
      <c r="LYO44" s="172"/>
      <c r="LYP44" s="170"/>
      <c r="LYQ44" s="172"/>
      <c r="LYR44" s="170"/>
      <c r="LYS44" s="172"/>
      <c r="LYT44" s="170"/>
      <c r="LYU44" s="172"/>
      <c r="LYV44" s="170"/>
      <c r="LYW44" s="172"/>
      <c r="LYX44" s="170"/>
      <c r="LYY44" s="172"/>
      <c r="LYZ44" s="170"/>
      <c r="LZA44" s="172"/>
      <c r="LZB44" s="170"/>
      <c r="LZC44" s="172"/>
      <c r="LZD44" s="170"/>
      <c r="LZE44" s="172"/>
      <c r="LZF44" s="170"/>
      <c r="LZG44" s="172"/>
      <c r="LZH44" s="170"/>
      <c r="LZI44" s="172"/>
      <c r="LZJ44" s="170"/>
      <c r="LZK44" s="172"/>
      <c r="LZL44" s="170"/>
      <c r="LZM44" s="172"/>
      <c r="LZN44" s="170"/>
      <c r="LZO44" s="172"/>
      <c r="LZP44" s="170"/>
      <c r="LZQ44" s="172"/>
      <c r="LZR44" s="170"/>
      <c r="LZS44" s="172"/>
      <c r="LZT44" s="170"/>
      <c r="LZU44" s="172"/>
      <c r="LZV44" s="170"/>
      <c r="LZW44" s="172"/>
      <c r="LZX44" s="170"/>
      <c r="LZY44" s="172"/>
      <c r="LZZ44" s="170"/>
      <c r="MAA44" s="172"/>
      <c r="MAB44" s="170"/>
      <c r="MAC44" s="172"/>
      <c r="MAD44" s="170"/>
      <c r="MAE44" s="172"/>
      <c r="MAF44" s="170"/>
      <c r="MAG44" s="172"/>
      <c r="MAH44" s="170"/>
      <c r="MAI44" s="172"/>
      <c r="MAJ44" s="170"/>
      <c r="MAK44" s="172"/>
      <c r="MAL44" s="170"/>
      <c r="MAM44" s="172"/>
      <c r="MAN44" s="170"/>
      <c r="MAO44" s="172"/>
      <c r="MAP44" s="170"/>
      <c r="MAQ44" s="172"/>
      <c r="MAR44" s="170"/>
      <c r="MAS44" s="172"/>
      <c r="MAT44" s="170"/>
      <c r="MAU44" s="172"/>
      <c r="MAV44" s="170"/>
      <c r="MAW44" s="172"/>
      <c r="MAX44" s="170"/>
      <c r="MAY44" s="172"/>
      <c r="MAZ44" s="170"/>
      <c r="MBA44" s="172"/>
      <c r="MBB44" s="170"/>
      <c r="MBC44" s="172"/>
      <c r="MBD44" s="170"/>
      <c r="MBE44" s="172"/>
      <c r="MBF44" s="170"/>
      <c r="MBG44" s="172"/>
      <c r="MBH44" s="170"/>
      <c r="MBI44" s="172"/>
      <c r="MBJ44" s="170"/>
      <c r="MBK44" s="172"/>
      <c r="MBL44" s="170"/>
      <c r="MBM44" s="172"/>
      <c r="MBN44" s="170"/>
      <c r="MBO44" s="172"/>
      <c r="MBP44" s="170"/>
      <c r="MBQ44" s="172"/>
      <c r="MBR44" s="170"/>
      <c r="MBS44" s="172"/>
      <c r="MBT44" s="170"/>
      <c r="MBU44" s="172"/>
      <c r="MBV44" s="170"/>
      <c r="MBW44" s="172"/>
      <c r="MBX44" s="170"/>
      <c r="MBY44" s="172"/>
      <c r="MBZ44" s="170"/>
      <c r="MCA44" s="172"/>
      <c r="MCB44" s="170"/>
      <c r="MCC44" s="172"/>
      <c r="MCD44" s="170"/>
      <c r="MCE44" s="172"/>
      <c r="MCF44" s="170"/>
      <c r="MCG44" s="172"/>
      <c r="MCH44" s="170"/>
      <c r="MCI44" s="172"/>
      <c r="MCJ44" s="170"/>
      <c r="MCK44" s="172"/>
      <c r="MCL44" s="170"/>
      <c r="MCM44" s="172"/>
      <c r="MCN44" s="170"/>
      <c r="MCO44" s="172"/>
      <c r="MCP44" s="170"/>
      <c r="MCQ44" s="172"/>
      <c r="MCR44" s="170"/>
      <c r="MCS44" s="172"/>
      <c r="MCT44" s="170"/>
      <c r="MCU44" s="172"/>
      <c r="MCV44" s="170"/>
      <c r="MCW44" s="172"/>
      <c r="MCX44" s="170"/>
      <c r="MCY44" s="172"/>
      <c r="MCZ44" s="170"/>
      <c r="MDA44" s="172"/>
      <c r="MDB44" s="170"/>
      <c r="MDC44" s="172"/>
      <c r="MDD44" s="170"/>
      <c r="MDE44" s="172"/>
      <c r="MDF44" s="170"/>
      <c r="MDG44" s="172"/>
      <c r="MDH44" s="170"/>
      <c r="MDI44" s="172"/>
      <c r="MDJ44" s="170"/>
      <c r="MDK44" s="172"/>
      <c r="MDL44" s="170"/>
      <c r="MDM44" s="172"/>
      <c r="MDN44" s="170"/>
      <c r="MDO44" s="172"/>
      <c r="MDP44" s="170"/>
      <c r="MDQ44" s="172"/>
      <c r="MDR44" s="170"/>
      <c r="MDS44" s="172"/>
      <c r="MDT44" s="170"/>
      <c r="MDU44" s="172"/>
      <c r="MDV44" s="170"/>
      <c r="MDW44" s="172"/>
      <c r="MDX44" s="170"/>
      <c r="MDY44" s="172"/>
      <c r="MDZ44" s="170"/>
      <c r="MEA44" s="172"/>
      <c r="MEB44" s="170"/>
      <c r="MEC44" s="172"/>
      <c r="MED44" s="170"/>
      <c r="MEE44" s="172"/>
      <c r="MEF44" s="170"/>
      <c r="MEG44" s="172"/>
      <c r="MEH44" s="170"/>
      <c r="MEI44" s="172"/>
      <c r="MEJ44" s="170"/>
      <c r="MEK44" s="172"/>
      <c r="MEL44" s="170"/>
      <c r="MEM44" s="172"/>
      <c r="MEN44" s="170"/>
      <c r="MEO44" s="172"/>
      <c r="MEP44" s="170"/>
      <c r="MEQ44" s="172"/>
      <c r="MER44" s="170"/>
      <c r="MES44" s="172"/>
      <c r="MET44" s="170"/>
      <c r="MEU44" s="172"/>
      <c r="MEV44" s="170"/>
      <c r="MEW44" s="172"/>
      <c r="MEX44" s="170"/>
      <c r="MEY44" s="172"/>
      <c r="MEZ44" s="170"/>
      <c r="MFA44" s="172"/>
      <c r="MFB44" s="170"/>
      <c r="MFC44" s="172"/>
      <c r="MFD44" s="170"/>
      <c r="MFE44" s="172"/>
      <c r="MFF44" s="170"/>
      <c r="MFG44" s="172"/>
      <c r="MFH44" s="170"/>
      <c r="MFI44" s="172"/>
      <c r="MFJ44" s="170"/>
      <c r="MFK44" s="172"/>
      <c r="MFL44" s="170"/>
      <c r="MFM44" s="172"/>
      <c r="MFN44" s="170"/>
      <c r="MFO44" s="172"/>
      <c r="MFP44" s="170"/>
      <c r="MFQ44" s="172"/>
      <c r="MFR44" s="170"/>
      <c r="MFS44" s="172"/>
      <c r="MFT44" s="170"/>
      <c r="MFU44" s="172"/>
      <c r="MFV44" s="170"/>
      <c r="MFW44" s="172"/>
      <c r="MFX44" s="170"/>
      <c r="MFY44" s="172"/>
      <c r="MFZ44" s="170"/>
      <c r="MGA44" s="172"/>
      <c r="MGB44" s="170"/>
      <c r="MGC44" s="172"/>
      <c r="MGD44" s="170"/>
      <c r="MGE44" s="172"/>
      <c r="MGF44" s="170"/>
      <c r="MGG44" s="172"/>
      <c r="MGH44" s="170"/>
      <c r="MGI44" s="172"/>
      <c r="MGJ44" s="170"/>
      <c r="MGK44" s="172"/>
      <c r="MGL44" s="170"/>
      <c r="MGM44" s="172"/>
      <c r="MGN44" s="170"/>
      <c r="MGO44" s="172"/>
      <c r="MGP44" s="170"/>
      <c r="MGQ44" s="172"/>
      <c r="MGR44" s="170"/>
      <c r="MGS44" s="172"/>
      <c r="MGT44" s="170"/>
      <c r="MGU44" s="172"/>
      <c r="MGV44" s="170"/>
      <c r="MGW44" s="172"/>
      <c r="MGX44" s="170"/>
      <c r="MGY44" s="172"/>
      <c r="MGZ44" s="170"/>
      <c r="MHA44" s="172"/>
      <c r="MHB44" s="170"/>
      <c r="MHC44" s="172"/>
      <c r="MHD44" s="170"/>
      <c r="MHE44" s="172"/>
      <c r="MHF44" s="170"/>
      <c r="MHG44" s="172"/>
      <c r="MHH44" s="170"/>
      <c r="MHI44" s="172"/>
      <c r="MHJ44" s="170"/>
      <c r="MHK44" s="172"/>
      <c r="MHL44" s="170"/>
      <c r="MHM44" s="172"/>
      <c r="MHN44" s="170"/>
      <c r="MHO44" s="172"/>
      <c r="MHP44" s="170"/>
      <c r="MHQ44" s="172"/>
      <c r="MHR44" s="170"/>
      <c r="MHS44" s="172"/>
      <c r="MHT44" s="170"/>
      <c r="MHU44" s="172"/>
      <c r="MHV44" s="170"/>
      <c r="MHW44" s="172"/>
      <c r="MHX44" s="170"/>
      <c r="MHY44" s="172"/>
      <c r="MHZ44" s="170"/>
      <c r="MIA44" s="172"/>
      <c r="MIB44" s="170"/>
      <c r="MIC44" s="172"/>
      <c r="MID44" s="170"/>
      <c r="MIE44" s="172"/>
      <c r="MIF44" s="170"/>
      <c r="MIG44" s="172"/>
      <c r="MIH44" s="170"/>
      <c r="MII44" s="172"/>
      <c r="MIJ44" s="170"/>
      <c r="MIK44" s="172"/>
      <c r="MIL44" s="170"/>
      <c r="MIM44" s="172"/>
      <c r="MIN44" s="170"/>
      <c r="MIO44" s="172"/>
      <c r="MIP44" s="170"/>
      <c r="MIQ44" s="172"/>
      <c r="MIR44" s="170"/>
      <c r="MIS44" s="172"/>
      <c r="MIT44" s="170"/>
      <c r="MIU44" s="172"/>
      <c r="MIV44" s="170"/>
      <c r="MIW44" s="172"/>
      <c r="MIX44" s="170"/>
      <c r="MIY44" s="172"/>
      <c r="MIZ44" s="170"/>
      <c r="MJA44" s="172"/>
      <c r="MJB44" s="170"/>
      <c r="MJC44" s="172"/>
      <c r="MJD44" s="170"/>
      <c r="MJE44" s="172"/>
      <c r="MJF44" s="170"/>
      <c r="MJG44" s="172"/>
      <c r="MJH44" s="170"/>
      <c r="MJI44" s="172"/>
      <c r="MJJ44" s="170"/>
      <c r="MJK44" s="172"/>
      <c r="MJL44" s="170"/>
      <c r="MJM44" s="172"/>
      <c r="MJN44" s="170"/>
      <c r="MJO44" s="172"/>
      <c r="MJP44" s="170"/>
      <c r="MJQ44" s="172"/>
      <c r="MJR44" s="170"/>
      <c r="MJS44" s="172"/>
      <c r="MJT44" s="170"/>
      <c r="MJU44" s="172"/>
      <c r="MJV44" s="170"/>
      <c r="MJW44" s="172"/>
      <c r="MJX44" s="170"/>
      <c r="MJY44" s="172"/>
      <c r="MJZ44" s="170"/>
      <c r="MKA44" s="172"/>
      <c r="MKB44" s="170"/>
      <c r="MKC44" s="172"/>
      <c r="MKD44" s="170"/>
      <c r="MKE44" s="172"/>
      <c r="MKF44" s="170"/>
      <c r="MKG44" s="172"/>
      <c r="MKH44" s="170"/>
      <c r="MKI44" s="172"/>
      <c r="MKJ44" s="170"/>
      <c r="MKK44" s="172"/>
      <c r="MKL44" s="170"/>
      <c r="MKM44" s="172"/>
      <c r="MKN44" s="170"/>
      <c r="MKO44" s="172"/>
      <c r="MKP44" s="170"/>
      <c r="MKQ44" s="172"/>
      <c r="MKR44" s="170"/>
      <c r="MKS44" s="172"/>
      <c r="MKT44" s="170"/>
      <c r="MKU44" s="172"/>
      <c r="MKV44" s="170"/>
      <c r="MKW44" s="172"/>
      <c r="MKX44" s="170"/>
      <c r="MKY44" s="172"/>
      <c r="MKZ44" s="170"/>
      <c r="MLA44" s="172"/>
      <c r="MLB44" s="170"/>
      <c r="MLC44" s="172"/>
      <c r="MLD44" s="170"/>
      <c r="MLE44" s="172"/>
      <c r="MLF44" s="170"/>
      <c r="MLG44" s="172"/>
      <c r="MLH44" s="170"/>
      <c r="MLI44" s="172"/>
      <c r="MLJ44" s="170"/>
      <c r="MLK44" s="172"/>
      <c r="MLL44" s="170"/>
      <c r="MLM44" s="172"/>
      <c r="MLN44" s="170"/>
      <c r="MLO44" s="172"/>
      <c r="MLP44" s="170"/>
      <c r="MLQ44" s="172"/>
      <c r="MLR44" s="170"/>
      <c r="MLS44" s="172"/>
      <c r="MLT44" s="170"/>
      <c r="MLU44" s="172"/>
      <c r="MLV44" s="170"/>
      <c r="MLW44" s="172"/>
      <c r="MLX44" s="170"/>
      <c r="MLY44" s="172"/>
      <c r="MLZ44" s="170"/>
      <c r="MMA44" s="172"/>
      <c r="MMB44" s="170"/>
      <c r="MMC44" s="172"/>
      <c r="MMD44" s="170"/>
      <c r="MME44" s="172"/>
      <c r="MMF44" s="170"/>
      <c r="MMG44" s="172"/>
      <c r="MMH44" s="170"/>
      <c r="MMI44" s="172"/>
      <c r="MMJ44" s="170"/>
      <c r="MMK44" s="172"/>
      <c r="MML44" s="170"/>
      <c r="MMM44" s="172"/>
      <c r="MMN44" s="170"/>
      <c r="MMO44" s="172"/>
      <c r="MMP44" s="170"/>
      <c r="MMQ44" s="172"/>
      <c r="MMR44" s="170"/>
      <c r="MMS44" s="172"/>
      <c r="MMT44" s="170"/>
      <c r="MMU44" s="172"/>
      <c r="MMV44" s="170"/>
      <c r="MMW44" s="172"/>
      <c r="MMX44" s="170"/>
      <c r="MMY44" s="172"/>
      <c r="MMZ44" s="170"/>
      <c r="MNA44" s="172"/>
      <c r="MNB44" s="170"/>
      <c r="MNC44" s="172"/>
      <c r="MND44" s="170"/>
      <c r="MNE44" s="172"/>
      <c r="MNF44" s="170"/>
      <c r="MNG44" s="172"/>
      <c r="MNH44" s="170"/>
      <c r="MNI44" s="172"/>
      <c r="MNJ44" s="170"/>
      <c r="MNK44" s="172"/>
      <c r="MNL44" s="170"/>
      <c r="MNM44" s="172"/>
      <c r="MNN44" s="170"/>
      <c r="MNO44" s="172"/>
      <c r="MNP44" s="170"/>
      <c r="MNQ44" s="172"/>
      <c r="MNR44" s="170"/>
      <c r="MNS44" s="172"/>
      <c r="MNT44" s="170"/>
      <c r="MNU44" s="172"/>
      <c r="MNV44" s="170"/>
      <c r="MNW44" s="172"/>
      <c r="MNX44" s="170"/>
      <c r="MNY44" s="172"/>
      <c r="MNZ44" s="170"/>
      <c r="MOA44" s="172"/>
      <c r="MOB44" s="170"/>
      <c r="MOC44" s="172"/>
      <c r="MOD44" s="170"/>
      <c r="MOE44" s="172"/>
      <c r="MOF44" s="170"/>
      <c r="MOG44" s="172"/>
      <c r="MOH44" s="170"/>
      <c r="MOI44" s="172"/>
      <c r="MOJ44" s="170"/>
      <c r="MOK44" s="172"/>
      <c r="MOL44" s="170"/>
      <c r="MOM44" s="172"/>
      <c r="MON44" s="170"/>
      <c r="MOO44" s="172"/>
      <c r="MOP44" s="170"/>
      <c r="MOQ44" s="172"/>
      <c r="MOR44" s="170"/>
      <c r="MOS44" s="172"/>
      <c r="MOT44" s="170"/>
      <c r="MOU44" s="172"/>
      <c r="MOV44" s="170"/>
      <c r="MOW44" s="172"/>
      <c r="MOX44" s="170"/>
      <c r="MOY44" s="172"/>
      <c r="MOZ44" s="170"/>
      <c r="MPA44" s="172"/>
      <c r="MPB44" s="170"/>
      <c r="MPC44" s="172"/>
      <c r="MPD44" s="170"/>
      <c r="MPE44" s="172"/>
      <c r="MPF44" s="170"/>
      <c r="MPG44" s="172"/>
      <c r="MPH44" s="170"/>
      <c r="MPI44" s="172"/>
      <c r="MPJ44" s="170"/>
      <c r="MPK44" s="172"/>
      <c r="MPL44" s="170"/>
      <c r="MPM44" s="172"/>
      <c r="MPN44" s="170"/>
      <c r="MPO44" s="172"/>
      <c r="MPP44" s="170"/>
      <c r="MPQ44" s="172"/>
      <c r="MPR44" s="170"/>
      <c r="MPS44" s="172"/>
      <c r="MPT44" s="170"/>
      <c r="MPU44" s="172"/>
      <c r="MPV44" s="170"/>
      <c r="MPW44" s="172"/>
      <c r="MPX44" s="170"/>
      <c r="MPY44" s="172"/>
      <c r="MPZ44" s="170"/>
      <c r="MQA44" s="172"/>
      <c r="MQB44" s="170"/>
      <c r="MQC44" s="172"/>
      <c r="MQD44" s="170"/>
      <c r="MQE44" s="172"/>
      <c r="MQF44" s="170"/>
      <c r="MQG44" s="172"/>
      <c r="MQH44" s="170"/>
      <c r="MQI44" s="172"/>
      <c r="MQJ44" s="170"/>
      <c r="MQK44" s="172"/>
      <c r="MQL44" s="170"/>
      <c r="MQM44" s="172"/>
      <c r="MQN44" s="170"/>
      <c r="MQO44" s="172"/>
      <c r="MQP44" s="170"/>
      <c r="MQQ44" s="172"/>
      <c r="MQR44" s="170"/>
      <c r="MQS44" s="172"/>
      <c r="MQT44" s="170"/>
      <c r="MQU44" s="172"/>
      <c r="MQV44" s="170"/>
      <c r="MQW44" s="172"/>
      <c r="MQX44" s="170"/>
      <c r="MQY44" s="172"/>
      <c r="MQZ44" s="170"/>
      <c r="MRA44" s="172"/>
      <c r="MRB44" s="170"/>
      <c r="MRC44" s="172"/>
      <c r="MRD44" s="170"/>
      <c r="MRE44" s="172"/>
      <c r="MRF44" s="170"/>
      <c r="MRG44" s="172"/>
      <c r="MRH44" s="170"/>
      <c r="MRI44" s="172"/>
      <c r="MRJ44" s="170"/>
      <c r="MRK44" s="172"/>
      <c r="MRL44" s="170"/>
      <c r="MRM44" s="172"/>
      <c r="MRN44" s="170"/>
      <c r="MRO44" s="172"/>
      <c r="MRP44" s="170"/>
      <c r="MRQ44" s="172"/>
      <c r="MRR44" s="170"/>
      <c r="MRS44" s="172"/>
      <c r="MRT44" s="170"/>
      <c r="MRU44" s="172"/>
      <c r="MRV44" s="170"/>
      <c r="MRW44" s="172"/>
      <c r="MRX44" s="170"/>
      <c r="MRY44" s="172"/>
      <c r="MRZ44" s="170"/>
      <c r="MSA44" s="172"/>
      <c r="MSB44" s="170"/>
      <c r="MSC44" s="172"/>
      <c r="MSD44" s="170"/>
      <c r="MSE44" s="172"/>
      <c r="MSF44" s="170"/>
      <c r="MSG44" s="172"/>
      <c r="MSH44" s="170"/>
      <c r="MSI44" s="172"/>
      <c r="MSJ44" s="170"/>
      <c r="MSK44" s="172"/>
      <c r="MSL44" s="170"/>
      <c r="MSM44" s="172"/>
      <c r="MSN44" s="170"/>
      <c r="MSO44" s="172"/>
      <c r="MSP44" s="170"/>
      <c r="MSQ44" s="172"/>
      <c r="MSR44" s="170"/>
      <c r="MSS44" s="172"/>
      <c r="MST44" s="170"/>
      <c r="MSU44" s="172"/>
      <c r="MSV44" s="170"/>
      <c r="MSW44" s="172"/>
      <c r="MSX44" s="170"/>
      <c r="MSY44" s="172"/>
      <c r="MSZ44" s="170"/>
      <c r="MTA44" s="172"/>
      <c r="MTB44" s="170"/>
      <c r="MTC44" s="172"/>
      <c r="MTD44" s="170"/>
      <c r="MTE44" s="172"/>
      <c r="MTF44" s="170"/>
      <c r="MTG44" s="172"/>
      <c r="MTH44" s="170"/>
      <c r="MTI44" s="172"/>
      <c r="MTJ44" s="170"/>
      <c r="MTK44" s="172"/>
      <c r="MTL44" s="170"/>
      <c r="MTM44" s="172"/>
      <c r="MTN44" s="170"/>
      <c r="MTO44" s="172"/>
      <c r="MTP44" s="170"/>
      <c r="MTQ44" s="172"/>
      <c r="MTR44" s="170"/>
      <c r="MTS44" s="172"/>
      <c r="MTT44" s="170"/>
      <c r="MTU44" s="172"/>
      <c r="MTV44" s="170"/>
      <c r="MTW44" s="172"/>
      <c r="MTX44" s="170"/>
      <c r="MTY44" s="172"/>
      <c r="MTZ44" s="170"/>
      <c r="MUA44" s="172"/>
      <c r="MUB44" s="170"/>
      <c r="MUC44" s="172"/>
      <c r="MUD44" s="170"/>
      <c r="MUE44" s="172"/>
      <c r="MUF44" s="170"/>
      <c r="MUG44" s="172"/>
      <c r="MUH44" s="170"/>
      <c r="MUI44" s="172"/>
      <c r="MUJ44" s="170"/>
      <c r="MUK44" s="172"/>
      <c r="MUL44" s="170"/>
      <c r="MUM44" s="172"/>
      <c r="MUN44" s="170"/>
      <c r="MUO44" s="172"/>
      <c r="MUP44" s="170"/>
      <c r="MUQ44" s="172"/>
      <c r="MUR44" s="170"/>
      <c r="MUS44" s="172"/>
      <c r="MUT44" s="170"/>
      <c r="MUU44" s="172"/>
      <c r="MUV44" s="170"/>
      <c r="MUW44" s="172"/>
      <c r="MUX44" s="170"/>
      <c r="MUY44" s="172"/>
      <c r="MUZ44" s="170"/>
      <c r="MVA44" s="172"/>
      <c r="MVB44" s="170"/>
      <c r="MVC44" s="172"/>
      <c r="MVD44" s="170"/>
      <c r="MVE44" s="172"/>
      <c r="MVF44" s="170"/>
      <c r="MVG44" s="172"/>
      <c r="MVH44" s="170"/>
      <c r="MVI44" s="172"/>
      <c r="MVJ44" s="170"/>
      <c r="MVK44" s="172"/>
      <c r="MVL44" s="170"/>
      <c r="MVM44" s="172"/>
      <c r="MVN44" s="170"/>
      <c r="MVO44" s="172"/>
      <c r="MVP44" s="170"/>
      <c r="MVQ44" s="172"/>
      <c r="MVR44" s="170"/>
      <c r="MVS44" s="172"/>
      <c r="MVT44" s="170"/>
      <c r="MVU44" s="172"/>
      <c r="MVV44" s="170"/>
      <c r="MVW44" s="172"/>
      <c r="MVX44" s="170"/>
      <c r="MVY44" s="172"/>
      <c r="MVZ44" s="170"/>
      <c r="MWA44" s="172"/>
      <c r="MWB44" s="170"/>
      <c r="MWC44" s="172"/>
      <c r="MWD44" s="170"/>
      <c r="MWE44" s="172"/>
      <c r="MWF44" s="170"/>
      <c r="MWG44" s="172"/>
      <c r="MWH44" s="170"/>
      <c r="MWI44" s="172"/>
      <c r="MWJ44" s="170"/>
      <c r="MWK44" s="172"/>
      <c r="MWL44" s="170"/>
      <c r="MWM44" s="172"/>
      <c r="MWN44" s="170"/>
      <c r="MWO44" s="172"/>
      <c r="MWP44" s="170"/>
      <c r="MWQ44" s="172"/>
      <c r="MWR44" s="170"/>
      <c r="MWS44" s="172"/>
      <c r="MWT44" s="170"/>
      <c r="MWU44" s="172"/>
      <c r="MWV44" s="170"/>
      <c r="MWW44" s="172"/>
      <c r="MWX44" s="170"/>
      <c r="MWY44" s="172"/>
      <c r="MWZ44" s="170"/>
      <c r="MXA44" s="172"/>
      <c r="MXB44" s="170"/>
      <c r="MXC44" s="172"/>
      <c r="MXD44" s="170"/>
      <c r="MXE44" s="172"/>
      <c r="MXF44" s="170"/>
      <c r="MXG44" s="172"/>
      <c r="MXH44" s="170"/>
      <c r="MXI44" s="172"/>
      <c r="MXJ44" s="170"/>
      <c r="MXK44" s="172"/>
      <c r="MXL44" s="170"/>
      <c r="MXM44" s="172"/>
      <c r="MXN44" s="170"/>
      <c r="MXO44" s="172"/>
      <c r="MXP44" s="170"/>
      <c r="MXQ44" s="172"/>
      <c r="MXR44" s="170"/>
      <c r="MXS44" s="172"/>
      <c r="MXT44" s="170"/>
      <c r="MXU44" s="172"/>
      <c r="MXV44" s="170"/>
      <c r="MXW44" s="172"/>
      <c r="MXX44" s="170"/>
      <c r="MXY44" s="172"/>
      <c r="MXZ44" s="170"/>
      <c r="MYA44" s="172"/>
      <c r="MYB44" s="170"/>
      <c r="MYC44" s="172"/>
      <c r="MYD44" s="170"/>
      <c r="MYE44" s="172"/>
      <c r="MYF44" s="170"/>
      <c r="MYG44" s="172"/>
      <c r="MYH44" s="170"/>
      <c r="MYI44" s="172"/>
      <c r="MYJ44" s="170"/>
      <c r="MYK44" s="172"/>
      <c r="MYL44" s="170"/>
      <c r="MYM44" s="172"/>
      <c r="MYN44" s="170"/>
      <c r="MYO44" s="172"/>
      <c r="MYP44" s="170"/>
      <c r="MYQ44" s="172"/>
      <c r="MYR44" s="170"/>
      <c r="MYS44" s="172"/>
      <c r="MYT44" s="170"/>
      <c r="MYU44" s="172"/>
      <c r="MYV44" s="170"/>
      <c r="MYW44" s="172"/>
      <c r="MYX44" s="170"/>
      <c r="MYY44" s="172"/>
      <c r="MYZ44" s="170"/>
      <c r="MZA44" s="172"/>
      <c r="MZB44" s="170"/>
      <c r="MZC44" s="172"/>
      <c r="MZD44" s="170"/>
      <c r="MZE44" s="172"/>
      <c r="MZF44" s="170"/>
      <c r="MZG44" s="172"/>
      <c r="MZH44" s="170"/>
      <c r="MZI44" s="172"/>
      <c r="MZJ44" s="170"/>
      <c r="MZK44" s="172"/>
      <c r="MZL44" s="170"/>
      <c r="MZM44" s="172"/>
      <c r="MZN44" s="170"/>
      <c r="MZO44" s="172"/>
      <c r="MZP44" s="170"/>
      <c r="MZQ44" s="172"/>
      <c r="MZR44" s="170"/>
      <c r="MZS44" s="172"/>
      <c r="MZT44" s="170"/>
      <c r="MZU44" s="172"/>
      <c r="MZV44" s="170"/>
      <c r="MZW44" s="172"/>
      <c r="MZX44" s="170"/>
      <c r="MZY44" s="172"/>
      <c r="MZZ44" s="170"/>
      <c r="NAA44" s="172"/>
      <c r="NAB44" s="170"/>
      <c r="NAC44" s="172"/>
      <c r="NAD44" s="170"/>
      <c r="NAE44" s="172"/>
      <c r="NAF44" s="170"/>
      <c r="NAG44" s="172"/>
      <c r="NAH44" s="170"/>
      <c r="NAI44" s="172"/>
      <c r="NAJ44" s="170"/>
      <c r="NAK44" s="172"/>
      <c r="NAL44" s="170"/>
      <c r="NAM44" s="172"/>
      <c r="NAN44" s="170"/>
      <c r="NAO44" s="172"/>
      <c r="NAP44" s="170"/>
      <c r="NAQ44" s="172"/>
      <c r="NAR44" s="170"/>
      <c r="NAS44" s="172"/>
      <c r="NAT44" s="170"/>
      <c r="NAU44" s="172"/>
      <c r="NAV44" s="170"/>
      <c r="NAW44" s="172"/>
      <c r="NAX44" s="170"/>
      <c r="NAY44" s="172"/>
      <c r="NAZ44" s="170"/>
      <c r="NBA44" s="172"/>
      <c r="NBB44" s="170"/>
      <c r="NBC44" s="172"/>
      <c r="NBD44" s="170"/>
      <c r="NBE44" s="172"/>
      <c r="NBF44" s="170"/>
      <c r="NBG44" s="172"/>
      <c r="NBH44" s="170"/>
      <c r="NBI44" s="172"/>
      <c r="NBJ44" s="170"/>
      <c r="NBK44" s="172"/>
      <c r="NBL44" s="170"/>
      <c r="NBM44" s="172"/>
      <c r="NBN44" s="170"/>
      <c r="NBO44" s="172"/>
      <c r="NBP44" s="170"/>
      <c r="NBQ44" s="172"/>
      <c r="NBR44" s="170"/>
      <c r="NBS44" s="172"/>
      <c r="NBT44" s="170"/>
      <c r="NBU44" s="172"/>
      <c r="NBV44" s="170"/>
      <c r="NBW44" s="172"/>
      <c r="NBX44" s="170"/>
      <c r="NBY44" s="172"/>
      <c r="NBZ44" s="170"/>
      <c r="NCA44" s="172"/>
      <c r="NCB44" s="170"/>
      <c r="NCC44" s="172"/>
      <c r="NCD44" s="170"/>
      <c r="NCE44" s="172"/>
      <c r="NCF44" s="170"/>
      <c r="NCG44" s="172"/>
      <c r="NCH44" s="170"/>
      <c r="NCI44" s="172"/>
      <c r="NCJ44" s="170"/>
      <c r="NCK44" s="172"/>
      <c r="NCL44" s="170"/>
      <c r="NCM44" s="172"/>
      <c r="NCN44" s="170"/>
      <c r="NCO44" s="172"/>
      <c r="NCP44" s="170"/>
      <c r="NCQ44" s="172"/>
      <c r="NCR44" s="170"/>
      <c r="NCS44" s="172"/>
      <c r="NCT44" s="170"/>
      <c r="NCU44" s="172"/>
      <c r="NCV44" s="170"/>
      <c r="NCW44" s="172"/>
      <c r="NCX44" s="170"/>
      <c r="NCY44" s="172"/>
      <c r="NCZ44" s="170"/>
      <c r="NDA44" s="172"/>
      <c r="NDB44" s="170"/>
      <c r="NDC44" s="172"/>
      <c r="NDD44" s="170"/>
      <c r="NDE44" s="172"/>
      <c r="NDF44" s="170"/>
      <c r="NDG44" s="172"/>
      <c r="NDH44" s="170"/>
      <c r="NDI44" s="172"/>
      <c r="NDJ44" s="170"/>
      <c r="NDK44" s="172"/>
      <c r="NDL44" s="170"/>
      <c r="NDM44" s="172"/>
      <c r="NDN44" s="170"/>
      <c r="NDO44" s="172"/>
      <c r="NDP44" s="170"/>
      <c r="NDQ44" s="172"/>
      <c r="NDR44" s="170"/>
      <c r="NDS44" s="172"/>
      <c r="NDT44" s="170"/>
      <c r="NDU44" s="172"/>
      <c r="NDV44" s="170"/>
      <c r="NDW44" s="172"/>
      <c r="NDX44" s="170"/>
      <c r="NDY44" s="172"/>
      <c r="NDZ44" s="170"/>
      <c r="NEA44" s="172"/>
      <c r="NEB44" s="170"/>
      <c r="NEC44" s="172"/>
      <c r="NED44" s="170"/>
      <c r="NEE44" s="172"/>
      <c r="NEF44" s="170"/>
      <c r="NEG44" s="172"/>
      <c r="NEH44" s="170"/>
      <c r="NEI44" s="172"/>
      <c r="NEJ44" s="170"/>
      <c r="NEK44" s="172"/>
      <c r="NEL44" s="170"/>
      <c r="NEM44" s="172"/>
      <c r="NEN44" s="170"/>
      <c r="NEO44" s="172"/>
      <c r="NEP44" s="170"/>
      <c r="NEQ44" s="172"/>
      <c r="NER44" s="170"/>
      <c r="NES44" s="172"/>
      <c r="NET44" s="170"/>
      <c r="NEU44" s="172"/>
      <c r="NEV44" s="170"/>
      <c r="NEW44" s="172"/>
      <c r="NEX44" s="170"/>
      <c r="NEY44" s="172"/>
      <c r="NEZ44" s="170"/>
      <c r="NFA44" s="172"/>
      <c r="NFB44" s="170"/>
      <c r="NFC44" s="172"/>
      <c r="NFD44" s="170"/>
      <c r="NFE44" s="172"/>
      <c r="NFF44" s="170"/>
      <c r="NFG44" s="172"/>
      <c r="NFH44" s="170"/>
      <c r="NFI44" s="172"/>
      <c r="NFJ44" s="170"/>
      <c r="NFK44" s="172"/>
      <c r="NFL44" s="170"/>
      <c r="NFM44" s="172"/>
      <c r="NFN44" s="170"/>
      <c r="NFO44" s="172"/>
      <c r="NFP44" s="170"/>
      <c r="NFQ44" s="172"/>
      <c r="NFR44" s="170"/>
      <c r="NFS44" s="172"/>
      <c r="NFT44" s="170"/>
      <c r="NFU44" s="172"/>
      <c r="NFV44" s="170"/>
      <c r="NFW44" s="172"/>
      <c r="NFX44" s="170"/>
      <c r="NFY44" s="172"/>
      <c r="NFZ44" s="170"/>
      <c r="NGA44" s="172"/>
      <c r="NGB44" s="170"/>
      <c r="NGC44" s="172"/>
      <c r="NGD44" s="170"/>
      <c r="NGE44" s="172"/>
      <c r="NGF44" s="170"/>
      <c r="NGG44" s="172"/>
      <c r="NGH44" s="170"/>
      <c r="NGI44" s="172"/>
      <c r="NGJ44" s="170"/>
      <c r="NGK44" s="172"/>
      <c r="NGL44" s="170"/>
      <c r="NGM44" s="172"/>
      <c r="NGN44" s="170"/>
      <c r="NGO44" s="172"/>
      <c r="NGP44" s="170"/>
      <c r="NGQ44" s="172"/>
      <c r="NGR44" s="170"/>
      <c r="NGS44" s="172"/>
      <c r="NGT44" s="170"/>
      <c r="NGU44" s="172"/>
      <c r="NGV44" s="170"/>
      <c r="NGW44" s="172"/>
      <c r="NGX44" s="170"/>
      <c r="NGY44" s="172"/>
      <c r="NGZ44" s="170"/>
      <c r="NHA44" s="172"/>
      <c r="NHB44" s="170"/>
      <c r="NHC44" s="172"/>
      <c r="NHD44" s="170"/>
      <c r="NHE44" s="172"/>
      <c r="NHF44" s="170"/>
      <c r="NHG44" s="172"/>
      <c r="NHH44" s="170"/>
      <c r="NHI44" s="172"/>
      <c r="NHJ44" s="170"/>
      <c r="NHK44" s="172"/>
      <c r="NHL44" s="170"/>
      <c r="NHM44" s="172"/>
      <c r="NHN44" s="170"/>
      <c r="NHO44" s="172"/>
      <c r="NHP44" s="170"/>
      <c r="NHQ44" s="172"/>
      <c r="NHR44" s="170"/>
      <c r="NHS44" s="172"/>
      <c r="NHT44" s="170"/>
      <c r="NHU44" s="172"/>
      <c r="NHV44" s="170"/>
      <c r="NHW44" s="172"/>
      <c r="NHX44" s="170"/>
      <c r="NHY44" s="172"/>
      <c r="NHZ44" s="170"/>
      <c r="NIA44" s="172"/>
      <c r="NIB44" s="170"/>
      <c r="NIC44" s="172"/>
      <c r="NID44" s="170"/>
      <c r="NIE44" s="172"/>
      <c r="NIF44" s="170"/>
      <c r="NIG44" s="172"/>
      <c r="NIH44" s="170"/>
      <c r="NII44" s="172"/>
      <c r="NIJ44" s="170"/>
      <c r="NIK44" s="172"/>
      <c r="NIL44" s="170"/>
      <c r="NIM44" s="172"/>
      <c r="NIN44" s="170"/>
      <c r="NIO44" s="172"/>
      <c r="NIP44" s="170"/>
      <c r="NIQ44" s="172"/>
      <c r="NIR44" s="170"/>
      <c r="NIS44" s="172"/>
      <c r="NIT44" s="170"/>
      <c r="NIU44" s="172"/>
      <c r="NIV44" s="170"/>
      <c r="NIW44" s="172"/>
      <c r="NIX44" s="170"/>
      <c r="NIY44" s="172"/>
      <c r="NIZ44" s="170"/>
      <c r="NJA44" s="172"/>
      <c r="NJB44" s="170"/>
      <c r="NJC44" s="172"/>
      <c r="NJD44" s="170"/>
      <c r="NJE44" s="172"/>
      <c r="NJF44" s="170"/>
      <c r="NJG44" s="172"/>
      <c r="NJH44" s="170"/>
      <c r="NJI44" s="172"/>
      <c r="NJJ44" s="170"/>
      <c r="NJK44" s="172"/>
      <c r="NJL44" s="170"/>
      <c r="NJM44" s="172"/>
      <c r="NJN44" s="170"/>
      <c r="NJO44" s="172"/>
      <c r="NJP44" s="170"/>
      <c r="NJQ44" s="172"/>
      <c r="NJR44" s="170"/>
      <c r="NJS44" s="172"/>
      <c r="NJT44" s="170"/>
      <c r="NJU44" s="172"/>
      <c r="NJV44" s="170"/>
      <c r="NJW44" s="172"/>
      <c r="NJX44" s="170"/>
      <c r="NJY44" s="172"/>
      <c r="NJZ44" s="170"/>
      <c r="NKA44" s="172"/>
      <c r="NKB44" s="170"/>
      <c r="NKC44" s="172"/>
      <c r="NKD44" s="170"/>
      <c r="NKE44" s="172"/>
      <c r="NKF44" s="170"/>
      <c r="NKG44" s="172"/>
      <c r="NKH44" s="170"/>
      <c r="NKI44" s="172"/>
      <c r="NKJ44" s="170"/>
      <c r="NKK44" s="172"/>
      <c r="NKL44" s="170"/>
      <c r="NKM44" s="172"/>
      <c r="NKN44" s="170"/>
      <c r="NKO44" s="172"/>
      <c r="NKP44" s="170"/>
      <c r="NKQ44" s="172"/>
      <c r="NKR44" s="170"/>
      <c r="NKS44" s="172"/>
      <c r="NKT44" s="170"/>
      <c r="NKU44" s="172"/>
      <c r="NKV44" s="170"/>
      <c r="NKW44" s="172"/>
      <c r="NKX44" s="170"/>
      <c r="NKY44" s="172"/>
      <c r="NKZ44" s="170"/>
      <c r="NLA44" s="172"/>
      <c r="NLB44" s="170"/>
      <c r="NLC44" s="172"/>
      <c r="NLD44" s="170"/>
      <c r="NLE44" s="172"/>
      <c r="NLF44" s="170"/>
      <c r="NLG44" s="172"/>
      <c r="NLH44" s="170"/>
      <c r="NLI44" s="172"/>
      <c r="NLJ44" s="170"/>
      <c r="NLK44" s="172"/>
      <c r="NLL44" s="170"/>
      <c r="NLM44" s="172"/>
      <c r="NLN44" s="170"/>
      <c r="NLO44" s="172"/>
      <c r="NLP44" s="170"/>
      <c r="NLQ44" s="172"/>
      <c r="NLR44" s="170"/>
      <c r="NLS44" s="172"/>
      <c r="NLT44" s="170"/>
      <c r="NLU44" s="172"/>
      <c r="NLV44" s="170"/>
      <c r="NLW44" s="172"/>
      <c r="NLX44" s="170"/>
      <c r="NLY44" s="172"/>
      <c r="NLZ44" s="170"/>
      <c r="NMA44" s="172"/>
      <c r="NMB44" s="170"/>
      <c r="NMC44" s="172"/>
      <c r="NMD44" s="170"/>
      <c r="NME44" s="172"/>
      <c r="NMF44" s="170"/>
      <c r="NMG44" s="172"/>
      <c r="NMH44" s="170"/>
      <c r="NMI44" s="172"/>
      <c r="NMJ44" s="170"/>
      <c r="NMK44" s="172"/>
      <c r="NML44" s="170"/>
      <c r="NMM44" s="172"/>
      <c r="NMN44" s="170"/>
      <c r="NMO44" s="172"/>
      <c r="NMP44" s="170"/>
      <c r="NMQ44" s="172"/>
      <c r="NMR44" s="170"/>
      <c r="NMS44" s="172"/>
      <c r="NMT44" s="170"/>
      <c r="NMU44" s="172"/>
      <c r="NMV44" s="170"/>
      <c r="NMW44" s="172"/>
      <c r="NMX44" s="170"/>
      <c r="NMY44" s="172"/>
      <c r="NMZ44" s="170"/>
      <c r="NNA44" s="172"/>
      <c r="NNB44" s="170"/>
      <c r="NNC44" s="172"/>
      <c r="NND44" s="170"/>
      <c r="NNE44" s="172"/>
      <c r="NNF44" s="170"/>
      <c r="NNG44" s="172"/>
      <c r="NNH44" s="170"/>
      <c r="NNI44" s="172"/>
      <c r="NNJ44" s="170"/>
      <c r="NNK44" s="172"/>
      <c r="NNL44" s="170"/>
      <c r="NNM44" s="172"/>
      <c r="NNN44" s="170"/>
      <c r="NNO44" s="172"/>
      <c r="NNP44" s="170"/>
      <c r="NNQ44" s="172"/>
      <c r="NNR44" s="170"/>
      <c r="NNS44" s="172"/>
      <c r="NNT44" s="170"/>
      <c r="NNU44" s="172"/>
      <c r="NNV44" s="170"/>
      <c r="NNW44" s="172"/>
      <c r="NNX44" s="170"/>
      <c r="NNY44" s="172"/>
      <c r="NNZ44" s="170"/>
      <c r="NOA44" s="172"/>
      <c r="NOB44" s="170"/>
      <c r="NOC44" s="172"/>
      <c r="NOD44" s="170"/>
      <c r="NOE44" s="172"/>
      <c r="NOF44" s="170"/>
      <c r="NOG44" s="172"/>
      <c r="NOH44" s="170"/>
      <c r="NOI44" s="172"/>
      <c r="NOJ44" s="170"/>
      <c r="NOK44" s="172"/>
      <c r="NOL44" s="170"/>
      <c r="NOM44" s="172"/>
      <c r="NON44" s="170"/>
      <c r="NOO44" s="172"/>
      <c r="NOP44" s="170"/>
      <c r="NOQ44" s="172"/>
      <c r="NOR44" s="170"/>
      <c r="NOS44" s="172"/>
      <c r="NOT44" s="170"/>
      <c r="NOU44" s="172"/>
      <c r="NOV44" s="170"/>
      <c r="NOW44" s="172"/>
      <c r="NOX44" s="170"/>
      <c r="NOY44" s="172"/>
      <c r="NOZ44" s="170"/>
      <c r="NPA44" s="172"/>
      <c r="NPB44" s="170"/>
      <c r="NPC44" s="172"/>
      <c r="NPD44" s="170"/>
      <c r="NPE44" s="172"/>
      <c r="NPF44" s="170"/>
      <c r="NPG44" s="172"/>
      <c r="NPH44" s="170"/>
      <c r="NPI44" s="172"/>
      <c r="NPJ44" s="170"/>
      <c r="NPK44" s="172"/>
      <c r="NPL44" s="170"/>
      <c r="NPM44" s="172"/>
      <c r="NPN44" s="170"/>
      <c r="NPO44" s="172"/>
      <c r="NPP44" s="170"/>
      <c r="NPQ44" s="172"/>
      <c r="NPR44" s="170"/>
      <c r="NPS44" s="172"/>
      <c r="NPT44" s="170"/>
      <c r="NPU44" s="172"/>
      <c r="NPV44" s="170"/>
      <c r="NPW44" s="172"/>
      <c r="NPX44" s="170"/>
      <c r="NPY44" s="172"/>
      <c r="NPZ44" s="170"/>
      <c r="NQA44" s="172"/>
      <c r="NQB44" s="170"/>
      <c r="NQC44" s="172"/>
      <c r="NQD44" s="170"/>
      <c r="NQE44" s="172"/>
      <c r="NQF44" s="170"/>
      <c r="NQG44" s="172"/>
      <c r="NQH44" s="170"/>
      <c r="NQI44" s="172"/>
      <c r="NQJ44" s="170"/>
      <c r="NQK44" s="172"/>
      <c r="NQL44" s="170"/>
      <c r="NQM44" s="172"/>
      <c r="NQN44" s="170"/>
      <c r="NQO44" s="172"/>
      <c r="NQP44" s="170"/>
      <c r="NQQ44" s="172"/>
      <c r="NQR44" s="170"/>
      <c r="NQS44" s="172"/>
      <c r="NQT44" s="170"/>
      <c r="NQU44" s="172"/>
      <c r="NQV44" s="170"/>
      <c r="NQW44" s="172"/>
      <c r="NQX44" s="170"/>
      <c r="NQY44" s="172"/>
      <c r="NQZ44" s="170"/>
      <c r="NRA44" s="172"/>
      <c r="NRB44" s="170"/>
      <c r="NRC44" s="172"/>
      <c r="NRD44" s="170"/>
      <c r="NRE44" s="172"/>
      <c r="NRF44" s="170"/>
      <c r="NRG44" s="172"/>
      <c r="NRH44" s="170"/>
      <c r="NRI44" s="172"/>
      <c r="NRJ44" s="170"/>
      <c r="NRK44" s="172"/>
      <c r="NRL44" s="170"/>
      <c r="NRM44" s="172"/>
      <c r="NRN44" s="170"/>
      <c r="NRO44" s="172"/>
      <c r="NRP44" s="170"/>
      <c r="NRQ44" s="172"/>
      <c r="NRR44" s="170"/>
      <c r="NRS44" s="172"/>
      <c r="NRT44" s="170"/>
      <c r="NRU44" s="172"/>
      <c r="NRV44" s="170"/>
      <c r="NRW44" s="172"/>
      <c r="NRX44" s="170"/>
      <c r="NRY44" s="172"/>
      <c r="NRZ44" s="170"/>
      <c r="NSA44" s="172"/>
      <c r="NSB44" s="170"/>
      <c r="NSC44" s="172"/>
      <c r="NSD44" s="170"/>
      <c r="NSE44" s="172"/>
      <c r="NSF44" s="170"/>
      <c r="NSG44" s="172"/>
      <c r="NSH44" s="170"/>
      <c r="NSI44" s="172"/>
      <c r="NSJ44" s="170"/>
      <c r="NSK44" s="172"/>
      <c r="NSL44" s="170"/>
      <c r="NSM44" s="172"/>
      <c r="NSN44" s="170"/>
      <c r="NSO44" s="172"/>
      <c r="NSP44" s="170"/>
      <c r="NSQ44" s="172"/>
      <c r="NSR44" s="170"/>
      <c r="NSS44" s="172"/>
      <c r="NST44" s="170"/>
      <c r="NSU44" s="172"/>
      <c r="NSV44" s="170"/>
      <c r="NSW44" s="172"/>
      <c r="NSX44" s="170"/>
      <c r="NSY44" s="172"/>
      <c r="NSZ44" s="170"/>
      <c r="NTA44" s="172"/>
      <c r="NTB44" s="170"/>
      <c r="NTC44" s="172"/>
      <c r="NTD44" s="170"/>
      <c r="NTE44" s="172"/>
      <c r="NTF44" s="170"/>
      <c r="NTG44" s="172"/>
      <c r="NTH44" s="170"/>
      <c r="NTI44" s="172"/>
      <c r="NTJ44" s="170"/>
      <c r="NTK44" s="172"/>
      <c r="NTL44" s="170"/>
      <c r="NTM44" s="172"/>
      <c r="NTN44" s="170"/>
      <c r="NTO44" s="172"/>
      <c r="NTP44" s="170"/>
      <c r="NTQ44" s="172"/>
      <c r="NTR44" s="170"/>
      <c r="NTS44" s="172"/>
      <c r="NTT44" s="170"/>
      <c r="NTU44" s="172"/>
      <c r="NTV44" s="170"/>
      <c r="NTW44" s="172"/>
      <c r="NTX44" s="170"/>
      <c r="NTY44" s="172"/>
      <c r="NTZ44" s="170"/>
      <c r="NUA44" s="172"/>
      <c r="NUB44" s="170"/>
      <c r="NUC44" s="172"/>
      <c r="NUD44" s="170"/>
      <c r="NUE44" s="172"/>
      <c r="NUF44" s="170"/>
      <c r="NUG44" s="172"/>
      <c r="NUH44" s="170"/>
      <c r="NUI44" s="172"/>
      <c r="NUJ44" s="170"/>
      <c r="NUK44" s="172"/>
      <c r="NUL44" s="170"/>
      <c r="NUM44" s="172"/>
      <c r="NUN44" s="170"/>
      <c r="NUO44" s="172"/>
      <c r="NUP44" s="170"/>
      <c r="NUQ44" s="172"/>
      <c r="NUR44" s="170"/>
      <c r="NUS44" s="172"/>
      <c r="NUT44" s="170"/>
      <c r="NUU44" s="172"/>
      <c r="NUV44" s="170"/>
      <c r="NUW44" s="172"/>
      <c r="NUX44" s="170"/>
      <c r="NUY44" s="172"/>
      <c r="NUZ44" s="170"/>
      <c r="NVA44" s="172"/>
      <c r="NVB44" s="170"/>
      <c r="NVC44" s="172"/>
      <c r="NVD44" s="170"/>
      <c r="NVE44" s="172"/>
      <c r="NVF44" s="170"/>
      <c r="NVG44" s="172"/>
      <c r="NVH44" s="170"/>
      <c r="NVI44" s="172"/>
      <c r="NVJ44" s="170"/>
      <c r="NVK44" s="172"/>
      <c r="NVL44" s="170"/>
      <c r="NVM44" s="172"/>
      <c r="NVN44" s="170"/>
      <c r="NVO44" s="172"/>
      <c r="NVP44" s="170"/>
      <c r="NVQ44" s="172"/>
      <c r="NVR44" s="170"/>
      <c r="NVS44" s="172"/>
      <c r="NVT44" s="170"/>
      <c r="NVU44" s="172"/>
      <c r="NVV44" s="170"/>
      <c r="NVW44" s="172"/>
      <c r="NVX44" s="170"/>
      <c r="NVY44" s="172"/>
      <c r="NVZ44" s="170"/>
      <c r="NWA44" s="172"/>
      <c r="NWB44" s="170"/>
      <c r="NWC44" s="172"/>
      <c r="NWD44" s="170"/>
      <c r="NWE44" s="172"/>
      <c r="NWF44" s="170"/>
      <c r="NWG44" s="172"/>
      <c r="NWH44" s="170"/>
      <c r="NWI44" s="172"/>
      <c r="NWJ44" s="170"/>
      <c r="NWK44" s="172"/>
      <c r="NWL44" s="170"/>
      <c r="NWM44" s="172"/>
      <c r="NWN44" s="170"/>
      <c r="NWO44" s="172"/>
      <c r="NWP44" s="170"/>
      <c r="NWQ44" s="172"/>
      <c r="NWR44" s="170"/>
      <c r="NWS44" s="172"/>
      <c r="NWT44" s="170"/>
      <c r="NWU44" s="172"/>
      <c r="NWV44" s="170"/>
      <c r="NWW44" s="172"/>
      <c r="NWX44" s="170"/>
      <c r="NWY44" s="172"/>
      <c r="NWZ44" s="170"/>
      <c r="NXA44" s="172"/>
      <c r="NXB44" s="170"/>
      <c r="NXC44" s="172"/>
      <c r="NXD44" s="170"/>
      <c r="NXE44" s="172"/>
      <c r="NXF44" s="170"/>
      <c r="NXG44" s="172"/>
      <c r="NXH44" s="170"/>
      <c r="NXI44" s="172"/>
      <c r="NXJ44" s="170"/>
      <c r="NXK44" s="172"/>
      <c r="NXL44" s="170"/>
      <c r="NXM44" s="172"/>
      <c r="NXN44" s="170"/>
      <c r="NXO44" s="172"/>
      <c r="NXP44" s="170"/>
      <c r="NXQ44" s="172"/>
      <c r="NXR44" s="170"/>
      <c r="NXS44" s="172"/>
      <c r="NXT44" s="170"/>
      <c r="NXU44" s="172"/>
      <c r="NXV44" s="170"/>
      <c r="NXW44" s="172"/>
      <c r="NXX44" s="170"/>
      <c r="NXY44" s="172"/>
      <c r="NXZ44" s="170"/>
      <c r="NYA44" s="172"/>
      <c r="NYB44" s="170"/>
      <c r="NYC44" s="172"/>
      <c r="NYD44" s="170"/>
      <c r="NYE44" s="172"/>
      <c r="NYF44" s="170"/>
      <c r="NYG44" s="172"/>
      <c r="NYH44" s="170"/>
      <c r="NYI44" s="172"/>
      <c r="NYJ44" s="170"/>
      <c r="NYK44" s="172"/>
      <c r="NYL44" s="170"/>
      <c r="NYM44" s="172"/>
      <c r="NYN44" s="170"/>
      <c r="NYO44" s="172"/>
      <c r="NYP44" s="170"/>
      <c r="NYQ44" s="172"/>
      <c r="NYR44" s="170"/>
      <c r="NYS44" s="172"/>
      <c r="NYT44" s="170"/>
      <c r="NYU44" s="172"/>
      <c r="NYV44" s="170"/>
      <c r="NYW44" s="172"/>
      <c r="NYX44" s="170"/>
      <c r="NYY44" s="172"/>
      <c r="NYZ44" s="170"/>
      <c r="NZA44" s="172"/>
      <c r="NZB44" s="170"/>
      <c r="NZC44" s="172"/>
      <c r="NZD44" s="170"/>
      <c r="NZE44" s="172"/>
      <c r="NZF44" s="170"/>
      <c r="NZG44" s="172"/>
      <c r="NZH44" s="170"/>
      <c r="NZI44" s="172"/>
      <c r="NZJ44" s="170"/>
      <c r="NZK44" s="172"/>
      <c r="NZL44" s="170"/>
      <c r="NZM44" s="172"/>
      <c r="NZN44" s="170"/>
      <c r="NZO44" s="172"/>
      <c r="NZP44" s="170"/>
      <c r="NZQ44" s="172"/>
      <c r="NZR44" s="170"/>
      <c r="NZS44" s="172"/>
      <c r="NZT44" s="170"/>
      <c r="NZU44" s="172"/>
      <c r="NZV44" s="170"/>
      <c r="NZW44" s="172"/>
      <c r="NZX44" s="170"/>
      <c r="NZY44" s="172"/>
      <c r="NZZ44" s="170"/>
      <c r="OAA44" s="172"/>
      <c r="OAB44" s="170"/>
      <c r="OAC44" s="172"/>
      <c r="OAD44" s="170"/>
      <c r="OAE44" s="172"/>
      <c r="OAF44" s="170"/>
      <c r="OAG44" s="172"/>
      <c r="OAH44" s="170"/>
      <c r="OAI44" s="172"/>
      <c r="OAJ44" s="170"/>
      <c r="OAK44" s="172"/>
      <c r="OAL44" s="170"/>
      <c r="OAM44" s="172"/>
      <c r="OAN44" s="170"/>
      <c r="OAO44" s="172"/>
      <c r="OAP44" s="170"/>
      <c r="OAQ44" s="172"/>
      <c r="OAR44" s="170"/>
      <c r="OAS44" s="172"/>
      <c r="OAT44" s="170"/>
      <c r="OAU44" s="172"/>
      <c r="OAV44" s="170"/>
      <c r="OAW44" s="172"/>
      <c r="OAX44" s="170"/>
      <c r="OAY44" s="172"/>
      <c r="OAZ44" s="170"/>
      <c r="OBA44" s="172"/>
      <c r="OBB44" s="170"/>
      <c r="OBC44" s="172"/>
      <c r="OBD44" s="170"/>
      <c r="OBE44" s="172"/>
      <c r="OBF44" s="170"/>
      <c r="OBG44" s="172"/>
      <c r="OBH44" s="170"/>
      <c r="OBI44" s="172"/>
      <c r="OBJ44" s="170"/>
      <c r="OBK44" s="172"/>
      <c r="OBL44" s="170"/>
      <c r="OBM44" s="172"/>
      <c r="OBN44" s="170"/>
      <c r="OBO44" s="172"/>
      <c r="OBP44" s="170"/>
      <c r="OBQ44" s="172"/>
      <c r="OBR44" s="170"/>
      <c r="OBS44" s="172"/>
      <c r="OBT44" s="170"/>
      <c r="OBU44" s="172"/>
      <c r="OBV44" s="170"/>
      <c r="OBW44" s="172"/>
      <c r="OBX44" s="170"/>
      <c r="OBY44" s="172"/>
      <c r="OBZ44" s="170"/>
      <c r="OCA44" s="172"/>
      <c r="OCB44" s="170"/>
      <c r="OCC44" s="172"/>
      <c r="OCD44" s="170"/>
      <c r="OCE44" s="172"/>
      <c r="OCF44" s="170"/>
      <c r="OCG44" s="172"/>
      <c r="OCH44" s="170"/>
      <c r="OCI44" s="172"/>
      <c r="OCJ44" s="170"/>
      <c r="OCK44" s="172"/>
      <c r="OCL44" s="170"/>
      <c r="OCM44" s="172"/>
      <c r="OCN44" s="170"/>
      <c r="OCO44" s="172"/>
      <c r="OCP44" s="170"/>
      <c r="OCQ44" s="172"/>
      <c r="OCR44" s="170"/>
      <c r="OCS44" s="172"/>
      <c r="OCT44" s="170"/>
      <c r="OCU44" s="172"/>
      <c r="OCV44" s="170"/>
      <c r="OCW44" s="172"/>
      <c r="OCX44" s="170"/>
      <c r="OCY44" s="172"/>
      <c r="OCZ44" s="170"/>
      <c r="ODA44" s="172"/>
      <c r="ODB44" s="170"/>
      <c r="ODC44" s="172"/>
      <c r="ODD44" s="170"/>
      <c r="ODE44" s="172"/>
      <c r="ODF44" s="170"/>
      <c r="ODG44" s="172"/>
      <c r="ODH44" s="170"/>
      <c r="ODI44" s="172"/>
      <c r="ODJ44" s="170"/>
      <c r="ODK44" s="172"/>
      <c r="ODL44" s="170"/>
      <c r="ODM44" s="172"/>
      <c r="ODN44" s="170"/>
      <c r="ODO44" s="172"/>
      <c r="ODP44" s="170"/>
      <c r="ODQ44" s="172"/>
      <c r="ODR44" s="170"/>
      <c r="ODS44" s="172"/>
      <c r="ODT44" s="170"/>
      <c r="ODU44" s="172"/>
      <c r="ODV44" s="170"/>
      <c r="ODW44" s="172"/>
      <c r="ODX44" s="170"/>
      <c r="ODY44" s="172"/>
      <c r="ODZ44" s="170"/>
      <c r="OEA44" s="172"/>
      <c r="OEB44" s="170"/>
      <c r="OEC44" s="172"/>
      <c r="OED44" s="170"/>
      <c r="OEE44" s="172"/>
      <c r="OEF44" s="170"/>
      <c r="OEG44" s="172"/>
      <c r="OEH44" s="170"/>
      <c r="OEI44" s="172"/>
      <c r="OEJ44" s="170"/>
      <c r="OEK44" s="172"/>
      <c r="OEL44" s="170"/>
      <c r="OEM44" s="172"/>
      <c r="OEN44" s="170"/>
      <c r="OEO44" s="172"/>
      <c r="OEP44" s="170"/>
      <c r="OEQ44" s="172"/>
      <c r="OER44" s="170"/>
      <c r="OES44" s="172"/>
      <c r="OET44" s="170"/>
      <c r="OEU44" s="172"/>
      <c r="OEV44" s="170"/>
      <c r="OEW44" s="172"/>
      <c r="OEX44" s="170"/>
      <c r="OEY44" s="172"/>
      <c r="OEZ44" s="170"/>
      <c r="OFA44" s="172"/>
      <c r="OFB44" s="170"/>
      <c r="OFC44" s="172"/>
      <c r="OFD44" s="170"/>
      <c r="OFE44" s="172"/>
      <c r="OFF44" s="170"/>
      <c r="OFG44" s="172"/>
      <c r="OFH44" s="170"/>
      <c r="OFI44" s="172"/>
      <c r="OFJ44" s="170"/>
      <c r="OFK44" s="172"/>
      <c r="OFL44" s="170"/>
      <c r="OFM44" s="172"/>
      <c r="OFN44" s="170"/>
      <c r="OFO44" s="172"/>
      <c r="OFP44" s="170"/>
      <c r="OFQ44" s="172"/>
      <c r="OFR44" s="170"/>
      <c r="OFS44" s="172"/>
      <c r="OFT44" s="170"/>
      <c r="OFU44" s="172"/>
      <c r="OFV44" s="170"/>
      <c r="OFW44" s="172"/>
      <c r="OFX44" s="170"/>
      <c r="OFY44" s="172"/>
      <c r="OFZ44" s="170"/>
      <c r="OGA44" s="172"/>
      <c r="OGB44" s="170"/>
      <c r="OGC44" s="172"/>
      <c r="OGD44" s="170"/>
      <c r="OGE44" s="172"/>
      <c r="OGF44" s="170"/>
      <c r="OGG44" s="172"/>
      <c r="OGH44" s="170"/>
      <c r="OGI44" s="172"/>
      <c r="OGJ44" s="170"/>
      <c r="OGK44" s="172"/>
      <c r="OGL44" s="170"/>
      <c r="OGM44" s="172"/>
      <c r="OGN44" s="170"/>
      <c r="OGO44" s="172"/>
      <c r="OGP44" s="170"/>
      <c r="OGQ44" s="172"/>
      <c r="OGR44" s="170"/>
      <c r="OGS44" s="172"/>
      <c r="OGT44" s="170"/>
      <c r="OGU44" s="172"/>
      <c r="OGV44" s="170"/>
      <c r="OGW44" s="172"/>
      <c r="OGX44" s="170"/>
      <c r="OGY44" s="172"/>
      <c r="OGZ44" s="170"/>
      <c r="OHA44" s="172"/>
      <c r="OHB44" s="170"/>
      <c r="OHC44" s="172"/>
      <c r="OHD44" s="170"/>
      <c r="OHE44" s="172"/>
      <c r="OHF44" s="170"/>
      <c r="OHG44" s="172"/>
      <c r="OHH44" s="170"/>
      <c r="OHI44" s="172"/>
      <c r="OHJ44" s="170"/>
      <c r="OHK44" s="172"/>
      <c r="OHL44" s="170"/>
      <c r="OHM44" s="172"/>
      <c r="OHN44" s="170"/>
      <c r="OHO44" s="172"/>
      <c r="OHP44" s="170"/>
      <c r="OHQ44" s="172"/>
      <c r="OHR44" s="170"/>
      <c r="OHS44" s="172"/>
      <c r="OHT44" s="170"/>
      <c r="OHU44" s="172"/>
      <c r="OHV44" s="170"/>
      <c r="OHW44" s="172"/>
      <c r="OHX44" s="170"/>
      <c r="OHY44" s="172"/>
      <c r="OHZ44" s="170"/>
      <c r="OIA44" s="172"/>
      <c r="OIB44" s="170"/>
      <c r="OIC44" s="172"/>
      <c r="OID44" s="170"/>
      <c r="OIE44" s="172"/>
      <c r="OIF44" s="170"/>
      <c r="OIG44" s="172"/>
      <c r="OIH44" s="170"/>
      <c r="OII44" s="172"/>
      <c r="OIJ44" s="170"/>
      <c r="OIK44" s="172"/>
      <c r="OIL44" s="170"/>
      <c r="OIM44" s="172"/>
      <c r="OIN44" s="170"/>
      <c r="OIO44" s="172"/>
      <c r="OIP44" s="170"/>
      <c r="OIQ44" s="172"/>
      <c r="OIR44" s="170"/>
      <c r="OIS44" s="172"/>
      <c r="OIT44" s="170"/>
      <c r="OIU44" s="172"/>
      <c r="OIV44" s="170"/>
      <c r="OIW44" s="172"/>
      <c r="OIX44" s="170"/>
      <c r="OIY44" s="172"/>
      <c r="OIZ44" s="170"/>
      <c r="OJA44" s="172"/>
      <c r="OJB44" s="170"/>
      <c r="OJC44" s="172"/>
      <c r="OJD44" s="170"/>
      <c r="OJE44" s="172"/>
      <c r="OJF44" s="170"/>
      <c r="OJG44" s="172"/>
      <c r="OJH44" s="170"/>
      <c r="OJI44" s="172"/>
      <c r="OJJ44" s="170"/>
      <c r="OJK44" s="172"/>
      <c r="OJL44" s="170"/>
      <c r="OJM44" s="172"/>
      <c r="OJN44" s="170"/>
      <c r="OJO44" s="172"/>
      <c r="OJP44" s="170"/>
      <c r="OJQ44" s="172"/>
      <c r="OJR44" s="170"/>
      <c r="OJS44" s="172"/>
      <c r="OJT44" s="170"/>
      <c r="OJU44" s="172"/>
      <c r="OJV44" s="170"/>
      <c r="OJW44" s="172"/>
      <c r="OJX44" s="170"/>
      <c r="OJY44" s="172"/>
      <c r="OJZ44" s="170"/>
      <c r="OKA44" s="172"/>
      <c r="OKB44" s="170"/>
      <c r="OKC44" s="172"/>
      <c r="OKD44" s="170"/>
      <c r="OKE44" s="172"/>
      <c r="OKF44" s="170"/>
      <c r="OKG44" s="172"/>
      <c r="OKH44" s="170"/>
      <c r="OKI44" s="172"/>
      <c r="OKJ44" s="170"/>
      <c r="OKK44" s="172"/>
      <c r="OKL44" s="170"/>
      <c r="OKM44" s="172"/>
      <c r="OKN44" s="170"/>
      <c r="OKO44" s="172"/>
      <c r="OKP44" s="170"/>
      <c r="OKQ44" s="172"/>
      <c r="OKR44" s="170"/>
      <c r="OKS44" s="172"/>
      <c r="OKT44" s="170"/>
      <c r="OKU44" s="172"/>
      <c r="OKV44" s="170"/>
      <c r="OKW44" s="172"/>
      <c r="OKX44" s="170"/>
      <c r="OKY44" s="172"/>
      <c r="OKZ44" s="170"/>
      <c r="OLA44" s="172"/>
      <c r="OLB44" s="170"/>
      <c r="OLC44" s="172"/>
      <c r="OLD44" s="170"/>
      <c r="OLE44" s="172"/>
      <c r="OLF44" s="170"/>
      <c r="OLG44" s="172"/>
      <c r="OLH44" s="170"/>
      <c r="OLI44" s="172"/>
      <c r="OLJ44" s="170"/>
      <c r="OLK44" s="172"/>
      <c r="OLL44" s="170"/>
      <c r="OLM44" s="172"/>
      <c r="OLN44" s="170"/>
      <c r="OLO44" s="172"/>
      <c r="OLP44" s="170"/>
      <c r="OLQ44" s="172"/>
      <c r="OLR44" s="170"/>
      <c r="OLS44" s="172"/>
      <c r="OLT44" s="170"/>
      <c r="OLU44" s="172"/>
      <c r="OLV44" s="170"/>
      <c r="OLW44" s="172"/>
      <c r="OLX44" s="170"/>
      <c r="OLY44" s="172"/>
      <c r="OLZ44" s="170"/>
      <c r="OMA44" s="172"/>
      <c r="OMB44" s="170"/>
      <c r="OMC44" s="172"/>
      <c r="OMD44" s="170"/>
      <c r="OME44" s="172"/>
      <c r="OMF44" s="170"/>
      <c r="OMG44" s="172"/>
      <c r="OMH44" s="170"/>
      <c r="OMI44" s="172"/>
      <c r="OMJ44" s="170"/>
      <c r="OMK44" s="172"/>
      <c r="OML44" s="170"/>
      <c r="OMM44" s="172"/>
      <c r="OMN44" s="170"/>
      <c r="OMO44" s="172"/>
      <c r="OMP44" s="170"/>
      <c r="OMQ44" s="172"/>
      <c r="OMR44" s="170"/>
      <c r="OMS44" s="172"/>
      <c r="OMT44" s="170"/>
      <c r="OMU44" s="172"/>
      <c r="OMV44" s="170"/>
      <c r="OMW44" s="172"/>
      <c r="OMX44" s="170"/>
      <c r="OMY44" s="172"/>
      <c r="OMZ44" s="170"/>
      <c r="ONA44" s="172"/>
      <c r="ONB44" s="170"/>
      <c r="ONC44" s="172"/>
      <c r="OND44" s="170"/>
      <c r="ONE44" s="172"/>
      <c r="ONF44" s="170"/>
      <c r="ONG44" s="172"/>
      <c r="ONH44" s="170"/>
      <c r="ONI44" s="172"/>
      <c r="ONJ44" s="170"/>
      <c r="ONK44" s="172"/>
      <c r="ONL44" s="170"/>
      <c r="ONM44" s="172"/>
      <c r="ONN44" s="170"/>
      <c r="ONO44" s="172"/>
      <c r="ONP44" s="170"/>
      <c r="ONQ44" s="172"/>
      <c r="ONR44" s="170"/>
      <c r="ONS44" s="172"/>
      <c r="ONT44" s="170"/>
      <c r="ONU44" s="172"/>
      <c r="ONV44" s="170"/>
      <c r="ONW44" s="172"/>
      <c r="ONX44" s="170"/>
      <c r="ONY44" s="172"/>
      <c r="ONZ44" s="170"/>
      <c r="OOA44" s="172"/>
      <c r="OOB44" s="170"/>
      <c r="OOC44" s="172"/>
      <c r="OOD44" s="170"/>
      <c r="OOE44" s="172"/>
      <c r="OOF44" s="170"/>
      <c r="OOG44" s="172"/>
      <c r="OOH44" s="170"/>
      <c r="OOI44" s="172"/>
      <c r="OOJ44" s="170"/>
      <c r="OOK44" s="172"/>
      <c r="OOL44" s="170"/>
      <c r="OOM44" s="172"/>
      <c r="OON44" s="170"/>
      <c r="OOO44" s="172"/>
      <c r="OOP44" s="170"/>
      <c r="OOQ44" s="172"/>
      <c r="OOR44" s="170"/>
      <c r="OOS44" s="172"/>
      <c r="OOT44" s="170"/>
      <c r="OOU44" s="172"/>
      <c r="OOV44" s="170"/>
      <c r="OOW44" s="172"/>
      <c r="OOX44" s="170"/>
      <c r="OOY44" s="172"/>
      <c r="OOZ44" s="170"/>
      <c r="OPA44" s="172"/>
      <c r="OPB44" s="170"/>
      <c r="OPC44" s="172"/>
      <c r="OPD44" s="170"/>
      <c r="OPE44" s="172"/>
      <c r="OPF44" s="170"/>
      <c r="OPG44" s="172"/>
      <c r="OPH44" s="170"/>
      <c r="OPI44" s="172"/>
      <c r="OPJ44" s="170"/>
      <c r="OPK44" s="172"/>
      <c r="OPL44" s="170"/>
      <c r="OPM44" s="172"/>
      <c r="OPN44" s="170"/>
      <c r="OPO44" s="172"/>
      <c r="OPP44" s="170"/>
      <c r="OPQ44" s="172"/>
      <c r="OPR44" s="170"/>
      <c r="OPS44" s="172"/>
      <c r="OPT44" s="170"/>
      <c r="OPU44" s="172"/>
      <c r="OPV44" s="170"/>
      <c r="OPW44" s="172"/>
      <c r="OPX44" s="170"/>
      <c r="OPY44" s="172"/>
      <c r="OPZ44" s="170"/>
      <c r="OQA44" s="172"/>
      <c r="OQB44" s="170"/>
      <c r="OQC44" s="172"/>
      <c r="OQD44" s="170"/>
      <c r="OQE44" s="172"/>
      <c r="OQF44" s="170"/>
      <c r="OQG44" s="172"/>
      <c r="OQH44" s="170"/>
      <c r="OQI44" s="172"/>
      <c r="OQJ44" s="170"/>
      <c r="OQK44" s="172"/>
      <c r="OQL44" s="170"/>
      <c r="OQM44" s="172"/>
      <c r="OQN44" s="170"/>
      <c r="OQO44" s="172"/>
      <c r="OQP44" s="170"/>
      <c r="OQQ44" s="172"/>
      <c r="OQR44" s="170"/>
      <c r="OQS44" s="172"/>
      <c r="OQT44" s="170"/>
      <c r="OQU44" s="172"/>
      <c r="OQV44" s="170"/>
      <c r="OQW44" s="172"/>
      <c r="OQX44" s="170"/>
      <c r="OQY44" s="172"/>
      <c r="OQZ44" s="170"/>
      <c r="ORA44" s="172"/>
      <c r="ORB44" s="170"/>
      <c r="ORC44" s="172"/>
      <c r="ORD44" s="170"/>
      <c r="ORE44" s="172"/>
      <c r="ORF44" s="170"/>
      <c r="ORG44" s="172"/>
      <c r="ORH44" s="170"/>
      <c r="ORI44" s="172"/>
      <c r="ORJ44" s="170"/>
      <c r="ORK44" s="172"/>
      <c r="ORL44" s="170"/>
      <c r="ORM44" s="172"/>
      <c r="ORN44" s="170"/>
      <c r="ORO44" s="172"/>
      <c r="ORP44" s="170"/>
      <c r="ORQ44" s="172"/>
      <c r="ORR44" s="170"/>
      <c r="ORS44" s="172"/>
      <c r="ORT44" s="170"/>
      <c r="ORU44" s="172"/>
      <c r="ORV44" s="170"/>
      <c r="ORW44" s="172"/>
      <c r="ORX44" s="170"/>
      <c r="ORY44" s="172"/>
      <c r="ORZ44" s="170"/>
      <c r="OSA44" s="172"/>
      <c r="OSB44" s="170"/>
      <c r="OSC44" s="172"/>
      <c r="OSD44" s="170"/>
      <c r="OSE44" s="172"/>
      <c r="OSF44" s="170"/>
      <c r="OSG44" s="172"/>
      <c r="OSH44" s="170"/>
      <c r="OSI44" s="172"/>
      <c r="OSJ44" s="170"/>
      <c r="OSK44" s="172"/>
      <c r="OSL44" s="170"/>
      <c r="OSM44" s="172"/>
      <c r="OSN44" s="170"/>
      <c r="OSO44" s="172"/>
      <c r="OSP44" s="170"/>
      <c r="OSQ44" s="172"/>
      <c r="OSR44" s="170"/>
      <c r="OSS44" s="172"/>
      <c r="OST44" s="170"/>
      <c r="OSU44" s="172"/>
      <c r="OSV44" s="170"/>
      <c r="OSW44" s="172"/>
      <c r="OSX44" s="170"/>
      <c r="OSY44" s="172"/>
      <c r="OSZ44" s="170"/>
      <c r="OTA44" s="172"/>
      <c r="OTB44" s="170"/>
      <c r="OTC44" s="172"/>
      <c r="OTD44" s="170"/>
      <c r="OTE44" s="172"/>
      <c r="OTF44" s="170"/>
      <c r="OTG44" s="172"/>
      <c r="OTH44" s="170"/>
      <c r="OTI44" s="172"/>
      <c r="OTJ44" s="170"/>
      <c r="OTK44" s="172"/>
      <c r="OTL44" s="170"/>
      <c r="OTM44" s="172"/>
      <c r="OTN44" s="170"/>
      <c r="OTO44" s="172"/>
      <c r="OTP44" s="170"/>
      <c r="OTQ44" s="172"/>
      <c r="OTR44" s="170"/>
      <c r="OTS44" s="172"/>
      <c r="OTT44" s="170"/>
      <c r="OTU44" s="172"/>
      <c r="OTV44" s="170"/>
      <c r="OTW44" s="172"/>
      <c r="OTX44" s="170"/>
      <c r="OTY44" s="172"/>
      <c r="OTZ44" s="170"/>
      <c r="OUA44" s="172"/>
      <c r="OUB44" s="170"/>
      <c r="OUC44" s="172"/>
      <c r="OUD44" s="170"/>
      <c r="OUE44" s="172"/>
      <c r="OUF44" s="170"/>
      <c r="OUG44" s="172"/>
      <c r="OUH44" s="170"/>
      <c r="OUI44" s="172"/>
      <c r="OUJ44" s="170"/>
      <c r="OUK44" s="172"/>
      <c r="OUL44" s="170"/>
      <c r="OUM44" s="172"/>
      <c r="OUN44" s="170"/>
      <c r="OUO44" s="172"/>
      <c r="OUP44" s="170"/>
      <c r="OUQ44" s="172"/>
      <c r="OUR44" s="170"/>
      <c r="OUS44" s="172"/>
      <c r="OUT44" s="170"/>
      <c r="OUU44" s="172"/>
      <c r="OUV44" s="170"/>
      <c r="OUW44" s="172"/>
      <c r="OUX44" s="170"/>
      <c r="OUY44" s="172"/>
      <c r="OUZ44" s="170"/>
      <c r="OVA44" s="172"/>
      <c r="OVB44" s="170"/>
      <c r="OVC44" s="172"/>
      <c r="OVD44" s="170"/>
      <c r="OVE44" s="172"/>
      <c r="OVF44" s="170"/>
      <c r="OVG44" s="172"/>
      <c r="OVH44" s="170"/>
      <c r="OVI44" s="172"/>
      <c r="OVJ44" s="170"/>
      <c r="OVK44" s="172"/>
      <c r="OVL44" s="170"/>
      <c r="OVM44" s="172"/>
      <c r="OVN44" s="170"/>
      <c r="OVO44" s="172"/>
      <c r="OVP44" s="170"/>
      <c r="OVQ44" s="172"/>
      <c r="OVR44" s="170"/>
      <c r="OVS44" s="172"/>
      <c r="OVT44" s="170"/>
      <c r="OVU44" s="172"/>
      <c r="OVV44" s="170"/>
      <c r="OVW44" s="172"/>
      <c r="OVX44" s="170"/>
      <c r="OVY44" s="172"/>
      <c r="OVZ44" s="170"/>
      <c r="OWA44" s="172"/>
      <c r="OWB44" s="170"/>
      <c r="OWC44" s="172"/>
      <c r="OWD44" s="170"/>
      <c r="OWE44" s="172"/>
      <c r="OWF44" s="170"/>
      <c r="OWG44" s="172"/>
      <c r="OWH44" s="170"/>
      <c r="OWI44" s="172"/>
      <c r="OWJ44" s="170"/>
      <c r="OWK44" s="172"/>
      <c r="OWL44" s="170"/>
      <c r="OWM44" s="172"/>
      <c r="OWN44" s="170"/>
      <c r="OWO44" s="172"/>
      <c r="OWP44" s="170"/>
      <c r="OWQ44" s="172"/>
      <c r="OWR44" s="170"/>
      <c r="OWS44" s="172"/>
      <c r="OWT44" s="170"/>
      <c r="OWU44" s="172"/>
      <c r="OWV44" s="170"/>
      <c r="OWW44" s="172"/>
      <c r="OWX44" s="170"/>
      <c r="OWY44" s="172"/>
      <c r="OWZ44" s="170"/>
      <c r="OXA44" s="172"/>
      <c r="OXB44" s="170"/>
      <c r="OXC44" s="172"/>
      <c r="OXD44" s="170"/>
      <c r="OXE44" s="172"/>
      <c r="OXF44" s="170"/>
      <c r="OXG44" s="172"/>
      <c r="OXH44" s="170"/>
      <c r="OXI44" s="172"/>
      <c r="OXJ44" s="170"/>
      <c r="OXK44" s="172"/>
      <c r="OXL44" s="170"/>
      <c r="OXM44" s="172"/>
      <c r="OXN44" s="170"/>
      <c r="OXO44" s="172"/>
      <c r="OXP44" s="170"/>
      <c r="OXQ44" s="172"/>
      <c r="OXR44" s="170"/>
      <c r="OXS44" s="172"/>
      <c r="OXT44" s="170"/>
      <c r="OXU44" s="172"/>
      <c r="OXV44" s="170"/>
      <c r="OXW44" s="172"/>
      <c r="OXX44" s="170"/>
      <c r="OXY44" s="172"/>
      <c r="OXZ44" s="170"/>
      <c r="OYA44" s="172"/>
      <c r="OYB44" s="170"/>
      <c r="OYC44" s="172"/>
      <c r="OYD44" s="170"/>
      <c r="OYE44" s="172"/>
      <c r="OYF44" s="170"/>
      <c r="OYG44" s="172"/>
      <c r="OYH44" s="170"/>
      <c r="OYI44" s="172"/>
      <c r="OYJ44" s="170"/>
      <c r="OYK44" s="172"/>
      <c r="OYL44" s="170"/>
      <c r="OYM44" s="172"/>
      <c r="OYN44" s="170"/>
      <c r="OYO44" s="172"/>
      <c r="OYP44" s="170"/>
      <c r="OYQ44" s="172"/>
      <c r="OYR44" s="170"/>
      <c r="OYS44" s="172"/>
      <c r="OYT44" s="170"/>
      <c r="OYU44" s="172"/>
      <c r="OYV44" s="170"/>
      <c r="OYW44" s="172"/>
      <c r="OYX44" s="170"/>
      <c r="OYY44" s="172"/>
      <c r="OYZ44" s="170"/>
      <c r="OZA44" s="172"/>
      <c r="OZB44" s="170"/>
      <c r="OZC44" s="172"/>
      <c r="OZD44" s="170"/>
      <c r="OZE44" s="172"/>
      <c r="OZF44" s="170"/>
      <c r="OZG44" s="172"/>
      <c r="OZH44" s="170"/>
      <c r="OZI44" s="172"/>
      <c r="OZJ44" s="170"/>
      <c r="OZK44" s="172"/>
      <c r="OZL44" s="170"/>
      <c r="OZM44" s="172"/>
      <c r="OZN44" s="170"/>
      <c r="OZO44" s="172"/>
      <c r="OZP44" s="170"/>
      <c r="OZQ44" s="172"/>
      <c r="OZR44" s="170"/>
      <c r="OZS44" s="172"/>
      <c r="OZT44" s="170"/>
      <c r="OZU44" s="172"/>
      <c r="OZV44" s="170"/>
      <c r="OZW44" s="172"/>
      <c r="OZX44" s="170"/>
      <c r="OZY44" s="172"/>
      <c r="OZZ44" s="170"/>
      <c r="PAA44" s="172"/>
      <c r="PAB44" s="170"/>
      <c r="PAC44" s="172"/>
      <c r="PAD44" s="170"/>
      <c r="PAE44" s="172"/>
      <c r="PAF44" s="170"/>
      <c r="PAG44" s="172"/>
      <c r="PAH44" s="170"/>
      <c r="PAI44" s="172"/>
      <c r="PAJ44" s="170"/>
      <c r="PAK44" s="172"/>
      <c r="PAL44" s="170"/>
      <c r="PAM44" s="172"/>
      <c r="PAN44" s="170"/>
      <c r="PAO44" s="172"/>
      <c r="PAP44" s="170"/>
      <c r="PAQ44" s="172"/>
      <c r="PAR44" s="170"/>
      <c r="PAS44" s="172"/>
      <c r="PAT44" s="170"/>
      <c r="PAU44" s="172"/>
      <c r="PAV44" s="170"/>
      <c r="PAW44" s="172"/>
      <c r="PAX44" s="170"/>
      <c r="PAY44" s="172"/>
      <c r="PAZ44" s="170"/>
      <c r="PBA44" s="172"/>
      <c r="PBB44" s="170"/>
      <c r="PBC44" s="172"/>
      <c r="PBD44" s="170"/>
      <c r="PBE44" s="172"/>
      <c r="PBF44" s="170"/>
      <c r="PBG44" s="172"/>
      <c r="PBH44" s="170"/>
      <c r="PBI44" s="172"/>
      <c r="PBJ44" s="170"/>
      <c r="PBK44" s="172"/>
      <c r="PBL44" s="170"/>
      <c r="PBM44" s="172"/>
      <c r="PBN44" s="170"/>
      <c r="PBO44" s="172"/>
      <c r="PBP44" s="170"/>
      <c r="PBQ44" s="172"/>
      <c r="PBR44" s="170"/>
      <c r="PBS44" s="172"/>
      <c r="PBT44" s="170"/>
      <c r="PBU44" s="172"/>
      <c r="PBV44" s="170"/>
      <c r="PBW44" s="172"/>
      <c r="PBX44" s="170"/>
      <c r="PBY44" s="172"/>
      <c r="PBZ44" s="170"/>
      <c r="PCA44" s="172"/>
      <c r="PCB44" s="170"/>
      <c r="PCC44" s="172"/>
      <c r="PCD44" s="170"/>
      <c r="PCE44" s="172"/>
      <c r="PCF44" s="170"/>
      <c r="PCG44" s="172"/>
      <c r="PCH44" s="170"/>
      <c r="PCI44" s="172"/>
      <c r="PCJ44" s="170"/>
      <c r="PCK44" s="172"/>
      <c r="PCL44" s="170"/>
      <c r="PCM44" s="172"/>
      <c r="PCN44" s="170"/>
      <c r="PCO44" s="172"/>
      <c r="PCP44" s="170"/>
      <c r="PCQ44" s="172"/>
      <c r="PCR44" s="170"/>
      <c r="PCS44" s="172"/>
      <c r="PCT44" s="170"/>
      <c r="PCU44" s="172"/>
      <c r="PCV44" s="170"/>
      <c r="PCW44" s="172"/>
      <c r="PCX44" s="170"/>
      <c r="PCY44" s="172"/>
      <c r="PCZ44" s="170"/>
      <c r="PDA44" s="172"/>
      <c r="PDB44" s="170"/>
      <c r="PDC44" s="172"/>
      <c r="PDD44" s="170"/>
      <c r="PDE44" s="172"/>
      <c r="PDF44" s="170"/>
      <c r="PDG44" s="172"/>
      <c r="PDH44" s="170"/>
      <c r="PDI44" s="172"/>
      <c r="PDJ44" s="170"/>
      <c r="PDK44" s="172"/>
      <c r="PDL44" s="170"/>
      <c r="PDM44" s="172"/>
      <c r="PDN44" s="170"/>
      <c r="PDO44" s="172"/>
      <c r="PDP44" s="170"/>
      <c r="PDQ44" s="172"/>
      <c r="PDR44" s="170"/>
      <c r="PDS44" s="172"/>
      <c r="PDT44" s="170"/>
      <c r="PDU44" s="172"/>
      <c r="PDV44" s="170"/>
      <c r="PDW44" s="172"/>
      <c r="PDX44" s="170"/>
      <c r="PDY44" s="172"/>
      <c r="PDZ44" s="170"/>
      <c r="PEA44" s="172"/>
      <c r="PEB44" s="170"/>
      <c r="PEC44" s="172"/>
      <c r="PED44" s="170"/>
      <c r="PEE44" s="172"/>
      <c r="PEF44" s="170"/>
      <c r="PEG44" s="172"/>
      <c r="PEH44" s="170"/>
      <c r="PEI44" s="172"/>
      <c r="PEJ44" s="170"/>
      <c r="PEK44" s="172"/>
      <c r="PEL44" s="170"/>
      <c r="PEM44" s="172"/>
      <c r="PEN44" s="170"/>
      <c r="PEO44" s="172"/>
      <c r="PEP44" s="170"/>
      <c r="PEQ44" s="172"/>
      <c r="PER44" s="170"/>
      <c r="PES44" s="172"/>
      <c r="PET44" s="170"/>
      <c r="PEU44" s="172"/>
      <c r="PEV44" s="170"/>
      <c r="PEW44" s="172"/>
      <c r="PEX44" s="170"/>
      <c r="PEY44" s="172"/>
      <c r="PEZ44" s="170"/>
      <c r="PFA44" s="172"/>
      <c r="PFB44" s="170"/>
      <c r="PFC44" s="172"/>
      <c r="PFD44" s="170"/>
      <c r="PFE44" s="172"/>
      <c r="PFF44" s="170"/>
      <c r="PFG44" s="172"/>
      <c r="PFH44" s="170"/>
      <c r="PFI44" s="172"/>
      <c r="PFJ44" s="170"/>
      <c r="PFK44" s="172"/>
      <c r="PFL44" s="170"/>
      <c r="PFM44" s="172"/>
      <c r="PFN44" s="170"/>
      <c r="PFO44" s="172"/>
      <c r="PFP44" s="170"/>
      <c r="PFQ44" s="172"/>
      <c r="PFR44" s="170"/>
      <c r="PFS44" s="172"/>
      <c r="PFT44" s="170"/>
      <c r="PFU44" s="172"/>
      <c r="PFV44" s="170"/>
      <c r="PFW44" s="172"/>
      <c r="PFX44" s="170"/>
      <c r="PFY44" s="172"/>
      <c r="PFZ44" s="170"/>
      <c r="PGA44" s="172"/>
      <c r="PGB44" s="170"/>
      <c r="PGC44" s="172"/>
      <c r="PGD44" s="170"/>
      <c r="PGE44" s="172"/>
      <c r="PGF44" s="170"/>
      <c r="PGG44" s="172"/>
      <c r="PGH44" s="170"/>
      <c r="PGI44" s="172"/>
      <c r="PGJ44" s="170"/>
      <c r="PGK44" s="172"/>
      <c r="PGL44" s="170"/>
      <c r="PGM44" s="172"/>
      <c r="PGN44" s="170"/>
      <c r="PGO44" s="172"/>
      <c r="PGP44" s="170"/>
      <c r="PGQ44" s="172"/>
      <c r="PGR44" s="170"/>
      <c r="PGS44" s="172"/>
      <c r="PGT44" s="170"/>
      <c r="PGU44" s="172"/>
      <c r="PGV44" s="170"/>
      <c r="PGW44" s="172"/>
      <c r="PGX44" s="170"/>
      <c r="PGY44" s="172"/>
      <c r="PGZ44" s="170"/>
      <c r="PHA44" s="172"/>
      <c r="PHB44" s="170"/>
      <c r="PHC44" s="172"/>
      <c r="PHD44" s="170"/>
      <c r="PHE44" s="172"/>
      <c r="PHF44" s="170"/>
      <c r="PHG44" s="172"/>
      <c r="PHH44" s="170"/>
      <c r="PHI44" s="172"/>
      <c r="PHJ44" s="170"/>
      <c r="PHK44" s="172"/>
      <c r="PHL44" s="170"/>
      <c r="PHM44" s="172"/>
      <c r="PHN44" s="170"/>
      <c r="PHO44" s="172"/>
      <c r="PHP44" s="170"/>
      <c r="PHQ44" s="172"/>
      <c r="PHR44" s="170"/>
      <c r="PHS44" s="172"/>
      <c r="PHT44" s="170"/>
      <c r="PHU44" s="172"/>
      <c r="PHV44" s="170"/>
      <c r="PHW44" s="172"/>
      <c r="PHX44" s="170"/>
      <c r="PHY44" s="172"/>
      <c r="PHZ44" s="170"/>
      <c r="PIA44" s="172"/>
      <c r="PIB44" s="170"/>
      <c r="PIC44" s="172"/>
      <c r="PID44" s="170"/>
      <c r="PIE44" s="172"/>
      <c r="PIF44" s="170"/>
      <c r="PIG44" s="172"/>
      <c r="PIH44" s="170"/>
      <c r="PII44" s="172"/>
      <c r="PIJ44" s="170"/>
      <c r="PIK44" s="172"/>
      <c r="PIL44" s="170"/>
      <c r="PIM44" s="172"/>
      <c r="PIN44" s="170"/>
      <c r="PIO44" s="172"/>
      <c r="PIP44" s="170"/>
      <c r="PIQ44" s="172"/>
      <c r="PIR44" s="170"/>
      <c r="PIS44" s="172"/>
      <c r="PIT44" s="170"/>
      <c r="PIU44" s="172"/>
      <c r="PIV44" s="170"/>
      <c r="PIW44" s="172"/>
      <c r="PIX44" s="170"/>
      <c r="PIY44" s="172"/>
      <c r="PIZ44" s="170"/>
      <c r="PJA44" s="172"/>
      <c r="PJB44" s="170"/>
      <c r="PJC44" s="172"/>
      <c r="PJD44" s="170"/>
      <c r="PJE44" s="172"/>
      <c r="PJF44" s="170"/>
      <c r="PJG44" s="172"/>
      <c r="PJH44" s="170"/>
      <c r="PJI44" s="172"/>
      <c r="PJJ44" s="170"/>
      <c r="PJK44" s="172"/>
      <c r="PJL44" s="170"/>
      <c r="PJM44" s="172"/>
      <c r="PJN44" s="170"/>
      <c r="PJO44" s="172"/>
      <c r="PJP44" s="170"/>
      <c r="PJQ44" s="172"/>
      <c r="PJR44" s="170"/>
      <c r="PJS44" s="172"/>
      <c r="PJT44" s="170"/>
      <c r="PJU44" s="172"/>
      <c r="PJV44" s="170"/>
      <c r="PJW44" s="172"/>
      <c r="PJX44" s="170"/>
      <c r="PJY44" s="172"/>
      <c r="PJZ44" s="170"/>
      <c r="PKA44" s="172"/>
      <c r="PKB44" s="170"/>
      <c r="PKC44" s="172"/>
      <c r="PKD44" s="170"/>
      <c r="PKE44" s="172"/>
      <c r="PKF44" s="170"/>
      <c r="PKG44" s="172"/>
      <c r="PKH44" s="170"/>
      <c r="PKI44" s="172"/>
      <c r="PKJ44" s="170"/>
      <c r="PKK44" s="172"/>
      <c r="PKL44" s="170"/>
      <c r="PKM44" s="172"/>
      <c r="PKN44" s="170"/>
      <c r="PKO44" s="172"/>
      <c r="PKP44" s="170"/>
      <c r="PKQ44" s="172"/>
      <c r="PKR44" s="170"/>
      <c r="PKS44" s="172"/>
      <c r="PKT44" s="170"/>
      <c r="PKU44" s="172"/>
      <c r="PKV44" s="170"/>
      <c r="PKW44" s="172"/>
      <c r="PKX44" s="170"/>
      <c r="PKY44" s="172"/>
      <c r="PKZ44" s="170"/>
      <c r="PLA44" s="172"/>
      <c r="PLB44" s="170"/>
      <c r="PLC44" s="172"/>
      <c r="PLD44" s="170"/>
      <c r="PLE44" s="172"/>
      <c r="PLF44" s="170"/>
      <c r="PLG44" s="172"/>
      <c r="PLH44" s="170"/>
      <c r="PLI44" s="172"/>
      <c r="PLJ44" s="170"/>
      <c r="PLK44" s="172"/>
      <c r="PLL44" s="170"/>
      <c r="PLM44" s="172"/>
      <c r="PLN44" s="170"/>
      <c r="PLO44" s="172"/>
      <c r="PLP44" s="170"/>
      <c r="PLQ44" s="172"/>
      <c r="PLR44" s="170"/>
      <c r="PLS44" s="172"/>
      <c r="PLT44" s="170"/>
      <c r="PLU44" s="172"/>
      <c r="PLV44" s="170"/>
      <c r="PLW44" s="172"/>
      <c r="PLX44" s="170"/>
      <c r="PLY44" s="172"/>
      <c r="PLZ44" s="170"/>
      <c r="PMA44" s="172"/>
      <c r="PMB44" s="170"/>
      <c r="PMC44" s="172"/>
      <c r="PMD44" s="170"/>
      <c r="PME44" s="172"/>
      <c r="PMF44" s="170"/>
      <c r="PMG44" s="172"/>
      <c r="PMH44" s="170"/>
      <c r="PMI44" s="172"/>
      <c r="PMJ44" s="170"/>
      <c r="PMK44" s="172"/>
      <c r="PML44" s="170"/>
      <c r="PMM44" s="172"/>
      <c r="PMN44" s="170"/>
      <c r="PMO44" s="172"/>
      <c r="PMP44" s="170"/>
      <c r="PMQ44" s="172"/>
      <c r="PMR44" s="170"/>
      <c r="PMS44" s="172"/>
      <c r="PMT44" s="170"/>
      <c r="PMU44" s="172"/>
      <c r="PMV44" s="170"/>
      <c r="PMW44" s="172"/>
      <c r="PMX44" s="170"/>
      <c r="PMY44" s="172"/>
      <c r="PMZ44" s="170"/>
      <c r="PNA44" s="172"/>
      <c r="PNB44" s="170"/>
      <c r="PNC44" s="172"/>
      <c r="PND44" s="170"/>
      <c r="PNE44" s="172"/>
      <c r="PNF44" s="170"/>
      <c r="PNG44" s="172"/>
      <c r="PNH44" s="170"/>
      <c r="PNI44" s="172"/>
      <c r="PNJ44" s="170"/>
      <c r="PNK44" s="172"/>
      <c r="PNL44" s="170"/>
      <c r="PNM44" s="172"/>
      <c r="PNN44" s="170"/>
      <c r="PNO44" s="172"/>
      <c r="PNP44" s="170"/>
      <c r="PNQ44" s="172"/>
      <c r="PNR44" s="170"/>
      <c r="PNS44" s="172"/>
      <c r="PNT44" s="170"/>
      <c r="PNU44" s="172"/>
      <c r="PNV44" s="170"/>
      <c r="PNW44" s="172"/>
      <c r="PNX44" s="170"/>
      <c r="PNY44" s="172"/>
      <c r="PNZ44" s="170"/>
      <c r="POA44" s="172"/>
      <c r="POB44" s="170"/>
      <c r="POC44" s="172"/>
      <c r="POD44" s="170"/>
      <c r="POE44" s="172"/>
      <c r="POF44" s="170"/>
      <c r="POG44" s="172"/>
      <c r="POH44" s="170"/>
      <c r="POI44" s="172"/>
      <c r="POJ44" s="170"/>
      <c r="POK44" s="172"/>
      <c r="POL44" s="170"/>
      <c r="POM44" s="172"/>
      <c r="PON44" s="170"/>
      <c r="POO44" s="172"/>
      <c r="POP44" s="170"/>
      <c r="POQ44" s="172"/>
      <c r="POR44" s="170"/>
      <c r="POS44" s="172"/>
      <c r="POT44" s="170"/>
      <c r="POU44" s="172"/>
      <c r="POV44" s="170"/>
      <c r="POW44" s="172"/>
      <c r="POX44" s="170"/>
      <c r="POY44" s="172"/>
      <c r="POZ44" s="170"/>
      <c r="PPA44" s="172"/>
      <c r="PPB44" s="170"/>
      <c r="PPC44" s="172"/>
      <c r="PPD44" s="170"/>
      <c r="PPE44" s="172"/>
      <c r="PPF44" s="170"/>
      <c r="PPG44" s="172"/>
      <c r="PPH44" s="170"/>
      <c r="PPI44" s="172"/>
      <c r="PPJ44" s="170"/>
      <c r="PPK44" s="172"/>
      <c r="PPL44" s="170"/>
      <c r="PPM44" s="172"/>
      <c r="PPN44" s="170"/>
      <c r="PPO44" s="172"/>
      <c r="PPP44" s="170"/>
      <c r="PPQ44" s="172"/>
      <c r="PPR44" s="170"/>
      <c r="PPS44" s="172"/>
      <c r="PPT44" s="170"/>
      <c r="PPU44" s="172"/>
      <c r="PPV44" s="170"/>
      <c r="PPW44" s="172"/>
      <c r="PPX44" s="170"/>
      <c r="PPY44" s="172"/>
      <c r="PPZ44" s="170"/>
      <c r="PQA44" s="172"/>
      <c r="PQB44" s="170"/>
      <c r="PQC44" s="172"/>
      <c r="PQD44" s="170"/>
      <c r="PQE44" s="172"/>
      <c r="PQF44" s="170"/>
      <c r="PQG44" s="172"/>
      <c r="PQH44" s="170"/>
      <c r="PQI44" s="172"/>
      <c r="PQJ44" s="170"/>
      <c r="PQK44" s="172"/>
      <c r="PQL44" s="170"/>
      <c r="PQM44" s="172"/>
      <c r="PQN44" s="170"/>
      <c r="PQO44" s="172"/>
      <c r="PQP44" s="170"/>
      <c r="PQQ44" s="172"/>
      <c r="PQR44" s="170"/>
      <c r="PQS44" s="172"/>
      <c r="PQT44" s="170"/>
      <c r="PQU44" s="172"/>
      <c r="PQV44" s="170"/>
      <c r="PQW44" s="172"/>
      <c r="PQX44" s="170"/>
      <c r="PQY44" s="172"/>
      <c r="PQZ44" s="170"/>
      <c r="PRA44" s="172"/>
      <c r="PRB44" s="170"/>
      <c r="PRC44" s="172"/>
      <c r="PRD44" s="170"/>
      <c r="PRE44" s="172"/>
      <c r="PRF44" s="170"/>
      <c r="PRG44" s="172"/>
      <c r="PRH44" s="170"/>
      <c r="PRI44" s="172"/>
      <c r="PRJ44" s="170"/>
      <c r="PRK44" s="172"/>
      <c r="PRL44" s="170"/>
      <c r="PRM44" s="172"/>
      <c r="PRN44" s="170"/>
      <c r="PRO44" s="172"/>
      <c r="PRP44" s="170"/>
      <c r="PRQ44" s="172"/>
      <c r="PRR44" s="170"/>
      <c r="PRS44" s="172"/>
      <c r="PRT44" s="170"/>
      <c r="PRU44" s="172"/>
      <c r="PRV44" s="170"/>
      <c r="PRW44" s="172"/>
      <c r="PRX44" s="170"/>
      <c r="PRY44" s="172"/>
      <c r="PRZ44" s="170"/>
      <c r="PSA44" s="172"/>
      <c r="PSB44" s="170"/>
      <c r="PSC44" s="172"/>
      <c r="PSD44" s="170"/>
      <c r="PSE44" s="172"/>
      <c r="PSF44" s="170"/>
      <c r="PSG44" s="172"/>
      <c r="PSH44" s="170"/>
      <c r="PSI44" s="172"/>
      <c r="PSJ44" s="170"/>
      <c r="PSK44" s="172"/>
      <c r="PSL44" s="170"/>
      <c r="PSM44" s="172"/>
      <c r="PSN44" s="170"/>
      <c r="PSO44" s="172"/>
      <c r="PSP44" s="170"/>
      <c r="PSQ44" s="172"/>
      <c r="PSR44" s="170"/>
      <c r="PSS44" s="172"/>
      <c r="PST44" s="170"/>
      <c r="PSU44" s="172"/>
      <c r="PSV44" s="170"/>
      <c r="PSW44" s="172"/>
      <c r="PSX44" s="170"/>
      <c r="PSY44" s="172"/>
      <c r="PSZ44" s="170"/>
      <c r="PTA44" s="172"/>
      <c r="PTB44" s="170"/>
      <c r="PTC44" s="172"/>
      <c r="PTD44" s="170"/>
      <c r="PTE44" s="172"/>
      <c r="PTF44" s="170"/>
      <c r="PTG44" s="172"/>
      <c r="PTH44" s="170"/>
      <c r="PTI44" s="172"/>
      <c r="PTJ44" s="170"/>
      <c r="PTK44" s="172"/>
      <c r="PTL44" s="170"/>
      <c r="PTM44" s="172"/>
      <c r="PTN44" s="170"/>
      <c r="PTO44" s="172"/>
      <c r="PTP44" s="170"/>
      <c r="PTQ44" s="172"/>
      <c r="PTR44" s="170"/>
      <c r="PTS44" s="172"/>
      <c r="PTT44" s="170"/>
      <c r="PTU44" s="172"/>
      <c r="PTV44" s="170"/>
      <c r="PTW44" s="172"/>
      <c r="PTX44" s="170"/>
      <c r="PTY44" s="172"/>
      <c r="PTZ44" s="170"/>
      <c r="PUA44" s="172"/>
      <c r="PUB44" s="170"/>
      <c r="PUC44" s="172"/>
      <c r="PUD44" s="170"/>
      <c r="PUE44" s="172"/>
      <c r="PUF44" s="170"/>
      <c r="PUG44" s="172"/>
      <c r="PUH44" s="170"/>
      <c r="PUI44" s="172"/>
      <c r="PUJ44" s="170"/>
      <c r="PUK44" s="172"/>
      <c r="PUL44" s="170"/>
      <c r="PUM44" s="172"/>
      <c r="PUN44" s="170"/>
      <c r="PUO44" s="172"/>
      <c r="PUP44" s="170"/>
      <c r="PUQ44" s="172"/>
      <c r="PUR44" s="170"/>
      <c r="PUS44" s="172"/>
      <c r="PUT44" s="170"/>
      <c r="PUU44" s="172"/>
      <c r="PUV44" s="170"/>
      <c r="PUW44" s="172"/>
      <c r="PUX44" s="170"/>
      <c r="PUY44" s="172"/>
      <c r="PUZ44" s="170"/>
      <c r="PVA44" s="172"/>
      <c r="PVB44" s="170"/>
      <c r="PVC44" s="172"/>
      <c r="PVD44" s="170"/>
      <c r="PVE44" s="172"/>
      <c r="PVF44" s="170"/>
      <c r="PVG44" s="172"/>
      <c r="PVH44" s="170"/>
      <c r="PVI44" s="172"/>
      <c r="PVJ44" s="170"/>
      <c r="PVK44" s="172"/>
      <c r="PVL44" s="170"/>
      <c r="PVM44" s="172"/>
      <c r="PVN44" s="170"/>
      <c r="PVO44" s="172"/>
      <c r="PVP44" s="170"/>
      <c r="PVQ44" s="172"/>
      <c r="PVR44" s="170"/>
      <c r="PVS44" s="172"/>
      <c r="PVT44" s="170"/>
      <c r="PVU44" s="172"/>
      <c r="PVV44" s="170"/>
      <c r="PVW44" s="172"/>
      <c r="PVX44" s="170"/>
      <c r="PVY44" s="172"/>
      <c r="PVZ44" s="170"/>
      <c r="PWA44" s="172"/>
      <c r="PWB44" s="170"/>
      <c r="PWC44" s="172"/>
      <c r="PWD44" s="170"/>
      <c r="PWE44" s="172"/>
      <c r="PWF44" s="170"/>
      <c r="PWG44" s="172"/>
      <c r="PWH44" s="170"/>
      <c r="PWI44" s="172"/>
      <c r="PWJ44" s="170"/>
      <c r="PWK44" s="172"/>
      <c r="PWL44" s="170"/>
      <c r="PWM44" s="172"/>
      <c r="PWN44" s="170"/>
      <c r="PWO44" s="172"/>
      <c r="PWP44" s="170"/>
      <c r="PWQ44" s="172"/>
      <c r="PWR44" s="170"/>
      <c r="PWS44" s="172"/>
      <c r="PWT44" s="170"/>
      <c r="PWU44" s="172"/>
      <c r="PWV44" s="170"/>
      <c r="PWW44" s="172"/>
      <c r="PWX44" s="170"/>
      <c r="PWY44" s="172"/>
      <c r="PWZ44" s="170"/>
      <c r="PXA44" s="172"/>
      <c r="PXB44" s="170"/>
      <c r="PXC44" s="172"/>
      <c r="PXD44" s="170"/>
      <c r="PXE44" s="172"/>
      <c r="PXF44" s="170"/>
      <c r="PXG44" s="172"/>
      <c r="PXH44" s="170"/>
      <c r="PXI44" s="172"/>
      <c r="PXJ44" s="170"/>
      <c r="PXK44" s="172"/>
      <c r="PXL44" s="170"/>
      <c r="PXM44" s="172"/>
      <c r="PXN44" s="170"/>
      <c r="PXO44" s="172"/>
      <c r="PXP44" s="170"/>
      <c r="PXQ44" s="172"/>
      <c r="PXR44" s="170"/>
      <c r="PXS44" s="172"/>
      <c r="PXT44" s="170"/>
      <c r="PXU44" s="172"/>
      <c r="PXV44" s="170"/>
      <c r="PXW44" s="172"/>
      <c r="PXX44" s="170"/>
      <c r="PXY44" s="172"/>
      <c r="PXZ44" s="170"/>
      <c r="PYA44" s="172"/>
      <c r="PYB44" s="170"/>
      <c r="PYC44" s="172"/>
      <c r="PYD44" s="170"/>
      <c r="PYE44" s="172"/>
      <c r="PYF44" s="170"/>
      <c r="PYG44" s="172"/>
      <c r="PYH44" s="170"/>
      <c r="PYI44" s="172"/>
      <c r="PYJ44" s="170"/>
      <c r="PYK44" s="172"/>
      <c r="PYL44" s="170"/>
      <c r="PYM44" s="172"/>
      <c r="PYN44" s="170"/>
      <c r="PYO44" s="172"/>
      <c r="PYP44" s="170"/>
      <c r="PYQ44" s="172"/>
      <c r="PYR44" s="170"/>
      <c r="PYS44" s="172"/>
      <c r="PYT44" s="170"/>
      <c r="PYU44" s="172"/>
      <c r="PYV44" s="170"/>
      <c r="PYW44" s="172"/>
      <c r="PYX44" s="170"/>
      <c r="PYY44" s="172"/>
      <c r="PYZ44" s="170"/>
      <c r="PZA44" s="172"/>
      <c r="PZB44" s="170"/>
      <c r="PZC44" s="172"/>
      <c r="PZD44" s="170"/>
      <c r="PZE44" s="172"/>
      <c r="PZF44" s="170"/>
      <c r="PZG44" s="172"/>
      <c r="PZH44" s="170"/>
      <c r="PZI44" s="172"/>
      <c r="PZJ44" s="170"/>
      <c r="PZK44" s="172"/>
      <c r="PZL44" s="170"/>
      <c r="PZM44" s="172"/>
      <c r="PZN44" s="170"/>
      <c r="PZO44" s="172"/>
      <c r="PZP44" s="170"/>
      <c r="PZQ44" s="172"/>
      <c r="PZR44" s="170"/>
      <c r="PZS44" s="172"/>
      <c r="PZT44" s="170"/>
      <c r="PZU44" s="172"/>
      <c r="PZV44" s="170"/>
      <c r="PZW44" s="172"/>
      <c r="PZX44" s="170"/>
      <c r="PZY44" s="172"/>
      <c r="PZZ44" s="170"/>
      <c r="QAA44" s="172"/>
      <c r="QAB44" s="170"/>
      <c r="QAC44" s="172"/>
      <c r="QAD44" s="170"/>
      <c r="QAE44" s="172"/>
      <c r="QAF44" s="170"/>
      <c r="QAG44" s="172"/>
      <c r="QAH44" s="170"/>
      <c r="QAI44" s="172"/>
      <c r="QAJ44" s="170"/>
      <c r="QAK44" s="172"/>
      <c r="QAL44" s="170"/>
      <c r="QAM44" s="172"/>
      <c r="QAN44" s="170"/>
      <c r="QAO44" s="172"/>
      <c r="QAP44" s="170"/>
      <c r="QAQ44" s="172"/>
      <c r="QAR44" s="170"/>
      <c r="QAS44" s="172"/>
      <c r="QAT44" s="170"/>
      <c r="QAU44" s="172"/>
      <c r="QAV44" s="170"/>
      <c r="QAW44" s="172"/>
      <c r="QAX44" s="170"/>
      <c r="QAY44" s="172"/>
      <c r="QAZ44" s="170"/>
      <c r="QBA44" s="172"/>
      <c r="QBB44" s="170"/>
      <c r="QBC44" s="172"/>
      <c r="QBD44" s="170"/>
      <c r="QBE44" s="172"/>
      <c r="QBF44" s="170"/>
      <c r="QBG44" s="172"/>
      <c r="QBH44" s="170"/>
      <c r="QBI44" s="172"/>
      <c r="QBJ44" s="170"/>
      <c r="QBK44" s="172"/>
      <c r="QBL44" s="170"/>
      <c r="QBM44" s="172"/>
      <c r="QBN44" s="170"/>
      <c r="QBO44" s="172"/>
      <c r="QBP44" s="170"/>
      <c r="QBQ44" s="172"/>
      <c r="QBR44" s="170"/>
      <c r="QBS44" s="172"/>
      <c r="QBT44" s="170"/>
      <c r="QBU44" s="172"/>
      <c r="QBV44" s="170"/>
      <c r="QBW44" s="172"/>
      <c r="QBX44" s="170"/>
      <c r="QBY44" s="172"/>
      <c r="QBZ44" s="170"/>
      <c r="QCA44" s="172"/>
      <c r="QCB44" s="170"/>
      <c r="QCC44" s="172"/>
      <c r="QCD44" s="170"/>
      <c r="QCE44" s="172"/>
      <c r="QCF44" s="170"/>
      <c r="QCG44" s="172"/>
      <c r="QCH44" s="170"/>
      <c r="QCI44" s="172"/>
      <c r="QCJ44" s="170"/>
      <c r="QCK44" s="172"/>
      <c r="QCL44" s="170"/>
      <c r="QCM44" s="172"/>
      <c r="QCN44" s="170"/>
      <c r="QCO44" s="172"/>
      <c r="QCP44" s="170"/>
      <c r="QCQ44" s="172"/>
      <c r="QCR44" s="170"/>
      <c r="QCS44" s="172"/>
      <c r="QCT44" s="170"/>
      <c r="QCU44" s="172"/>
      <c r="QCV44" s="170"/>
      <c r="QCW44" s="172"/>
      <c r="QCX44" s="170"/>
      <c r="QCY44" s="172"/>
      <c r="QCZ44" s="170"/>
      <c r="QDA44" s="172"/>
      <c r="QDB44" s="170"/>
      <c r="QDC44" s="172"/>
      <c r="QDD44" s="170"/>
      <c r="QDE44" s="172"/>
      <c r="QDF44" s="170"/>
      <c r="QDG44" s="172"/>
      <c r="QDH44" s="170"/>
      <c r="QDI44" s="172"/>
      <c r="QDJ44" s="170"/>
      <c r="QDK44" s="172"/>
      <c r="QDL44" s="170"/>
      <c r="QDM44" s="172"/>
      <c r="QDN44" s="170"/>
      <c r="QDO44" s="172"/>
      <c r="QDP44" s="170"/>
      <c r="QDQ44" s="172"/>
      <c r="QDR44" s="170"/>
      <c r="QDS44" s="172"/>
      <c r="QDT44" s="170"/>
      <c r="QDU44" s="172"/>
      <c r="QDV44" s="170"/>
      <c r="QDW44" s="172"/>
      <c r="QDX44" s="170"/>
      <c r="QDY44" s="172"/>
      <c r="QDZ44" s="170"/>
      <c r="QEA44" s="172"/>
      <c r="QEB44" s="170"/>
      <c r="QEC44" s="172"/>
      <c r="QED44" s="170"/>
      <c r="QEE44" s="172"/>
      <c r="QEF44" s="170"/>
      <c r="QEG44" s="172"/>
      <c r="QEH44" s="170"/>
      <c r="QEI44" s="172"/>
      <c r="QEJ44" s="170"/>
      <c r="QEK44" s="172"/>
      <c r="QEL44" s="170"/>
      <c r="QEM44" s="172"/>
      <c r="QEN44" s="170"/>
      <c r="QEO44" s="172"/>
      <c r="QEP44" s="170"/>
      <c r="QEQ44" s="172"/>
      <c r="QER44" s="170"/>
      <c r="QES44" s="172"/>
      <c r="QET44" s="170"/>
      <c r="QEU44" s="172"/>
      <c r="QEV44" s="170"/>
      <c r="QEW44" s="172"/>
      <c r="QEX44" s="170"/>
      <c r="QEY44" s="172"/>
      <c r="QEZ44" s="170"/>
      <c r="QFA44" s="172"/>
      <c r="QFB44" s="170"/>
      <c r="QFC44" s="172"/>
      <c r="QFD44" s="170"/>
      <c r="QFE44" s="172"/>
      <c r="QFF44" s="170"/>
      <c r="QFG44" s="172"/>
      <c r="QFH44" s="170"/>
      <c r="QFI44" s="172"/>
      <c r="QFJ44" s="170"/>
      <c r="QFK44" s="172"/>
      <c r="QFL44" s="170"/>
      <c r="QFM44" s="172"/>
      <c r="QFN44" s="170"/>
      <c r="QFO44" s="172"/>
      <c r="QFP44" s="170"/>
      <c r="QFQ44" s="172"/>
      <c r="QFR44" s="170"/>
      <c r="QFS44" s="172"/>
      <c r="QFT44" s="170"/>
      <c r="QFU44" s="172"/>
      <c r="QFV44" s="170"/>
      <c r="QFW44" s="172"/>
      <c r="QFX44" s="170"/>
      <c r="QFY44" s="172"/>
      <c r="QFZ44" s="170"/>
      <c r="QGA44" s="172"/>
      <c r="QGB44" s="170"/>
      <c r="QGC44" s="172"/>
      <c r="QGD44" s="170"/>
      <c r="QGE44" s="172"/>
      <c r="QGF44" s="170"/>
      <c r="QGG44" s="172"/>
      <c r="QGH44" s="170"/>
      <c r="QGI44" s="172"/>
      <c r="QGJ44" s="170"/>
      <c r="QGK44" s="172"/>
      <c r="QGL44" s="170"/>
      <c r="QGM44" s="172"/>
      <c r="QGN44" s="170"/>
      <c r="QGO44" s="172"/>
      <c r="QGP44" s="170"/>
      <c r="QGQ44" s="172"/>
      <c r="QGR44" s="170"/>
      <c r="QGS44" s="172"/>
      <c r="QGT44" s="170"/>
      <c r="QGU44" s="172"/>
      <c r="QGV44" s="170"/>
      <c r="QGW44" s="172"/>
      <c r="QGX44" s="170"/>
      <c r="QGY44" s="172"/>
      <c r="QGZ44" s="170"/>
      <c r="QHA44" s="172"/>
      <c r="QHB44" s="170"/>
      <c r="QHC44" s="172"/>
      <c r="QHD44" s="170"/>
      <c r="QHE44" s="172"/>
      <c r="QHF44" s="170"/>
      <c r="QHG44" s="172"/>
      <c r="QHH44" s="170"/>
      <c r="QHI44" s="172"/>
      <c r="QHJ44" s="170"/>
      <c r="QHK44" s="172"/>
      <c r="QHL44" s="170"/>
      <c r="QHM44" s="172"/>
      <c r="QHN44" s="170"/>
      <c r="QHO44" s="172"/>
      <c r="QHP44" s="170"/>
      <c r="QHQ44" s="172"/>
      <c r="QHR44" s="170"/>
      <c r="QHS44" s="172"/>
      <c r="QHT44" s="170"/>
      <c r="QHU44" s="172"/>
      <c r="QHV44" s="170"/>
      <c r="QHW44" s="172"/>
      <c r="QHX44" s="170"/>
      <c r="QHY44" s="172"/>
      <c r="QHZ44" s="170"/>
      <c r="QIA44" s="172"/>
      <c r="QIB44" s="170"/>
      <c r="QIC44" s="172"/>
      <c r="QID44" s="170"/>
      <c r="QIE44" s="172"/>
      <c r="QIF44" s="170"/>
      <c r="QIG44" s="172"/>
      <c r="QIH44" s="170"/>
      <c r="QII44" s="172"/>
      <c r="QIJ44" s="170"/>
      <c r="QIK44" s="172"/>
      <c r="QIL44" s="170"/>
      <c r="QIM44" s="172"/>
      <c r="QIN44" s="170"/>
      <c r="QIO44" s="172"/>
      <c r="QIP44" s="170"/>
      <c r="QIQ44" s="172"/>
      <c r="QIR44" s="170"/>
      <c r="QIS44" s="172"/>
      <c r="QIT44" s="170"/>
      <c r="QIU44" s="172"/>
      <c r="QIV44" s="170"/>
      <c r="QIW44" s="172"/>
      <c r="QIX44" s="170"/>
      <c r="QIY44" s="172"/>
      <c r="QIZ44" s="170"/>
      <c r="QJA44" s="172"/>
      <c r="QJB44" s="170"/>
      <c r="QJC44" s="172"/>
      <c r="QJD44" s="170"/>
      <c r="QJE44" s="172"/>
      <c r="QJF44" s="170"/>
      <c r="QJG44" s="172"/>
      <c r="QJH44" s="170"/>
      <c r="QJI44" s="172"/>
      <c r="QJJ44" s="170"/>
      <c r="QJK44" s="172"/>
      <c r="QJL44" s="170"/>
      <c r="QJM44" s="172"/>
      <c r="QJN44" s="170"/>
      <c r="QJO44" s="172"/>
      <c r="QJP44" s="170"/>
      <c r="QJQ44" s="172"/>
      <c r="QJR44" s="170"/>
      <c r="QJS44" s="172"/>
      <c r="QJT44" s="170"/>
      <c r="QJU44" s="172"/>
      <c r="QJV44" s="170"/>
      <c r="QJW44" s="172"/>
      <c r="QJX44" s="170"/>
      <c r="QJY44" s="172"/>
      <c r="QJZ44" s="170"/>
      <c r="QKA44" s="172"/>
      <c r="QKB44" s="170"/>
      <c r="QKC44" s="172"/>
      <c r="QKD44" s="170"/>
      <c r="QKE44" s="172"/>
      <c r="QKF44" s="170"/>
      <c r="QKG44" s="172"/>
      <c r="QKH44" s="170"/>
      <c r="QKI44" s="172"/>
      <c r="QKJ44" s="170"/>
      <c r="QKK44" s="172"/>
      <c r="QKL44" s="170"/>
      <c r="QKM44" s="172"/>
      <c r="QKN44" s="170"/>
      <c r="QKO44" s="172"/>
      <c r="QKP44" s="170"/>
      <c r="QKQ44" s="172"/>
      <c r="QKR44" s="170"/>
      <c r="QKS44" s="172"/>
      <c r="QKT44" s="170"/>
      <c r="QKU44" s="172"/>
      <c r="QKV44" s="170"/>
      <c r="QKW44" s="172"/>
      <c r="QKX44" s="170"/>
      <c r="QKY44" s="172"/>
      <c r="QKZ44" s="170"/>
      <c r="QLA44" s="172"/>
      <c r="QLB44" s="170"/>
      <c r="QLC44" s="172"/>
      <c r="QLD44" s="170"/>
      <c r="QLE44" s="172"/>
      <c r="QLF44" s="170"/>
      <c r="QLG44" s="172"/>
      <c r="QLH44" s="170"/>
      <c r="QLI44" s="172"/>
      <c r="QLJ44" s="170"/>
      <c r="QLK44" s="172"/>
      <c r="QLL44" s="170"/>
      <c r="QLM44" s="172"/>
      <c r="QLN44" s="170"/>
      <c r="QLO44" s="172"/>
      <c r="QLP44" s="170"/>
      <c r="QLQ44" s="172"/>
      <c r="QLR44" s="170"/>
      <c r="QLS44" s="172"/>
      <c r="QLT44" s="170"/>
      <c r="QLU44" s="172"/>
      <c r="QLV44" s="170"/>
      <c r="QLW44" s="172"/>
      <c r="QLX44" s="170"/>
      <c r="QLY44" s="172"/>
      <c r="QLZ44" s="170"/>
      <c r="QMA44" s="172"/>
      <c r="QMB44" s="170"/>
      <c r="QMC44" s="172"/>
      <c r="QMD44" s="170"/>
      <c r="QME44" s="172"/>
      <c r="QMF44" s="170"/>
      <c r="QMG44" s="172"/>
      <c r="QMH44" s="170"/>
      <c r="QMI44" s="172"/>
      <c r="QMJ44" s="170"/>
      <c r="QMK44" s="172"/>
      <c r="QML44" s="170"/>
      <c r="QMM44" s="172"/>
      <c r="QMN44" s="170"/>
      <c r="QMO44" s="172"/>
      <c r="QMP44" s="170"/>
      <c r="QMQ44" s="172"/>
      <c r="QMR44" s="170"/>
      <c r="QMS44" s="172"/>
      <c r="QMT44" s="170"/>
      <c r="QMU44" s="172"/>
      <c r="QMV44" s="170"/>
      <c r="QMW44" s="172"/>
      <c r="QMX44" s="170"/>
      <c r="QMY44" s="172"/>
      <c r="QMZ44" s="170"/>
      <c r="QNA44" s="172"/>
      <c r="QNB44" s="170"/>
      <c r="QNC44" s="172"/>
      <c r="QND44" s="170"/>
      <c r="QNE44" s="172"/>
      <c r="QNF44" s="170"/>
      <c r="QNG44" s="172"/>
      <c r="QNH44" s="170"/>
      <c r="QNI44" s="172"/>
      <c r="QNJ44" s="170"/>
      <c r="QNK44" s="172"/>
      <c r="QNL44" s="170"/>
      <c r="QNM44" s="172"/>
      <c r="QNN44" s="170"/>
      <c r="QNO44" s="172"/>
      <c r="QNP44" s="170"/>
      <c r="QNQ44" s="172"/>
      <c r="QNR44" s="170"/>
      <c r="QNS44" s="172"/>
      <c r="QNT44" s="170"/>
      <c r="QNU44" s="172"/>
      <c r="QNV44" s="170"/>
      <c r="QNW44" s="172"/>
      <c r="QNX44" s="170"/>
      <c r="QNY44" s="172"/>
      <c r="QNZ44" s="170"/>
      <c r="QOA44" s="172"/>
      <c r="QOB44" s="170"/>
      <c r="QOC44" s="172"/>
      <c r="QOD44" s="170"/>
      <c r="QOE44" s="172"/>
      <c r="QOF44" s="170"/>
      <c r="QOG44" s="172"/>
      <c r="QOH44" s="170"/>
      <c r="QOI44" s="172"/>
      <c r="QOJ44" s="170"/>
      <c r="QOK44" s="172"/>
      <c r="QOL44" s="170"/>
      <c r="QOM44" s="172"/>
      <c r="QON44" s="170"/>
      <c r="QOO44" s="172"/>
      <c r="QOP44" s="170"/>
      <c r="QOQ44" s="172"/>
      <c r="QOR44" s="170"/>
      <c r="QOS44" s="172"/>
      <c r="QOT44" s="170"/>
      <c r="QOU44" s="172"/>
      <c r="QOV44" s="170"/>
      <c r="QOW44" s="172"/>
      <c r="QOX44" s="170"/>
      <c r="QOY44" s="172"/>
      <c r="QOZ44" s="170"/>
      <c r="QPA44" s="172"/>
      <c r="QPB44" s="170"/>
      <c r="QPC44" s="172"/>
      <c r="QPD44" s="170"/>
      <c r="QPE44" s="172"/>
      <c r="QPF44" s="170"/>
      <c r="QPG44" s="172"/>
      <c r="QPH44" s="170"/>
      <c r="QPI44" s="172"/>
      <c r="QPJ44" s="170"/>
      <c r="QPK44" s="172"/>
      <c r="QPL44" s="170"/>
      <c r="QPM44" s="172"/>
      <c r="QPN44" s="170"/>
      <c r="QPO44" s="172"/>
      <c r="QPP44" s="170"/>
      <c r="QPQ44" s="172"/>
      <c r="QPR44" s="170"/>
      <c r="QPS44" s="172"/>
      <c r="QPT44" s="170"/>
      <c r="QPU44" s="172"/>
      <c r="QPV44" s="170"/>
      <c r="QPW44" s="172"/>
      <c r="QPX44" s="170"/>
      <c r="QPY44" s="172"/>
      <c r="QPZ44" s="170"/>
      <c r="QQA44" s="172"/>
      <c r="QQB44" s="170"/>
      <c r="QQC44" s="172"/>
      <c r="QQD44" s="170"/>
      <c r="QQE44" s="172"/>
      <c r="QQF44" s="170"/>
      <c r="QQG44" s="172"/>
      <c r="QQH44" s="170"/>
      <c r="QQI44" s="172"/>
      <c r="QQJ44" s="170"/>
      <c r="QQK44" s="172"/>
      <c r="QQL44" s="170"/>
      <c r="QQM44" s="172"/>
      <c r="QQN44" s="170"/>
      <c r="QQO44" s="172"/>
      <c r="QQP44" s="170"/>
      <c r="QQQ44" s="172"/>
      <c r="QQR44" s="170"/>
      <c r="QQS44" s="172"/>
      <c r="QQT44" s="170"/>
      <c r="QQU44" s="172"/>
      <c r="QQV44" s="170"/>
      <c r="QQW44" s="172"/>
      <c r="QQX44" s="170"/>
      <c r="QQY44" s="172"/>
      <c r="QQZ44" s="170"/>
      <c r="QRA44" s="172"/>
      <c r="QRB44" s="170"/>
      <c r="QRC44" s="172"/>
      <c r="QRD44" s="170"/>
      <c r="QRE44" s="172"/>
      <c r="QRF44" s="170"/>
      <c r="QRG44" s="172"/>
      <c r="QRH44" s="170"/>
      <c r="QRI44" s="172"/>
      <c r="QRJ44" s="170"/>
      <c r="QRK44" s="172"/>
      <c r="QRL44" s="170"/>
      <c r="QRM44" s="172"/>
      <c r="QRN44" s="170"/>
      <c r="QRO44" s="172"/>
      <c r="QRP44" s="170"/>
      <c r="QRQ44" s="172"/>
      <c r="QRR44" s="170"/>
      <c r="QRS44" s="172"/>
      <c r="QRT44" s="170"/>
      <c r="QRU44" s="172"/>
      <c r="QRV44" s="170"/>
      <c r="QRW44" s="172"/>
      <c r="QRX44" s="170"/>
      <c r="QRY44" s="172"/>
      <c r="QRZ44" s="170"/>
      <c r="QSA44" s="172"/>
      <c r="QSB44" s="170"/>
      <c r="QSC44" s="172"/>
      <c r="QSD44" s="170"/>
      <c r="QSE44" s="172"/>
      <c r="QSF44" s="170"/>
      <c r="QSG44" s="172"/>
      <c r="QSH44" s="170"/>
      <c r="QSI44" s="172"/>
      <c r="QSJ44" s="170"/>
      <c r="QSK44" s="172"/>
      <c r="QSL44" s="170"/>
      <c r="QSM44" s="172"/>
      <c r="QSN44" s="170"/>
      <c r="QSO44" s="172"/>
      <c r="QSP44" s="170"/>
      <c r="QSQ44" s="172"/>
      <c r="QSR44" s="170"/>
      <c r="QSS44" s="172"/>
      <c r="QST44" s="170"/>
      <c r="QSU44" s="172"/>
      <c r="QSV44" s="170"/>
      <c r="QSW44" s="172"/>
      <c r="QSX44" s="170"/>
      <c r="QSY44" s="172"/>
      <c r="QSZ44" s="170"/>
      <c r="QTA44" s="172"/>
      <c r="QTB44" s="170"/>
      <c r="QTC44" s="172"/>
      <c r="QTD44" s="170"/>
      <c r="QTE44" s="172"/>
      <c r="QTF44" s="170"/>
      <c r="QTG44" s="172"/>
      <c r="QTH44" s="170"/>
      <c r="QTI44" s="172"/>
      <c r="QTJ44" s="170"/>
      <c r="QTK44" s="172"/>
      <c r="QTL44" s="170"/>
      <c r="QTM44" s="172"/>
      <c r="QTN44" s="170"/>
      <c r="QTO44" s="172"/>
      <c r="QTP44" s="170"/>
      <c r="QTQ44" s="172"/>
      <c r="QTR44" s="170"/>
      <c r="QTS44" s="172"/>
      <c r="QTT44" s="170"/>
      <c r="QTU44" s="172"/>
      <c r="QTV44" s="170"/>
      <c r="QTW44" s="172"/>
      <c r="QTX44" s="170"/>
      <c r="QTY44" s="172"/>
      <c r="QTZ44" s="170"/>
      <c r="QUA44" s="172"/>
      <c r="QUB44" s="170"/>
      <c r="QUC44" s="172"/>
      <c r="QUD44" s="170"/>
      <c r="QUE44" s="172"/>
      <c r="QUF44" s="170"/>
      <c r="QUG44" s="172"/>
      <c r="QUH44" s="170"/>
      <c r="QUI44" s="172"/>
      <c r="QUJ44" s="170"/>
      <c r="QUK44" s="172"/>
      <c r="QUL44" s="170"/>
      <c r="QUM44" s="172"/>
      <c r="QUN44" s="170"/>
      <c r="QUO44" s="172"/>
      <c r="QUP44" s="170"/>
      <c r="QUQ44" s="172"/>
      <c r="QUR44" s="170"/>
      <c r="QUS44" s="172"/>
      <c r="QUT44" s="170"/>
      <c r="QUU44" s="172"/>
      <c r="QUV44" s="170"/>
      <c r="QUW44" s="172"/>
      <c r="QUX44" s="170"/>
      <c r="QUY44" s="172"/>
      <c r="QUZ44" s="170"/>
      <c r="QVA44" s="172"/>
      <c r="QVB44" s="170"/>
      <c r="QVC44" s="172"/>
      <c r="QVD44" s="170"/>
      <c r="QVE44" s="172"/>
      <c r="QVF44" s="170"/>
      <c r="QVG44" s="172"/>
      <c r="QVH44" s="170"/>
      <c r="QVI44" s="172"/>
      <c r="QVJ44" s="170"/>
      <c r="QVK44" s="172"/>
      <c r="QVL44" s="170"/>
      <c r="QVM44" s="172"/>
      <c r="QVN44" s="170"/>
      <c r="QVO44" s="172"/>
      <c r="QVP44" s="170"/>
      <c r="QVQ44" s="172"/>
      <c r="QVR44" s="170"/>
      <c r="QVS44" s="172"/>
      <c r="QVT44" s="170"/>
      <c r="QVU44" s="172"/>
      <c r="QVV44" s="170"/>
      <c r="QVW44" s="172"/>
      <c r="QVX44" s="170"/>
      <c r="QVY44" s="172"/>
      <c r="QVZ44" s="170"/>
      <c r="QWA44" s="172"/>
      <c r="QWB44" s="170"/>
      <c r="QWC44" s="172"/>
      <c r="QWD44" s="170"/>
      <c r="QWE44" s="172"/>
      <c r="QWF44" s="170"/>
      <c r="QWG44" s="172"/>
      <c r="QWH44" s="170"/>
      <c r="QWI44" s="172"/>
      <c r="QWJ44" s="170"/>
      <c r="QWK44" s="172"/>
      <c r="QWL44" s="170"/>
      <c r="QWM44" s="172"/>
      <c r="QWN44" s="170"/>
      <c r="QWO44" s="172"/>
      <c r="QWP44" s="170"/>
      <c r="QWQ44" s="172"/>
      <c r="QWR44" s="170"/>
      <c r="QWS44" s="172"/>
      <c r="QWT44" s="170"/>
      <c r="QWU44" s="172"/>
      <c r="QWV44" s="170"/>
      <c r="QWW44" s="172"/>
      <c r="QWX44" s="170"/>
      <c r="QWY44" s="172"/>
      <c r="QWZ44" s="170"/>
      <c r="QXA44" s="172"/>
      <c r="QXB44" s="170"/>
      <c r="QXC44" s="172"/>
      <c r="QXD44" s="170"/>
      <c r="QXE44" s="172"/>
      <c r="QXF44" s="170"/>
      <c r="QXG44" s="172"/>
      <c r="QXH44" s="170"/>
      <c r="QXI44" s="172"/>
      <c r="QXJ44" s="170"/>
      <c r="QXK44" s="172"/>
      <c r="QXL44" s="170"/>
      <c r="QXM44" s="172"/>
      <c r="QXN44" s="170"/>
      <c r="QXO44" s="172"/>
      <c r="QXP44" s="170"/>
      <c r="QXQ44" s="172"/>
      <c r="QXR44" s="170"/>
      <c r="QXS44" s="172"/>
      <c r="QXT44" s="170"/>
      <c r="QXU44" s="172"/>
      <c r="QXV44" s="170"/>
      <c r="QXW44" s="172"/>
      <c r="QXX44" s="170"/>
      <c r="QXY44" s="172"/>
      <c r="QXZ44" s="170"/>
      <c r="QYA44" s="172"/>
      <c r="QYB44" s="170"/>
      <c r="QYC44" s="172"/>
      <c r="QYD44" s="170"/>
      <c r="QYE44" s="172"/>
      <c r="QYF44" s="170"/>
      <c r="QYG44" s="172"/>
      <c r="QYH44" s="170"/>
      <c r="QYI44" s="172"/>
      <c r="QYJ44" s="170"/>
      <c r="QYK44" s="172"/>
      <c r="QYL44" s="170"/>
      <c r="QYM44" s="172"/>
      <c r="QYN44" s="170"/>
      <c r="QYO44" s="172"/>
      <c r="QYP44" s="170"/>
      <c r="QYQ44" s="172"/>
      <c r="QYR44" s="170"/>
      <c r="QYS44" s="172"/>
      <c r="QYT44" s="170"/>
      <c r="QYU44" s="172"/>
      <c r="QYV44" s="170"/>
      <c r="QYW44" s="172"/>
      <c r="QYX44" s="170"/>
      <c r="QYY44" s="172"/>
      <c r="QYZ44" s="170"/>
      <c r="QZA44" s="172"/>
      <c r="QZB44" s="170"/>
      <c r="QZC44" s="172"/>
      <c r="QZD44" s="170"/>
      <c r="QZE44" s="172"/>
      <c r="QZF44" s="170"/>
      <c r="QZG44" s="172"/>
      <c r="QZH44" s="170"/>
      <c r="QZI44" s="172"/>
      <c r="QZJ44" s="170"/>
      <c r="QZK44" s="172"/>
      <c r="QZL44" s="170"/>
      <c r="QZM44" s="172"/>
      <c r="QZN44" s="170"/>
      <c r="QZO44" s="172"/>
      <c r="QZP44" s="170"/>
      <c r="QZQ44" s="172"/>
      <c r="QZR44" s="170"/>
      <c r="QZS44" s="172"/>
      <c r="QZT44" s="170"/>
      <c r="QZU44" s="172"/>
      <c r="QZV44" s="170"/>
      <c r="QZW44" s="172"/>
      <c r="QZX44" s="170"/>
      <c r="QZY44" s="172"/>
      <c r="QZZ44" s="170"/>
      <c r="RAA44" s="172"/>
      <c r="RAB44" s="170"/>
      <c r="RAC44" s="172"/>
      <c r="RAD44" s="170"/>
      <c r="RAE44" s="172"/>
      <c r="RAF44" s="170"/>
      <c r="RAG44" s="172"/>
      <c r="RAH44" s="170"/>
      <c r="RAI44" s="172"/>
      <c r="RAJ44" s="170"/>
      <c r="RAK44" s="172"/>
      <c r="RAL44" s="170"/>
      <c r="RAM44" s="172"/>
      <c r="RAN44" s="170"/>
      <c r="RAO44" s="172"/>
      <c r="RAP44" s="170"/>
      <c r="RAQ44" s="172"/>
      <c r="RAR44" s="170"/>
      <c r="RAS44" s="172"/>
      <c r="RAT44" s="170"/>
      <c r="RAU44" s="172"/>
      <c r="RAV44" s="170"/>
      <c r="RAW44" s="172"/>
      <c r="RAX44" s="170"/>
      <c r="RAY44" s="172"/>
      <c r="RAZ44" s="170"/>
      <c r="RBA44" s="172"/>
      <c r="RBB44" s="170"/>
      <c r="RBC44" s="172"/>
      <c r="RBD44" s="170"/>
      <c r="RBE44" s="172"/>
      <c r="RBF44" s="170"/>
      <c r="RBG44" s="172"/>
      <c r="RBH44" s="170"/>
      <c r="RBI44" s="172"/>
      <c r="RBJ44" s="170"/>
      <c r="RBK44" s="172"/>
      <c r="RBL44" s="170"/>
      <c r="RBM44" s="172"/>
      <c r="RBN44" s="170"/>
      <c r="RBO44" s="172"/>
      <c r="RBP44" s="170"/>
      <c r="RBQ44" s="172"/>
      <c r="RBR44" s="170"/>
      <c r="RBS44" s="172"/>
      <c r="RBT44" s="170"/>
      <c r="RBU44" s="172"/>
      <c r="RBV44" s="170"/>
      <c r="RBW44" s="172"/>
      <c r="RBX44" s="170"/>
      <c r="RBY44" s="172"/>
      <c r="RBZ44" s="170"/>
      <c r="RCA44" s="172"/>
      <c r="RCB44" s="170"/>
      <c r="RCC44" s="172"/>
      <c r="RCD44" s="170"/>
      <c r="RCE44" s="172"/>
      <c r="RCF44" s="170"/>
      <c r="RCG44" s="172"/>
      <c r="RCH44" s="170"/>
      <c r="RCI44" s="172"/>
      <c r="RCJ44" s="170"/>
      <c r="RCK44" s="172"/>
      <c r="RCL44" s="170"/>
      <c r="RCM44" s="172"/>
      <c r="RCN44" s="170"/>
      <c r="RCO44" s="172"/>
      <c r="RCP44" s="170"/>
      <c r="RCQ44" s="172"/>
      <c r="RCR44" s="170"/>
      <c r="RCS44" s="172"/>
      <c r="RCT44" s="170"/>
      <c r="RCU44" s="172"/>
      <c r="RCV44" s="170"/>
      <c r="RCW44" s="172"/>
      <c r="RCX44" s="170"/>
      <c r="RCY44" s="172"/>
      <c r="RCZ44" s="170"/>
      <c r="RDA44" s="172"/>
      <c r="RDB44" s="170"/>
      <c r="RDC44" s="172"/>
      <c r="RDD44" s="170"/>
      <c r="RDE44" s="172"/>
      <c r="RDF44" s="170"/>
      <c r="RDG44" s="172"/>
      <c r="RDH44" s="170"/>
      <c r="RDI44" s="172"/>
      <c r="RDJ44" s="170"/>
      <c r="RDK44" s="172"/>
      <c r="RDL44" s="170"/>
      <c r="RDM44" s="172"/>
      <c r="RDN44" s="170"/>
      <c r="RDO44" s="172"/>
      <c r="RDP44" s="170"/>
      <c r="RDQ44" s="172"/>
      <c r="RDR44" s="170"/>
      <c r="RDS44" s="172"/>
      <c r="RDT44" s="170"/>
      <c r="RDU44" s="172"/>
      <c r="RDV44" s="170"/>
      <c r="RDW44" s="172"/>
      <c r="RDX44" s="170"/>
      <c r="RDY44" s="172"/>
      <c r="RDZ44" s="170"/>
      <c r="REA44" s="172"/>
      <c r="REB44" s="170"/>
      <c r="REC44" s="172"/>
      <c r="RED44" s="170"/>
      <c r="REE44" s="172"/>
      <c r="REF44" s="170"/>
      <c r="REG44" s="172"/>
      <c r="REH44" s="170"/>
      <c r="REI44" s="172"/>
      <c r="REJ44" s="170"/>
      <c r="REK44" s="172"/>
      <c r="REL44" s="170"/>
      <c r="REM44" s="172"/>
      <c r="REN44" s="170"/>
      <c r="REO44" s="172"/>
      <c r="REP44" s="170"/>
      <c r="REQ44" s="172"/>
      <c r="RER44" s="170"/>
      <c r="RES44" s="172"/>
      <c r="RET44" s="170"/>
      <c r="REU44" s="172"/>
      <c r="REV44" s="170"/>
      <c r="REW44" s="172"/>
      <c r="REX44" s="170"/>
      <c r="REY44" s="172"/>
      <c r="REZ44" s="170"/>
      <c r="RFA44" s="172"/>
      <c r="RFB44" s="170"/>
      <c r="RFC44" s="172"/>
      <c r="RFD44" s="170"/>
      <c r="RFE44" s="172"/>
      <c r="RFF44" s="170"/>
      <c r="RFG44" s="172"/>
      <c r="RFH44" s="170"/>
      <c r="RFI44" s="172"/>
      <c r="RFJ44" s="170"/>
      <c r="RFK44" s="172"/>
      <c r="RFL44" s="170"/>
      <c r="RFM44" s="172"/>
      <c r="RFN44" s="170"/>
      <c r="RFO44" s="172"/>
      <c r="RFP44" s="170"/>
      <c r="RFQ44" s="172"/>
      <c r="RFR44" s="170"/>
      <c r="RFS44" s="172"/>
      <c r="RFT44" s="170"/>
      <c r="RFU44" s="172"/>
      <c r="RFV44" s="170"/>
      <c r="RFW44" s="172"/>
      <c r="RFX44" s="170"/>
      <c r="RFY44" s="172"/>
      <c r="RFZ44" s="170"/>
      <c r="RGA44" s="172"/>
      <c r="RGB44" s="170"/>
      <c r="RGC44" s="172"/>
      <c r="RGD44" s="170"/>
      <c r="RGE44" s="172"/>
      <c r="RGF44" s="170"/>
      <c r="RGG44" s="172"/>
      <c r="RGH44" s="170"/>
      <c r="RGI44" s="172"/>
      <c r="RGJ44" s="170"/>
      <c r="RGK44" s="172"/>
      <c r="RGL44" s="170"/>
      <c r="RGM44" s="172"/>
      <c r="RGN44" s="170"/>
      <c r="RGO44" s="172"/>
      <c r="RGP44" s="170"/>
      <c r="RGQ44" s="172"/>
      <c r="RGR44" s="170"/>
      <c r="RGS44" s="172"/>
      <c r="RGT44" s="170"/>
      <c r="RGU44" s="172"/>
      <c r="RGV44" s="170"/>
      <c r="RGW44" s="172"/>
      <c r="RGX44" s="170"/>
      <c r="RGY44" s="172"/>
      <c r="RGZ44" s="170"/>
      <c r="RHA44" s="172"/>
      <c r="RHB44" s="170"/>
      <c r="RHC44" s="172"/>
      <c r="RHD44" s="170"/>
      <c r="RHE44" s="172"/>
      <c r="RHF44" s="170"/>
      <c r="RHG44" s="172"/>
      <c r="RHH44" s="170"/>
      <c r="RHI44" s="172"/>
      <c r="RHJ44" s="170"/>
      <c r="RHK44" s="172"/>
      <c r="RHL44" s="170"/>
      <c r="RHM44" s="172"/>
      <c r="RHN44" s="170"/>
      <c r="RHO44" s="172"/>
      <c r="RHP44" s="170"/>
      <c r="RHQ44" s="172"/>
      <c r="RHR44" s="170"/>
      <c r="RHS44" s="172"/>
      <c r="RHT44" s="170"/>
      <c r="RHU44" s="172"/>
      <c r="RHV44" s="170"/>
      <c r="RHW44" s="172"/>
      <c r="RHX44" s="170"/>
      <c r="RHY44" s="172"/>
      <c r="RHZ44" s="170"/>
      <c r="RIA44" s="172"/>
      <c r="RIB44" s="170"/>
      <c r="RIC44" s="172"/>
      <c r="RID44" s="170"/>
      <c r="RIE44" s="172"/>
      <c r="RIF44" s="170"/>
      <c r="RIG44" s="172"/>
      <c r="RIH44" s="170"/>
      <c r="RII44" s="172"/>
      <c r="RIJ44" s="170"/>
      <c r="RIK44" s="172"/>
      <c r="RIL44" s="170"/>
      <c r="RIM44" s="172"/>
      <c r="RIN44" s="170"/>
      <c r="RIO44" s="172"/>
      <c r="RIP44" s="170"/>
      <c r="RIQ44" s="172"/>
      <c r="RIR44" s="170"/>
      <c r="RIS44" s="172"/>
      <c r="RIT44" s="170"/>
      <c r="RIU44" s="172"/>
      <c r="RIV44" s="170"/>
      <c r="RIW44" s="172"/>
      <c r="RIX44" s="170"/>
      <c r="RIY44" s="172"/>
      <c r="RIZ44" s="170"/>
      <c r="RJA44" s="172"/>
      <c r="RJB44" s="170"/>
      <c r="RJC44" s="172"/>
      <c r="RJD44" s="170"/>
      <c r="RJE44" s="172"/>
      <c r="RJF44" s="170"/>
      <c r="RJG44" s="172"/>
      <c r="RJH44" s="170"/>
      <c r="RJI44" s="172"/>
      <c r="RJJ44" s="170"/>
      <c r="RJK44" s="172"/>
      <c r="RJL44" s="170"/>
      <c r="RJM44" s="172"/>
      <c r="RJN44" s="170"/>
      <c r="RJO44" s="172"/>
      <c r="RJP44" s="170"/>
      <c r="RJQ44" s="172"/>
      <c r="RJR44" s="170"/>
      <c r="RJS44" s="172"/>
      <c r="RJT44" s="170"/>
      <c r="RJU44" s="172"/>
      <c r="RJV44" s="170"/>
      <c r="RJW44" s="172"/>
      <c r="RJX44" s="170"/>
      <c r="RJY44" s="172"/>
      <c r="RJZ44" s="170"/>
      <c r="RKA44" s="172"/>
      <c r="RKB44" s="170"/>
      <c r="RKC44" s="172"/>
      <c r="RKD44" s="170"/>
      <c r="RKE44" s="172"/>
      <c r="RKF44" s="170"/>
      <c r="RKG44" s="172"/>
      <c r="RKH44" s="170"/>
      <c r="RKI44" s="172"/>
      <c r="RKJ44" s="170"/>
      <c r="RKK44" s="172"/>
      <c r="RKL44" s="170"/>
      <c r="RKM44" s="172"/>
      <c r="RKN44" s="170"/>
      <c r="RKO44" s="172"/>
      <c r="RKP44" s="170"/>
      <c r="RKQ44" s="172"/>
      <c r="RKR44" s="170"/>
      <c r="RKS44" s="172"/>
      <c r="RKT44" s="170"/>
      <c r="RKU44" s="172"/>
      <c r="RKV44" s="170"/>
      <c r="RKW44" s="172"/>
      <c r="RKX44" s="170"/>
      <c r="RKY44" s="172"/>
      <c r="RKZ44" s="170"/>
      <c r="RLA44" s="172"/>
      <c r="RLB44" s="170"/>
      <c r="RLC44" s="172"/>
      <c r="RLD44" s="170"/>
      <c r="RLE44" s="172"/>
      <c r="RLF44" s="170"/>
      <c r="RLG44" s="172"/>
      <c r="RLH44" s="170"/>
      <c r="RLI44" s="172"/>
      <c r="RLJ44" s="170"/>
      <c r="RLK44" s="172"/>
      <c r="RLL44" s="170"/>
      <c r="RLM44" s="172"/>
      <c r="RLN44" s="170"/>
      <c r="RLO44" s="172"/>
      <c r="RLP44" s="170"/>
      <c r="RLQ44" s="172"/>
      <c r="RLR44" s="170"/>
      <c r="RLS44" s="172"/>
      <c r="RLT44" s="170"/>
      <c r="RLU44" s="172"/>
      <c r="RLV44" s="170"/>
      <c r="RLW44" s="172"/>
      <c r="RLX44" s="170"/>
      <c r="RLY44" s="172"/>
      <c r="RLZ44" s="170"/>
      <c r="RMA44" s="172"/>
      <c r="RMB44" s="170"/>
      <c r="RMC44" s="172"/>
      <c r="RMD44" s="170"/>
      <c r="RME44" s="172"/>
      <c r="RMF44" s="170"/>
      <c r="RMG44" s="172"/>
      <c r="RMH44" s="170"/>
      <c r="RMI44" s="172"/>
      <c r="RMJ44" s="170"/>
      <c r="RMK44" s="172"/>
      <c r="RML44" s="170"/>
      <c r="RMM44" s="172"/>
      <c r="RMN44" s="170"/>
      <c r="RMO44" s="172"/>
      <c r="RMP44" s="170"/>
      <c r="RMQ44" s="172"/>
      <c r="RMR44" s="170"/>
      <c r="RMS44" s="172"/>
      <c r="RMT44" s="170"/>
      <c r="RMU44" s="172"/>
      <c r="RMV44" s="170"/>
      <c r="RMW44" s="172"/>
      <c r="RMX44" s="170"/>
      <c r="RMY44" s="172"/>
      <c r="RMZ44" s="170"/>
      <c r="RNA44" s="172"/>
      <c r="RNB44" s="170"/>
      <c r="RNC44" s="172"/>
      <c r="RND44" s="170"/>
      <c r="RNE44" s="172"/>
      <c r="RNF44" s="170"/>
      <c r="RNG44" s="172"/>
      <c r="RNH44" s="170"/>
      <c r="RNI44" s="172"/>
      <c r="RNJ44" s="170"/>
      <c r="RNK44" s="172"/>
      <c r="RNL44" s="170"/>
      <c r="RNM44" s="172"/>
      <c r="RNN44" s="170"/>
      <c r="RNO44" s="172"/>
      <c r="RNP44" s="170"/>
      <c r="RNQ44" s="172"/>
      <c r="RNR44" s="170"/>
      <c r="RNS44" s="172"/>
      <c r="RNT44" s="170"/>
      <c r="RNU44" s="172"/>
      <c r="RNV44" s="170"/>
      <c r="RNW44" s="172"/>
      <c r="RNX44" s="170"/>
      <c r="RNY44" s="172"/>
      <c r="RNZ44" s="170"/>
      <c r="ROA44" s="172"/>
      <c r="ROB44" s="170"/>
      <c r="ROC44" s="172"/>
      <c r="ROD44" s="170"/>
      <c r="ROE44" s="172"/>
      <c r="ROF44" s="170"/>
      <c r="ROG44" s="172"/>
      <c r="ROH44" s="170"/>
      <c r="ROI44" s="172"/>
      <c r="ROJ44" s="170"/>
      <c r="ROK44" s="172"/>
      <c r="ROL44" s="170"/>
      <c r="ROM44" s="172"/>
      <c r="RON44" s="170"/>
      <c r="ROO44" s="172"/>
      <c r="ROP44" s="170"/>
      <c r="ROQ44" s="172"/>
      <c r="ROR44" s="170"/>
      <c r="ROS44" s="172"/>
      <c r="ROT44" s="170"/>
      <c r="ROU44" s="172"/>
      <c r="ROV44" s="170"/>
      <c r="ROW44" s="172"/>
      <c r="ROX44" s="170"/>
      <c r="ROY44" s="172"/>
      <c r="ROZ44" s="170"/>
      <c r="RPA44" s="172"/>
      <c r="RPB44" s="170"/>
      <c r="RPC44" s="172"/>
      <c r="RPD44" s="170"/>
      <c r="RPE44" s="172"/>
      <c r="RPF44" s="170"/>
      <c r="RPG44" s="172"/>
      <c r="RPH44" s="170"/>
      <c r="RPI44" s="172"/>
      <c r="RPJ44" s="170"/>
      <c r="RPK44" s="172"/>
      <c r="RPL44" s="170"/>
      <c r="RPM44" s="172"/>
      <c r="RPN44" s="170"/>
      <c r="RPO44" s="172"/>
      <c r="RPP44" s="170"/>
      <c r="RPQ44" s="172"/>
      <c r="RPR44" s="170"/>
      <c r="RPS44" s="172"/>
      <c r="RPT44" s="170"/>
      <c r="RPU44" s="172"/>
      <c r="RPV44" s="170"/>
      <c r="RPW44" s="172"/>
      <c r="RPX44" s="170"/>
      <c r="RPY44" s="172"/>
      <c r="RPZ44" s="170"/>
      <c r="RQA44" s="172"/>
      <c r="RQB44" s="170"/>
      <c r="RQC44" s="172"/>
      <c r="RQD44" s="170"/>
      <c r="RQE44" s="172"/>
      <c r="RQF44" s="170"/>
      <c r="RQG44" s="172"/>
      <c r="RQH44" s="170"/>
      <c r="RQI44" s="172"/>
      <c r="RQJ44" s="170"/>
      <c r="RQK44" s="172"/>
      <c r="RQL44" s="170"/>
      <c r="RQM44" s="172"/>
      <c r="RQN44" s="170"/>
      <c r="RQO44" s="172"/>
      <c r="RQP44" s="170"/>
      <c r="RQQ44" s="172"/>
      <c r="RQR44" s="170"/>
      <c r="RQS44" s="172"/>
      <c r="RQT44" s="170"/>
      <c r="RQU44" s="172"/>
      <c r="RQV44" s="170"/>
      <c r="RQW44" s="172"/>
      <c r="RQX44" s="170"/>
      <c r="RQY44" s="172"/>
      <c r="RQZ44" s="170"/>
      <c r="RRA44" s="172"/>
      <c r="RRB44" s="170"/>
      <c r="RRC44" s="172"/>
      <c r="RRD44" s="170"/>
      <c r="RRE44" s="172"/>
      <c r="RRF44" s="170"/>
      <c r="RRG44" s="172"/>
      <c r="RRH44" s="170"/>
      <c r="RRI44" s="172"/>
      <c r="RRJ44" s="170"/>
      <c r="RRK44" s="172"/>
      <c r="RRL44" s="170"/>
      <c r="RRM44" s="172"/>
      <c r="RRN44" s="170"/>
      <c r="RRO44" s="172"/>
      <c r="RRP44" s="170"/>
      <c r="RRQ44" s="172"/>
      <c r="RRR44" s="170"/>
      <c r="RRS44" s="172"/>
      <c r="RRT44" s="170"/>
      <c r="RRU44" s="172"/>
      <c r="RRV44" s="170"/>
      <c r="RRW44" s="172"/>
      <c r="RRX44" s="170"/>
      <c r="RRY44" s="172"/>
      <c r="RRZ44" s="170"/>
      <c r="RSA44" s="172"/>
      <c r="RSB44" s="170"/>
      <c r="RSC44" s="172"/>
      <c r="RSD44" s="170"/>
      <c r="RSE44" s="172"/>
      <c r="RSF44" s="170"/>
      <c r="RSG44" s="172"/>
      <c r="RSH44" s="170"/>
      <c r="RSI44" s="172"/>
      <c r="RSJ44" s="170"/>
      <c r="RSK44" s="172"/>
      <c r="RSL44" s="170"/>
      <c r="RSM44" s="172"/>
      <c r="RSN44" s="170"/>
      <c r="RSO44" s="172"/>
      <c r="RSP44" s="170"/>
      <c r="RSQ44" s="172"/>
      <c r="RSR44" s="170"/>
      <c r="RSS44" s="172"/>
      <c r="RST44" s="170"/>
      <c r="RSU44" s="172"/>
      <c r="RSV44" s="170"/>
      <c r="RSW44" s="172"/>
      <c r="RSX44" s="170"/>
      <c r="RSY44" s="172"/>
      <c r="RSZ44" s="170"/>
      <c r="RTA44" s="172"/>
      <c r="RTB44" s="170"/>
      <c r="RTC44" s="172"/>
      <c r="RTD44" s="170"/>
      <c r="RTE44" s="172"/>
      <c r="RTF44" s="170"/>
      <c r="RTG44" s="172"/>
      <c r="RTH44" s="170"/>
      <c r="RTI44" s="172"/>
      <c r="RTJ44" s="170"/>
      <c r="RTK44" s="172"/>
      <c r="RTL44" s="170"/>
      <c r="RTM44" s="172"/>
      <c r="RTN44" s="170"/>
      <c r="RTO44" s="172"/>
      <c r="RTP44" s="170"/>
      <c r="RTQ44" s="172"/>
      <c r="RTR44" s="170"/>
      <c r="RTS44" s="172"/>
      <c r="RTT44" s="170"/>
      <c r="RTU44" s="172"/>
      <c r="RTV44" s="170"/>
      <c r="RTW44" s="172"/>
      <c r="RTX44" s="170"/>
      <c r="RTY44" s="172"/>
      <c r="RTZ44" s="170"/>
      <c r="RUA44" s="172"/>
      <c r="RUB44" s="170"/>
      <c r="RUC44" s="172"/>
      <c r="RUD44" s="170"/>
      <c r="RUE44" s="172"/>
      <c r="RUF44" s="170"/>
      <c r="RUG44" s="172"/>
      <c r="RUH44" s="170"/>
      <c r="RUI44" s="172"/>
      <c r="RUJ44" s="170"/>
      <c r="RUK44" s="172"/>
      <c r="RUL44" s="170"/>
      <c r="RUM44" s="172"/>
      <c r="RUN44" s="170"/>
      <c r="RUO44" s="172"/>
      <c r="RUP44" s="170"/>
      <c r="RUQ44" s="172"/>
      <c r="RUR44" s="170"/>
      <c r="RUS44" s="172"/>
      <c r="RUT44" s="170"/>
      <c r="RUU44" s="172"/>
      <c r="RUV44" s="170"/>
      <c r="RUW44" s="172"/>
      <c r="RUX44" s="170"/>
      <c r="RUY44" s="172"/>
      <c r="RUZ44" s="170"/>
      <c r="RVA44" s="172"/>
      <c r="RVB44" s="170"/>
      <c r="RVC44" s="172"/>
      <c r="RVD44" s="170"/>
      <c r="RVE44" s="172"/>
      <c r="RVF44" s="170"/>
      <c r="RVG44" s="172"/>
      <c r="RVH44" s="170"/>
      <c r="RVI44" s="172"/>
      <c r="RVJ44" s="170"/>
      <c r="RVK44" s="172"/>
      <c r="RVL44" s="170"/>
      <c r="RVM44" s="172"/>
      <c r="RVN44" s="170"/>
      <c r="RVO44" s="172"/>
      <c r="RVP44" s="170"/>
      <c r="RVQ44" s="172"/>
      <c r="RVR44" s="170"/>
      <c r="RVS44" s="172"/>
      <c r="RVT44" s="170"/>
      <c r="RVU44" s="172"/>
      <c r="RVV44" s="170"/>
      <c r="RVW44" s="172"/>
      <c r="RVX44" s="170"/>
      <c r="RVY44" s="172"/>
      <c r="RVZ44" s="170"/>
      <c r="RWA44" s="172"/>
      <c r="RWB44" s="170"/>
      <c r="RWC44" s="172"/>
      <c r="RWD44" s="170"/>
      <c r="RWE44" s="172"/>
      <c r="RWF44" s="170"/>
      <c r="RWG44" s="172"/>
      <c r="RWH44" s="170"/>
      <c r="RWI44" s="172"/>
      <c r="RWJ44" s="170"/>
      <c r="RWK44" s="172"/>
      <c r="RWL44" s="170"/>
      <c r="RWM44" s="172"/>
      <c r="RWN44" s="170"/>
      <c r="RWO44" s="172"/>
      <c r="RWP44" s="170"/>
      <c r="RWQ44" s="172"/>
      <c r="RWR44" s="170"/>
      <c r="RWS44" s="172"/>
      <c r="RWT44" s="170"/>
      <c r="RWU44" s="172"/>
      <c r="RWV44" s="170"/>
      <c r="RWW44" s="172"/>
      <c r="RWX44" s="170"/>
      <c r="RWY44" s="172"/>
      <c r="RWZ44" s="170"/>
      <c r="RXA44" s="172"/>
      <c r="RXB44" s="170"/>
      <c r="RXC44" s="172"/>
      <c r="RXD44" s="170"/>
      <c r="RXE44" s="172"/>
      <c r="RXF44" s="170"/>
      <c r="RXG44" s="172"/>
      <c r="RXH44" s="170"/>
      <c r="RXI44" s="172"/>
      <c r="RXJ44" s="170"/>
      <c r="RXK44" s="172"/>
      <c r="RXL44" s="170"/>
      <c r="RXM44" s="172"/>
      <c r="RXN44" s="170"/>
      <c r="RXO44" s="172"/>
      <c r="RXP44" s="170"/>
      <c r="RXQ44" s="172"/>
      <c r="RXR44" s="170"/>
      <c r="RXS44" s="172"/>
      <c r="RXT44" s="170"/>
      <c r="RXU44" s="172"/>
      <c r="RXV44" s="170"/>
      <c r="RXW44" s="172"/>
      <c r="RXX44" s="170"/>
      <c r="RXY44" s="172"/>
      <c r="RXZ44" s="170"/>
      <c r="RYA44" s="172"/>
      <c r="RYB44" s="170"/>
      <c r="RYC44" s="172"/>
      <c r="RYD44" s="170"/>
      <c r="RYE44" s="172"/>
      <c r="RYF44" s="170"/>
      <c r="RYG44" s="172"/>
      <c r="RYH44" s="170"/>
      <c r="RYI44" s="172"/>
      <c r="RYJ44" s="170"/>
      <c r="RYK44" s="172"/>
      <c r="RYL44" s="170"/>
      <c r="RYM44" s="172"/>
      <c r="RYN44" s="170"/>
      <c r="RYO44" s="172"/>
      <c r="RYP44" s="170"/>
      <c r="RYQ44" s="172"/>
      <c r="RYR44" s="170"/>
      <c r="RYS44" s="172"/>
      <c r="RYT44" s="170"/>
      <c r="RYU44" s="172"/>
      <c r="RYV44" s="170"/>
      <c r="RYW44" s="172"/>
      <c r="RYX44" s="170"/>
      <c r="RYY44" s="172"/>
      <c r="RYZ44" s="170"/>
      <c r="RZA44" s="172"/>
      <c r="RZB44" s="170"/>
      <c r="RZC44" s="172"/>
      <c r="RZD44" s="170"/>
      <c r="RZE44" s="172"/>
      <c r="RZF44" s="170"/>
      <c r="RZG44" s="172"/>
      <c r="RZH44" s="170"/>
      <c r="RZI44" s="172"/>
      <c r="RZJ44" s="170"/>
      <c r="RZK44" s="172"/>
      <c r="RZL44" s="170"/>
      <c r="RZM44" s="172"/>
      <c r="RZN44" s="170"/>
      <c r="RZO44" s="172"/>
      <c r="RZP44" s="170"/>
      <c r="RZQ44" s="172"/>
      <c r="RZR44" s="170"/>
      <c r="RZS44" s="172"/>
      <c r="RZT44" s="170"/>
      <c r="RZU44" s="172"/>
      <c r="RZV44" s="170"/>
      <c r="RZW44" s="172"/>
      <c r="RZX44" s="170"/>
      <c r="RZY44" s="172"/>
      <c r="RZZ44" s="170"/>
      <c r="SAA44" s="172"/>
      <c r="SAB44" s="170"/>
      <c r="SAC44" s="172"/>
      <c r="SAD44" s="170"/>
      <c r="SAE44" s="172"/>
      <c r="SAF44" s="170"/>
      <c r="SAG44" s="172"/>
      <c r="SAH44" s="170"/>
      <c r="SAI44" s="172"/>
      <c r="SAJ44" s="170"/>
      <c r="SAK44" s="172"/>
      <c r="SAL44" s="170"/>
      <c r="SAM44" s="172"/>
      <c r="SAN44" s="170"/>
      <c r="SAO44" s="172"/>
      <c r="SAP44" s="170"/>
      <c r="SAQ44" s="172"/>
      <c r="SAR44" s="170"/>
      <c r="SAS44" s="172"/>
      <c r="SAT44" s="170"/>
      <c r="SAU44" s="172"/>
      <c r="SAV44" s="170"/>
      <c r="SAW44" s="172"/>
      <c r="SAX44" s="170"/>
      <c r="SAY44" s="172"/>
      <c r="SAZ44" s="170"/>
      <c r="SBA44" s="172"/>
      <c r="SBB44" s="170"/>
      <c r="SBC44" s="172"/>
      <c r="SBD44" s="170"/>
      <c r="SBE44" s="172"/>
      <c r="SBF44" s="170"/>
      <c r="SBG44" s="172"/>
      <c r="SBH44" s="170"/>
      <c r="SBI44" s="172"/>
      <c r="SBJ44" s="170"/>
      <c r="SBK44" s="172"/>
      <c r="SBL44" s="170"/>
      <c r="SBM44" s="172"/>
      <c r="SBN44" s="170"/>
      <c r="SBO44" s="172"/>
      <c r="SBP44" s="170"/>
      <c r="SBQ44" s="172"/>
      <c r="SBR44" s="170"/>
      <c r="SBS44" s="172"/>
      <c r="SBT44" s="170"/>
      <c r="SBU44" s="172"/>
      <c r="SBV44" s="170"/>
      <c r="SBW44" s="172"/>
      <c r="SBX44" s="170"/>
      <c r="SBY44" s="172"/>
      <c r="SBZ44" s="170"/>
      <c r="SCA44" s="172"/>
      <c r="SCB44" s="170"/>
      <c r="SCC44" s="172"/>
      <c r="SCD44" s="170"/>
      <c r="SCE44" s="172"/>
      <c r="SCF44" s="170"/>
      <c r="SCG44" s="172"/>
      <c r="SCH44" s="170"/>
      <c r="SCI44" s="172"/>
      <c r="SCJ44" s="170"/>
      <c r="SCK44" s="172"/>
      <c r="SCL44" s="170"/>
      <c r="SCM44" s="172"/>
      <c r="SCN44" s="170"/>
      <c r="SCO44" s="172"/>
      <c r="SCP44" s="170"/>
      <c r="SCQ44" s="172"/>
      <c r="SCR44" s="170"/>
      <c r="SCS44" s="172"/>
      <c r="SCT44" s="170"/>
      <c r="SCU44" s="172"/>
      <c r="SCV44" s="170"/>
      <c r="SCW44" s="172"/>
      <c r="SCX44" s="170"/>
      <c r="SCY44" s="172"/>
      <c r="SCZ44" s="170"/>
      <c r="SDA44" s="172"/>
      <c r="SDB44" s="170"/>
      <c r="SDC44" s="172"/>
      <c r="SDD44" s="170"/>
      <c r="SDE44" s="172"/>
      <c r="SDF44" s="170"/>
      <c r="SDG44" s="172"/>
      <c r="SDH44" s="170"/>
      <c r="SDI44" s="172"/>
      <c r="SDJ44" s="170"/>
      <c r="SDK44" s="172"/>
      <c r="SDL44" s="170"/>
      <c r="SDM44" s="172"/>
      <c r="SDN44" s="170"/>
      <c r="SDO44" s="172"/>
      <c r="SDP44" s="170"/>
      <c r="SDQ44" s="172"/>
      <c r="SDR44" s="170"/>
      <c r="SDS44" s="172"/>
      <c r="SDT44" s="170"/>
      <c r="SDU44" s="172"/>
      <c r="SDV44" s="170"/>
      <c r="SDW44" s="172"/>
      <c r="SDX44" s="170"/>
      <c r="SDY44" s="172"/>
      <c r="SDZ44" s="170"/>
      <c r="SEA44" s="172"/>
      <c r="SEB44" s="170"/>
      <c r="SEC44" s="172"/>
      <c r="SED44" s="170"/>
      <c r="SEE44" s="172"/>
      <c r="SEF44" s="170"/>
      <c r="SEG44" s="172"/>
      <c r="SEH44" s="170"/>
      <c r="SEI44" s="172"/>
      <c r="SEJ44" s="170"/>
      <c r="SEK44" s="172"/>
      <c r="SEL44" s="170"/>
      <c r="SEM44" s="172"/>
      <c r="SEN44" s="170"/>
      <c r="SEO44" s="172"/>
      <c r="SEP44" s="170"/>
      <c r="SEQ44" s="172"/>
      <c r="SER44" s="170"/>
      <c r="SES44" s="172"/>
      <c r="SET44" s="170"/>
      <c r="SEU44" s="172"/>
      <c r="SEV44" s="170"/>
      <c r="SEW44" s="172"/>
      <c r="SEX44" s="170"/>
      <c r="SEY44" s="172"/>
      <c r="SEZ44" s="170"/>
      <c r="SFA44" s="172"/>
      <c r="SFB44" s="170"/>
      <c r="SFC44" s="172"/>
      <c r="SFD44" s="170"/>
      <c r="SFE44" s="172"/>
      <c r="SFF44" s="170"/>
      <c r="SFG44" s="172"/>
      <c r="SFH44" s="170"/>
      <c r="SFI44" s="172"/>
      <c r="SFJ44" s="170"/>
      <c r="SFK44" s="172"/>
      <c r="SFL44" s="170"/>
      <c r="SFM44" s="172"/>
      <c r="SFN44" s="170"/>
      <c r="SFO44" s="172"/>
      <c r="SFP44" s="170"/>
      <c r="SFQ44" s="172"/>
      <c r="SFR44" s="170"/>
      <c r="SFS44" s="172"/>
      <c r="SFT44" s="170"/>
      <c r="SFU44" s="172"/>
      <c r="SFV44" s="170"/>
      <c r="SFW44" s="172"/>
      <c r="SFX44" s="170"/>
      <c r="SFY44" s="172"/>
      <c r="SFZ44" s="170"/>
      <c r="SGA44" s="172"/>
      <c r="SGB44" s="170"/>
      <c r="SGC44" s="172"/>
      <c r="SGD44" s="170"/>
      <c r="SGE44" s="172"/>
      <c r="SGF44" s="170"/>
      <c r="SGG44" s="172"/>
      <c r="SGH44" s="170"/>
      <c r="SGI44" s="172"/>
      <c r="SGJ44" s="170"/>
      <c r="SGK44" s="172"/>
      <c r="SGL44" s="170"/>
      <c r="SGM44" s="172"/>
      <c r="SGN44" s="170"/>
      <c r="SGO44" s="172"/>
      <c r="SGP44" s="170"/>
      <c r="SGQ44" s="172"/>
      <c r="SGR44" s="170"/>
      <c r="SGS44" s="172"/>
      <c r="SGT44" s="170"/>
      <c r="SGU44" s="172"/>
      <c r="SGV44" s="170"/>
      <c r="SGW44" s="172"/>
      <c r="SGX44" s="170"/>
      <c r="SGY44" s="172"/>
      <c r="SGZ44" s="170"/>
      <c r="SHA44" s="172"/>
      <c r="SHB44" s="170"/>
      <c r="SHC44" s="172"/>
      <c r="SHD44" s="170"/>
      <c r="SHE44" s="172"/>
      <c r="SHF44" s="170"/>
      <c r="SHG44" s="172"/>
      <c r="SHH44" s="170"/>
      <c r="SHI44" s="172"/>
      <c r="SHJ44" s="170"/>
      <c r="SHK44" s="172"/>
      <c r="SHL44" s="170"/>
      <c r="SHM44" s="172"/>
      <c r="SHN44" s="170"/>
      <c r="SHO44" s="172"/>
      <c r="SHP44" s="170"/>
      <c r="SHQ44" s="172"/>
      <c r="SHR44" s="170"/>
      <c r="SHS44" s="172"/>
      <c r="SHT44" s="170"/>
      <c r="SHU44" s="172"/>
      <c r="SHV44" s="170"/>
      <c r="SHW44" s="172"/>
      <c r="SHX44" s="170"/>
      <c r="SHY44" s="172"/>
      <c r="SHZ44" s="170"/>
      <c r="SIA44" s="172"/>
      <c r="SIB44" s="170"/>
      <c r="SIC44" s="172"/>
      <c r="SID44" s="170"/>
      <c r="SIE44" s="172"/>
      <c r="SIF44" s="170"/>
      <c r="SIG44" s="172"/>
      <c r="SIH44" s="170"/>
      <c r="SII44" s="172"/>
      <c r="SIJ44" s="170"/>
      <c r="SIK44" s="172"/>
      <c r="SIL44" s="170"/>
      <c r="SIM44" s="172"/>
      <c r="SIN44" s="170"/>
      <c r="SIO44" s="172"/>
      <c r="SIP44" s="170"/>
      <c r="SIQ44" s="172"/>
      <c r="SIR44" s="170"/>
      <c r="SIS44" s="172"/>
      <c r="SIT44" s="170"/>
      <c r="SIU44" s="172"/>
      <c r="SIV44" s="170"/>
      <c r="SIW44" s="172"/>
      <c r="SIX44" s="170"/>
      <c r="SIY44" s="172"/>
      <c r="SIZ44" s="170"/>
      <c r="SJA44" s="172"/>
      <c r="SJB44" s="170"/>
      <c r="SJC44" s="172"/>
      <c r="SJD44" s="170"/>
      <c r="SJE44" s="172"/>
      <c r="SJF44" s="170"/>
      <c r="SJG44" s="172"/>
      <c r="SJH44" s="170"/>
      <c r="SJI44" s="172"/>
      <c r="SJJ44" s="170"/>
      <c r="SJK44" s="172"/>
      <c r="SJL44" s="170"/>
      <c r="SJM44" s="172"/>
      <c r="SJN44" s="170"/>
      <c r="SJO44" s="172"/>
      <c r="SJP44" s="170"/>
      <c r="SJQ44" s="172"/>
      <c r="SJR44" s="170"/>
      <c r="SJS44" s="172"/>
      <c r="SJT44" s="170"/>
      <c r="SJU44" s="172"/>
      <c r="SJV44" s="170"/>
      <c r="SJW44" s="172"/>
      <c r="SJX44" s="170"/>
      <c r="SJY44" s="172"/>
      <c r="SJZ44" s="170"/>
      <c r="SKA44" s="172"/>
      <c r="SKB44" s="170"/>
      <c r="SKC44" s="172"/>
      <c r="SKD44" s="170"/>
      <c r="SKE44" s="172"/>
      <c r="SKF44" s="170"/>
      <c r="SKG44" s="172"/>
      <c r="SKH44" s="170"/>
      <c r="SKI44" s="172"/>
      <c r="SKJ44" s="170"/>
      <c r="SKK44" s="172"/>
      <c r="SKL44" s="170"/>
      <c r="SKM44" s="172"/>
      <c r="SKN44" s="170"/>
      <c r="SKO44" s="172"/>
      <c r="SKP44" s="170"/>
      <c r="SKQ44" s="172"/>
      <c r="SKR44" s="170"/>
      <c r="SKS44" s="172"/>
      <c r="SKT44" s="170"/>
      <c r="SKU44" s="172"/>
      <c r="SKV44" s="170"/>
      <c r="SKW44" s="172"/>
      <c r="SKX44" s="170"/>
      <c r="SKY44" s="172"/>
      <c r="SKZ44" s="170"/>
      <c r="SLA44" s="172"/>
      <c r="SLB44" s="170"/>
      <c r="SLC44" s="172"/>
      <c r="SLD44" s="170"/>
      <c r="SLE44" s="172"/>
      <c r="SLF44" s="170"/>
      <c r="SLG44" s="172"/>
      <c r="SLH44" s="170"/>
      <c r="SLI44" s="172"/>
      <c r="SLJ44" s="170"/>
      <c r="SLK44" s="172"/>
      <c r="SLL44" s="170"/>
      <c r="SLM44" s="172"/>
      <c r="SLN44" s="170"/>
      <c r="SLO44" s="172"/>
      <c r="SLP44" s="170"/>
      <c r="SLQ44" s="172"/>
      <c r="SLR44" s="170"/>
      <c r="SLS44" s="172"/>
      <c r="SLT44" s="170"/>
      <c r="SLU44" s="172"/>
      <c r="SLV44" s="170"/>
      <c r="SLW44" s="172"/>
      <c r="SLX44" s="170"/>
      <c r="SLY44" s="172"/>
      <c r="SLZ44" s="170"/>
      <c r="SMA44" s="172"/>
      <c r="SMB44" s="170"/>
      <c r="SMC44" s="172"/>
      <c r="SMD44" s="170"/>
      <c r="SME44" s="172"/>
      <c r="SMF44" s="170"/>
      <c r="SMG44" s="172"/>
      <c r="SMH44" s="170"/>
      <c r="SMI44" s="172"/>
      <c r="SMJ44" s="170"/>
      <c r="SMK44" s="172"/>
      <c r="SML44" s="170"/>
      <c r="SMM44" s="172"/>
      <c r="SMN44" s="170"/>
      <c r="SMO44" s="172"/>
      <c r="SMP44" s="170"/>
      <c r="SMQ44" s="172"/>
      <c r="SMR44" s="170"/>
      <c r="SMS44" s="172"/>
      <c r="SMT44" s="170"/>
      <c r="SMU44" s="172"/>
      <c r="SMV44" s="170"/>
      <c r="SMW44" s="172"/>
      <c r="SMX44" s="170"/>
      <c r="SMY44" s="172"/>
      <c r="SMZ44" s="170"/>
      <c r="SNA44" s="172"/>
      <c r="SNB44" s="170"/>
      <c r="SNC44" s="172"/>
      <c r="SND44" s="170"/>
      <c r="SNE44" s="172"/>
      <c r="SNF44" s="170"/>
      <c r="SNG44" s="172"/>
      <c r="SNH44" s="170"/>
      <c r="SNI44" s="172"/>
      <c r="SNJ44" s="170"/>
      <c r="SNK44" s="172"/>
      <c r="SNL44" s="170"/>
      <c r="SNM44" s="172"/>
      <c r="SNN44" s="170"/>
      <c r="SNO44" s="172"/>
      <c r="SNP44" s="170"/>
      <c r="SNQ44" s="172"/>
      <c r="SNR44" s="170"/>
      <c r="SNS44" s="172"/>
      <c r="SNT44" s="170"/>
      <c r="SNU44" s="172"/>
      <c r="SNV44" s="170"/>
      <c r="SNW44" s="172"/>
      <c r="SNX44" s="170"/>
      <c r="SNY44" s="172"/>
      <c r="SNZ44" s="170"/>
      <c r="SOA44" s="172"/>
      <c r="SOB44" s="170"/>
      <c r="SOC44" s="172"/>
      <c r="SOD44" s="170"/>
      <c r="SOE44" s="172"/>
      <c r="SOF44" s="170"/>
      <c r="SOG44" s="172"/>
      <c r="SOH44" s="170"/>
      <c r="SOI44" s="172"/>
      <c r="SOJ44" s="170"/>
      <c r="SOK44" s="172"/>
      <c r="SOL44" s="170"/>
      <c r="SOM44" s="172"/>
      <c r="SON44" s="170"/>
      <c r="SOO44" s="172"/>
      <c r="SOP44" s="170"/>
      <c r="SOQ44" s="172"/>
      <c r="SOR44" s="170"/>
      <c r="SOS44" s="172"/>
      <c r="SOT44" s="170"/>
      <c r="SOU44" s="172"/>
      <c r="SOV44" s="170"/>
      <c r="SOW44" s="172"/>
      <c r="SOX44" s="170"/>
      <c r="SOY44" s="172"/>
      <c r="SOZ44" s="170"/>
      <c r="SPA44" s="172"/>
      <c r="SPB44" s="170"/>
      <c r="SPC44" s="172"/>
      <c r="SPD44" s="170"/>
      <c r="SPE44" s="172"/>
      <c r="SPF44" s="170"/>
      <c r="SPG44" s="172"/>
      <c r="SPH44" s="170"/>
      <c r="SPI44" s="172"/>
      <c r="SPJ44" s="170"/>
      <c r="SPK44" s="172"/>
      <c r="SPL44" s="170"/>
      <c r="SPM44" s="172"/>
      <c r="SPN44" s="170"/>
      <c r="SPO44" s="172"/>
      <c r="SPP44" s="170"/>
      <c r="SPQ44" s="172"/>
      <c r="SPR44" s="170"/>
      <c r="SPS44" s="172"/>
      <c r="SPT44" s="170"/>
      <c r="SPU44" s="172"/>
      <c r="SPV44" s="170"/>
      <c r="SPW44" s="172"/>
      <c r="SPX44" s="170"/>
      <c r="SPY44" s="172"/>
      <c r="SPZ44" s="170"/>
      <c r="SQA44" s="172"/>
      <c r="SQB44" s="170"/>
      <c r="SQC44" s="172"/>
      <c r="SQD44" s="170"/>
      <c r="SQE44" s="172"/>
      <c r="SQF44" s="170"/>
      <c r="SQG44" s="172"/>
      <c r="SQH44" s="170"/>
      <c r="SQI44" s="172"/>
      <c r="SQJ44" s="170"/>
      <c r="SQK44" s="172"/>
      <c r="SQL44" s="170"/>
      <c r="SQM44" s="172"/>
      <c r="SQN44" s="170"/>
      <c r="SQO44" s="172"/>
      <c r="SQP44" s="170"/>
      <c r="SQQ44" s="172"/>
      <c r="SQR44" s="170"/>
      <c r="SQS44" s="172"/>
      <c r="SQT44" s="170"/>
      <c r="SQU44" s="172"/>
      <c r="SQV44" s="170"/>
      <c r="SQW44" s="172"/>
      <c r="SQX44" s="170"/>
      <c r="SQY44" s="172"/>
      <c r="SQZ44" s="170"/>
      <c r="SRA44" s="172"/>
      <c r="SRB44" s="170"/>
      <c r="SRC44" s="172"/>
      <c r="SRD44" s="170"/>
      <c r="SRE44" s="172"/>
      <c r="SRF44" s="170"/>
      <c r="SRG44" s="172"/>
      <c r="SRH44" s="170"/>
      <c r="SRI44" s="172"/>
      <c r="SRJ44" s="170"/>
      <c r="SRK44" s="172"/>
      <c r="SRL44" s="170"/>
      <c r="SRM44" s="172"/>
      <c r="SRN44" s="170"/>
      <c r="SRO44" s="172"/>
      <c r="SRP44" s="170"/>
      <c r="SRQ44" s="172"/>
      <c r="SRR44" s="170"/>
      <c r="SRS44" s="172"/>
      <c r="SRT44" s="170"/>
      <c r="SRU44" s="172"/>
      <c r="SRV44" s="170"/>
      <c r="SRW44" s="172"/>
      <c r="SRX44" s="170"/>
      <c r="SRY44" s="172"/>
      <c r="SRZ44" s="170"/>
      <c r="SSA44" s="172"/>
      <c r="SSB44" s="170"/>
      <c r="SSC44" s="172"/>
      <c r="SSD44" s="170"/>
      <c r="SSE44" s="172"/>
      <c r="SSF44" s="170"/>
      <c r="SSG44" s="172"/>
      <c r="SSH44" s="170"/>
      <c r="SSI44" s="172"/>
      <c r="SSJ44" s="170"/>
      <c r="SSK44" s="172"/>
      <c r="SSL44" s="170"/>
      <c r="SSM44" s="172"/>
      <c r="SSN44" s="170"/>
      <c r="SSO44" s="172"/>
      <c r="SSP44" s="170"/>
      <c r="SSQ44" s="172"/>
      <c r="SSR44" s="170"/>
      <c r="SSS44" s="172"/>
      <c r="SST44" s="170"/>
      <c r="SSU44" s="172"/>
      <c r="SSV44" s="170"/>
      <c r="SSW44" s="172"/>
      <c r="SSX44" s="170"/>
      <c r="SSY44" s="172"/>
      <c r="SSZ44" s="170"/>
      <c r="STA44" s="172"/>
      <c r="STB44" s="170"/>
      <c r="STC44" s="172"/>
      <c r="STD44" s="170"/>
      <c r="STE44" s="172"/>
      <c r="STF44" s="170"/>
      <c r="STG44" s="172"/>
      <c r="STH44" s="170"/>
      <c r="STI44" s="172"/>
      <c r="STJ44" s="170"/>
      <c r="STK44" s="172"/>
      <c r="STL44" s="170"/>
      <c r="STM44" s="172"/>
      <c r="STN44" s="170"/>
      <c r="STO44" s="172"/>
      <c r="STP44" s="170"/>
      <c r="STQ44" s="172"/>
      <c r="STR44" s="170"/>
      <c r="STS44" s="172"/>
      <c r="STT44" s="170"/>
      <c r="STU44" s="172"/>
      <c r="STV44" s="170"/>
      <c r="STW44" s="172"/>
      <c r="STX44" s="170"/>
      <c r="STY44" s="172"/>
      <c r="STZ44" s="170"/>
      <c r="SUA44" s="172"/>
      <c r="SUB44" s="170"/>
      <c r="SUC44" s="172"/>
      <c r="SUD44" s="170"/>
      <c r="SUE44" s="172"/>
      <c r="SUF44" s="170"/>
      <c r="SUG44" s="172"/>
      <c r="SUH44" s="170"/>
      <c r="SUI44" s="172"/>
      <c r="SUJ44" s="170"/>
      <c r="SUK44" s="172"/>
      <c r="SUL44" s="170"/>
      <c r="SUM44" s="172"/>
      <c r="SUN44" s="170"/>
      <c r="SUO44" s="172"/>
      <c r="SUP44" s="170"/>
      <c r="SUQ44" s="172"/>
      <c r="SUR44" s="170"/>
      <c r="SUS44" s="172"/>
      <c r="SUT44" s="170"/>
      <c r="SUU44" s="172"/>
      <c r="SUV44" s="170"/>
      <c r="SUW44" s="172"/>
      <c r="SUX44" s="170"/>
      <c r="SUY44" s="172"/>
      <c r="SUZ44" s="170"/>
      <c r="SVA44" s="172"/>
      <c r="SVB44" s="170"/>
      <c r="SVC44" s="172"/>
      <c r="SVD44" s="170"/>
      <c r="SVE44" s="172"/>
      <c r="SVF44" s="170"/>
      <c r="SVG44" s="172"/>
      <c r="SVH44" s="170"/>
      <c r="SVI44" s="172"/>
      <c r="SVJ44" s="170"/>
      <c r="SVK44" s="172"/>
      <c r="SVL44" s="170"/>
      <c r="SVM44" s="172"/>
      <c r="SVN44" s="170"/>
      <c r="SVO44" s="172"/>
      <c r="SVP44" s="170"/>
      <c r="SVQ44" s="172"/>
      <c r="SVR44" s="170"/>
      <c r="SVS44" s="172"/>
      <c r="SVT44" s="170"/>
      <c r="SVU44" s="172"/>
      <c r="SVV44" s="170"/>
      <c r="SVW44" s="172"/>
      <c r="SVX44" s="170"/>
      <c r="SVY44" s="172"/>
      <c r="SVZ44" s="170"/>
      <c r="SWA44" s="172"/>
      <c r="SWB44" s="170"/>
      <c r="SWC44" s="172"/>
      <c r="SWD44" s="170"/>
      <c r="SWE44" s="172"/>
      <c r="SWF44" s="170"/>
      <c r="SWG44" s="172"/>
      <c r="SWH44" s="170"/>
      <c r="SWI44" s="172"/>
      <c r="SWJ44" s="170"/>
      <c r="SWK44" s="172"/>
      <c r="SWL44" s="170"/>
      <c r="SWM44" s="172"/>
      <c r="SWN44" s="170"/>
      <c r="SWO44" s="172"/>
      <c r="SWP44" s="170"/>
      <c r="SWQ44" s="172"/>
      <c r="SWR44" s="170"/>
      <c r="SWS44" s="172"/>
      <c r="SWT44" s="170"/>
      <c r="SWU44" s="172"/>
      <c r="SWV44" s="170"/>
      <c r="SWW44" s="172"/>
      <c r="SWX44" s="170"/>
      <c r="SWY44" s="172"/>
      <c r="SWZ44" s="170"/>
      <c r="SXA44" s="172"/>
      <c r="SXB44" s="170"/>
      <c r="SXC44" s="172"/>
      <c r="SXD44" s="170"/>
      <c r="SXE44" s="172"/>
      <c r="SXF44" s="170"/>
      <c r="SXG44" s="172"/>
      <c r="SXH44" s="170"/>
      <c r="SXI44" s="172"/>
      <c r="SXJ44" s="170"/>
      <c r="SXK44" s="172"/>
      <c r="SXL44" s="170"/>
      <c r="SXM44" s="172"/>
      <c r="SXN44" s="170"/>
      <c r="SXO44" s="172"/>
      <c r="SXP44" s="170"/>
      <c r="SXQ44" s="172"/>
      <c r="SXR44" s="170"/>
      <c r="SXS44" s="172"/>
      <c r="SXT44" s="170"/>
      <c r="SXU44" s="172"/>
      <c r="SXV44" s="170"/>
      <c r="SXW44" s="172"/>
      <c r="SXX44" s="170"/>
      <c r="SXY44" s="172"/>
      <c r="SXZ44" s="170"/>
      <c r="SYA44" s="172"/>
      <c r="SYB44" s="170"/>
      <c r="SYC44" s="172"/>
      <c r="SYD44" s="170"/>
      <c r="SYE44" s="172"/>
      <c r="SYF44" s="170"/>
      <c r="SYG44" s="172"/>
      <c r="SYH44" s="170"/>
      <c r="SYI44" s="172"/>
      <c r="SYJ44" s="170"/>
      <c r="SYK44" s="172"/>
      <c r="SYL44" s="170"/>
      <c r="SYM44" s="172"/>
      <c r="SYN44" s="170"/>
      <c r="SYO44" s="172"/>
      <c r="SYP44" s="170"/>
      <c r="SYQ44" s="172"/>
      <c r="SYR44" s="170"/>
      <c r="SYS44" s="172"/>
      <c r="SYT44" s="170"/>
      <c r="SYU44" s="172"/>
      <c r="SYV44" s="170"/>
      <c r="SYW44" s="172"/>
      <c r="SYX44" s="170"/>
      <c r="SYY44" s="172"/>
      <c r="SYZ44" s="170"/>
      <c r="SZA44" s="172"/>
      <c r="SZB44" s="170"/>
      <c r="SZC44" s="172"/>
      <c r="SZD44" s="170"/>
      <c r="SZE44" s="172"/>
      <c r="SZF44" s="170"/>
      <c r="SZG44" s="172"/>
      <c r="SZH44" s="170"/>
      <c r="SZI44" s="172"/>
      <c r="SZJ44" s="170"/>
      <c r="SZK44" s="172"/>
      <c r="SZL44" s="170"/>
      <c r="SZM44" s="172"/>
      <c r="SZN44" s="170"/>
      <c r="SZO44" s="172"/>
      <c r="SZP44" s="170"/>
      <c r="SZQ44" s="172"/>
      <c r="SZR44" s="170"/>
      <c r="SZS44" s="172"/>
      <c r="SZT44" s="170"/>
      <c r="SZU44" s="172"/>
      <c r="SZV44" s="170"/>
      <c r="SZW44" s="172"/>
      <c r="SZX44" s="170"/>
      <c r="SZY44" s="172"/>
      <c r="SZZ44" s="170"/>
      <c r="TAA44" s="172"/>
      <c r="TAB44" s="170"/>
      <c r="TAC44" s="172"/>
      <c r="TAD44" s="170"/>
      <c r="TAE44" s="172"/>
      <c r="TAF44" s="170"/>
      <c r="TAG44" s="172"/>
      <c r="TAH44" s="170"/>
      <c r="TAI44" s="172"/>
      <c r="TAJ44" s="170"/>
      <c r="TAK44" s="172"/>
      <c r="TAL44" s="170"/>
      <c r="TAM44" s="172"/>
      <c r="TAN44" s="170"/>
      <c r="TAO44" s="172"/>
      <c r="TAP44" s="170"/>
      <c r="TAQ44" s="172"/>
      <c r="TAR44" s="170"/>
      <c r="TAS44" s="172"/>
      <c r="TAT44" s="170"/>
      <c r="TAU44" s="172"/>
      <c r="TAV44" s="170"/>
      <c r="TAW44" s="172"/>
      <c r="TAX44" s="170"/>
      <c r="TAY44" s="172"/>
      <c r="TAZ44" s="170"/>
      <c r="TBA44" s="172"/>
      <c r="TBB44" s="170"/>
      <c r="TBC44" s="172"/>
      <c r="TBD44" s="170"/>
      <c r="TBE44" s="172"/>
      <c r="TBF44" s="170"/>
      <c r="TBG44" s="172"/>
      <c r="TBH44" s="170"/>
      <c r="TBI44" s="172"/>
      <c r="TBJ44" s="170"/>
      <c r="TBK44" s="172"/>
      <c r="TBL44" s="170"/>
      <c r="TBM44" s="172"/>
      <c r="TBN44" s="170"/>
      <c r="TBO44" s="172"/>
      <c r="TBP44" s="170"/>
      <c r="TBQ44" s="172"/>
      <c r="TBR44" s="170"/>
      <c r="TBS44" s="172"/>
      <c r="TBT44" s="170"/>
      <c r="TBU44" s="172"/>
      <c r="TBV44" s="170"/>
      <c r="TBW44" s="172"/>
      <c r="TBX44" s="170"/>
      <c r="TBY44" s="172"/>
      <c r="TBZ44" s="170"/>
      <c r="TCA44" s="172"/>
      <c r="TCB44" s="170"/>
      <c r="TCC44" s="172"/>
      <c r="TCD44" s="170"/>
      <c r="TCE44" s="172"/>
      <c r="TCF44" s="170"/>
      <c r="TCG44" s="172"/>
      <c r="TCH44" s="170"/>
      <c r="TCI44" s="172"/>
      <c r="TCJ44" s="170"/>
      <c r="TCK44" s="172"/>
      <c r="TCL44" s="170"/>
      <c r="TCM44" s="172"/>
      <c r="TCN44" s="170"/>
      <c r="TCO44" s="172"/>
      <c r="TCP44" s="170"/>
      <c r="TCQ44" s="172"/>
      <c r="TCR44" s="170"/>
      <c r="TCS44" s="172"/>
      <c r="TCT44" s="170"/>
      <c r="TCU44" s="172"/>
      <c r="TCV44" s="170"/>
      <c r="TCW44" s="172"/>
      <c r="TCX44" s="170"/>
      <c r="TCY44" s="172"/>
      <c r="TCZ44" s="170"/>
      <c r="TDA44" s="172"/>
      <c r="TDB44" s="170"/>
      <c r="TDC44" s="172"/>
      <c r="TDD44" s="170"/>
      <c r="TDE44" s="172"/>
      <c r="TDF44" s="170"/>
      <c r="TDG44" s="172"/>
      <c r="TDH44" s="170"/>
      <c r="TDI44" s="172"/>
      <c r="TDJ44" s="170"/>
      <c r="TDK44" s="172"/>
      <c r="TDL44" s="170"/>
      <c r="TDM44" s="172"/>
      <c r="TDN44" s="170"/>
      <c r="TDO44" s="172"/>
      <c r="TDP44" s="170"/>
      <c r="TDQ44" s="172"/>
      <c r="TDR44" s="170"/>
      <c r="TDS44" s="172"/>
      <c r="TDT44" s="170"/>
      <c r="TDU44" s="172"/>
      <c r="TDV44" s="170"/>
      <c r="TDW44" s="172"/>
      <c r="TDX44" s="170"/>
      <c r="TDY44" s="172"/>
      <c r="TDZ44" s="170"/>
      <c r="TEA44" s="172"/>
      <c r="TEB44" s="170"/>
      <c r="TEC44" s="172"/>
      <c r="TED44" s="170"/>
      <c r="TEE44" s="172"/>
      <c r="TEF44" s="170"/>
      <c r="TEG44" s="172"/>
      <c r="TEH44" s="170"/>
      <c r="TEI44" s="172"/>
      <c r="TEJ44" s="170"/>
      <c r="TEK44" s="172"/>
      <c r="TEL44" s="170"/>
      <c r="TEM44" s="172"/>
      <c r="TEN44" s="170"/>
      <c r="TEO44" s="172"/>
      <c r="TEP44" s="170"/>
      <c r="TEQ44" s="172"/>
      <c r="TER44" s="170"/>
      <c r="TES44" s="172"/>
      <c r="TET44" s="170"/>
      <c r="TEU44" s="172"/>
      <c r="TEV44" s="170"/>
      <c r="TEW44" s="172"/>
      <c r="TEX44" s="170"/>
      <c r="TEY44" s="172"/>
      <c r="TEZ44" s="170"/>
      <c r="TFA44" s="172"/>
      <c r="TFB44" s="170"/>
      <c r="TFC44" s="172"/>
      <c r="TFD44" s="170"/>
      <c r="TFE44" s="172"/>
      <c r="TFF44" s="170"/>
      <c r="TFG44" s="172"/>
      <c r="TFH44" s="170"/>
      <c r="TFI44" s="172"/>
      <c r="TFJ44" s="170"/>
      <c r="TFK44" s="172"/>
      <c r="TFL44" s="170"/>
      <c r="TFM44" s="172"/>
      <c r="TFN44" s="170"/>
      <c r="TFO44" s="172"/>
      <c r="TFP44" s="170"/>
      <c r="TFQ44" s="172"/>
      <c r="TFR44" s="170"/>
      <c r="TFS44" s="172"/>
      <c r="TFT44" s="170"/>
      <c r="TFU44" s="172"/>
      <c r="TFV44" s="170"/>
      <c r="TFW44" s="172"/>
      <c r="TFX44" s="170"/>
      <c r="TFY44" s="172"/>
      <c r="TFZ44" s="170"/>
      <c r="TGA44" s="172"/>
      <c r="TGB44" s="170"/>
      <c r="TGC44" s="172"/>
      <c r="TGD44" s="170"/>
      <c r="TGE44" s="172"/>
      <c r="TGF44" s="170"/>
      <c r="TGG44" s="172"/>
      <c r="TGH44" s="170"/>
      <c r="TGI44" s="172"/>
      <c r="TGJ44" s="170"/>
      <c r="TGK44" s="172"/>
      <c r="TGL44" s="170"/>
      <c r="TGM44" s="172"/>
      <c r="TGN44" s="170"/>
      <c r="TGO44" s="172"/>
      <c r="TGP44" s="170"/>
      <c r="TGQ44" s="172"/>
      <c r="TGR44" s="170"/>
      <c r="TGS44" s="172"/>
      <c r="TGT44" s="170"/>
      <c r="TGU44" s="172"/>
      <c r="TGV44" s="170"/>
      <c r="TGW44" s="172"/>
      <c r="TGX44" s="170"/>
      <c r="TGY44" s="172"/>
      <c r="TGZ44" s="170"/>
      <c r="THA44" s="172"/>
      <c r="THB44" s="170"/>
      <c r="THC44" s="172"/>
      <c r="THD44" s="170"/>
      <c r="THE44" s="172"/>
      <c r="THF44" s="170"/>
      <c r="THG44" s="172"/>
      <c r="THH44" s="170"/>
      <c r="THI44" s="172"/>
      <c r="THJ44" s="170"/>
      <c r="THK44" s="172"/>
      <c r="THL44" s="170"/>
      <c r="THM44" s="172"/>
      <c r="THN44" s="170"/>
      <c r="THO44" s="172"/>
      <c r="THP44" s="170"/>
      <c r="THQ44" s="172"/>
      <c r="THR44" s="170"/>
      <c r="THS44" s="172"/>
      <c r="THT44" s="170"/>
      <c r="THU44" s="172"/>
      <c r="THV44" s="170"/>
      <c r="THW44" s="172"/>
      <c r="THX44" s="170"/>
      <c r="THY44" s="172"/>
      <c r="THZ44" s="170"/>
      <c r="TIA44" s="172"/>
      <c r="TIB44" s="170"/>
      <c r="TIC44" s="172"/>
      <c r="TID44" s="170"/>
      <c r="TIE44" s="172"/>
      <c r="TIF44" s="170"/>
      <c r="TIG44" s="172"/>
      <c r="TIH44" s="170"/>
      <c r="TII44" s="172"/>
      <c r="TIJ44" s="170"/>
      <c r="TIK44" s="172"/>
      <c r="TIL44" s="170"/>
      <c r="TIM44" s="172"/>
      <c r="TIN44" s="170"/>
      <c r="TIO44" s="172"/>
      <c r="TIP44" s="170"/>
      <c r="TIQ44" s="172"/>
      <c r="TIR44" s="170"/>
      <c r="TIS44" s="172"/>
      <c r="TIT44" s="170"/>
      <c r="TIU44" s="172"/>
      <c r="TIV44" s="170"/>
      <c r="TIW44" s="172"/>
      <c r="TIX44" s="170"/>
      <c r="TIY44" s="172"/>
      <c r="TIZ44" s="170"/>
      <c r="TJA44" s="172"/>
      <c r="TJB44" s="170"/>
      <c r="TJC44" s="172"/>
      <c r="TJD44" s="170"/>
      <c r="TJE44" s="172"/>
      <c r="TJF44" s="170"/>
      <c r="TJG44" s="172"/>
      <c r="TJH44" s="170"/>
      <c r="TJI44" s="172"/>
      <c r="TJJ44" s="170"/>
      <c r="TJK44" s="172"/>
      <c r="TJL44" s="170"/>
      <c r="TJM44" s="172"/>
      <c r="TJN44" s="170"/>
      <c r="TJO44" s="172"/>
      <c r="TJP44" s="170"/>
      <c r="TJQ44" s="172"/>
      <c r="TJR44" s="170"/>
      <c r="TJS44" s="172"/>
      <c r="TJT44" s="170"/>
      <c r="TJU44" s="172"/>
      <c r="TJV44" s="170"/>
      <c r="TJW44" s="172"/>
      <c r="TJX44" s="170"/>
      <c r="TJY44" s="172"/>
      <c r="TJZ44" s="170"/>
      <c r="TKA44" s="172"/>
      <c r="TKB44" s="170"/>
      <c r="TKC44" s="172"/>
      <c r="TKD44" s="170"/>
      <c r="TKE44" s="172"/>
      <c r="TKF44" s="170"/>
      <c r="TKG44" s="172"/>
      <c r="TKH44" s="170"/>
      <c r="TKI44" s="172"/>
      <c r="TKJ44" s="170"/>
      <c r="TKK44" s="172"/>
      <c r="TKL44" s="170"/>
      <c r="TKM44" s="172"/>
      <c r="TKN44" s="170"/>
      <c r="TKO44" s="172"/>
      <c r="TKP44" s="170"/>
      <c r="TKQ44" s="172"/>
      <c r="TKR44" s="170"/>
      <c r="TKS44" s="172"/>
      <c r="TKT44" s="170"/>
      <c r="TKU44" s="172"/>
      <c r="TKV44" s="170"/>
      <c r="TKW44" s="172"/>
      <c r="TKX44" s="170"/>
      <c r="TKY44" s="172"/>
      <c r="TKZ44" s="170"/>
      <c r="TLA44" s="172"/>
      <c r="TLB44" s="170"/>
      <c r="TLC44" s="172"/>
      <c r="TLD44" s="170"/>
      <c r="TLE44" s="172"/>
      <c r="TLF44" s="170"/>
      <c r="TLG44" s="172"/>
      <c r="TLH44" s="170"/>
      <c r="TLI44" s="172"/>
      <c r="TLJ44" s="170"/>
      <c r="TLK44" s="172"/>
      <c r="TLL44" s="170"/>
      <c r="TLM44" s="172"/>
      <c r="TLN44" s="170"/>
      <c r="TLO44" s="172"/>
      <c r="TLP44" s="170"/>
      <c r="TLQ44" s="172"/>
      <c r="TLR44" s="170"/>
      <c r="TLS44" s="172"/>
      <c r="TLT44" s="170"/>
      <c r="TLU44" s="172"/>
      <c r="TLV44" s="170"/>
      <c r="TLW44" s="172"/>
      <c r="TLX44" s="170"/>
      <c r="TLY44" s="172"/>
      <c r="TLZ44" s="170"/>
      <c r="TMA44" s="172"/>
      <c r="TMB44" s="170"/>
      <c r="TMC44" s="172"/>
      <c r="TMD44" s="170"/>
      <c r="TME44" s="172"/>
      <c r="TMF44" s="170"/>
      <c r="TMG44" s="172"/>
      <c r="TMH44" s="170"/>
      <c r="TMI44" s="172"/>
      <c r="TMJ44" s="170"/>
      <c r="TMK44" s="172"/>
      <c r="TML44" s="170"/>
      <c r="TMM44" s="172"/>
      <c r="TMN44" s="170"/>
      <c r="TMO44" s="172"/>
      <c r="TMP44" s="170"/>
      <c r="TMQ44" s="172"/>
      <c r="TMR44" s="170"/>
      <c r="TMS44" s="172"/>
      <c r="TMT44" s="170"/>
      <c r="TMU44" s="172"/>
      <c r="TMV44" s="170"/>
      <c r="TMW44" s="172"/>
      <c r="TMX44" s="170"/>
      <c r="TMY44" s="172"/>
      <c r="TMZ44" s="170"/>
      <c r="TNA44" s="172"/>
      <c r="TNB44" s="170"/>
      <c r="TNC44" s="172"/>
      <c r="TND44" s="170"/>
      <c r="TNE44" s="172"/>
      <c r="TNF44" s="170"/>
      <c r="TNG44" s="172"/>
      <c r="TNH44" s="170"/>
      <c r="TNI44" s="172"/>
      <c r="TNJ44" s="170"/>
      <c r="TNK44" s="172"/>
      <c r="TNL44" s="170"/>
      <c r="TNM44" s="172"/>
      <c r="TNN44" s="170"/>
      <c r="TNO44" s="172"/>
      <c r="TNP44" s="170"/>
      <c r="TNQ44" s="172"/>
      <c r="TNR44" s="170"/>
      <c r="TNS44" s="172"/>
      <c r="TNT44" s="170"/>
      <c r="TNU44" s="172"/>
      <c r="TNV44" s="170"/>
      <c r="TNW44" s="172"/>
      <c r="TNX44" s="170"/>
      <c r="TNY44" s="172"/>
      <c r="TNZ44" s="170"/>
      <c r="TOA44" s="172"/>
      <c r="TOB44" s="170"/>
      <c r="TOC44" s="172"/>
      <c r="TOD44" s="170"/>
      <c r="TOE44" s="172"/>
      <c r="TOF44" s="170"/>
      <c r="TOG44" s="172"/>
      <c r="TOH44" s="170"/>
      <c r="TOI44" s="172"/>
      <c r="TOJ44" s="170"/>
      <c r="TOK44" s="172"/>
      <c r="TOL44" s="170"/>
      <c r="TOM44" s="172"/>
      <c r="TON44" s="170"/>
      <c r="TOO44" s="172"/>
      <c r="TOP44" s="170"/>
      <c r="TOQ44" s="172"/>
      <c r="TOR44" s="170"/>
      <c r="TOS44" s="172"/>
      <c r="TOT44" s="170"/>
      <c r="TOU44" s="172"/>
      <c r="TOV44" s="170"/>
      <c r="TOW44" s="172"/>
      <c r="TOX44" s="170"/>
      <c r="TOY44" s="172"/>
      <c r="TOZ44" s="170"/>
      <c r="TPA44" s="172"/>
      <c r="TPB44" s="170"/>
      <c r="TPC44" s="172"/>
      <c r="TPD44" s="170"/>
      <c r="TPE44" s="172"/>
      <c r="TPF44" s="170"/>
      <c r="TPG44" s="172"/>
      <c r="TPH44" s="170"/>
      <c r="TPI44" s="172"/>
      <c r="TPJ44" s="170"/>
      <c r="TPK44" s="172"/>
      <c r="TPL44" s="170"/>
      <c r="TPM44" s="172"/>
      <c r="TPN44" s="170"/>
      <c r="TPO44" s="172"/>
      <c r="TPP44" s="170"/>
      <c r="TPQ44" s="172"/>
      <c r="TPR44" s="170"/>
      <c r="TPS44" s="172"/>
      <c r="TPT44" s="170"/>
      <c r="TPU44" s="172"/>
      <c r="TPV44" s="170"/>
      <c r="TPW44" s="172"/>
      <c r="TPX44" s="170"/>
      <c r="TPY44" s="172"/>
      <c r="TPZ44" s="170"/>
      <c r="TQA44" s="172"/>
      <c r="TQB44" s="170"/>
      <c r="TQC44" s="172"/>
      <c r="TQD44" s="170"/>
      <c r="TQE44" s="172"/>
      <c r="TQF44" s="170"/>
      <c r="TQG44" s="172"/>
      <c r="TQH44" s="170"/>
      <c r="TQI44" s="172"/>
      <c r="TQJ44" s="170"/>
      <c r="TQK44" s="172"/>
      <c r="TQL44" s="170"/>
      <c r="TQM44" s="172"/>
      <c r="TQN44" s="170"/>
      <c r="TQO44" s="172"/>
      <c r="TQP44" s="170"/>
      <c r="TQQ44" s="172"/>
      <c r="TQR44" s="170"/>
      <c r="TQS44" s="172"/>
      <c r="TQT44" s="170"/>
      <c r="TQU44" s="172"/>
      <c r="TQV44" s="170"/>
      <c r="TQW44" s="172"/>
      <c r="TQX44" s="170"/>
      <c r="TQY44" s="172"/>
      <c r="TQZ44" s="170"/>
      <c r="TRA44" s="172"/>
      <c r="TRB44" s="170"/>
      <c r="TRC44" s="172"/>
      <c r="TRD44" s="170"/>
      <c r="TRE44" s="172"/>
      <c r="TRF44" s="170"/>
      <c r="TRG44" s="172"/>
      <c r="TRH44" s="170"/>
      <c r="TRI44" s="172"/>
      <c r="TRJ44" s="170"/>
      <c r="TRK44" s="172"/>
      <c r="TRL44" s="170"/>
      <c r="TRM44" s="172"/>
      <c r="TRN44" s="170"/>
      <c r="TRO44" s="172"/>
      <c r="TRP44" s="170"/>
      <c r="TRQ44" s="172"/>
      <c r="TRR44" s="170"/>
      <c r="TRS44" s="172"/>
      <c r="TRT44" s="170"/>
      <c r="TRU44" s="172"/>
      <c r="TRV44" s="170"/>
      <c r="TRW44" s="172"/>
      <c r="TRX44" s="170"/>
      <c r="TRY44" s="172"/>
      <c r="TRZ44" s="170"/>
      <c r="TSA44" s="172"/>
      <c r="TSB44" s="170"/>
      <c r="TSC44" s="172"/>
      <c r="TSD44" s="170"/>
      <c r="TSE44" s="172"/>
      <c r="TSF44" s="170"/>
      <c r="TSG44" s="172"/>
      <c r="TSH44" s="170"/>
      <c r="TSI44" s="172"/>
      <c r="TSJ44" s="170"/>
      <c r="TSK44" s="172"/>
      <c r="TSL44" s="170"/>
      <c r="TSM44" s="172"/>
      <c r="TSN44" s="170"/>
      <c r="TSO44" s="172"/>
      <c r="TSP44" s="170"/>
      <c r="TSQ44" s="172"/>
      <c r="TSR44" s="170"/>
      <c r="TSS44" s="172"/>
      <c r="TST44" s="170"/>
      <c r="TSU44" s="172"/>
      <c r="TSV44" s="170"/>
      <c r="TSW44" s="172"/>
      <c r="TSX44" s="170"/>
      <c r="TSY44" s="172"/>
      <c r="TSZ44" s="170"/>
      <c r="TTA44" s="172"/>
      <c r="TTB44" s="170"/>
      <c r="TTC44" s="172"/>
      <c r="TTD44" s="170"/>
      <c r="TTE44" s="172"/>
      <c r="TTF44" s="170"/>
      <c r="TTG44" s="172"/>
      <c r="TTH44" s="170"/>
      <c r="TTI44" s="172"/>
      <c r="TTJ44" s="170"/>
      <c r="TTK44" s="172"/>
      <c r="TTL44" s="170"/>
      <c r="TTM44" s="172"/>
      <c r="TTN44" s="170"/>
      <c r="TTO44" s="172"/>
      <c r="TTP44" s="170"/>
      <c r="TTQ44" s="172"/>
      <c r="TTR44" s="170"/>
      <c r="TTS44" s="172"/>
      <c r="TTT44" s="170"/>
      <c r="TTU44" s="172"/>
      <c r="TTV44" s="170"/>
      <c r="TTW44" s="172"/>
      <c r="TTX44" s="170"/>
      <c r="TTY44" s="172"/>
      <c r="TTZ44" s="170"/>
      <c r="TUA44" s="172"/>
      <c r="TUB44" s="170"/>
      <c r="TUC44" s="172"/>
      <c r="TUD44" s="170"/>
      <c r="TUE44" s="172"/>
      <c r="TUF44" s="170"/>
      <c r="TUG44" s="172"/>
      <c r="TUH44" s="170"/>
      <c r="TUI44" s="172"/>
      <c r="TUJ44" s="170"/>
      <c r="TUK44" s="172"/>
      <c r="TUL44" s="170"/>
      <c r="TUM44" s="172"/>
      <c r="TUN44" s="170"/>
      <c r="TUO44" s="172"/>
      <c r="TUP44" s="170"/>
      <c r="TUQ44" s="172"/>
      <c r="TUR44" s="170"/>
      <c r="TUS44" s="172"/>
      <c r="TUT44" s="170"/>
      <c r="TUU44" s="172"/>
      <c r="TUV44" s="170"/>
      <c r="TUW44" s="172"/>
      <c r="TUX44" s="170"/>
      <c r="TUY44" s="172"/>
      <c r="TUZ44" s="170"/>
      <c r="TVA44" s="172"/>
      <c r="TVB44" s="170"/>
      <c r="TVC44" s="172"/>
      <c r="TVD44" s="170"/>
      <c r="TVE44" s="172"/>
      <c r="TVF44" s="170"/>
      <c r="TVG44" s="172"/>
      <c r="TVH44" s="170"/>
      <c r="TVI44" s="172"/>
      <c r="TVJ44" s="170"/>
      <c r="TVK44" s="172"/>
      <c r="TVL44" s="170"/>
      <c r="TVM44" s="172"/>
      <c r="TVN44" s="170"/>
      <c r="TVO44" s="172"/>
      <c r="TVP44" s="170"/>
      <c r="TVQ44" s="172"/>
      <c r="TVR44" s="170"/>
      <c r="TVS44" s="172"/>
      <c r="TVT44" s="170"/>
      <c r="TVU44" s="172"/>
      <c r="TVV44" s="170"/>
      <c r="TVW44" s="172"/>
      <c r="TVX44" s="170"/>
      <c r="TVY44" s="172"/>
      <c r="TVZ44" s="170"/>
      <c r="TWA44" s="172"/>
      <c r="TWB44" s="170"/>
      <c r="TWC44" s="172"/>
      <c r="TWD44" s="170"/>
      <c r="TWE44" s="172"/>
      <c r="TWF44" s="170"/>
      <c r="TWG44" s="172"/>
      <c r="TWH44" s="170"/>
      <c r="TWI44" s="172"/>
      <c r="TWJ44" s="170"/>
      <c r="TWK44" s="172"/>
      <c r="TWL44" s="170"/>
      <c r="TWM44" s="172"/>
      <c r="TWN44" s="170"/>
      <c r="TWO44" s="172"/>
      <c r="TWP44" s="170"/>
      <c r="TWQ44" s="172"/>
      <c r="TWR44" s="170"/>
      <c r="TWS44" s="172"/>
      <c r="TWT44" s="170"/>
      <c r="TWU44" s="172"/>
      <c r="TWV44" s="170"/>
      <c r="TWW44" s="172"/>
      <c r="TWX44" s="170"/>
      <c r="TWY44" s="172"/>
      <c r="TWZ44" s="170"/>
      <c r="TXA44" s="172"/>
      <c r="TXB44" s="170"/>
      <c r="TXC44" s="172"/>
      <c r="TXD44" s="170"/>
      <c r="TXE44" s="172"/>
      <c r="TXF44" s="170"/>
      <c r="TXG44" s="172"/>
      <c r="TXH44" s="170"/>
      <c r="TXI44" s="172"/>
      <c r="TXJ44" s="170"/>
      <c r="TXK44" s="172"/>
      <c r="TXL44" s="170"/>
      <c r="TXM44" s="172"/>
      <c r="TXN44" s="170"/>
      <c r="TXO44" s="172"/>
      <c r="TXP44" s="170"/>
      <c r="TXQ44" s="172"/>
      <c r="TXR44" s="170"/>
      <c r="TXS44" s="172"/>
      <c r="TXT44" s="170"/>
      <c r="TXU44" s="172"/>
      <c r="TXV44" s="170"/>
      <c r="TXW44" s="172"/>
      <c r="TXX44" s="170"/>
      <c r="TXY44" s="172"/>
      <c r="TXZ44" s="170"/>
      <c r="TYA44" s="172"/>
      <c r="TYB44" s="170"/>
      <c r="TYC44" s="172"/>
      <c r="TYD44" s="170"/>
      <c r="TYE44" s="172"/>
      <c r="TYF44" s="170"/>
      <c r="TYG44" s="172"/>
      <c r="TYH44" s="170"/>
      <c r="TYI44" s="172"/>
      <c r="TYJ44" s="170"/>
      <c r="TYK44" s="172"/>
      <c r="TYL44" s="170"/>
      <c r="TYM44" s="172"/>
      <c r="TYN44" s="170"/>
      <c r="TYO44" s="172"/>
      <c r="TYP44" s="170"/>
      <c r="TYQ44" s="172"/>
      <c r="TYR44" s="170"/>
      <c r="TYS44" s="172"/>
      <c r="TYT44" s="170"/>
      <c r="TYU44" s="172"/>
      <c r="TYV44" s="170"/>
      <c r="TYW44" s="172"/>
      <c r="TYX44" s="170"/>
      <c r="TYY44" s="172"/>
      <c r="TYZ44" s="170"/>
      <c r="TZA44" s="172"/>
      <c r="TZB44" s="170"/>
      <c r="TZC44" s="172"/>
      <c r="TZD44" s="170"/>
      <c r="TZE44" s="172"/>
      <c r="TZF44" s="170"/>
      <c r="TZG44" s="172"/>
      <c r="TZH44" s="170"/>
      <c r="TZI44" s="172"/>
      <c r="TZJ44" s="170"/>
      <c r="TZK44" s="172"/>
      <c r="TZL44" s="170"/>
      <c r="TZM44" s="172"/>
      <c r="TZN44" s="170"/>
      <c r="TZO44" s="172"/>
      <c r="TZP44" s="170"/>
      <c r="TZQ44" s="172"/>
      <c r="TZR44" s="170"/>
      <c r="TZS44" s="172"/>
      <c r="TZT44" s="170"/>
      <c r="TZU44" s="172"/>
      <c r="TZV44" s="170"/>
      <c r="TZW44" s="172"/>
      <c r="TZX44" s="170"/>
      <c r="TZY44" s="172"/>
      <c r="TZZ44" s="170"/>
      <c r="UAA44" s="172"/>
      <c r="UAB44" s="170"/>
      <c r="UAC44" s="172"/>
      <c r="UAD44" s="170"/>
      <c r="UAE44" s="172"/>
      <c r="UAF44" s="170"/>
      <c r="UAG44" s="172"/>
      <c r="UAH44" s="170"/>
      <c r="UAI44" s="172"/>
      <c r="UAJ44" s="170"/>
      <c r="UAK44" s="172"/>
      <c r="UAL44" s="170"/>
      <c r="UAM44" s="172"/>
      <c r="UAN44" s="170"/>
      <c r="UAO44" s="172"/>
      <c r="UAP44" s="170"/>
      <c r="UAQ44" s="172"/>
      <c r="UAR44" s="170"/>
      <c r="UAS44" s="172"/>
      <c r="UAT44" s="170"/>
      <c r="UAU44" s="172"/>
      <c r="UAV44" s="170"/>
      <c r="UAW44" s="172"/>
      <c r="UAX44" s="170"/>
      <c r="UAY44" s="172"/>
      <c r="UAZ44" s="170"/>
      <c r="UBA44" s="172"/>
      <c r="UBB44" s="170"/>
      <c r="UBC44" s="172"/>
      <c r="UBD44" s="170"/>
      <c r="UBE44" s="172"/>
      <c r="UBF44" s="170"/>
      <c r="UBG44" s="172"/>
      <c r="UBH44" s="170"/>
      <c r="UBI44" s="172"/>
      <c r="UBJ44" s="170"/>
      <c r="UBK44" s="172"/>
      <c r="UBL44" s="170"/>
      <c r="UBM44" s="172"/>
      <c r="UBN44" s="170"/>
      <c r="UBO44" s="172"/>
      <c r="UBP44" s="170"/>
      <c r="UBQ44" s="172"/>
      <c r="UBR44" s="170"/>
      <c r="UBS44" s="172"/>
      <c r="UBT44" s="170"/>
      <c r="UBU44" s="172"/>
      <c r="UBV44" s="170"/>
      <c r="UBW44" s="172"/>
      <c r="UBX44" s="170"/>
      <c r="UBY44" s="172"/>
      <c r="UBZ44" s="170"/>
      <c r="UCA44" s="172"/>
      <c r="UCB44" s="170"/>
      <c r="UCC44" s="172"/>
      <c r="UCD44" s="170"/>
      <c r="UCE44" s="172"/>
      <c r="UCF44" s="170"/>
      <c r="UCG44" s="172"/>
      <c r="UCH44" s="170"/>
      <c r="UCI44" s="172"/>
      <c r="UCJ44" s="170"/>
      <c r="UCK44" s="172"/>
      <c r="UCL44" s="170"/>
      <c r="UCM44" s="172"/>
      <c r="UCN44" s="170"/>
      <c r="UCO44" s="172"/>
      <c r="UCP44" s="170"/>
      <c r="UCQ44" s="172"/>
      <c r="UCR44" s="170"/>
      <c r="UCS44" s="172"/>
      <c r="UCT44" s="170"/>
      <c r="UCU44" s="172"/>
      <c r="UCV44" s="170"/>
      <c r="UCW44" s="172"/>
      <c r="UCX44" s="170"/>
      <c r="UCY44" s="172"/>
      <c r="UCZ44" s="170"/>
      <c r="UDA44" s="172"/>
      <c r="UDB44" s="170"/>
      <c r="UDC44" s="172"/>
      <c r="UDD44" s="170"/>
      <c r="UDE44" s="172"/>
      <c r="UDF44" s="170"/>
      <c r="UDG44" s="172"/>
      <c r="UDH44" s="170"/>
      <c r="UDI44" s="172"/>
      <c r="UDJ44" s="170"/>
      <c r="UDK44" s="172"/>
      <c r="UDL44" s="170"/>
      <c r="UDM44" s="172"/>
      <c r="UDN44" s="170"/>
      <c r="UDO44" s="172"/>
      <c r="UDP44" s="170"/>
      <c r="UDQ44" s="172"/>
      <c r="UDR44" s="170"/>
      <c r="UDS44" s="172"/>
      <c r="UDT44" s="170"/>
      <c r="UDU44" s="172"/>
      <c r="UDV44" s="170"/>
      <c r="UDW44" s="172"/>
      <c r="UDX44" s="170"/>
      <c r="UDY44" s="172"/>
      <c r="UDZ44" s="170"/>
      <c r="UEA44" s="172"/>
      <c r="UEB44" s="170"/>
      <c r="UEC44" s="172"/>
      <c r="UED44" s="170"/>
      <c r="UEE44" s="172"/>
      <c r="UEF44" s="170"/>
      <c r="UEG44" s="172"/>
      <c r="UEH44" s="170"/>
      <c r="UEI44" s="172"/>
      <c r="UEJ44" s="170"/>
      <c r="UEK44" s="172"/>
      <c r="UEL44" s="170"/>
      <c r="UEM44" s="172"/>
      <c r="UEN44" s="170"/>
      <c r="UEO44" s="172"/>
      <c r="UEP44" s="170"/>
      <c r="UEQ44" s="172"/>
      <c r="UER44" s="170"/>
      <c r="UES44" s="172"/>
      <c r="UET44" s="170"/>
      <c r="UEU44" s="172"/>
      <c r="UEV44" s="170"/>
      <c r="UEW44" s="172"/>
      <c r="UEX44" s="170"/>
      <c r="UEY44" s="172"/>
      <c r="UEZ44" s="170"/>
      <c r="UFA44" s="172"/>
      <c r="UFB44" s="170"/>
      <c r="UFC44" s="172"/>
      <c r="UFD44" s="170"/>
      <c r="UFE44" s="172"/>
      <c r="UFF44" s="170"/>
      <c r="UFG44" s="172"/>
      <c r="UFH44" s="170"/>
      <c r="UFI44" s="172"/>
      <c r="UFJ44" s="170"/>
      <c r="UFK44" s="172"/>
      <c r="UFL44" s="170"/>
      <c r="UFM44" s="172"/>
      <c r="UFN44" s="170"/>
      <c r="UFO44" s="172"/>
      <c r="UFP44" s="170"/>
      <c r="UFQ44" s="172"/>
      <c r="UFR44" s="170"/>
      <c r="UFS44" s="172"/>
      <c r="UFT44" s="170"/>
      <c r="UFU44" s="172"/>
      <c r="UFV44" s="170"/>
      <c r="UFW44" s="172"/>
      <c r="UFX44" s="170"/>
      <c r="UFY44" s="172"/>
      <c r="UFZ44" s="170"/>
      <c r="UGA44" s="172"/>
      <c r="UGB44" s="170"/>
      <c r="UGC44" s="172"/>
      <c r="UGD44" s="170"/>
      <c r="UGE44" s="172"/>
      <c r="UGF44" s="170"/>
      <c r="UGG44" s="172"/>
      <c r="UGH44" s="170"/>
      <c r="UGI44" s="172"/>
      <c r="UGJ44" s="170"/>
      <c r="UGK44" s="172"/>
      <c r="UGL44" s="170"/>
      <c r="UGM44" s="172"/>
      <c r="UGN44" s="170"/>
      <c r="UGO44" s="172"/>
      <c r="UGP44" s="170"/>
      <c r="UGQ44" s="172"/>
      <c r="UGR44" s="170"/>
      <c r="UGS44" s="172"/>
      <c r="UGT44" s="170"/>
      <c r="UGU44" s="172"/>
      <c r="UGV44" s="170"/>
      <c r="UGW44" s="172"/>
      <c r="UGX44" s="170"/>
      <c r="UGY44" s="172"/>
      <c r="UGZ44" s="170"/>
      <c r="UHA44" s="172"/>
      <c r="UHB44" s="170"/>
      <c r="UHC44" s="172"/>
      <c r="UHD44" s="170"/>
      <c r="UHE44" s="172"/>
      <c r="UHF44" s="170"/>
      <c r="UHG44" s="172"/>
      <c r="UHH44" s="170"/>
      <c r="UHI44" s="172"/>
      <c r="UHJ44" s="170"/>
      <c r="UHK44" s="172"/>
      <c r="UHL44" s="170"/>
      <c r="UHM44" s="172"/>
      <c r="UHN44" s="170"/>
      <c r="UHO44" s="172"/>
      <c r="UHP44" s="170"/>
      <c r="UHQ44" s="172"/>
      <c r="UHR44" s="170"/>
      <c r="UHS44" s="172"/>
      <c r="UHT44" s="170"/>
      <c r="UHU44" s="172"/>
      <c r="UHV44" s="170"/>
      <c r="UHW44" s="172"/>
      <c r="UHX44" s="170"/>
      <c r="UHY44" s="172"/>
      <c r="UHZ44" s="170"/>
      <c r="UIA44" s="172"/>
      <c r="UIB44" s="170"/>
      <c r="UIC44" s="172"/>
      <c r="UID44" s="170"/>
      <c r="UIE44" s="172"/>
      <c r="UIF44" s="170"/>
      <c r="UIG44" s="172"/>
      <c r="UIH44" s="170"/>
      <c r="UII44" s="172"/>
      <c r="UIJ44" s="170"/>
      <c r="UIK44" s="172"/>
      <c r="UIL44" s="170"/>
      <c r="UIM44" s="172"/>
      <c r="UIN44" s="170"/>
      <c r="UIO44" s="172"/>
      <c r="UIP44" s="170"/>
      <c r="UIQ44" s="172"/>
      <c r="UIR44" s="170"/>
      <c r="UIS44" s="172"/>
      <c r="UIT44" s="170"/>
      <c r="UIU44" s="172"/>
      <c r="UIV44" s="170"/>
      <c r="UIW44" s="172"/>
      <c r="UIX44" s="170"/>
      <c r="UIY44" s="172"/>
      <c r="UIZ44" s="170"/>
      <c r="UJA44" s="172"/>
      <c r="UJB44" s="170"/>
      <c r="UJC44" s="172"/>
      <c r="UJD44" s="170"/>
      <c r="UJE44" s="172"/>
      <c r="UJF44" s="170"/>
      <c r="UJG44" s="172"/>
      <c r="UJH44" s="170"/>
      <c r="UJI44" s="172"/>
      <c r="UJJ44" s="170"/>
      <c r="UJK44" s="172"/>
      <c r="UJL44" s="170"/>
      <c r="UJM44" s="172"/>
      <c r="UJN44" s="170"/>
      <c r="UJO44" s="172"/>
      <c r="UJP44" s="170"/>
      <c r="UJQ44" s="172"/>
      <c r="UJR44" s="170"/>
      <c r="UJS44" s="172"/>
      <c r="UJT44" s="170"/>
      <c r="UJU44" s="172"/>
      <c r="UJV44" s="170"/>
      <c r="UJW44" s="172"/>
      <c r="UJX44" s="170"/>
      <c r="UJY44" s="172"/>
      <c r="UJZ44" s="170"/>
      <c r="UKA44" s="172"/>
      <c r="UKB44" s="170"/>
      <c r="UKC44" s="172"/>
      <c r="UKD44" s="170"/>
      <c r="UKE44" s="172"/>
      <c r="UKF44" s="170"/>
      <c r="UKG44" s="172"/>
      <c r="UKH44" s="170"/>
      <c r="UKI44" s="172"/>
      <c r="UKJ44" s="170"/>
      <c r="UKK44" s="172"/>
      <c r="UKL44" s="170"/>
      <c r="UKM44" s="172"/>
      <c r="UKN44" s="170"/>
      <c r="UKO44" s="172"/>
      <c r="UKP44" s="170"/>
      <c r="UKQ44" s="172"/>
      <c r="UKR44" s="170"/>
      <c r="UKS44" s="172"/>
      <c r="UKT44" s="170"/>
      <c r="UKU44" s="172"/>
      <c r="UKV44" s="170"/>
      <c r="UKW44" s="172"/>
      <c r="UKX44" s="170"/>
      <c r="UKY44" s="172"/>
      <c r="UKZ44" s="170"/>
      <c r="ULA44" s="172"/>
      <c r="ULB44" s="170"/>
      <c r="ULC44" s="172"/>
      <c r="ULD44" s="170"/>
      <c r="ULE44" s="172"/>
      <c r="ULF44" s="170"/>
      <c r="ULG44" s="172"/>
      <c r="ULH44" s="170"/>
      <c r="ULI44" s="172"/>
      <c r="ULJ44" s="170"/>
      <c r="ULK44" s="172"/>
      <c r="ULL44" s="170"/>
      <c r="ULM44" s="172"/>
      <c r="ULN44" s="170"/>
      <c r="ULO44" s="172"/>
      <c r="ULP44" s="170"/>
      <c r="ULQ44" s="172"/>
      <c r="ULR44" s="170"/>
      <c r="ULS44" s="172"/>
      <c r="ULT44" s="170"/>
      <c r="ULU44" s="172"/>
      <c r="ULV44" s="170"/>
      <c r="ULW44" s="172"/>
      <c r="ULX44" s="170"/>
      <c r="ULY44" s="172"/>
      <c r="ULZ44" s="170"/>
      <c r="UMA44" s="172"/>
      <c r="UMB44" s="170"/>
      <c r="UMC44" s="172"/>
      <c r="UMD44" s="170"/>
      <c r="UME44" s="172"/>
      <c r="UMF44" s="170"/>
      <c r="UMG44" s="172"/>
      <c r="UMH44" s="170"/>
      <c r="UMI44" s="172"/>
      <c r="UMJ44" s="170"/>
      <c r="UMK44" s="172"/>
      <c r="UML44" s="170"/>
      <c r="UMM44" s="172"/>
      <c r="UMN44" s="170"/>
      <c r="UMO44" s="172"/>
      <c r="UMP44" s="170"/>
      <c r="UMQ44" s="172"/>
      <c r="UMR44" s="170"/>
      <c r="UMS44" s="172"/>
      <c r="UMT44" s="170"/>
      <c r="UMU44" s="172"/>
      <c r="UMV44" s="170"/>
      <c r="UMW44" s="172"/>
      <c r="UMX44" s="170"/>
      <c r="UMY44" s="172"/>
      <c r="UMZ44" s="170"/>
      <c r="UNA44" s="172"/>
      <c r="UNB44" s="170"/>
      <c r="UNC44" s="172"/>
      <c r="UND44" s="170"/>
      <c r="UNE44" s="172"/>
      <c r="UNF44" s="170"/>
      <c r="UNG44" s="172"/>
      <c r="UNH44" s="170"/>
      <c r="UNI44" s="172"/>
      <c r="UNJ44" s="170"/>
      <c r="UNK44" s="172"/>
      <c r="UNL44" s="170"/>
      <c r="UNM44" s="172"/>
      <c r="UNN44" s="170"/>
      <c r="UNO44" s="172"/>
      <c r="UNP44" s="170"/>
      <c r="UNQ44" s="172"/>
      <c r="UNR44" s="170"/>
      <c r="UNS44" s="172"/>
      <c r="UNT44" s="170"/>
      <c r="UNU44" s="172"/>
      <c r="UNV44" s="170"/>
      <c r="UNW44" s="172"/>
      <c r="UNX44" s="170"/>
      <c r="UNY44" s="172"/>
      <c r="UNZ44" s="170"/>
      <c r="UOA44" s="172"/>
      <c r="UOB44" s="170"/>
      <c r="UOC44" s="172"/>
      <c r="UOD44" s="170"/>
      <c r="UOE44" s="172"/>
      <c r="UOF44" s="170"/>
      <c r="UOG44" s="172"/>
      <c r="UOH44" s="170"/>
      <c r="UOI44" s="172"/>
      <c r="UOJ44" s="170"/>
      <c r="UOK44" s="172"/>
      <c r="UOL44" s="170"/>
      <c r="UOM44" s="172"/>
      <c r="UON44" s="170"/>
      <c r="UOO44" s="172"/>
      <c r="UOP44" s="170"/>
      <c r="UOQ44" s="172"/>
      <c r="UOR44" s="170"/>
      <c r="UOS44" s="172"/>
      <c r="UOT44" s="170"/>
      <c r="UOU44" s="172"/>
      <c r="UOV44" s="170"/>
      <c r="UOW44" s="172"/>
      <c r="UOX44" s="170"/>
      <c r="UOY44" s="172"/>
      <c r="UOZ44" s="170"/>
      <c r="UPA44" s="172"/>
      <c r="UPB44" s="170"/>
      <c r="UPC44" s="172"/>
      <c r="UPD44" s="170"/>
      <c r="UPE44" s="172"/>
      <c r="UPF44" s="170"/>
      <c r="UPG44" s="172"/>
      <c r="UPH44" s="170"/>
      <c r="UPI44" s="172"/>
      <c r="UPJ44" s="170"/>
      <c r="UPK44" s="172"/>
      <c r="UPL44" s="170"/>
      <c r="UPM44" s="172"/>
      <c r="UPN44" s="170"/>
      <c r="UPO44" s="172"/>
      <c r="UPP44" s="170"/>
      <c r="UPQ44" s="172"/>
      <c r="UPR44" s="170"/>
      <c r="UPS44" s="172"/>
      <c r="UPT44" s="170"/>
      <c r="UPU44" s="172"/>
      <c r="UPV44" s="170"/>
      <c r="UPW44" s="172"/>
      <c r="UPX44" s="170"/>
      <c r="UPY44" s="172"/>
      <c r="UPZ44" s="170"/>
      <c r="UQA44" s="172"/>
      <c r="UQB44" s="170"/>
      <c r="UQC44" s="172"/>
      <c r="UQD44" s="170"/>
      <c r="UQE44" s="172"/>
      <c r="UQF44" s="170"/>
      <c r="UQG44" s="172"/>
      <c r="UQH44" s="170"/>
      <c r="UQI44" s="172"/>
      <c r="UQJ44" s="170"/>
      <c r="UQK44" s="172"/>
      <c r="UQL44" s="170"/>
      <c r="UQM44" s="172"/>
      <c r="UQN44" s="170"/>
      <c r="UQO44" s="172"/>
      <c r="UQP44" s="170"/>
      <c r="UQQ44" s="172"/>
      <c r="UQR44" s="170"/>
      <c r="UQS44" s="172"/>
      <c r="UQT44" s="170"/>
      <c r="UQU44" s="172"/>
      <c r="UQV44" s="170"/>
      <c r="UQW44" s="172"/>
      <c r="UQX44" s="170"/>
      <c r="UQY44" s="172"/>
      <c r="UQZ44" s="170"/>
      <c r="URA44" s="172"/>
      <c r="URB44" s="170"/>
      <c r="URC44" s="172"/>
      <c r="URD44" s="170"/>
      <c r="URE44" s="172"/>
      <c r="URF44" s="170"/>
      <c r="URG44" s="172"/>
      <c r="URH44" s="170"/>
      <c r="URI44" s="172"/>
      <c r="URJ44" s="170"/>
      <c r="URK44" s="172"/>
      <c r="URL44" s="170"/>
      <c r="URM44" s="172"/>
      <c r="URN44" s="170"/>
      <c r="URO44" s="172"/>
      <c r="URP44" s="170"/>
      <c r="URQ44" s="172"/>
      <c r="URR44" s="170"/>
      <c r="URS44" s="172"/>
      <c r="URT44" s="170"/>
      <c r="URU44" s="172"/>
      <c r="URV44" s="170"/>
      <c r="URW44" s="172"/>
      <c r="URX44" s="170"/>
      <c r="URY44" s="172"/>
      <c r="URZ44" s="170"/>
      <c r="USA44" s="172"/>
      <c r="USB44" s="170"/>
      <c r="USC44" s="172"/>
      <c r="USD44" s="170"/>
      <c r="USE44" s="172"/>
      <c r="USF44" s="170"/>
      <c r="USG44" s="172"/>
      <c r="USH44" s="170"/>
      <c r="USI44" s="172"/>
      <c r="USJ44" s="170"/>
      <c r="USK44" s="172"/>
      <c r="USL44" s="170"/>
      <c r="USM44" s="172"/>
      <c r="USN44" s="170"/>
      <c r="USO44" s="172"/>
      <c r="USP44" s="170"/>
      <c r="USQ44" s="172"/>
      <c r="USR44" s="170"/>
      <c r="USS44" s="172"/>
      <c r="UST44" s="170"/>
      <c r="USU44" s="172"/>
      <c r="USV44" s="170"/>
      <c r="USW44" s="172"/>
      <c r="USX44" s="170"/>
      <c r="USY44" s="172"/>
      <c r="USZ44" s="170"/>
      <c r="UTA44" s="172"/>
      <c r="UTB44" s="170"/>
      <c r="UTC44" s="172"/>
      <c r="UTD44" s="170"/>
      <c r="UTE44" s="172"/>
      <c r="UTF44" s="170"/>
      <c r="UTG44" s="172"/>
      <c r="UTH44" s="170"/>
      <c r="UTI44" s="172"/>
      <c r="UTJ44" s="170"/>
      <c r="UTK44" s="172"/>
      <c r="UTL44" s="170"/>
      <c r="UTM44" s="172"/>
      <c r="UTN44" s="170"/>
      <c r="UTO44" s="172"/>
      <c r="UTP44" s="170"/>
      <c r="UTQ44" s="172"/>
      <c r="UTR44" s="170"/>
      <c r="UTS44" s="172"/>
      <c r="UTT44" s="170"/>
      <c r="UTU44" s="172"/>
      <c r="UTV44" s="170"/>
      <c r="UTW44" s="172"/>
      <c r="UTX44" s="170"/>
      <c r="UTY44" s="172"/>
      <c r="UTZ44" s="170"/>
      <c r="UUA44" s="172"/>
      <c r="UUB44" s="170"/>
      <c r="UUC44" s="172"/>
      <c r="UUD44" s="170"/>
      <c r="UUE44" s="172"/>
      <c r="UUF44" s="170"/>
      <c r="UUG44" s="172"/>
      <c r="UUH44" s="170"/>
      <c r="UUI44" s="172"/>
      <c r="UUJ44" s="170"/>
      <c r="UUK44" s="172"/>
      <c r="UUL44" s="170"/>
      <c r="UUM44" s="172"/>
      <c r="UUN44" s="170"/>
      <c r="UUO44" s="172"/>
      <c r="UUP44" s="170"/>
      <c r="UUQ44" s="172"/>
      <c r="UUR44" s="170"/>
      <c r="UUS44" s="172"/>
      <c r="UUT44" s="170"/>
      <c r="UUU44" s="172"/>
      <c r="UUV44" s="170"/>
      <c r="UUW44" s="172"/>
      <c r="UUX44" s="170"/>
      <c r="UUY44" s="172"/>
      <c r="UUZ44" s="170"/>
      <c r="UVA44" s="172"/>
      <c r="UVB44" s="170"/>
      <c r="UVC44" s="172"/>
      <c r="UVD44" s="170"/>
      <c r="UVE44" s="172"/>
      <c r="UVF44" s="170"/>
      <c r="UVG44" s="172"/>
      <c r="UVH44" s="170"/>
      <c r="UVI44" s="172"/>
      <c r="UVJ44" s="170"/>
      <c r="UVK44" s="172"/>
      <c r="UVL44" s="170"/>
      <c r="UVM44" s="172"/>
      <c r="UVN44" s="170"/>
      <c r="UVO44" s="172"/>
      <c r="UVP44" s="170"/>
      <c r="UVQ44" s="172"/>
      <c r="UVR44" s="170"/>
      <c r="UVS44" s="172"/>
      <c r="UVT44" s="170"/>
      <c r="UVU44" s="172"/>
      <c r="UVV44" s="170"/>
      <c r="UVW44" s="172"/>
      <c r="UVX44" s="170"/>
      <c r="UVY44" s="172"/>
      <c r="UVZ44" s="170"/>
      <c r="UWA44" s="172"/>
      <c r="UWB44" s="170"/>
      <c r="UWC44" s="172"/>
      <c r="UWD44" s="170"/>
      <c r="UWE44" s="172"/>
      <c r="UWF44" s="170"/>
      <c r="UWG44" s="172"/>
      <c r="UWH44" s="170"/>
      <c r="UWI44" s="172"/>
      <c r="UWJ44" s="170"/>
      <c r="UWK44" s="172"/>
      <c r="UWL44" s="170"/>
      <c r="UWM44" s="172"/>
      <c r="UWN44" s="170"/>
      <c r="UWO44" s="172"/>
      <c r="UWP44" s="170"/>
      <c r="UWQ44" s="172"/>
      <c r="UWR44" s="170"/>
      <c r="UWS44" s="172"/>
      <c r="UWT44" s="170"/>
      <c r="UWU44" s="172"/>
      <c r="UWV44" s="170"/>
      <c r="UWW44" s="172"/>
      <c r="UWX44" s="170"/>
      <c r="UWY44" s="172"/>
      <c r="UWZ44" s="170"/>
      <c r="UXA44" s="172"/>
      <c r="UXB44" s="170"/>
      <c r="UXC44" s="172"/>
      <c r="UXD44" s="170"/>
      <c r="UXE44" s="172"/>
      <c r="UXF44" s="170"/>
      <c r="UXG44" s="172"/>
      <c r="UXH44" s="170"/>
      <c r="UXI44" s="172"/>
      <c r="UXJ44" s="170"/>
      <c r="UXK44" s="172"/>
      <c r="UXL44" s="170"/>
      <c r="UXM44" s="172"/>
      <c r="UXN44" s="170"/>
      <c r="UXO44" s="172"/>
      <c r="UXP44" s="170"/>
      <c r="UXQ44" s="172"/>
      <c r="UXR44" s="170"/>
      <c r="UXS44" s="172"/>
      <c r="UXT44" s="170"/>
      <c r="UXU44" s="172"/>
      <c r="UXV44" s="170"/>
      <c r="UXW44" s="172"/>
      <c r="UXX44" s="170"/>
      <c r="UXY44" s="172"/>
      <c r="UXZ44" s="170"/>
      <c r="UYA44" s="172"/>
      <c r="UYB44" s="170"/>
      <c r="UYC44" s="172"/>
      <c r="UYD44" s="170"/>
      <c r="UYE44" s="172"/>
      <c r="UYF44" s="170"/>
      <c r="UYG44" s="172"/>
      <c r="UYH44" s="170"/>
      <c r="UYI44" s="172"/>
      <c r="UYJ44" s="170"/>
      <c r="UYK44" s="172"/>
      <c r="UYL44" s="170"/>
      <c r="UYM44" s="172"/>
      <c r="UYN44" s="170"/>
      <c r="UYO44" s="172"/>
      <c r="UYP44" s="170"/>
      <c r="UYQ44" s="172"/>
      <c r="UYR44" s="170"/>
      <c r="UYS44" s="172"/>
      <c r="UYT44" s="170"/>
      <c r="UYU44" s="172"/>
      <c r="UYV44" s="170"/>
      <c r="UYW44" s="172"/>
      <c r="UYX44" s="170"/>
      <c r="UYY44" s="172"/>
      <c r="UYZ44" s="170"/>
      <c r="UZA44" s="172"/>
      <c r="UZB44" s="170"/>
      <c r="UZC44" s="172"/>
      <c r="UZD44" s="170"/>
      <c r="UZE44" s="172"/>
      <c r="UZF44" s="170"/>
      <c r="UZG44" s="172"/>
      <c r="UZH44" s="170"/>
      <c r="UZI44" s="172"/>
      <c r="UZJ44" s="170"/>
      <c r="UZK44" s="172"/>
      <c r="UZL44" s="170"/>
      <c r="UZM44" s="172"/>
      <c r="UZN44" s="170"/>
      <c r="UZO44" s="172"/>
      <c r="UZP44" s="170"/>
      <c r="UZQ44" s="172"/>
      <c r="UZR44" s="170"/>
      <c r="UZS44" s="172"/>
      <c r="UZT44" s="170"/>
      <c r="UZU44" s="172"/>
      <c r="UZV44" s="170"/>
      <c r="UZW44" s="172"/>
      <c r="UZX44" s="170"/>
      <c r="UZY44" s="172"/>
      <c r="UZZ44" s="170"/>
      <c r="VAA44" s="172"/>
      <c r="VAB44" s="170"/>
      <c r="VAC44" s="172"/>
      <c r="VAD44" s="170"/>
      <c r="VAE44" s="172"/>
      <c r="VAF44" s="170"/>
      <c r="VAG44" s="172"/>
      <c r="VAH44" s="170"/>
      <c r="VAI44" s="172"/>
      <c r="VAJ44" s="170"/>
      <c r="VAK44" s="172"/>
      <c r="VAL44" s="170"/>
      <c r="VAM44" s="172"/>
      <c r="VAN44" s="170"/>
      <c r="VAO44" s="172"/>
      <c r="VAP44" s="170"/>
      <c r="VAQ44" s="172"/>
      <c r="VAR44" s="170"/>
      <c r="VAS44" s="172"/>
      <c r="VAT44" s="170"/>
      <c r="VAU44" s="172"/>
      <c r="VAV44" s="170"/>
      <c r="VAW44" s="172"/>
      <c r="VAX44" s="170"/>
      <c r="VAY44" s="172"/>
      <c r="VAZ44" s="170"/>
      <c r="VBA44" s="172"/>
      <c r="VBB44" s="170"/>
      <c r="VBC44" s="172"/>
      <c r="VBD44" s="170"/>
      <c r="VBE44" s="172"/>
      <c r="VBF44" s="170"/>
      <c r="VBG44" s="172"/>
      <c r="VBH44" s="170"/>
      <c r="VBI44" s="172"/>
      <c r="VBJ44" s="170"/>
      <c r="VBK44" s="172"/>
      <c r="VBL44" s="170"/>
      <c r="VBM44" s="172"/>
      <c r="VBN44" s="170"/>
      <c r="VBO44" s="172"/>
      <c r="VBP44" s="170"/>
      <c r="VBQ44" s="172"/>
      <c r="VBR44" s="170"/>
      <c r="VBS44" s="172"/>
      <c r="VBT44" s="170"/>
      <c r="VBU44" s="172"/>
      <c r="VBV44" s="170"/>
      <c r="VBW44" s="172"/>
      <c r="VBX44" s="170"/>
      <c r="VBY44" s="172"/>
      <c r="VBZ44" s="170"/>
      <c r="VCA44" s="172"/>
      <c r="VCB44" s="170"/>
      <c r="VCC44" s="172"/>
      <c r="VCD44" s="170"/>
      <c r="VCE44" s="172"/>
      <c r="VCF44" s="170"/>
      <c r="VCG44" s="172"/>
      <c r="VCH44" s="170"/>
      <c r="VCI44" s="172"/>
      <c r="VCJ44" s="170"/>
      <c r="VCK44" s="172"/>
      <c r="VCL44" s="170"/>
      <c r="VCM44" s="172"/>
      <c r="VCN44" s="170"/>
      <c r="VCO44" s="172"/>
      <c r="VCP44" s="170"/>
      <c r="VCQ44" s="172"/>
      <c r="VCR44" s="170"/>
      <c r="VCS44" s="172"/>
      <c r="VCT44" s="170"/>
      <c r="VCU44" s="172"/>
      <c r="VCV44" s="170"/>
      <c r="VCW44" s="172"/>
      <c r="VCX44" s="170"/>
      <c r="VCY44" s="172"/>
      <c r="VCZ44" s="170"/>
      <c r="VDA44" s="172"/>
      <c r="VDB44" s="170"/>
      <c r="VDC44" s="172"/>
      <c r="VDD44" s="170"/>
      <c r="VDE44" s="172"/>
      <c r="VDF44" s="170"/>
      <c r="VDG44" s="172"/>
      <c r="VDH44" s="170"/>
      <c r="VDI44" s="172"/>
      <c r="VDJ44" s="170"/>
      <c r="VDK44" s="172"/>
      <c r="VDL44" s="170"/>
      <c r="VDM44" s="172"/>
      <c r="VDN44" s="170"/>
      <c r="VDO44" s="172"/>
      <c r="VDP44" s="170"/>
      <c r="VDQ44" s="172"/>
      <c r="VDR44" s="170"/>
      <c r="VDS44" s="172"/>
      <c r="VDT44" s="170"/>
      <c r="VDU44" s="172"/>
      <c r="VDV44" s="170"/>
      <c r="VDW44" s="172"/>
      <c r="VDX44" s="170"/>
      <c r="VDY44" s="172"/>
      <c r="VDZ44" s="170"/>
      <c r="VEA44" s="172"/>
      <c r="VEB44" s="170"/>
      <c r="VEC44" s="172"/>
      <c r="VED44" s="170"/>
      <c r="VEE44" s="172"/>
      <c r="VEF44" s="170"/>
      <c r="VEG44" s="172"/>
      <c r="VEH44" s="170"/>
      <c r="VEI44" s="172"/>
      <c r="VEJ44" s="170"/>
      <c r="VEK44" s="172"/>
      <c r="VEL44" s="170"/>
      <c r="VEM44" s="172"/>
      <c r="VEN44" s="170"/>
      <c r="VEO44" s="172"/>
      <c r="VEP44" s="170"/>
      <c r="VEQ44" s="172"/>
      <c r="VER44" s="170"/>
      <c r="VES44" s="172"/>
      <c r="VET44" s="170"/>
      <c r="VEU44" s="172"/>
      <c r="VEV44" s="170"/>
      <c r="VEW44" s="172"/>
      <c r="VEX44" s="170"/>
      <c r="VEY44" s="172"/>
      <c r="VEZ44" s="170"/>
      <c r="VFA44" s="172"/>
      <c r="VFB44" s="170"/>
      <c r="VFC44" s="172"/>
      <c r="VFD44" s="170"/>
      <c r="VFE44" s="172"/>
      <c r="VFF44" s="170"/>
      <c r="VFG44" s="172"/>
      <c r="VFH44" s="170"/>
      <c r="VFI44" s="172"/>
      <c r="VFJ44" s="170"/>
      <c r="VFK44" s="172"/>
      <c r="VFL44" s="170"/>
      <c r="VFM44" s="172"/>
      <c r="VFN44" s="170"/>
      <c r="VFO44" s="172"/>
      <c r="VFP44" s="170"/>
      <c r="VFQ44" s="172"/>
      <c r="VFR44" s="170"/>
      <c r="VFS44" s="172"/>
      <c r="VFT44" s="170"/>
      <c r="VFU44" s="172"/>
      <c r="VFV44" s="170"/>
      <c r="VFW44" s="172"/>
      <c r="VFX44" s="170"/>
      <c r="VFY44" s="172"/>
      <c r="VFZ44" s="170"/>
      <c r="VGA44" s="172"/>
      <c r="VGB44" s="170"/>
      <c r="VGC44" s="172"/>
      <c r="VGD44" s="170"/>
      <c r="VGE44" s="172"/>
      <c r="VGF44" s="170"/>
      <c r="VGG44" s="172"/>
      <c r="VGH44" s="170"/>
      <c r="VGI44" s="172"/>
      <c r="VGJ44" s="170"/>
      <c r="VGK44" s="172"/>
      <c r="VGL44" s="170"/>
      <c r="VGM44" s="172"/>
      <c r="VGN44" s="170"/>
      <c r="VGO44" s="172"/>
      <c r="VGP44" s="170"/>
      <c r="VGQ44" s="172"/>
      <c r="VGR44" s="170"/>
      <c r="VGS44" s="172"/>
      <c r="VGT44" s="170"/>
      <c r="VGU44" s="172"/>
      <c r="VGV44" s="170"/>
      <c r="VGW44" s="172"/>
      <c r="VGX44" s="170"/>
      <c r="VGY44" s="172"/>
      <c r="VGZ44" s="170"/>
      <c r="VHA44" s="172"/>
      <c r="VHB44" s="170"/>
      <c r="VHC44" s="172"/>
      <c r="VHD44" s="170"/>
      <c r="VHE44" s="172"/>
      <c r="VHF44" s="170"/>
      <c r="VHG44" s="172"/>
      <c r="VHH44" s="170"/>
      <c r="VHI44" s="172"/>
      <c r="VHJ44" s="170"/>
      <c r="VHK44" s="172"/>
      <c r="VHL44" s="170"/>
      <c r="VHM44" s="172"/>
      <c r="VHN44" s="170"/>
      <c r="VHO44" s="172"/>
      <c r="VHP44" s="170"/>
      <c r="VHQ44" s="172"/>
      <c r="VHR44" s="170"/>
      <c r="VHS44" s="172"/>
      <c r="VHT44" s="170"/>
      <c r="VHU44" s="172"/>
      <c r="VHV44" s="170"/>
      <c r="VHW44" s="172"/>
      <c r="VHX44" s="170"/>
      <c r="VHY44" s="172"/>
      <c r="VHZ44" s="170"/>
      <c r="VIA44" s="172"/>
      <c r="VIB44" s="170"/>
      <c r="VIC44" s="172"/>
      <c r="VID44" s="170"/>
      <c r="VIE44" s="172"/>
      <c r="VIF44" s="170"/>
      <c r="VIG44" s="172"/>
      <c r="VIH44" s="170"/>
      <c r="VII44" s="172"/>
      <c r="VIJ44" s="170"/>
      <c r="VIK44" s="172"/>
      <c r="VIL44" s="170"/>
      <c r="VIM44" s="172"/>
      <c r="VIN44" s="170"/>
      <c r="VIO44" s="172"/>
      <c r="VIP44" s="170"/>
      <c r="VIQ44" s="172"/>
      <c r="VIR44" s="170"/>
      <c r="VIS44" s="172"/>
      <c r="VIT44" s="170"/>
      <c r="VIU44" s="172"/>
      <c r="VIV44" s="170"/>
      <c r="VIW44" s="172"/>
      <c r="VIX44" s="170"/>
      <c r="VIY44" s="172"/>
      <c r="VIZ44" s="170"/>
      <c r="VJA44" s="172"/>
      <c r="VJB44" s="170"/>
      <c r="VJC44" s="172"/>
      <c r="VJD44" s="170"/>
      <c r="VJE44" s="172"/>
      <c r="VJF44" s="170"/>
      <c r="VJG44" s="172"/>
      <c r="VJH44" s="170"/>
      <c r="VJI44" s="172"/>
      <c r="VJJ44" s="170"/>
      <c r="VJK44" s="172"/>
      <c r="VJL44" s="170"/>
      <c r="VJM44" s="172"/>
      <c r="VJN44" s="170"/>
      <c r="VJO44" s="172"/>
      <c r="VJP44" s="170"/>
      <c r="VJQ44" s="172"/>
      <c r="VJR44" s="170"/>
      <c r="VJS44" s="172"/>
      <c r="VJT44" s="170"/>
      <c r="VJU44" s="172"/>
      <c r="VJV44" s="170"/>
      <c r="VJW44" s="172"/>
      <c r="VJX44" s="170"/>
      <c r="VJY44" s="172"/>
      <c r="VJZ44" s="170"/>
      <c r="VKA44" s="172"/>
      <c r="VKB44" s="170"/>
      <c r="VKC44" s="172"/>
      <c r="VKD44" s="170"/>
      <c r="VKE44" s="172"/>
      <c r="VKF44" s="170"/>
      <c r="VKG44" s="172"/>
      <c r="VKH44" s="170"/>
      <c r="VKI44" s="172"/>
      <c r="VKJ44" s="170"/>
      <c r="VKK44" s="172"/>
      <c r="VKL44" s="170"/>
      <c r="VKM44" s="172"/>
      <c r="VKN44" s="170"/>
      <c r="VKO44" s="172"/>
      <c r="VKP44" s="170"/>
      <c r="VKQ44" s="172"/>
      <c r="VKR44" s="170"/>
      <c r="VKS44" s="172"/>
      <c r="VKT44" s="170"/>
      <c r="VKU44" s="172"/>
      <c r="VKV44" s="170"/>
      <c r="VKW44" s="172"/>
      <c r="VKX44" s="170"/>
      <c r="VKY44" s="172"/>
      <c r="VKZ44" s="170"/>
      <c r="VLA44" s="172"/>
      <c r="VLB44" s="170"/>
      <c r="VLC44" s="172"/>
      <c r="VLD44" s="170"/>
      <c r="VLE44" s="172"/>
      <c r="VLF44" s="170"/>
      <c r="VLG44" s="172"/>
      <c r="VLH44" s="170"/>
      <c r="VLI44" s="172"/>
      <c r="VLJ44" s="170"/>
      <c r="VLK44" s="172"/>
      <c r="VLL44" s="170"/>
      <c r="VLM44" s="172"/>
      <c r="VLN44" s="170"/>
      <c r="VLO44" s="172"/>
      <c r="VLP44" s="170"/>
      <c r="VLQ44" s="172"/>
      <c r="VLR44" s="170"/>
      <c r="VLS44" s="172"/>
      <c r="VLT44" s="170"/>
      <c r="VLU44" s="172"/>
      <c r="VLV44" s="170"/>
      <c r="VLW44" s="172"/>
      <c r="VLX44" s="170"/>
      <c r="VLY44" s="172"/>
      <c r="VLZ44" s="170"/>
      <c r="VMA44" s="172"/>
      <c r="VMB44" s="170"/>
      <c r="VMC44" s="172"/>
      <c r="VMD44" s="170"/>
      <c r="VME44" s="172"/>
      <c r="VMF44" s="170"/>
      <c r="VMG44" s="172"/>
      <c r="VMH44" s="170"/>
      <c r="VMI44" s="172"/>
      <c r="VMJ44" s="170"/>
      <c r="VMK44" s="172"/>
      <c r="VML44" s="170"/>
      <c r="VMM44" s="172"/>
      <c r="VMN44" s="170"/>
      <c r="VMO44" s="172"/>
      <c r="VMP44" s="170"/>
      <c r="VMQ44" s="172"/>
      <c r="VMR44" s="170"/>
      <c r="VMS44" s="172"/>
      <c r="VMT44" s="170"/>
      <c r="VMU44" s="172"/>
      <c r="VMV44" s="170"/>
      <c r="VMW44" s="172"/>
      <c r="VMX44" s="170"/>
      <c r="VMY44" s="172"/>
      <c r="VMZ44" s="170"/>
      <c r="VNA44" s="172"/>
      <c r="VNB44" s="170"/>
      <c r="VNC44" s="172"/>
      <c r="VND44" s="170"/>
      <c r="VNE44" s="172"/>
      <c r="VNF44" s="170"/>
      <c r="VNG44" s="172"/>
      <c r="VNH44" s="170"/>
      <c r="VNI44" s="172"/>
      <c r="VNJ44" s="170"/>
      <c r="VNK44" s="172"/>
      <c r="VNL44" s="170"/>
      <c r="VNM44" s="172"/>
      <c r="VNN44" s="170"/>
      <c r="VNO44" s="172"/>
      <c r="VNP44" s="170"/>
      <c r="VNQ44" s="172"/>
      <c r="VNR44" s="170"/>
      <c r="VNS44" s="172"/>
      <c r="VNT44" s="170"/>
      <c r="VNU44" s="172"/>
      <c r="VNV44" s="170"/>
      <c r="VNW44" s="172"/>
      <c r="VNX44" s="170"/>
      <c r="VNY44" s="172"/>
      <c r="VNZ44" s="170"/>
      <c r="VOA44" s="172"/>
      <c r="VOB44" s="170"/>
      <c r="VOC44" s="172"/>
      <c r="VOD44" s="170"/>
      <c r="VOE44" s="172"/>
      <c r="VOF44" s="170"/>
      <c r="VOG44" s="172"/>
      <c r="VOH44" s="170"/>
      <c r="VOI44" s="172"/>
      <c r="VOJ44" s="170"/>
      <c r="VOK44" s="172"/>
      <c r="VOL44" s="170"/>
      <c r="VOM44" s="172"/>
      <c r="VON44" s="170"/>
      <c r="VOO44" s="172"/>
      <c r="VOP44" s="170"/>
      <c r="VOQ44" s="172"/>
      <c r="VOR44" s="170"/>
      <c r="VOS44" s="172"/>
      <c r="VOT44" s="170"/>
      <c r="VOU44" s="172"/>
      <c r="VOV44" s="170"/>
      <c r="VOW44" s="172"/>
      <c r="VOX44" s="170"/>
      <c r="VOY44" s="172"/>
      <c r="VOZ44" s="170"/>
      <c r="VPA44" s="172"/>
      <c r="VPB44" s="170"/>
      <c r="VPC44" s="172"/>
      <c r="VPD44" s="170"/>
      <c r="VPE44" s="172"/>
      <c r="VPF44" s="170"/>
      <c r="VPG44" s="172"/>
      <c r="VPH44" s="170"/>
      <c r="VPI44" s="172"/>
      <c r="VPJ44" s="170"/>
      <c r="VPK44" s="172"/>
      <c r="VPL44" s="170"/>
      <c r="VPM44" s="172"/>
      <c r="VPN44" s="170"/>
      <c r="VPO44" s="172"/>
      <c r="VPP44" s="170"/>
      <c r="VPQ44" s="172"/>
      <c r="VPR44" s="170"/>
      <c r="VPS44" s="172"/>
      <c r="VPT44" s="170"/>
      <c r="VPU44" s="172"/>
      <c r="VPV44" s="170"/>
      <c r="VPW44" s="172"/>
      <c r="VPX44" s="170"/>
      <c r="VPY44" s="172"/>
      <c r="VPZ44" s="170"/>
      <c r="VQA44" s="172"/>
      <c r="VQB44" s="170"/>
      <c r="VQC44" s="172"/>
      <c r="VQD44" s="170"/>
      <c r="VQE44" s="172"/>
      <c r="VQF44" s="170"/>
      <c r="VQG44" s="172"/>
      <c r="VQH44" s="170"/>
      <c r="VQI44" s="172"/>
      <c r="VQJ44" s="170"/>
      <c r="VQK44" s="172"/>
      <c r="VQL44" s="170"/>
      <c r="VQM44" s="172"/>
      <c r="VQN44" s="170"/>
      <c r="VQO44" s="172"/>
      <c r="VQP44" s="170"/>
      <c r="VQQ44" s="172"/>
      <c r="VQR44" s="170"/>
      <c r="VQS44" s="172"/>
      <c r="VQT44" s="170"/>
      <c r="VQU44" s="172"/>
      <c r="VQV44" s="170"/>
      <c r="VQW44" s="172"/>
      <c r="VQX44" s="170"/>
      <c r="VQY44" s="172"/>
      <c r="VQZ44" s="170"/>
      <c r="VRA44" s="172"/>
      <c r="VRB44" s="170"/>
      <c r="VRC44" s="172"/>
      <c r="VRD44" s="170"/>
      <c r="VRE44" s="172"/>
      <c r="VRF44" s="170"/>
      <c r="VRG44" s="172"/>
      <c r="VRH44" s="170"/>
      <c r="VRI44" s="172"/>
      <c r="VRJ44" s="170"/>
      <c r="VRK44" s="172"/>
      <c r="VRL44" s="170"/>
      <c r="VRM44" s="172"/>
      <c r="VRN44" s="170"/>
      <c r="VRO44" s="172"/>
      <c r="VRP44" s="170"/>
      <c r="VRQ44" s="172"/>
      <c r="VRR44" s="170"/>
      <c r="VRS44" s="172"/>
      <c r="VRT44" s="170"/>
      <c r="VRU44" s="172"/>
      <c r="VRV44" s="170"/>
      <c r="VRW44" s="172"/>
      <c r="VRX44" s="170"/>
      <c r="VRY44" s="172"/>
      <c r="VRZ44" s="170"/>
      <c r="VSA44" s="172"/>
      <c r="VSB44" s="170"/>
      <c r="VSC44" s="172"/>
      <c r="VSD44" s="170"/>
      <c r="VSE44" s="172"/>
      <c r="VSF44" s="170"/>
      <c r="VSG44" s="172"/>
      <c r="VSH44" s="170"/>
      <c r="VSI44" s="172"/>
      <c r="VSJ44" s="170"/>
      <c r="VSK44" s="172"/>
      <c r="VSL44" s="170"/>
      <c r="VSM44" s="172"/>
      <c r="VSN44" s="170"/>
      <c r="VSO44" s="172"/>
      <c r="VSP44" s="170"/>
      <c r="VSQ44" s="172"/>
      <c r="VSR44" s="170"/>
      <c r="VSS44" s="172"/>
      <c r="VST44" s="170"/>
      <c r="VSU44" s="172"/>
      <c r="VSV44" s="170"/>
      <c r="VSW44" s="172"/>
      <c r="VSX44" s="170"/>
      <c r="VSY44" s="172"/>
      <c r="VSZ44" s="170"/>
      <c r="VTA44" s="172"/>
      <c r="VTB44" s="170"/>
      <c r="VTC44" s="172"/>
      <c r="VTD44" s="170"/>
      <c r="VTE44" s="172"/>
      <c r="VTF44" s="170"/>
      <c r="VTG44" s="172"/>
      <c r="VTH44" s="170"/>
      <c r="VTI44" s="172"/>
      <c r="VTJ44" s="170"/>
      <c r="VTK44" s="172"/>
      <c r="VTL44" s="170"/>
      <c r="VTM44" s="172"/>
      <c r="VTN44" s="170"/>
      <c r="VTO44" s="172"/>
      <c r="VTP44" s="170"/>
      <c r="VTQ44" s="172"/>
      <c r="VTR44" s="170"/>
      <c r="VTS44" s="172"/>
      <c r="VTT44" s="170"/>
      <c r="VTU44" s="172"/>
      <c r="VTV44" s="170"/>
      <c r="VTW44" s="172"/>
      <c r="VTX44" s="170"/>
      <c r="VTY44" s="172"/>
      <c r="VTZ44" s="170"/>
      <c r="VUA44" s="172"/>
      <c r="VUB44" s="170"/>
      <c r="VUC44" s="172"/>
      <c r="VUD44" s="170"/>
      <c r="VUE44" s="172"/>
      <c r="VUF44" s="170"/>
      <c r="VUG44" s="172"/>
      <c r="VUH44" s="170"/>
      <c r="VUI44" s="172"/>
      <c r="VUJ44" s="170"/>
      <c r="VUK44" s="172"/>
      <c r="VUL44" s="170"/>
      <c r="VUM44" s="172"/>
      <c r="VUN44" s="170"/>
      <c r="VUO44" s="172"/>
      <c r="VUP44" s="170"/>
      <c r="VUQ44" s="172"/>
      <c r="VUR44" s="170"/>
      <c r="VUS44" s="172"/>
      <c r="VUT44" s="170"/>
      <c r="VUU44" s="172"/>
      <c r="VUV44" s="170"/>
      <c r="VUW44" s="172"/>
      <c r="VUX44" s="170"/>
      <c r="VUY44" s="172"/>
      <c r="VUZ44" s="170"/>
      <c r="VVA44" s="172"/>
      <c r="VVB44" s="170"/>
      <c r="VVC44" s="172"/>
      <c r="VVD44" s="170"/>
      <c r="VVE44" s="172"/>
      <c r="VVF44" s="170"/>
      <c r="VVG44" s="172"/>
      <c r="VVH44" s="170"/>
      <c r="VVI44" s="172"/>
      <c r="VVJ44" s="170"/>
      <c r="VVK44" s="172"/>
      <c r="VVL44" s="170"/>
      <c r="VVM44" s="172"/>
      <c r="VVN44" s="170"/>
      <c r="VVO44" s="172"/>
      <c r="VVP44" s="170"/>
      <c r="VVQ44" s="172"/>
      <c r="VVR44" s="170"/>
      <c r="VVS44" s="172"/>
      <c r="VVT44" s="170"/>
      <c r="VVU44" s="172"/>
      <c r="VVV44" s="170"/>
      <c r="VVW44" s="172"/>
      <c r="VVX44" s="170"/>
      <c r="VVY44" s="172"/>
      <c r="VVZ44" s="170"/>
      <c r="VWA44" s="172"/>
      <c r="VWB44" s="170"/>
      <c r="VWC44" s="172"/>
      <c r="VWD44" s="170"/>
      <c r="VWE44" s="172"/>
      <c r="VWF44" s="170"/>
      <c r="VWG44" s="172"/>
      <c r="VWH44" s="170"/>
      <c r="VWI44" s="172"/>
      <c r="VWJ44" s="170"/>
      <c r="VWK44" s="172"/>
      <c r="VWL44" s="170"/>
      <c r="VWM44" s="172"/>
      <c r="VWN44" s="170"/>
      <c r="VWO44" s="172"/>
      <c r="VWP44" s="170"/>
      <c r="VWQ44" s="172"/>
      <c r="VWR44" s="170"/>
      <c r="VWS44" s="172"/>
      <c r="VWT44" s="170"/>
      <c r="VWU44" s="172"/>
      <c r="VWV44" s="170"/>
      <c r="VWW44" s="172"/>
      <c r="VWX44" s="170"/>
      <c r="VWY44" s="172"/>
      <c r="VWZ44" s="170"/>
      <c r="VXA44" s="172"/>
      <c r="VXB44" s="170"/>
      <c r="VXC44" s="172"/>
      <c r="VXD44" s="170"/>
      <c r="VXE44" s="172"/>
      <c r="VXF44" s="170"/>
      <c r="VXG44" s="172"/>
      <c r="VXH44" s="170"/>
      <c r="VXI44" s="172"/>
      <c r="VXJ44" s="170"/>
      <c r="VXK44" s="172"/>
      <c r="VXL44" s="170"/>
      <c r="VXM44" s="172"/>
      <c r="VXN44" s="170"/>
      <c r="VXO44" s="172"/>
      <c r="VXP44" s="170"/>
      <c r="VXQ44" s="172"/>
      <c r="VXR44" s="170"/>
      <c r="VXS44" s="172"/>
      <c r="VXT44" s="170"/>
      <c r="VXU44" s="172"/>
      <c r="VXV44" s="170"/>
      <c r="VXW44" s="172"/>
      <c r="VXX44" s="170"/>
      <c r="VXY44" s="172"/>
      <c r="VXZ44" s="170"/>
      <c r="VYA44" s="172"/>
      <c r="VYB44" s="170"/>
      <c r="VYC44" s="172"/>
      <c r="VYD44" s="170"/>
      <c r="VYE44" s="172"/>
      <c r="VYF44" s="170"/>
      <c r="VYG44" s="172"/>
      <c r="VYH44" s="170"/>
      <c r="VYI44" s="172"/>
      <c r="VYJ44" s="170"/>
      <c r="VYK44" s="172"/>
      <c r="VYL44" s="170"/>
      <c r="VYM44" s="172"/>
      <c r="VYN44" s="170"/>
      <c r="VYO44" s="172"/>
      <c r="VYP44" s="170"/>
      <c r="VYQ44" s="172"/>
      <c r="VYR44" s="170"/>
      <c r="VYS44" s="172"/>
      <c r="VYT44" s="170"/>
      <c r="VYU44" s="172"/>
      <c r="VYV44" s="170"/>
      <c r="VYW44" s="172"/>
      <c r="VYX44" s="170"/>
      <c r="VYY44" s="172"/>
      <c r="VYZ44" s="170"/>
      <c r="VZA44" s="172"/>
      <c r="VZB44" s="170"/>
      <c r="VZC44" s="172"/>
      <c r="VZD44" s="170"/>
      <c r="VZE44" s="172"/>
      <c r="VZF44" s="170"/>
      <c r="VZG44" s="172"/>
      <c r="VZH44" s="170"/>
      <c r="VZI44" s="172"/>
      <c r="VZJ44" s="170"/>
      <c r="VZK44" s="172"/>
      <c r="VZL44" s="170"/>
      <c r="VZM44" s="172"/>
      <c r="VZN44" s="170"/>
      <c r="VZO44" s="172"/>
      <c r="VZP44" s="170"/>
      <c r="VZQ44" s="172"/>
      <c r="VZR44" s="170"/>
      <c r="VZS44" s="172"/>
      <c r="VZT44" s="170"/>
      <c r="VZU44" s="172"/>
      <c r="VZV44" s="170"/>
      <c r="VZW44" s="172"/>
      <c r="VZX44" s="170"/>
      <c r="VZY44" s="172"/>
      <c r="VZZ44" s="170"/>
      <c r="WAA44" s="172"/>
      <c r="WAB44" s="170"/>
      <c r="WAC44" s="172"/>
      <c r="WAD44" s="170"/>
      <c r="WAE44" s="172"/>
      <c r="WAF44" s="170"/>
      <c r="WAG44" s="172"/>
      <c r="WAH44" s="170"/>
      <c r="WAI44" s="172"/>
      <c r="WAJ44" s="170"/>
      <c r="WAK44" s="172"/>
      <c r="WAL44" s="170"/>
      <c r="WAM44" s="172"/>
      <c r="WAN44" s="170"/>
      <c r="WAO44" s="172"/>
      <c r="WAP44" s="170"/>
      <c r="WAQ44" s="172"/>
      <c r="WAR44" s="170"/>
      <c r="WAS44" s="172"/>
      <c r="WAT44" s="170"/>
      <c r="WAU44" s="172"/>
      <c r="WAV44" s="170"/>
      <c r="WAW44" s="172"/>
      <c r="WAX44" s="170"/>
      <c r="WAY44" s="172"/>
      <c r="WAZ44" s="170"/>
      <c r="WBA44" s="172"/>
      <c r="WBB44" s="170"/>
      <c r="WBC44" s="172"/>
      <c r="WBD44" s="170"/>
      <c r="WBE44" s="172"/>
      <c r="WBF44" s="170"/>
      <c r="WBG44" s="172"/>
      <c r="WBH44" s="170"/>
      <c r="WBI44" s="172"/>
      <c r="WBJ44" s="170"/>
      <c r="WBK44" s="172"/>
      <c r="WBL44" s="170"/>
      <c r="WBM44" s="172"/>
      <c r="WBN44" s="170"/>
      <c r="WBO44" s="172"/>
      <c r="WBP44" s="170"/>
      <c r="WBQ44" s="172"/>
      <c r="WBR44" s="170"/>
      <c r="WBS44" s="172"/>
      <c r="WBT44" s="170"/>
      <c r="WBU44" s="172"/>
      <c r="WBV44" s="170"/>
      <c r="WBW44" s="172"/>
      <c r="WBX44" s="170"/>
      <c r="WBY44" s="172"/>
      <c r="WBZ44" s="170"/>
      <c r="WCA44" s="172"/>
      <c r="WCB44" s="170"/>
      <c r="WCC44" s="172"/>
      <c r="WCD44" s="170"/>
      <c r="WCE44" s="172"/>
      <c r="WCF44" s="170"/>
      <c r="WCG44" s="172"/>
      <c r="WCH44" s="170"/>
      <c r="WCI44" s="172"/>
      <c r="WCJ44" s="170"/>
      <c r="WCK44" s="172"/>
      <c r="WCL44" s="170"/>
      <c r="WCM44" s="172"/>
      <c r="WCN44" s="170"/>
      <c r="WCO44" s="172"/>
      <c r="WCP44" s="170"/>
      <c r="WCQ44" s="172"/>
      <c r="WCR44" s="170"/>
      <c r="WCS44" s="172"/>
      <c r="WCT44" s="170"/>
      <c r="WCU44" s="172"/>
      <c r="WCV44" s="170"/>
      <c r="WCW44" s="172"/>
      <c r="WCX44" s="170"/>
      <c r="WCY44" s="172"/>
      <c r="WCZ44" s="170"/>
      <c r="WDA44" s="172"/>
      <c r="WDB44" s="170"/>
      <c r="WDC44" s="172"/>
      <c r="WDD44" s="170"/>
      <c r="WDE44" s="172"/>
      <c r="WDF44" s="170"/>
      <c r="WDG44" s="172"/>
      <c r="WDH44" s="170"/>
      <c r="WDI44" s="172"/>
      <c r="WDJ44" s="170"/>
      <c r="WDK44" s="172"/>
      <c r="WDL44" s="170"/>
      <c r="WDM44" s="172"/>
      <c r="WDN44" s="170"/>
      <c r="WDO44" s="172"/>
      <c r="WDP44" s="170"/>
      <c r="WDQ44" s="172"/>
      <c r="WDR44" s="170"/>
      <c r="WDS44" s="172"/>
      <c r="WDT44" s="170"/>
      <c r="WDU44" s="172"/>
      <c r="WDV44" s="170"/>
      <c r="WDW44" s="172"/>
      <c r="WDX44" s="170"/>
      <c r="WDY44" s="172"/>
      <c r="WDZ44" s="170"/>
      <c r="WEA44" s="172"/>
      <c r="WEB44" s="170"/>
      <c r="WEC44" s="172"/>
      <c r="WED44" s="170"/>
      <c r="WEE44" s="172"/>
      <c r="WEF44" s="170"/>
      <c r="WEG44" s="172"/>
      <c r="WEH44" s="170"/>
      <c r="WEI44" s="172"/>
      <c r="WEJ44" s="170"/>
      <c r="WEK44" s="172"/>
      <c r="WEL44" s="170"/>
      <c r="WEM44" s="172"/>
      <c r="WEN44" s="170"/>
      <c r="WEO44" s="172"/>
      <c r="WEP44" s="170"/>
      <c r="WEQ44" s="172"/>
      <c r="WER44" s="170"/>
      <c r="WES44" s="172"/>
      <c r="WET44" s="170"/>
      <c r="WEU44" s="172"/>
      <c r="WEV44" s="170"/>
      <c r="WEW44" s="172"/>
      <c r="WEX44" s="170"/>
      <c r="WEY44" s="172"/>
      <c r="WEZ44" s="170"/>
      <c r="WFA44" s="172"/>
      <c r="WFB44" s="170"/>
      <c r="WFC44" s="172"/>
      <c r="WFD44" s="170"/>
      <c r="WFE44" s="172"/>
      <c r="WFF44" s="170"/>
      <c r="WFG44" s="172"/>
      <c r="WFH44" s="170"/>
      <c r="WFI44" s="172"/>
      <c r="WFJ44" s="170"/>
      <c r="WFK44" s="172"/>
      <c r="WFL44" s="170"/>
      <c r="WFM44" s="172"/>
      <c r="WFN44" s="170"/>
      <c r="WFO44" s="172"/>
      <c r="WFP44" s="170"/>
      <c r="WFQ44" s="172"/>
      <c r="WFR44" s="170"/>
      <c r="WFS44" s="172"/>
      <c r="WFT44" s="170"/>
      <c r="WFU44" s="172"/>
      <c r="WFV44" s="170"/>
      <c r="WFW44" s="172"/>
      <c r="WFX44" s="170"/>
      <c r="WFY44" s="172"/>
      <c r="WFZ44" s="170"/>
      <c r="WGA44" s="172"/>
      <c r="WGB44" s="170"/>
      <c r="WGC44" s="172"/>
      <c r="WGD44" s="170"/>
      <c r="WGE44" s="172"/>
      <c r="WGF44" s="170"/>
      <c r="WGG44" s="172"/>
      <c r="WGH44" s="170"/>
      <c r="WGI44" s="172"/>
      <c r="WGJ44" s="170"/>
      <c r="WGK44" s="172"/>
      <c r="WGL44" s="170"/>
      <c r="WGM44" s="172"/>
      <c r="WGN44" s="170"/>
      <c r="WGO44" s="172"/>
      <c r="WGP44" s="170"/>
      <c r="WGQ44" s="172"/>
      <c r="WGR44" s="170"/>
      <c r="WGS44" s="172"/>
      <c r="WGT44" s="170"/>
      <c r="WGU44" s="172"/>
      <c r="WGV44" s="170"/>
      <c r="WGW44" s="172"/>
      <c r="WGX44" s="170"/>
      <c r="WGY44" s="172"/>
      <c r="WGZ44" s="170"/>
      <c r="WHA44" s="172"/>
      <c r="WHB44" s="170"/>
      <c r="WHC44" s="172"/>
      <c r="WHD44" s="170"/>
      <c r="WHE44" s="172"/>
      <c r="WHF44" s="170"/>
      <c r="WHG44" s="172"/>
      <c r="WHH44" s="170"/>
      <c r="WHI44" s="172"/>
      <c r="WHJ44" s="170"/>
      <c r="WHK44" s="172"/>
      <c r="WHL44" s="170"/>
      <c r="WHM44" s="172"/>
      <c r="WHN44" s="170"/>
      <c r="WHO44" s="172"/>
      <c r="WHP44" s="170"/>
      <c r="WHQ44" s="172"/>
      <c r="WHR44" s="170"/>
      <c r="WHS44" s="172"/>
      <c r="WHT44" s="170"/>
      <c r="WHU44" s="172"/>
      <c r="WHV44" s="170"/>
      <c r="WHW44" s="172"/>
      <c r="WHX44" s="170"/>
      <c r="WHY44" s="172"/>
      <c r="WHZ44" s="170"/>
      <c r="WIA44" s="172"/>
      <c r="WIB44" s="170"/>
      <c r="WIC44" s="172"/>
      <c r="WID44" s="170"/>
      <c r="WIE44" s="172"/>
      <c r="WIF44" s="170"/>
      <c r="WIG44" s="172"/>
      <c r="WIH44" s="170"/>
      <c r="WII44" s="172"/>
      <c r="WIJ44" s="170"/>
      <c r="WIK44" s="172"/>
      <c r="WIL44" s="170"/>
      <c r="WIM44" s="172"/>
      <c r="WIN44" s="170"/>
      <c r="WIO44" s="172"/>
      <c r="WIP44" s="170"/>
      <c r="WIQ44" s="172"/>
      <c r="WIR44" s="170"/>
      <c r="WIS44" s="172"/>
      <c r="WIT44" s="170"/>
      <c r="WIU44" s="172"/>
      <c r="WIV44" s="170"/>
      <c r="WIW44" s="172"/>
      <c r="WIX44" s="170"/>
      <c r="WIY44" s="172"/>
      <c r="WIZ44" s="170"/>
      <c r="WJA44" s="172"/>
      <c r="WJB44" s="170"/>
      <c r="WJC44" s="172"/>
      <c r="WJD44" s="170"/>
      <c r="WJE44" s="172"/>
      <c r="WJF44" s="170"/>
      <c r="WJG44" s="172"/>
      <c r="WJH44" s="170"/>
      <c r="WJI44" s="172"/>
      <c r="WJJ44" s="170"/>
      <c r="WJK44" s="172"/>
      <c r="WJL44" s="170"/>
      <c r="WJM44" s="172"/>
      <c r="WJN44" s="170"/>
      <c r="WJO44" s="172"/>
      <c r="WJP44" s="170"/>
      <c r="WJQ44" s="172"/>
      <c r="WJR44" s="170"/>
      <c r="WJS44" s="172"/>
      <c r="WJT44" s="170"/>
      <c r="WJU44" s="172"/>
      <c r="WJV44" s="170"/>
      <c r="WJW44" s="172"/>
      <c r="WJX44" s="170"/>
      <c r="WJY44" s="172"/>
      <c r="WJZ44" s="170"/>
      <c r="WKA44" s="172"/>
      <c r="WKB44" s="170"/>
      <c r="WKC44" s="172"/>
      <c r="WKD44" s="170"/>
      <c r="WKE44" s="172"/>
      <c r="WKF44" s="170"/>
      <c r="WKG44" s="172"/>
      <c r="WKH44" s="170"/>
      <c r="WKI44" s="172"/>
      <c r="WKJ44" s="170"/>
      <c r="WKK44" s="172"/>
      <c r="WKL44" s="170"/>
      <c r="WKM44" s="172"/>
      <c r="WKN44" s="170"/>
      <c r="WKO44" s="172"/>
      <c r="WKP44" s="170"/>
      <c r="WKQ44" s="172"/>
      <c r="WKR44" s="170"/>
      <c r="WKS44" s="172"/>
      <c r="WKT44" s="170"/>
      <c r="WKU44" s="172"/>
      <c r="WKV44" s="170"/>
      <c r="WKW44" s="172"/>
      <c r="WKX44" s="170"/>
      <c r="WKY44" s="172"/>
      <c r="WKZ44" s="170"/>
      <c r="WLA44" s="172"/>
      <c r="WLB44" s="170"/>
      <c r="WLC44" s="172"/>
      <c r="WLD44" s="170"/>
      <c r="WLE44" s="172"/>
      <c r="WLF44" s="170"/>
      <c r="WLG44" s="172"/>
      <c r="WLH44" s="170"/>
      <c r="WLI44" s="172"/>
      <c r="WLJ44" s="170"/>
      <c r="WLK44" s="172"/>
      <c r="WLL44" s="170"/>
      <c r="WLM44" s="172"/>
      <c r="WLN44" s="170"/>
      <c r="WLO44" s="172"/>
      <c r="WLP44" s="170"/>
      <c r="WLQ44" s="172"/>
      <c r="WLR44" s="170"/>
      <c r="WLS44" s="172"/>
      <c r="WLT44" s="170"/>
      <c r="WLU44" s="172"/>
      <c r="WLV44" s="170"/>
      <c r="WLW44" s="172"/>
      <c r="WLX44" s="170"/>
      <c r="WLY44" s="172"/>
      <c r="WLZ44" s="170"/>
      <c r="WMA44" s="172"/>
      <c r="WMB44" s="170"/>
      <c r="WMC44" s="172"/>
      <c r="WMD44" s="170"/>
      <c r="WME44" s="172"/>
      <c r="WMF44" s="170"/>
      <c r="WMG44" s="172"/>
      <c r="WMH44" s="170"/>
      <c r="WMI44" s="172"/>
      <c r="WMJ44" s="170"/>
      <c r="WMK44" s="172"/>
      <c r="WML44" s="170"/>
      <c r="WMM44" s="172"/>
      <c r="WMN44" s="170"/>
      <c r="WMO44" s="172"/>
      <c r="WMP44" s="170"/>
      <c r="WMQ44" s="172"/>
      <c r="WMR44" s="170"/>
      <c r="WMS44" s="172"/>
      <c r="WMT44" s="170"/>
      <c r="WMU44" s="172"/>
      <c r="WMV44" s="170"/>
      <c r="WMW44" s="172"/>
      <c r="WMX44" s="170"/>
      <c r="WMY44" s="172"/>
      <c r="WMZ44" s="170"/>
      <c r="WNA44" s="172"/>
      <c r="WNB44" s="170"/>
      <c r="WNC44" s="172"/>
      <c r="WND44" s="170"/>
      <c r="WNE44" s="172"/>
      <c r="WNF44" s="170"/>
      <c r="WNG44" s="172"/>
      <c r="WNH44" s="170"/>
      <c r="WNI44" s="172"/>
      <c r="WNJ44" s="170"/>
      <c r="WNK44" s="172"/>
      <c r="WNL44" s="170"/>
      <c r="WNM44" s="172"/>
      <c r="WNN44" s="170"/>
      <c r="WNO44" s="172"/>
      <c r="WNP44" s="170"/>
      <c r="WNQ44" s="172"/>
      <c r="WNR44" s="170"/>
      <c r="WNS44" s="172"/>
      <c r="WNT44" s="170"/>
      <c r="WNU44" s="172"/>
      <c r="WNV44" s="170"/>
      <c r="WNW44" s="172"/>
      <c r="WNX44" s="170"/>
      <c r="WNY44" s="172"/>
      <c r="WNZ44" s="170"/>
      <c r="WOA44" s="172"/>
      <c r="WOB44" s="170"/>
      <c r="WOC44" s="172"/>
      <c r="WOD44" s="170"/>
      <c r="WOE44" s="172"/>
      <c r="WOF44" s="170"/>
      <c r="WOG44" s="172"/>
      <c r="WOH44" s="170"/>
      <c r="WOI44" s="172"/>
      <c r="WOJ44" s="170"/>
      <c r="WOK44" s="172"/>
      <c r="WOL44" s="170"/>
      <c r="WOM44" s="172"/>
      <c r="WON44" s="170"/>
      <c r="WOO44" s="172"/>
      <c r="WOP44" s="170"/>
      <c r="WOQ44" s="172"/>
      <c r="WOR44" s="170"/>
      <c r="WOS44" s="172"/>
      <c r="WOT44" s="170"/>
      <c r="WOU44" s="172"/>
      <c r="WOV44" s="170"/>
      <c r="WOW44" s="172"/>
      <c r="WOX44" s="170"/>
      <c r="WOY44" s="172"/>
      <c r="WOZ44" s="170"/>
      <c r="WPA44" s="172"/>
      <c r="WPB44" s="170"/>
      <c r="WPC44" s="172"/>
      <c r="WPD44" s="170"/>
      <c r="WPE44" s="172"/>
      <c r="WPF44" s="170"/>
      <c r="WPG44" s="172"/>
      <c r="WPH44" s="170"/>
      <c r="WPI44" s="172"/>
      <c r="WPJ44" s="170"/>
      <c r="WPK44" s="172"/>
      <c r="WPL44" s="170"/>
      <c r="WPM44" s="172"/>
      <c r="WPN44" s="170"/>
      <c r="WPO44" s="172"/>
      <c r="WPP44" s="170"/>
      <c r="WPQ44" s="172"/>
      <c r="WPR44" s="170"/>
      <c r="WPS44" s="172"/>
      <c r="WPT44" s="170"/>
      <c r="WPU44" s="172"/>
      <c r="WPV44" s="170"/>
      <c r="WPW44" s="172"/>
      <c r="WPX44" s="170"/>
      <c r="WPY44" s="172"/>
      <c r="WPZ44" s="170"/>
      <c r="WQA44" s="172"/>
      <c r="WQB44" s="170"/>
      <c r="WQC44" s="172"/>
      <c r="WQD44" s="170"/>
      <c r="WQE44" s="172"/>
      <c r="WQF44" s="170"/>
      <c r="WQG44" s="172"/>
      <c r="WQH44" s="170"/>
      <c r="WQI44" s="172"/>
      <c r="WQJ44" s="170"/>
      <c r="WQK44" s="172"/>
      <c r="WQL44" s="170"/>
      <c r="WQM44" s="172"/>
      <c r="WQN44" s="170"/>
      <c r="WQO44" s="172"/>
      <c r="WQP44" s="170"/>
      <c r="WQQ44" s="172"/>
      <c r="WQR44" s="170"/>
      <c r="WQS44" s="172"/>
      <c r="WQT44" s="170"/>
      <c r="WQU44" s="172"/>
      <c r="WQV44" s="170"/>
      <c r="WQW44" s="172"/>
      <c r="WQX44" s="170"/>
      <c r="WQY44" s="172"/>
      <c r="WQZ44" s="170"/>
      <c r="WRA44" s="172"/>
      <c r="WRB44" s="170"/>
      <c r="WRC44" s="172"/>
      <c r="WRD44" s="170"/>
      <c r="WRE44" s="172"/>
      <c r="WRF44" s="170"/>
      <c r="WRG44" s="172"/>
      <c r="WRH44" s="170"/>
      <c r="WRI44" s="172"/>
      <c r="WRJ44" s="170"/>
      <c r="WRK44" s="172"/>
      <c r="WRL44" s="170"/>
      <c r="WRM44" s="172"/>
      <c r="WRN44" s="170"/>
      <c r="WRO44" s="172"/>
      <c r="WRP44" s="170"/>
      <c r="WRQ44" s="172"/>
      <c r="WRR44" s="170"/>
      <c r="WRS44" s="172"/>
      <c r="WRT44" s="170"/>
      <c r="WRU44" s="172"/>
      <c r="WRV44" s="170"/>
      <c r="WRW44" s="172"/>
      <c r="WRX44" s="170"/>
      <c r="WRY44" s="172"/>
      <c r="WRZ44" s="170"/>
      <c r="WSA44" s="172"/>
      <c r="WSB44" s="170"/>
      <c r="WSC44" s="172"/>
      <c r="WSD44" s="170"/>
      <c r="WSE44" s="172"/>
      <c r="WSF44" s="170"/>
      <c r="WSG44" s="172"/>
      <c r="WSH44" s="170"/>
      <c r="WSI44" s="172"/>
      <c r="WSJ44" s="170"/>
      <c r="WSK44" s="172"/>
      <c r="WSL44" s="170"/>
      <c r="WSM44" s="172"/>
      <c r="WSN44" s="170"/>
      <c r="WSO44" s="172"/>
      <c r="WSP44" s="170"/>
      <c r="WSQ44" s="172"/>
      <c r="WSR44" s="170"/>
      <c r="WSS44" s="172"/>
      <c r="WST44" s="170"/>
      <c r="WSU44" s="172"/>
      <c r="WSV44" s="170"/>
      <c r="WSW44" s="172"/>
      <c r="WSX44" s="170"/>
      <c r="WSY44" s="172"/>
      <c r="WSZ44" s="170"/>
      <c r="WTA44" s="172"/>
      <c r="WTB44" s="170"/>
      <c r="WTC44" s="172"/>
      <c r="WTD44" s="170"/>
      <c r="WTE44" s="172"/>
      <c r="WTF44" s="170"/>
      <c r="WTG44" s="172"/>
      <c r="WTH44" s="170"/>
      <c r="WTI44" s="172"/>
      <c r="WTJ44" s="170"/>
      <c r="WTK44" s="172"/>
      <c r="WTL44" s="170"/>
      <c r="WTM44" s="172"/>
      <c r="WTN44" s="170"/>
      <c r="WTO44" s="172"/>
      <c r="WTP44" s="170"/>
      <c r="WTQ44" s="172"/>
      <c r="WTR44" s="170"/>
      <c r="WTS44" s="172"/>
      <c r="WTT44" s="170"/>
      <c r="WTU44" s="172"/>
      <c r="WTV44" s="170"/>
      <c r="WTW44" s="172"/>
      <c r="WTX44" s="170"/>
      <c r="WTY44" s="172"/>
      <c r="WTZ44" s="170"/>
      <c r="WUA44" s="172"/>
      <c r="WUB44" s="170"/>
      <c r="WUC44" s="172"/>
      <c r="WUD44" s="170"/>
      <c r="WUE44" s="172"/>
      <c r="WUF44" s="170"/>
      <c r="WUG44" s="172"/>
      <c r="WUH44" s="170"/>
      <c r="WUI44" s="172"/>
      <c r="WUJ44" s="170"/>
      <c r="WUK44" s="172"/>
      <c r="WUL44" s="170"/>
      <c r="WUM44" s="172"/>
      <c r="WUN44" s="170"/>
      <c r="WUO44" s="172"/>
      <c r="WUP44" s="170"/>
      <c r="WUQ44" s="172"/>
      <c r="WUR44" s="170"/>
      <c r="WUS44" s="172"/>
      <c r="WUT44" s="170"/>
      <c r="WUU44" s="172"/>
      <c r="WUV44" s="170"/>
      <c r="WUW44" s="172"/>
      <c r="WUX44" s="170"/>
      <c r="WUY44" s="172"/>
      <c r="WUZ44" s="170"/>
      <c r="WVA44" s="172"/>
      <c r="WVB44" s="170"/>
      <c r="WVC44" s="172"/>
      <c r="WVD44" s="170"/>
      <c r="WVE44" s="172"/>
      <c r="WVF44" s="170"/>
      <c r="WVG44" s="172"/>
      <c r="WVH44" s="170"/>
      <c r="WVI44" s="172"/>
      <c r="WVJ44" s="170"/>
      <c r="WVK44" s="172"/>
      <c r="WVL44" s="170"/>
      <c r="WVM44" s="172"/>
      <c r="WVN44" s="170"/>
      <c r="WVO44" s="172"/>
      <c r="WVP44" s="170"/>
      <c r="WVQ44" s="172"/>
      <c r="WVR44" s="170"/>
      <c r="WVS44" s="172"/>
      <c r="WVT44" s="170"/>
      <c r="WVU44" s="172"/>
      <c r="WVV44" s="170"/>
      <c r="WVW44" s="172"/>
      <c r="WVX44" s="170"/>
      <c r="WVY44" s="172"/>
      <c r="WVZ44" s="170"/>
      <c r="WWA44" s="172"/>
      <c r="WWB44" s="170"/>
      <c r="WWC44" s="172"/>
      <c r="WWD44" s="170"/>
      <c r="WWE44" s="172"/>
      <c r="WWF44" s="170"/>
      <c r="WWG44" s="172"/>
      <c r="WWH44" s="170"/>
      <c r="WWI44" s="172"/>
      <c r="WWJ44" s="170"/>
      <c r="WWK44" s="172"/>
      <c r="WWL44" s="170"/>
      <c r="WWM44" s="172"/>
      <c r="WWN44" s="170"/>
      <c r="WWO44" s="172"/>
      <c r="WWP44" s="170"/>
      <c r="WWQ44" s="172"/>
      <c r="WWR44" s="170"/>
      <c r="WWS44" s="172"/>
      <c r="WWT44" s="170"/>
      <c r="WWU44" s="172"/>
      <c r="WWV44" s="170"/>
      <c r="WWW44" s="172"/>
      <c r="WWX44" s="170"/>
      <c r="WWY44" s="172"/>
      <c r="WWZ44" s="170"/>
      <c r="WXA44" s="172"/>
      <c r="WXB44" s="170"/>
      <c r="WXC44" s="172"/>
      <c r="WXD44" s="170"/>
      <c r="WXE44" s="172"/>
      <c r="WXF44" s="170"/>
      <c r="WXG44" s="172"/>
      <c r="WXH44" s="170"/>
      <c r="WXI44" s="172"/>
      <c r="WXJ44" s="170"/>
      <c r="WXK44" s="172"/>
      <c r="WXL44" s="170"/>
      <c r="WXM44" s="172"/>
      <c r="WXN44" s="170"/>
      <c r="WXO44" s="172"/>
      <c r="WXP44" s="170"/>
      <c r="WXQ44" s="172"/>
      <c r="WXR44" s="170"/>
      <c r="WXS44" s="172"/>
      <c r="WXT44" s="170"/>
      <c r="WXU44" s="172"/>
      <c r="WXV44" s="170"/>
      <c r="WXW44" s="172"/>
      <c r="WXX44" s="170"/>
      <c r="WXY44" s="172"/>
      <c r="WXZ44" s="170"/>
      <c r="WYA44" s="172"/>
      <c r="WYB44" s="170"/>
      <c r="WYC44" s="172"/>
      <c r="WYD44" s="170"/>
      <c r="WYE44" s="172"/>
      <c r="WYF44" s="170"/>
      <c r="WYG44" s="172"/>
      <c r="WYH44" s="170"/>
      <c r="WYI44" s="172"/>
      <c r="WYJ44" s="170"/>
      <c r="WYK44" s="172"/>
      <c r="WYL44" s="170"/>
      <c r="WYM44" s="172"/>
      <c r="WYN44" s="170"/>
      <c r="WYO44" s="172"/>
      <c r="WYP44" s="170"/>
      <c r="WYQ44" s="172"/>
      <c r="WYR44" s="170"/>
      <c r="WYS44" s="172"/>
      <c r="WYT44" s="170"/>
      <c r="WYU44" s="172"/>
      <c r="WYV44" s="170"/>
      <c r="WYW44" s="172"/>
      <c r="WYX44" s="170"/>
      <c r="WYY44" s="172"/>
      <c r="WYZ44" s="170"/>
      <c r="WZA44" s="172"/>
      <c r="WZB44" s="170"/>
      <c r="WZC44" s="172"/>
      <c r="WZD44" s="170"/>
      <c r="WZE44" s="172"/>
      <c r="WZF44" s="170"/>
      <c r="WZG44" s="172"/>
      <c r="WZH44" s="170"/>
      <c r="WZI44" s="172"/>
      <c r="WZJ44" s="170"/>
      <c r="WZK44" s="172"/>
      <c r="WZL44" s="170"/>
      <c r="WZM44" s="172"/>
      <c r="WZN44" s="170"/>
      <c r="WZO44" s="172"/>
      <c r="WZP44" s="170"/>
      <c r="WZQ44" s="172"/>
      <c r="WZR44" s="170"/>
      <c r="WZS44" s="172"/>
      <c r="WZT44" s="170"/>
      <c r="WZU44" s="172"/>
      <c r="WZV44" s="170"/>
      <c r="WZW44" s="172"/>
      <c r="WZX44" s="170"/>
      <c r="WZY44" s="172"/>
      <c r="WZZ44" s="170"/>
      <c r="XAA44" s="172"/>
      <c r="XAB44" s="170"/>
      <c r="XAC44" s="172"/>
      <c r="XAD44" s="170"/>
      <c r="XAE44" s="172"/>
      <c r="XAF44" s="170"/>
      <c r="XAG44" s="172"/>
      <c r="XAH44" s="170"/>
      <c r="XAI44" s="172"/>
      <c r="XAJ44" s="170"/>
      <c r="XAK44" s="172"/>
      <c r="XAL44" s="170"/>
      <c r="XAM44" s="172"/>
      <c r="XAN44" s="170"/>
      <c r="XAO44" s="172"/>
      <c r="XAP44" s="170"/>
      <c r="XAQ44" s="172"/>
      <c r="XAR44" s="170"/>
      <c r="XAS44" s="172"/>
      <c r="XAT44" s="170"/>
      <c r="XAU44" s="172"/>
      <c r="XAV44" s="170"/>
      <c r="XAW44" s="172"/>
      <c r="XAX44" s="170"/>
      <c r="XAY44" s="172"/>
      <c r="XAZ44" s="170"/>
      <c r="XBA44" s="172"/>
      <c r="XBB44" s="170"/>
      <c r="XBC44" s="172"/>
      <c r="XBD44" s="170"/>
      <c r="XBE44" s="172"/>
      <c r="XBF44" s="170"/>
      <c r="XBG44" s="172"/>
      <c r="XBH44" s="170"/>
      <c r="XBI44" s="172"/>
      <c r="XBJ44" s="170"/>
      <c r="XBK44" s="172"/>
      <c r="XBL44" s="170"/>
      <c r="XBM44" s="172"/>
      <c r="XBN44" s="170"/>
      <c r="XBO44" s="172"/>
      <c r="XBP44" s="170"/>
      <c r="XBQ44" s="172"/>
      <c r="XBR44" s="170"/>
      <c r="XBS44" s="172"/>
      <c r="XBT44" s="170"/>
      <c r="XBU44" s="172"/>
      <c r="XBV44" s="170"/>
      <c r="XBW44" s="172"/>
      <c r="XBX44" s="170"/>
      <c r="XBY44" s="172"/>
      <c r="XBZ44" s="170"/>
      <c r="XCA44" s="172"/>
      <c r="XCB44" s="170"/>
      <c r="XCC44" s="172"/>
      <c r="XCD44" s="170"/>
      <c r="XCE44" s="172"/>
      <c r="XCF44" s="170"/>
      <c r="XCG44" s="172"/>
      <c r="XCH44" s="170"/>
      <c r="XCI44" s="172"/>
      <c r="XCJ44" s="170"/>
      <c r="XCK44" s="172"/>
      <c r="XCL44" s="170"/>
      <c r="XCM44" s="172"/>
      <c r="XCN44" s="170"/>
      <c r="XCO44" s="172"/>
      <c r="XCP44" s="170"/>
      <c r="XCQ44" s="172"/>
      <c r="XCR44" s="170"/>
      <c r="XCS44" s="172"/>
      <c r="XCT44" s="170"/>
      <c r="XCU44" s="172"/>
      <c r="XCV44" s="170"/>
      <c r="XCW44" s="172"/>
      <c r="XCX44" s="170"/>
      <c r="XCY44" s="172"/>
      <c r="XCZ44" s="170"/>
      <c r="XDA44" s="172"/>
      <c r="XDB44" s="170"/>
      <c r="XDC44" s="172"/>
      <c r="XDD44" s="170"/>
      <c r="XDE44" s="172"/>
      <c r="XDF44" s="170"/>
      <c r="XDG44" s="172"/>
      <c r="XDH44" s="170"/>
      <c r="XDI44" s="172"/>
      <c r="XDJ44" s="170"/>
      <c r="XDK44" s="172"/>
      <c r="XDL44" s="170"/>
      <c r="XDM44" s="172"/>
      <c r="XDN44" s="170"/>
      <c r="XDO44" s="172"/>
      <c r="XDP44" s="170"/>
      <c r="XDQ44" s="172"/>
      <c r="XDR44" s="170"/>
      <c r="XDS44" s="172"/>
      <c r="XDT44" s="170"/>
      <c r="XDU44" s="172"/>
      <c r="XDV44" s="170"/>
      <c r="XDW44" s="172"/>
      <c r="XDX44" s="170"/>
      <c r="XDY44" s="172"/>
      <c r="XDZ44" s="170"/>
      <c r="XEA44" s="172"/>
      <c r="XEB44" s="170"/>
      <c r="XEC44" s="172"/>
      <c r="XED44" s="170"/>
      <c r="XEE44" s="172"/>
      <c r="XEF44" s="170"/>
      <c r="XEG44" s="172"/>
      <c r="XEH44" s="170"/>
      <c r="XEI44" s="172"/>
      <c r="XEJ44" s="170"/>
      <c r="XEK44" s="172"/>
      <c r="XEL44" s="170"/>
      <c r="XEM44" s="172"/>
      <c r="XEN44" s="170"/>
      <c r="XEO44" s="172"/>
      <c r="XEP44" s="170"/>
      <c r="XEQ44" s="172"/>
      <c r="XER44" s="170"/>
      <c r="XES44" s="172"/>
      <c r="XET44" s="170"/>
      <c r="XEU44" s="172"/>
      <c r="XEV44" s="170"/>
      <c r="XEW44" s="172"/>
      <c r="XEX44" s="170"/>
      <c r="XEY44" s="172"/>
      <c r="XEZ44" s="170"/>
      <c r="XFA44" s="172"/>
      <c r="XFB44" s="170"/>
      <c r="XFC44" s="172"/>
      <c r="XFD44" s="170"/>
    </row>
    <row r="45" spans="1:16384" s="172" customFormat="1" ht="13.5">
      <c r="A45" s="1357" t="s">
        <v>880</v>
      </c>
      <c r="B45" s="1357" t="s">
        <v>920</v>
      </c>
      <c r="C45" s="1531" t="s">
        <v>919</v>
      </c>
      <c r="D45" s="170"/>
    </row>
    <row r="46" spans="1:16384" s="172" customFormat="1" ht="13.5">
      <c r="A46" s="1357"/>
      <c r="B46" s="1357"/>
      <c r="C46" s="1531"/>
      <c r="D46" s="170"/>
    </row>
    <row r="47" spans="1:16384" s="172" customFormat="1" ht="13.5">
      <c r="A47" s="1357"/>
      <c r="B47" s="1357"/>
      <c r="C47" s="1531"/>
      <c r="D47" s="170"/>
    </row>
    <row r="48" spans="1:16384" s="172" customFormat="1" ht="13.5">
      <c r="A48" s="1357"/>
      <c r="B48" s="1357"/>
      <c r="C48" s="1531"/>
      <c r="D48" s="170"/>
    </row>
    <row r="49" spans="1:6" s="172" customFormat="1" ht="13.5">
      <c r="A49" s="1357"/>
      <c r="B49" s="1357"/>
      <c r="C49" s="1531"/>
      <c r="D49" s="170"/>
    </row>
    <row r="50" spans="1:6" s="172" customFormat="1" ht="13.5">
      <c r="A50" s="1357"/>
      <c r="B50" s="1357"/>
      <c r="C50" s="1531"/>
      <c r="D50" s="170"/>
    </row>
    <row r="51" spans="1:6" s="172" customFormat="1" ht="13.5">
      <c r="A51" s="1357"/>
      <c r="B51" s="1357"/>
      <c r="C51" s="1531"/>
      <c r="D51" s="170"/>
    </row>
    <row r="52" spans="1:6" s="172" customFormat="1" ht="13.5">
      <c r="A52" s="1357"/>
      <c r="B52" s="1357"/>
      <c r="C52" s="1531"/>
      <c r="D52" s="170"/>
    </row>
    <row r="53" spans="1:6" s="172" customFormat="1" ht="13.5">
      <c r="A53" s="1357"/>
      <c r="B53" s="1357"/>
      <c r="C53" s="1531"/>
      <c r="D53" s="170"/>
    </row>
    <row r="54" spans="1:6" s="172" customFormat="1" ht="13.5">
      <c r="A54" s="1358"/>
      <c r="B54" s="1358"/>
      <c r="C54" s="1358"/>
      <c r="D54" s="170"/>
    </row>
    <row r="55" spans="1:6">
      <c r="A55" s="171"/>
      <c r="B55" s="171"/>
    </row>
    <row r="56" spans="1:6" ht="30" customHeight="1">
      <c r="A56" s="410" t="s">
        <v>921</v>
      </c>
      <c r="B56" s="2112" t="s">
        <v>922</v>
      </c>
      <c r="C56" s="2112"/>
    </row>
    <row r="57" spans="1:6" ht="20.25">
      <c r="A57" s="411"/>
      <c r="B57" s="171"/>
    </row>
    <row r="58" spans="1:6" ht="22.15">
      <c r="A58" s="410" t="s">
        <v>923</v>
      </c>
      <c r="B58" s="414" t="s">
        <v>924</v>
      </c>
      <c r="C58" s="172"/>
    </row>
    <row r="59" spans="1:6">
      <c r="A59" s="171"/>
      <c r="B59" s="171"/>
    </row>
    <row r="60" spans="1:6"/>
    <row r="61" spans="1:6" s="167" customFormat="1" ht="20.25">
      <c r="A61" s="420" t="s">
        <v>925</v>
      </c>
      <c r="B61" s="175"/>
      <c r="C61" s="175"/>
      <c r="D61" s="175"/>
      <c r="E61" s="175"/>
      <c r="F61" s="175"/>
    </row>
    <row r="62" spans="1:6"/>
  </sheetData>
  <mergeCells count="5">
    <mergeCell ref="B11:D11"/>
    <mergeCell ref="B13:D13"/>
    <mergeCell ref="B15:D15"/>
    <mergeCell ref="B56:C56"/>
    <mergeCell ref="B12:E12"/>
  </mergeCells>
  <dataValidations count="1">
    <dataValidation type="list" allowBlank="1" showInputMessage="1" showErrorMessage="1" sqref="A18:A54" xr:uid="{00000000-0002-0000-1000-000000000000}">
      <formula1>"Formula Update,New Functionality,Logic Update,New Validation"</formula1>
    </dataValidation>
  </dataValidations>
  <hyperlinks>
    <hyperlink ref="B8" r:id="rId1" xr:uid="{D5126DC1-1E46-4B44-8EED-F9D5B76C5603}"/>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5"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D71E-EEF4-4D7D-A8F3-2B8EE884EB11}">
  <sheetPr>
    <tabColor rgb="FFE0DCD8"/>
    <pageSetUpPr fitToPage="1"/>
  </sheetPr>
  <dimension ref="A1:K39"/>
  <sheetViews>
    <sheetView zoomScale="80" zoomScaleNormal="80" zoomScaleSheetLayoutView="80" workbookViewId="0">
      <pane ySplit="1" topLeftCell="A2" activePane="bottomLeft" state="frozen"/>
      <selection activeCell="G4" sqref="G4"/>
      <selection pane="bottomLeft"/>
    </sheetView>
  </sheetViews>
  <sheetFormatPr defaultColWidth="0" defaultRowHeight="12.75" zeroHeight="1"/>
  <cols>
    <col min="1" max="4" width="2.375" style="167" customWidth="1"/>
    <col min="5" max="5" width="40.875" style="167" customWidth="1"/>
    <col min="6" max="6" width="2.375" style="167" customWidth="1"/>
    <col min="7" max="7" width="32.125" style="167" customWidth="1"/>
    <col min="8" max="8" width="2.375" style="167" customWidth="1"/>
    <col min="9" max="9" width="37.5" style="167" customWidth="1"/>
    <col min="10" max="10" width="2.375" style="167" customWidth="1"/>
    <col min="11" max="11" width="22.25" style="167" customWidth="1"/>
    <col min="12" max="16384" width="9.125" style="167" hidden="1"/>
  </cols>
  <sheetData>
    <row r="1" spans="1:11" ht="47.65">
      <c r="A1" s="406" t="str">
        <f ca="1" xml:space="preserve"> RIGHT(CELL("filename", $A$1), LEN(CELL("filename", $A$1)) - SEARCH("]", CELL("filename", $A$1)))</f>
        <v>Style Guide</v>
      </c>
      <c r="B1" s="165"/>
      <c r="C1" s="165"/>
      <c r="D1" s="165"/>
      <c r="E1" s="165"/>
      <c r="F1" s="165"/>
      <c r="G1" s="165"/>
      <c r="H1" s="165"/>
      <c r="I1" s="165"/>
      <c r="J1" s="165"/>
      <c r="K1" s="165"/>
    </row>
    <row r="2" spans="1:11" s="170" customFormat="1"/>
    <row r="3" spans="1:11" s="170" customFormat="1" ht="22.15">
      <c r="A3" s="436" t="s">
        <v>926</v>
      </c>
      <c r="I3" s="176"/>
      <c r="K3" s="176"/>
    </row>
    <row r="4" spans="1:11" s="170" customFormat="1"/>
    <row r="5" spans="1:11" s="170" customFormat="1" ht="20.25">
      <c r="B5" s="437" t="s">
        <v>927</v>
      </c>
    </row>
    <row r="6" spans="1:11" s="170" customFormat="1" ht="13.15">
      <c r="E6" s="424" t="s">
        <v>928</v>
      </c>
      <c r="F6" s="415"/>
      <c r="G6" s="415" t="s">
        <v>929</v>
      </c>
    </row>
    <row r="7" spans="1:11" s="170" customFormat="1" ht="13.15">
      <c r="E7" s="415"/>
      <c r="F7" s="415"/>
      <c r="G7" s="415"/>
    </row>
    <row r="8" spans="1:11" s="170" customFormat="1" ht="13.15">
      <c r="E8" s="425" t="s">
        <v>930</v>
      </c>
      <c r="F8" s="415"/>
      <c r="G8" s="415" t="s">
        <v>931</v>
      </c>
    </row>
    <row r="9" spans="1:11" s="170" customFormat="1" ht="13.15">
      <c r="E9" s="415"/>
      <c r="F9" s="415"/>
      <c r="G9" s="415"/>
    </row>
    <row r="10" spans="1:11" s="170" customFormat="1" ht="13.15">
      <c r="E10" s="426" t="s">
        <v>932</v>
      </c>
      <c r="F10" s="415"/>
      <c r="G10" s="415" t="s">
        <v>933</v>
      </c>
    </row>
    <row r="11" spans="1:11" s="170" customFormat="1" ht="13.15">
      <c r="E11" s="415"/>
      <c r="F11" s="415"/>
      <c r="G11" s="415"/>
    </row>
    <row r="12" spans="1:11" s="170" customFormat="1" ht="13.15">
      <c r="E12" s="415" t="s">
        <v>934</v>
      </c>
      <c r="F12" s="415"/>
      <c r="G12" s="415"/>
    </row>
    <row r="13" spans="1:11" s="170" customFormat="1" ht="13.15">
      <c r="E13" s="415" t="s">
        <v>935</v>
      </c>
      <c r="F13" s="415"/>
      <c r="G13" s="415"/>
    </row>
    <row r="14" spans="1:11" s="170" customFormat="1" ht="13.15">
      <c r="E14" s="415"/>
      <c r="F14" s="415"/>
      <c r="G14" s="415"/>
    </row>
    <row r="15" spans="1:11" s="170" customFormat="1" ht="13.15">
      <c r="E15" s="427" t="s">
        <v>936</v>
      </c>
      <c r="F15" s="415"/>
      <c r="G15" s="415" t="s">
        <v>937</v>
      </c>
    </row>
    <row r="16" spans="1:11" s="170" customFormat="1" ht="13.15">
      <c r="E16" s="415"/>
      <c r="F16" s="415"/>
      <c r="G16" s="415"/>
    </row>
    <row r="17" spans="1:7" s="170" customFormat="1" ht="20.25">
      <c r="B17" s="437" t="s">
        <v>938</v>
      </c>
      <c r="E17" s="415"/>
      <c r="F17" s="415"/>
      <c r="G17" s="415"/>
    </row>
    <row r="18" spans="1:7" s="170" customFormat="1" ht="13.15">
      <c r="E18" s="428" t="s">
        <v>939</v>
      </c>
      <c r="F18" s="415"/>
      <c r="G18" s="415" t="s">
        <v>940</v>
      </c>
    </row>
    <row r="19" spans="1:7" s="170" customFormat="1" ht="13.15">
      <c r="E19" s="415"/>
      <c r="F19" s="415"/>
      <c r="G19" s="415"/>
    </row>
    <row r="20" spans="1:7" s="170" customFormat="1" ht="13.15">
      <c r="E20" s="429" t="s">
        <v>941</v>
      </c>
      <c r="F20" s="415"/>
      <c r="G20" s="415" t="s">
        <v>942</v>
      </c>
    </row>
    <row r="21" spans="1:7" s="170" customFormat="1" ht="13.15">
      <c r="E21" s="415"/>
      <c r="F21" s="415"/>
      <c r="G21" s="415"/>
    </row>
    <row r="22" spans="1:7" s="170" customFormat="1" ht="20.25">
      <c r="B22" s="437" t="s">
        <v>943</v>
      </c>
      <c r="E22" s="415"/>
      <c r="F22" s="415"/>
      <c r="G22" s="415"/>
    </row>
    <row r="23" spans="1:7" s="170" customFormat="1" ht="13.15">
      <c r="E23" s="430" t="s">
        <v>944</v>
      </c>
      <c r="F23" s="415"/>
      <c r="G23" s="415" t="s">
        <v>945</v>
      </c>
    </row>
    <row r="24" spans="1:7" s="170" customFormat="1" ht="13.15">
      <c r="E24" s="415"/>
      <c r="F24" s="415"/>
      <c r="G24" s="415"/>
    </row>
    <row r="25" spans="1:7" s="170" customFormat="1" ht="13.15">
      <c r="E25" s="431" t="s">
        <v>946</v>
      </c>
      <c r="F25" s="415"/>
      <c r="G25" s="415" t="s">
        <v>947</v>
      </c>
    </row>
    <row r="26" spans="1:7" s="170" customFormat="1" ht="13.15">
      <c r="E26" s="415"/>
      <c r="F26" s="415"/>
      <c r="G26" s="415"/>
    </row>
    <row r="27" spans="1:7" s="170" customFormat="1" ht="13.15">
      <c r="E27" s="415"/>
      <c r="F27" s="415"/>
      <c r="G27" s="415"/>
    </row>
    <row r="28" spans="1:7" s="170" customFormat="1" ht="22.15">
      <c r="A28" s="436" t="s">
        <v>948</v>
      </c>
      <c r="E28" s="415"/>
      <c r="F28" s="415"/>
      <c r="G28" s="415"/>
    </row>
    <row r="29" spans="1:7" s="170" customFormat="1" ht="13.15">
      <c r="E29" s="415"/>
      <c r="F29" s="415"/>
      <c r="G29" s="415"/>
    </row>
    <row r="30" spans="1:7" s="170" customFormat="1" ht="13.15">
      <c r="E30" s="432"/>
      <c r="F30" s="415"/>
      <c r="G30" s="415" t="s">
        <v>949</v>
      </c>
    </row>
    <row r="31" spans="1:7" s="170" customFormat="1" ht="13.15">
      <c r="E31" s="415"/>
      <c r="F31" s="415"/>
      <c r="G31" s="415"/>
    </row>
    <row r="32" spans="1:7" s="170" customFormat="1" ht="13.15">
      <c r="E32" s="433"/>
      <c r="F32" s="415"/>
      <c r="G32" s="415" t="s">
        <v>950</v>
      </c>
    </row>
    <row r="33" spans="1:11" s="170" customFormat="1" ht="13.15">
      <c r="E33" s="415"/>
      <c r="F33" s="415"/>
      <c r="G33" s="415"/>
    </row>
    <row r="34" spans="1:11" s="170" customFormat="1" ht="13.15">
      <c r="E34" s="434"/>
      <c r="F34" s="415"/>
      <c r="G34" s="415" t="s">
        <v>951</v>
      </c>
    </row>
    <row r="35" spans="1:11" s="170" customFormat="1" ht="13.15">
      <c r="E35" s="415"/>
      <c r="F35" s="415"/>
      <c r="G35" s="415"/>
    </row>
    <row r="36" spans="1:11" s="170" customFormat="1" ht="13.15">
      <c r="E36" s="435"/>
      <c r="F36" s="415"/>
      <c r="G36" s="415" t="s">
        <v>952</v>
      </c>
    </row>
    <row r="37" spans="1:11" s="170" customFormat="1"/>
    <row r="38" spans="1:11" s="170" customFormat="1"/>
    <row r="39" spans="1:11" ht="20.25">
      <c r="A39" s="420" t="s">
        <v>925</v>
      </c>
      <c r="B39" s="175"/>
      <c r="C39" s="175"/>
      <c r="D39" s="175"/>
      <c r="E39" s="175"/>
      <c r="F39" s="175"/>
      <c r="G39" s="175"/>
      <c r="H39" s="175"/>
      <c r="I39" s="175"/>
      <c r="J39" s="175"/>
      <c r="K39" s="175"/>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4867-2927-43DF-BC55-E24AA3770D2C}">
  <sheetPr>
    <tabColor theme="0" tint="-0.14999847407452621"/>
    <pageSetUpPr fitToPage="1"/>
  </sheetPr>
  <dimension ref="A1:M152"/>
  <sheetViews>
    <sheetView zoomScale="80" zoomScaleNormal="80" zoomScaleSheetLayoutView="80" workbookViewId="0"/>
  </sheetViews>
  <sheetFormatPr defaultColWidth="0" defaultRowHeight="12.4" customHeight="1" zeroHeight="1"/>
  <cols>
    <col min="1" max="1" width="2.375" style="190" customWidth="1"/>
    <col min="2" max="2" width="33.875" style="190" bestFit="1" customWidth="1"/>
    <col min="3" max="3" width="3.25" style="190" customWidth="1"/>
    <col min="4" max="4" width="55.625" style="190" customWidth="1"/>
    <col min="5" max="5" width="3.25" style="190" customWidth="1"/>
    <col min="6" max="6" width="55.625" style="190" customWidth="1"/>
    <col min="7" max="7" width="2.875" style="190" customWidth="1"/>
    <col min="8" max="8" width="55.625" style="190" customWidth="1"/>
    <col min="9" max="9" width="2.875" style="190" customWidth="1"/>
    <col min="10" max="10" width="37.625" style="190" customWidth="1"/>
    <col min="11" max="11" width="25.875" style="190" customWidth="1"/>
    <col min="12" max="12" width="58.625" style="190" hidden="1" customWidth="1"/>
    <col min="13" max="16384" width="8.375" style="190" hidden="1"/>
  </cols>
  <sheetData>
    <row r="1" spans="1:13" s="179" customFormat="1" ht="44.25">
      <c r="A1" s="438" t="str">
        <f ca="1" xml:space="preserve"> RIGHT(CELL("filename", $A$1), LEN(CELL("filename", $A$1)) - SEARCH("]", CELL("filename", $A$1)))</f>
        <v>ToC</v>
      </c>
      <c r="B1" s="177"/>
      <c r="C1" s="177"/>
      <c r="D1" s="177"/>
      <c r="E1" s="177"/>
      <c r="F1" s="177"/>
      <c r="G1" s="177"/>
      <c r="H1" s="177"/>
      <c r="I1" s="177"/>
      <c r="J1" s="177"/>
      <c r="K1" s="177"/>
      <c r="L1" s="177"/>
      <c r="M1" s="178"/>
    </row>
    <row r="2" spans="1:13" s="180" customFormat="1" ht="12.75"/>
    <row r="3" spans="1:13" s="180" customFormat="1" ht="13.15">
      <c r="A3" s="440"/>
      <c r="B3" s="440" t="s">
        <v>953</v>
      </c>
      <c r="C3" s="440"/>
      <c r="D3" s="440" t="s">
        <v>954</v>
      </c>
      <c r="E3" s="440"/>
      <c r="F3" s="440" t="s">
        <v>955</v>
      </c>
      <c r="G3" s="440"/>
      <c r="H3" s="440" t="s">
        <v>956</v>
      </c>
      <c r="J3" s="181"/>
    </row>
    <row r="4" spans="1:13" s="180" customFormat="1" ht="13.15">
      <c r="A4" s="440"/>
      <c r="B4" s="440"/>
      <c r="C4" s="440"/>
      <c r="D4" s="440"/>
      <c r="E4" s="440"/>
      <c r="F4" s="440"/>
      <c r="G4" s="440"/>
      <c r="H4" s="440"/>
      <c r="J4" s="181"/>
    </row>
    <row r="5" spans="1:13" s="183" customFormat="1" ht="13.15">
      <c r="A5" s="440"/>
      <c r="B5" s="441" t="s">
        <v>957</v>
      </c>
      <c r="C5" s="440"/>
      <c r="D5" s="2079" t="s">
        <v>5182</v>
      </c>
      <c r="E5" s="440"/>
      <c r="F5" s="443" t="s">
        <v>911</v>
      </c>
      <c r="G5" s="440"/>
      <c r="H5" s="444" t="s">
        <v>901</v>
      </c>
      <c r="I5" s="180"/>
      <c r="J5" s="182"/>
      <c r="K5" s="180"/>
    </row>
    <row r="6" spans="1:13" s="180" customFormat="1" ht="13.15" customHeight="1">
      <c r="A6" s="440"/>
      <c r="B6" s="440" t="s">
        <v>958</v>
      </c>
      <c r="C6" s="440"/>
      <c r="D6" s="2114" t="s">
        <v>5183</v>
      </c>
      <c r="E6" s="440"/>
      <c r="F6" s="2114" t="s">
        <v>960</v>
      </c>
      <c r="G6" s="440"/>
      <c r="H6" s="440" t="s">
        <v>961</v>
      </c>
      <c r="J6" s="181"/>
    </row>
    <row r="7" spans="1:13" s="180" customFormat="1" ht="13.15">
      <c r="A7" s="440"/>
      <c r="B7" s="440"/>
      <c r="C7" s="440"/>
      <c r="D7" s="2115"/>
      <c r="E7" s="440"/>
      <c r="F7" s="2115"/>
      <c r="G7" s="440"/>
      <c r="H7" s="440"/>
      <c r="J7" s="181"/>
    </row>
    <row r="8" spans="1:13" s="183" customFormat="1" ht="13.15">
      <c r="A8" s="440"/>
      <c r="B8" s="441" t="s">
        <v>962</v>
      </c>
      <c r="C8" s="440"/>
      <c r="D8" s="442" t="s">
        <v>904</v>
      </c>
      <c r="E8" s="440"/>
      <c r="F8" s="443" t="s">
        <v>882</v>
      </c>
      <c r="G8" s="440"/>
      <c r="H8" s="444" t="s">
        <v>964</v>
      </c>
      <c r="I8" s="180"/>
      <c r="J8" s="182"/>
      <c r="K8" s="180"/>
    </row>
    <row r="9" spans="1:13" s="180" customFormat="1" ht="13.15" customHeight="1">
      <c r="A9" s="440"/>
      <c r="B9" s="440" t="s">
        <v>965</v>
      </c>
      <c r="C9" s="440"/>
      <c r="D9" s="2114" t="s">
        <v>959</v>
      </c>
      <c r="E9" s="440"/>
      <c r="F9" s="440" t="s">
        <v>966</v>
      </c>
      <c r="G9" s="440"/>
      <c r="H9" s="2114" t="s">
        <v>967</v>
      </c>
      <c r="J9" s="181"/>
    </row>
    <row r="10" spans="1:13" s="180" customFormat="1" ht="13.15">
      <c r="A10" s="440"/>
      <c r="B10" s="440"/>
      <c r="C10" s="440"/>
      <c r="D10" s="2115"/>
      <c r="E10" s="440"/>
      <c r="F10" s="445"/>
      <c r="G10" s="440"/>
      <c r="H10" s="2115"/>
      <c r="J10" s="181"/>
    </row>
    <row r="11" spans="1:13" s="183" customFormat="1" ht="13.15">
      <c r="A11" s="440"/>
      <c r="B11" s="441" t="s">
        <v>968</v>
      </c>
      <c r="C11" s="440"/>
      <c r="D11" s="442" t="s">
        <v>963</v>
      </c>
      <c r="E11" s="440"/>
      <c r="F11" s="443" t="s">
        <v>919</v>
      </c>
      <c r="G11" s="440"/>
      <c r="H11" s="444" t="s">
        <v>917</v>
      </c>
      <c r="I11" s="180"/>
      <c r="J11" s="180"/>
      <c r="K11" s="180"/>
    </row>
    <row r="12" spans="1:13" s="180" customFormat="1" ht="13.15">
      <c r="A12" s="440"/>
      <c r="B12" s="440" t="s">
        <v>970</v>
      </c>
      <c r="C12" s="440"/>
      <c r="D12" s="2114" t="s">
        <v>959</v>
      </c>
      <c r="E12" s="440"/>
      <c r="F12" s="440" t="s">
        <v>972</v>
      </c>
      <c r="G12" s="440"/>
      <c r="H12" s="2114" t="s">
        <v>973</v>
      </c>
    </row>
    <row r="13" spans="1:13" s="180" customFormat="1" ht="13.15">
      <c r="A13" s="440"/>
      <c r="B13" s="440"/>
      <c r="C13" s="440"/>
      <c r="D13" s="2115"/>
      <c r="E13" s="440"/>
      <c r="F13" s="440"/>
      <c r="G13" s="440"/>
      <c r="H13" s="2115"/>
    </row>
    <row r="14" spans="1:13" s="183" customFormat="1" ht="13.15">
      <c r="A14" s="440"/>
      <c r="B14" s="446" t="s">
        <v>974</v>
      </c>
      <c r="C14" s="440"/>
      <c r="D14" s="442" t="s">
        <v>969</v>
      </c>
      <c r="E14" s="440"/>
      <c r="F14" s="443" t="s">
        <v>975</v>
      </c>
      <c r="G14" s="440"/>
      <c r="H14" s="444" t="s">
        <v>976</v>
      </c>
      <c r="I14" s="180"/>
      <c r="J14" s="180"/>
      <c r="K14" s="180"/>
    </row>
    <row r="15" spans="1:13" s="180" customFormat="1" ht="13.15">
      <c r="A15" s="440"/>
      <c r="B15" s="440" t="s">
        <v>977</v>
      </c>
      <c r="C15" s="440"/>
      <c r="D15" s="440" t="s">
        <v>971</v>
      </c>
      <c r="E15" s="440"/>
      <c r="F15" s="440" t="s">
        <v>978</v>
      </c>
      <c r="G15" s="440"/>
      <c r="H15" s="440" t="s">
        <v>979</v>
      </c>
    </row>
    <row r="16" spans="1:13" s="180" customFormat="1" ht="12.75">
      <c r="H16" s="181"/>
    </row>
    <row r="17" spans="1:13" s="189" customFormat="1" ht="20.25">
      <c r="A17" s="439" t="s">
        <v>980</v>
      </c>
      <c r="B17" s="185"/>
      <c r="C17" s="186"/>
      <c r="D17" s="187"/>
      <c r="E17" s="187"/>
      <c r="F17" s="188"/>
      <c r="G17" s="188"/>
      <c r="H17" s="188"/>
      <c r="I17" s="188"/>
      <c r="J17" s="188"/>
      <c r="K17" s="188"/>
      <c r="L17" s="188"/>
      <c r="M17" s="188"/>
    </row>
    <row r="18" spans="1:13" ht="12.75"/>
    <row r="51" ht="12.4" customHeight="1"/>
    <row r="52" ht="12.4" customHeight="1"/>
    <row r="65" ht="12.4" customHeight="1"/>
    <row r="66" ht="12.4" customHeight="1"/>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4" customHeight="1"/>
    <row r="141" ht="12.4" customHeight="1"/>
    <row r="142" ht="12.4" customHeight="1"/>
    <row r="143" ht="12.4" customHeight="1"/>
    <row r="144" ht="12.4" customHeight="1"/>
    <row r="145" ht="12.4" customHeight="1"/>
    <row r="146" ht="12.4" customHeight="1"/>
    <row r="147" ht="12.4" customHeight="1"/>
    <row r="148" ht="12.4" customHeight="1"/>
    <row r="149" ht="12.4" customHeight="1"/>
    <row r="150" ht="12.4" customHeight="1"/>
    <row r="151" ht="12.4" customHeight="1"/>
    <row r="152" ht="12.4" customHeight="1"/>
  </sheetData>
  <mergeCells count="6">
    <mergeCell ref="D9:D10"/>
    <mergeCell ref="D6:D7"/>
    <mergeCell ref="F6:F7"/>
    <mergeCell ref="H12:H13"/>
    <mergeCell ref="H9:H10"/>
    <mergeCell ref="D12:D13"/>
  </mergeCells>
  <conditionalFormatting sqref="H17">
    <cfRule type="cellIs" dxfId="21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5472-D7AB-4396-8E4F-7E523C5002C9}">
  <sheetPr>
    <pageSetUpPr fitToPage="1"/>
  </sheetPr>
  <dimension ref="A1:E52"/>
  <sheetViews>
    <sheetView showGridLines="0" zoomScale="80" zoomScaleNormal="80" zoomScaleSheetLayoutView="100" workbookViewId="0"/>
  </sheetViews>
  <sheetFormatPr defaultColWidth="0" defaultRowHeight="13.5" zeroHeight="1"/>
  <cols>
    <col min="1" max="1" width="2.625" customWidth="1"/>
    <col min="2" max="2" width="20.875" customWidth="1"/>
    <col min="3" max="3" width="81.875" customWidth="1"/>
    <col min="4" max="4" width="4.25" customWidth="1"/>
    <col min="5" max="5" width="14.375" hidden="1" customWidth="1"/>
    <col min="6" max="16384" width="9" hidden="1"/>
  </cols>
  <sheetData>
    <row r="1" spans="2:5" ht="23.25" customHeight="1">
      <c r="B1" s="1580" t="s">
        <v>24</v>
      </c>
      <c r="C1" s="9"/>
    </row>
    <row r="2" spans="2:5" ht="5.25" customHeight="1" thickBot="1">
      <c r="B2" s="4"/>
      <c r="E2" s="4"/>
    </row>
    <row r="3" spans="2:5" ht="30" customHeight="1" thickBot="1">
      <c r="B3" s="2080" t="s">
        <v>25</v>
      </c>
      <c r="C3" s="2080"/>
    </row>
    <row r="4" spans="2:5" ht="30" customHeight="1" thickBot="1">
      <c r="B4" s="42" t="s">
        <v>26</v>
      </c>
      <c r="C4" s="43" t="s">
        <v>27</v>
      </c>
    </row>
    <row r="5" spans="2:5" ht="30" customHeight="1" thickBot="1">
      <c r="B5" s="42" t="s">
        <v>28</v>
      </c>
      <c r="C5" s="43" t="s">
        <v>29</v>
      </c>
    </row>
    <row r="6" spans="2:5" ht="30" customHeight="1" thickBot="1">
      <c r="B6" s="42" t="s">
        <v>30</v>
      </c>
      <c r="C6" s="43" t="s">
        <v>31</v>
      </c>
    </row>
    <row r="7" spans="2:5" ht="30" customHeight="1" thickBot="1">
      <c r="B7" s="42" t="s">
        <v>32</v>
      </c>
      <c r="C7" s="43" t="s">
        <v>33</v>
      </c>
    </row>
    <row r="8" spans="2:5" ht="30" customHeight="1" thickBot="1">
      <c r="B8" s="42" t="s">
        <v>34</v>
      </c>
      <c r="C8" s="43" t="s">
        <v>35</v>
      </c>
    </row>
    <row r="9" spans="2:5" ht="30" customHeight="1" thickBot="1">
      <c r="B9" s="42" t="s">
        <v>36</v>
      </c>
      <c r="C9" s="43" t="s">
        <v>37</v>
      </c>
    </row>
    <row r="10" spans="2:5" ht="30" customHeight="1" thickBot="1">
      <c r="B10" s="42" t="s">
        <v>38</v>
      </c>
      <c r="C10" s="43" t="s">
        <v>39</v>
      </c>
    </row>
    <row r="11" spans="2:5" ht="30" customHeight="1" thickBot="1">
      <c r="B11" s="42" t="s">
        <v>40</v>
      </c>
      <c r="C11" s="43" t="s">
        <v>39</v>
      </c>
    </row>
    <row r="12" spans="2:5" ht="30" customHeight="1" thickBot="1">
      <c r="B12" s="42" t="s">
        <v>41</v>
      </c>
      <c r="C12" s="43" t="s">
        <v>42</v>
      </c>
    </row>
    <row r="13" spans="2:5" ht="30" customHeight="1" thickBot="1">
      <c r="B13" s="42" t="s">
        <v>43</v>
      </c>
      <c r="C13" s="43" t="s">
        <v>44</v>
      </c>
    </row>
    <row r="14" spans="2:5" ht="30" customHeight="1" thickBot="1">
      <c r="B14" s="42" t="s">
        <v>45</v>
      </c>
      <c r="C14" s="43" t="s">
        <v>46</v>
      </c>
    </row>
    <row r="15" spans="2:5"/>
    <row r="16" spans="2:5" ht="23.65" customHeight="1">
      <c r="B16" s="404" t="s">
        <v>47</v>
      </c>
      <c r="C16" s="276"/>
    </row>
    <row r="17" spans="2:3" ht="5.65" customHeight="1" thickBot="1"/>
    <row r="18" spans="2:3" ht="16.149999999999999" thickBot="1">
      <c r="B18" s="274" t="s">
        <v>48</v>
      </c>
      <c r="C18" s="274" t="s">
        <v>49</v>
      </c>
    </row>
    <row r="19" spans="2:3" ht="16.149999999999999" thickBot="1">
      <c r="B19" s="275" t="s">
        <v>50</v>
      </c>
      <c r="C19" s="43" t="s">
        <v>51</v>
      </c>
    </row>
    <row r="20" spans="2:3" ht="31.9" thickBot="1">
      <c r="B20" s="275" t="s">
        <v>50</v>
      </c>
      <c r="C20" s="43" t="s">
        <v>52</v>
      </c>
    </row>
    <row r="21" spans="2:3" ht="16.149999999999999" thickBot="1">
      <c r="B21" s="275" t="s">
        <v>53</v>
      </c>
      <c r="C21" s="43" t="s">
        <v>51</v>
      </c>
    </row>
    <row r="22" spans="2:3" ht="16.149999999999999" thickBot="1">
      <c r="B22" s="275" t="s">
        <v>54</v>
      </c>
      <c r="C22" s="43" t="s">
        <v>51</v>
      </c>
    </row>
    <row r="23" spans="2:3" ht="16.149999999999999" thickBot="1">
      <c r="B23" s="275" t="s">
        <v>55</v>
      </c>
      <c r="C23" s="43" t="s">
        <v>56</v>
      </c>
    </row>
    <row r="24" spans="2:3" ht="16.149999999999999" thickBot="1">
      <c r="B24" s="275" t="s">
        <v>57</v>
      </c>
      <c r="C24" s="43" t="s">
        <v>58</v>
      </c>
    </row>
    <row r="25" spans="2:3" ht="31.9" thickBot="1">
      <c r="B25" s="275" t="s">
        <v>59</v>
      </c>
      <c r="C25" s="43" t="s">
        <v>60</v>
      </c>
    </row>
    <row r="26" spans="2:3" ht="16.149999999999999" thickBot="1">
      <c r="B26" s="275" t="s">
        <v>59</v>
      </c>
      <c r="C26" s="43" t="s">
        <v>61</v>
      </c>
    </row>
    <row r="27" spans="2:3" ht="16.149999999999999" thickBot="1">
      <c r="B27" s="275" t="s">
        <v>59</v>
      </c>
      <c r="C27" s="43" t="s">
        <v>62</v>
      </c>
    </row>
    <row r="28" spans="2:3" ht="16.149999999999999" thickBot="1">
      <c r="B28" s="275" t="s">
        <v>59</v>
      </c>
      <c r="C28" s="43" t="s">
        <v>63</v>
      </c>
    </row>
    <row r="29" spans="2:3" ht="47.65" thickBot="1">
      <c r="B29" s="275" t="s">
        <v>59</v>
      </c>
      <c r="C29" s="43" t="s">
        <v>64</v>
      </c>
    </row>
    <row r="30" spans="2:3" ht="47.65" thickBot="1">
      <c r="B30" s="275" t="s">
        <v>59</v>
      </c>
      <c r="C30" s="43" t="s">
        <v>65</v>
      </c>
    </row>
    <row r="31" spans="2:3" ht="31.9" thickBot="1">
      <c r="B31" s="275" t="s">
        <v>66</v>
      </c>
      <c r="C31" s="43" t="s">
        <v>67</v>
      </c>
    </row>
    <row r="32" spans="2:3" ht="31.9" thickBot="1">
      <c r="B32" s="275" t="s">
        <v>59</v>
      </c>
      <c r="C32" s="43" t="s">
        <v>68</v>
      </c>
    </row>
    <row r="33" spans="2:3" ht="31.9" thickBot="1">
      <c r="B33" s="275" t="s">
        <v>59</v>
      </c>
      <c r="C33" s="43" t="s">
        <v>69</v>
      </c>
    </row>
    <row r="34" spans="2:3" ht="31.9" thickBot="1">
      <c r="B34" s="275" t="s">
        <v>59</v>
      </c>
      <c r="C34" s="43" t="s">
        <v>70</v>
      </c>
    </row>
    <row r="35" spans="2:3" ht="16.149999999999999" thickBot="1">
      <c r="B35" s="1459" t="s">
        <v>55</v>
      </c>
      <c r="C35" s="1460" t="s">
        <v>71</v>
      </c>
    </row>
    <row r="36" spans="2:3" ht="63.4" thickBot="1">
      <c r="B36" s="1459" t="s">
        <v>59</v>
      </c>
      <c r="C36" s="1460" t="s">
        <v>72</v>
      </c>
    </row>
    <row r="37" spans="2:3" ht="31.9" thickBot="1">
      <c r="B37" s="1459" t="s">
        <v>59</v>
      </c>
      <c r="C37" s="1460" t="s">
        <v>73</v>
      </c>
    </row>
    <row r="38" spans="2:3" ht="63.4" thickBot="1">
      <c r="B38" s="1459" t="s">
        <v>74</v>
      </c>
      <c r="C38" s="1460" t="s">
        <v>75</v>
      </c>
    </row>
    <row r="39" spans="2:3" ht="31.9" thickBot="1">
      <c r="B39" s="1812" t="s">
        <v>59</v>
      </c>
      <c r="C39" s="1813" t="s">
        <v>76</v>
      </c>
    </row>
    <row r="40" spans="2:3" ht="16.149999999999999" thickBot="1">
      <c r="B40" s="2008" t="s">
        <v>77</v>
      </c>
      <c r="C40" s="2009" t="s">
        <v>78</v>
      </c>
    </row>
    <row r="41" spans="2:3" ht="16.149999999999999" thickBot="1">
      <c r="B41" s="2008" t="s">
        <v>59</v>
      </c>
      <c r="C41" s="2009" t="s">
        <v>79</v>
      </c>
    </row>
    <row r="42" spans="2:3" ht="63.4" thickBot="1">
      <c r="B42" s="2008" t="s">
        <v>59</v>
      </c>
      <c r="C42" s="2009" t="s">
        <v>80</v>
      </c>
    </row>
    <row r="43" spans="2:3" ht="16.149999999999999" thickBot="1">
      <c r="B43" s="2044" t="s">
        <v>81</v>
      </c>
      <c r="C43" s="2045" t="s">
        <v>82</v>
      </c>
    </row>
    <row r="44" spans="2:3" ht="16.149999999999999" thickBot="1">
      <c r="B44" s="2044" t="s">
        <v>83</v>
      </c>
      <c r="C44" s="2045" t="s">
        <v>84</v>
      </c>
    </row>
    <row r="45" spans="2:3" ht="63.4" thickBot="1">
      <c r="B45" s="2044" t="s">
        <v>59</v>
      </c>
      <c r="C45" s="2045" t="s">
        <v>85</v>
      </c>
    </row>
    <row r="46" spans="2:3" ht="16.149999999999999" thickBot="1">
      <c r="B46" s="2044" t="s">
        <v>81</v>
      </c>
      <c r="C46" s="2045" t="s">
        <v>86</v>
      </c>
    </row>
    <row r="47" spans="2:3" ht="16.149999999999999" thickBot="1">
      <c r="B47" s="2044"/>
      <c r="C47" s="2045"/>
    </row>
    <row r="48" spans="2:3" ht="16.149999999999999" thickBot="1">
      <c r="B48" s="2044"/>
      <c r="C48" s="2045"/>
    </row>
    <row r="49" spans="2:3" ht="15.75">
      <c r="B49" s="1536"/>
      <c r="C49" s="1537"/>
    </row>
    <row r="50" spans="2:3"/>
    <row r="51" spans="2:3"/>
    <row r="52" spans="2:3"/>
  </sheetData>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D701A-4AD4-4931-84DA-F304CCA9934E}">
  <sheetPr>
    <tabColor theme="8"/>
    <pageSetUpPr fitToPage="1"/>
  </sheetPr>
  <dimension ref="A1:Z32"/>
  <sheetViews>
    <sheetView zoomScaleNormal="100" zoomScaleSheetLayoutView="80" workbookViewId="0"/>
  </sheetViews>
  <sheetFormatPr defaultColWidth="9" defaultRowHeight="12.75"/>
  <cols>
    <col min="1" max="1" width="13.5" style="189" customWidth="1"/>
    <col min="2" max="2" width="16.625" style="189" customWidth="1"/>
    <col min="3" max="4" width="9" style="189"/>
    <col min="5" max="5" width="9" style="189" customWidth="1"/>
    <col min="6" max="6" width="20.125" style="189" bestFit="1" customWidth="1"/>
    <col min="7" max="7" width="13.625" style="189" customWidth="1"/>
    <col min="8" max="8" width="10.875" style="189" customWidth="1"/>
    <col min="9" max="9" width="8.125" style="189" customWidth="1"/>
    <col min="10" max="10" width="11.75" style="189" bestFit="1" customWidth="1"/>
    <col min="11" max="11" width="51.625" style="189" bestFit="1" customWidth="1"/>
    <col min="12" max="12" width="9.875" style="189" customWidth="1"/>
    <col min="13" max="13" width="9.25" style="189" customWidth="1"/>
    <col min="14" max="14" width="14.125" style="189" customWidth="1"/>
    <col min="15" max="15" width="9" style="189"/>
    <col min="16" max="16" width="12.75" style="189" customWidth="1"/>
    <col min="17" max="23" width="14.625" style="189" customWidth="1"/>
    <col min="24" max="25" width="9" style="189"/>
    <col min="26" max="26" width="18" style="189" customWidth="1"/>
    <col min="27" max="16384" width="9" style="189"/>
  </cols>
  <sheetData>
    <row r="1" spans="1:26" s="179" customFormat="1" ht="29.25">
      <c r="A1" s="177" t="str">
        <f ca="1" xml:space="preserve"> RIGHT(CELL("filename", $A$1), LEN(CELL("filename", $A$1)) - SEARCH("]", CELL("filename", $A$1)))</f>
        <v>Validation</v>
      </c>
      <c r="B1" s="177"/>
      <c r="C1" s="177"/>
      <c r="D1" s="177"/>
      <c r="E1" s="177"/>
      <c r="F1" s="177"/>
      <c r="G1" s="177"/>
      <c r="H1" s="177"/>
      <c r="I1" s="177"/>
      <c r="J1" s="177"/>
      <c r="K1" s="177"/>
      <c r="L1" s="177"/>
      <c r="M1" s="248"/>
      <c r="N1" s="248"/>
      <c r="O1" s="248"/>
      <c r="P1" s="248"/>
      <c r="Q1" s="248"/>
      <c r="R1" s="248"/>
      <c r="S1" s="248"/>
      <c r="T1" s="248"/>
      <c r="U1" s="248"/>
      <c r="V1" s="178"/>
      <c r="W1" s="178"/>
      <c r="X1" s="1439"/>
      <c r="Y1" s="178"/>
      <c r="Z1" s="1439" t="str">
        <f>InpCompany!$F$5</f>
        <v>Southern Water</v>
      </c>
    </row>
    <row r="3" spans="1:26" ht="63.75">
      <c r="A3" s="191" t="s">
        <v>981</v>
      </c>
      <c r="B3" s="191" t="s">
        <v>982</v>
      </c>
      <c r="C3" s="191" t="s">
        <v>983</v>
      </c>
      <c r="D3" s="191"/>
      <c r="E3" s="191" t="s">
        <v>984</v>
      </c>
      <c r="F3" s="191" t="s">
        <v>985</v>
      </c>
      <c r="G3" s="191" t="s">
        <v>986</v>
      </c>
      <c r="H3" s="191" t="s">
        <v>987</v>
      </c>
      <c r="I3" s="191" t="s">
        <v>988</v>
      </c>
      <c r="J3" s="191" t="s">
        <v>989</v>
      </c>
      <c r="K3" s="191" t="s">
        <v>990</v>
      </c>
      <c r="L3" s="191" t="s">
        <v>991</v>
      </c>
      <c r="M3" s="191" t="s">
        <v>992</v>
      </c>
      <c r="N3" s="191" t="s">
        <v>993</v>
      </c>
      <c r="P3" s="191" t="s">
        <v>981</v>
      </c>
      <c r="Q3" s="249" t="s">
        <v>994</v>
      </c>
      <c r="R3" s="249" t="s">
        <v>995</v>
      </c>
      <c r="S3" s="249" t="s">
        <v>996</v>
      </c>
      <c r="T3" s="249" t="s">
        <v>997</v>
      </c>
      <c r="U3" s="249" t="s">
        <v>998</v>
      </c>
      <c r="V3" s="249" t="s">
        <v>999</v>
      </c>
      <c r="W3" s="249" t="s">
        <v>1000</v>
      </c>
      <c r="X3" s="249" t="s">
        <v>1001</v>
      </c>
      <c r="Z3" s="191" t="s">
        <v>1002</v>
      </c>
    </row>
    <row r="4" spans="1:26">
      <c r="A4" s="192" t="s">
        <v>1003</v>
      </c>
      <c r="B4" s="192"/>
      <c r="C4" s="192"/>
      <c r="D4" s="192"/>
      <c r="E4" s="192"/>
      <c r="F4" s="192"/>
      <c r="G4" s="192"/>
      <c r="H4" s="192"/>
      <c r="I4" s="192"/>
      <c r="J4" s="192"/>
      <c r="K4" s="192"/>
      <c r="L4" s="192"/>
      <c r="M4" s="192"/>
      <c r="N4" s="192"/>
      <c r="P4" s="192"/>
      <c r="Q4" s="250"/>
      <c r="R4" s="250"/>
      <c r="S4" s="250"/>
      <c r="T4" s="250"/>
      <c r="U4" s="250"/>
      <c r="V4" s="250"/>
      <c r="W4" s="250"/>
      <c r="X4" s="250"/>
      <c r="Z4" s="192"/>
    </row>
    <row r="5" spans="1:26">
      <c r="A5" s="192" t="s">
        <v>88</v>
      </c>
      <c r="B5" s="192" t="s">
        <v>1004</v>
      </c>
      <c r="C5" s="258" t="s">
        <v>211</v>
      </c>
      <c r="D5" s="192" t="s">
        <v>1005</v>
      </c>
      <c r="E5" s="192" t="s">
        <v>168</v>
      </c>
      <c r="F5" s="192" t="s">
        <v>278</v>
      </c>
      <c r="G5" s="192" t="s">
        <v>1006</v>
      </c>
      <c r="H5" s="192" t="s">
        <v>1007</v>
      </c>
      <c r="I5" s="192" t="s">
        <v>1008</v>
      </c>
      <c r="J5" s="192" t="s">
        <v>1009</v>
      </c>
      <c r="K5" s="192" t="s">
        <v>130</v>
      </c>
      <c r="L5" s="192" t="b">
        <v>1</v>
      </c>
      <c r="M5" s="192" t="s">
        <v>1010</v>
      </c>
      <c r="N5" s="192" t="s">
        <v>1011</v>
      </c>
      <c r="P5" s="192" t="s">
        <v>1012</v>
      </c>
      <c r="Q5" s="250">
        <v>87</v>
      </c>
      <c r="R5" s="250">
        <v>82</v>
      </c>
      <c r="S5" s="250">
        <v>41</v>
      </c>
      <c r="T5" s="250">
        <v>77</v>
      </c>
      <c r="U5" s="250">
        <v>72</v>
      </c>
      <c r="V5" s="250">
        <v>92</v>
      </c>
      <c r="W5" s="250">
        <v>67</v>
      </c>
      <c r="X5" s="250">
        <v>62</v>
      </c>
      <c r="Z5" s="192" t="s">
        <v>1013</v>
      </c>
    </row>
    <row r="6" spans="1:26">
      <c r="A6" s="192"/>
      <c r="B6" s="192" t="s">
        <v>1014</v>
      </c>
      <c r="C6" s="192" t="s">
        <v>1015</v>
      </c>
      <c r="D6" s="192" t="s">
        <v>1005</v>
      </c>
      <c r="E6" s="192" t="s">
        <v>131</v>
      </c>
      <c r="F6" s="192" t="s">
        <v>1016</v>
      </c>
      <c r="G6" s="192">
        <v>1</v>
      </c>
      <c r="H6" s="192" t="s">
        <v>1017</v>
      </c>
      <c r="I6" s="192" t="s">
        <v>1018</v>
      </c>
      <c r="J6" s="192" t="s">
        <v>1019</v>
      </c>
      <c r="K6" s="192" t="s">
        <v>137</v>
      </c>
      <c r="L6" s="192" t="b">
        <v>0</v>
      </c>
      <c r="M6" s="192" t="s">
        <v>1020</v>
      </c>
      <c r="N6" s="192" t="s">
        <v>1021</v>
      </c>
      <c r="P6" s="192" t="s">
        <v>1022</v>
      </c>
      <c r="Q6" s="250">
        <f>Q5+1</f>
        <v>88</v>
      </c>
      <c r="R6" s="250">
        <f t="shared" ref="R6:W9" si="0">R5+1</f>
        <v>83</v>
      </c>
      <c r="S6" s="250">
        <f t="shared" si="0"/>
        <v>42</v>
      </c>
      <c r="T6" s="250">
        <f t="shared" si="0"/>
        <v>78</v>
      </c>
      <c r="U6" s="250">
        <f t="shared" si="0"/>
        <v>73</v>
      </c>
      <c r="V6" s="250">
        <f t="shared" si="0"/>
        <v>93</v>
      </c>
      <c r="W6" s="250">
        <f t="shared" si="0"/>
        <v>68</v>
      </c>
      <c r="X6" s="250">
        <f>X5+1</f>
        <v>63</v>
      </c>
      <c r="Z6" s="192"/>
    </row>
    <row r="7" spans="1:26">
      <c r="A7" s="192"/>
      <c r="B7" s="192" t="s">
        <v>1023</v>
      </c>
      <c r="C7" s="192" t="s">
        <v>1024</v>
      </c>
      <c r="D7" s="192" t="s">
        <v>1005</v>
      </c>
      <c r="E7" s="258" t="s">
        <v>211</v>
      </c>
      <c r="F7" s="192" t="s">
        <v>1025</v>
      </c>
      <c r="G7" s="192">
        <v>2</v>
      </c>
      <c r="H7" s="192" t="s">
        <v>1026</v>
      </c>
      <c r="I7" s="192" t="s">
        <v>943</v>
      </c>
      <c r="J7" s="192" t="s">
        <v>943</v>
      </c>
      <c r="K7" s="192" t="s">
        <v>669</v>
      </c>
      <c r="L7" s="192"/>
      <c r="M7" s="192"/>
      <c r="N7" s="192"/>
      <c r="P7" s="192" t="s">
        <v>1027</v>
      </c>
      <c r="Q7" s="250">
        <f>Q6+1</f>
        <v>89</v>
      </c>
      <c r="R7" s="250">
        <f t="shared" si="0"/>
        <v>84</v>
      </c>
      <c r="S7" s="250">
        <f t="shared" si="0"/>
        <v>43</v>
      </c>
      <c r="T7" s="250">
        <f t="shared" si="0"/>
        <v>79</v>
      </c>
      <c r="U7" s="250">
        <f t="shared" si="0"/>
        <v>74</v>
      </c>
      <c r="V7" s="250">
        <f t="shared" si="0"/>
        <v>94</v>
      </c>
      <c r="W7" s="250">
        <f t="shared" si="0"/>
        <v>69</v>
      </c>
      <c r="X7" s="250">
        <f>X6+1</f>
        <v>64</v>
      </c>
      <c r="Z7" s="192"/>
    </row>
    <row r="8" spans="1:26">
      <c r="A8" s="192"/>
      <c r="B8" s="192" t="s">
        <v>1028</v>
      </c>
      <c r="C8" s="192" t="s">
        <v>1013</v>
      </c>
      <c r="D8" s="192" t="s">
        <v>1005</v>
      </c>
      <c r="E8" s="193"/>
      <c r="F8" s="192" t="s">
        <v>1029</v>
      </c>
      <c r="G8" s="192">
        <v>3</v>
      </c>
      <c r="H8" s="192" t="s">
        <v>1030</v>
      </c>
      <c r="I8" s="194"/>
      <c r="J8" s="195"/>
      <c r="K8" s="192" t="s">
        <v>646</v>
      </c>
      <c r="L8" s="195"/>
      <c r="M8" s="195"/>
      <c r="N8" s="195"/>
      <c r="P8" s="192" t="s">
        <v>88</v>
      </c>
      <c r="Q8" s="250">
        <f>Q7+1</f>
        <v>90</v>
      </c>
      <c r="R8" s="250">
        <f t="shared" si="0"/>
        <v>85</v>
      </c>
      <c r="S8" s="250">
        <f t="shared" si="0"/>
        <v>44</v>
      </c>
      <c r="T8" s="250">
        <f t="shared" si="0"/>
        <v>80</v>
      </c>
      <c r="U8" s="250">
        <f t="shared" si="0"/>
        <v>75</v>
      </c>
      <c r="V8" s="250">
        <f t="shared" si="0"/>
        <v>95</v>
      </c>
      <c r="W8" s="250">
        <f t="shared" si="0"/>
        <v>70</v>
      </c>
      <c r="X8" s="250">
        <f>X7+1</f>
        <v>65</v>
      </c>
      <c r="Z8" s="192"/>
    </row>
    <row r="9" spans="1:26">
      <c r="A9" s="192"/>
      <c r="B9" s="192" t="s">
        <v>1031</v>
      </c>
      <c r="C9" s="192" t="s">
        <v>1032</v>
      </c>
      <c r="D9" s="192" t="s">
        <v>1005</v>
      </c>
      <c r="E9" s="193"/>
      <c r="F9" s="192" t="s">
        <v>1033</v>
      </c>
      <c r="G9" s="192">
        <v>4</v>
      </c>
      <c r="H9" s="193"/>
      <c r="K9" s="192" t="s">
        <v>161</v>
      </c>
      <c r="P9" s="192" t="s">
        <v>1034</v>
      </c>
      <c r="Q9" s="250">
        <f>Q8+1</f>
        <v>91</v>
      </c>
      <c r="R9" s="250">
        <f t="shared" si="0"/>
        <v>86</v>
      </c>
      <c r="S9" s="250">
        <f t="shared" si="0"/>
        <v>45</v>
      </c>
      <c r="T9" s="250">
        <f t="shared" si="0"/>
        <v>81</v>
      </c>
      <c r="U9" s="250">
        <f t="shared" si="0"/>
        <v>76</v>
      </c>
      <c r="V9" s="250">
        <f t="shared" si="0"/>
        <v>96</v>
      </c>
      <c r="W9" s="250">
        <f t="shared" si="0"/>
        <v>71</v>
      </c>
      <c r="X9" s="250">
        <f>X8+1</f>
        <v>66</v>
      </c>
      <c r="Z9" s="192"/>
    </row>
    <row r="10" spans="1:26">
      <c r="A10" s="196"/>
      <c r="B10" s="192" t="s">
        <v>1035</v>
      </c>
      <c r="C10" s="192" t="s">
        <v>1036</v>
      </c>
      <c r="D10" s="192" t="s">
        <v>1005</v>
      </c>
      <c r="E10" s="193"/>
      <c r="F10" s="192" t="s">
        <v>1037</v>
      </c>
      <c r="G10" s="192">
        <v>5</v>
      </c>
      <c r="H10" s="193"/>
      <c r="K10" s="192" t="s">
        <v>167</v>
      </c>
      <c r="Z10" s="192"/>
    </row>
    <row r="11" spans="1:26">
      <c r="A11" s="197"/>
      <c r="B11" s="192" t="s">
        <v>90</v>
      </c>
      <c r="C11" s="192" t="s">
        <v>1038</v>
      </c>
      <c r="D11" s="192" t="s">
        <v>1005</v>
      </c>
      <c r="E11" s="193"/>
      <c r="F11" s="192" t="s">
        <v>1039</v>
      </c>
      <c r="G11" s="192">
        <v>6</v>
      </c>
      <c r="H11" s="193"/>
      <c r="K11" s="192" t="s">
        <v>535</v>
      </c>
      <c r="Z11" s="192"/>
    </row>
    <row r="12" spans="1:26">
      <c r="A12" s="197"/>
      <c r="B12" s="192" t="s">
        <v>1040</v>
      </c>
      <c r="C12" s="192" t="s">
        <v>1041</v>
      </c>
      <c r="D12" s="192" t="s">
        <v>1005</v>
      </c>
      <c r="E12" s="193"/>
      <c r="F12" s="192" t="s">
        <v>1042</v>
      </c>
      <c r="G12" s="192" t="s">
        <v>1043</v>
      </c>
      <c r="H12" s="193"/>
      <c r="K12" s="192" t="s">
        <v>732</v>
      </c>
      <c r="Z12" s="192"/>
    </row>
    <row r="13" spans="1:26">
      <c r="A13" s="197"/>
      <c r="B13" s="192" t="s">
        <v>1044</v>
      </c>
      <c r="C13" s="192" t="s">
        <v>1045</v>
      </c>
      <c r="D13" s="192" t="s">
        <v>1005</v>
      </c>
      <c r="E13" s="193"/>
      <c r="F13" s="192" t="s">
        <v>1046</v>
      </c>
      <c r="G13" s="192" t="s">
        <v>1047</v>
      </c>
      <c r="H13" s="193"/>
      <c r="K13" s="192" t="s">
        <v>1048</v>
      </c>
      <c r="Z13" s="192"/>
    </row>
    <row r="14" spans="1:26">
      <c r="A14" s="197"/>
      <c r="B14" s="192" t="s">
        <v>1049</v>
      </c>
      <c r="C14" s="192" t="s">
        <v>1050</v>
      </c>
      <c r="D14" s="192" t="s">
        <v>1005</v>
      </c>
      <c r="E14" s="193"/>
      <c r="F14" s="192" t="s">
        <v>1051</v>
      </c>
      <c r="G14" s="192" t="s">
        <v>1052</v>
      </c>
      <c r="H14" s="193"/>
      <c r="K14" s="192" t="s">
        <v>839</v>
      </c>
      <c r="Z14" s="192"/>
    </row>
    <row r="15" spans="1:26">
      <c r="A15" s="197"/>
      <c r="B15" s="192" t="s">
        <v>1053</v>
      </c>
      <c r="C15" s="192" t="s">
        <v>1054</v>
      </c>
      <c r="D15" s="192" t="s">
        <v>1005</v>
      </c>
      <c r="E15" s="193"/>
      <c r="F15" s="192" t="s">
        <v>1055</v>
      </c>
      <c r="K15" s="192" t="s">
        <v>743</v>
      </c>
      <c r="Z15" s="192"/>
    </row>
    <row r="16" spans="1:26">
      <c r="A16" s="197"/>
      <c r="B16" s="192" t="s">
        <v>1056</v>
      </c>
      <c r="C16" s="192" t="s">
        <v>1057</v>
      </c>
      <c r="D16" s="192" t="s">
        <v>1005</v>
      </c>
      <c r="E16" s="193"/>
      <c r="F16" s="192" t="s">
        <v>670</v>
      </c>
      <c r="K16" s="192" t="s">
        <v>1058</v>
      </c>
      <c r="Z16" s="192"/>
    </row>
    <row r="17" spans="1:26">
      <c r="A17" s="197"/>
      <c r="B17" s="192" t="s">
        <v>1059</v>
      </c>
      <c r="C17" s="192" t="s">
        <v>1060</v>
      </c>
      <c r="D17" s="192" t="s">
        <v>1061</v>
      </c>
      <c r="E17" s="193"/>
      <c r="F17" s="192" t="s">
        <v>1062</v>
      </c>
      <c r="K17" s="192"/>
      <c r="Z17" s="192"/>
    </row>
    <row r="18" spans="1:26">
      <c r="A18" s="197"/>
      <c r="B18" s="192" t="s">
        <v>1063</v>
      </c>
      <c r="C18" s="192" t="s">
        <v>1064</v>
      </c>
      <c r="D18" s="192" t="s">
        <v>1061</v>
      </c>
      <c r="E18" s="193"/>
      <c r="F18" s="192" t="s">
        <v>1065</v>
      </c>
      <c r="K18" s="192" t="s">
        <v>1066</v>
      </c>
      <c r="Z18" s="192"/>
    </row>
    <row r="19" spans="1:26">
      <c r="A19" s="197"/>
      <c r="B19" s="192" t="s">
        <v>1067</v>
      </c>
      <c r="C19" s="192" t="s">
        <v>1068</v>
      </c>
      <c r="D19" s="192" t="s">
        <v>1061</v>
      </c>
      <c r="E19" s="193"/>
      <c r="F19" s="192" t="s">
        <v>123</v>
      </c>
      <c r="K19" s="192" t="s">
        <v>1069</v>
      </c>
      <c r="Z19" s="192"/>
    </row>
    <row r="20" spans="1:26">
      <c r="A20" s="197"/>
      <c r="B20" s="192" t="s">
        <v>1070</v>
      </c>
      <c r="C20" s="192" t="s">
        <v>1071</v>
      </c>
      <c r="D20" s="192" t="s">
        <v>1061</v>
      </c>
      <c r="E20" s="193"/>
      <c r="F20" s="192" t="s">
        <v>1072</v>
      </c>
      <c r="K20" s="192" t="s">
        <v>1073</v>
      </c>
      <c r="Z20" s="192"/>
    </row>
    <row r="21" spans="1:26">
      <c r="A21" s="197"/>
      <c r="B21" s="192" t="s">
        <v>1074</v>
      </c>
      <c r="C21" s="192" t="s">
        <v>1075</v>
      </c>
      <c r="D21" s="192" t="s">
        <v>1061</v>
      </c>
      <c r="E21" s="193"/>
      <c r="F21" s="192" t="s">
        <v>1076</v>
      </c>
      <c r="K21" s="198"/>
      <c r="Z21" s="192"/>
    </row>
    <row r="22" spans="1:26">
      <c r="B22" s="192" t="s">
        <v>1077</v>
      </c>
      <c r="C22" s="192" t="s">
        <v>1078</v>
      </c>
      <c r="D22" s="192" t="s">
        <v>1061</v>
      </c>
      <c r="F22" s="192" t="s">
        <v>1079</v>
      </c>
      <c r="Z22" s="192"/>
    </row>
    <row r="23" spans="1:26">
      <c r="F23" s="192" t="s">
        <v>1080</v>
      </c>
      <c r="Z23" s="1422"/>
    </row>
    <row r="24" spans="1:26">
      <c r="F24" s="192" t="s">
        <v>1081</v>
      </c>
      <c r="Z24" s="1422"/>
    </row>
    <row r="25" spans="1:26">
      <c r="F25" s="192" t="s">
        <v>1082</v>
      </c>
      <c r="Z25" s="1422"/>
    </row>
    <row r="26" spans="1:26">
      <c r="F26" s="192" t="s">
        <v>1083</v>
      </c>
      <c r="Z26" s="1422"/>
    </row>
    <row r="27" spans="1:26">
      <c r="F27" s="192" t="s">
        <v>1084</v>
      </c>
    </row>
    <row r="28" spans="1:26">
      <c r="F28" s="192" t="s">
        <v>1085</v>
      </c>
    </row>
    <row r="29" spans="1:26">
      <c r="F29" s="192" t="s">
        <v>1086</v>
      </c>
    </row>
    <row r="30" spans="1:26" ht="12" customHeight="1"/>
    <row r="31" spans="1:26" ht="12" customHeight="1"/>
    <row r="32" spans="1:26" ht="13.15">
      <c r="A32" s="184" t="s">
        <v>980</v>
      </c>
      <c r="B32" s="185"/>
      <c r="C32" s="186"/>
      <c r="D32" s="186"/>
      <c r="E32" s="187"/>
      <c r="F32" s="187"/>
      <c r="G32" s="188"/>
      <c r="H32" s="188"/>
      <c r="I32" s="188"/>
      <c r="J32" s="188"/>
      <c r="K32" s="188"/>
      <c r="L32" s="188"/>
      <c r="M32" s="188"/>
      <c r="N32" s="188"/>
      <c r="O32" s="188"/>
      <c r="P32" s="188"/>
      <c r="Q32" s="188"/>
      <c r="R32" s="188"/>
      <c r="S32" s="188"/>
      <c r="T32" s="188"/>
      <c r="U32" s="188"/>
      <c r="V32" s="188"/>
      <c r="W32" s="188"/>
      <c r="X32" s="188"/>
      <c r="Y32" s="188"/>
      <c r="Z32" s="188"/>
    </row>
  </sheetData>
  <conditionalFormatting sqref="I32">
    <cfRule type="cellIs" dxfId="2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21020-5609-42A8-AB90-B1D97B1DE067}">
  <sheetPr>
    <tabColor rgb="FFC00000"/>
    <pageSetUpPr fitToPage="1"/>
  </sheetPr>
  <dimension ref="B2:I75"/>
  <sheetViews>
    <sheetView zoomScale="80" zoomScaleNormal="80" workbookViewId="0"/>
  </sheetViews>
  <sheetFormatPr defaultColWidth="9" defaultRowHeight="14.25"/>
  <cols>
    <col min="1" max="1" width="2.625" style="1392" customWidth="1"/>
    <col min="2" max="2" width="4.25" style="1392" customWidth="1"/>
    <col min="3" max="3" width="30.625" style="1392" bestFit="1" customWidth="1"/>
    <col min="4" max="4" width="6.875" style="2051" customWidth="1"/>
    <col min="5" max="5" width="80.625" style="1392" customWidth="1"/>
    <col min="6" max="6" width="59.75" style="1392" customWidth="1"/>
    <col min="7" max="7" width="25.5" style="1392" bestFit="1" customWidth="1"/>
    <col min="8" max="8" width="7.5" style="2051" bestFit="1" customWidth="1"/>
    <col min="9" max="16384" width="9" style="1392"/>
  </cols>
  <sheetData>
    <row r="2" spans="2:9" ht="18">
      <c r="B2" s="2050" t="str">
        <f>"Summary of Ofwat actions and changes to the company's ODI performance model for "&amp;'Validation summary'!$B$2</f>
        <v>Summary of Ofwat actions and changes to the company's ODI performance model for 2023-24</v>
      </c>
      <c r="I2" s="2052" t="str">
        <f>'Validation summary'!$B$3</f>
        <v>Southern Water</v>
      </c>
    </row>
    <row r="3" spans="2:9" ht="14.65" thickBot="1"/>
    <row r="4" spans="2:9">
      <c r="B4" s="2053" t="s">
        <v>1087</v>
      </c>
      <c r="C4" s="2054" t="s">
        <v>1088</v>
      </c>
      <c r="D4" s="2055" t="s">
        <v>1089</v>
      </c>
      <c r="E4" s="2056" t="s">
        <v>1090</v>
      </c>
      <c r="F4" s="2056" t="s">
        <v>1091</v>
      </c>
      <c r="G4" s="2056" t="s">
        <v>1092</v>
      </c>
      <c r="H4" s="2055" t="s">
        <v>1093</v>
      </c>
      <c r="I4" s="2057"/>
    </row>
    <row r="5" spans="2:9">
      <c r="B5" s="2073">
        <v>1</v>
      </c>
      <c r="C5" s="2074" t="s">
        <v>969</v>
      </c>
      <c r="D5" s="2075" t="s">
        <v>1094</v>
      </c>
      <c r="E5" s="2076" t="s">
        <v>1095</v>
      </c>
      <c r="F5" s="2076" t="s">
        <v>1096</v>
      </c>
      <c r="G5" s="2074" t="s">
        <v>1097</v>
      </c>
      <c r="H5" s="2075" t="s">
        <v>1098</v>
      </c>
      <c r="I5" s="2077"/>
    </row>
    <row r="6" spans="2:9" ht="57">
      <c r="B6" s="2073">
        <f>B5+1</f>
        <v>2</v>
      </c>
      <c r="C6" s="2074" t="s">
        <v>1099</v>
      </c>
      <c r="D6" s="2075" t="s">
        <v>1100</v>
      </c>
      <c r="E6" s="2076" t="s">
        <v>1101</v>
      </c>
      <c r="F6" s="2076" t="s">
        <v>1102</v>
      </c>
      <c r="G6" s="2074" t="s">
        <v>1103</v>
      </c>
      <c r="H6" s="2075" t="s">
        <v>1098</v>
      </c>
      <c r="I6" s="2077"/>
    </row>
    <row r="7" spans="2:9" ht="42.75">
      <c r="B7" s="2073">
        <f t="shared" ref="B7:B53" si="0">B6+1</f>
        <v>3</v>
      </c>
      <c r="C7" s="2074" t="s">
        <v>1104</v>
      </c>
      <c r="D7" s="2075"/>
      <c r="E7" s="2076"/>
      <c r="F7" s="2076" t="s">
        <v>1105</v>
      </c>
      <c r="G7" s="2074" t="s">
        <v>1097</v>
      </c>
      <c r="H7" s="2075" t="s">
        <v>1098</v>
      </c>
      <c r="I7" s="2077"/>
    </row>
    <row r="8" spans="2:9" ht="71.25">
      <c r="B8" s="2073">
        <f t="shared" si="0"/>
        <v>4</v>
      </c>
      <c r="C8" s="2074" t="s">
        <v>969</v>
      </c>
      <c r="D8" s="2075" t="s">
        <v>1106</v>
      </c>
      <c r="E8" s="2076" t="s">
        <v>1107</v>
      </c>
      <c r="F8" s="2076" t="s">
        <v>1108</v>
      </c>
      <c r="G8" s="2074" t="s">
        <v>1103</v>
      </c>
      <c r="H8" s="2075" t="s">
        <v>1098</v>
      </c>
      <c r="I8" s="2077"/>
    </row>
    <row r="9" spans="2:9">
      <c r="B9" s="2071">
        <f t="shared" si="0"/>
        <v>5</v>
      </c>
      <c r="C9" s="2058" t="s">
        <v>969</v>
      </c>
      <c r="D9" s="2059" t="s">
        <v>1094</v>
      </c>
      <c r="E9" s="2060" t="s">
        <v>1095</v>
      </c>
      <c r="F9" s="2060" t="s">
        <v>1096</v>
      </c>
      <c r="G9" s="2058" t="s">
        <v>1097</v>
      </c>
      <c r="H9" s="2059" t="s">
        <v>1109</v>
      </c>
      <c r="I9" s="2061"/>
    </row>
    <row r="10" spans="2:9" ht="28.5">
      <c r="B10" s="2071">
        <f t="shared" si="0"/>
        <v>6</v>
      </c>
      <c r="C10" s="2058" t="s">
        <v>969</v>
      </c>
      <c r="D10" s="2059" t="s">
        <v>1110</v>
      </c>
      <c r="E10" s="2060" t="s">
        <v>1111</v>
      </c>
      <c r="F10" s="2060" t="s">
        <v>1112</v>
      </c>
      <c r="G10" s="2058" t="s">
        <v>1097</v>
      </c>
      <c r="H10" s="2059" t="s">
        <v>1109</v>
      </c>
      <c r="I10" s="2061"/>
    </row>
    <row r="11" spans="2:9" ht="28.5">
      <c r="B11" s="2071">
        <f t="shared" si="0"/>
        <v>7</v>
      </c>
      <c r="C11" s="2058" t="s">
        <v>969</v>
      </c>
      <c r="D11" s="2059" t="s">
        <v>1113</v>
      </c>
      <c r="E11" s="2060" t="s">
        <v>1114</v>
      </c>
      <c r="F11" s="2060" t="s">
        <v>1115</v>
      </c>
      <c r="G11" s="2058" t="s">
        <v>1097</v>
      </c>
      <c r="H11" s="2059" t="s">
        <v>1109</v>
      </c>
      <c r="I11" s="2061"/>
    </row>
    <row r="12" spans="2:9" ht="128.25">
      <c r="B12" s="2071">
        <f t="shared" si="0"/>
        <v>8</v>
      </c>
      <c r="C12" s="2058" t="s">
        <v>969</v>
      </c>
      <c r="D12" s="2062" t="s">
        <v>1106</v>
      </c>
      <c r="E12" s="2060" t="s">
        <v>1107</v>
      </c>
      <c r="F12" s="2060" t="s">
        <v>1116</v>
      </c>
      <c r="G12" s="2058" t="s">
        <v>1103</v>
      </c>
      <c r="H12" s="2059" t="s">
        <v>1109</v>
      </c>
      <c r="I12" s="2061"/>
    </row>
    <row r="13" spans="2:9">
      <c r="B13" s="2071">
        <f t="shared" si="0"/>
        <v>9</v>
      </c>
      <c r="C13" s="2058"/>
      <c r="D13" s="2062"/>
      <c r="E13" s="2060"/>
      <c r="F13" s="2060"/>
      <c r="G13" s="2058"/>
      <c r="H13" s="2059"/>
      <c r="I13" s="2061"/>
    </row>
    <row r="14" spans="2:9">
      <c r="B14" s="2071">
        <f t="shared" si="0"/>
        <v>10</v>
      </c>
      <c r="C14" s="2058"/>
      <c r="D14" s="2062"/>
      <c r="E14" s="2060"/>
      <c r="F14" s="2060"/>
      <c r="G14" s="2058"/>
      <c r="H14" s="2059"/>
      <c r="I14" s="2061"/>
    </row>
    <row r="15" spans="2:9">
      <c r="B15" s="2071">
        <f t="shared" si="0"/>
        <v>11</v>
      </c>
      <c r="C15" s="2058"/>
      <c r="D15" s="2059"/>
      <c r="E15" s="2060"/>
      <c r="F15" s="2060"/>
      <c r="G15" s="2058"/>
      <c r="H15" s="2059"/>
      <c r="I15" s="2061"/>
    </row>
    <row r="16" spans="2:9">
      <c r="B16" s="2071">
        <f t="shared" si="0"/>
        <v>12</v>
      </c>
      <c r="C16" s="2058"/>
      <c r="D16" s="2059"/>
      <c r="E16" s="2060"/>
      <c r="F16" s="2060"/>
      <c r="G16" s="2058"/>
      <c r="H16" s="2059"/>
      <c r="I16" s="2061"/>
    </row>
    <row r="17" spans="2:9">
      <c r="B17" s="2071">
        <f t="shared" si="0"/>
        <v>13</v>
      </c>
      <c r="C17" s="2058"/>
      <c r="D17" s="2059"/>
      <c r="E17" s="2060"/>
      <c r="F17" s="2060"/>
      <c r="G17" s="2058"/>
      <c r="H17" s="2059"/>
      <c r="I17" s="2061"/>
    </row>
    <row r="18" spans="2:9">
      <c r="B18" s="2071">
        <f t="shared" si="0"/>
        <v>14</v>
      </c>
      <c r="C18" s="2058"/>
      <c r="D18" s="2059"/>
      <c r="E18" s="2060"/>
      <c r="F18" s="2060"/>
      <c r="G18" s="2058"/>
      <c r="H18" s="2059"/>
      <c r="I18" s="2061"/>
    </row>
    <row r="19" spans="2:9">
      <c r="B19" s="2071">
        <f t="shared" si="0"/>
        <v>15</v>
      </c>
      <c r="C19" s="2058"/>
      <c r="D19" s="2059"/>
      <c r="E19" s="2060"/>
      <c r="F19" s="2060"/>
      <c r="G19" s="2058"/>
      <c r="H19" s="2059"/>
      <c r="I19" s="2061"/>
    </row>
    <row r="20" spans="2:9">
      <c r="B20" s="2071">
        <f t="shared" si="0"/>
        <v>16</v>
      </c>
      <c r="C20" s="2058"/>
      <c r="D20" s="2059"/>
      <c r="E20" s="2060"/>
      <c r="F20" s="2060"/>
      <c r="G20" s="2058"/>
      <c r="H20" s="2059"/>
      <c r="I20" s="2061"/>
    </row>
    <row r="21" spans="2:9">
      <c r="B21" s="2071">
        <f t="shared" si="0"/>
        <v>17</v>
      </c>
      <c r="C21" s="2058"/>
      <c r="D21" s="2059"/>
      <c r="E21" s="2060"/>
      <c r="F21" s="2060"/>
      <c r="G21" s="2058"/>
      <c r="H21" s="2059"/>
      <c r="I21" s="2061"/>
    </row>
    <row r="22" spans="2:9">
      <c r="B22" s="2071">
        <f t="shared" si="0"/>
        <v>18</v>
      </c>
      <c r="C22" s="2058"/>
      <c r="D22" s="2062"/>
      <c r="E22" s="2060"/>
      <c r="F22" s="2060"/>
      <c r="G22" s="2058"/>
      <c r="H22" s="2059"/>
      <c r="I22" s="2061"/>
    </row>
    <row r="23" spans="2:9">
      <c r="B23" s="2071">
        <f t="shared" si="0"/>
        <v>19</v>
      </c>
      <c r="C23" s="2058"/>
      <c r="D23" s="2062"/>
      <c r="E23" s="2060"/>
      <c r="F23" s="2060"/>
      <c r="G23" s="2058"/>
      <c r="H23" s="2059"/>
      <c r="I23" s="2061"/>
    </row>
    <row r="24" spans="2:9">
      <c r="B24" s="2071">
        <f t="shared" si="0"/>
        <v>20</v>
      </c>
      <c r="C24" s="2058"/>
      <c r="D24" s="2062"/>
      <c r="E24" s="2060"/>
      <c r="F24" s="2060"/>
      <c r="G24" s="2058"/>
      <c r="H24" s="2059"/>
      <c r="I24" s="2061"/>
    </row>
    <row r="25" spans="2:9">
      <c r="B25" s="2071">
        <f t="shared" si="0"/>
        <v>21</v>
      </c>
      <c r="C25" s="2058"/>
      <c r="D25" s="2059"/>
      <c r="E25" s="2060"/>
      <c r="F25" s="2060"/>
      <c r="G25" s="2058"/>
      <c r="H25" s="2059"/>
      <c r="I25" s="2061"/>
    </row>
    <row r="26" spans="2:9">
      <c r="B26" s="2071">
        <f t="shared" si="0"/>
        <v>22</v>
      </c>
      <c r="C26" s="2058"/>
      <c r="D26" s="2062"/>
      <c r="E26" s="2060"/>
      <c r="F26" s="2060"/>
      <c r="G26" s="2058"/>
      <c r="H26" s="2059"/>
      <c r="I26" s="2061"/>
    </row>
    <row r="27" spans="2:9">
      <c r="B27" s="2071">
        <f t="shared" si="0"/>
        <v>23</v>
      </c>
      <c r="C27" s="2058"/>
      <c r="D27" s="2062"/>
      <c r="E27" s="2060"/>
      <c r="F27" s="2060"/>
      <c r="G27" s="2058"/>
      <c r="H27" s="2059"/>
      <c r="I27" s="2061"/>
    </row>
    <row r="28" spans="2:9">
      <c r="B28" s="2071">
        <f t="shared" si="0"/>
        <v>24</v>
      </c>
      <c r="C28" s="2058"/>
      <c r="D28" s="2059"/>
      <c r="E28" s="2060"/>
      <c r="F28" s="2060"/>
      <c r="G28" s="2058"/>
      <c r="H28" s="2059"/>
      <c r="I28" s="2061"/>
    </row>
    <row r="29" spans="2:9">
      <c r="B29" s="2071">
        <f t="shared" si="0"/>
        <v>25</v>
      </c>
      <c r="C29" s="2058"/>
      <c r="D29" s="2059"/>
      <c r="E29" s="2060"/>
      <c r="F29" s="2060"/>
      <c r="G29" s="2058"/>
      <c r="H29" s="2059"/>
      <c r="I29" s="2061"/>
    </row>
    <row r="30" spans="2:9">
      <c r="B30" s="2071">
        <f t="shared" si="0"/>
        <v>26</v>
      </c>
      <c r="C30" s="2058"/>
      <c r="D30" s="2059"/>
      <c r="E30" s="2060"/>
      <c r="F30" s="2060"/>
      <c r="G30" s="2058"/>
      <c r="H30" s="2059"/>
      <c r="I30" s="2061"/>
    </row>
    <row r="31" spans="2:9">
      <c r="B31" s="2071">
        <f>B30+1</f>
        <v>27</v>
      </c>
      <c r="C31" s="2058"/>
      <c r="D31" s="2059"/>
      <c r="E31" s="2060"/>
      <c r="F31" s="2060"/>
      <c r="G31" s="2058"/>
      <c r="H31" s="2059"/>
      <c r="I31" s="2061"/>
    </row>
    <row r="32" spans="2:9">
      <c r="B32" s="2071">
        <f t="shared" si="0"/>
        <v>28</v>
      </c>
      <c r="C32" s="2058"/>
      <c r="D32" s="2059"/>
      <c r="E32" s="2060"/>
      <c r="F32" s="2060"/>
      <c r="G32" s="2058"/>
      <c r="H32" s="2059"/>
      <c r="I32" s="2061"/>
    </row>
    <row r="33" spans="2:9">
      <c r="B33" s="2071">
        <f t="shared" si="0"/>
        <v>29</v>
      </c>
      <c r="C33" s="2058"/>
      <c r="D33" s="2059"/>
      <c r="E33" s="2060"/>
      <c r="F33" s="2060"/>
      <c r="G33" s="2058"/>
      <c r="H33" s="2059"/>
      <c r="I33" s="2061"/>
    </row>
    <row r="34" spans="2:9">
      <c r="B34" s="2071">
        <f t="shared" si="0"/>
        <v>30</v>
      </c>
      <c r="C34" s="2058"/>
      <c r="D34" s="2059"/>
      <c r="E34" s="2060"/>
      <c r="F34" s="2060"/>
      <c r="G34" s="2058"/>
      <c r="H34" s="2059"/>
      <c r="I34" s="2061"/>
    </row>
    <row r="35" spans="2:9">
      <c r="B35" s="2071">
        <f t="shared" si="0"/>
        <v>31</v>
      </c>
      <c r="C35" s="2058"/>
      <c r="D35" s="2059"/>
      <c r="E35" s="2060"/>
      <c r="F35" s="2060"/>
      <c r="G35" s="2058"/>
      <c r="H35" s="2059"/>
      <c r="I35" s="2061"/>
    </row>
    <row r="36" spans="2:9">
      <c r="B36" s="2071">
        <f t="shared" si="0"/>
        <v>32</v>
      </c>
      <c r="C36" s="2058"/>
      <c r="D36" s="2059"/>
      <c r="E36" s="2060"/>
      <c r="F36" s="2060"/>
      <c r="G36" s="2058"/>
      <c r="H36" s="2059"/>
      <c r="I36" s="2061"/>
    </row>
    <row r="37" spans="2:9">
      <c r="B37" s="2071">
        <f t="shared" si="0"/>
        <v>33</v>
      </c>
      <c r="C37" s="2058"/>
      <c r="D37" s="2059"/>
      <c r="E37" s="2060"/>
      <c r="F37" s="2060"/>
      <c r="G37" s="2058"/>
      <c r="H37" s="2059"/>
      <c r="I37" s="2061"/>
    </row>
    <row r="38" spans="2:9">
      <c r="B38" s="2071">
        <f t="shared" si="0"/>
        <v>34</v>
      </c>
      <c r="C38" s="2058"/>
      <c r="D38" s="2059"/>
      <c r="E38" s="2060"/>
      <c r="F38" s="2060"/>
      <c r="G38" s="2058"/>
      <c r="H38" s="2059"/>
      <c r="I38" s="2061"/>
    </row>
    <row r="39" spans="2:9">
      <c r="B39" s="2071">
        <f t="shared" si="0"/>
        <v>35</v>
      </c>
      <c r="C39" s="2058"/>
      <c r="D39" s="2059"/>
      <c r="E39" s="2060"/>
      <c r="F39" s="2060"/>
      <c r="G39" s="2058"/>
      <c r="H39" s="2059"/>
      <c r="I39" s="2061"/>
    </row>
    <row r="40" spans="2:9">
      <c r="B40" s="2071">
        <f t="shared" si="0"/>
        <v>36</v>
      </c>
      <c r="C40" s="2058"/>
      <c r="D40" s="2059"/>
      <c r="E40" s="2060"/>
      <c r="F40" s="2060"/>
      <c r="G40" s="2058"/>
      <c r="H40" s="2059"/>
      <c r="I40" s="2061"/>
    </row>
    <row r="41" spans="2:9">
      <c r="B41" s="2071">
        <f t="shared" si="0"/>
        <v>37</v>
      </c>
      <c r="C41" s="2058"/>
      <c r="D41" s="2059"/>
      <c r="E41" s="2060"/>
      <c r="F41" s="2060"/>
      <c r="G41" s="2058"/>
      <c r="H41" s="2059"/>
      <c r="I41" s="2061"/>
    </row>
    <row r="42" spans="2:9">
      <c r="B42" s="2071">
        <f t="shared" si="0"/>
        <v>38</v>
      </c>
      <c r="C42" s="2058"/>
      <c r="D42" s="2059"/>
      <c r="E42" s="2060"/>
      <c r="F42" s="2060"/>
      <c r="G42" s="2058"/>
      <c r="H42" s="2059"/>
      <c r="I42" s="2061"/>
    </row>
    <row r="43" spans="2:9">
      <c r="B43" s="2071">
        <f>B42+1</f>
        <v>39</v>
      </c>
      <c r="C43" s="2058"/>
      <c r="D43" s="2059"/>
      <c r="E43" s="2060"/>
      <c r="F43" s="2060"/>
      <c r="G43" s="2058"/>
      <c r="H43" s="2059"/>
      <c r="I43" s="2061"/>
    </row>
    <row r="44" spans="2:9">
      <c r="B44" s="2071">
        <f t="shared" si="0"/>
        <v>40</v>
      </c>
      <c r="C44" s="2058"/>
      <c r="D44" s="2059"/>
      <c r="E44" s="2060"/>
      <c r="F44" s="2060"/>
      <c r="G44" s="2058"/>
      <c r="H44" s="2059"/>
      <c r="I44" s="2061"/>
    </row>
    <row r="45" spans="2:9">
      <c r="B45" s="2071">
        <f t="shared" si="0"/>
        <v>41</v>
      </c>
      <c r="C45" s="2058"/>
      <c r="D45" s="2059"/>
      <c r="E45" s="2060"/>
      <c r="F45" s="2060"/>
      <c r="G45" s="2058"/>
      <c r="H45" s="2059"/>
      <c r="I45" s="2061"/>
    </row>
    <row r="46" spans="2:9">
      <c r="B46" s="2071">
        <f t="shared" si="0"/>
        <v>42</v>
      </c>
      <c r="C46" s="2058"/>
      <c r="D46" s="2059"/>
      <c r="E46" s="2060"/>
      <c r="F46" s="2060"/>
      <c r="G46" s="2058"/>
      <c r="H46" s="2059"/>
      <c r="I46" s="2061"/>
    </row>
    <row r="47" spans="2:9">
      <c r="B47" s="2071">
        <f t="shared" si="0"/>
        <v>43</v>
      </c>
      <c r="C47" s="2058"/>
      <c r="D47" s="2059"/>
      <c r="E47" s="2060"/>
      <c r="F47" s="2060"/>
      <c r="G47" s="2058"/>
      <c r="H47" s="2059"/>
      <c r="I47" s="2061"/>
    </row>
    <row r="48" spans="2:9">
      <c r="B48" s="2071">
        <f>B47+1</f>
        <v>44</v>
      </c>
      <c r="C48" s="2058"/>
      <c r="D48" s="2059"/>
      <c r="E48" s="2060"/>
      <c r="F48" s="2060"/>
      <c r="G48" s="2058"/>
      <c r="H48" s="2059"/>
      <c r="I48" s="2061"/>
    </row>
    <row r="49" spans="2:9">
      <c r="B49" s="2071">
        <f t="shared" si="0"/>
        <v>45</v>
      </c>
      <c r="C49" s="2058"/>
      <c r="D49" s="2059"/>
      <c r="E49" s="2060"/>
      <c r="F49" s="2060"/>
      <c r="G49" s="2058"/>
      <c r="H49" s="2059"/>
      <c r="I49" s="2061"/>
    </row>
    <row r="50" spans="2:9">
      <c r="B50" s="2071">
        <f t="shared" si="0"/>
        <v>46</v>
      </c>
      <c r="C50" s="2058"/>
      <c r="D50" s="2059"/>
      <c r="E50" s="2060"/>
      <c r="F50" s="2060"/>
      <c r="G50" s="2058"/>
      <c r="H50" s="2059"/>
      <c r="I50" s="2061"/>
    </row>
    <row r="51" spans="2:9">
      <c r="B51" s="2071">
        <f t="shared" si="0"/>
        <v>47</v>
      </c>
      <c r="C51" s="2058"/>
      <c r="D51" s="2059"/>
      <c r="E51" s="2060"/>
      <c r="F51" s="2060"/>
      <c r="G51" s="2058"/>
      <c r="H51" s="2059"/>
      <c r="I51" s="2061"/>
    </row>
    <row r="52" spans="2:9">
      <c r="B52" s="2071">
        <f t="shared" si="0"/>
        <v>48</v>
      </c>
      <c r="C52" s="2058"/>
      <c r="D52" s="2059"/>
      <c r="E52" s="2060"/>
      <c r="F52" s="2060"/>
      <c r="G52" s="2058"/>
      <c r="H52" s="2059"/>
      <c r="I52" s="2061"/>
    </row>
    <row r="53" spans="2:9">
      <c r="B53" s="2071">
        <f t="shared" si="0"/>
        <v>49</v>
      </c>
      <c r="C53" s="2058"/>
      <c r="D53" s="2059"/>
      <c r="E53" s="2060"/>
      <c r="F53" s="2060"/>
      <c r="G53" s="2058"/>
      <c r="H53" s="2059"/>
      <c r="I53" s="2061"/>
    </row>
    <row r="54" spans="2:9" ht="14.65" thickBot="1">
      <c r="B54" s="2072">
        <f>B53+1</f>
        <v>50</v>
      </c>
      <c r="C54" s="2063"/>
      <c r="D54" s="2064"/>
      <c r="E54" s="2065"/>
      <c r="F54" s="2065"/>
      <c r="G54" s="2063"/>
      <c r="H54" s="2064"/>
      <c r="I54" s="2066"/>
    </row>
    <row r="59" spans="2:9">
      <c r="B59" s="2067" t="s">
        <v>109</v>
      </c>
    </row>
    <row r="60" spans="2:9">
      <c r="B60" s="2067"/>
    </row>
    <row r="61" spans="2:9">
      <c r="B61" s="2067"/>
      <c r="C61" s="2067" t="s">
        <v>1117</v>
      </c>
      <c r="G61" s="2067" t="s">
        <v>1092</v>
      </c>
      <c r="H61" s="2068" t="s">
        <v>1118</v>
      </c>
    </row>
    <row r="62" spans="2:9">
      <c r="C62" s="1392" t="s">
        <v>1119</v>
      </c>
      <c r="G62" s="1392" t="s">
        <v>1103</v>
      </c>
      <c r="H62" s="2051" t="s">
        <v>1098</v>
      </c>
    </row>
    <row r="63" spans="2:9">
      <c r="C63" s="1392" t="s">
        <v>1120</v>
      </c>
      <c r="G63" s="1392" t="s">
        <v>1121</v>
      </c>
      <c r="H63" s="2051" t="s">
        <v>1109</v>
      </c>
    </row>
    <row r="64" spans="2:9">
      <c r="C64" s="1392" t="s">
        <v>1122</v>
      </c>
      <c r="G64" s="1392" t="s">
        <v>1123</v>
      </c>
    </row>
    <row r="65" spans="3:7">
      <c r="C65" s="1392" t="s">
        <v>1124</v>
      </c>
      <c r="G65" s="1392" t="s">
        <v>1097</v>
      </c>
    </row>
    <row r="66" spans="3:7">
      <c r="C66" s="1392" t="s">
        <v>1125</v>
      </c>
    </row>
    <row r="67" spans="3:7">
      <c r="C67" s="1392" t="s">
        <v>1099</v>
      </c>
    </row>
    <row r="68" spans="3:7">
      <c r="C68" s="1392" t="s">
        <v>1126</v>
      </c>
    </row>
    <row r="69" spans="3:7">
      <c r="C69" s="1392" t="s">
        <v>1127</v>
      </c>
    </row>
    <row r="70" spans="3:7">
      <c r="C70" s="1392" t="s">
        <v>1128</v>
      </c>
    </row>
    <row r="71" spans="3:7">
      <c r="C71" s="1392" t="s">
        <v>1129</v>
      </c>
    </row>
    <row r="72" spans="3:7">
      <c r="C72" s="1392" t="s">
        <v>904</v>
      </c>
    </row>
    <row r="73" spans="3:7">
      <c r="C73" s="1392" t="s">
        <v>894</v>
      </c>
    </row>
    <row r="74" spans="3:7">
      <c r="C74" s="1392" t="s">
        <v>969</v>
      </c>
    </row>
    <row r="75" spans="3:7">
      <c r="C75" s="1392" t="s">
        <v>1104</v>
      </c>
    </row>
  </sheetData>
  <dataValidations count="3">
    <dataValidation type="list" allowBlank="1" showInputMessage="1" showErrorMessage="1" sqref="C5:C54" xr:uid="{5FA52791-A4D3-4444-9B4E-D4A6C6E4DCEF}">
      <formula1>$C$62:$C$75</formula1>
    </dataValidation>
    <dataValidation type="list" allowBlank="1" showInputMessage="1" showErrorMessage="1" sqref="H5:H54" xr:uid="{A04863EA-B9B7-4D9D-B590-D07562157DA7}">
      <formula1>$H$62:$H$63</formula1>
    </dataValidation>
    <dataValidation type="list" allowBlank="1" showInputMessage="1" showErrorMessage="1" sqref="G5:G54" xr:uid="{53CA96EC-E29A-47D0-8D9C-7FD80BF154D9}">
      <formula1>$G$62:$G$65</formula1>
    </dataValidation>
  </dataValidations>
  <pageMargins left="0.70866141732283472" right="0.70866141732283472" top="0.74803149606299213" bottom="0.74803149606299213" header="0.31496062992125984" footer="0.31496062992125984"/>
  <pageSetup paperSize="9" scale="47"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FD4BC-29E7-4FAC-8250-63416515C81D}">
  <sheetPr>
    <tabColor rgb="FFFCEABF"/>
    <pageSetUpPr fitToPage="1"/>
  </sheetPr>
  <dimension ref="A1:S32"/>
  <sheetViews>
    <sheetView showGridLines="0" zoomScale="80" zoomScaleNormal="80" zoomScaleSheetLayoutView="80" workbookViewId="0"/>
  </sheetViews>
  <sheetFormatPr defaultColWidth="8.625" defaultRowHeight="12.75"/>
  <cols>
    <col min="1" max="4" width="1.625" style="207" customWidth="1"/>
    <col min="5" max="5" width="45.625" style="207" customWidth="1"/>
    <col min="6" max="8" width="15.625" style="207" customWidth="1"/>
    <col min="9" max="9" width="2.625" style="207" customWidth="1"/>
    <col min="10" max="16384" width="8.625" style="207"/>
  </cols>
  <sheetData>
    <row r="1" spans="1:19" s="201" customFormat="1" ht="44.25">
      <c r="A1" s="447" t="str">
        <f ca="1" xml:space="preserve"> RIGHT(CELL("filename", $A$1), LEN(CELL("filename", $A$1)) - SEARCH("]", CELL("filename", $A$1)))</f>
        <v>InpCompany</v>
      </c>
      <c r="B1" s="447"/>
      <c r="C1" s="447"/>
      <c r="D1" s="448"/>
      <c r="E1" s="448"/>
      <c r="F1" s="448"/>
      <c r="G1" s="448"/>
      <c r="H1" s="449" t="str">
        <f>InpCompany!F5</f>
        <v>Southern Water</v>
      </c>
      <c r="I1" s="200"/>
    </row>
    <row r="2" spans="1:19" s="202" customFormat="1" ht="20.25">
      <c r="F2" s="451" t="s">
        <v>1130</v>
      </c>
      <c r="G2" s="451" t="s">
        <v>114</v>
      </c>
      <c r="H2" s="451" t="s">
        <v>1131</v>
      </c>
    </row>
    <row r="3" spans="1:19" s="206" customFormat="1" ht="20.25">
      <c r="A3" s="450" t="s">
        <v>940</v>
      </c>
      <c r="B3" s="203"/>
      <c r="C3" s="204"/>
      <c r="D3" s="205"/>
      <c r="E3" s="205"/>
      <c r="F3" s="205"/>
      <c r="G3" s="205"/>
      <c r="H3" s="205"/>
    </row>
    <row r="5" spans="1:19" s="202" customFormat="1" ht="13.15">
      <c r="B5" s="453"/>
      <c r="C5" s="453"/>
      <c r="D5" s="453"/>
      <c r="E5" s="453" t="s">
        <v>982</v>
      </c>
      <c r="F5" s="454" t="str">
        <f>'Validation summary'!$B$3</f>
        <v>Southern Water</v>
      </c>
      <c r="G5" s="455"/>
      <c r="H5" s="453"/>
      <c r="J5" s="207"/>
      <c r="K5" s="207"/>
      <c r="L5" s="207"/>
      <c r="M5" s="207"/>
      <c r="N5" s="207"/>
      <c r="O5" s="207"/>
      <c r="P5" s="207"/>
      <c r="Q5" s="207"/>
      <c r="R5" s="207"/>
      <c r="S5" s="207"/>
    </row>
    <row r="6" spans="1:19" s="202" customFormat="1" ht="13.15">
      <c r="B6" s="453"/>
      <c r="C6" s="453"/>
      <c r="D6" s="453"/>
      <c r="E6" s="453" t="s">
        <v>1132</v>
      </c>
      <c r="F6" s="453" t="str">
        <f>INDEX(Validation!$C$5:$C$22, MATCH($F$5, Validation!$B$5:$B$22, 0))</f>
        <v>SRN</v>
      </c>
      <c r="G6" s="455"/>
      <c r="H6" s="453"/>
      <c r="J6" s="207"/>
      <c r="K6" s="207"/>
      <c r="L6" s="207"/>
      <c r="M6" s="207"/>
      <c r="N6" s="207"/>
      <c r="O6" s="207"/>
      <c r="P6" s="207"/>
      <c r="Q6" s="207"/>
      <c r="R6" s="207"/>
      <c r="S6" s="207"/>
    </row>
    <row r="7" spans="1:19" ht="13.15">
      <c r="B7" s="455"/>
      <c r="C7" s="455"/>
      <c r="D7" s="455"/>
      <c r="E7" s="455"/>
      <c r="F7" s="455"/>
      <c r="G7" s="455"/>
      <c r="H7" s="455"/>
    </row>
    <row r="8" spans="1:19" ht="13.15">
      <c r="B8" s="455"/>
      <c r="C8" s="455"/>
      <c r="D8" s="455"/>
      <c r="E8" s="455" t="s">
        <v>981</v>
      </c>
      <c r="F8" s="454" t="str">
        <f>'Validation summary'!$B$2</f>
        <v>2023-24</v>
      </c>
      <c r="G8" s="455" t="s">
        <v>1133</v>
      </c>
      <c r="H8" s="456"/>
      <c r="I8" s="208"/>
    </row>
    <row r="9" spans="1:19" ht="13.15">
      <c r="B9" s="455"/>
      <c r="C9" s="455"/>
      <c r="D9" s="455"/>
      <c r="E9" s="455"/>
      <c r="F9" s="455"/>
      <c r="G9" s="457"/>
      <c r="H9" s="457"/>
      <c r="I9" s="209"/>
    </row>
    <row r="10" spans="1:19" ht="13.15">
      <c r="B10" s="455"/>
      <c r="C10" s="455"/>
      <c r="D10" s="455"/>
      <c r="E10" s="455" t="s">
        <v>1134</v>
      </c>
      <c r="F10" s="458" t="s">
        <v>1135</v>
      </c>
      <c r="G10" s="455" t="s">
        <v>1133</v>
      </c>
      <c r="H10" s="457"/>
      <c r="I10" s="209"/>
    </row>
    <row r="11" spans="1:19" ht="13.15">
      <c r="B11" s="455"/>
      <c r="C11" s="455"/>
      <c r="D11" s="455"/>
      <c r="E11" s="455" t="s">
        <v>1136</v>
      </c>
      <c r="F11" s="455" t="str">
        <f>"£m ("&amp;F10&amp;" prices)"</f>
        <v>£m (2017-18 prices)</v>
      </c>
      <c r="G11" s="455" t="s">
        <v>1137</v>
      </c>
      <c r="H11" s="457"/>
      <c r="I11" s="209"/>
    </row>
    <row r="12" spans="1:19" ht="13.15">
      <c r="B12" s="455"/>
      <c r="C12" s="455"/>
      <c r="D12" s="455"/>
      <c r="E12" s="455"/>
      <c r="F12" s="455"/>
      <c r="G12" s="455"/>
      <c r="H12" s="455"/>
    </row>
    <row r="13" spans="1:19" ht="20.25">
      <c r="C13" s="452" t="s">
        <v>1138</v>
      </c>
    </row>
    <row r="14" spans="1:19" ht="13.15">
      <c r="B14" s="455"/>
      <c r="C14" s="455"/>
      <c r="D14" s="455"/>
      <c r="E14" s="455"/>
      <c r="F14" s="455"/>
      <c r="G14" s="455"/>
      <c r="H14" s="455"/>
    </row>
    <row r="15" spans="1:19" ht="13.15">
      <c r="B15" s="455"/>
      <c r="C15" s="455"/>
      <c r="D15" s="455"/>
      <c r="E15" s="455" t="s">
        <v>1139</v>
      </c>
      <c r="F15" s="1414">
        <v>120.38500000000001</v>
      </c>
      <c r="G15" s="455" t="str">
        <f>$F$11</f>
        <v>£m (2017-18 prices)</v>
      </c>
      <c r="H15" s="455"/>
    </row>
    <row r="16" spans="1:19" ht="13.15">
      <c r="B16" s="455"/>
      <c r="C16" s="455"/>
      <c r="D16" s="455"/>
      <c r="E16" s="455" t="s">
        <v>1140</v>
      </c>
      <c r="F16" s="2049">
        <v>1192.6410000000001</v>
      </c>
      <c r="G16" s="455" t="str">
        <f>$F$11</f>
        <v>£m (2017-18 prices)</v>
      </c>
      <c r="H16" s="455"/>
    </row>
    <row r="17" spans="1:8" ht="13.15">
      <c r="B17" s="455"/>
      <c r="C17" s="455"/>
      <c r="D17" s="455"/>
      <c r="E17" s="455" t="s">
        <v>1141</v>
      </c>
      <c r="F17" s="459">
        <f>SUM(F15:F16)</f>
        <v>1313.0260000000001</v>
      </c>
      <c r="G17" s="455" t="str">
        <f>$F$11</f>
        <v>£m (2017-18 prices)</v>
      </c>
      <c r="H17" s="455"/>
    </row>
    <row r="18" spans="1:8" ht="13.15">
      <c r="B18" s="455"/>
      <c r="C18" s="455"/>
      <c r="D18" s="455"/>
      <c r="E18" s="455"/>
      <c r="F18" s="459"/>
      <c r="G18" s="455"/>
      <c r="H18" s="455"/>
    </row>
    <row r="19" spans="1:8" ht="13.15">
      <c r="B19" s="455"/>
      <c r="C19" s="455"/>
      <c r="D19" s="455"/>
      <c r="E19" s="455" t="s">
        <v>1142</v>
      </c>
      <c r="F19" s="2049">
        <v>3826.694</v>
      </c>
      <c r="G19" s="455" t="str">
        <f>$F$11</f>
        <v>£m (2017-18 prices)</v>
      </c>
      <c r="H19" s="455"/>
    </row>
    <row r="20" spans="1:8" ht="13.15">
      <c r="B20" s="455"/>
      <c r="C20" s="455"/>
      <c r="D20" s="455"/>
      <c r="E20" s="455" t="s">
        <v>1143</v>
      </c>
      <c r="F20" s="1414">
        <v>211.88300000000001</v>
      </c>
      <c r="G20" s="455" t="str">
        <f>$F$11</f>
        <v>£m (2017-18 prices)</v>
      </c>
      <c r="H20" s="455"/>
    </row>
    <row r="21" spans="1:8" ht="13.15">
      <c r="B21" s="455"/>
      <c r="C21" s="455"/>
      <c r="D21" s="455"/>
      <c r="E21" s="455" t="s">
        <v>1144</v>
      </c>
      <c r="F21" s="459">
        <f>SUM(F19:F20)</f>
        <v>4038.5769999999998</v>
      </c>
      <c r="G21" s="455" t="str">
        <f>$F$11</f>
        <v>£m (2017-18 prices)</v>
      </c>
      <c r="H21" s="455"/>
    </row>
    <row r="22" spans="1:8" ht="13.15">
      <c r="B22" s="455"/>
      <c r="C22" s="455"/>
      <c r="D22" s="455"/>
      <c r="E22" s="455"/>
      <c r="F22" s="455"/>
      <c r="G22" s="455"/>
      <c r="H22" s="455"/>
    </row>
    <row r="23" spans="1:8" ht="13.15">
      <c r="B23" s="455"/>
      <c r="C23" s="455"/>
      <c r="D23" s="460" t="s">
        <v>993</v>
      </c>
      <c r="E23" s="455"/>
      <c r="F23" s="455"/>
      <c r="G23" s="455"/>
      <c r="H23" s="455"/>
    </row>
    <row r="24" spans="1:8" ht="13.15">
      <c r="B24" s="455"/>
      <c r="C24" s="455"/>
      <c r="D24" s="455"/>
      <c r="E24" s="455" t="s">
        <v>1145</v>
      </c>
      <c r="F24" s="461">
        <v>0.4</v>
      </c>
      <c r="G24" s="455" t="s">
        <v>1146</v>
      </c>
      <c r="H24" s="455"/>
    </row>
    <row r="25" spans="1:8" ht="13.15">
      <c r="B25" s="455"/>
      <c r="C25" s="455"/>
      <c r="D25" s="455"/>
      <c r="E25" s="455" t="s">
        <v>1147</v>
      </c>
      <c r="F25" s="461">
        <v>0.01</v>
      </c>
      <c r="G25" s="455" t="s">
        <v>1146</v>
      </c>
      <c r="H25" s="455"/>
    </row>
    <row r="27" spans="1:8" ht="20.25">
      <c r="C27" s="452" t="s">
        <v>1148</v>
      </c>
    </row>
    <row r="28" spans="1:8" ht="13.15">
      <c r="C28" s="210"/>
      <c r="D28" s="455"/>
      <c r="E28" s="455"/>
      <c r="F28" s="455"/>
      <c r="G28" s="455"/>
      <c r="H28" s="455"/>
    </row>
    <row r="29" spans="1:8" ht="13.15">
      <c r="A29" s="208"/>
      <c r="D29" s="455"/>
      <c r="E29" s="455" t="s">
        <v>1149</v>
      </c>
      <c r="F29" s="461">
        <v>0.5</v>
      </c>
      <c r="G29" s="455" t="s">
        <v>1146</v>
      </c>
      <c r="H29" s="455"/>
    </row>
    <row r="30" spans="1:8" ht="13.15">
      <c r="A30" s="212">
        <f>SUM(F30*100)</f>
        <v>3</v>
      </c>
      <c r="D30" s="455"/>
      <c r="E30" s="455" t="s">
        <v>1150</v>
      </c>
      <c r="F30" s="461">
        <v>0.03</v>
      </c>
      <c r="G30" s="455" t="s">
        <v>1146</v>
      </c>
      <c r="H30" s="455"/>
    </row>
    <row r="31" spans="1:8" ht="13.15">
      <c r="D31" s="455"/>
      <c r="E31" s="455"/>
      <c r="F31" s="455"/>
      <c r="G31" s="455"/>
      <c r="H31" s="455"/>
    </row>
    <row r="32" spans="1:8" ht="20.25">
      <c r="A32" s="439" t="s">
        <v>980</v>
      </c>
      <c r="B32" s="185"/>
      <c r="C32" s="186"/>
      <c r="D32" s="187"/>
      <c r="E32" s="188"/>
      <c r="F32" s="188"/>
      <c r="G32" s="188"/>
      <c r="H32" s="188"/>
    </row>
  </sheetData>
  <conditionalFormatting sqref="H32">
    <cfRule type="cellIs" dxfId="214"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175B5-B76D-4B05-A353-FBF1AAEBF233}">
  <sheetPr>
    <tabColor rgb="FFFCEABF"/>
    <pageSetUpPr fitToPage="1"/>
  </sheetPr>
  <dimension ref="A1:DF114"/>
  <sheetViews>
    <sheetView showGridLines="0" zoomScale="80" zoomScaleNormal="80" zoomScaleSheetLayoutView="70" workbookViewId="0">
      <pane xSplit="8" ySplit="17" topLeftCell="I18" activePane="bottomRight" state="frozen"/>
      <selection activeCell="G4" sqref="G4"/>
      <selection pane="topRight" activeCell="G4" sqref="G4"/>
      <selection pane="bottomLeft" activeCell="G4" sqref="G4"/>
      <selection pane="bottomRight"/>
    </sheetView>
  </sheetViews>
  <sheetFormatPr defaultColWidth="0" defaultRowHeight="12.75" outlineLevelCol="1"/>
  <cols>
    <col min="1" max="4" width="1.625" style="207" customWidth="1"/>
    <col min="5" max="5" width="45.625" style="207" customWidth="1"/>
    <col min="6" max="8" width="15.625" style="207" customWidth="1"/>
    <col min="9" max="9" width="2.625" style="207" customWidth="1"/>
    <col min="10" max="16" width="28.625" style="400" customWidth="1"/>
    <col min="17" max="55" width="28.625" style="207" customWidth="1"/>
    <col min="56" max="71" width="25.625" style="207" hidden="1" customWidth="1" outlineLevel="1"/>
    <col min="72" max="72" width="8.625" style="207" hidden="1" customWidth="1" collapsed="1"/>
    <col min="73" max="16384" width="8.625" style="207" hidden="1"/>
  </cols>
  <sheetData>
    <row r="1" spans="1:110" s="226" customFormat="1" ht="44.25">
      <c r="A1" s="447" t="str">
        <f ca="1" xml:space="preserve"> RIGHT(CELL("filename", $A$1), LEN(CELL("filename", $A$1)) - SEARCH("]", CELL("filename", $A$1)))</f>
        <v>Company_PC_inputs</v>
      </c>
      <c r="B1" s="447"/>
      <c r="C1" s="199"/>
      <c r="D1" s="199"/>
      <c r="E1" s="199"/>
      <c r="F1" s="199"/>
      <c r="G1" s="199"/>
      <c r="H1" s="199"/>
      <c r="I1" s="199"/>
      <c r="J1" s="399"/>
      <c r="K1" s="399"/>
      <c r="L1" s="399"/>
      <c r="M1" s="399"/>
      <c r="N1" s="399"/>
      <c r="O1" s="399"/>
      <c r="P1" s="3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2"/>
      <c r="BE1" s="1192"/>
      <c r="BF1" s="1192"/>
      <c r="BG1" s="1192"/>
      <c r="BH1" s="1192"/>
      <c r="BI1" s="1192"/>
      <c r="BJ1" s="1192"/>
      <c r="BK1" s="1192"/>
      <c r="BL1" s="1192"/>
      <c r="BM1" s="1192"/>
      <c r="BN1" s="1192"/>
      <c r="BO1" s="1192"/>
      <c r="BP1" s="1192"/>
      <c r="BQ1" s="1192"/>
      <c r="BR1" s="1192"/>
      <c r="BS1" s="1192"/>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row>
    <row r="2" spans="1:110" s="202" customFormat="1" ht="13.15">
      <c r="A2" s="453"/>
      <c r="B2" s="453"/>
      <c r="C2" s="453"/>
      <c r="D2" s="453"/>
      <c r="E2" s="453"/>
      <c r="F2" s="462" t="s">
        <v>1130</v>
      </c>
      <c r="G2" s="462" t="s">
        <v>114</v>
      </c>
      <c r="H2" s="462" t="s">
        <v>1131</v>
      </c>
      <c r="I2" s="463"/>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64"/>
      <c r="AK2" s="464"/>
      <c r="AL2" s="464"/>
      <c r="AM2" s="464"/>
      <c r="AN2" s="464"/>
      <c r="AO2" s="464"/>
      <c r="AP2" s="464"/>
      <c r="AQ2" s="464"/>
      <c r="AR2" s="464"/>
      <c r="AS2" s="464"/>
      <c r="AT2" s="464"/>
      <c r="AU2" s="464"/>
      <c r="AV2" s="464"/>
      <c r="AW2" s="464"/>
      <c r="AX2" s="464"/>
      <c r="AY2" s="464"/>
      <c r="AZ2" s="464"/>
      <c r="BA2" s="464"/>
      <c r="BB2" s="464"/>
      <c r="BC2" s="464"/>
      <c r="BD2" s="464"/>
      <c r="BE2" s="464"/>
      <c r="BF2" s="464"/>
      <c r="BG2" s="464"/>
      <c r="BH2" s="464"/>
      <c r="BI2" s="464"/>
      <c r="BJ2" s="464"/>
      <c r="BK2" s="464"/>
      <c r="BL2" s="464"/>
      <c r="BM2" s="464"/>
      <c r="BN2" s="464"/>
      <c r="BO2" s="464"/>
      <c r="BP2" s="464"/>
      <c r="BQ2" s="464"/>
      <c r="BR2" s="464"/>
      <c r="BS2" s="464"/>
    </row>
    <row r="3" spans="1:110" s="227" customFormat="1" ht="13.15">
      <c r="A3" s="465" t="s">
        <v>1151</v>
      </c>
      <c r="B3" s="466"/>
      <c r="C3" s="467"/>
      <c r="D3" s="468"/>
      <c r="E3" s="468"/>
      <c r="F3" s="468"/>
      <c r="G3" s="468"/>
      <c r="H3" s="468"/>
      <c r="I3" s="468"/>
      <c r="J3" s="469" t="s">
        <v>1152</v>
      </c>
      <c r="K3" s="469" t="s">
        <v>1152</v>
      </c>
      <c r="L3" s="469" t="s">
        <v>1152</v>
      </c>
      <c r="M3" s="469" t="s">
        <v>1152</v>
      </c>
      <c r="N3" s="469" t="s">
        <v>1152</v>
      </c>
      <c r="O3" s="469" t="s">
        <v>1152</v>
      </c>
      <c r="P3" s="469" t="s">
        <v>1152</v>
      </c>
      <c r="Q3" s="470" t="s">
        <v>1152</v>
      </c>
      <c r="R3" s="469" t="s">
        <v>1153</v>
      </c>
      <c r="S3" s="469" t="s">
        <v>1153</v>
      </c>
      <c r="T3" s="469" t="s">
        <v>1153</v>
      </c>
      <c r="U3" s="469" t="s">
        <v>1153</v>
      </c>
      <c r="V3" s="469" t="s">
        <v>1153</v>
      </c>
      <c r="W3" s="469" t="s">
        <v>1153</v>
      </c>
      <c r="X3" s="469" t="s">
        <v>1153</v>
      </c>
      <c r="Y3" s="469" t="s">
        <v>1153</v>
      </c>
      <c r="Z3" s="469" t="s">
        <v>1153</v>
      </c>
      <c r="AA3" s="469" t="s">
        <v>1153</v>
      </c>
      <c r="AB3" s="469" t="s">
        <v>1153</v>
      </c>
      <c r="AC3" s="469" t="s">
        <v>1153</v>
      </c>
      <c r="AD3" s="469" t="s">
        <v>1153</v>
      </c>
      <c r="AE3" s="469" t="s">
        <v>1153</v>
      </c>
      <c r="AF3" s="469" t="s">
        <v>1153</v>
      </c>
      <c r="AG3" s="469" t="s">
        <v>1153</v>
      </c>
      <c r="AH3" s="469" t="s">
        <v>1153</v>
      </c>
      <c r="AI3" s="469" t="s">
        <v>1153</v>
      </c>
      <c r="AJ3" s="469" t="s">
        <v>1153</v>
      </c>
      <c r="AK3" s="470" t="s">
        <v>1153</v>
      </c>
      <c r="AL3" s="469" t="s">
        <v>1154</v>
      </c>
      <c r="AM3" s="469" t="s">
        <v>1154</v>
      </c>
      <c r="AN3" s="469" t="s">
        <v>1154</v>
      </c>
      <c r="AO3" s="470" t="s">
        <v>1154</v>
      </c>
      <c r="AP3" s="469" t="s">
        <v>1155</v>
      </c>
      <c r="AQ3" s="469" t="s">
        <v>1155</v>
      </c>
      <c r="AR3" s="469" t="s">
        <v>1155</v>
      </c>
      <c r="AS3" s="469" t="s">
        <v>1155</v>
      </c>
      <c r="AT3" s="469" t="s">
        <v>1155</v>
      </c>
      <c r="AU3" s="469" t="s">
        <v>1155</v>
      </c>
      <c r="AV3" s="469" t="s">
        <v>1155</v>
      </c>
      <c r="AW3" s="469" t="s">
        <v>1155</v>
      </c>
      <c r="AX3" s="469" t="s">
        <v>1155</v>
      </c>
      <c r="AY3" s="469" t="s">
        <v>1155</v>
      </c>
      <c r="AZ3" s="469" t="s">
        <v>1155</v>
      </c>
      <c r="BA3" s="469" t="s">
        <v>1155</v>
      </c>
      <c r="BB3" s="469" t="s">
        <v>1155</v>
      </c>
      <c r="BC3" s="469" t="s">
        <v>1155</v>
      </c>
      <c r="BD3" s="468"/>
      <c r="BE3" s="468"/>
      <c r="BF3" s="468"/>
      <c r="BG3" s="468"/>
      <c r="BH3" s="468"/>
      <c r="BI3" s="468"/>
      <c r="BJ3" s="468"/>
      <c r="BK3" s="468"/>
      <c r="BL3" s="468"/>
      <c r="BM3" s="468"/>
      <c r="BN3" s="468"/>
      <c r="BO3" s="468"/>
      <c r="BP3" s="468"/>
      <c r="BQ3" s="468"/>
      <c r="BR3" s="468"/>
      <c r="BS3" s="468"/>
    </row>
    <row r="4" spans="1:110" s="202" customFormat="1" ht="13.15">
      <c r="A4" s="453"/>
      <c r="B4" s="453"/>
      <c r="C4" s="453"/>
      <c r="D4" s="453"/>
      <c r="E4" s="453"/>
      <c r="F4" s="453"/>
      <c r="G4" s="453"/>
      <c r="H4" s="453"/>
      <c r="I4" s="453"/>
      <c r="J4" s="471"/>
      <c r="K4" s="471"/>
      <c r="L4" s="471"/>
      <c r="M4" s="471"/>
      <c r="N4" s="471"/>
      <c r="O4" s="471"/>
      <c r="P4" s="471"/>
      <c r="Q4" s="472"/>
      <c r="R4" s="455"/>
      <c r="S4" s="455"/>
      <c r="T4" s="455"/>
      <c r="U4" s="455"/>
      <c r="V4" s="455"/>
      <c r="W4" s="455"/>
      <c r="X4" s="455"/>
      <c r="Y4" s="455"/>
      <c r="Z4" s="455"/>
      <c r="AA4" s="455"/>
      <c r="AB4" s="455"/>
      <c r="AC4" s="455"/>
      <c r="AD4" s="455"/>
      <c r="AE4" s="455"/>
      <c r="AF4" s="455"/>
      <c r="AG4" s="455"/>
      <c r="AH4" s="455"/>
      <c r="AI4" s="455"/>
      <c r="AJ4" s="455"/>
      <c r="AK4" s="472"/>
      <c r="AL4" s="455"/>
      <c r="AM4" s="455"/>
      <c r="AN4" s="455"/>
      <c r="AO4" s="472"/>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row>
    <row r="5" spans="1:110" s="202" customFormat="1" ht="13.15">
      <c r="A5" s="453"/>
      <c r="B5" s="473" t="s">
        <v>1156</v>
      </c>
      <c r="C5" s="453"/>
      <c r="D5" s="453"/>
      <c r="E5" s="453"/>
      <c r="F5" s="453"/>
      <c r="G5" s="453"/>
      <c r="H5" s="453"/>
      <c r="I5" s="453"/>
      <c r="J5" s="471"/>
      <c r="K5" s="474"/>
      <c r="L5" s="474"/>
      <c r="M5" s="474"/>
      <c r="N5" s="474"/>
      <c r="O5" s="474"/>
      <c r="P5" s="474"/>
      <c r="Q5" s="475"/>
      <c r="R5" s="455"/>
      <c r="S5" s="455"/>
      <c r="T5" s="455"/>
      <c r="U5" s="455"/>
      <c r="V5" s="455"/>
      <c r="W5" s="455"/>
      <c r="X5" s="455"/>
      <c r="Y5" s="455"/>
      <c r="Z5" s="455"/>
      <c r="AA5" s="455"/>
      <c r="AB5" s="455"/>
      <c r="AC5" s="455"/>
      <c r="AD5" s="455"/>
      <c r="AE5" s="455"/>
      <c r="AF5" s="455"/>
      <c r="AG5" s="455"/>
      <c r="AH5" s="455"/>
      <c r="AI5" s="455"/>
      <c r="AJ5" s="455"/>
      <c r="AK5" s="472"/>
      <c r="AL5" s="455"/>
      <c r="AM5" s="455"/>
      <c r="AN5" s="455"/>
      <c r="AO5" s="472"/>
      <c r="AP5" s="455"/>
      <c r="AQ5" s="455"/>
      <c r="AR5" s="455"/>
      <c r="AS5" s="455"/>
      <c r="AT5" s="455"/>
      <c r="AU5" s="455"/>
      <c r="AV5" s="455"/>
      <c r="AW5" s="455"/>
      <c r="AX5" s="455"/>
      <c r="AY5" s="455"/>
      <c r="AZ5" s="455"/>
      <c r="BA5" s="455"/>
      <c r="BB5" s="455"/>
      <c r="BC5" s="455"/>
      <c r="BD5" s="455"/>
      <c r="BE5" s="455"/>
      <c r="BF5" s="455"/>
      <c r="BG5" s="455"/>
      <c r="BH5" s="455"/>
      <c r="BI5" s="455"/>
      <c r="BJ5" s="455"/>
      <c r="BK5" s="455"/>
      <c r="BL5" s="455"/>
      <c r="BM5" s="455"/>
      <c r="BN5" s="455"/>
      <c r="BO5" s="455"/>
      <c r="BP5" s="455"/>
      <c r="BQ5" s="455"/>
      <c r="BR5" s="455"/>
      <c r="BS5" s="455"/>
    </row>
    <row r="6" spans="1:110" s="202" customFormat="1" ht="13.15">
      <c r="A6" s="453"/>
      <c r="B6" s="453"/>
      <c r="C6" s="453"/>
      <c r="D6" s="453"/>
      <c r="E6" s="453"/>
      <c r="F6" s="453"/>
      <c r="G6" s="453"/>
      <c r="H6" s="453"/>
      <c r="I6" s="453"/>
      <c r="J6" s="471"/>
      <c r="K6" s="471"/>
      <c r="L6" s="471"/>
      <c r="M6" s="471"/>
      <c r="N6" s="471"/>
      <c r="O6" s="471"/>
      <c r="P6" s="471"/>
      <c r="Q6" s="472"/>
      <c r="R6" s="455"/>
      <c r="S6" s="455"/>
      <c r="T6" s="455"/>
      <c r="U6" s="455"/>
      <c r="V6" s="455"/>
      <c r="W6" s="455"/>
      <c r="X6" s="455"/>
      <c r="Y6" s="455"/>
      <c r="Z6" s="455"/>
      <c r="AA6" s="455"/>
      <c r="AB6" s="455"/>
      <c r="AC6" s="455"/>
      <c r="AD6" s="455"/>
      <c r="AE6" s="455"/>
      <c r="AF6" s="455"/>
      <c r="AG6" s="455"/>
      <c r="AH6" s="455"/>
      <c r="AI6" s="455"/>
      <c r="AJ6" s="455"/>
      <c r="AK6" s="472"/>
      <c r="AL6" s="455"/>
      <c r="AM6" s="455"/>
      <c r="AN6" s="455"/>
      <c r="AO6" s="472"/>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5"/>
    </row>
    <row r="7" spans="1:110" s="202" customFormat="1" ht="13.15">
      <c r="A7" s="453"/>
      <c r="B7" s="453"/>
      <c r="C7" s="453"/>
      <c r="D7" s="453"/>
      <c r="E7" s="453" t="s">
        <v>1157</v>
      </c>
      <c r="F7" s="453"/>
      <c r="G7" s="453" t="s">
        <v>1158</v>
      </c>
      <c r="H7" s="453"/>
      <c r="I7" s="453"/>
      <c r="J7" s="476">
        <f>IF('3A'!$F9="","",'3A'!$F9)</f>
        <v>3.0649999999999999</v>
      </c>
      <c r="K7" s="477">
        <f>'3A'!$F10</f>
        <v>5.6635957305140185E-2</v>
      </c>
      <c r="L7" s="478">
        <f>'3A'!$F11</f>
        <v>-4.404404404404394</v>
      </c>
      <c r="M7" s="478" t="str">
        <f>IF('3A'!$F12="","",'3A'!$F12)</f>
        <v/>
      </c>
      <c r="N7" s="478">
        <f>'3A'!$F13</f>
        <v>-1.2499999999999956</v>
      </c>
      <c r="O7" s="478" t="str">
        <f>IF('3A'!$F14="","",'3A'!$F14)</f>
        <v/>
      </c>
      <c r="P7" s="478">
        <f>'3A'!$F15</f>
        <v>121.09414139100812</v>
      </c>
      <c r="Q7" s="479">
        <f>'3A'!$F16</f>
        <v>5.6772736178501049</v>
      </c>
      <c r="R7" s="480">
        <f>IF(ISBLANK('3A'!$F19),"",'3A'!$F19)</f>
        <v>1</v>
      </c>
      <c r="S7" s="481">
        <f>IF(ISBLANK('3A'!$F20),"",'3A'!$F20)</f>
        <v>0.24</v>
      </c>
      <c r="T7" s="481">
        <f>IF(ISBLANK('3A'!$F21),"",'3A'!$F21)</f>
        <v>-19</v>
      </c>
      <c r="U7" s="480">
        <f>IF(ISBLANK('3A'!$F22),"",'3A'!$F22)</f>
        <v>0</v>
      </c>
      <c r="V7" s="481">
        <f>IF(ISBLANK('3A'!$F23),"",'3A'!$F23)</f>
        <v>2.97</v>
      </c>
      <c r="W7" s="481">
        <f>IF(ISBLANK('3A'!$F24),"",'3A'!$F24)</f>
        <v>0</v>
      </c>
      <c r="X7" s="481">
        <f>IF(ISBLANK('3A'!$F25),"",'3A'!$F25)</f>
        <v>173</v>
      </c>
      <c r="Y7" s="481">
        <f>IF(ISBLANK('3A'!$F26),"",'3A'!$F26)</f>
        <v>51</v>
      </c>
      <c r="Z7" s="481">
        <f>IF(ISBLANK('3A'!$F27),"",'3A'!$F27)</f>
        <v>0</v>
      </c>
      <c r="AA7" s="481" t="str">
        <f>IF(ISBLANK('3A'!$F28),"",'3A'!$F28)</f>
        <v/>
      </c>
      <c r="AB7" s="481" t="str">
        <f>IF(ISBLANK('3A'!$F29),"",'3A'!$F29)</f>
        <v/>
      </c>
      <c r="AC7" s="481" t="str">
        <f>IF(ISBLANK('3A'!$F30),"",'3A'!$F30)</f>
        <v/>
      </c>
      <c r="AD7" s="481" t="str">
        <f>IF(ISBLANK('3A'!$F31),"",'3A'!$F31)</f>
        <v/>
      </c>
      <c r="AE7" s="481" t="str">
        <f>IF(ISBLANK('3A'!$F32),"",'3A'!$F32)</f>
        <v/>
      </c>
      <c r="AF7" s="481" t="str">
        <f>IF(ISBLANK('3A'!$F33),"",'3A'!$F33)</f>
        <v/>
      </c>
      <c r="AG7" s="481" t="str">
        <f>IF(ISBLANK('3A'!$F34),"",'3A'!$F34)</f>
        <v/>
      </c>
      <c r="AH7" s="481" t="str">
        <f>IF(ISBLANK('3A'!$F35),"",'3A'!$F35)</f>
        <v/>
      </c>
      <c r="AI7" s="481" t="str">
        <f>IF(ISBLANK('3A'!$F36),"",'3A'!$F36)</f>
        <v/>
      </c>
      <c r="AJ7" s="481" t="str">
        <f>IF(ISBLANK('3A'!$F37),"",'3A'!$F37)</f>
        <v/>
      </c>
      <c r="AK7" s="482" t="str">
        <f>IF(ISBLANK('3A'!$F38),"",'3A'!$F38)</f>
        <v/>
      </c>
      <c r="AL7" s="478">
        <f>'3B'!$F9</f>
        <v>2.5721106095414079</v>
      </c>
      <c r="AM7" s="483">
        <f>'3B'!$F10</f>
        <v>58.899041002793929</v>
      </c>
      <c r="AN7" s="483">
        <f>'3B'!$F11</f>
        <v>5.8454697609352753</v>
      </c>
      <c r="AO7" s="484">
        <f>IF(ISBLANK('3B'!$F12),"",'3B'!$F12)</f>
        <v>99.36</v>
      </c>
      <c r="AP7" s="485">
        <f>IF(ISBLANK('3B'!$F15),"",'3B'!$F15)</f>
        <v>79</v>
      </c>
      <c r="AQ7" s="486">
        <f>IF(ISBLANK('3B'!$F16),"",'3B'!$F16)</f>
        <v>13.32</v>
      </c>
      <c r="AR7" s="486">
        <f>IF(ISBLANK('3B'!$F17),"",'3B'!$F17)</f>
        <v>100</v>
      </c>
      <c r="AS7" s="486">
        <f>IF(ISBLANK('3B'!$F18),"",'3B'!$F18)</f>
        <v>102.7</v>
      </c>
      <c r="AT7" s="486">
        <f>IF(ISBLANK('3B'!$F19),"",'3B'!$F19)</f>
        <v>48</v>
      </c>
      <c r="AU7" s="486">
        <f>IF(ISBLANK('3B'!$F20),"",'3B'!$F20)</f>
        <v>4</v>
      </c>
      <c r="AV7" s="486">
        <f>IF(ISBLANK('3B'!$F21),"",'3B'!$F21)</f>
        <v>4</v>
      </c>
      <c r="AW7" s="486">
        <f>IF(ISBLANK('3B'!$F22),"",'3B'!$F22)</f>
        <v>0</v>
      </c>
      <c r="AX7" s="486">
        <f>IF(ISBLANK('3B'!$F23),"",'3B'!$F23)</f>
        <v>3245</v>
      </c>
      <c r="AY7" s="486">
        <f>IF(ISBLANK('3B'!$F24),"",'3B'!$F24)</f>
        <v>0</v>
      </c>
      <c r="AZ7" s="486" t="str">
        <f>IF(ISBLANK('3B'!$F25),"",'3B'!$F25)</f>
        <v/>
      </c>
      <c r="BA7" s="486" t="str">
        <f>IF(ISBLANK('3B'!$F26),"",'3B'!$F26)</f>
        <v/>
      </c>
      <c r="BB7" s="486" t="str">
        <f>IF(ISBLANK('3B'!$F27),"",'3B'!$F27)</f>
        <v/>
      </c>
      <c r="BC7" s="487" t="str">
        <f>IF(ISBLANK('3B'!$F28),"",'3B'!$F28)</f>
        <v/>
      </c>
      <c r="BD7" s="478"/>
      <c r="BE7" s="481"/>
      <c r="BF7" s="481"/>
      <c r="BG7" s="481"/>
      <c r="BH7" s="1193"/>
      <c r="BI7" s="476"/>
      <c r="BJ7" s="481"/>
      <c r="BK7" s="1194"/>
      <c r="BL7" s="1194"/>
      <c r="BM7" s="481"/>
      <c r="BN7" s="481"/>
      <c r="BO7" s="481"/>
      <c r="BP7" s="481"/>
      <c r="BQ7" s="481"/>
      <c r="BR7" s="481"/>
      <c r="BS7" s="481"/>
    </row>
    <row r="8" spans="1:110" s="202" customFormat="1" ht="13.15">
      <c r="A8" s="453"/>
      <c r="B8" s="453"/>
      <c r="C8" s="453"/>
      <c r="D8" s="453"/>
      <c r="E8" s="453" t="s">
        <v>1159</v>
      </c>
      <c r="F8" s="453"/>
      <c r="G8" s="453" t="s">
        <v>1160</v>
      </c>
      <c r="H8" s="453"/>
      <c r="I8" s="453"/>
      <c r="J8" s="488"/>
      <c r="K8" s="488"/>
      <c r="L8" s="1356">
        <f>IF(OR('3A'!$R$1="NES",'3A'!$R$1="SSC"),'3F.1'!$G$18,'3F'!$G$18)</f>
        <v>99.9</v>
      </c>
      <c r="M8" s="1356" t="str">
        <f>IF(OR('3A'!$R$1="NES",'3A'!$R$1="SSC"),'3F.2'!$G$18,"")</f>
        <v/>
      </c>
      <c r="N8" s="1356">
        <f>IF('3A'!$R$1="SSC",'3F.1'!$G$19,'3F'!$G$19)</f>
        <v>128</v>
      </c>
      <c r="O8" s="1356" t="str">
        <f>IF('3A'!$R$1="SSC",'3F.2'!$G$19,"")</f>
        <v/>
      </c>
      <c r="P8" s="488"/>
      <c r="Q8" s="489"/>
      <c r="R8" s="488"/>
      <c r="S8" s="488"/>
      <c r="T8" s="488"/>
      <c r="U8" s="488"/>
      <c r="V8" s="488"/>
      <c r="W8" s="488"/>
      <c r="X8" s="488"/>
      <c r="Y8" s="488"/>
      <c r="Z8" s="488"/>
      <c r="AA8" s="488"/>
      <c r="AB8" s="488"/>
      <c r="AC8" s="488"/>
      <c r="AD8" s="488"/>
      <c r="AE8" s="488"/>
      <c r="AF8" s="488"/>
      <c r="AG8" s="488"/>
      <c r="AH8" s="488"/>
      <c r="AI8" s="488"/>
      <c r="AJ8" s="488"/>
      <c r="AK8" s="489"/>
      <c r="AL8" s="488"/>
      <c r="AM8" s="488"/>
      <c r="AN8" s="488"/>
      <c r="AO8" s="489"/>
      <c r="AP8" s="488"/>
      <c r="AQ8" s="488"/>
      <c r="AR8" s="488"/>
      <c r="AS8" s="488"/>
      <c r="AT8" s="488"/>
      <c r="AU8" s="488"/>
      <c r="AV8" s="488"/>
      <c r="AW8" s="488"/>
      <c r="AX8" s="488"/>
      <c r="AY8" s="488"/>
      <c r="AZ8" s="488"/>
      <c r="BA8" s="488"/>
      <c r="BB8" s="488"/>
      <c r="BC8" s="489"/>
      <c r="BD8" s="1195"/>
      <c r="BE8" s="1195"/>
      <c r="BF8" s="1195"/>
      <c r="BG8" s="1195"/>
      <c r="BH8" s="1195"/>
      <c r="BI8" s="1195"/>
      <c r="BJ8" s="1195"/>
      <c r="BK8" s="1195"/>
      <c r="BL8" s="1195"/>
      <c r="BM8" s="1195"/>
      <c r="BN8" s="1195"/>
      <c r="BO8" s="1195"/>
      <c r="BP8" s="1195"/>
      <c r="BQ8" s="1195"/>
      <c r="BR8" s="1195"/>
      <c r="BS8" s="1195"/>
    </row>
    <row r="9" spans="1:110" s="202" customFormat="1" ht="13.15">
      <c r="A9" s="453"/>
      <c r="B9" s="453"/>
      <c r="C9" s="453"/>
      <c r="D9" s="453"/>
      <c r="E9" s="453"/>
      <c r="F9" s="453"/>
      <c r="G9" s="453"/>
      <c r="H9" s="453"/>
      <c r="I9" s="453"/>
      <c r="J9" s="490"/>
      <c r="K9" s="490"/>
      <c r="L9" s="490"/>
      <c r="M9" s="490"/>
      <c r="N9" s="490"/>
      <c r="O9" s="490"/>
      <c r="P9" s="490"/>
      <c r="Q9" s="491"/>
      <c r="R9" s="490"/>
      <c r="S9" s="490"/>
      <c r="T9" s="490"/>
      <c r="U9" s="490"/>
      <c r="V9" s="490"/>
      <c r="W9" s="490"/>
      <c r="X9" s="490"/>
      <c r="Y9" s="490"/>
      <c r="Z9" s="490"/>
      <c r="AA9" s="490"/>
      <c r="AB9" s="490"/>
      <c r="AC9" s="490"/>
      <c r="AD9" s="490"/>
      <c r="AE9" s="490"/>
      <c r="AF9" s="490"/>
      <c r="AG9" s="490"/>
      <c r="AH9" s="490"/>
      <c r="AI9" s="490"/>
      <c r="AJ9" s="490"/>
      <c r="AK9" s="491"/>
      <c r="AL9" s="490"/>
      <c r="AM9" s="490"/>
      <c r="AN9" s="490"/>
      <c r="AO9" s="491"/>
      <c r="AP9" s="490"/>
      <c r="AQ9" s="490"/>
      <c r="AR9" s="490"/>
      <c r="AS9" s="490"/>
      <c r="AT9" s="490"/>
      <c r="AU9" s="490"/>
      <c r="AV9" s="490"/>
      <c r="AW9" s="490"/>
      <c r="AX9" s="490"/>
      <c r="AY9" s="490"/>
      <c r="AZ9" s="490"/>
      <c r="BA9" s="490"/>
      <c r="BB9" s="490"/>
      <c r="BC9" s="491"/>
      <c r="BD9" s="490"/>
      <c r="BE9" s="490"/>
      <c r="BF9" s="490"/>
      <c r="BG9" s="490"/>
      <c r="BH9" s="490"/>
      <c r="BI9" s="490"/>
      <c r="BJ9" s="490"/>
      <c r="BK9" s="490"/>
      <c r="BL9" s="490"/>
      <c r="BM9" s="490"/>
      <c r="BN9" s="490"/>
      <c r="BO9" s="490"/>
      <c r="BP9" s="490"/>
      <c r="BQ9" s="490"/>
      <c r="BR9" s="490"/>
      <c r="BS9" s="490"/>
    </row>
    <row r="10" spans="1:110" s="202" customFormat="1" ht="13.15">
      <c r="A10" s="453"/>
      <c r="B10" s="453"/>
      <c r="C10" s="453"/>
      <c r="D10" s="463"/>
      <c r="E10" s="453"/>
      <c r="F10" s="453"/>
      <c r="G10" s="453"/>
      <c r="H10" s="453"/>
      <c r="I10" s="453"/>
      <c r="J10" s="492"/>
      <c r="K10" s="492"/>
      <c r="L10" s="492"/>
      <c r="M10" s="492"/>
      <c r="N10" s="492"/>
      <c r="O10" s="492"/>
      <c r="P10" s="492"/>
      <c r="Q10" s="493"/>
      <c r="R10" s="492"/>
      <c r="S10" s="492"/>
      <c r="T10" s="492"/>
      <c r="U10" s="492"/>
      <c r="V10" s="492"/>
      <c r="W10" s="492"/>
      <c r="X10" s="492"/>
      <c r="Y10" s="492"/>
      <c r="Z10" s="492"/>
      <c r="AA10" s="492"/>
      <c r="AB10" s="492"/>
      <c r="AC10" s="492"/>
      <c r="AD10" s="492"/>
      <c r="AE10" s="492"/>
      <c r="AF10" s="492"/>
      <c r="AG10" s="492"/>
      <c r="AH10" s="492"/>
      <c r="AI10" s="492"/>
      <c r="AJ10" s="492"/>
      <c r="AK10" s="493"/>
      <c r="AL10" s="492"/>
      <c r="AM10" s="492"/>
      <c r="AN10" s="492"/>
      <c r="AO10" s="493"/>
      <c r="AP10" s="492"/>
      <c r="AQ10" s="492"/>
      <c r="AR10" s="492"/>
      <c r="AS10" s="492"/>
      <c r="AT10" s="492"/>
      <c r="AU10" s="492"/>
      <c r="AV10" s="492"/>
      <c r="AW10" s="492"/>
      <c r="AX10" s="492"/>
      <c r="AY10" s="492"/>
      <c r="AZ10" s="492"/>
      <c r="BA10" s="492"/>
      <c r="BB10" s="492"/>
      <c r="BC10" s="493"/>
      <c r="BD10" s="492"/>
      <c r="BE10" s="492"/>
      <c r="BF10" s="492"/>
      <c r="BG10" s="492"/>
      <c r="BH10" s="492"/>
      <c r="BI10" s="492"/>
      <c r="BJ10" s="492"/>
      <c r="BK10" s="492"/>
      <c r="BL10" s="492"/>
      <c r="BM10" s="492"/>
      <c r="BN10" s="492"/>
      <c r="BO10" s="492"/>
      <c r="BP10" s="492"/>
      <c r="BQ10" s="492"/>
      <c r="BR10" s="492"/>
      <c r="BS10" s="492"/>
    </row>
    <row r="11" spans="1:110" s="202" customFormat="1" ht="13.15">
      <c r="A11" s="453"/>
      <c r="B11" s="453"/>
      <c r="C11" s="453"/>
      <c r="D11" s="463"/>
      <c r="E11" s="453" t="s">
        <v>1161</v>
      </c>
      <c r="F11" s="453"/>
      <c r="G11" s="453" t="s">
        <v>418</v>
      </c>
      <c r="H11" s="453"/>
      <c r="I11" s="453"/>
      <c r="J11" s="494" t="b">
        <f>J$31=Validation!$F$6</f>
        <v>0</v>
      </c>
      <c r="K11" s="495" t="b">
        <f>K$31=Validation!$F$6</f>
        <v>1</v>
      </c>
      <c r="L11" s="494" t="b">
        <f>L$31=Validation!$F$6</f>
        <v>0</v>
      </c>
      <c r="M11" s="494" t="b">
        <f>M$31=Validation!$F$6</f>
        <v>0</v>
      </c>
      <c r="N11" s="494" t="b">
        <f>N$31=Validation!$F$6</f>
        <v>0</v>
      </c>
      <c r="O11" s="494" t="b">
        <f>O$31=Validation!$F$6</f>
        <v>0</v>
      </c>
      <c r="P11" s="494" t="b">
        <f>P$31=Validation!$F$6</f>
        <v>0</v>
      </c>
      <c r="Q11" s="496" t="b">
        <f>Q$31=Validation!$F$6</f>
        <v>0</v>
      </c>
      <c r="R11" s="494" t="b">
        <f>R$31=Validation!$F$6</f>
        <v>0</v>
      </c>
      <c r="S11" s="494" t="b">
        <f>S$31=Validation!$F$6</f>
        <v>0</v>
      </c>
      <c r="T11" s="494" t="b">
        <f>T$31=Validation!$F$6</f>
        <v>0</v>
      </c>
      <c r="U11" s="494" t="b">
        <f>U$31=Validation!$F$6</f>
        <v>0</v>
      </c>
      <c r="V11" s="494" t="b">
        <f>V$31=Validation!$F$6</f>
        <v>0</v>
      </c>
      <c r="W11" s="494" t="b">
        <f>W$31=Validation!$F$6</f>
        <v>0</v>
      </c>
      <c r="X11" s="494" t="b">
        <f>X$31=Validation!$F$6</f>
        <v>0</v>
      </c>
      <c r="Y11" s="494" t="b">
        <f>Y$31=Validation!$F$6</f>
        <v>0</v>
      </c>
      <c r="Z11" s="494" t="b">
        <f>Z$31=Validation!$F$6</f>
        <v>0</v>
      </c>
      <c r="AA11" s="494" t="b">
        <f>AA$31=Validation!$F$6</f>
        <v>0</v>
      </c>
      <c r="AB11" s="494" t="b">
        <f>AB$31=Validation!$F$6</f>
        <v>0</v>
      </c>
      <c r="AC11" s="494" t="b">
        <f>AC$31=Validation!$F$6</f>
        <v>0</v>
      </c>
      <c r="AD11" s="494" t="b">
        <f>AD$31=Validation!$F$6</f>
        <v>0</v>
      </c>
      <c r="AE11" s="494" t="b">
        <f>AE$31=Validation!$F$6</f>
        <v>0</v>
      </c>
      <c r="AF11" s="494" t="b">
        <f>AF$31=Validation!$F$6</f>
        <v>0</v>
      </c>
      <c r="AG11" s="494" t="b">
        <f>AG$31=Validation!$F$6</f>
        <v>0</v>
      </c>
      <c r="AH11" s="494" t="b">
        <f>AH$31=Validation!$F$6</f>
        <v>0</v>
      </c>
      <c r="AI11" s="494" t="b">
        <f>AI$31=Validation!$F$6</f>
        <v>0</v>
      </c>
      <c r="AJ11" s="494" t="b">
        <f>AJ$31=Validation!$F$6</f>
        <v>0</v>
      </c>
      <c r="AK11" s="496" t="b">
        <f>AK$31=Validation!$F$6</f>
        <v>0</v>
      </c>
      <c r="AL11" s="494" t="b">
        <f>AL$31=Validation!$F$6</f>
        <v>0</v>
      </c>
      <c r="AM11" s="494" t="b">
        <f>AM$31=Validation!$F$6</f>
        <v>0</v>
      </c>
      <c r="AN11" s="494" t="b">
        <f>AN$31=Validation!$F$6</f>
        <v>0</v>
      </c>
      <c r="AO11" s="496" t="b">
        <f>AO$31=Validation!$F$6</f>
        <v>0</v>
      </c>
      <c r="AP11" s="494" t="b">
        <f>AP$31=Validation!$F$6</f>
        <v>0</v>
      </c>
      <c r="AQ11" s="494" t="b">
        <f>AQ$31=Validation!$F$6</f>
        <v>0</v>
      </c>
      <c r="AR11" s="494" t="b">
        <f>AR$31=Validation!$F$6</f>
        <v>0</v>
      </c>
      <c r="AS11" s="494" t="b">
        <f>AS$31=Validation!$F$6</f>
        <v>0</v>
      </c>
      <c r="AT11" s="494" t="b">
        <f>AT$31=Validation!$F$6</f>
        <v>0</v>
      </c>
      <c r="AU11" s="494" t="b">
        <f>AU$31=Validation!$F$6</f>
        <v>0</v>
      </c>
      <c r="AV11" s="494" t="b">
        <f>AV$31=Validation!$F$6</f>
        <v>0</v>
      </c>
      <c r="AW11" s="494" t="b">
        <f>AW$31=Validation!$F$6</f>
        <v>0</v>
      </c>
      <c r="AX11" s="494" t="b">
        <f>AX$31=Validation!$F$6</f>
        <v>0</v>
      </c>
      <c r="AY11" s="494" t="b">
        <f>AY$31=Validation!$F$6</f>
        <v>0</v>
      </c>
      <c r="AZ11" s="494" t="b">
        <f>AZ$31=Validation!$F$6</f>
        <v>0</v>
      </c>
      <c r="BA11" s="494" t="b">
        <f>BA$31=Validation!$F$6</f>
        <v>0</v>
      </c>
      <c r="BB11" s="494" t="b">
        <f>BB$31=Validation!$F$6</f>
        <v>0</v>
      </c>
      <c r="BC11" s="496" t="b">
        <f>BC$31=Validation!$F$6</f>
        <v>0</v>
      </c>
      <c r="BD11" s="494" t="b">
        <f>BD$31=Validation!$F$6</f>
        <v>0</v>
      </c>
      <c r="BE11" s="494" t="b">
        <f>BE$31=Validation!$F$6</f>
        <v>0</v>
      </c>
      <c r="BF11" s="494" t="b">
        <f>BF$31=Validation!$F$6</f>
        <v>0</v>
      </c>
      <c r="BG11" s="494" t="b">
        <f>BG$31=Validation!$F$6</f>
        <v>0</v>
      </c>
      <c r="BH11" s="494" t="b">
        <f>BH$31=Validation!$F$6</f>
        <v>0</v>
      </c>
      <c r="BI11" s="494" t="b">
        <f>BI$31=Validation!$F$6</f>
        <v>0</v>
      </c>
      <c r="BJ11" s="494" t="b">
        <f>BJ$31=Validation!$F$6</f>
        <v>0</v>
      </c>
      <c r="BK11" s="494" t="b">
        <f>BK$31=Validation!$F$6</f>
        <v>0</v>
      </c>
      <c r="BL11" s="494" t="b">
        <f>BL$31=Validation!$F$6</f>
        <v>0</v>
      </c>
      <c r="BM11" s="494" t="b">
        <f>BM$31=Validation!$F$6</f>
        <v>0</v>
      </c>
      <c r="BN11" s="494" t="b">
        <f>BN$31=Validation!$F$6</f>
        <v>0</v>
      </c>
      <c r="BO11" s="494" t="b">
        <f>BO$31=Validation!$F$6</f>
        <v>0</v>
      </c>
      <c r="BP11" s="494" t="b">
        <f>BP$31=Validation!$F$6</f>
        <v>0</v>
      </c>
      <c r="BQ11" s="494" t="b">
        <f>BQ$31=Validation!$F$6</f>
        <v>0</v>
      </c>
      <c r="BR11" s="494" t="b">
        <f>BR$31=Validation!$F$6</f>
        <v>0</v>
      </c>
      <c r="BS11" s="494" t="b">
        <f>BS$31=Validation!$F$6</f>
        <v>0</v>
      </c>
    </row>
    <row r="12" spans="1:110" s="202" customFormat="1" ht="13.15">
      <c r="A12" s="453"/>
      <c r="B12" s="453"/>
      <c r="C12" s="453"/>
      <c r="D12" s="453"/>
      <c r="E12" s="453"/>
      <c r="F12" s="453"/>
      <c r="G12" s="453"/>
      <c r="H12" s="453"/>
      <c r="I12" s="453"/>
      <c r="J12" s="497"/>
      <c r="K12" s="497"/>
      <c r="L12" s="497"/>
      <c r="M12" s="497"/>
      <c r="N12" s="497"/>
      <c r="O12" s="497"/>
      <c r="P12" s="497"/>
      <c r="Q12" s="498"/>
      <c r="R12" s="499"/>
      <c r="S12" s="499"/>
      <c r="T12" s="499"/>
      <c r="U12" s="499"/>
      <c r="V12" s="499"/>
      <c r="W12" s="499"/>
      <c r="X12" s="499"/>
      <c r="Y12" s="499"/>
      <c r="Z12" s="499"/>
      <c r="AA12" s="499"/>
      <c r="AB12" s="499"/>
      <c r="AC12" s="499"/>
      <c r="AD12" s="499"/>
      <c r="AE12" s="499"/>
      <c r="AF12" s="499"/>
      <c r="AG12" s="499"/>
      <c r="AH12" s="499"/>
      <c r="AI12" s="499"/>
      <c r="AJ12" s="499"/>
      <c r="AK12" s="498"/>
      <c r="AL12" s="499"/>
      <c r="AM12" s="499"/>
      <c r="AN12" s="499"/>
      <c r="AO12" s="498"/>
      <c r="AP12" s="499"/>
      <c r="AQ12" s="499"/>
      <c r="AR12" s="499"/>
      <c r="AS12" s="499"/>
      <c r="AT12" s="499"/>
      <c r="AU12" s="499"/>
      <c r="AV12" s="499"/>
      <c r="AW12" s="499"/>
      <c r="AX12" s="499"/>
      <c r="AY12" s="499"/>
      <c r="AZ12" s="499"/>
      <c r="BA12" s="499"/>
      <c r="BB12" s="499"/>
      <c r="BC12" s="498"/>
      <c r="BD12" s="499"/>
      <c r="BE12" s="499"/>
      <c r="BF12" s="499"/>
      <c r="BG12" s="499"/>
      <c r="BH12" s="499"/>
      <c r="BI12" s="499"/>
      <c r="BJ12" s="499"/>
      <c r="BK12" s="499"/>
      <c r="BL12" s="499"/>
      <c r="BM12" s="499"/>
      <c r="BN12" s="499"/>
      <c r="BO12" s="499"/>
      <c r="BP12" s="499"/>
      <c r="BQ12" s="499"/>
      <c r="BR12" s="499"/>
      <c r="BS12" s="499"/>
    </row>
    <row r="13" spans="1:110" s="202" customFormat="1" ht="13.15">
      <c r="A13" s="453"/>
      <c r="B13" s="453"/>
      <c r="C13" s="453"/>
      <c r="D13" s="453"/>
      <c r="E13" s="453"/>
      <c r="F13" s="453"/>
      <c r="G13" s="453"/>
      <c r="H13" s="453"/>
      <c r="I13" s="453"/>
      <c r="J13" s="497"/>
      <c r="K13" s="497"/>
      <c r="L13" s="497"/>
      <c r="M13" s="497"/>
      <c r="N13" s="497"/>
      <c r="O13" s="497"/>
      <c r="P13" s="497"/>
      <c r="Q13" s="498"/>
      <c r="R13" s="499"/>
      <c r="S13" s="499"/>
      <c r="T13" s="499"/>
      <c r="U13" s="499"/>
      <c r="V13" s="499"/>
      <c r="W13" s="499"/>
      <c r="X13" s="499"/>
      <c r="Y13" s="499"/>
      <c r="Z13" s="499"/>
      <c r="AA13" s="499"/>
      <c r="AB13" s="499"/>
      <c r="AC13" s="499"/>
      <c r="AD13" s="499"/>
      <c r="AE13" s="499"/>
      <c r="AF13" s="499"/>
      <c r="AG13" s="499"/>
      <c r="AH13" s="499"/>
      <c r="AI13" s="499"/>
      <c r="AJ13" s="499"/>
      <c r="AK13" s="498"/>
      <c r="AL13" s="499"/>
      <c r="AM13" s="499"/>
      <c r="AN13" s="499"/>
      <c r="AO13" s="498"/>
      <c r="AP13" s="499"/>
      <c r="AQ13" s="499"/>
      <c r="AR13" s="499"/>
      <c r="AS13" s="499"/>
      <c r="AT13" s="499"/>
      <c r="AU13" s="499"/>
      <c r="AV13" s="499"/>
      <c r="AW13" s="499"/>
      <c r="AX13" s="499"/>
      <c r="AY13" s="499"/>
      <c r="AZ13" s="499"/>
      <c r="BA13" s="499"/>
      <c r="BB13" s="499"/>
      <c r="BC13" s="498"/>
      <c r="BD13" s="499"/>
      <c r="BE13" s="499"/>
      <c r="BF13" s="499"/>
      <c r="BG13" s="499"/>
      <c r="BH13" s="499"/>
      <c r="BI13" s="499"/>
      <c r="BJ13" s="499"/>
      <c r="BK13" s="499"/>
      <c r="BL13" s="499"/>
      <c r="BM13" s="499"/>
      <c r="BN13" s="499"/>
      <c r="BO13" s="499"/>
      <c r="BP13" s="499"/>
      <c r="BQ13" s="499"/>
      <c r="BR13" s="499"/>
      <c r="BS13" s="499"/>
    </row>
    <row r="14" spans="1:110" s="202" customFormat="1" ht="13.15">
      <c r="A14" s="453"/>
      <c r="B14" s="453"/>
      <c r="C14" s="453"/>
      <c r="D14" s="453"/>
      <c r="E14" s="453"/>
      <c r="F14" s="453"/>
      <c r="G14" s="453"/>
      <c r="H14" s="453"/>
      <c r="I14" s="453"/>
      <c r="J14" s="490"/>
      <c r="K14" s="490"/>
      <c r="L14" s="490"/>
      <c r="M14" s="490"/>
      <c r="N14" s="490"/>
      <c r="O14" s="490"/>
      <c r="P14" s="490"/>
      <c r="Q14" s="491"/>
      <c r="R14" s="490"/>
      <c r="S14" s="490"/>
      <c r="T14" s="490"/>
      <c r="U14" s="490"/>
      <c r="V14" s="490"/>
      <c r="W14" s="490"/>
      <c r="X14" s="490"/>
      <c r="Y14" s="490"/>
      <c r="Z14" s="490"/>
      <c r="AA14" s="490"/>
      <c r="AB14" s="490"/>
      <c r="AC14" s="490"/>
      <c r="AD14" s="490"/>
      <c r="AE14" s="490"/>
      <c r="AF14" s="490"/>
      <c r="AG14" s="490"/>
      <c r="AH14" s="490"/>
      <c r="AI14" s="490"/>
      <c r="AJ14" s="490"/>
      <c r="AK14" s="491"/>
      <c r="AL14" s="490"/>
      <c r="AM14" s="490"/>
      <c r="AN14" s="490"/>
      <c r="AO14" s="491"/>
      <c r="AP14" s="490"/>
      <c r="AQ14" s="490"/>
      <c r="AR14" s="490"/>
      <c r="AS14" s="490"/>
      <c r="AT14" s="490"/>
      <c r="AU14" s="490"/>
      <c r="AV14" s="490"/>
      <c r="AW14" s="490"/>
      <c r="AX14" s="490"/>
      <c r="AY14" s="490"/>
      <c r="AZ14" s="490"/>
      <c r="BA14" s="490"/>
      <c r="BB14" s="490"/>
      <c r="BC14" s="491"/>
      <c r="BD14" s="490"/>
      <c r="BE14" s="490"/>
      <c r="BF14" s="490"/>
      <c r="BG14" s="490"/>
      <c r="BH14" s="490"/>
      <c r="BI14" s="490"/>
      <c r="BJ14" s="490"/>
      <c r="BK14" s="490"/>
      <c r="BL14" s="490"/>
      <c r="BM14" s="490"/>
      <c r="BN14" s="490"/>
      <c r="BO14" s="490"/>
      <c r="BP14" s="490"/>
      <c r="BQ14" s="490"/>
      <c r="BR14" s="490"/>
      <c r="BS14" s="490"/>
    </row>
    <row r="15" spans="1:110" s="202" customFormat="1" ht="13.15">
      <c r="A15" s="453"/>
      <c r="B15" s="473" t="s">
        <v>1162</v>
      </c>
      <c r="C15" s="453"/>
      <c r="D15" s="453"/>
      <c r="E15" s="453"/>
      <c r="F15" s="453"/>
      <c r="G15" s="453"/>
      <c r="H15" s="453"/>
      <c r="I15" s="453"/>
      <c r="J15" s="490"/>
      <c r="K15" s="490"/>
      <c r="L15" s="490"/>
      <c r="M15" s="490"/>
      <c r="N15" s="490"/>
      <c r="O15" s="490"/>
      <c r="P15" s="490"/>
      <c r="Q15" s="491"/>
      <c r="R15" s="490"/>
      <c r="S15" s="490"/>
      <c r="T15" s="490"/>
      <c r="U15" s="490"/>
      <c r="V15" s="490"/>
      <c r="W15" s="490"/>
      <c r="X15" s="490"/>
      <c r="Y15" s="490"/>
      <c r="Z15" s="490"/>
      <c r="AA15" s="490"/>
      <c r="AB15" s="490"/>
      <c r="AC15" s="490"/>
      <c r="AD15" s="490"/>
      <c r="AE15" s="490"/>
      <c r="AF15" s="490"/>
      <c r="AG15" s="490"/>
      <c r="AH15" s="490"/>
      <c r="AI15" s="490"/>
      <c r="AJ15" s="490"/>
      <c r="AK15" s="491"/>
      <c r="AL15" s="490"/>
      <c r="AM15" s="490"/>
      <c r="AN15" s="490"/>
      <c r="AO15" s="491"/>
      <c r="AP15" s="490"/>
      <c r="AQ15" s="490"/>
      <c r="AR15" s="490"/>
      <c r="AS15" s="490"/>
      <c r="AT15" s="490"/>
      <c r="AU15" s="490"/>
      <c r="AV15" s="490"/>
      <c r="AW15" s="490"/>
      <c r="AX15" s="490"/>
      <c r="AY15" s="490"/>
      <c r="AZ15" s="490"/>
      <c r="BA15" s="490"/>
      <c r="BB15" s="490"/>
      <c r="BC15" s="491"/>
      <c r="BD15" s="490"/>
      <c r="BE15" s="490"/>
      <c r="BF15" s="490"/>
      <c r="BG15" s="490"/>
      <c r="BH15" s="490"/>
      <c r="BI15" s="490"/>
      <c r="BJ15" s="490"/>
      <c r="BK15" s="490"/>
      <c r="BL15" s="490"/>
      <c r="BM15" s="490"/>
      <c r="BN15" s="490"/>
      <c r="BO15" s="490"/>
      <c r="BP15" s="490"/>
      <c r="BQ15" s="490"/>
      <c r="BR15" s="490"/>
      <c r="BS15" s="490"/>
    </row>
    <row r="16" spans="1:110" s="202" customFormat="1" ht="13.15">
      <c r="A16" s="453"/>
      <c r="B16" s="453"/>
      <c r="C16" s="453"/>
      <c r="D16" s="453"/>
      <c r="E16" s="453" t="s">
        <v>1163</v>
      </c>
      <c r="F16" s="453"/>
      <c r="G16" s="453" t="s">
        <v>1137</v>
      </c>
      <c r="H16" s="453"/>
      <c r="I16" s="453"/>
      <c r="J16" s="500" t="str">
        <f>'3A'!$C$9</f>
        <v>PR19SRN_WN02</v>
      </c>
      <c r="K16" s="500" t="str">
        <f>'3A'!$C$10</f>
        <v>PR19SRN_WN03</v>
      </c>
      <c r="L16" s="500" t="str">
        <f>'3A'!$C$11</f>
        <v>PR19SRN_WN04</v>
      </c>
      <c r="M16" s="500" t="str">
        <f>'3A'!$C$12</f>
        <v/>
      </c>
      <c r="N16" s="500" t="str">
        <f>'3A'!$C$13</f>
        <v>PR19SRN_WR01</v>
      </c>
      <c r="O16" s="500" t="str">
        <f>'3A'!$C$14</f>
        <v/>
      </c>
      <c r="P16" s="500" t="str">
        <f>'3A'!$C$15</f>
        <v>PR19SRN_WN05</v>
      </c>
      <c r="Q16" s="501" t="str">
        <f>'3A'!$C$16</f>
        <v>PR19SRN_WN06</v>
      </c>
      <c r="R16" s="500" t="str">
        <f>'3A'!$C$19</f>
        <v>PR19SRN_WN07</v>
      </c>
      <c r="S16" s="500" t="str">
        <f>'3A'!$C$20</f>
        <v>PR19SRN_WN08</v>
      </c>
      <c r="T16" s="500" t="str">
        <f>'3A'!$C$21</f>
        <v>PR19SRN_WR05</v>
      </c>
      <c r="U16" s="500" t="str">
        <f>'3A'!$C$22</f>
        <v>PR19SRN_RR02</v>
      </c>
      <c r="V16" s="500" t="str">
        <f>'3A'!$C$23</f>
        <v>PR19SRN_RR03</v>
      </c>
      <c r="W16" s="500" t="str">
        <f>'3A'!$C$24</f>
        <v>PR19SRN_WN09</v>
      </c>
      <c r="X16" s="500" t="str">
        <f>'3A'!$C$25</f>
        <v>PR19SRN_WN11</v>
      </c>
      <c r="Y16" s="500" t="str">
        <f>'3A'!$C$26</f>
        <v>PR19SRN_WN13</v>
      </c>
      <c r="Z16" s="500" t="str">
        <f>'3A'!$C$27</f>
        <v>PR19SRN_WR07</v>
      </c>
      <c r="AA16" s="500" t="str">
        <f>'3A'!$C$28</f>
        <v/>
      </c>
      <c r="AB16" s="500" t="str">
        <f>'3A'!$C$29</f>
        <v/>
      </c>
      <c r="AC16" s="500" t="str">
        <f>'3A'!$C$30</f>
        <v/>
      </c>
      <c r="AD16" s="500" t="str">
        <f>'3A'!$C$31</f>
        <v/>
      </c>
      <c r="AE16" s="500" t="str">
        <f>'3A'!$C$32</f>
        <v/>
      </c>
      <c r="AF16" s="500" t="str">
        <f>'3A'!$C$33</f>
        <v/>
      </c>
      <c r="AG16" s="500" t="str">
        <f>'3A'!$C$34</f>
        <v/>
      </c>
      <c r="AH16" s="500" t="str">
        <f>'3A'!$C$35</f>
        <v/>
      </c>
      <c r="AI16" s="500" t="str">
        <f>'3A'!$C$36</f>
        <v/>
      </c>
      <c r="AJ16" s="500" t="str">
        <f>'3A'!$C$37</f>
        <v/>
      </c>
      <c r="AK16" s="501" t="str">
        <f>'3A'!$C$38</f>
        <v/>
      </c>
      <c r="AL16" s="500" t="str">
        <f>'3B'!$C$9</f>
        <v>PR19SRN_WWN01</v>
      </c>
      <c r="AM16" s="500" t="str">
        <f>'3B'!$C$10</f>
        <v>PR19SRN_WWN02</v>
      </c>
      <c r="AN16" s="500" t="str">
        <f>'3B'!$C$11</f>
        <v>PR19SRN_WWN04</v>
      </c>
      <c r="AO16" s="501" t="str">
        <f>'3B'!$C$12</f>
        <v>PR19SRN_WWN05</v>
      </c>
      <c r="AP16" s="500" t="str">
        <f>'3B'!$C$15</f>
        <v>PR19SRN_WWN07</v>
      </c>
      <c r="AQ16" s="500" t="str">
        <f>'3B'!$C$16</f>
        <v>PR19SRN_BIO01</v>
      </c>
      <c r="AR16" s="500" t="str">
        <f>'3B'!$C$17</f>
        <v>PR19SRN_BIO02</v>
      </c>
      <c r="AS16" s="500" t="str">
        <f>'3B'!$C$18</f>
        <v>PR19SRN_WWN09</v>
      </c>
      <c r="AT16" s="500" t="str">
        <f>'3B'!$C$19</f>
        <v>PR19SRN_WWN11</v>
      </c>
      <c r="AU16" s="500" t="str">
        <f>'3B'!$C$20</f>
        <v>PR19SRN_WWN12</v>
      </c>
      <c r="AV16" s="500" t="str">
        <f>'3B'!$C$21</f>
        <v>PR19SRN_WWN13</v>
      </c>
      <c r="AW16" s="500" t="str">
        <f>'3B'!$C$22</f>
        <v>PR19SRN_WWN06</v>
      </c>
      <c r="AX16" s="500" t="str">
        <f>'3B'!$C$23</f>
        <v>PR19SRN_WWN08</v>
      </c>
      <c r="AY16" s="500" t="str">
        <f>'3B'!$C$24</f>
        <v>PR19SRN_WWN16</v>
      </c>
      <c r="AZ16" s="500" t="str">
        <f>'3B'!$C$25</f>
        <v/>
      </c>
      <c r="BA16" s="500" t="str">
        <f>'3B'!$C$26</f>
        <v/>
      </c>
      <c r="BB16" s="500" t="str">
        <f>'3B'!$C$27</f>
        <v/>
      </c>
      <c r="BC16" s="501" t="str">
        <f>'3B'!$C$28</f>
        <v/>
      </c>
      <c r="BD16" s="500"/>
      <c r="BE16" s="500"/>
      <c r="BF16" s="500"/>
      <c r="BG16" s="500"/>
      <c r="BH16" s="500"/>
      <c r="BI16" s="500"/>
      <c r="BJ16" s="500"/>
      <c r="BK16" s="500"/>
      <c r="BL16" s="500"/>
      <c r="BM16" s="500"/>
      <c r="BN16" s="500"/>
      <c r="BO16" s="500"/>
      <c r="BP16" s="1197"/>
      <c r="BQ16" s="1197"/>
      <c r="BR16" s="1197"/>
      <c r="BS16" s="1197"/>
    </row>
    <row r="17" spans="1:71" s="217" customFormat="1" ht="39.4">
      <c r="A17" s="502"/>
      <c r="B17" s="502"/>
      <c r="C17" s="502"/>
      <c r="D17" s="502"/>
      <c r="E17" s="502" t="s">
        <v>1164</v>
      </c>
      <c r="F17" s="502"/>
      <c r="G17" s="502" t="s">
        <v>1137</v>
      </c>
      <c r="H17" s="502"/>
      <c r="I17" s="502"/>
      <c r="J17" s="503" t="str">
        <f>'3A'!$B$9</f>
        <v>Water quality compliance (CRI)</v>
      </c>
      <c r="K17" s="503" t="str">
        <f>'3A'!$B$10</f>
        <v>Water supply interruptions</v>
      </c>
      <c r="L17" s="503" t="str">
        <f>'3A'!$B$11</f>
        <v>Leakage</v>
      </c>
      <c r="M17" s="503" t="str">
        <f>'3A'!$B$12</f>
        <v>[For use by NES and SSC only]</v>
      </c>
      <c r="N17" s="503" t="str">
        <f>'3A'!$B$13</f>
        <v>Per capita consumption</v>
      </c>
      <c r="O17" s="503" t="str">
        <f>'3A'!$B$14</f>
        <v>[For use by SSC only]</v>
      </c>
      <c r="P17" s="503" t="str">
        <f>'3A'!$B$15</f>
        <v>Mains repairs</v>
      </c>
      <c r="Q17" s="504" t="str">
        <f>'3A'!$B$16</f>
        <v>Unplanned outage</v>
      </c>
      <c r="R17" s="503" t="str">
        <f>'3A'!$B$19</f>
        <v>Drinking water appearance</v>
      </c>
      <c r="S17" s="503" t="str">
        <f>'3A'!$B$20</f>
        <v>Drinking water taste and Odour</v>
      </c>
      <c r="T17" s="503" t="str">
        <f>'3A'!$B$21</f>
        <v>Abstraction Incentive Mechanism</v>
      </c>
      <c r="U17" s="503" t="str">
        <f>'3A'!$B$22</f>
        <v>Access to daily water consumption data</v>
      </c>
      <c r="V17" s="503" t="str">
        <f>'3A'!$B$23</f>
        <v>Void properties</v>
      </c>
      <c r="W17" s="503" t="str">
        <f>'3A'!$B$24</f>
        <v>Replace lead customer pipes</v>
      </c>
      <c r="X17" s="503" t="str">
        <f>'3A'!$B$25</f>
        <v>Properties at risk of receiving low pressure</v>
      </c>
      <c r="Y17" s="503" t="str">
        <f>'3A'!$B$26</f>
        <v>Long term supply demand schemes</v>
      </c>
      <c r="Z17" s="503" t="str">
        <f>'3A'!$B$27</f>
        <v>Impounding reservoirs</v>
      </c>
      <c r="AA17" s="503" t="str">
        <f>'3A'!$B$28</f>
        <v/>
      </c>
      <c r="AB17" s="503" t="str">
        <f>'3A'!$B$29</f>
        <v/>
      </c>
      <c r="AC17" s="503" t="str">
        <f>'3A'!$B$30</f>
        <v/>
      </c>
      <c r="AD17" s="503" t="str">
        <f>'3A'!$B$31</f>
        <v/>
      </c>
      <c r="AE17" s="503" t="str">
        <f>'3A'!$B$32</f>
        <v/>
      </c>
      <c r="AF17" s="503" t="str">
        <f>'3A'!$B$33</f>
        <v/>
      </c>
      <c r="AG17" s="503" t="str">
        <f>'3A'!$B$34</f>
        <v/>
      </c>
      <c r="AH17" s="503" t="str">
        <f>'3A'!$B$35</f>
        <v/>
      </c>
      <c r="AI17" s="503" t="str">
        <f>'3A'!$B$36</f>
        <v/>
      </c>
      <c r="AJ17" s="503" t="str">
        <f>'3A'!$B$37</f>
        <v/>
      </c>
      <c r="AK17" s="504" t="str">
        <f>'3A'!$B$38</f>
        <v/>
      </c>
      <c r="AL17" s="503" t="str">
        <f>'3B'!$B$9</f>
        <v>Internal sewer flooding</v>
      </c>
      <c r="AM17" s="503" t="str">
        <f>'3B'!$B$10</f>
        <v>Pollution incidents</v>
      </c>
      <c r="AN17" s="503" t="str">
        <f>'3B'!$B$11</f>
        <v>Sewer collapses</v>
      </c>
      <c r="AO17" s="504" t="str">
        <f>'3B'!$B$12</f>
        <v>Treatment works compliance</v>
      </c>
      <c r="AP17" s="503" t="str">
        <f>'3B'!$B$15</f>
        <v>Effluent re-use</v>
      </c>
      <c r="AQ17" s="503" t="str">
        <f>'3B'!$B$16</f>
        <v xml:space="preserve">Renewable Generation </v>
      </c>
      <c r="AR17" s="503" t="str">
        <f>'3B'!$B$17</f>
        <v>Satisfactory bioresources recycling</v>
      </c>
      <c r="AS17" s="503" t="str">
        <f>'3B'!$B$18</f>
        <v>River water quality</v>
      </c>
      <c r="AT17" s="503" t="str">
        <f>'3B'!$B$19</f>
        <v>Maintain Bathing waters at ‘Excellent’.</v>
      </c>
      <c r="AU17" s="503" t="str">
        <f>'3B'!$B$20</f>
        <v>Improve the number of Bathing waters to at least ‘Good’ (Cost Adjustment Claim).</v>
      </c>
      <c r="AV17" s="503" t="str">
        <f>'3B'!$B$21</f>
        <v>Improve the bathing waters at ‘Excellent’ quality (Cost Adjustment Claim).</v>
      </c>
      <c r="AW17" s="503" t="str">
        <f>'3B'!$B$22</f>
        <v>Surface water management</v>
      </c>
      <c r="AX17" s="503" t="str">
        <f>'3B'!$B$23</f>
        <v>External sewer flooding</v>
      </c>
      <c r="AY17" s="503" t="str">
        <f>'3B'!$B$24</f>
        <v>Thanet Sewers</v>
      </c>
      <c r="AZ17" s="503" t="str">
        <f>'3B'!$B$25</f>
        <v/>
      </c>
      <c r="BA17" s="503" t="str">
        <f>'3B'!$B$26</f>
        <v/>
      </c>
      <c r="BB17" s="503" t="str">
        <f>'3B'!$B$27</f>
        <v/>
      </c>
      <c r="BC17" s="504" t="str">
        <f>'3B'!$B$28</f>
        <v/>
      </c>
      <c r="BD17" s="503"/>
      <c r="BE17" s="503"/>
      <c r="BF17" s="503"/>
      <c r="BG17" s="503"/>
      <c r="BH17" s="503"/>
      <c r="BI17" s="503"/>
      <c r="BJ17" s="503"/>
      <c r="BK17" s="503"/>
      <c r="BL17" s="503"/>
      <c r="BM17" s="503"/>
      <c r="BN17" s="503"/>
      <c r="BO17" s="503"/>
      <c r="BP17" s="1198"/>
      <c r="BQ17" s="1198"/>
      <c r="BR17" s="1198"/>
      <c r="BS17" s="1198"/>
    </row>
    <row r="18" spans="1:71" s="202" customFormat="1" ht="13.15">
      <c r="A18" s="453"/>
      <c r="B18" s="453"/>
      <c r="C18" s="453"/>
      <c r="D18" s="453"/>
      <c r="E18" s="453"/>
      <c r="F18" s="453"/>
      <c r="G18" s="453"/>
      <c r="H18" s="453"/>
      <c r="I18" s="453"/>
      <c r="J18" s="494"/>
      <c r="K18" s="494"/>
      <c r="L18" s="494"/>
      <c r="M18" s="494"/>
      <c r="N18" s="494"/>
      <c r="O18" s="494"/>
      <c r="P18" s="494"/>
      <c r="Q18" s="496"/>
      <c r="R18" s="494"/>
      <c r="S18" s="494"/>
      <c r="T18" s="494"/>
      <c r="U18" s="494"/>
      <c r="V18" s="494"/>
      <c r="W18" s="494"/>
      <c r="X18" s="494"/>
      <c r="Y18" s="494"/>
      <c r="Z18" s="494"/>
      <c r="AA18" s="494"/>
      <c r="AB18" s="494"/>
      <c r="AC18" s="494"/>
      <c r="AD18" s="494"/>
      <c r="AE18" s="494"/>
      <c r="AF18" s="494"/>
      <c r="AG18" s="494"/>
      <c r="AH18" s="494"/>
      <c r="AI18" s="494"/>
      <c r="AJ18" s="494"/>
      <c r="AK18" s="496"/>
      <c r="AL18" s="494"/>
      <c r="AM18" s="494"/>
      <c r="AN18" s="494"/>
      <c r="AO18" s="496"/>
      <c r="AP18" s="494"/>
      <c r="AQ18" s="494"/>
      <c r="AR18" s="494"/>
      <c r="AS18" s="494"/>
      <c r="AT18" s="494"/>
      <c r="AU18" s="494"/>
      <c r="AV18" s="494"/>
      <c r="AW18" s="494"/>
      <c r="AX18" s="494"/>
      <c r="AY18" s="494"/>
      <c r="AZ18" s="494"/>
      <c r="BA18" s="494"/>
      <c r="BB18" s="494"/>
      <c r="BC18" s="496"/>
      <c r="BD18" s="494"/>
      <c r="BE18" s="494"/>
      <c r="BF18" s="494"/>
      <c r="BG18" s="494"/>
      <c r="BH18" s="494"/>
      <c r="BI18" s="494"/>
      <c r="BJ18" s="494"/>
      <c r="BK18" s="494"/>
      <c r="BL18" s="494"/>
      <c r="BM18" s="494"/>
      <c r="BN18" s="494"/>
      <c r="BO18" s="494"/>
      <c r="BP18" s="494"/>
      <c r="BQ18" s="494"/>
      <c r="BR18" s="494"/>
      <c r="BS18" s="494"/>
    </row>
    <row r="19" spans="1:71" s="202" customFormat="1" ht="13.15">
      <c r="A19" s="453"/>
      <c r="B19" s="453"/>
      <c r="C19" s="453"/>
      <c r="D19" s="453"/>
      <c r="E19" s="453" t="s">
        <v>1165</v>
      </c>
      <c r="F19" s="453"/>
      <c r="G19" s="453" t="s">
        <v>418</v>
      </c>
      <c r="H19" s="453"/>
      <c r="I19" s="453"/>
      <c r="J19" s="505" t="b">
        <v>0</v>
      </c>
      <c r="K19" s="505" t="b">
        <v>1</v>
      </c>
      <c r="L19" s="505" t="b">
        <v>0</v>
      </c>
      <c r="M19" s="505" t="b">
        <v>0</v>
      </c>
      <c r="N19" s="505" t="b">
        <v>0</v>
      </c>
      <c r="O19" s="505" t="b">
        <v>0</v>
      </c>
      <c r="P19" s="505" t="b">
        <v>0</v>
      </c>
      <c r="Q19" s="506" t="b">
        <v>0</v>
      </c>
      <c r="R19" s="505" t="b">
        <v>0</v>
      </c>
      <c r="S19" s="505" t="b">
        <v>0</v>
      </c>
      <c r="T19" s="505" t="b">
        <v>0</v>
      </c>
      <c r="U19" s="505" t="b">
        <v>0</v>
      </c>
      <c r="V19" s="505" t="b">
        <v>0</v>
      </c>
      <c r="W19" s="505" t="b">
        <v>0</v>
      </c>
      <c r="X19" s="505" t="b">
        <v>0</v>
      </c>
      <c r="Y19" s="505" t="b">
        <v>0</v>
      </c>
      <c r="Z19" s="505" t="b">
        <v>0</v>
      </c>
      <c r="AA19" s="505" t="b">
        <v>0</v>
      </c>
      <c r="AB19" s="505" t="b">
        <v>0</v>
      </c>
      <c r="AC19" s="505" t="b">
        <v>0</v>
      </c>
      <c r="AD19" s="505" t="b">
        <v>0</v>
      </c>
      <c r="AE19" s="505" t="b">
        <v>0</v>
      </c>
      <c r="AF19" s="505" t="b">
        <v>0</v>
      </c>
      <c r="AG19" s="505" t="b">
        <v>0</v>
      </c>
      <c r="AH19" s="505" t="b">
        <v>0</v>
      </c>
      <c r="AI19" s="505" t="b">
        <v>0</v>
      </c>
      <c r="AJ19" s="505" t="b">
        <v>0</v>
      </c>
      <c r="AK19" s="506" t="b">
        <v>0</v>
      </c>
      <c r="AL19" s="505" t="b">
        <v>0</v>
      </c>
      <c r="AM19" s="505" t="b">
        <v>0</v>
      </c>
      <c r="AN19" s="505" t="b">
        <v>0</v>
      </c>
      <c r="AO19" s="506" t="b">
        <v>0</v>
      </c>
      <c r="AP19" s="505" t="b">
        <v>0</v>
      </c>
      <c r="AQ19" s="505" t="b">
        <v>0</v>
      </c>
      <c r="AR19" s="505" t="b">
        <v>0</v>
      </c>
      <c r="AS19" s="505" t="b">
        <v>0</v>
      </c>
      <c r="AT19" s="505" t="b">
        <v>0</v>
      </c>
      <c r="AU19" s="505" t="b">
        <v>0</v>
      </c>
      <c r="AV19" s="505" t="b">
        <v>0</v>
      </c>
      <c r="AW19" s="505" t="b">
        <v>0</v>
      </c>
      <c r="AX19" s="505" t="b">
        <v>0</v>
      </c>
      <c r="AY19" s="505" t="b">
        <v>0</v>
      </c>
      <c r="AZ19" s="505" t="b">
        <v>0</v>
      </c>
      <c r="BA19" s="505" t="b">
        <v>0</v>
      </c>
      <c r="BB19" s="505" t="b">
        <v>0</v>
      </c>
      <c r="BC19" s="506" t="b">
        <v>0</v>
      </c>
      <c r="BD19" s="548" t="b">
        <v>0</v>
      </c>
      <c r="BE19" s="548" t="b">
        <v>0</v>
      </c>
      <c r="BF19" s="548" t="b">
        <v>0</v>
      </c>
      <c r="BG19" s="548" t="b">
        <v>0</v>
      </c>
      <c r="BH19" s="548" t="b">
        <v>0</v>
      </c>
      <c r="BI19" s="548" t="b">
        <v>0</v>
      </c>
      <c r="BJ19" s="548" t="b">
        <v>0</v>
      </c>
      <c r="BK19" s="548" t="b">
        <v>0</v>
      </c>
      <c r="BL19" s="548" t="b">
        <v>0</v>
      </c>
      <c r="BM19" s="548" t="b">
        <v>0</v>
      </c>
      <c r="BN19" s="548" t="b">
        <v>0</v>
      </c>
      <c r="BO19" s="548" t="b">
        <v>0</v>
      </c>
      <c r="BP19" s="548" t="b">
        <v>0</v>
      </c>
      <c r="BQ19" s="548" t="b">
        <v>0</v>
      </c>
      <c r="BR19" s="548" t="b">
        <v>0</v>
      </c>
      <c r="BS19" s="548" t="b">
        <v>0</v>
      </c>
    </row>
    <row r="20" spans="1:71" s="202" customFormat="1" ht="13.15">
      <c r="A20" s="453"/>
      <c r="B20" s="453"/>
      <c r="C20" s="453"/>
      <c r="D20" s="453"/>
      <c r="E20" s="453" t="s">
        <v>1166</v>
      </c>
      <c r="F20" s="453"/>
      <c r="G20" s="453" t="s">
        <v>418</v>
      </c>
      <c r="H20" s="453"/>
      <c r="I20" s="453"/>
      <c r="J20" s="505" t="b">
        <v>0</v>
      </c>
      <c r="K20" s="505" t="b">
        <v>0</v>
      </c>
      <c r="L20" s="505" t="b">
        <v>1</v>
      </c>
      <c r="M20" s="505" t="b">
        <v>1</v>
      </c>
      <c r="N20" s="505" t="b">
        <v>1</v>
      </c>
      <c r="O20" s="505" t="b">
        <v>1</v>
      </c>
      <c r="P20" s="505" t="b">
        <v>0</v>
      </c>
      <c r="Q20" s="506" t="b">
        <v>0</v>
      </c>
      <c r="R20" s="505" t="b">
        <v>0</v>
      </c>
      <c r="S20" s="505" t="b">
        <v>0</v>
      </c>
      <c r="T20" s="505" t="b">
        <v>0</v>
      </c>
      <c r="U20" s="505" t="b">
        <v>0</v>
      </c>
      <c r="V20" s="505" t="b">
        <v>0</v>
      </c>
      <c r="W20" s="505" t="b">
        <v>0</v>
      </c>
      <c r="X20" s="505" t="b">
        <v>0</v>
      </c>
      <c r="Y20" s="505" t="b">
        <v>0</v>
      </c>
      <c r="Z20" s="505" t="b">
        <v>0</v>
      </c>
      <c r="AA20" s="505" t="b">
        <v>0</v>
      </c>
      <c r="AB20" s="505" t="b">
        <v>0</v>
      </c>
      <c r="AC20" s="505" t="b">
        <v>0</v>
      </c>
      <c r="AD20" s="505" t="b">
        <v>0</v>
      </c>
      <c r="AE20" s="505" t="b">
        <v>0</v>
      </c>
      <c r="AF20" s="505" t="b">
        <v>0</v>
      </c>
      <c r="AG20" s="505" t="b">
        <v>0</v>
      </c>
      <c r="AH20" s="505" t="b">
        <v>0</v>
      </c>
      <c r="AI20" s="505" t="b">
        <v>0</v>
      </c>
      <c r="AJ20" s="505" t="b">
        <v>0</v>
      </c>
      <c r="AK20" s="506" t="b">
        <v>0</v>
      </c>
      <c r="AL20" s="505" t="b">
        <v>0</v>
      </c>
      <c r="AM20" s="505" t="b">
        <v>0</v>
      </c>
      <c r="AN20" s="505" t="b">
        <v>0</v>
      </c>
      <c r="AO20" s="506" t="b">
        <v>0</v>
      </c>
      <c r="AP20" s="505" t="b">
        <v>0</v>
      </c>
      <c r="AQ20" s="505" t="b">
        <v>0</v>
      </c>
      <c r="AR20" s="505" t="b">
        <v>0</v>
      </c>
      <c r="AS20" s="505" t="b">
        <v>0</v>
      </c>
      <c r="AT20" s="505" t="b">
        <v>0</v>
      </c>
      <c r="AU20" s="505" t="b">
        <v>0</v>
      </c>
      <c r="AV20" s="505" t="b">
        <v>0</v>
      </c>
      <c r="AW20" s="505" t="b">
        <v>0</v>
      </c>
      <c r="AX20" s="505" t="b">
        <v>0</v>
      </c>
      <c r="AY20" s="505" t="b">
        <v>0</v>
      </c>
      <c r="AZ20" s="505" t="b">
        <v>0</v>
      </c>
      <c r="BA20" s="505" t="b">
        <v>0</v>
      </c>
      <c r="BB20" s="505" t="b">
        <v>0</v>
      </c>
      <c r="BC20" s="506" t="b">
        <v>0</v>
      </c>
      <c r="BD20" s="548" t="b">
        <v>0</v>
      </c>
      <c r="BE20" s="548" t="b">
        <v>0</v>
      </c>
      <c r="BF20" s="548" t="b">
        <v>0</v>
      </c>
      <c r="BG20" s="548" t="b">
        <v>0</v>
      </c>
      <c r="BH20" s="548" t="b">
        <v>0</v>
      </c>
      <c r="BI20" s="548" t="b">
        <v>0</v>
      </c>
      <c r="BJ20" s="548" t="b">
        <v>0</v>
      </c>
      <c r="BK20" s="548" t="b">
        <v>0</v>
      </c>
      <c r="BL20" s="548" t="b">
        <v>0</v>
      </c>
      <c r="BM20" s="548" t="b">
        <v>0</v>
      </c>
      <c r="BN20" s="548" t="b">
        <v>0</v>
      </c>
      <c r="BO20" s="548" t="b">
        <v>0</v>
      </c>
      <c r="BP20" s="548" t="b">
        <v>0</v>
      </c>
      <c r="BQ20" s="548" t="b">
        <v>0</v>
      </c>
      <c r="BR20" s="548" t="b">
        <v>0</v>
      </c>
      <c r="BS20" s="548" t="b">
        <v>0</v>
      </c>
    </row>
    <row r="21" spans="1:71" s="202" customFormat="1" ht="13.15">
      <c r="A21" s="453"/>
      <c r="B21" s="453"/>
      <c r="C21" s="453"/>
      <c r="D21" s="453"/>
      <c r="E21" s="453"/>
      <c r="F21" s="453"/>
      <c r="G21" s="453"/>
      <c r="H21" s="453"/>
      <c r="I21" s="453"/>
      <c r="J21" s="494"/>
      <c r="K21" s="494"/>
      <c r="L21" s="494"/>
      <c r="M21" s="494"/>
      <c r="N21" s="494"/>
      <c r="O21" s="494"/>
      <c r="P21" s="494"/>
      <c r="Q21" s="496"/>
      <c r="R21" s="494"/>
      <c r="S21" s="494"/>
      <c r="T21" s="494"/>
      <c r="U21" s="494"/>
      <c r="V21" s="494"/>
      <c r="W21" s="494"/>
      <c r="X21" s="494"/>
      <c r="Y21" s="494"/>
      <c r="Z21" s="494"/>
      <c r="AA21" s="494"/>
      <c r="AB21" s="494"/>
      <c r="AC21" s="494"/>
      <c r="AD21" s="494"/>
      <c r="AE21" s="494"/>
      <c r="AF21" s="494"/>
      <c r="AG21" s="494"/>
      <c r="AH21" s="494"/>
      <c r="AI21" s="494"/>
      <c r="AJ21" s="494"/>
      <c r="AK21" s="496"/>
      <c r="AL21" s="494"/>
      <c r="AM21" s="494"/>
      <c r="AN21" s="494"/>
      <c r="AO21" s="496"/>
      <c r="AP21" s="494"/>
      <c r="AQ21" s="494"/>
      <c r="AR21" s="494"/>
      <c r="AS21" s="494"/>
      <c r="AT21" s="494"/>
      <c r="AU21" s="494"/>
      <c r="AV21" s="494"/>
      <c r="AW21" s="494"/>
      <c r="AX21" s="494"/>
      <c r="AY21" s="494"/>
      <c r="AZ21" s="494"/>
      <c r="BA21" s="494"/>
      <c r="BB21" s="494"/>
      <c r="BC21" s="496"/>
      <c r="BD21" s="494"/>
      <c r="BE21" s="494"/>
      <c r="BF21" s="494"/>
      <c r="BG21" s="494"/>
      <c r="BH21" s="494"/>
      <c r="BI21" s="494"/>
      <c r="BJ21" s="494"/>
      <c r="BK21" s="494"/>
      <c r="BL21" s="494"/>
      <c r="BM21" s="494"/>
      <c r="BN21" s="494"/>
      <c r="BO21" s="494"/>
      <c r="BP21" s="494"/>
      <c r="BQ21" s="494"/>
      <c r="BR21" s="494"/>
      <c r="BS21" s="494"/>
    </row>
    <row r="22" spans="1:71" s="202" customFormat="1" ht="13.15">
      <c r="A22" s="453"/>
      <c r="B22" s="453"/>
      <c r="C22" s="453"/>
      <c r="D22" s="463" t="s">
        <v>1167</v>
      </c>
      <c r="E22" s="453"/>
      <c r="F22" s="453"/>
      <c r="G22" s="453"/>
      <c r="H22" s="453"/>
      <c r="I22" s="453"/>
      <c r="J22" s="490"/>
      <c r="K22" s="490"/>
      <c r="L22" s="490"/>
      <c r="M22" s="490"/>
      <c r="N22" s="490"/>
      <c r="O22" s="490"/>
      <c r="P22" s="490"/>
      <c r="Q22" s="491"/>
      <c r="R22" s="490"/>
      <c r="S22" s="490"/>
      <c r="T22" s="490"/>
      <c r="U22" s="490"/>
      <c r="V22" s="490"/>
      <c r="W22" s="490"/>
      <c r="X22" s="490"/>
      <c r="Y22" s="490"/>
      <c r="Z22" s="490"/>
      <c r="AA22" s="490"/>
      <c r="AB22" s="490"/>
      <c r="AC22" s="490"/>
      <c r="AD22" s="490"/>
      <c r="AE22" s="490"/>
      <c r="AF22" s="490"/>
      <c r="AG22" s="490"/>
      <c r="AH22" s="490"/>
      <c r="AI22" s="490"/>
      <c r="AJ22" s="490"/>
      <c r="AK22" s="491"/>
      <c r="AL22" s="490"/>
      <c r="AM22" s="490"/>
      <c r="AN22" s="490"/>
      <c r="AO22" s="491"/>
      <c r="AP22" s="490"/>
      <c r="AQ22" s="490"/>
      <c r="AR22" s="490"/>
      <c r="AS22" s="490"/>
      <c r="AT22" s="490"/>
      <c r="AU22" s="490"/>
      <c r="AV22" s="490"/>
      <c r="AW22" s="490"/>
      <c r="AX22" s="490"/>
      <c r="AY22" s="490"/>
      <c r="AZ22" s="490"/>
      <c r="BA22" s="490"/>
      <c r="BB22" s="490"/>
      <c r="BC22" s="491"/>
      <c r="BD22" s="490"/>
      <c r="BE22" s="490"/>
      <c r="BF22" s="490"/>
      <c r="BG22" s="490"/>
      <c r="BH22" s="490"/>
      <c r="BI22" s="490"/>
      <c r="BJ22" s="490"/>
      <c r="BK22" s="490"/>
      <c r="BL22" s="490"/>
      <c r="BM22" s="490"/>
      <c r="BN22" s="490"/>
      <c r="BO22" s="490"/>
      <c r="BP22" s="490"/>
      <c r="BQ22" s="490"/>
      <c r="BR22" s="490"/>
      <c r="BS22" s="490"/>
    </row>
    <row r="23" spans="1:71" s="202" customFormat="1" ht="13.15">
      <c r="A23" s="453"/>
      <c r="B23" s="453"/>
      <c r="C23" s="453"/>
      <c r="D23" s="453"/>
      <c r="E23" s="453" t="s">
        <v>1168</v>
      </c>
      <c r="F23" s="453"/>
      <c r="G23" s="453" t="str">
        <f>InpCompany!$F$11</f>
        <v>£m (2017-18 prices)</v>
      </c>
      <c r="H23" s="453"/>
      <c r="I23" s="453"/>
      <c r="J23" s="488"/>
      <c r="K23" s="488"/>
      <c r="L23" s="488"/>
      <c r="M23" s="488"/>
      <c r="N23" s="488"/>
      <c r="O23" s="488"/>
      <c r="P23" s="488"/>
      <c r="Q23" s="489"/>
      <c r="R23" s="488"/>
      <c r="S23" s="488"/>
      <c r="T23" s="488"/>
      <c r="U23" s="488"/>
      <c r="V23" s="488"/>
      <c r="W23" s="488"/>
      <c r="X23" s="488"/>
      <c r="Y23" s="488"/>
      <c r="Z23" s="488"/>
      <c r="AA23" s="488"/>
      <c r="AB23" s="488"/>
      <c r="AC23" s="488"/>
      <c r="AD23" s="488"/>
      <c r="AE23" s="488"/>
      <c r="AF23" s="488"/>
      <c r="AG23" s="488"/>
      <c r="AH23" s="488"/>
      <c r="AI23" s="488"/>
      <c r="AJ23" s="488"/>
      <c r="AK23" s="489"/>
      <c r="AL23" s="488"/>
      <c r="AM23" s="488"/>
      <c r="AN23" s="488"/>
      <c r="AO23" s="489"/>
      <c r="AP23" s="488"/>
      <c r="AQ23" s="488"/>
      <c r="AR23" s="488"/>
      <c r="AS23" s="488"/>
      <c r="AT23" s="488"/>
      <c r="AU23" s="488"/>
      <c r="AV23" s="488"/>
      <c r="AW23" s="488"/>
      <c r="AX23" s="488"/>
      <c r="AY23" s="488"/>
      <c r="AZ23" s="488"/>
      <c r="BA23" s="488"/>
      <c r="BB23" s="488"/>
      <c r="BC23" s="489"/>
      <c r="BD23" s="1195"/>
      <c r="BE23" s="1195"/>
      <c r="BF23" s="1195"/>
      <c r="BG23" s="1195"/>
      <c r="BH23" s="1195"/>
      <c r="BI23" s="1195"/>
      <c r="BJ23" s="1195"/>
      <c r="BK23" s="1195"/>
      <c r="BL23" s="1195"/>
      <c r="BM23" s="1195"/>
      <c r="BN23" s="1195"/>
      <c r="BO23" s="1195"/>
      <c r="BP23" s="1195"/>
      <c r="BQ23" s="1195"/>
      <c r="BR23" s="1195"/>
      <c r="BS23" s="1195"/>
    </row>
    <row r="24" spans="1:71" s="202" customFormat="1" ht="13.15">
      <c r="A24" s="453"/>
      <c r="B24" s="453"/>
      <c r="C24" s="453"/>
      <c r="D24" s="453"/>
      <c r="E24" s="453" t="s">
        <v>1169</v>
      </c>
      <c r="F24" s="453"/>
      <c r="G24" s="453" t="str">
        <f>InpCompany!$F$11</f>
        <v>£m (2017-18 prices)</v>
      </c>
      <c r="H24" s="453"/>
      <c r="I24" s="453"/>
      <c r="J24" s="488"/>
      <c r="K24" s="488"/>
      <c r="L24" s="488"/>
      <c r="M24" s="488"/>
      <c r="N24" s="488"/>
      <c r="O24" s="488"/>
      <c r="P24" s="488"/>
      <c r="Q24" s="489"/>
      <c r="R24" s="488"/>
      <c r="S24" s="488"/>
      <c r="T24" s="488"/>
      <c r="U24" s="488"/>
      <c r="V24" s="488"/>
      <c r="W24" s="488"/>
      <c r="X24" s="488"/>
      <c r="Y24" s="488"/>
      <c r="Z24" s="488"/>
      <c r="AA24" s="488"/>
      <c r="AB24" s="488"/>
      <c r="AC24" s="488"/>
      <c r="AD24" s="488"/>
      <c r="AE24" s="488"/>
      <c r="AF24" s="488"/>
      <c r="AG24" s="488"/>
      <c r="AH24" s="488"/>
      <c r="AI24" s="488"/>
      <c r="AJ24" s="488"/>
      <c r="AK24" s="489"/>
      <c r="AL24" s="488"/>
      <c r="AM24" s="488"/>
      <c r="AN24" s="488"/>
      <c r="AO24" s="489"/>
      <c r="AP24" s="488"/>
      <c r="AQ24" s="488"/>
      <c r="AR24" s="488"/>
      <c r="AS24" s="488"/>
      <c r="AT24" s="488"/>
      <c r="AU24" s="488"/>
      <c r="AV24" s="488"/>
      <c r="AW24" s="488"/>
      <c r="AX24" s="488"/>
      <c r="AY24" s="488"/>
      <c r="AZ24" s="488"/>
      <c r="BA24" s="488"/>
      <c r="BB24" s="488"/>
      <c r="BC24" s="489"/>
      <c r="BD24" s="1195"/>
      <c r="BE24" s="1195"/>
      <c r="BF24" s="1195"/>
      <c r="BG24" s="1195"/>
      <c r="BH24" s="1195"/>
      <c r="BI24" s="1195"/>
      <c r="BJ24" s="1195"/>
      <c r="BK24" s="1195"/>
      <c r="BL24" s="1195"/>
      <c r="BM24" s="1195"/>
      <c r="BN24" s="1195"/>
      <c r="BO24" s="1195"/>
      <c r="BP24" s="1195"/>
      <c r="BQ24" s="1195"/>
      <c r="BR24" s="1195"/>
      <c r="BS24" s="1195"/>
    </row>
    <row r="25" spans="1:71" s="202" customFormat="1" ht="13.15">
      <c r="A25" s="453"/>
      <c r="B25" s="453"/>
      <c r="C25" s="453"/>
      <c r="D25" s="453"/>
      <c r="E25" s="453" t="s">
        <v>1170</v>
      </c>
      <c r="F25" s="453"/>
      <c r="G25" s="453" t="str">
        <f>InpCompany!$F$11</f>
        <v>£m (2017-18 prices)</v>
      </c>
      <c r="H25" s="453"/>
      <c r="I25" s="453"/>
      <c r="J25" s="488"/>
      <c r="K25" s="488"/>
      <c r="L25" s="488"/>
      <c r="M25" s="488"/>
      <c r="N25" s="488"/>
      <c r="O25" s="488"/>
      <c r="P25" s="488"/>
      <c r="Q25" s="489"/>
      <c r="R25" s="488"/>
      <c r="S25" s="488"/>
      <c r="T25" s="488"/>
      <c r="U25" s="488"/>
      <c r="V25" s="488"/>
      <c r="W25" s="488"/>
      <c r="X25" s="488"/>
      <c r="Y25" s="488"/>
      <c r="Z25" s="488"/>
      <c r="AA25" s="488"/>
      <c r="AB25" s="488"/>
      <c r="AC25" s="488"/>
      <c r="AD25" s="488"/>
      <c r="AE25" s="488"/>
      <c r="AF25" s="488"/>
      <c r="AG25" s="488"/>
      <c r="AH25" s="488"/>
      <c r="AI25" s="488"/>
      <c r="AJ25" s="488"/>
      <c r="AK25" s="489"/>
      <c r="AL25" s="488"/>
      <c r="AM25" s="488"/>
      <c r="AN25" s="488"/>
      <c r="AO25" s="489"/>
      <c r="AP25" s="488"/>
      <c r="AQ25" s="488"/>
      <c r="AR25" s="488"/>
      <c r="AS25" s="488"/>
      <c r="AT25" s="488"/>
      <c r="AU25" s="488"/>
      <c r="AV25" s="488"/>
      <c r="AW25" s="488"/>
      <c r="AX25" s="488"/>
      <c r="AY25" s="488"/>
      <c r="AZ25" s="488"/>
      <c r="BA25" s="488"/>
      <c r="BB25" s="488"/>
      <c r="BC25" s="489"/>
      <c r="BD25" s="1195"/>
      <c r="BE25" s="1195"/>
      <c r="BF25" s="1195"/>
      <c r="BG25" s="1195"/>
      <c r="BH25" s="1195"/>
      <c r="BI25" s="1195"/>
      <c r="BJ25" s="1195"/>
      <c r="BK25" s="1195"/>
      <c r="BL25" s="1195"/>
      <c r="BM25" s="1195"/>
      <c r="BN25" s="1195"/>
      <c r="BO25" s="1195"/>
      <c r="BP25" s="1195"/>
      <c r="BQ25" s="1195"/>
      <c r="BR25" s="1195"/>
      <c r="BS25" s="1195"/>
    </row>
    <row r="26" spans="1:71" s="202" customFormat="1" ht="13.15">
      <c r="A26" s="453"/>
      <c r="B26" s="453"/>
      <c r="C26" s="453"/>
      <c r="D26" s="453"/>
      <c r="E26" s="453"/>
      <c r="F26" s="453"/>
      <c r="G26" s="453"/>
      <c r="H26" s="453"/>
      <c r="I26" s="453"/>
      <c r="J26" s="490"/>
      <c r="K26" s="490"/>
      <c r="L26" s="490"/>
      <c r="M26" s="490"/>
      <c r="N26" s="490"/>
      <c r="O26" s="490"/>
      <c r="P26" s="490"/>
      <c r="Q26" s="491"/>
      <c r="R26" s="490"/>
      <c r="S26" s="490"/>
      <c r="T26" s="490"/>
      <c r="U26" s="490"/>
      <c r="V26" s="490"/>
      <c r="W26" s="490"/>
      <c r="X26" s="490"/>
      <c r="Y26" s="490"/>
      <c r="Z26" s="490"/>
      <c r="AA26" s="490"/>
      <c r="AB26" s="490"/>
      <c r="AC26" s="490"/>
      <c r="AD26" s="490"/>
      <c r="AE26" s="490"/>
      <c r="AF26" s="490"/>
      <c r="AG26" s="490"/>
      <c r="AH26" s="490"/>
      <c r="AI26" s="490"/>
      <c r="AJ26" s="490"/>
      <c r="AK26" s="491"/>
      <c r="AL26" s="490"/>
      <c r="AM26" s="490"/>
      <c r="AN26" s="490"/>
      <c r="AO26" s="491"/>
      <c r="AP26" s="490"/>
      <c r="AQ26" s="490"/>
      <c r="AR26" s="490"/>
      <c r="AS26" s="490"/>
      <c r="AT26" s="490"/>
      <c r="AU26" s="490"/>
      <c r="AV26" s="490"/>
      <c r="AW26" s="490"/>
      <c r="AX26" s="490"/>
      <c r="AY26" s="490"/>
      <c r="AZ26" s="490"/>
      <c r="BA26" s="490"/>
      <c r="BB26" s="490"/>
      <c r="BC26" s="491"/>
      <c r="BD26" s="490"/>
      <c r="BE26" s="490"/>
      <c r="BF26" s="490"/>
      <c r="BG26" s="490"/>
      <c r="BH26" s="490"/>
      <c r="BI26" s="490"/>
      <c r="BJ26" s="490"/>
      <c r="BK26" s="490"/>
      <c r="BL26" s="490"/>
      <c r="BM26" s="490"/>
      <c r="BN26" s="490"/>
      <c r="BO26" s="490"/>
      <c r="BP26" s="490"/>
      <c r="BQ26" s="490"/>
      <c r="BR26" s="490"/>
      <c r="BS26" s="490"/>
    </row>
    <row r="27" spans="1:71" s="202" customFormat="1" ht="13.15">
      <c r="A27" s="453"/>
      <c r="B27" s="453"/>
      <c r="C27" s="453"/>
      <c r="D27" s="453"/>
      <c r="E27" s="453" t="s">
        <v>1171</v>
      </c>
      <c r="F27" s="453"/>
      <c r="G27" s="453" t="str">
        <f>InpCompany!$F$11</f>
        <v>£m (2017-18 prices)</v>
      </c>
      <c r="H27" s="453"/>
      <c r="I27" s="453"/>
      <c r="J27" s="488"/>
      <c r="K27" s="488"/>
      <c r="L27" s="488"/>
      <c r="M27" s="488"/>
      <c r="N27" s="488"/>
      <c r="O27" s="488"/>
      <c r="P27" s="488"/>
      <c r="Q27" s="489"/>
      <c r="R27" s="488"/>
      <c r="S27" s="488"/>
      <c r="T27" s="488"/>
      <c r="U27" s="488"/>
      <c r="V27" s="488"/>
      <c r="W27" s="488"/>
      <c r="X27" s="488"/>
      <c r="Y27" s="488"/>
      <c r="Z27" s="488"/>
      <c r="AA27" s="488"/>
      <c r="AB27" s="488"/>
      <c r="AC27" s="488"/>
      <c r="AD27" s="488"/>
      <c r="AE27" s="488"/>
      <c r="AF27" s="488"/>
      <c r="AG27" s="488"/>
      <c r="AH27" s="488"/>
      <c r="AI27" s="488"/>
      <c r="AJ27" s="488"/>
      <c r="AK27" s="489"/>
      <c r="AL27" s="488"/>
      <c r="AM27" s="488"/>
      <c r="AN27" s="488"/>
      <c r="AO27" s="489"/>
      <c r="AP27" s="488"/>
      <c r="AQ27" s="488"/>
      <c r="AR27" s="488"/>
      <c r="AS27" s="488"/>
      <c r="AT27" s="488"/>
      <c r="AU27" s="488"/>
      <c r="AV27" s="488"/>
      <c r="AW27" s="488"/>
      <c r="AX27" s="488"/>
      <c r="AY27" s="488"/>
      <c r="AZ27" s="488"/>
      <c r="BA27" s="488"/>
      <c r="BB27" s="488"/>
      <c r="BC27" s="489"/>
      <c r="BD27" s="1195"/>
      <c r="BE27" s="1195"/>
      <c r="BF27" s="1195"/>
      <c r="BG27" s="1195"/>
      <c r="BH27" s="1195"/>
      <c r="BI27" s="1195"/>
      <c r="BJ27" s="1195"/>
      <c r="BK27" s="1195"/>
      <c r="BL27" s="1195"/>
      <c r="BM27" s="1195"/>
      <c r="BN27" s="1195"/>
      <c r="BO27" s="1195"/>
      <c r="BP27" s="1195"/>
      <c r="BQ27" s="1195"/>
      <c r="BR27" s="1195"/>
      <c r="BS27" s="1195"/>
    </row>
    <row r="28" spans="1:71" s="202" customFormat="1" ht="13.15">
      <c r="A28" s="453"/>
      <c r="B28" s="453"/>
      <c r="C28" s="453"/>
      <c r="D28" s="453"/>
      <c r="E28" s="453" t="s">
        <v>1172</v>
      </c>
      <c r="F28" s="453"/>
      <c r="G28" s="453" t="str">
        <f>InpCompany!$F$11</f>
        <v>£m (2017-18 prices)</v>
      </c>
      <c r="H28" s="453"/>
      <c r="I28" s="453"/>
      <c r="J28" s="488"/>
      <c r="K28" s="488"/>
      <c r="L28" s="488"/>
      <c r="M28" s="488"/>
      <c r="N28" s="488"/>
      <c r="O28" s="488"/>
      <c r="P28" s="488"/>
      <c r="Q28" s="489"/>
      <c r="R28" s="488"/>
      <c r="S28" s="488"/>
      <c r="T28" s="488"/>
      <c r="U28" s="488"/>
      <c r="V28" s="488"/>
      <c r="W28" s="488"/>
      <c r="X28" s="488"/>
      <c r="Y28" s="488"/>
      <c r="Z28" s="488"/>
      <c r="AA28" s="488"/>
      <c r="AB28" s="488"/>
      <c r="AC28" s="488"/>
      <c r="AD28" s="488"/>
      <c r="AE28" s="488"/>
      <c r="AF28" s="488"/>
      <c r="AG28" s="488"/>
      <c r="AH28" s="488"/>
      <c r="AI28" s="488"/>
      <c r="AJ28" s="488"/>
      <c r="AK28" s="489"/>
      <c r="AL28" s="488"/>
      <c r="AM28" s="488"/>
      <c r="AN28" s="488"/>
      <c r="AO28" s="489"/>
      <c r="AP28" s="488"/>
      <c r="AQ28" s="488"/>
      <c r="AR28" s="488"/>
      <c r="AS28" s="488"/>
      <c r="AT28" s="488"/>
      <c r="AU28" s="488"/>
      <c r="AV28" s="488"/>
      <c r="AW28" s="488"/>
      <c r="AX28" s="488"/>
      <c r="AY28" s="488"/>
      <c r="AZ28" s="488"/>
      <c r="BA28" s="488"/>
      <c r="BB28" s="488"/>
      <c r="BC28" s="489"/>
      <c r="BD28" s="1195"/>
      <c r="BE28" s="1195"/>
      <c r="BF28" s="1195"/>
      <c r="BG28" s="1195"/>
      <c r="BH28" s="1195"/>
      <c r="BI28" s="1195"/>
      <c r="BJ28" s="1195"/>
      <c r="BK28" s="1195"/>
      <c r="BL28" s="1195"/>
      <c r="BM28" s="1195"/>
      <c r="BN28" s="1195"/>
      <c r="BO28" s="1195"/>
      <c r="BP28" s="1195"/>
      <c r="BQ28" s="1195"/>
      <c r="BR28" s="1195"/>
      <c r="BS28" s="1195"/>
    </row>
    <row r="29" spans="1:71" s="202" customFormat="1" ht="13.15">
      <c r="A29" s="453"/>
      <c r="B29" s="453"/>
      <c r="C29" s="453"/>
      <c r="D29" s="453"/>
      <c r="E29" s="453" t="s">
        <v>1173</v>
      </c>
      <c r="F29" s="453"/>
      <c r="G29" s="453" t="str">
        <f>InpCompany!$F$11</f>
        <v>£m (2017-18 prices)</v>
      </c>
      <c r="H29" s="453"/>
      <c r="I29" s="453"/>
      <c r="J29" s="488"/>
      <c r="K29" s="488"/>
      <c r="L29" s="488"/>
      <c r="M29" s="488"/>
      <c r="N29" s="488"/>
      <c r="O29" s="488"/>
      <c r="P29" s="488"/>
      <c r="Q29" s="489"/>
      <c r="R29" s="488"/>
      <c r="S29" s="488"/>
      <c r="T29" s="488"/>
      <c r="U29" s="488"/>
      <c r="V29" s="488"/>
      <c r="W29" s="488"/>
      <c r="X29" s="488"/>
      <c r="Y29" s="488"/>
      <c r="Z29" s="488"/>
      <c r="AA29" s="488"/>
      <c r="AB29" s="488"/>
      <c r="AC29" s="488"/>
      <c r="AD29" s="488"/>
      <c r="AE29" s="488"/>
      <c r="AF29" s="488"/>
      <c r="AG29" s="488"/>
      <c r="AH29" s="488"/>
      <c r="AI29" s="488"/>
      <c r="AJ29" s="488"/>
      <c r="AK29" s="489"/>
      <c r="AL29" s="488"/>
      <c r="AM29" s="488"/>
      <c r="AN29" s="488"/>
      <c r="AO29" s="489"/>
      <c r="AP29" s="488"/>
      <c r="AQ29" s="488"/>
      <c r="AR29" s="488"/>
      <c r="AS29" s="488"/>
      <c r="AT29" s="488"/>
      <c r="AU29" s="488"/>
      <c r="AV29" s="488"/>
      <c r="AW29" s="488"/>
      <c r="AX29" s="488"/>
      <c r="AY29" s="488"/>
      <c r="AZ29" s="488"/>
      <c r="BA29" s="488"/>
      <c r="BB29" s="488"/>
      <c r="BC29" s="489"/>
      <c r="BD29" s="1195"/>
      <c r="BE29" s="1195"/>
      <c r="BF29" s="1195"/>
      <c r="BG29" s="1195"/>
      <c r="BH29" s="1195"/>
      <c r="BI29" s="1195"/>
      <c r="BJ29" s="1195"/>
      <c r="BK29" s="1195"/>
      <c r="BL29" s="1195"/>
      <c r="BM29" s="1195"/>
      <c r="BN29" s="1195"/>
      <c r="BO29" s="1195"/>
      <c r="BP29" s="1195"/>
      <c r="BQ29" s="1195"/>
      <c r="BR29" s="1195"/>
      <c r="BS29" s="1195"/>
    </row>
    <row r="30" spans="1:71" s="202" customFormat="1" ht="13.15">
      <c r="A30" s="453"/>
      <c r="B30" s="453"/>
      <c r="C30" s="453"/>
      <c r="D30" s="453"/>
      <c r="E30" s="453"/>
      <c r="F30" s="453"/>
      <c r="G30" s="453"/>
      <c r="H30" s="453"/>
      <c r="I30" s="453"/>
      <c r="J30" s="494"/>
      <c r="K30" s="494"/>
      <c r="L30" s="494"/>
      <c r="M30" s="494"/>
      <c r="N30" s="494"/>
      <c r="O30" s="494"/>
      <c r="P30" s="494"/>
      <c r="Q30" s="507"/>
      <c r="R30" s="453"/>
      <c r="S30" s="453"/>
      <c r="T30" s="453"/>
      <c r="U30" s="453"/>
      <c r="V30" s="453"/>
      <c r="W30" s="453"/>
      <c r="X30" s="453"/>
      <c r="Y30" s="453"/>
      <c r="Z30" s="453"/>
      <c r="AA30" s="453"/>
      <c r="AB30" s="453"/>
      <c r="AC30" s="453"/>
      <c r="AD30" s="453"/>
      <c r="AE30" s="453"/>
      <c r="AF30" s="453"/>
      <c r="AG30" s="453"/>
      <c r="AH30" s="453"/>
      <c r="AI30" s="453"/>
      <c r="AJ30" s="453"/>
      <c r="AK30" s="507"/>
      <c r="AL30" s="453"/>
      <c r="AM30" s="453"/>
      <c r="AN30" s="453"/>
      <c r="AO30" s="507"/>
      <c r="AP30" s="453"/>
      <c r="AQ30" s="453"/>
      <c r="AR30" s="453"/>
      <c r="AS30" s="453"/>
      <c r="AT30" s="453"/>
      <c r="AU30" s="453"/>
      <c r="AV30" s="453"/>
      <c r="AW30" s="453"/>
      <c r="AX30" s="453"/>
      <c r="AY30" s="453"/>
      <c r="AZ30" s="453"/>
      <c r="BA30" s="453"/>
      <c r="BB30" s="453"/>
      <c r="BC30" s="507"/>
      <c r="BD30" s="453"/>
      <c r="BE30" s="453"/>
      <c r="BF30" s="453"/>
      <c r="BG30" s="453"/>
      <c r="BH30" s="453"/>
      <c r="BI30" s="453"/>
      <c r="BJ30" s="453"/>
      <c r="BK30" s="453"/>
      <c r="BL30" s="453"/>
      <c r="BM30" s="453"/>
      <c r="BN30" s="453"/>
      <c r="BO30" s="453"/>
      <c r="BP30" s="453"/>
      <c r="BQ30" s="453"/>
      <c r="BR30" s="453"/>
      <c r="BS30" s="453"/>
    </row>
    <row r="31" spans="1:71" s="202" customFormat="1" ht="13.15">
      <c r="A31" s="453"/>
      <c r="B31" s="453"/>
      <c r="C31" s="453"/>
      <c r="D31" s="453"/>
      <c r="E31" s="453" t="s">
        <v>1158</v>
      </c>
      <c r="F31" s="453"/>
      <c r="G31" s="453" t="s">
        <v>114</v>
      </c>
      <c r="H31" s="453"/>
      <c r="I31" s="453"/>
      <c r="J31" s="508" t="str">
        <f t="shared" ref="J31:Q31" si="0">IF(J$16="","",IF(INDEX(App1bdata,MATCH(J$16,App1bIDnrs,0),20)="","",INDEX(App1bdata,MATCH(J$16,App1bIDnrs,0),20)))</f>
        <v>number</v>
      </c>
      <c r="K31" s="508" t="str">
        <f t="shared" si="0"/>
        <v>hh:mm:ss</v>
      </c>
      <c r="L31" s="508" t="str">
        <f t="shared" si="0"/>
        <v>%</v>
      </c>
      <c r="M31" s="508" t="str">
        <f t="shared" si="0"/>
        <v/>
      </c>
      <c r="N31" s="1196" t="str">
        <f t="shared" si="0"/>
        <v xml:space="preserve">% </v>
      </c>
      <c r="O31" s="508" t="str">
        <f t="shared" si="0"/>
        <v/>
      </c>
      <c r="P31" s="508" t="str">
        <f t="shared" si="0"/>
        <v>number</v>
      </c>
      <c r="Q31" s="509" t="str">
        <f t="shared" si="0"/>
        <v>%</v>
      </c>
      <c r="R31" s="508" t="str">
        <f t="shared" ref="R31:AK31" si="1">IF(R$16="","",IF(INDEX(App1data,MATCH(R$16,App1IDnrs,0),20)="","",INDEX(App1data,MATCH(R$16,App1IDnrs,0),20)))</f>
        <v>nr</v>
      </c>
      <c r="S31" s="508" t="str">
        <f t="shared" si="1"/>
        <v>nr</v>
      </c>
      <c r="T31" s="508" t="str">
        <f t="shared" si="1"/>
        <v>nr</v>
      </c>
      <c r="U31" s="508" t="str">
        <f t="shared" si="1"/>
        <v>nr</v>
      </c>
      <c r="V31" s="508" t="str">
        <f t="shared" si="1"/>
        <v>%</v>
      </c>
      <c r="W31" s="508" t="str">
        <f t="shared" si="1"/>
        <v>nr</v>
      </c>
      <c r="X31" s="508" t="str">
        <f t="shared" si="1"/>
        <v>nr</v>
      </c>
      <c r="Y31" s="508" t="str">
        <f t="shared" si="1"/>
        <v>months</v>
      </c>
      <c r="Z31" s="508" t="str">
        <f t="shared" si="1"/>
        <v>%</v>
      </c>
      <c r="AA31" s="508" t="str">
        <f t="shared" si="1"/>
        <v/>
      </c>
      <c r="AB31" s="508" t="str">
        <f t="shared" si="1"/>
        <v/>
      </c>
      <c r="AC31" s="508" t="str">
        <f t="shared" si="1"/>
        <v/>
      </c>
      <c r="AD31" s="508" t="str">
        <f t="shared" si="1"/>
        <v/>
      </c>
      <c r="AE31" s="508" t="str">
        <f t="shared" si="1"/>
        <v/>
      </c>
      <c r="AF31" s="508" t="str">
        <f t="shared" si="1"/>
        <v/>
      </c>
      <c r="AG31" s="508" t="str">
        <f t="shared" si="1"/>
        <v/>
      </c>
      <c r="AH31" s="508" t="str">
        <f t="shared" si="1"/>
        <v/>
      </c>
      <c r="AI31" s="508" t="str">
        <f t="shared" si="1"/>
        <v/>
      </c>
      <c r="AJ31" s="508" t="str">
        <f t="shared" si="1"/>
        <v/>
      </c>
      <c r="AK31" s="509" t="str">
        <f t="shared" si="1"/>
        <v/>
      </c>
      <c r="AL31" s="508" t="str">
        <f>IF(AL$16="","",IF(INDEX(App1bdata,MATCH(AL$16,App1bIDnrs,0),20)="","",INDEX(App1bdata,MATCH(AL$16,App1bIDnrs,0),20)))</f>
        <v>number</v>
      </c>
      <c r="AM31" s="508" t="str">
        <f>IF(AM$16="","",IF(INDEX(App1bdata,MATCH(AM$16,App1bIDnrs,0),20)="","",INDEX(App1bdata,MATCH(AM$16,App1bIDnrs,0),20)))</f>
        <v>number</v>
      </c>
      <c r="AN31" s="508" t="str">
        <f>IF(AN$16="","",IF(INDEX(App1bdata,MATCH(AN$16,App1bIDnrs,0),20)="","",INDEX(App1bdata,MATCH(AN$16,App1bIDnrs,0),20)))</f>
        <v>number</v>
      </c>
      <c r="AO31" s="509" t="str">
        <f>IF(AO$16="","",IF(INDEX(App1bdata,MATCH(AO$16,App1bIDnrs,0),20)="","",INDEX(App1bdata,MATCH(AO$16,App1bIDnrs,0),20)))</f>
        <v>%</v>
      </c>
      <c r="AP31" s="508" t="str">
        <f t="shared" ref="AP31:BC31" si="2">IF(AP$16="","",IF(INDEX(App1data,MATCH(AP$16,App1IDnrs,0),20)="","",INDEX(App1data,MATCH(AP$16,App1IDnrs,0),20)))</f>
        <v>nr</v>
      </c>
      <c r="AQ31" s="508" t="str">
        <f t="shared" si="2"/>
        <v>%</v>
      </c>
      <c r="AR31" s="508" t="str">
        <f t="shared" si="2"/>
        <v>%</v>
      </c>
      <c r="AS31" s="508" t="str">
        <f t="shared" si="2"/>
        <v>nr</v>
      </c>
      <c r="AT31" s="508" t="str">
        <f t="shared" si="2"/>
        <v>nr</v>
      </c>
      <c r="AU31" s="508" t="str">
        <f t="shared" si="2"/>
        <v>nr</v>
      </c>
      <c r="AV31" s="508" t="str">
        <f t="shared" si="2"/>
        <v>nr</v>
      </c>
      <c r="AW31" s="508" t="str">
        <f t="shared" si="2"/>
        <v>m3</v>
      </c>
      <c r="AX31" s="508" t="str">
        <f t="shared" si="2"/>
        <v>nr</v>
      </c>
      <c r="AY31" s="508" t="str">
        <f t="shared" si="2"/>
        <v>months</v>
      </c>
      <c r="AZ31" s="508" t="str">
        <f t="shared" si="2"/>
        <v/>
      </c>
      <c r="BA31" s="508" t="str">
        <f t="shared" si="2"/>
        <v/>
      </c>
      <c r="BB31" s="508" t="str">
        <f t="shared" si="2"/>
        <v/>
      </c>
      <c r="BC31" s="509" t="str">
        <f t="shared" si="2"/>
        <v/>
      </c>
      <c r="BD31" s="508"/>
      <c r="BE31" s="1196"/>
      <c r="BF31" s="1196"/>
      <c r="BG31" s="1196"/>
      <c r="BH31" s="508"/>
      <c r="BI31" s="508"/>
      <c r="BJ31" s="508"/>
      <c r="BK31" s="508"/>
      <c r="BL31" s="508"/>
      <c r="BM31" s="508"/>
      <c r="BN31" s="508"/>
      <c r="BO31" s="508"/>
      <c r="BP31" s="508"/>
      <c r="BQ31" s="508"/>
      <c r="BR31" s="508"/>
      <c r="BS31" s="508"/>
    </row>
    <row r="32" spans="1:71" s="219" customFormat="1" ht="13.15">
      <c r="A32" s="510"/>
      <c r="B32" s="510"/>
      <c r="C32" s="510"/>
      <c r="D32" s="510"/>
      <c r="E32" s="510"/>
      <c r="F32" s="510"/>
      <c r="G32" s="510"/>
      <c r="H32" s="510"/>
      <c r="I32" s="510"/>
      <c r="J32" s="511"/>
      <c r="K32" s="511"/>
      <c r="L32" s="511"/>
      <c r="M32" s="511"/>
      <c r="N32" s="511"/>
      <c r="O32" s="511"/>
      <c r="P32" s="511"/>
      <c r="Q32" s="512"/>
      <c r="R32" s="511"/>
      <c r="S32" s="511"/>
      <c r="T32" s="511"/>
      <c r="U32" s="511"/>
      <c r="V32" s="511"/>
      <c r="W32" s="511"/>
      <c r="X32" s="511"/>
      <c r="Y32" s="511"/>
      <c r="Z32" s="511"/>
      <c r="AA32" s="511"/>
      <c r="AB32" s="511"/>
      <c r="AC32" s="511"/>
      <c r="AD32" s="511"/>
      <c r="AE32" s="511"/>
      <c r="AF32" s="511"/>
      <c r="AG32" s="511"/>
      <c r="AH32" s="511"/>
      <c r="AI32" s="511"/>
      <c r="AJ32" s="511"/>
      <c r="AK32" s="512"/>
      <c r="AL32" s="511"/>
      <c r="AM32" s="511"/>
      <c r="AN32" s="511"/>
      <c r="AO32" s="512"/>
      <c r="AP32" s="511"/>
      <c r="AQ32" s="511"/>
      <c r="AR32" s="511"/>
      <c r="AS32" s="511"/>
      <c r="AT32" s="511"/>
      <c r="AU32" s="511"/>
      <c r="AV32" s="511"/>
      <c r="AW32" s="511"/>
      <c r="AX32" s="511"/>
      <c r="AY32" s="511"/>
      <c r="AZ32" s="511"/>
      <c r="BA32" s="511"/>
      <c r="BB32" s="511"/>
      <c r="BC32" s="512"/>
      <c r="BD32" s="511"/>
      <c r="BE32" s="511"/>
      <c r="BF32" s="511"/>
      <c r="BG32" s="511"/>
      <c r="BH32" s="511"/>
      <c r="BI32" s="511"/>
      <c r="BJ32" s="511"/>
      <c r="BK32" s="511"/>
      <c r="BL32" s="511"/>
      <c r="BM32" s="511"/>
      <c r="BN32" s="511"/>
      <c r="BO32" s="511"/>
      <c r="BP32" s="511"/>
      <c r="BQ32" s="511"/>
      <c r="BR32" s="511"/>
      <c r="BS32" s="511"/>
    </row>
    <row r="33" spans="1:71" s="202" customFormat="1" ht="13.15">
      <c r="A33" s="453"/>
      <c r="B33" s="453"/>
      <c r="C33" s="453"/>
      <c r="D33" s="453"/>
      <c r="E33" s="453" t="s">
        <v>988</v>
      </c>
      <c r="F33" s="453"/>
      <c r="G33" s="453" t="s">
        <v>1137</v>
      </c>
      <c r="H33" s="453"/>
      <c r="I33" s="453"/>
      <c r="J33" s="513" t="str">
        <f t="shared" ref="J33:Q33" si="3">IF(J$16="","",IF(INDEX(App1bdata,MATCH(J$16,App1bIDnrs,0),17)="","",INDEX(App1bdata,MATCH(J$16,App1bIDnrs,0),17)))</f>
        <v>Revenue</v>
      </c>
      <c r="K33" s="513" t="str">
        <f t="shared" si="3"/>
        <v>Revenue</v>
      </c>
      <c r="L33" s="513" t="str">
        <f t="shared" si="3"/>
        <v>Revenue</v>
      </c>
      <c r="M33" s="513" t="str">
        <f t="shared" si="3"/>
        <v/>
      </c>
      <c r="N33" s="513" t="str">
        <f t="shared" si="3"/>
        <v>Revenue</v>
      </c>
      <c r="O33" s="513" t="str">
        <f t="shared" si="3"/>
        <v/>
      </c>
      <c r="P33" s="513" t="str">
        <f t="shared" si="3"/>
        <v>Revenue</v>
      </c>
      <c r="Q33" s="514" t="str">
        <f t="shared" si="3"/>
        <v>Revenue</v>
      </c>
      <c r="R33" s="513" t="str">
        <f t="shared" ref="R33:AK33" si="4">IF(R$16="","",IF(INDEX(App1data,MATCH(R$16,App1IDnrs,0),17)="","",INDEX(App1data,MATCH(R$16,App1IDnrs,0),17)))</f>
        <v>Revenue</v>
      </c>
      <c r="S33" s="513" t="str">
        <f t="shared" si="4"/>
        <v>Revenue</v>
      </c>
      <c r="T33" s="513" t="str">
        <f t="shared" si="4"/>
        <v>Revenue</v>
      </c>
      <c r="U33" s="513" t="str">
        <f t="shared" si="4"/>
        <v>Revenue</v>
      </c>
      <c r="V33" s="513" t="str">
        <f t="shared" si="4"/>
        <v>Revenue</v>
      </c>
      <c r="W33" s="513" t="str">
        <f t="shared" si="4"/>
        <v>Revenue</v>
      </c>
      <c r="X33" s="513" t="str">
        <f t="shared" si="4"/>
        <v>Revenue</v>
      </c>
      <c r="Y33" s="513" t="str">
        <f t="shared" si="4"/>
        <v>Revenue</v>
      </c>
      <c r="Z33" s="513" t="str">
        <f t="shared" si="4"/>
        <v>Revenue</v>
      </c>
      <c r="AA33" s="513" t="str">
        <f t="shared" si="4"/>
        <v/>
      </c>
      <c r="AB33" s="513" t="str">
        <f t="shared" si="4"/>
        <v/>
      </c>
      <c r="AC33" s="513" t="str">
        <f t="shared" si="4"/>
        <v/>
      </c>
      <c r="AD33" s="513" t="str">
        <f t="shared" si="4"/>
        <v/>
      </c>
      <c r="AE33" s="513" t="str">
        <f t="shared" si="4"/>
        <v/>
      </c>
      <c r="AF33" s="513" t="str">
        <f t="shared" si="4"/>
        <v/>
      </c>
      <c r="AG33" s="513" t="str">
        <f t="shared" si="4"/>
        <v/>
      </c>
      <c r="AH33" s="513" t="str">
        <f t="shared" si="4"/>
        <v/>
      </c>
      <c r="AI33" s="513" t="str">
        <f t="shared" si="4"/>
        <v/>
      </c>
      <c r="AJ33" s="513" t="str">
        <f t="shared" si="4"/>
        <v/>
      </c>
      <c r="AK33" s="514" t="str">
        <f t="shared" si="4"/>
        <v/>
      </c>
      <c r="AL33" s="513" t="str">
        <f>IF(AL$16="","",IF(INDEX(App1bdata,MATCH(AL$16,App1bIDnrs,0),17)="","",INDEX(App1bdata,MATCH(AL$16,App1bIDnrs,0),17)))</f>
        <v>Revenue</v>
      </c>
      <c r="AM33" s="513" t="str">
        <f>IF(AM$16="","",IF(INDEX(App1bdata,MATCH(AM$16,App1bIDnrs,0),17)="","",INDEX(App1bdata,MATCH(AM$16,App1bIDnrs,0),17)))</f>
        <v>Revenue</v>
      </c>
      <c r="AN33" s="513" t="str">
        <f>IF(AN$16="","",IF(INDEX(App1bdata,MATCH(AN$16,App1bIDnrs,0),17)="","",INDEX(App1bdata,MATCH(AN$16,App1bIDnrs,0),17)))</f>
        <v>Revenue</v>
      </c>
      <c r="AO33" s="514" t="str">
        <f>IF(AO$16="","",IF(INDEX(App1bdata,MATCH(AO$16,App1bIDnrs,0),17)="","",INDEX(App1bdata,MATCH(AO$16,App1bIDnrs,0),17)))</f>
        <v>Revenue</v>
      </c>
      <c r="AP33" s="513" t="str">
        <f t="shared" ref="AP33:BC33" si="5">IF(AP$16="","",IF(INDEX(App1data,MATCH(AP$16,App1IDnrs,0),17)="","",INDEX(App1data,MATCH(AP$16,App1IDnrs,0),17)))</f>
        <v>Revenue</v>
      </c>
      <c r="AQ33" s="513" t="str">
        <f t="shared" si="5"/>
        <v>Revenue</v>
      </c>
      <c r="AR33" s="513" t="str">
        <f t="shared" si="5"/>
        <v>Revenue</v>
      </c>
      <c r="AS33" s="513" t="str">
        <f t="shared" si="5"/>
        <v>Revenue</v>
      </c>
      <c r="AT33" s="513" t="str">
        <f t="shared" si="5"/>
        <v>Revenue</v>
      </c>
      <c r="AU33" s="513" t="str">
        <f t="shared" si="5"/>
        <v>Revenue</v>
      </c>
      <c r="AV33" s="513" t="str">
        <f t="shared" si="5"/>
        <v>Revenue</v>
      </c>
      <c r="AW33" s="513" t="str">
        <f t="shared" si="5"/>
        <v>Revenue</v>
      </c>
      <c r="AX33" s="513" t="str">
        <f t="shared" si="5"/>
        <v>Revenue</v>
      </c>
      <c r="AY33" s="513" t="str">
        <f t="shared" si="5"/>
        <v>Revenue</v>
      </c>
      <c r="AZ33" s="513" t="str">
        <f t="shared" si="5"/>
        <v/>
      </c>
      <c r="BA33" s="513" t="str">
        <f t="shared" si="5"/>
        <v/>
      </c>
      <c r="BB33" s="513" t="str">
        <f t="shared" si="5"/>
        <v/>
      </c>
      <c r="BC33" s="514" t="str">
        <f t="shared" si="5"/>
        <v/>
      </c>
      <c r="BD33" s="513"/>
      <c r="BE33" s="513"/>
      <c r="BF33" s="513"/>
      <c r="BG33" s="513"/>
      <c r="BH33" s="513"/>
      <c r="BI33" s="513"/>
      <c r="BJ33" s="513"/>
      <c r="BK33" s="513"/>
      <c r="BL33" s="513"/>
      <c r="BM33" s="513"/>
      <c r="BN33" s="513"/>
      <c r="BO33" s="513"/>
      <c r="BP33" s="513"/>
      <c r="BQ33" s="513"/>
      <c r="BR33" s="513"/>
      <c r="BS33" s="513"/>
    </row>
    <row r="34" spans="1:71" s="202" customFormat="1" ht="13.15">
      <c r="A34" s="453"/>
      <c r="B34" s="453"/>
      <c r="C34" s="453"/>
      <c r="D34" s="453"/>
      <c r="E34" s="453" t="s">
        <v>989</v>
      </c>
      <c r="F34" s="453"/>
      <c r="G34" s="453" t="s">
        <v>1137</v>
      </c>
      <c r="H34" s="453"/>
      <c r="I34" s="453"/>
      <c r="J34" s="513" t="str">
        <f t="shared" ref="J34:Q34" si="6">IF(J$16="","",IF(INDEX(App1bdata,MATCH(J$16,App1bIDnrs,0),18)="","",INDEX(App1bdata,MATCH(J$16,App1bIDnrs,0),18)))</f>
        <v>In-period</v>
      </c>
      <c r="K34" s="513" t="str">
        <f t="shared" si="6"/>
        <v>In-period</v>
      </c>
      <c r="L34" s="513" t="str">
        <f t="shared" si="6"/>
        <v>In-period</v>
      </c>
      <c r="M34" s="513" t="str">
        <f t="shared" si="6"/>
        <v/>
      </c>
      <c r="N34" s="513" t="str">
        <f t="shared" si="6"/>
        <v>End of period</v>
      </c>
      <c r="O34" s="513" t="str">
        <f t="shared" si="6"/>
        <v/>
      </c>
      <c r="P34" s="513" t="str">
        <f t="shared" si="6"/>
        <v>In-period</v>
      </c>
      <c r="Q34" s="514" t="str">
        <f t="shared" si="6"/>
        <v>In-period</v>
      </c>
      <c r="R34" s="513" t="str">
        <f t="shared" ref="R34:AK34" si="7">IF(R$16="","",IF(INDEX(App1data,MATCH(R$16,App1IDnrs,0),18)="","",INDEX(App1data,MATCH(R$16,App1IDnrs,0),18)))</f>
        <v>In-period</v>
      </c>
      <c r="S34" s="513" t="str">
        <f t="shared" si="7"/>
        <v>In-period</v>
      </c>
      <c r="T34" s="513" t="str">
        <f t="shared" si="7"/>
        <v>In-period</v>
      </c>
      <c r="U34" s="513" t="str">
        <f t="shared" si="7"/>
        <v>In-period</v>
      </c>
      <c r="V34" s="513" t="str">
        <f t="shared" si="7"/>
        <v>In-period</v>
      </c>
      <c r="W34" s="513" t="str">
        <f t="shared" si="7"/>
        <v>In-period</v>
      </c>
      <c r="X34" s="513" t="str">
        <f t="shared" si="7"/>
        <v>In-period</v>
      </c>
      <c r="Y34" s="513" t="str">
        <f t="shared" si="7"/>
        <v>End of period</v>
      </c>
      <c r="Z34" s="513" t="str">
        <f t="shared" si="7"/>
        <v>In-period</v>
      </c>
      <c r="AA34" s="513" t="str">
        <f t="shared" si="7"/>
        <v/>
      </c>
      <c r="AB34" s="513" t="str">
        <f t="shared" si="7"/>
        <v/>
      </c>
      <c r="AC34" s="513" t="str">
        <f t="shared" si="7"/>
        <v/>
      </c>
      <c r="AD34" s="513" t="str">
        <f t="shared" si="7"/>
        <v/>
      </c>
      <c r="AE34" s="513" t="str">
        <f t="shared" si="7"/>
        <v/>
      </c>
      <c r="AF34" s="513" t="str">
        <f t="shared" si="7"/>
        <v/>
      </c>
      <c r="AG34" s="513" t="str">
        <f t="shared" si="7"/>
        <v/>
      </c>
      <c r="AH34" s="513" t="str">
        <f t="shared" si="7"/>
        <v/>
      </c>
      <c r="AI34" s="513" t="str">
        <f t="shared" si="7"/>
        <v/>
      </c>
      <c r="AJ34" s="513" t="str">
        <f t="shared" si="7"/>
        <v/>
      </c>
      <c r="AK34" s="514" t="str">
        <f t="shared" si="7"/>
        <v/>
      </c>
      <c r="AL34" s="513" t="str">
        <f>IF(AL$16="","",IF(INDEX(App1bdata,MATCH(AL$16,App1bIDnrs,0),18)="","",INDEX(App1bdata,MATCH(AL$16,App1bIDnrs,0),18)))</f>
        <v>In-period</v>
      </c>
      <c r="AM34" s="513" t="str">
        <f>IF(AM$16="","",IF(INDEX(App1bdata,MATCH(AM$16,App1bIDnrs,0),18)="","",INDEX(App1bdata,MATCH(AM$16,App1bIDnrs,0),18)))</f>
        <v>In-period</v>
      </c>
      <c r="AN34" s="513" t="str">
        <f>IF(AN$16="","",IF(INDEX(App1bdata,MATCH(AN$16,App1bIDnrs,0),18)="","",INDEX(App1bdata,MATCH(AN$16,App1bIDnrs,0),18)))</f>
        <v>In-period</v>
      </c>
      <c r="AO34" s="514" t="str">
        <f>IF(AO$16="","",IF(INDEX(App1bdata,MATCH(AO$16,App1bIDnrs,0),18)="","",INDEX(App1bdata,MATCH(AO$16,App1bIDnrs,0),18)))</f>
        <v>In-period</v>
      </c>
      <c r="AP34" s="513" t="str">
        <f t="shared" ref="AP34:BC34" si="8">IF(AP$16="","",IF(INDEX(App1data,MATCH(AP$16,App1IDnrs,0),18)="","",INDEX(App1data,MATCH(AP$16,App1IDnrs,0),18)))</f>
        <v>In-period</v>
      </c>
      <c r="AQ34" s="513" t="str">
        <f t="shared" si="8"/>
        <v>In-period</v>
      </c>
      <c r="AR34" s="513" t="str">
        <f t="shared" si="8"/>
        <v>In-period</v>
      </c>
      <c r="AS34" s="513" t="str">
        <f t="shared" si="8"/>
        <v>In-period</v>
      </c>
      <c r="AT34" s="513" t="str">
        <f t="shared" si="8"/>
        <v>In-period</v>
      </c>
      <c r="AU34" s="513" t="str">
        <f t="shared" si="8"/>
        <v>In-period</v>
      </c>
      <c r="AV34" s="513" t="str">
        <f t="shared" si="8"/>
        <v>In-period</v>
      </c>
      <c r="AW34" s="513" t="str">
        <f t="shared" si="8"/>
        <v>In-period</v>
      </c>
      <c r="AX34" s="513" t="str">
        <f t="shared" si="8"/>
        <v>In-period</v>
      </c>
      <c r="AY34" s="513" t="str">
        <f t="shared" si="8"/>
        <v>End of period</v>
      </c>
      <c r="AZ34" s="513" t="str">
        <f t="shared" si="8"/>
        <v/>
      </c>
      <c r="BA34" s="513" t="str">
        <f t="shared" si="8"/>
        <v/>
      </c>
      <c r="BB34" s="513" t="str">
        <f t="shared" si="8"/>
        <v/>
      </c>
      <c r="BC34" s="514" t="str">
        <f t="shared" si="8"/>
        <v/>
      </c>
      <c r="BD34" s="513"/>
      <c r="BE34" s="513"/>
      <c r="BF34" s="513"/>
      <c r="BG34" s="513"/>
      <c r="BH34" s="513"/>
      <c r="BI34" s="513"/>
      <c r="BJ34" s="513"/>
      <c r="BK34" s="513"/>
      <c r="BL34" s="513"/>
      <c r="BM34" s="513"/>
      <c r="BN34" s="513"/>
      <c r="BO34" s="513"/>
      <c r="BP34" s="513"/>
      <c r="BQ34" s="513"/>
      <c r="BR34" s="513"/>
      <c r="BS34" s="513"/>
    </row>
    <row r="35" spans="1:71" s="202" customFormat="1" ht="13.15">
      <c r="A35" s="453"/>
      <c r="B35" s="453"/>
      <c r="C35" s="453"/>
      <c r="D35" s="453"/>
      <c r="E35" s="453"/>
      <c r="F35" s="453"/>
      <c r="G35" s="453"/>
      <c r="H35" s="453"/>
      <c r="I35" s="453"/>
      <c r="J35" s="490"/>
      <c r="K35" s="490"/>
      <c r="L35" s="490"/>
      <c r="M35" s="490"/>
      <c r="N35" s="490"/>
      <c r="O35" s="490"/>
      <c r="P35" s="490"/>
      <c r="Q35" s="491"/>
      <c r="R35" s="490"/>
      <c r="S35" s="490"/>
      <c r="T35" s="490"/>
      <c r="U35" s="490"/>
      <c r="V35" s="490"/>
      <c r="W35" s="490"/>
      <c r="X35" s="490"/>
      <c r="Y35" s="490"/>
      <c r="Z35" s="490"/>
      <c r="AA35" s="490"/>
      <c r="AB35" s="490"/>
      <c r="AC35" s="490"/>
      <c r="AD35" s="490"/>
      <c r="AE35" s="490"/>
      <c r="AF35" s="490"/>
      <c r="AG35" s="490"/>
      <c r="AH35" s="490"/>
      <c r="AI35" s="490"/>
      <c r="AJ35" s="490"/>
      <c r="AK35" s="491"/>
      <c r="AL35" s="490"/>
      <c r="AM35" s="490"/>
      <c r="AN35" s="490"/>
      <c r="AO35" s="491"/>
      <c r="AP35" s="490"/>
      <c r="AQ35" s="490"/>
      <c r="AR35" s="490"/>
      <c r="AS35" s="490"/>
      <c r="AT35" s="490"/>
      <c r="AU35" s="490"/>
      <c r="AV35" s="490"/>
      <c r="AW35" s="490"/>
      <c r="AX35" s="490"/>
      <c r="AY35" s="490"/>
      <c r="AZ35" s="490"/>
      <c r="BA35" s="490"/>
      <c r="BB35" s="490"/>
      <c r="BC35" s="491"/>
      <c r="BD35" s="490"/>
      <c r="BE35" s="490"/>
      <c r="BF35" s="490"/>
      <c r="BG35" s="490"/>
      <c r="BH35" s="490"/>
      <c r="BI35" s="490"/>
      <c r="BJ35" s="490"/>
      <c r="BK35" s="490"/>
      <c r="BL35" s="490"/>
      <c r="BM35" s="490"/>
      <c r="BN35" s="490"/>
      <c r="BO35" s="490"/>
      <c r="BP35" s="490"/>
      <c r="BQ35" s="490"/>
      <c r="BR35" s="490"/>
      <c r="BS35" s="490"/>
    </row>
    <row r="36" spans="1:71" s="202" customFormat="1" ht="13.15">
      <c r="A36" s="453"/>
      <c r="B36" s="453"/>
      <c r="C36" s="453"/>
      <c r="D36" s="453"/>
      <c r="E36" s="453" t="s">
        <v>1174</v>
      </c>
      <c r="F36" s="453"/>
      <c r="G36" s="453" t="s">
        <v>418</v>
      </c>
      <c r="H36" s="453"/>
      <c r="I36" s="453"/>
      <c r="J36" s="505" t="b">
        <v>1</v>
      </c>
      <c r="K36" s="505" t="b">
        <v>1</v>
      </c>
      <c r="L36" s="505" t="b">
        <v>1</v>
      </c>
      <c r="M36" s="505" t="b">
        <v>1</v>
      </c>
      <c r="N36" s="505" t="b">
        <v>1</v>
      </c>
      <c r="O36" s="505" t="b">
        <v>1</v>
      </c>
      <c r="P36" s="505" t="b">
        <v>1</v>
      </c>
      <c r="Q36" s="506" t="b">
        <v>1</v>
      </c>
      <c r="R36" s="505" t="b">
        <v>1</v>
      </c>
      <c r="S36" s="505" t="b">
        <v>1</v>
      </c>
      <c r="T36" s="505" t="b">
        <v>1</v>
      </c>
      <c r="U36" s="505" t="b">
        <v>1</v>
      </c>
      <c r="V36" s="505" t="b">
        <v>1</v>
      </c>
      <c r="W36" s="505" t="b">
        <v>1</v>
      </c>
      <c r="X36" s="505" t="b">
        <v>1</v>
      </c>
      <c r="Y36" s="505" t="b">
        <v>1</v>
      </c>
      <c r="Z36" s="505" t="b">
        <v>1</v>
      </c>
      <c r="AA36" s="505" t="b">
        <v>1</v>
      </c>
      <c r="AB36" s="505" t="b">
        <v>1</v>
      </c>
      <c r="AC36" s="505" t="b">
        <v>1</v>
      </c>
      <c r="AD36" s="505" t="b">
        <v>1</v>
      </c>
      <c r="AE36" s="505" t="b">
        <v>1</v>
      </c>
      <c r="AF36" s="505" t="b">
        <v>1</v>
      </c>
      <c r="AG36" s="505" t="b">
        <v>1</v>
      </c>
      <c r="AH36" s="505" t="b">
        <v>1</v>
      </c>
      <c r="AI36" s="505" t="b">
        <v>1</v>
      </c>
      <c r="AJ36" s="505" t="b">
        <v>1</v>
      </c>
      <c r="AK36" s="506" t="b">
        <v>1</v>
      </c>
      <c r="AL36" s="505" t="b">
        <v>1</v>
      </c>
      <c r="AM36" s="505" t="b">
        <v>1</v>
      </c>
      <c r="AN36" s="505" t="b">
        <v>1</v>
      </c>
      <c r="AO36" s="506" t="b">
        <v>1</v>
      </c>
      <c r="AP36" s="505" t="b">
        <v>1</v>
      </c>
      <c r="AQ36" s="505" t="b">
        <v>1</v>
      </c>
      <c r="AR36" s="505" t="b">
        <v>1</v>
      </c>
      <c r="AS36" s="505" t="b">
        <v>1</v>
      </c>
      <c r="AT36" s="505" t="b">
        <v>1</v>
      </c>
      <c r="AU36" s="505" t="b">
        <v>1</v>
      </c>
      <c r="AV36" s="505" t="b">
        <v>1</v>
      </c>
      <c r="AW36" s="505" t="b">
        <v>1</v>
      </c>
      <c r="AX36" s="505" t="b">
        <v>1</v>
      </c>
      <c r="AY36" s="505" t="b">
        <v>1</v>
      </c>
      <c r="AZ36" s="505" t="b">
        <v>1</v>
      </c>
      <c r="BA36" s="505" t="b">
        <v>1</v>
      </c>
      <c r="BB36" s="505" t="b">
        <v>1</v>
      </c>
      <c r="BC36" s="506" t="b">
        <v>1</v>
      </c>
      <c r="BD36" s="548" t="b">
        <v>0</v>
      </c>
      <c r="BE36" s="548" t="b">
        <v>0</v>
      </c>
      <c r="BF36" s="548" t="b">
        <v>0</v>
      </c>
      <c r="BG36" s="548" t="b">
        <v>0</v>
      </c>
      <c r="BH36" s="548" t="b">
        <v>0</v>
      </c>
      <c r="BI36" s="548" t="b">
        <v>0</v>
      </c>
      <c r="BJ36" s="548" t="b">
        <v>0</v>
      </c>
      <c r="BK36" s="548" t="b">
        <v>0</v>
      </c>
      <c r="BL36" s="548" t="b">
        <v>0</v>
      </c>
      <c r="BM36" s="548" t="b">
        <v>0</v>
      </c>
      <c r="BN36" s="548" t="b">
        <v>0</v>
      </c>
      <c r="BO36" s="548" t="b">
        <v>0</v>
      </c>
      <c r="BP36" s="548" t="b">
        <v>0</v>
      </c>
      <c r="BQ36" s="548" t="b">
        <v>0</v>
      </c>
      <c r="BR36" s="548" t="b">
        <v>0</v>
      </c>
      <c r="BS36" s="548" t="b">
        <v>0</v>
      </c>
    </row>
    <row r="37" spans="1:71" s="202" customFormat="1" ht="13.15">
      <c r="A37" s="453"/>
      <c r="B37" s="453"/>
      <c r="C37" s="453"/>
      <c r="D37" s="453"/>
      <c r="E37" s="453"/>
      <c r="F37" s="453"/>
      <c r="G37" s="453"/>
      <c r="H37" s="453"/>
      <c r="I37" s="453"/>
      <c r="J37" s="490"/>
      <c r="K37" s="490"/>
      <c r="L37" s="490"/>
      <c r="M37" s="490"/>
      <c r="N37" s="490"/>
      <c r="O37" s="490"/>
      <c r="P37" s="490"/>
      <c r="Q37" s="491"/>
      <c r="R37" s="490"/>
      <c r="S37" s="490"/>
      <c r="T37" s="490"/>
      <c r="U37" s="490"/>
      <c r="V37" s="490"/>
      <c r="W37" s="490"/>
      <c r="X37" s="490"/>
      <c r="Y37" s="490"/>
      <c r="Z37" s="490"/>
      <c r="AA37" s="490"/>
      <c r="AB37" s="490"/>
      <c r="AC37" s="490"/>
      <c r="AD37" s="490"/>
      <c r="AE37" s="490"/>
      <c r="AF37" s="490"/>
      <c r="AG37" s="490"/>
      <c r="AH37" s="490"/>
      <c r="AI37" s="490"/>
      <c r="AJ37" s="490"/>
      <c r="AK37" s="491"/>
      <c r="AL37" s="490"/>
      <c r="AM37" s="490"/>
      <c r="AN37" s="490"/>
      <c r="AO37" s="491"/>
      <c r="AP37" s="490"/>
      <c r="AQ37" s="490"/>
      <c r="AR37" s="490"/>
      <c r="AS37" s="490"/>
      <c r="AT37" s="490"/>
      <c r="AU37" s="490"/>
      <c r="AV37" s="490"/>
      <c r="AW37" s="490"/>
      <c r="AX37" s="490"/>
      <c r="AY37" s="490"/>
      <c r="AZ37" s="490"/>
      <c r="BA37" s="490"/>
      <c r="BB37" s="490"/>
      <c r="BC37" s="491"/>
      <c r="BD37" s="490"/>
      <c r="BE37" s="490"/>
      <c r="BF37" s="490"/>
      <c r="BG37" s="490"/>
      <c r="BH37" s="490"/>
      <c r="BI37" s="490"/>
      <c r="BJ37" s="490"/>
      <c r="BK37" s="490"/>
      <c r="BL37" s="490"/>
      <c r="BM37" s="490"/>
      <c r="BN37" s="490"/>
      <c r="BO37" s="490"/>
      <c r="BP37" s="490"/>
      <c r="BQ37" s="490"/>
      <c r="BR37" s="490"/>
      <c r="BS37" s="490"/>
    </row>
    <row r="38" spans="1:71" s="202" customFormat="1" ht="13.15">
      <c r="A38" s="453"/>
      <c r="B38" s="453"/>
      <c r="C38" s="453"/>
      <c r="D38" s="453"/>
      <c r="E38" s="453" t="s">
        <v>1175</v>
      </c>
      <c r="F38" s="453"/>
      <c r="G38" s="453" t="s">
        <v>1176</v>
      </c>
      <c r="H38" s="453"/>
      <c r="I38" s="453"/>
      <c r="J38" s="513" t="str">
        <f t="shared" ref="J38:Q38" si="9">IF(J$16="","",IF(INDEX(App1bdata,MATCH(J$16,App1bIDnrs,0),23)="","",INDEX(App1bdata,MATCH(J$16,App1bIDnrs,0),23)))</f>
        <v>Down</v>
      </c>
      <c r="K38" s="513" t="str">
        <f t="shared" si="9"/>
        <v>Down</v>
      </c>
      <c r="L38" s="1244" t="str">
        <f>IF(L$16="","",IF(INDEX(App1bdata,MATCH(L$16,App1bIDnrs,0),23)="","",INDEX(App1bdata,MATCH(L$16,App1bIDnrs,0),23)))</f>
        <v>Up</v>
      </c>
      <c r="M38" s="1244" t="str">
        <f t="shared" si="9"/>
        <v/>
      </c>
      <c r="N38" s="1244" t="str">
        <f t="shared" si="9"/>
        <v>Up</v>
      </c>
      <c r="O38" s="1244" t="str">
        <f t="shared" si="9"/>
        <v/>
      </c>
      <c r="P38" s="513" t="str">
        <f t="shared" si="9"/>
        <v>Down</v>
      </c>
      <c r="Q38" s="514" t="str">
        <f t="shared" si="9"/>
        <v>Down</v>
      </c>
      <c r="R38" s="513" t="str">
        <f t="shared" ref="R38:AK38" si="10">IF(R$16="","",IF(INDEX(App1data,MATCH(R$16,App1IDnrs,0),23)="","",INDEX(App1data,MATCH(R$16,App1IDnrs,0),23)))</f>
        <v>Down</v>
      </c>
      <c r="S38" s="513" t="str">
        <f t="shared" si="10"/>
        <v>Down</v>
      </c>
      <c r="T38" s="513" t="str">
        <f t="shared" si="10"/>
        <v>Down</v>
      </c>
      <c r="U38" s="513" t="str">
        <f t="shared" si="10"/>
        <v>Up</v>
      </c>
      <c r="V38" s="513" t="str">
        <f t="shared" si="10"/>
        <v>Down</v>
      </c>
      <c r="W38" s="513" t="str">
        <f t="shared" si="10"/>
        <v>Up</v>
      </c>
      <c r="X38" s="513" t="str">
        <f t="shared" si="10"/>
        <v>Down</v>
      </c>
      <c r="Y38" s="513" t="str">
        <f t="shared" si="10"/>
        <v>Down</v>
      </c>
      <c r="Z38" s="513" t="str">
        <f t="shared" si="10"/>
        <v>Up</v>
      </c>
      <c r="AA38" s="513" t="str">
        <f t="shared" si="10"/>
        <v/>
      </c>
      <c r="AB38" s="513" t="str">
        <f t="shared" si="10"/>
        <v/>
      </c>
      <c r="AC38" s="513" t="str">
        <f t="shared" si="10"/>
        <v/>
      </c>
      <c r="AD38" s="513" t="str">
        <f t="shared" si="10"/>
        <v/>
      </c>
      <c r="AE38" s="513" t="str">
        <f t="shared" si="10"/>
        <v/>
      </c>
      <c r="AF38" s="513" t="str">
        <f t="shared" si="10"/>
        <v/>
      </c>
      <c r="AG38" s="513" t="str">
        <f t="shared" si="10"/>
        <v/>
      </c>
      <c r="AH38" s="513" t="str">
        <f t="shared" si="10"/>
        <v/>
      </c>
      <c r="AI38" s="513" t="str">
        <f t="shared" si="10"/>
        <v/>
      </c>
      <c r="AJ38" s="513" t="str">
        <f t="shared" si="10"/>
        <v/>
      </c>
      <c r="AK38" s="514" t="str">
        <f t="shared" si="10"/>
        <v/>
      </c>
      <c r="AL38" s="513" t="str">
        <f>IF(AL$16="","",IF(INDEX(App1bdata,MATCH(AL$16,App1bIDnrs,0),23)="","",INDEX(App1bdata,MATCH(AL$16,App1bIDnrs,0),23)))</f>
        <v>Down</v>
      </c>
      <c r="AM38" s="513" t="str">
        <f>IF(AM$16="","",IF(INDEX(App1bdata,MATCH(AM$16,App1bIDnrs,0),23)="","",INDEX(App1bdata,MATCH(AM$16,App1bIDnrs,0),23)))</f>
        <v>Down</v>
      </c>
      <c r="AN38" s="513" t="str">
        <f>IF(AN$16="","",IF(INDEX(App1bdata,MATCH(AN$16,App1bIDnrs,0),23)="","",INDEX(App1bdata,MATCH(AN$16,App1bIDnrs,0),23)))</f>
        <v>Down</v>
      </c>
      <c r="AO38" s="514" t="str">
        <f>IF(AO$16="","",IF(INDEX(App1bdata,MATCH(AO$16,App1bIDnrs,0),23)="","",INDEX(App1bdata,MATCH(AO$16,App1bIDnrs,0),23)))</f>
        <v>Up</v>
      </c>
      <c r="AP38" s="513" t="str">
        <f t="shared" ref="AP38:BC38" si="11">IF(AP$16="","",IF(INDEX(App1data,MATCH(AP$16,App1IDnrs,0),23)="","",INDEX(App1data,MATCH(AP$16,App1IDnrs,0),23)))</f>
        <v>Up</v>
      </c>
      <c r="AQ38" s="513" t="str">
        <f t="shared" si="11"/>
        <v>Up</v>
      </c>
      <c r="AR38" s="513" t="str">
        <f t="shared" si="11"/>
        <v>Up</v>
      </c>
      <c r="AS38" s="513" t="str">
        <f t="shared" si="11"/>
        <v>Up</v>
      </c>
      <c r="AT38" s="513" t="str">
        <f t="shared" si="11"/>
        <v>Up</v>
      </c>
      <c r="AU38" s="513" t="str">
        <f t="shared" si="11"/>
        <v>Up</v>
      </c>
      <c r="AV38" s="513" t="str">
        <f t="shared" si="11"/>
        <v>Up</v>
      </c>
      <c r="AW38" s="513" t="str">
        <f t="shared" si="11"/>
        <v>Up</v>
      </c>
      <c r="AX38" s="513" t="str">
        <f t="shared" si="11"/>
        <v>Down</v>
      </c>
      <c r="AY38" s="513" t="str">
        <f t="shared" si="11"/>
        <v>Up</v>
      </c>
      <c r="AZ38" s="513" t="str">
        <f t="shared" si="11"/>
        <v/>
      </c>
      <c r="BA38" s="513" t="str">
        <f t="shared" si="11"/>
        <v/>
      </c>
      <c r="BB38" s="513" t="str">
        <f t="shared" si="11"/>
        <v/>
      </c>
      <c r="BC38" s="514" t="str">
        <f t="shared" si="11"/>
        <v/>
      </c>
      <c r="BD38" s="513"/>
      <c r="BE38" s="513"/>
      <c r="BF38" s="513"/>
      <c r="BG38" s="513"/>
      <c r="BH38" s="513"/>
      <c r="BI38" s="513"/>
      <c r="BJ38" s="513"/>
      <c r="BK38" s="513"/>
      <c r="BL38" s="513"/>
      <c r="BM38" s="513"/>
      <c r="BN38" s="513"/>
      <c r="BO38" s="513"/>
      <c r="BP38" s="513"/>
      <c r="BQ38" s="513"/>
      <c r="BR38" s="513"/>
      <c r="BS38" s="513"/>
    </row>
    <row r="39" spans="1:71" s="202" customFormat="1" ht="13.15">
      <c r="A39" s="453"/>
      <c r="B39" s="453"/>
      <c r="C39" s="453"/>
      <c r="D39" s="453"/>
      <c r="E39" s="453"/>
      <c r="F39" s="453"/>
      <c r="G39" s="453"/>
      <c r="H39" s="453"/>
      <c r="I39" s="453"/>
      <c r="J39" s="490"/>
      <c r="K39" s="490"/>
      <c r="L39" s="490"/>
      <c r="M39" s="490"/>
      <c r="N39" s="490"/>
      <c r="O39" s="490"/>
      <c r="P39" s="490"/>
      <c r="Q39" s="491"/>
      <c r="R39" s="490"/>
      <c r="S39" s="490"/>
      <c r="T39" s="490"/>
      <c r="U39" s="490"/>
      <c r="V39" s="490"/>
      <c r="W39" s="490"/>
      <c r="X39" s="490"/>
      <c r="Y39" s="490"/>
      <c r="Z39" s="490"/>
      <c r="AA39" s="490"/>
      <c r="AB39" s="490"/>
      <c r="AC39" s="490"/>
      <c r="AD39" s="490"/>
      <c r="AE39" s="490"/>
      <c r="AF39" s="490"/>
      <c r="AG39" s="490"/>
      <c r="AH39" s="490"/>
      <c r="AI39" s="490"/>
      <c r="AJ39" s="490"/>
      <c r="AK39" s="491"/>
      <c r="AL39" s="490"/>
      <c r="AM39" s="490"/>
      <c r="AN39" s="490"/>
      <c r="AO39" s="491"/>
      <c r="AP39" s="490"/>
      <c r="AQ39" s="490"/>
      <c r="AR39" s="490"/>
      <c r="AS39" s="490"/>
      <c r="AT39" s="490"/>
      <c r="AU39" s="490"/>
      <c r="AV39" s="490"/>
      <c r="AW39" s="490"/>
      <c r="AX39" s="490"/>
      <c r="AY39" s="490"/>
      <c r="AZ39" s="490"/>
      <c r="BA39" s="490"/>
      <c r="BB39" s="490"/>
      <c r="BC39" s="491"/>
      <c r="BD39" s="490"/>
      <c r="BE39" s="490"/>
      <c r="BF39" s="490"/>
      <c r="BG39" s="490"/>
      <c r="BH39" s="490"/>
      <c r="BI39" s="490"/>
      <c r="BJ39" s="490"/>
      <c r="BK39" s="490"/>
      <c r="BL39" s="490"/>
      <c r="BM39" s="490"/>
      <c r="BN39" s="490"/>
      <c r="BO39" s="490"/>
      <c r="BP39" s="490"/>
      <c r="BQ39" s="490"/>
      <c r="BR39" s="490"/>
      <c r="BS39" s="490"/>
    </row>
    <row r="40" spans="1:71" s="202" customFormat="1" ht="13.15">
      <c r="A40" s="453"/>
      <c r="B40" s="453"/>
      <c r="C40" s="453"/>
      <c r="D40" s="453"/>
      <c r="E40" s="453" t="s">
        <v>115</v>
      </c>
      <c r="F40" s="453"/>
      <c r="G40" s="453" t="s">
        <v>396</v>
      </c>
      <c r="H40" s="453"/>
      <c r="I40" s="453"/>
      <c r="J40" s="513">
        <f t="shared" ref="J40:Q40" si="12">IF(J$16="","",IF(INDEX(App1bdata,MATCH(J$16,App1bIDnrs,0),22)="","",INDEX(App1bdata,MATCH(J$16,App1bIDnrs,0),22)))</f>
        <v>2</v>
      </c>
      <c r="K40" s="513">
        <f t="shared" si="12"/>
        <v>0</v>
      </c>
      <c r="L40" s="513">
        <f t="shared" si="12"/>
        <v>1</v>
      </c>
      <c r="M40" s="513" t="str">
        <f t="shared" si="12"/>
        <v/>
      </c>
      <c r="N40" s="513">
        <f t="shared" si="12"/>
        <v>1</v>
      </c>
      <c r="O40" s="513" t="str">
        <f t="shared" si="12"/>
        <v/>
      </c>
      <c r="P40" s="513">
        <f t="shared" si="12"/>
        <v>1</v>
      </c>
      <c r="Q40" s="514">
        <f t="shared" si="12"/>
        <v>2</v>
      </c>
      <c r="R40" s="513">
        <f t="shared" ref="R40:AK40" si="13">IF(R$16="","",IF(INDEX(App1data,MATCH(R$16,App1IDnrs,0),22)="","",INDEX(App1data,MATCH(R$16,App1IDnrs,0),22)))</f>
        <v>2</v>
      </c>
      <c r="S40" s="513">
        <f t="shared" si="13"/>
        <v>2</v>
      </c>
      <c r="T40" s="513">
        <f t="shared" si="13"/>
        <v>0</v>
      </c>
      <c r="U40" s="513">
        <f t="shared" si="13"/>
        <v>0</v>
      </c>
      <c r="V40" s="513">
        <f t="shared" si="13"/>
        <v>2</v>
      </c>
      <c r="W40" s="513">
        <f t="shared" si="13"/>
        <v>0</v>
      </c>
      <c r="X40" s="513">
        <f t="shared" si="13"/>
        <v>0</v>
      </c>
      <c r="Y40" s="513">
        <f t="shared" si="13"/>
        <v>0</v>
      </c>
      <c r="Z40" s="513">
        <f t="shared" si="13"/>
        <v>1</v>
      </c>
      <c r="AA40" s="513" t="str">
        <f t="shared" si="13"/>
        <v/>
      </c>
      <c r="AB40" s="513" t="str">
        <f t="shared" si="13"/>
        <v/>
      </c>
      <c r="AC40" s="513" t="str">
        <f t="shared" si="13"/>
        <v/>
      </c>
      <c r="AD40" s="513" t="str">
        <f t="shared" si="13"/>
        <v/>
      </c>
      <c r="AE40" s="513" t="str">
        <f t="shared" si="13"/>
        <v/>
      </c>
      <c r="AF40" s="513" t="str">
        <f t="shared" si="13"/>
        <v/>
      </c>
      <c r="AG40" s="513" t="str">
        <f t="shared" si="13"/>
        <v/>
      </c>
      <c r="AH40" s="513" t="str">
        <f t="shared" si="13"/>
        <v/>
      </c>
      <c r="AI40" s="513" t="str">
        <f t="shared" si="13"/>
        <v/>
      </c>
      <c r="AJ40" s="513" t="str">
        <f t="shared" si="13"/>
        <v/>
      </c>
      <c r="AK40" s="514" t="str">
        <f t="shared" si="13"/>
        <v/>
      </c>
      <c r="AL40" s="513">
        <f>IF(AL$16="","",IF(INDEX(App1bdata,MATCH(AL$16,App1bIDnrs,0),22)="","",INDEX(App1bdata,MATCH(AL$16,App1bIDnrs,0),22)))</f>
        <v>2</v>
      </c>
      <c r="AM40" s="513">
        <f>IF(AM$16="","",IF(INDEX(App1bdata,MATCH(AM$16,App1bIDnrs,0),22)="","",INDEX(App1bdata,MATCH(AM$16,App1bIDnrs,0),22)))</f>
        <v>2</v>
      </c>
      <c r="AN40" s="513">
        <f>IF(AN$16="","",IF(INDEX(App1bdata,MATCH(AN$16,App1bIDnrs,0),22)="","",INDEX(App1bdata,MATCH(AN$16,App1bIDnrs,0),22)))</f>
        <v>2</v>
      </c>
      <c r="AO40" s="514">
        <f>IF(AO$16="","",IF(INDEX(App1bdata,MATCH(AO$16,App1bIDnrs,0),22)="","",INDEX(App1bdata,MATCH(AO$16,App1bIDnrs,0),22)))</f>
        <v>2</v>
      </c>
      <c r="AP40" s="513">
        <f t="shared" ref="AP40:BC40" si="14">IF(AP$16="","",IF(INDEX(App1data,MATCH(AP$16,App1IDnrs,0),22)="","",INDEX(App1data,MATCH(AP$16,App1IDnrs,0),22)))</f>
        <v>0</v>
      </c>
      <c r="AQ40" s="513">
        <f t="shared" si="14"/>
        <v>2</v>
      </c>
      <c r="AR40" s="513">
        <f t="shared" si="14"/>
        <v>2</v>
      </c>
      <c r="AS40" s="513">
        <f t="shared" si="14"/>
        <v>2</v>
      </c>
      <c r="AT40" s="513">
        <f t="shared" si="14"/>
        <v>0</v>
      </c>
      <c r="AU40" s="513">
        <f t="shared" si="14"/>
        <v>0</v>
      </c>
      <c r="AV40" s="513">
        <f t="shared" si="14"/>
        <v>0</v>
      </c>
      <c r="AW40" s="513">
        <f t="shared" si="14"/>
        <v>0</v>
      </c>
      <c r="AX40" s="513">
        <f t="shared" si="14"/>
        <v>0</v>
      </c>
      <c r="AY40" s="513">
        <f t="shared" si="14"/>
        <v>0</v>
      </c>
      <c r="AZ40" s="513" t="str">
        <f t="shared" si="14"/>
        <v/>
      </c>
      <c r="BA40" s="513" t="str">
        <f t="shared" si="14"/>
        <v/>
      </c>
      <c r="BB40" s="513" t="str">
        <f t="shared" si="14"/>
        <v/>
      </c>
      <c r="BC40" s="514" t="str">
        <f t="shared" si="14"/>
        <v/>
      </c>
      <c r="BD40" s="513"/>
      <c r="BE40" s="513"/>
      <c r="BF40" s="513"/>
      <c r="BG40" s="513"/>
      <c r="BH40" s="513"/>
      <c r="BI40" s="513"/>
      <c r="BJ40" s="513"/>
      <c r="BK40" s="513"/>
      <c r="BL40" s="513"/>
      <c r="BM40" s="513"/>
      <c r="BN40" s="513"/>
      <c r="BO40" s="513"/>
      <c r="BP40" s="513"/>
      <c r="BQ40" s="513"/>
      <c r="BR40" s="513"/>
      <c r="BS40" s="513"/>
    </row>
    <row r="41" spans="1:71" s="202" customFormat="1" ht="13.15">
      <c r="A41" s="453"/>
      <c r="B41" s="453"/>
      <c r="C41" s="453"/>
      <c r="D41" s="453"/>
      <c r="E41" s="453"/>
      <c r="F41" s="453"/>
      <c r="G41" s="453"/>
      <c r="H41" s="453"/>
      <c r="I41" s="453"/>
      <c r="J41" s="494"/>
      <c r="K41" s="494"/>
      <c r="L41" s="494"/>
      <c r="M41" s="494"/>
      <c r="N41" s="494"/>
      <c r="O41" s="494"/>
      <c r="P41" s="494"/>
      <c r="Q41" s="496"/>
      <c r="R41" s="494"/>
      <c r="S41" s="494"/>
      <c r="T41" s="494"/>
      <c r="U41" s="494"/>
      <c r="V41" s="494"/>
      <c r="W41" s="494"/>
      <c r="X41" s="494"/>
      <c r="Y41" s="494"/>
      <c r="Z41" s="494"/>
      <c r="AA41" s="494"/>
      <c r="AB41" s="494"/>
      <c r="AC41" s="494"/>
      <c r="AD41" s="494"/>
      <c r="AE41" s="494"/>
      <c r="AF41" s="494"/>
      <c r="AG41" s="494"/>
      <c r="AH41" s="494"/>
      <c r="AI41" s="494"/>
      <c r="AJ41" s="494"/>
      <c r="AK41" s="496"/>
      <c r="AL41" s="494"/>
      <c r="AM41" s="494"/>
      <c r="AN41" s="494"/>
      <c r="AO41" s="496"/>
      <c r="AP41" s="494"/>
      <c r="AQ41" s="494"/>
      <c r="AR41" s="494"/>
      <c r="AS41" s="494"/>
      <c r="AT41" s="494"/>
      <c r="AU41" s="494"/>
      <c r="AV41" s="494"/>
      <c r="AW41" s="494"/>
      <c r="AX41" s="494"/>
      <c r="AY41" s="494"/>
      <c r="AZ41" s="494"/>
      <c r="BA41" s="494"/>
      <c r="BB41" s="494"/>
      <c r="BC41" s="496"/>
      <c r="BD41" s="494"/>
      <c r="BE41" s="494"/>
      <c r="BF41" s="494"/>
      <c r="BG41" s="494"/>
      <c r="BH41" s="494"/>
      <c r="BI41" s="494"/>
      <c r="BJ41" s="494"/>
      <c r="BK41" s="494"/>
      <c r="BL41" s="494"/>
      <c r="BM41" s="494"/>
      <c r="BN41" s="494"/>
      <c r="BO41" s="494"/>
      <c r="BP41" s="494"/>
      <c r="BQ41" s="494"/>
      <c r="BR41" s="494"/>
      <c r="BS41" s="494"/>
    </row>
    <row r="42" spans="1:71" s="202" customFormat="1" ht="13.15">
      <c r="A42" s="453"/>
      <c r="B42" s="453"/>
      <c r="C42" s="453"/>
      <c r="D42" s="463" t="s">
        <v>1177</v>
      </c>
      <c r="E42" s="453"/>
      <c r="F42" s="453"/>
      <c r="G42" s="453"/>
      <c r="H42" s="453"/>
      <c r="I42" s="453"/>
      <c r="J42" s="490"/>
      <c r="K42" s="490"/>
      <c r="L42" s="490"/>
      <c r="M42" s="490"/>
      <c r="N42" s="490"/>
      <c r="O42" s="490"/>
      <c r="P42" s="490"/>
      <c r="Q42" s="491"/>
      <c r="R42" s="490"/>
      <c r="S42" s="490"/>
      <c r="T42" s="490"/>
      <c r="U42" s="490"/>
      <c r="V42" s="490"/>
      <c r="W42" s="490"/>
      <c r="X42" s="490"/>
      <c r="Y42" s="490"/>
      <c r="Z42" s="490"/>
      <c r="AA42" s="490"/>
      <c r="AB42" s="490"/>
      <c r="AC42" s="490"/>
      <c r="AD42" s="490"/>
      <c r="AE42" s="490"/>
      <c r="AF42" s="490"/>
      <c r="AG42" s="490"/>
      <c r="AH42" s="490"/>
      <c r="AI42" s="490"/>
      <c r="AJ42" s="490"/>
      <c r="AK42" s="491"/>
      <c r="AL42" s="490"/>
      <c r="AM42" s="490"/>
      <c r="AN42" s="490"/>
      <c r="AO42" s="491"/>
      <c r="AP42" s="490"/>
      <c r="AQ42" s="490"/>
      <c r="AR42" s="490"/>
      <c r="AS42" s="490"/>
      <c r="AT42" s="490"/>
      <c r="AU42" s="490"/>
      <c r="AV42" s="490"/>
      <c r="AW42" s="490"/>
      <c r="AX42" s="490"/>
      <c r="AY42" s="490"/>
      <c r="AZ42" s="490"/>
      <c r="BA42" s="490"/>
      <c r="BB42" s="490"/>
      <c r="BC42" s="491"/>
      <c r="BD42" s="490"/>
      <c r="BE42" s="490"/>
      <c r="BF42" s="490"/>
      <c r="BG42" s="490"/>
      <c r="BH42" s="490"/>
      <c r="BI42" s="490"/>
      <c r="BJ42" s="490"/>
      <c r="BK42" s="490"/>
      <c r="BL42" s="490"/>
      <c r="BM42" s="490"/>
      <c r="BN42" s="490"/>
      <c r="BO42" s="490"/>
      <c r="BP42" s="490"/>
      <c r="BQ42" s="490"/>
      <c r="BR42" s="490"/>
      <c r="BS42" s="490"/>
    </row>
    <row r="43" spans="1:71" s="202" customFormat="1" ht="13.15">
      <c r="A43" s="453"/>
      <c r="B43" s="453"/>
      <c r="C43" s="453"/>
      <c r="D43" s="453"/>
      <c r="E43" s="453" t="s">
        <v>994</v>
      </c>
      <c r="F43" s="453"/>
      <c r="G43" s="453" t="s">
        <v>1158</v>
      </c>
      <c r="H43" s="453"/>
      <c r="I43" s="515"/>
      <c r="J43" s="516" t="str">
        <f>IF(J$16="","",IF(INDEX(App1bdata,MATCH(J$16,App1bIDnrs,0),VLOOKUP(InpCompany!$F$8,ProfileInps,2,0))="","",INDEX(App1bdata,MATCH(J$16,App1bIDnrs,0),VLOOKUP(InpCompany!$F$8,ProfileInps,2,0))))</f>
        <v/>
      </c>
      <c r="K43" s="517">
        <f>IF(K$16="","",IF(INDEX(App1bdata,MATCH(K$16,App1bIDnrs,0),VLOOKUP(InpCompany!$F$8,ProfileInps,2,0))="","",INDEX(App1bdata,MATCH(K$16,App1bIDnrs,0),VLOOKUP(InpCompany!$F$8,ProfileInps,2,0))))</f>
        <v>1.6550925925925928E-3</v>
      </c>
      <c r="L43" s="1246">
        <f>IF(L$16="","",IF(INDEX(App1bdata,MATCH(L$16,App1bIDnrs,0),VLOOKUP(InpCompany!$F$8,ProfileInps,2,0))="","",INDEX(App1bdata,MATCH(L$16,App1bIDnrs,0),VLOOKUP(InpCompany!$F$8,ProfileInps,2,0))))</f>
        <v>20.7</v>
      </c>
      <c r="M43" s="1246" t="str">
        <f>IF(M$16="","",IF(INDEX(App1bdata,MATCH(M$16,App1bIDnrs,0),VLOOKUP(InpCompany!$F$8,ProfileInps,2,0))="","",INDEX(App1bdata,MATCH(M$16,App1bIDnrs,0),VLOOKUP(InpCompany!$F$8,ProfileInps,2,0))))</f>
        <v/>
      </c>
      <c r="N43" s="1246">
        <f>IF(N$16="","",IF(INDEX(App1bdata,MATCH(N$16,App1bIDnrs,0),VLOOKUP(InpCompany!$F$8,ProfileInps,2,0))="","",INDEX(App1bdata,MATCH(N$16,App1bIDnrs,0),VLOOKUP(InpCompany!$F$8,ProfileInps,2,0))))</f>
        <v>7.5</v>
      </c>
      <c r="O43" s="1246" t="str">
        <f>IF(O$16="","",IF(INDEX(App1bdata,MATCH(O$16,App1bIDnrs,0),VLOOKUP(InpCompany!$F$8,ProfileInps,2,0))="","",INDEX(App1bdata,MATCH(O$16,App1bIDnrs,0),VLOOKUP(InpCompany!$F$8,ProfileInps,2,0))))</f>
        <v/>
      </c>
      <c r="P43" s="516">
        <f>IF(P$16="","",IF(INDEX(App1bdata,MATCH(P$16,App1bIDnrs,0),VLOOKUP(InpCompany!$F$8,ProfileInps,2,0))="","",INDEX(App1bdata,MATCH(P$16,App1bIDnrs,0),VLOOKUP(InpCompany!$F$8,ProfileInps,2,0))))</f>
        <v>75</v>
      </c>
      <c r="Q43" s="518" t="str">
        <f>IF(Q$16="","",IF(INDEX(App1bdata,MATCH(Q$16,App1bIDnrs,0),VLOOKUP(InpCompany!$F$8,ProfileInps,2,0))="","",INDEX(App1bdata,MATCH(Q$16,App1bIDnrs,0),VLOOKUP(InpCompany!$F$8,ProfileInps,2,0))))</f>
        <v/>
      </c>
      <c r="R43" s="516" t="str">
        <f>IF(R$16="","",IF(INDEX(App1data,MATCH(R$16,App1IDnrs,0),VLOOKUP(InpCompany!$F$8,ProfileInps,2,0))="","",INDEX(App1data,MATCH(R$16,App1IDnrs,0),VLOOKUP(InpCompany!$F$8,ProfileInps,2,0))))</f>
        <v/>
      </c>
      <c r="S43" s="516">
        <f>IF(S$16="","",IF(INDEX(App1data,MATCH(S$16,App1IDnrs,0),VLOOKUP(InpCompany!$F$8,ProfileInps,2,0))="","",INDEX(App1data,MATCH(S$16,App1IDnrs,0),VLOOKUP(InpCompany!$F$8,ProfileInps,2,0))))</f>
        <v>0.16</v>
      </c>
      <c r="T43" s="516">
        <f>IF(T$16="","",IF(INDEX(App1data,MATCH(T$16,App1IDnrs,0),VLOOKUP(InpCompany!$F$8,ProfileInps,2,0))="","",INDEX(App1data,MATCH(T$16,App1IDnrs,0),VLOOKUP(InpCompany!$F$8,ProfileInps,2,0))))</f>
        <v>-16</v>
      </c>
      <c r="U43" s="516">
        <f>IF(U$16="","",IF(INDEX(App1data,MATCH(U$16,App1IDnrs,0),VLOOKUP(InpCompany!$F$8,ProfileInps,2,0))="","",INDEX(App1data,MATCH(U$16,App1IDnrs,0),VLOOKUP(InpCompany!$F$8,ProfileInps,2,0))))</f>
        <v>17644</v>
      </c>
      <c r="V43" s="516">
        <f>IF(V$16="","",IF(INDEX(App1data,MATCH(V$16,App1IDnrs,0),VLOOKUP(InpCompany!$F$8,ProfileInps,2,0))="","",INDEX(App1data,MATCH(V$16,App1IDnrs,0),VLOOKUP(InpCompany!$F$8,ProfileInps,2,0))))</f>
        <v>1.62</v>
      </c>
      <c r="W43" s="516">
        <f>IF(W$16="","",IF(INDEX(App1data,MATCH(W$16,App1IDnrs,0),VLOOKUP(InpCompany!$F$8,ProfileInps,2,0))="","",INDEX(App1data,MATCH(W$16,App1IDnrs,0),VLOOKUP(InpCompany!$F$8,ProfileInps,2,0))))</f>
        <v>2158</v>
      </c>
      <c r="X43" s="516" t="str">
        <f>IF(X$16="","",IF(INDEX(App1data,MATCH(X$16,App1IDnrs,0),VLOOKUP(InpCompany!$F$8,ProfileInps,2,0))="","",INDEX(App1data,MATCH(X$16,App1IDnrs,0),VLOOKUP(InpCompany!$F$8,ProfileInps,2,0))))</f>
        <v/>
      </c>
      <c r="Y43" s="516" t="str">
        <f>IF(Y$16="","",IF(INDEX(App1data,MATCH(Y$16,App1IDnrs,0),VLOOKUP(InpCompany!$F$8,ProfileInps,2,0))="","",INDEX(App1data,MATCH(Y$16,App1IDnrs,0),VLOOKUP(InpCompany!$F$8,ProfileInps,2,0))))</f>
        <v/>
      </c>
      <c r="Z43" s="516" t="str">
        <f>IF(Z$16="","",IF(INDEX(App1data,MATCH(Z$16,App1IDnrs,0),VLOOKUP(InpCompany!$F$8,ProfileInps,2,0))="","",INDEX(App1data,MATCH(Z$16,App1IDnrs,0),VLOOKUP(InpCompany!$F$8,ProfileInps,2,0))))</f>
        <v/>
      </c>
      <c r="AA43" s="516" t="str">
        <f>IF(AA$16="","",IF(INDEX(App1data,MATCH(AA$16,App1IDnrs,0),VLOOKUP(InpCompany!$F$8,ProfileInps,2,0))="","",INDEX(App1data,MATCH(AA$16,App1IDnrs,0),VLOOKUP(InpCompany!$F$8,ProfileInps,2,0))))</f>
        <v/>
      </c>
      <c r="AB43" s="516" t="str">
        <f>IF(AB$16="","",IF(INDEX(App1data,MATCH(AB$16,App1IDnrs,0),VLOOKUP(InpCompany!$F$8,ProfileInps,2,0))="","",INDEX(App1data,MATCH(AB$16,App1IDnrs,0),VLOOKUP(InpCompany!$F$8,ProfileInps,2,0))))</f>
        <v/>
      </c>
      <c r="AC43" s="516" t="str">
        <f>IF(AC$16="","",IF(INDEX(App1data,MATCH(AC$16,App1IDnrs,0),VLOOKUP(InpCompany!$F$8,ProfileInps,2,0))="","",INDEX(App1data,MATCH(AC$16,App1IDnrs,0),VLOOKUP(InpCompany!$F$8,ProfileInps,2,0))))</f>
        <v/>
      </c>
      <c r="AD43" s="516" t="str">
        <f>IF(AD$16="","",IF(INDEX(App1data,MATCH(AD$16,App1IDnrs,0),VLOOKUP(InpCompany!$F$8,ProfileInps,2,0))="","",INDEX(App1data,MATCH(AD$16,App1IDnrs,0),VLOOKUP(InpCompany!$F$8,ProfileInps,2,0))))</f>
        <v/>
      </c>
      <c r="AE43" s="516" t="str">
        <f>IF(AE$16="","",IF(INDEX(App1data,MATCH(AE$16,App1IDnrs,0),VLOOKUP(InpCompany!$F$8,ProfileInps,2,0))="","",INDEX(App1data,MATCH(AE$16,App1IDnrs,0),VLOOKUP(InpCompany!$F$8,ProfileInps,2,0))))</f>
        <v/>
      </c>
      <c r="AF43" s="516" t="str">
        <f>IF(AF$16="","",IF(INDEX(App1data,MATCH(AF$16,App1IDnrs,0),VLOOKUP(InpCompany!$F$8,ProfileInps,2,0))="","",INDEX(App1data,MATCH(AF$16,App1IDnrs,0),VLOOKUP(InpCompany!$F$8,ProfileInps,2,0))))</f>
        <v/>
      </c>
      <c r="AG43" s="516" t="str">
        <f>IF(AG$16="","",IF(INDEX(App1data,MATCH(AG$16,App1IDnrs,0),VLOOKUP(InpCompany!$F$8,ProfileInps,2,0))="","",INDEX(App1data,MATCH(AG$16,App1IDnrs,0),VLOOKUP(InpCompany!$F$8,ProfileInps,2,0))))</f>
        <v/>
      </c>
      <c r="AH43" s="516" t="str">
        <f>IF(AH$16="","",IF(INDEX(App1data,MATCH(AH$16,App1IDnrs,0),VLOOKUP(InpCompany!$F$8,ProfileInps,2,0))="","",INDEX(App1data,MATCH(AH$16,App1IDnrs,0),VLOOKUP(InpCompany!$F$8,ProfileInps,2,0))))</f>
        <v/>
      </c>
      <c r="AI43" s="516" t="str">
        <f>IF(AI$16="","",IF(INDEX(App1data,MATCH(AI$16,App1IDnrs,0),VLOOKUP(InpCompany!$F$8,ProfileInps,2,0))="","",INDEX(App1data,MATCH(AI$16,App1IDnrs,0),VLOOKUP(InpCompany!$F$8,ProfileInps,2,0))))</f>
        <v/>
      </c>
      <c r="AJ43" s="516" t="str">
        <f>IF(AJ$16="","",IF(INDEX(App1data,MATCH(AJ$16,App1IDnrs,0),VLOOKUP(InpCompany!$F$8,ProfileInps,2,0))="","",INDEX(App1data,MATCH(AJ$16,App1IDnrs,0),VLOOKUP(InpCompany!$F$8,ProfileInps,2,0))))</f>
        <v/>
      </c>
      <c r="AK43" s="518" t="str">
        <f>IF(AK$16="","",IF(INDEX(App1data,MATCH(AK$16,App1IDnrs,0),VLOOKUP(InpCompany!$F$8,ProfileInps,2,0))="","",INDEX(App1data,MATCH(AK$16,App1IDnrs,0),VLOOKUP(InpCompany!$F$8,ProfileInps,2,0))))</f>
        <v/>
      </c>
      <c r="AL43" s="516">
        <f>IF(AL$16="","",IF(INDEX(App1bdata,MATCH(AL$16,App1bIDnrs,0),VLOOKUP(InpCompany!$F$8,ProfileInps,2,0))="","",INDEX(App1bdata,MATCH(AL$16,App1bIDnrs,0),VLOOKUP(InpCompany!$F$8,ProfileInps,2,0))))</f>
        <v>1.1399999999999999</v>
      </c>
      <c r="AM43" s="516">
        <f>IF(AM$16="","",IF(INDEX(App1bdata,MATCH(AM$16,App1bIDnrs,0),VLOOKUP(InpCompany!$F$8,ProfileInps,2,0))="","",INDEX(App1bdata,MATCH(AM$16,App1bIDnrs,0),VLOOKUP(InpCompany!$F$8,ProfileInps,2,0))))</f>
        <v>16.47</v>
      </c>
      <c r="AN43" s="516" t="str">
        <f>IF(AN$16="","",IF(INDEX(App1bdata,MATCH(AN$16,App1bIDnrs,0),VLOOKUP(InpCompany!$F$8,ProfileInps,2,0))="","",INDEX(App1bdata,MATCH(AN$16,App1bIDnrs,0),VLOOKUP(InpCompany!$F$8,ProfileInps,2,0))))</f>
        <v/>
      </c>
      <c r="AO43" s="518" t="str">
        <f>IF(AO$16="","",IF(INDEX(App1bdata,MATCH(AO$16,App1bIDnrs,0),VLOOKUP(InpCompany!$F$8,ProfileInps,2,0))="","",INDEX(App1bdata,MATCH(AO$16,App1bIDnrs,0),VLOOKUP(InpCompany!$F$8,ProfileInps,2,0))))</f>
        <v/>
      </c>
      <c r="AP43" s="516">
        <f>IF(AP$16="","",IF(INDEX(App1data,MATCH(AP$16,App1IDnrs,0),VLOOKUP(InpCompany!$F$8,ProfileInps,2,0))="","",INDEX(App1data,MATCH(AP$16,App1IDnrs,0),VLOOKUP(InpCompany!$F$8,ProfileInps,2,0))))</f>
        <v>5070</v>
      </c>
      <c r="AQ43" s="516">
        <f>IF(AQ$16="","",IF(INDEX(App1data,MATCH(AQ$16,App1IDnrs,0),VLOOKUP(InpCompany!$F$8,ProfileInps,2,0))="","",INDEX(App1data,MATCH(AQ$16,App1IDnrs,0),VLOOKUP(InpCompany!$F$8,ProfileInps,2,0))))</f>
        <v>27</v>
      </c>
      <c r="AR43" s="516" t="str">
        <f>IF(AR$16="","",IF(INDEX(App1data,MATCH(AR$16,App1IDnrs,0),VLOOKUP(InpCompany!$F$8,ProfileInps,2,0))="","",INDEX(App1data,MATCH(AR$16,App1IDnrs,0),VLOOKUP(InpCompany!$F$8,ProfileInps,2,0))))</f>
        <v/>
      </c>
      <c r="AS43" s="516" t="str">
        <f>IF(AS$16="","",IF(INDEX(App1data,MATCH(AS$16,App1IDnrs,0),VLOOKUP(InpCompany!$F$8,ProfileInps,2,0))="","",INDEX(App1data,MATCH(AS$16,App1IDnrs,0),VLOOKUP(InpCompany!$F$8,ProfileInps,2,0))))</f>
        <v/>
      </c>
      <c r="AT43" s="516" t="str">
        <f>IF(AT$16="","",IF(INDEX(App1data,MATCH(AT$16,App1IDnrs,0),VLOOKUP(InpCompany!$F$8,ProfileInps,2,0))="","",INDEX(App1data,MATCH(AT$16,App1IDnrs,0),VLOOKUP(InpCompany!$F$8,ProfileInps,2,0))))</f>
        <v/>
      </c>
      <c r="AU43" s="516" t="str">
        <f>IF(AU$16="","",IF(INDEX(App1data,MATCH(AU$16,App1IDnrs,0),VLOOKUP(InpCompany!$F$8,ProfileInps,2,0))="","",INDEX(App1data,MATCH(AU$16,App1IDnrs,0),VLOOKUP(InpCompany!$F$8,ProfileInps,2,0))))</f>
        <v/>
      </c>
      <c r="AV43" s="516" t="str">
        <f>IF(AV$16="","",IF(INDEX(App1data,MATCH(AV$16,App1IDnrs,0),VLOOKUP(InpCompany!$F$8,ProfileInps,2,0))="","",INDEX(App1data,MATCH(AV$16,App1IDnrs,0),VLOOKUP(InpCompany!$F$8,ProfileInps,2,0))))</f>
        <v/>
      </c>
      <c r="AW43" s="516">
        <f>IF(AW$16="","",IF(INDEX(App1data,MATCH(AW$16,App1IDnrs,0),VLOOKUP(InpCompany!$F$8,ProfileInps,2,0))="","",INDEX(App1data,MATCH(AW$16,App1IDnrs,0),VLOOKUP(InpCompany!$F$8,ProfileInps,2,0))))</f>
        <v>64835</v>
      </c>
      <c r="AX43" s="516">
        <f>IF(AX$16="","",IF(INDEX(App1data,MATCH(AX$16,App1IDnrs,0),VLOOKUP(InpCompany!$F$8,ProfileInps,2,0))="","",INDEX(App1data,MATCH(AX$16,App1IDnrs,0),VLOOKUP(InpCompany!$F$8,ProfileInps,2,0))))</f>
        <v>3348</v>
      </c>
      <c r="AY43" s="516" t="str">
        <f>IF(AY$16="","",IF(INDEX(App1data,MATCH(AY$16,App1IDnrs,0),VLOOKUP(InpCompany!$F$8,ProfileInps,2,0))="","",INDEX(App1data,MATCH(AY$16,App1IDnrs,0),VLOOKUP(InpCompany!$F$8,ProfileInps,2,0))))</f>
        <v/>
      </c>
      <c r="AZ43" s="516" t="str">
        <f>IF(AZ$16="","",IF(INDEX(App1data,MATCH(AZ$16,App1IDnrs,0),VLOOKUP(InpCompany!$F$8,ProfileInps,2,0))="","",INDEX(App1data,MATCH(AZ$16,App1IDnrs,0),VLOOKUP(InpCompany!$F$8,ProfileInps,2,0))))</f>
        <v/>
      </c>
      <c r="BA43" s="516" t="str">
        <f>IF(BA$16="","",IF(INDEX(App1data,MATCH(BA$16,App1IDnrs,0),VLOOKUP(InpCompany!$F$8,ProfileInps,2,0))="","",INDEX(App1data,MATCH(BA$16,App1IDnrs,0),VLOOKUP(InpCompany!$F$8,ProfileInps,2,0))))</f>
        <v/>
      </c>
      <c r="BB43" s="516" t="str">
        <f>IF(BB$16="","",IF(INDEX(App1data,MATCH(BB$16,App1IDnrs,0),VLOOKUP(InpCompany!$F$8,ProfileInps,2,0))="","",INDEX(App1data,MATCH(BB$16,App1IDnrs,0),VLOOKUP(InpCompany!$F$8,ProfileInps,2,0))))</f>
        <v/>
      </c>
      <c r="BC43" s="518" t="str">
        <f>IF(BC$16="","",IF(INDEX(App1data,MATCH(BC$16,App1IDnrs,0),VLOOKUP(InpCompany!$F$8,ProfileInps,2,0))="","",INDEX(App1data,MATCH(BC$16,App1IDnrs,0),VLOOKUP(InpCompany!$F$8,ProfileInps,2,0))))</f>
        <v/>
      </c>
      <c r="BD43" s="516"/>
      <c r="BE43" s="516"/>
      <c r="BF43" s="516"/>
      <c r="BG43" s="516"/>
      <c r="BH43" s="516"/>
      <c r="BI43" s="516"/>
      <c r="BJ43" s="516"/>
      <c r="BK43" s="516"/>
      <c r="BL43" s="516"/>
      <c r="BM43" s="516"/>
      <c r="BN43" s="516"/>
      <c r="BO43" s="516"/>
      <c r="BP43" s="516"/>
      <c r="BQ43" s="516"/>
      <c r="BR43" s="516"/>
      <c r="BS43" s="516"/>
    </row>
    <row r="44" spans="1:71" s="202" customFormat="1" ht="13.15">
      <c r="A44" s="453"/>
      <c r="B44" s="453"/>
      <c r="C44" s="453"/>
      <c r="D44" s="453"/>
      <c r="E44" s="453" t="s">
        <v>995</v>
      </c>
      <c r="F44" s="453"/>
      <c r="G44" s="453" t="s">
        <v>1158</v>
      </c>
      <c r="H44" s="453"/>
      <c r="I44" s="515"/>
      <c r="J44" s="516" t="str">
        <f>IF(J$16="","",IF(INDEX(App1bdata,MATCH(J$16,App1bIDnrs,0),VLOOKUP(InpCompany!$F$8,ProfileInps,3,0))="","",INDEX(App1bdata,MATCH(J$16,App1bIDnrs,0),VLOOKUP(InpCompany!$F$8,ProfileInps,3,0))))</f>
        <v/>
      </c>
      <c r="K44" s="517" t="str">
        <f>IF(K$16="","",IF(INDEX(App1bdata,MATCH(K$16,App1bIDnrs,0),VLOOKUP(InpCompany!$F$8,ProfileInps,3,0))="","",INDEX(App1bdata,MATCH(K$16,App1bIDnrs,0),VLOOKUP(InpCompany!$F$8,ProfileInps,3,0))))</f>
        <v/>
      </c>
      <c r="L44" s="1246" t="str">
        <f>IF(L$16="","",IF(INDEX(App1bdata,MATCH(L$16,App1bIDnrs,0),VLOOKUP(InpCompany!$F$8,ProfileInps,3,0))="","",INDEX(App1bdata,MATCH(L$16,App1bIDnrs,0),VLOOKUP(InpCompany!$F$8,ProfileInps,3,0))))</f>
        <v/>
      </c>
      <c r="M44" s="1246" t="str">
        <f>IF(M$16="","",IF(INDEX(App1bdata,MATCH(M$16,App1bIDnrs,0),VLOOKUP(InpCompany!$F$8,ProfileInps,3,0))="","",INDEX(App1bdata,MATCH(M$16,App1bIDnrs,0),VLOOKUP(InpCompany!$F$8,ProfileInps,3,0))))</f>
        <v/>
      </c>
      <c r="N44" s="1246" t="str">
        <f>IF(N$16="","",IF(INDEX(App1bdata,MATCH(N$16,App1bIDnrs,0),VLOOKUP(InpCompany!$F$8,ProfileInps,3,0))="","",INDEX(App1bdata,MATCH(N$16,App1bIDnrs,0),VLOOKUP(InpCompany!$F$8,ProfileInps,3,0))))</f>
        <v/>
      </c>
      <c r="O44" s="1246" t="str">
        <f>IF(O$16="","",IF(INDEX(App1bdata,MATCH(O$16,App1bIDnrs,0),VLOOKUP(InpCompany!$F$8,ProfileInps,3,0))="","",INDEX(App1bdata,MATCH(O$16,App1bIDnrs,0),VLOOKUP(InpCompany!$F$8,ProfileInps,3,0))))</f>
        <v/>
      </c>
      <c r="P44" s="516" t="str">
        <f>IF(P$16="","",IF(INDEX(App1bdata,MATCH(P$16,App1bIDnrs,0),VLOOKUP(InpCompany!$F$8,ProfileInps,3,0))="","",INDEX(App1bdata,MATCH(P$16,App1bIDnrs,0),VLOOKUP(InpCompany!$F$8,ProfileInps,3,0))))</f>
        <v/>
      </c>
      <c r="Q44" s="518" t="str">
        <f>IF(Q$16="","",IF(INDEX(App1bdata,MATCH(Q$16,App1bIDnrs,0),VLOOKUP(InpCompany!$F$8,ProfileInps,3,0))="","",INDEX(App1bdata,MATCH(Q$16,App1bIDnrs,0),VLOOKUP(InpCompany!$F$8,ProfileInps,3,0))))</f>
        <v/>
      </c>
      <c r="R44" s="516" t="str">
        <f>IF(R$16="","",IF(INDEX(App1data,MATCH(R$16,App1IDnrs,0),VLOOKUP(InpCompany!$F$8,ProfileInps,3,0))="","",INDEX(App1data,MATCH(R$16,App1IDnrs,0),VLOOKUP(InpCompany!$F$8,ProfileInps,3,0))))</f>
        <v/>
      </c>
      <c r="S44" s="516" t="str">
        <f>IF(S$16="","",IF(INDEX(App1data,MATCH(S$16,App1IDnrs,0),VLOOKUP(InpCompany!$F$8,ProfileInps,3,0))="","",INDEX(App1data,MATCH(S$16,App1IDnrs,0),VLOOKUP(InpCompany!$F$8,ProfileInps,3,0))))</f>
        <v/>
      </c>
      <c r="T44" s="516" t="str">
        <f>IF(T$16="","",IF(INDEX(App1data,MATCH(T$16,App1IDnrs,0),VLOOKUP(InpCompany!$F$8,ProfileInps,3,0))="","",INDEX(App1data,MATCH(T$16,App1IDnrs,0),VLOOKUP(InpCompany!$F$8,ProfileInps,3,0))))</f>
        <v/>
      </c>
      <c r="U44" s="516">
        <f>IF(U$16="","",IF(INDEX(App1data,MATCH(U$16,App1IDnrs,0),VLOOKUP(InpCompany!$F$8,ProfileInps,3,0))="","",INDEX(App1data,MATCH(U$16,App1IDnrs,0),VLOOKUP(InpCompany!$F$8,ProfileInps,3,0))))</f>
        <v>0</v>
      </c>
      <c r="V44" s="516" t="str">
        <f>IF(V$16="","",IF(INDEX(App1data,MATCH(V$16,App1IDnrs,0),VLOOKUP(InpCompany!$F$8,ProfileInps,3,0))="","",INDEX(App1data,MATCH(V$16,App1IDnrs,0),VLOOKUP(InpCompany!$F$8,ProfileInps,3,0))))</f>
        <v/>
      </c>
      <c r="W44" s="516" t="str">
        <f>IF(W$16="","",IF(INDEX(App1data,MATCH(W$16,App1IDnrs,0),VLOOKUP(InpCompany!$F$8,ProfileInps,3,0))="","",INDEX(App1data,MATCH(W$16,App1IDnrs,0),VLOOKUP(InpCompany!$F$8,ProfileInps,3,0))))</f>
        <v/>
      </c>
      <c r="X44" s="516" t="str">
        <f>IF(X$16="","",IF(INDEX(App1data,MATCH(X$16,App1IDnrs,0),VLOOKUP(InpCompany!$F$8,ProfileInps,3,0))="","",INDEX(App1data,MATCH(X$16,App1IDnrs,0),VLOOKUP(InpCompany!$F$8,ProfileInps,3,0))))</f>
        <v/>
      </c>
      <c r="Y44" s="516" t="str">
        <f>IF(Y$16="","",IF(INDEX(App1data,MATCH(Y$16,App1IDnrs,0),VLOOKUP(InpCompany!$F$8,ProfileInps,3,0))="","",INDEX(App1data,MATCH(Y$16,App1IDnrs,0),VLOOKUP(InpCompany!$F$8,ProfileInps,3,0))))</f>
        <v/>
      </c>
      <c r="Z44" s="516" t="str">
        <f>IF(Z$16="","",IF(INDEX(App1data,MATCH(Z$16,App1IDnrs,0),VLOOKUP(InpCompany!$F$8,ProfileInps,3,0))="","",INDEX(App1data,MATCH(Z$16,App1IDnrs,0),VLOOKUP(InpCompany!$F$8,ProfileInps,3,0))))</f>
        <v/>
      </c>
      <c r="AA44" s="516" t="str">
        <f>IF(AA$16="","",IF(INDEX(App1data,MATCH(AA$16,App1IDnrs,0),VLOOKUP(InpCompany!$F$8,ProfileInps,3,0))="","",INDEX(App1data,MATCH(AA$16,App1IDnrs,0),VLOOKUP(InpCompany!$F$8,ProfileInps,3,0))))</f>
        <v/>
      </c>
      <c r="AB44" s="516" t="str">
        <f>IF(AB$16="","",IF(INDEX(App1data,MATCH(AB$16,App1IDnrs,0),VLOOKUP(InpCompany!$F$8,ProfileInps,3,0))="","",INDEX(App1data,MATCH(AB$16,App1IDnrs,0),VLOOKUP(InpCompany!$F$8,ProfileInps,3,0))))</f>
        <v/>
      </c>
      <c r="AC44" s="516" t="str">
        <f>IF(AC$16="","",IF(INDEX(App1data,MATCH(AC$16,App1IDnrs,0),VLOOKUP(InpCompany!$F$8,ProfileInps,3,0))="","",INDEX(App1data,MATCH(AC$16,App1IDnrs,0),VLOOKUP(InpCompany!$F$8,ProfileInps,3,0))))</f>
        <v/>
      </c>
      <c r="AD44" s="516" t="str">
        <f>IF(AD$16="","",IF(INDEX(App1data,MATCH(AD$16,App1IDnrs,0),VLOOKUP(InpCompany!$F$8,ProfileInps,3,0))="","",INDEX(App1data,MATCH(AD$16,App1IDnrs,0),VLOOKUP(InpCompany!$F$8,ProfileInps,3,0))))</f>
        <v/>
      </c>
      <c r="AE44" s="516" t="str">
        <f>IF(AE$16="","",IF(INDEX(App1data,MATCH(AE$16,App1IDnrs,0),VLOOKUP(InpCompany!$F$8,ProfileInps,3,0))="","",INDEX(App1data,MATCH(AE$16,App1IDnrs,0),VLOOKUP(InpCompany!$F$8,ProfileInps,3,0))))</f>
        <v/>
      </c>
      <c r="AF44" s="516" t="str">
        <f>IF(AF$16="","",IF(INDEX(App1data,MATCH(AF$16,App1IDnrs,0),VLOOKUP(InpCompany!$F$8,ProfileInps,3,0))="","",INDEX(App1data,MATCH(AF$16,App1IDnrs,0),VLOOKUP(InpCompany!$F$8,ProfileInps,3,0))))</f>
        <v/>
      </c>
      <c r="AG44" s="516" t="str">
        <f>IF(AG$16="","",IF(INDEX(App1data,MATCH(AG$16,App1IDnrs,0),VLOOKUP(InpCompany!$F$8,ProfileInps,3,0))="","",INDEX(App1data,MATCH(AG$16,App1IDnrs,0),VLOOKUP(InpCompany!$F$8,ProfileInps,3,0))))</f>
        <v/>
      </c>
      <c r="AH44" s="516" t="str">
        <f>IF(AH$16="","",IF(INDEX(App1data,MATCH(AH$16,App1IDnrs,0),VLOOKUP(InpCompany!$F$8,ProfileInps,3,0))="","",INDEX(App1data,MATCH(AH$16,App1IDnrs,0),VLOOKUP(InpCompany!$F$8,ProfileInps,3,0))))</f>
        <v/>
      </c>
      <c r="AI44" s="516" t="str">
        <f>IF(AI$16="","",IF(INDEX(App1data,MATCH(AI$16,App1IDnrs,0),VLOOKUP(InpCompany!$F$8,ProfileInps,3,0))="","",INDEX(App1data,MATCH(AI$16,App1IDnrs,0),VLOOKUP(InpCompany!$F$8,ProfileInps,3,0))))</f>
        <v/>
      </c>
      <c r="AJ44" s="516" t="str">
        <f>IF(AJ$16="","",IF(INDEX(App1data,MATCH(AJ$16,App1IDnrs,0),VLOOKUP(InpCompany!$F$8,ProfileInps,3,0))="","",INDEX(App1data,MATCH(AJ$16,App1IDnrs,0),VLOOKUP(InpCompany!$F$8,ProfileInps,3,0))))</f>
        <v/>
      </c>
      <c r="AK44" s="518" t="str">
        <f>IF(AK$16="","",IF(INDEX(App1data,MATCH(AK$16,App1IDnrs,0),VLOOKUP(InpCompany!$F$8,ProfileInps,3,0))="","",INDEX(App1data,MATCH(AK$16,App1IDnrs,0),VLOOKUP(InpCompany!$F$8,ProfileInps,3,0))))</f>
        <v/>
      </c>
      <c r="AL44" s="516" t="str">
        <f>IF(AL$16="","",IF(INDEX(App1bdata,MATCH(AL$16,App1bIDnrs,0),VLOOKUP(InpCompany!$F$8,ProfileInps,3,0))="","",INDEX(App1bdata,MATCH(AL$16,App1bIDnrs,0),VLOOKUP(InpCompany!$F$8,ProfileInps,3,0))))</f>
        <v/>
      </c>
      <c r="AM44" s="516" t="str">
        <f>IF(AM$16="","",IF(INDEX(App1bdata,MATCH(AM$16,App1bIDnrs,0),VLOOKUP(InpCompany!$F$8,ProfileInps,3,0))="","",INDEX(App1bdata,MATCH(AM$16,App1bIDnrs,0),VLOOKUP(InpCompany!$F$8,ProfileInps,3,0))))</f>
        <v/>
      </c>
      <c r="AN44" s="516" t="str">
        <f>IF(AN$16="","",IF(INDEX(App1bdata,MATCH(AN$16,App1bIDnrs,0),VLOOKUP(InpCompany!$F$8,ProfileInps,3,0))="","",INDEX(App1bdata,MATCH(AN$16,App1bIDnrs,0),VLOOKUP(InpCompany!$F$8,ProfileInps,3,0))))</f>
        <v/>
      </c>
      <c r="AO44" s="518" t="str">
        <f>IF(AO$16="","",IF(INDEX(App1bdata,MATCH(AO$16,App1bIDnrs,0),VLOOKUP(InpCompany!$F$8,ProfileInps,3,0))="","",INDEX(App1bdata,MATCH(AO$16,App1bIDnrs,0),VLOOKUP(InpCompany!$F$8,ProfileInps,3,0))))</f>
        <v/>
      </c>
      <c r="AP44" s="516">
        <f>IF(AP$16="","",IF(INDEX(App1data,MATCH(AP$16,App1IDnrs,0),VLOOKUP(InpCompany!$F$8,ProfileInps,3,0))="","",INDEX(App1data,MATCH(AP$16,App1IDnrs,0),VLOOKUP(InpCompany!$F$8,ProfileInps,3,0))))</f>
        <v>0</v>
      </c>
      <c r="AQ44" s="516" t="str">
        <f>IF(AQ$16="","",IF(INDEX(App1data,MATCH(AQ$16,App1IDnrs,0),VLOOKUP(InpCompany!$F$8,ProfileInps,3,0))="","",INDEX(App1data,MATCH(AQ$16,App1IDnrs,0),VLOOKUP(InpCompany!$F$8,ProfileInps,3,0))))</f>
        <v/>
      </c>
      <c r="AR44" s="516" t="str">
        <f>IF(AR$16="","",IF(INDEX(App1data,MATCH(AR$16,App1IDnrs,0),VLOOKUP(InpCompany!$F$8,ProfileInps,3,0))="","",INDEX(App1data,MATCH(AR$16,App1IDnrs,0),VLOOKUP(InpCompany!$F$8,ProfileInps,3,0))))</f>
        <v/>
      </c>
      <c r="AS44" s="516" t="str">
        <f>IF(AS$16="","",IF(INDEX(App1data,MATCH(AS$16,App1IDnrs,0),VLOOKUP(InpCompany!$F$8,ProfileInps,3,0))="","",INDEX(App1data,MATCH(AS$16,App1IDnrs,0),VLOOKUP(InpCompany!$F$8,ProfileInps,3,0))))</f>
        <v/>
      </c>
      <c r="AT44" s="516" t="str">
        <f>IF(AT$16="","",IF(INDEX(App1data,MATCH(AT$16,App1IDnrs,0),VLOOKUP(InpCompany!$F$8,ProfileInps,3,0))="","",INDEX(App1data,MATCH(AT$16,App1IDnrs,0),VLOOKUP(InpCompany!$F$8,ProfileInps,3,0))))</f>
        <v/>
      </c>
      <c r="AU44" s="516" t="str">
        <f>IF(AU$16="","",IF(INDEX(App1data,MATCH(AU$16,App1IDnrs,0),VLOOKUP(InpCompany!$F$8,ProfileInps,3,0))="","",INDEX(App1data,MATCH(AU$16,App1IDnrs,0),VLOOKUP(InpCompany!$F$8,ProfileInps,3,0))))</f>
        <v/>
      </c>
      <c r="AV44" s="516" t="str">
        <f>IF(AV$16="","",IF(INDEX(App1data,MATCH(AV$16,App1IDnrs,0),VLOOKUP(InpCompany!$F$8,ProfileInps,3,0))="","",INDEX(App1data,MATCH(AV$16,App1IDnrs,0),VLOOKUP(InpCompany!$F$8,ProfileInps,3,0))))</f>
        <v/>
      </c>
      <c r="AW44" s="516" t="str">
        <f>IF(AW$16="","",IF(INDEX(App1data,MATCH(AW$16,App1IDnrs,0),VLOOKUP(InpCompany!$F$8,ProfileInps,3,0))="","",INDEX(App1data,MATCH(AW$16,App1IDnrs,0),VLOOKUP(InpCompany!$F$8,ProfileInps,3,0))))</f>
        <v/>
      </c>
      <c r="AX44" s="516" t="str">
        <f>IF(AX$16="","",IF(INDEX(App1data,MATCH(AX$16,App1IDnrs,0),VLOOKUP(InpCompany!$F$8,ProfileInps,3,0))="","",INDEX(App1data,MATCH(AX$16,App1IDnrs,0),VLOOKUP(InpCompany!$F$8,ProfileInps,3,0))))</f>
        <v/>
      </c>
      <c r="AY44" s="516" t="str">
        <f>IF(AY$16="","",IF(INDEX(App1data,MATCH(AY$16,App1IDnrs,0),VLOOKUP(InpCompany!$F$8,ProfileInps,3,0))="","",INDEX(App1data,MATCH(AY$16,App1IDnrs,0),VLOOKUP(InpCompany!$F$8,ProfileInps,3,0))))</f>
        <v/>
      </c>
      <c r="AZ44" s="516" t="str">
        <f>IF(AZ$16="","",IF(INDEX(App1data,MATCH(AZ$16,App1IDnrs,0),VLOOKUP(InpCompany!$F$8,ProfileInps,3,0))="","",INDEX(App1data,MATCH(AZ$16,App1IDnrs,0),VLOOKUP(InpCompany!$F$8,ProfileInps,3,0))))</f>
        <v/>
      </c>
      <c r="BA44" s="516" t="str">
        <f>IF(BA$16="","",IF(INDEX(App1data,MATCH(BA$16,App1IDnrs,0),VLOOKUP(InpCompany!$F$8,ProfileInps,3,0))="","",INDEX(App1data,MATCH(BA$16,App1IDnrs,0),VLOOKUP(InpCompany!$F$8,ProfileInps,3,0))))</f>
        <v/>
      </c>
      <c r="BB44" s="516" t="str">
        <f>IF(BB$16="","",IF(INDEX(App1data,MATCH(BB$16,App1IDnrs,0),VLOOKUP(InpCompany!$F$8,ProfileInps,3,0))="","",INDEX(App1data,MATCH(BB$16,App1IDnrs,0),VLOOKUP(InpCompany!$F$8,ProfileInps,3,0))))</f>
        <v/>
      </c>
      <c r="BC44" s="518" t="str">
        <f>IF(BC$16="","",IF(INDEX(App1data,MATCH(BC$16,App1IDnrs,0),VLOOKUP(InpCompany!$F$8,ProfileInps,3,0))="","",INDEX(App1data,MATCH(BC$16,App1IDnrs,0),VLOOKUP(InpCompany!$F$8,ProfileInps,3,0))))</f>
        <v/>
      </c>
      <c r="BD44" s="516"/>
      <c r="BE44" s="516"/>
      <c r="BF44" s="516"/>
      <c r="BG44" s="516"/>
      <c r="BH44" s="516"/>
      <c r="BI44" s="516"/>
      <c r="BJ44" s="516"/>
      <c r="BK44" s="516"/>
      <c r="BL44" s="516"/>
      <c r="BM44" s="516"/>
      <c r="BN44" s="516"/>
      <c r="BO44" s="516"/>
      <c r="BP44" s="516"/>
      <c r="BQ44" s="516"/>
      <c r="BR44" s="516"/>
      <c r="BS44" s="516"/>
    </row>
    <row r="45" spans="1:71" s="202" customFormat="1" ht="13.15">
      <c r="A45" s="453"/>
      <c r="B45" s="453"/>
      <c r="C45" s="453"/>
      <c r="D45" s="453"/>
      <c r="E45" s="453" t="s">
        <v>996</v>
      </c>
      <c r="F45" s="453"/>
      <c r="G45" s="453" t="s">
        <v>1158</v>
      </c>
      <c r="H45" s="453"/>
      <c r="I45" s="515"/>
      <c r="J45" s="516">
        <f>IF(J$16="","",IF(INDEX(App1bdata,MATCH(J$16,App1bIDnrs,0),VLOOKUP(InpCompany!$F$8,ProfileInps,4,0))="","",INDEX(App1bdata,MATCH(J$16,App1bIDnrs,0),VLOOKUP(InpCompany!$F$8,ProfileInps,4,0))))</f>
        <v>0</v>
      </c>
      <c r="K45" s="517">
        <f>IF(K$16="","",IF(INDEX(App1bdata,MATCH(K$16,App1bIDnrs,0),VLOOKUP(InpCompany!$F$8,ProfileInps,4,0))="","",INDEX(App1bdata,MATCH(K$16,App1bIDnrs,0),VLOOKUP(InpCompany!$F$8,ProfileInps,4,0))))</f>
        <v>3.7384259259259263E-3</v>
      </c>
      <c r="L45" s="1246">
        <f>IF(L$16="","",IF(INDEX(App1bdata,MATCH(L$16,App1bIDnrs,0),VLOOKUP(InpCompany!$F$8,ProfileInps,4,0))="","",INDEX(App1bdata,MATCH(L$16,App1bIDnrs,0),VLOOKUP(InpCompany!$F$8,ProfileInps,4,0))))</f>
        <v>12</v>
      </c>
      <c r="M45" s="1246" t="str">
        <f>IF(M$16="","",IF(INDEX(App1bdata,MATCH(M$16,App1bIDnrs,0),VLOOKUP(InpCompany!$F$8,ProfileInps,4,0))="","",INDEX(App1bdata,MATCH(M$16,App1bIDnrs,0),VLOOKUP(InpCompany!$F$8,ProfileInps,4,0))))</f>
        <v/>
      </c>
      <c r="N45" s="1246">
        <f>IF(N$16="","",IF(INDEX(App1bdata,MATCH(N$16,App1bIDnrs,0),VLOOKUP(InpCompany!$F$8,ProfileInps,4,0))="","",INDEX(App1bdata,MATCH(N$16,App1bIDnrs,0),VLOOKUP(InpCompany!$F$8,ProfileInps,4,0))))</f>
        <v>6</v>
      </c>
      <c r="O45" s="1246" t="str">
        <f>IF(O$16="","",IF(INDEX(App1bdata,MATCH(O$16,App1bIDnrs,0),VLOOKUP(InpCompany!$F$8,ProfileInps,4,0))="","",INDEX(App1bdata,MATCH(O$16,App1bIDnrs,0),VLOOKUP(InpCompany!$F$8,ProfileInps,4,0))))</f>
        <v/>
      </c>
      <c r="P45" s="516">
        <f>IF(P$16="","",IF(INDEX(App1bdata,MATCH(P$16,App1bIDnrs,0),VLOOKUP(InpCompany!$F$8,ProfileInps,4,0))="","",INDEX(App1bdata,MATCH(P$16,App1bIDnrs,0),VLOOKUP(InpCompany!$F$8,ProfileInps,4,0))))</f>
        <v>97.4</v>
      </c>
      <c r="Q45" s="518">
        <f>IF(Q$16="","",IF(INDEX(App1bdata,MATCH(Q$16,App1bIDnrs,0),VLOOKUP(InpCompany!$F$8,ProfileInps,4,0))="","",INDEX(App1bdata,MATCH(Q$16,App1bIDnrs,0),VLOOKUP(InpCompany!$F$8,ProfileInps,4,0))))</f>
        <v>6.45</v>
      </c>
      <c r="R45" s="516">
        <f>IF(R$16="","",IF(INDEX(App1data,MATCH(R$16,App1IDnrs,0),VLOOKUP(InpCompany!$F$8,ProfileInps,4,0))="","",INDEX(App1data,MATCH(R$16,App1IDnrs,0),VLOOKUP(InpCompany!$F$8,ProfileInps,4,0))))</f>
        <v>0.55000000000000004</v>
      </c>
      <c r="S45" s="516">
        <f>IF(S$16="","",IF(INDEX(App1data,MATCH(S$16,App1IDnrs,0),VLOOKUP(InpCompany!$F$8,ProfileInps,4,0))="","",INDEX(App1data,MATCH(S$16,App1IDnrs,0),VLOOKUP(InpCompany!$F$8,ProfileInps,4,0))))</f>
        <v>0.22</v>
      </c>
      <c r="T45" s="516">
        <f>IF(T$16="","",IF(INDEX(App1data,MATCH(T$16,App1IDnrs,0),VLOOKUP(InpCompany!$F$8,ProfileInps,4,0))="","",INDEX(App1data,MATCH(T$16,App1IDnrs,0),VLOOKUP(InpCompany!$F$8,ProfileInps,4,0))))</f>
        <v>-15</v>
      </c>
      <c r="U45" s="516">
        <f>IF(U$16="","",IF(INDEX(App1data,MATCH(U$16,App1IDnrs,0),VLOOKUP(InpCompany!$F$8,ProfileInps,4,0))="","",INDEX(App1data,MATCH(U$16,App1IDnrs,0),VLOOKUP(InpCompany!$F$8,ProfileInps,4,0))))</f>
        <v>3529</v>
      </c>
      <c r="V45" s="516">
        <f>IF(V$16="","",IF(INDEX(App1data,MATCH(V$16,App1IDnrs,0),VLOOKUP(InpCompany!$F$8,ProfileInps,4,0))="","",INDEX(App1data,MATCH(V$16,App1IDnrs,0),VLOOKUP(InpCompany!$F$8,ProfileInps,4,0))))</f>
        <v>2.12</v>
      </c>
      <c r="W45" s="516">
        <f>IF(W$16="","",IF(INDEX(App1data,MATCH(W$16,App1IDnrs,0),VLOOKUP(InpCompany!$F$8,ProfileInps,4,0))="","",INDEX(App1data,MATCH(W$16,App1IDnrs,0),VLOOKUP(InpCompany!$F$8,ProfileInps,4,0))))</f>
        <v>43</v>
      </c>
      <c r="X45" s="516">
        <f>IF(X$16="","",IF(INDEX(App1data,MATCH(X$16,App1IDnrs,0),VLOOKUP(InpCompany!$F$8,ProfileInps,4,0))="","",INDEX(App1data,MATCH(X$16,App1IDnrs,0),VLOOKUP(InpCompany!$F$8,ProfileInps,4,0))))</f>
        <v>197</v>
      </c>
      <c r="Y45" s="516">
        <f>IF(Y$16="","",IF(INDEX(App1data,MATCH(Y$16,App1IDnrs,0),VLOOKUP(InpCompany!$F$8,ProfileInps,4,0))="","",INDEX(App1data,MATCH(Y$16,App1IDnrs,0),VLOOKUP(InpCompany!$F$8,ProfileInps,4,0))))</f>
        <v>0</v>
      </c>
      <c r="Z45" s="516">
        <f>IF(Z$16="","",IF(INDEX(App1data,MATCH(Z$16,App1IDnrs,0),VLOOKUP(InpCompany!$F$8,ProfileInps,4,0))="","",INDEX(App1data,MATCH(Z$16,App1IDnrs,0),VLOOKUP(InpCompany!$F$8,ProfileInps,4,0))))</f>
        <v>48.8</v>
      </c>
      <c r="AA45" s="516" t="str">
        <f>IF(AA$16="","",IF(INDEX(App1data,MATCH(AA$16,App1IDnrs,0),VLOOKUP(InpCompany!$F$8,ProfileInps,4,0))="","",INDEX(App1data,MATCH(AA$16,App1IDnrs,0),VLOOKUP(InpCompany!$F$8,ProfileInps,4,0))))</f>
        <v/>
      </c>
      <c r="AB45" s="516" t="str">
        <f>IF(AB$16="","",IF(INDEX(App1data,MATCH(AB$16,App1IDnrs,0),VLOOKUP(InpCompany!$F$8,ProfileInps,4,0))="","",INDEX(App1data,MATCH(AB$16,App1IDnrs,0),VLOOKUP(InpCompany!$F$8,ProfileInps,4,0))))</f>
        <v/>
      </c>
      <c r="AC45" s="516" t="str">
        <f>IF(AC$16="","",IF(INDEX(App1data,MATCH(AC$16,App1IDnrs,0),VLOOKUP(InpCompany!$F$8,ProfileInps,4,0))="","",INDEX(App1data,MATCH(AC$16,App1IDnrs,0),VLOOKUP(InpCompany!$F$8,ProfileInps,4,0))))</f>
        <v/>
      </c>
      <c r="AD45" s="516" t="str">
        <f>IF(AD$16="","",IF(INDEX(App1data,MATCH(AD$16,App1IDnrs,0),VLOOKUP(InpCompany!$F$8,ProfileInps,4,0))="","",INDEX(App1data,MATCH(AD$16,App1IDnrs,0),VLOOKUP(InpCompany!$F$8,ProfileInps,4,0))))</f>
        <v/>
      </c>
      <c r="AE45" s="516" t="str">
        <f>IF(AE$16="","",IF(INDEX(App1data,MATCH(AE$16,App1IDnrs,0),VLOOKUP(InpCompany!$F$8,ProfileInps,4,0))="","",INDEX(App1data,MATCH(AE$16,App1IDnrs,0),VLOOKUP(InpCompany!$F$8,ProfileInps,4,0))))</f>
        <v/>
      </c>
      <c r="AF45" s="516" t="str">
        <f>IF(AF$16="","",IF(INDEX(App1data,MATCH(AF$16,App1IDnrs,0),VLOOKUP(InpCompany!$F$8,ProfileInps,4,0))="","",INDEX(App1data,MATCH(AF$16,App1IDnrs,0),VLOOKUP(InpCompany!$F$8,ProfileInps,4,0))))</f>
        <v/>
      </c>
      <c r="AG45" s="516" t="str">
        <f>IF(AG$16="","",IF(INDEX(App1data,MATCH(AG$16,App1IDnrs,0),VLOOKUP(InpCompany!$F$8,ProfileInps,4,0))="","",INDEX(App1data,MATCH(AG$16,App1IDnrs,0),VLOOKUP(InpCompany!$F$8,ProfileInps,4,0))))</f>
        <v/>
      </c>
      <c r="AH45" s="516" t="str">
        <f>IF(AH$16="","",IF(INDEX(App1data,MATCH(AH$16,App1IDnrs,0),VLOOKUP(InpCompany!$F$8,ProfileInps,4,0))="","",INDEX(App1data,MATCH(AH$16,App1IDnrs,0),VLOOKUP(InpCompany!$F$8,ProfileInps,4,0))))</f>
        <v/>
      </c>
      <c r="AI45" s="516" t="str">
        <f>IF(AI$16="","",IF(INDEX(App1data,MATCH(AI$16,App1IDnrs,0),VLOOKUP(InpCompany!$F$8,ProfileInps,4,0))="","",INDEX(App1data,MATCH(AI$16,App1IDnrs,0),VLOOKUP(InpCompany!$F$8,ProfileInps,4,0))))</f>
        <v/>
      </c>
      <c r="AJ45" s="516" t="str">
        <f>IF(AJ$16="","",IF(INDEX(App1data,MATCH(AJ$16,App1IDnrs,0),VLOOKUP(InpCompany!$F$8,ProfileInps,4,0))="","",INDEX(App1data,MATCH(AJ$16,App1IDnrs,0),VLOOKUP(InpCompany!$F$8,ProfileInps,4,0))))</f>
        <v/>
      </c>
      <c r="AK45" s="518" t="str">
        <f>IF(AK$16="","",IF(INDEX(App1data,MATCH(AK$16,App1IDnrs,0),VLOOKUP(InpCompany!$F$8,ProfileInps,4,0))="","",INDEX(App1data,MATCH(AK$16,App1IDnrs,0),VLOOKUP(InpCompany!$F$8,ProfileInps,4,0))))</f>
        <v/>
      </c>
      <c r="AL45" s="516">
        <f>IF(AL$16="","",IF(INDEX(App1bdata,MATCH(AL$16,App1bIDnrs,0),VLOOKUP(InpCompany!$F$8,ProfileInps,4,0))="","",INDEX(App1bdata,MATCH(AL$16,App1bIDnrs,0),VLOOKUP(InpCompany!$F$8,ProfileInps,4,0))))</f>
        <v>1.44</v>
      </c>
      <c r="AM45" s="516">
        <f>IF(AM$16="","",IF(INDEX(App1bdata,MATCH(AM$16,App1bIDnrs,0),VLOOKUP(InpCompany!$F$8,ProfileInps,4,0))="","",INDEX(App1bdata,MATCH(AM$16,App1bIDnrs,0),VLOOKUP(InpCompany!$F$8,ProfileInps,4,0))))</f>
        <v>22.4</v>
      </c>
      <c r="AN45" s="516">
        <f>IF(AN$16="","",IF(INDEX(App1bdata,MATCH(AN$16,App1bIDnrs,0),VLOOKUP(InpCompany!$F$8,ProfileInps,4,0))="","",INDEX(App1bdata,MATCH(AN$16,App1bIDnrs,0),VLOOKUP(InpCompany!$F$8,ProfileInps,4,0))))</f>
        <v>5.53</v>
      </c>
      <c r="AO45" s="518">
        <f>IF(AO$16="","",IF(INDEX(App1bdata,MATCH(AO$16,App1bIDnrs,0),VLOOKUP(InpCompany!$F$8,ProfileInps,4,0))="","",INDEX(App1bdata,MATCH(AO$16,App1bIDnrs,0),VLOOKUP(InpCompany!$F$8,ProfileInps,4,0))))</f>
        <v>100</v>
      </c>
      <c r="AP45" s="516">
        <f>IF(AP$16="","",IF(INDEX(App1data,MATCH(AP$16,App1IDnrs,0),VLOOKUP(InpCompany!$F$8,ProfileInps,4,0))="","",INDEX(App1data,MATCH(AP$16,App1IDnrs,0),VLOOKUP(InpCompany!$F$8,ProfileInps,4,0))))</f>
        <v>0</v>
      </c>
      <c r="AQ45" s="516">
        <f>IF(AQ$16="","",IF(INDEX(App1data,MATCH(AQ$16,App1IDnrs,0),VLOOKUP(InpCompany!$F$8,ProfileInps,4,0))="","",INDEX(App1data,MATCH(AQ$16,App1IDnrs,0),VLOOKUP(InpCompany!$F$8,ProfileInps,4,0))))</f>
        <v>24</v>
      </c>
      <c r="AR45" s="516">
        <f>IF(AR$16="","",IF(INDEX(App1data,MATCH(AR$16,App1IDnrs,0),VLOOKUP(InpCompany!$F$8,ProfileInps,4,0))="","",INDEX(App1data,MATCH(AR$16,App1IDnrs,0),VLOOKUP(InpCompany!$F$8,ProfileInps,4,0))))</f>
        <v>100</v>
      </c>
      <c r="AS45" s="516">
        <f>IF(AS$16="","",IF(INDEX(App1data,MATCH(AS$16,App1IDnrs,0),VLOOKUP(InpCompany!$F$8,ProfileInps,4,0))="","",INDEX(App1data,MATCH(AS$16,App1IDnrs,0),VLOOKUP(InpCompany!$F$8,ProfileInps,4,0))))</f>
        <v>102.7</v>
      </c>
      <c r="AT45" s="516">
        <f>IF(AT$16="","",IF(INDEX(App1data,MATCH(AT$16,App1IDnrs,0),VLOOKUP(InpCompany!$F$8,ProfileInps,4,0))="","",INDEX(App1data,MATCH(AT$16,App1IDnrs,0),VLOOKUP(InpCompany!$F$8,ProfileInps,4,0))))</f>
        <v>57</v>
      </c>
      <c r="AU45" s="516">
        <f>IF(AU$16="","",IF(INDEX(App1data,MATCH(AU$16,App1IDnrs,0),VLOOKUP(InpCompany!$F$8,ProfileInps,4,0))="","",INDEX(App1data,MATCH(AU$16,App1IDnrs,0),VLOOKUP(InpCompany!$F$8,ProfileInps,4,0))))</f>
        <v>2</v>
      </c>
      <c r="AV45" s="516">
        <f>IF(AV$16="","",IF(INDEX(App1data,MATCH(AV$16,App1IDnrs,0),VLOOKUP(InpCompany!$F$8,ProfileInps,4,0))="","",INDEX(App1data,MATCH(AV$16,App1IDnrs,0),VLOOKUP(InpCompany!$F$8,ProfileInps,4,0))))</f>
        <v>1</v>
      </c>
      <c r="AW45" s="516">
        <f>IF(AW$16="","",IF(INDEX(App1data,MATCH(AW$16,App1IDnrs,0),VLOOKUP(InpCompany!$F$8,ProfileInps,4,0))="","",INDEX(App1data,MATCH(AW$16,App1IDnrs,0),VLOOKUP(InpCompany!$F$8,ProfileInps,4,0))))</f>
        <v>39730</v>
      </c>
      <c r="AX45" s="516">
        <f>IF(AX$16="","",IF(INDEX(App1data,MATCH(AX$16,App1IDnrs,0),VLOOKUP(InpCompany!$F$8,ProfileInps,4,0))="","",INDEX(App1data,MATCH(AX$16,App1IDnrs,0),VLOOKUP(InpCompany!$F$8,ProfileInps,4,0))))</f>
        <v>3702</v>
      </c>
      <c r="AY45" s="516">
        <f>IF(AY$16="","",IF(INDEX(App1data,MATCH(AY$16,App1IDnrs,0),VLOOKUP(InpCompany!$F$8,ProfileInps,4,0))="","",INDEX(App1data,MATCH(AY$16,App1IDnrs,0),VLOOKUP(InpCompany!$F$8,ProfileInps,4,0))))</f>
        <v>0</v>
      </c>
      <c r="AZ45" s="516" t="str">
        <f>IF(AZ$16="","",IF(INDEX(App1data,MATCH(AZ$16,App1IDnrs,0),VLOOKUP(InpCompany!$F$8,ProfileInps,4,0))="","",INDEX(App1data,MATCH(AZ$16,App1IDnrs,0),VLOOKUP(InpCompany!$F$8,ProfileInps,4,0))))</f>
        <v/>
      </c>
      <c r="BA45" s="516" t="str">
        <f>IF(BA$16="","",IF(INDEX(App1data,MATCH(BA$16,App1IDnrs,0),VLOOKUP(InpCompany!$F$8,ProfileInps,4,0))="","",INDEX(App1data,MATCH(BA$16,App1IDnrs,0),VLOOKUP(InpCompany!$F$8,ProfileInps,4,0))))</f>
        <v/>
      </c>
      <c r="BB45" s="516" t="str">
        <f>IF(BB$16="","",IF(INDEX(App1data,MATCH(BB$16,App1IDnrs,0),VLOOKUP(InpCompany!$F$8,ProfileInps,4,0))="","",INDEX(App1data,MATCH(BB$16,App1IDnrs,0),VLOOKUP(InpCompany!$F$8,ProfileInps,4,0))))</f>
        <v/>
      </c>
      <c r="BC45" s="518" t="str">
        <f>IF(BC$16="","",IF(INDEX(App1data,MATCH(BC$16,App1IDnrs,0),VLOOKUP(InpCompany!$F$8,ProfileInps,4,0))="","",INDEX(App1data,MATCH(BC$16,App1IDnrs,0),VLOOKUP(InpCompany!$F$8,ProfileInps,4,0))))</f>
        <v/>
      </c>
      <c r="BD45" s="516"/>
      <c r="BE45" s="516"/>
      <c r="BF45" s="516"/>
      <c r="BG45" s="516"/>
      <c r="BH45" s="516"/>
      <c r="BI45" s="516"/>
      <c r="BJ45" s="516"/>
      <c r="BK45" s="516"/>
      <c r="BL45" s="516"/>
      <c r="BM45" s="516"/>
      <c r="BN45" s="516"/>
      <c r="BO45" s="516"/>
      <c r="BP45" s="516"/>
      <c r="BQ45" s="516"/>
      <c r="BR45" s="516"/>
      <c r="BS45" s="516"/>
    </row>
    <row r="46" spans="1:71" s="202" customFormat="1" ht="13.15">
      <c r="A46" s="453"/>
      <c r="B46" s="453"/>
      <c r="C46" s="453"/>
      <c r="D46" s="453"/>
      <c r="E46" s="453" t="s">
        <v>997</v>
      </c>
      <c r="F46" s="453"/>
      <c r="G46" s="453" t="s">
        <v>1158</v>
      </c>
      <c r="H46" s="453"/>
      <c r="I46" s="515"/>
      <c r="J46" s="516">
        <f>IF(J$16="","",IF(INDEX(App1bdata,MATCH(J$16,App1bIDnrs,0),VLOOKUP(InpCompany!$F$8,ProfileInps,5,0))="","",INDEX(App1bdata,MATCH(J$16,App1bIDnrs,0),VLOOKUP(InpCompany!$F$8,ProfileInps,5,0))))</f>
        <v>2</v>
      </c>
      <c r="K46" s="517" t="str">
        <f>IF(K$16="","",IF(INDEX(App1bdata,MATCH(K$16,App1bIDnrs,0),VLOOKUP(InpCompany!$F$8,ProfileInps,5,0))="","",INDEX(App1bdata,MATCH(K$16,App1bIDnrs,0),VLOOKUP(InpCompany!$F$8,ProfileInps,5,0))))</f>
        <v/>
      </c>
      <c r="L46" s="1246" t="str">
        <f>IF(L$16="","",IF(INDEX(App1bdata,MATCH(L$16,App1bIDnrs,0),VLOOKUP(InpCompany!$F$8,ProfileInps,5,0))="","",INDEX(App1bdata,MATCH(L$16,App1bIDnrs,0),VLOOKUP(InpCompany!$F$8,ProfileInps,5,0))))</f>
        <v/>
      </c>
      <c r="M46" s="1246" t="str">
        <f>IF(M$16="","",IF(INDEX(App1bdata,MATCH(M$16,App1bIDnrs,0),VLOOKUP(InpCompany!$F$8,ProfileInps,5,0))="","",INDEX(App1bdata,MATCH(M$16,App1bIDnrs,0),VLOOKUP(InpCompany!$F$8,ProfileInps,5,0))))</f>
        <v/>
      </c>
      <c r="N46" s="1246" t="str">
        <f>IF(N$16="","",IF(INDEX(App1bdata,MATCH(N$16,App1bIDnrs,0),VLOOKUP(InpCompany!$F$8,ProfileInps,5,0))="","",INDEX(App1bdata,MATCH(N$16,App1bIDnrs,0),VLOOKUP(InpCompany!$F$8,ProfileInps,5,0))))</f>
        <v/>
      </c>
      <c r="O46" s="1246" t="str">
        <f>IF(O$16="","",IF(INDEX(App1bdata,MATCH(O$16,App1bIDnrs,0),VLOOKUP(InpCompany!$F$8,ProfileInps,5,0))="","",INDEX(App1bdata,MATCH(O$16,App1bIDnrs,0),VLOOKUP(InpCompany!$F$8,ProfileInps,5,0))))</f>
        <v/>
      </c>
      <c r="P46" s="516" t="str">
        <f>IF(P$16="","",IF(INDEX(App1bdata,MATCH(P$16,App1bIDnrs,0),VLOOKUP(InpCompany!$F$8,ProfileInps,5,0))="","",INDEX(App1bdata,MATCH(P$16,App1bIDnrs,0),VLOOKUP(InpCompany!$F$8,ProfileInps,5,0))))</f>
        <v/>
      </c>
      <c r="Q46" s="518" t="str">
        <f>IF(Q$16="","",IF(INDEX(App1bdata,MATCH(Q$16,App1bIDnrs,0),VLOOKUP(InpCompany!$F$8,ProfileInps,5,0))="","",INDEX(App1bdata,MATCH(Q$16,App1bIDnrs,0),VLOOKUP(InpCompany!$F$8,ProfileInps,5,0))))</f>
        <v/>
      </c>
      <c r="R46" s="516" t="str">
        <f>IF(R$16="","",IF(INDEX(App1data,MATCH(R$16,App1IDnrs,0),VLOOKUP(InpCompany!$F$8,ProfileInps,5,0))="","",INDEX(App1data,MATCH(R$16,App1IDnrs,0),VLOOKUP(InpCompany!$F$8,ProfileInps,5,0))))</f>
        <v/>
      </c>
      <c r="S46" s="516" t="str">
        <f>IF(S$16="","",IF(INDEX(App1data,MATCH(S$16,App1IDnrs,0),VLOOKUP(InpCompany!$F$8,ProfileInps,5,0))="","",INDEX(App1data,MATCH(S$16,App1IDnrs,0),VLOOKUP(InpCompany!$F$8,ProfileInps,5,0))))</f>
        <v/>
      </c>
      <c r="T46" s="516" t="str">
        <f>IF(T$16="","",IF(INDEX(App1data,MATCH(T$16,App1IDnrs,0),VLOOKUP(InpCompany!$F$8,ProfileInps,5,0))="","",INDEX(App1data,MATCH(T$16,App1IDnrs,0),VLOOKUP(InpCompany!$F$8,ProfileInps,5,0))))</f>
        <v/>
      </c>
      <c r="U46" s="516" t="str">
        <f>IF(U$16="","",IF(INDEX(App1data,MATCH(U$16,App1IDnrs,0),VLOOKUP(InpCompany!$F$8,ProfileInps,5,0))="","",INDEX(App1data,MATCH(U$16,App1IDnrs,0),VLOOKUP(InpCompany!$F$8,ProfileInps,5,0))))</f>
        <v/>
      </c>
      <c r="V46" s="516" t="str">
        <f>IF(V$16="","",IF(INDEX(App1data,MATCH(V$16,App1IDnrs,0),VLOOKUP(InpCompany!$F$8,ProfileInps,5,0))="","",INDEX(App1data,MATCH(V$16,App1IDnrs,0),VLOOKUP(InpCompany!$F$8,ProfileInps,5,0))))</f>
        <v/>
      </c>
      <c r="W46" s="516" t="str">
        <f>IF(W$16="","",IF(INDEX(App1data,MATCH(W$16,App1IDnrs,0),VLOOKUP(InpCompany!$F$8,ProfileInps,5,0))="","",INDEX(App1data,MATCH(W$16,App1IDnrs,0),VLOOKUP(InpCompany!$F$8,ProfileInps,5,0))))</f>
        <v/>
      </c>
      <c r="X46" s="516" t="str">
        <f>IF(X$16="","",IF(INDEX(App1data,MATCH(X$16,App1IDnrs,0),VLOOKUP(InpCompany!$F$8,ProfileInps,5,0))="","",INDEX(App1data,MATCH(X$16,App1IDnrs,0),VLOOKUP(InpCompany!$F$8,ProfileInps,5,0))))</f>
        <v/>
      </c>
      <c r="Y46" s="516" t="str">
        <f>IF(Y$16="","",IF(INDEX(App1data,MATCH(Y$16,App1IDnrs,0),VLOOKUP(InpCompany!$F$8,ProfileInps,5,0))="","",INDEX(App1data,MATCH(Y$16,App1IDnrs,0),VLOOKUP(InpCompany!$F$8,ProfileInps,5,0))))</f>
        <v/>
      </c>
      <c r="Z46" s="516" t="str">
        <f>IF(Z$16="","",IF(INDEX(App1data,MATCH(Z$16,App1IDnrs,0),VLOOKUP(InpCompany!$F$8,ProfileInps,5,0))="","",INDEX(App1data,MATCH(Z$16,App1IDnrs,0),VLOOKUP(InpCompany!$F$8,ProfileInps,5,0))))</f>
        <v/>
      </c>
      <c r="AA46" s="516" t="str">
        <f>IF(AA$16="","",IF(INDEX(App1data,MATCH(AA$16,App1IDnrs,0),VLOOKUP(InpCompany!$F$8,ProfileInps,5,0))="","",INDEX(App1data,MATCH(AA$16,App1IDnrs,0),VLOOKUP(InpCompany!$F$8,ProfileInps,5,0))))</f>
        <v/>
      </c>
      <c r="AB46" s="516" t="str">
        <f>IF(AB$16="","",IF(INDEX(App1data,MATCH(AB$16,App1IDnrs,0),VLOOKUP(InpCompany!$F$8,ProfileInps,5,0))="","",INDEX(App1data,MATCH(AB$16,App1IDnrs,0),VLOOKUP(InpCompany!$F$8,ProfileInps,5,0))))</f>
        <v/>
      </c>
      <c r="AC46" s="516" t="str">
        <f>IF(AC$16="","",IF(INDEX(App1data,MATCH(AC$16,App1IDnrs,0),VLOOKUP(InpCompany!$F$8,ProfileInps,5,0))="","",INDEX(App1data,MATCH(AC$16,App1IDnrs,0),VLOOKUP(InpCompany!$F$8,ProfileInps,5,0))))</f>
        <v/>
      </c>
      <c r="AD46" s="516" t="str">
        <f>IF(AD$16="","",IF(INDEX(App1data,MATCH(AD$16,App1IDnrs,0),VLOOKUP(InpCompany!$F$8,ProfileInps,5,0))="","",INDEX(App1data,MATCH(AD$16,App1IDnrs,0),VLOOKUP(InpCompany!$F$8,ProfileInps,5,0))))</f>
        <v/>
      </c>
      <c r="AE46" s="516" t="str">
        <f>IF(AE$16="","",IF(INDEX(App1data,MATCH(AE$16,App1IDnrs,0),VLOOKUP(InpCompany!$F$8,ProfileInps,5,0))="","",INDEX(App1data,MATCH(AE$16,App1IDnrs,0),VLOOKUP(InpCompany!$F$8,ProfileInps,5,0))))</f>
        <v/>
      </c>
      <c r="AF46" s="516" t="str">
        <f>IF(AF$16="","",IF(INDEX(App1data,MATCH(AF$16,App1IDnrs,0),VLOOKUP(InpCompany!$F$8,ProfileInps,5,0))="","",INDEX(App1data,MATCH(AF$16,App1IDnrs,0),VLOOKUP(InpCompany!$F$8,ProfileInps,5,0))))</f>
        <v/>
      </c>
      <c r="AG46" s="516" t="str">
        <f>IF(AG$16="","",IF(INDEX(App1data,MATCH(AG$16,App1IDnrs,0),VLOOKUP(InpCompany!$F$8,ProfileInps,5,0))="","",INDEX(App1data,MATCH(AG$16,App1IDnrs,0),VLOOKUP(InpCompany!$F$8,ProfileInps,5,0))))</f>
        <v/>
      </c>
      <c r="AH46" s="516" t="str">
        <f>IF(AH$16="","",IF(INDEX(App1data,MATCH(AH$16,App1IDnrs,0),VLOOKUP(InpCompany!$F$8,ProfileInps,5,0))="","",INDEX(App1data,MATCH(AH$16,App1IDnrs,0),VLOOKUP(InpCompany!$F$8,ProfileInps,5,0))))</f>
        <v/>
      </c>
      <c r="AI46" s="516" t="str">
        <f>IF(AI$16="","",IF(INDEX(App1data,MATCH(AI$16,App1IDnrs,0),VLOOKUP(InpCompany!$F$8,ProfileInps,5,0))="","",INDEX(App1data,MATCH(AI$16,App1IDnrs,0),VLOOKUP(InpCompany!$F$8,ProfileInps,5,0))))</f>
        <v/>
      </c>
      <c r="AJ46" s="516" t="str">
        <f>IF(AJ$16="","",IF(INDEX(App1data,MATCH(AJ$16,App1IDnrs,0),VLOOKUP(InpCompany!$F$8,ProfileInps,5,0))="","",INDEX(App1data,MATCH(AJ$16,App1IDnrs,0),VLOOKUP(InpCompany!$F$8,ProfileInps,5,0))))</f>
        <v/>
      </c>
      <c r="AK46" s="518" t="str">
        <f>IF(AK$16="","",IF(INDEX(App1data,MATCH(AK$16,App1IDnrs,0),VLOOKUP(InpCompany!$F$8,ProfileInps,5,0))="","",INDEX(App1data,MATCH(AK$16,App1IDnrs,0),VLOOKUP(InpCompany!$F$8,ProfileInps,5,0))))</f>
        <v/>
      </c>
      <c r="AL46" s="516" t="str">
        <f>IF(AL$16="","",IF(INDEX(App1bdata,MATCH(AL$16,App1bIDnrs,0),VLOOKUP(InpCompany!$F$8,ProfileInps,5,0))="","",INDEX(App1bdata,MATCH(AL$16,App1bIDnrs,0),VLOOKUP(InpCompany!$F$8,ProfileInps,5,0))))</f>
        <v/>
      </c>
      <c r="AM46" s="516" t="str">
        <f>IF(AM$16="","",IF(INDEX(App1bdata,MATCH(AM$16,App1bIDnrs,0),VLOOKUP(InpCompany!$F$8,ProfileInps,5,0))="","",INDEX(App1bdata,MATCH(AM$16,App1bIDnrs,0),VLOOKUP(InpCompany!$F$8,ProfileInps,5,0))))</f>
        <v/>
      </c>
      <c r="AN46" s="516" t="str">
        <f>IF(AN$16="","",IF(INDEX(App1bdata,MATCH(AN$16,App1bIDnrs,0),VLOOKUP(InpCompany!$F$8,ProfileInps,5,0))="","",INDEX(App1bdata,MATCH(AN$16,App1bIDnrs,0),VLOOKUP(InpCompany!$F$8,ProfileInps,5,0))))</f>
        <v/>
      </c>
      <c r="AO46" s="518">
        <f>IF(AO$16="","",IF(INDEX(App1bdata,MATCH(AO$16,App1bIDnrs,0),VLOOKUP(InpCompany!$F$8,ProfileInps,5,0))="","",INDEX(App1bdata,MATCH(AO$16,App1bIDnrs,0),VLOOKUP(InpCompany!$F$8,ProfileInps,5,0))))</f>
        <v>99</v>
      </c>
      <c r="AP46" s="516" t="str">
        <f>IF(AP$16="","",IF(INDEX(App1data,MATCH(AP$16,App1IDnrs,0),VLOOKUP(InpCompany!$F$8,ProfileInps,5,0))="","",INDEX(App1data,MATCH(AP$16,App1IDnrs,0),VLOOKUP(InpCompany!$F$8,ProfileInps,5,0))))</f>
        <v/>
      </c>
      <c r="AQ46" s="516" t="str">
        <f>IF(AQ$16="","",IF(INDEX(App1data,MATCH(AQ$16,App1IDnrs,0),VLOOKUP(InpCompany!$F$8,ProfileInps,5,0))="","",INDEX(App1data,MATCH(AQ$16,App1IDnrs,0),VLOOKUP(InpCompany!$F$8,ProfileInps,5,0))))</f>
        <v/>
      </c>
      <c r="AR46" s="516" t="str">
        <f>IF(AR$16="","",IF(INDEX(App1data,MATCH(AR$16,App1IDnrs,0),VLOOKUP(InpCompany!$F$8,ProfileInps,5,0))="","",INDEX(App1data,MATCH(AR$16,App1IDnrs,0),VLOOKUP(InpCompany!$F$8,ProfileInps,5,0))))</f>
        <v/>
      </c>
      <c r="AS46" s="516" t="str">
        <f>IF(AS$16="","",IF(INDEX(App1data,MATCH(AS$16,App1IDnrs,0),VLOOKUP(InpCompany!$F$8,ProfileInps,5,0))="","",INDEX(App1data,MATCH(AS$16,App1IDnrs,0),VLOOKUP(InpCompany!$F$8,ProfileInps,5,0))))</f>
        <v/>
      </c>
      <c r="AT46" s="516" t="str">
        <f>IF(AT$16="","",IF(INDEX(App1data,MATCH(AT$16,App1IDnrs,0),VLOOKUP(InpCompany!$F$8,ProfileInps,5,0))="","",INDEX(App1data,MATCH(AT$16,App1IDnrs,0),VLOOKUP(InpCompany!$F$8,ProfileInps,5,0))))</f>
        <v/>
      </c>
      <c r="AU46" s="516" t="str">
        <f>IF(AU$16="","",IF(INDEX(App1data,MATCH(AU$16,App1IDnrs,0),VLOOKUP(InpCompany!$F$8,ProfileInps,5,0))="","",INDEX(App1data,MATCH(AU$16,App1IDnrs,0),VLOOKUP(InpCompany!$F$8,ProfileInps,5,0))))</f>
        <v/>
      </c>
      <c r="AV46" s="516" t="str">
        <f>IF(AV$16="","",IF(INDEX(App1data,MATCH(AV$16,App1IDnrs,0),VLOOKUP(InpCompany!$F$8,ProfileInps,5,0))="","",INDEX(App1data,MATCH(AV$16,App1IDnrs,0),VLOOKUP(InpCompany!$F$8,ProfileInps,5,0))))</f>
        <v/>
      </c>
      <c r="AW46" s="516" t="str">
        <f>IF(AW$16="","",IF(INDEX(App1data,MATCH(AW$16,App1IDnrs,0),VLOOKUP(InpCompany!$F$8,ProfileInps,5,0))="","",INDEX(App1data,MATCH(AW$16,App1IDnrs,0),VLOOKUP(InpCompany!$F$8,ProfileInps,5,0))))</f>
        <v/>
      </c>
      <c r="AX46" s="516" t="str">
        <f>IF(AX$16="","",IF(INDEX(App1data,MATCH(AX$16,App1IDnrs,0),VLOOKUP(InpCompany!$F$8,ProfileInps,5,0))="","",INDEX(App1data,MATCH(AX$16,App1IDnrs,0),VLOOKUP(InpCompany!$F$8,ProfileInps,5,0))))</f>
        <v/>
      </c>
      <c r="AY46" s="516" t="str">
        <f>IF(AY$16="","",IF(INDEX(App1data,MATCH(AY$16,App1IDnrs,0),VLOOKUP(InpCompany!$F$8,ProfileInps,5,0))="","",INDEX(App1data,MATCH(AY$16,App1IDnrs,0),VLOOKUP(InpCompany!$F$8,ProfileInps,5,0))))</f>
        <v/>
      </c>
      <c r="AZ46" s="516" t="str">
        <f>IF(AZ$16="","",IF(INDEX(App1data,MATCH(AZ$16,App1IDnrs,0),VLOOKUP(InpCompany!$F$8,ProfileInps,5,0))="","",INDEX(App1data,MATCH(AZ$16,App1IDnrs,0),VLOOKUP(InpCompany!$F$8,ProfileInps,5,0))))</f>
        <v/>
      </c>
      <c r="BA46" s="516" t="str">
        <f>IF(BA$16="","",IF(INDEX(App1data,MATCH(BA$16,App1IDnrs,0),VLOOKUP(InpCompany!$F$8,ProfileInps,5,0))="","",INDEX(App1data,MATCH(BA$16,App1IDnrs,0),VLOOKUP(InpCompany!$F$8,ProfileInps,5,0))))</f>
        <v/>
      </c>
      <c r="BB46" s="516" t="str">
        <f>IF(BB$16="","",IF(INDEX(App1data,MATCH(BB$16,App1IDnrs,0),VLOOKUP(InpCompany!$F$8,ProfileInps,5,0))="","",INDEX(App1data,MATCH(BB$16,App1IDnrs,0),VLOOKUP(InpCompany!$F$8,ProfileInps,5,0))))</f>
        <v/>
      </c>
      <c r="BC46" s="518" t="str">
        <f>IF(BC$16="","",IF(INDEX(App1data,MATCH(BC$16,App1IDnrs,0),VLOOKUP(InpCompany!$F$8,ProfileInps,5,0))="","",INDEX(App1data,MATCH(BC$16,App1IDnrs,0),VLOOKUP(InpCompany!$F$8,ProfileInps,5,0))))</f>
        <v/>
      </c>
      <c r="BD46" s="516"/>
      <c r="BE46" s="516"/>
      <c r="BF46" s="516"/>
      <c r="BG46" s="516"/>
      <c r="BH46" s="516"/>
      <c r="BI46" s="516"/>
      <c r="BJ46" s="516"/>
      <c r="BK46" s="516"/>
      <c r="BL46" s="516"/>
      <c r="BM46" s="516"/>
      <c r="BN46" s="516"/>
      <c r="BO46" s="516"/>
      <c r="BP46" s="516"/>
      <c r="BQ46" s="516"/>
      <c r="BR46" s="516"/>
      <c r="BS46" s="516"/>
    </row>
    <row r="47" spans="1:71" s="202" customFormat="1" ht="13.15">
      <c r="A47" s="453"/>
      <c r="B47" s="453"/>
      <c r="C47" s="453"/>
      <c r="D47" s="453"/>
      <c r="E47" s="453" t="s">
        <v>998</v>
      </c>
      <c r="F47" s="453"/>
      <c r="G47" s="453" t="s">
        <v>1158</v>
      </c>
      <c r="H47" s="453"/>
      <c r="I47" s="515"/>
      <c r="J47" s="516">
        <f>IF(J$16="","",IF(INDEX(App1bdata,MATCH(J$16,App1bIDnrs,0),VLOOKUP(InpCompany!$F$8,ProfileInps,6,0))="","",INDEX(App1bdata,MATCH(J$16,App1bIDnrs,0),VLOOKUP(InpCompany!$F$8,ProfileInps,6,0))))</f>
        <v>9.5</v>
      </c>
      <c r="K47" s="517">
        <f>IF(K$16="","",IF(INDEX(App1bdata,MATCH(K$16,App1bIDnrs,0),VLOOKUP(InpCompany!$F$8,ProfileInps,6,0))="","",INDEX(App1bdata,MATCH(K$16,App1bIDnrs,0),VLOOKUP(InpCompany!$F$8,ProfileInps,6,0))))</f>
        <v>1.5798611111111114E-2</v>
      </c>
      <c r="L47" s="1246">
        <f>IF(L$16="","",IF(INDEX(App1bdata,MATCH(L$16,App1bIDnrs,0),VLOOKUP(InpCompany!$F$8,ProfileInps,6,0))="","",INDEX(App1bdata,MATCH(L$16,App1bIDnrs,0),VLOOKUP(InpCompany!$F$8,ProfileInps,6,0))))</f>
        <v>-5</v>
      </c>
      <c r="M47" s="1246" t="str">
        <f>IF(M$16="","",IF(INDEX(App1bdata,MATCH(M$16,App1bIDnrs,0),VLOOKUP(InpCompany!$F$8,ProfileInps,6,0))="","",INDEX(App1bdata,MATCH(M$16,App1bIDnrs,0),VLOOKUP(InpCompany!$F$8,ProfileInps,6,0))))</f>
        <v/>
      </c>
      <c r="N47" s="1246">
        <f>IF(N$16="","",IF(INDEX(App1bdata,MATCH(N$16,App1bIDnrs,0),VLOOKUP(InpCompany!$F$8,ProfileInps,6,0))="","",INDEX(App1bdata,MATCH(N$16,App1bIDnrs,0),VLOOKUP(InpCompany!$F$8,ProfileInps,6,0))))</f>
        <v>-16.7</v>
      </c>
      <c r="O47" s="1246" t="str">
        <f>IF(O$16="","",IF(INDEX(App1bdata,MATCH(O$16,App1bIDnrs,0),VLOOKUP(InpCompany!$F$8,ProfileInps,6,0))="","",INDEX(App1bdata,MATCH(O$16,App1bIDnrs,0),VLOOKUP(InpCompany!$F$8,ProfileInps,6,0))))</f>
        <v/>
      </c>
      <c r="P47" s="516">
        <f>IF(P$16="","",IF(INDEX(App1bdata,MATCH(P$16,App1bIDnrs,0),VLOOKUP(InpCompany!$F$8,ProfileInps,6,0))="","",INDEX(App1bdata,MATCH(P$16,App1bIDnrs,0),VLOOKUP(InpCompany!$F$8,ProfileInps,6,0))))</f>
        <v>180.8</v>
      </c>
      <c r="Q47" s="518">
        <f>IF(Q$16="","",IF(INDEX(App1bdata,MATCH(Q$16,App1bIDnrs,0),VLOOKUP(InpCompany!$F$8,ProfileInps,6,0))="","",INDEX(App1bdata,MATCH(Q$16,App1bIDnrs,0),VLOOKUP(InpCompany!$F$8,ProfileInps,6,0))))</f>
        <v>18.88</v>
      </c>
      <c r="R47" s="516" t="str">
        <f>IF(R$16="","",IF(INDEX(App1data,MATCH(R$16,App1IDnrs,0),VLOOKUP(InpCompany!$F$8,ProfileInps,6,0))="","",INDEX(App1data,MATCH(R$16,App1IDnrs,0),VLOOKUP(InpCompany!$F$8,ProfileInps,6,0))))</f>
        <v/>
      </c>
      <c r="S47" s="516" t="str">
        <f>IF(S$16="","",IF(INDEX(App1data,MATCH(S$16,App1IDnrs,0),VLOOKUP(InpCompany!$F$8,ProfileInps,6,0))="","",INDEX(App1data,MATCH(S$16,App1IDnrs,0),VLOOKUP(InpCompany!$F$8,ProfileInps,6,0))))</f>
        <v/>
      </c>
      <c r="T47" s="516">
        <f>IF(T$16="","",IF(INDEX(App1data,MATCH(T$16,App1IDnrs,0),VLOOKUP(InpCompany!$F$8,ProfileInps,6,0))="","",INDEX(App1data,MATCH(T$16,App1IDnrs,0),VLOOKUP(InpCompany!$F$8,ProfileInps,6,0))))</f>
        <v>-14</v>
      </c>
      <c r="U47" s="516" t="str">
        <f>IF(U$16="","",IF(INDEX(App1data,MATCH(U$16,App1IDnrs,0),VLOOKUP(InpCompany!$F$8,ProfileInps,6,0))="","",INDEX(App1data,MATCH(U$16,App1IDnrs,0),VLOOKUP(InpCompany!$F$8,ProfileInps,6,0))))</f>
        <v/>
      </c>
      <c r="V47" s="516">
        <f>IF(V$16="","",IF(INDEX(App1data,MATCH(V$16,App1IDnrs,0),VLOOKUP(InpCompany!$F$8,ProfileInps,6,0))="","",INDEX(App1data,MATCH(V$16,App1IDnrs,0),VLOOKUP(InpCompany!$F$8,ProfileInps,6,0))))</f>
        <v>2.62</v>
      </c>
      <c r="W47" s="516" t="str">
        <f>IF(W$16="","",IF(INDEX(App1data,MATCH(W$16,App1IDnrs,0),VLOOKUP(InpCompany!$F$8,ProfileInps,6,0))="","",INDEX(App1data,MATCH(W$16,App1IDnrs,0),VLOOKUP(InpCompany!$F$8,ProfileInps,6,0))))</f>
        <v/>
      </c>
      <c r="X47" s="516" t="str">
        <f>IF(X$16="","",IF(INDEX(App1data,MATCH(X$16,App1IDnrs,0),VLOOKUP(InpCompany!$F$8,ProfileInps,6,0))="","",INDEX(App1data,MATCH(X$16,App1IDnrs,0),VLOOKUP(InpCompany!$F$8,ProfileInps,6,0))))</f>
        <v/>
      </c>
      <c r="Y47" s="516" t="str">
        <f>IF(Y$16="","",IF(INDEX(App1data,MATCH(Y$16,App1IDnrs,0),VLOOKUP(InpCompany!$F$8,ProfileInps,6,0))="","",INDEX(App1data,MATCH(Y$16,App1IDnrs,0),VLOOKUP(InpCompany!$F$8,ProfileInps,6,0))))</f>
        <v/>
      </c>
      <c r="Z47" s="516" t="str">
        <f>IF(Z$16="","",IF(INDEX(App1data,MATCH(Z$16,App1IDnrs,0),VLOOKUP(InpCompany!$F$8,ProfileInps,6,0))="","",INDEX(App1data,MATCH(Z$16,App1IDnrs,0),VLOOKUP(InpCompany!$F$8,ProfileInps,6,0))))</f>
        <v/>
      </c>
      <c r="AA47" s="516" t="str">
        <f>IF(AA$16="","",IF(INDEX(App1data,MATCH(AA$16,App1IDnrs,0),VLOOKUP(InpCompany!$F$8,ProfileInps,6,0))="","",INDEX(App1data,MATCH(AA$16,App1IDnrs,0),VLOOKUP(InpCompany!$F$8,ProfileInps,6,0))))</f>
        <v/>
      </c>
      <c r="AB47" s="516" t="str">
        <f>IF(AB$16="","",IF(INDEX(App1data,MATCH(AB$16,App1IDnrs,0),VLOOKUP(InpCompany!$F$8,ProfileInps,6,0))="","",INDEX(App1data,MATCH(AB$16,App1IDnrs,0),VLOOKUP(InpCompany!$F$8,ProfileInps,6,0))))</f>
        <v/>
      </c>
      <c r="AC47" s="516" t="str">
        <f>IF(AC$16="","",IF(INDEX(App1data,MATCH(AC$16,App1IDnrs,0),VLOOKUP(InpCompany!$F$8,ProfileInps,6,0))="","",INDEX(App1data,MATCH(AC$16,App1IDnrs,0),VLOOKUP(InpCompany!$F$8,ProfileInps,6,0))))</f>
        <v/>
      </c>
      <c r="AD47" s="516" t="str">
        <f>IF(AD$16="","",IF(INDEX(App1data,MATCH(AD$16,App1IDnrs,0),VLOOKUP(InpCompany!$F$8,ProfileInps,6,0))="","",INDEX(App1data,MATCH(AD$16,App1IDnrs,0),VLOOKUP(InpCompany!$F$8,ProfileInps,6,0))))</f>
        <v/>
      </c>
      <c r="AE47" s="516" t="str">
        <f>IF(AE$16="","",IF(INDEX(App1data,MATCH(AE$16,App1IDnrs,0),VLOOKUP(InpCompany!$F$8,ProfileInps,6,0))="","",INDEX(App1data,MATCH(AE$16,App1IDnrs,0),VLOOKUP(InpCompany!$F$8,ProfileInps,6,0))))</f>
        <v/>
      </c>
      <c r="AF47" s="516" t="str">
        <f>IF(AF$16="","",IF(INDEX(App1data,MATCH(AF$16,App1IDnrs,0),VLOOKUP(InpCompany!$F$8,ProfileInps,6,0))="","",INDEX(App1data,MATCH(AF$16,App1IDnrs,0),VLOOKUP(InpCompany!$F$8,ProfileInps,6,0))))</f>
        <v/>
      </c>
      <c r="AG47" s="516" t="str">
        <f>IF(AG$16="","",IF(INDEX(App1data,MATCH(AG$16,App1IDnrs,0),VLOOKUP(InpCompany!$F$8,ProfileInps,6,0))="","",INDEX(App1data,MATCH(AG$16,App1IDnrs,0),VLOOKUP(InpCompany!$F$8,ProfileInps,6,0))))</f>
        <v/>
      </c>
      <c r="AH47" s="516" t="str">
        <f>IF(AH$16="","",IF(INDEX(App1data,MATCH(AH$16,App1IDnrs,0),VLOOKUP(InpCompany!$F$8,ProfileInps,6,0))="","",INDEX(App1data,MATCH(AH$16,App1IDnrs,0),VLOOKUP(InpCompany!$F$8,ProfileInps,6,0))))</f>
        <v/>
      </c>
      <c r="AI47" s="516" t="str">
        <f>IF(AI$16="","",IF(INDEX(App1data,MATCH(AI$16,App1IDnrs,0),VLOOKUP(InpCompany!$F$8,ProfileInps,6,0))="","",INDEX(App1data,MATCH(AI$16,App1IDnrs,0),VLOOKUP(InpCompany!$F$8,ProfileInps,6,0))))</f>
        <v/>
      </c>
      <c r="AJ47" s="516" t="str">
        <f>IF(AJ$16="","",IF(INDEX(App1data,MATCH(AJ$16,App1IDnrs,0),VLOOKUP(InpCompany!$F$8,ProfileInps,6,0))="","",INDEX(App1data,MATCH(AJ$16,App1IDnrs,0),VLOOKUP(InpCompany!$F$8,ProfileInps,6,0))))</f>
        <v/>
      </c>
      <c r="AK47" s="518" t="str">
        <f>IF(AK$16="","",IF(INDEX(App1data,MATCH(AK$16,App1IDnrs,0),VLOOKUP(InpCompany!$F$8,ProfileInps,6,0))="","",INDEX(App1data,MATCH(AK$16,App1IDnrs,0),VLOOKUP(InpCompany!$F$8,ProfileInps,6,0))))</f>
        <v/>
      </c>
      <c r="AL47" s="516">
        <f>IF(AL$16="","",IF(INDEX(App1bdata,MATCH(AL$16,App1bIDnrs,0),VLOOKUP(InpCompany!$F$8,ProfileInps,6,0))="","",INDEX(App1bdata,MATCH(AL$16,App1bIDnrs,0),VLOOKUP(InpCompany!$F$8,ProfileInps,6,0))))</f>
        <v>3.35</v>
      </c>
      <c r="AM47" s="516">
        <f>IF(AM$16="","",IF(INDEX(App1bdata,MATCH(AM$16,App1bIDnrs,0),VLOOKUP(InpCompany!$F$8,ProfileInps,6,0))="","",INDEX(App1bdata,MATCH(AM$16,App1bIDnrs,0),VLOOKUP(InpCompany!$F$8,ProfileInps,6,0))))</f>
        <v>49.01</v>
      </c>
      <c r="AN47" s="516" t="str">
        <f>IF(AN$16="","",IF(INDEX(App1bdata,MATCH(AN$16,App1bIDnrs,0),VLOOKUP(InpCompany!$F$8,ProfileInps,6,0))="","",INDEX(App1bdata,MATCH(AN$16,App1bIDnrs,0),VLOOKUP(InpCompany!$F$8,ProfileInps,6,0))))</f>
        <v/>
      </c>
      <c r="AO47" s="518">
        <f>IF(AO$16="","",IF(INDEX(App1bdata,MATCH(AO$16,App1bIDnrs,0),VLOOKUP(InpCompany!$F$8,ProfileInps,6,0))="","",INDEX(App1bdata,MATCH(AO$16,App1bIDnrs,0),VLOOKUP(InpCompany!$F$8,ProfileInps,6,0))))</f>
        <v>97</v>
      </c>
      <c r="AP47" s="516" t="str">
        <f>IF(AP$16="","",IF(INDEX(App1data,MATCH(AP$16,App1IDnrs,0),VLOOKUP(InpCompany!$F$8,ProfileInps,6,0))="","",INDEX(App1data,MATCH(AP$16,App1IDnrs,0),VLOOKUP(InpCompany!$F$8,ProfileInps,6,0))))</f>
        <v/>
      </c>
      <c r="AQ47" s="516">
        <f>IF(AQ$16="","",IF(INDEX(App1data,MATCH(AQ$16,App1IDnrs,0),VLOOKUP(InpCompany!$F$8,ProfileInps,6,0))="","",INDEX(App1data,MATCH(AQ$16,App1IDnrs,0),VLOOKUP(InpCompany!$F$8,ProfileInps,6,0))))</f>
        <v>21</v>
      </c>
      <c r="AR47" s="516" t="str">
        <f>IF(AR$16="","",IF(INDEX(App1data,MATCH(AR$16,App1IDnrs,0),VLOOKUP(InpCompany!$F$8,ProfileInps,6,0))="","",INDEX(App1data,MATCH(AR$16,App1IDnrs,0),VLOOKUP(InpCompany!$F$8,ProfileInps,6,0))))</f>
        <v/>
      </c>
      <c r="AS47" s="516" t="str">
        <f>IF(AS$16="","",IF(INDEX(App1data,MATCH(AS$16,App1IDnrs,0),VLOOKUP(InpCompany!$F$8,ProfileInps,6,0))="","",INDEX(App1data,MATCH(AS$16,App1IDnrs,0),VLOOKUP(InpCompany!$F$8,ProfileInps,6,0))))</f>
        <v/>
      </c>
      <c r="AT47" s="516" t="str">
        <f>IF(AT$16="","",IF(INDEX(App1data,MATCH(AT$16,App1IDnrs,0),VLOOKUP(InpCompany!$F$8,ProfileInps,6,0))="","",INDEX(App1data,MATCH(AT$16,App1IDnrs,0),VLOOKUP(InpCompany!$F$8,ProfileInps,6,0))))</f>
        <v/>
      </c>
      <c r="AU47" s="516" t="str">
        <f>IF(AU$16="","",IF(INDEX(App1data,MATCH(AU$16,App1IDnrs,0),VLOOKUP(InpCompany!$F$8,ProfileInps,6,0))="","",INDEX(App1data,MATCH(AU$16,App1IDnrs,0),VLOOKUP(InpCompany!$F$8,ProfileInps,6,0))))</f>
        <v/>
      </c>
      <c r="AV47" s="516" t="str">
        <f>IF(AV$16="","",IF(INDEX(App1data,MATCH(AV$16,App1IDnrs,0),VLOOKUP(InpCompany!$F$8,ProfileInps,6,0))="","",INDEX(App1data,MATCH(AV$16,App1IDnrs,0),VLOOKUP(InpCompany!$F$8,ProfileInps,6,0))))</f>
        <v/>
      </c>
      <c r="AW47" s="516">
        <f>IF(AW$16="","",IF(INDEX(App1data,MATCH(AW$16,App1IDnrs,0),VLOOKUP(InpCompany!$F$8,ProfileInps,6,0))="","",INDEX(App1data,MATCH(AW$16,App1IDnrs,0),VLOOKUP(InpCompany!$F$8,ProfileInps,6,0))))</f>
        <v>14625</v>
      </c>
      <c r="AX47" s="516">
        <f>IF(AX$16="","",IF(INDEX(App1data,MATCH(AX$16,App1IDnrs,0),VLOOKUP(InpCompany!$F$8,ProfileInps,6,0))="","",INDEX(App1data,MATCH(AX$16,App1IDnrs,0),VLOOKUP(InpCompany!$F$8,ProfileInps,6,0))))</f>
        <v>6618</v>
      </c>
      <c r="AY47" s="516" t="str">
        <f>IF(AY$16="","",IF(INDEX(App1data,MATCH(AY$16,App1IDnrs,0),VLOOKUP(InpCompany!$F$8,ProfileInps,6,0))="","",INDEX(App1data,MATCH(AY$16,App1IDnrs,0),VLOOKUP(InpCompany!$F$8,ProfileInps,6,0))))</f>
        <v/>
      </c>
      <c r="AZ47" s="516" t="str">
        <f>IF(AZ$16="","",IF(INDEX(App1data,MATCH(AZ$16,App1IDnrs,0),VLOOKUP(InpCompany!$F$8,ProfileInps,6,0))="","",INDEX(App1data,MATCH(AZ$16,App1IDnrs,0),VLOOKUP(InpCompany!$F$8,ProfileInps,6,0))))</f>
        <v/>
      </c>
      <c r="BA47" s="516" t="str">
        <f>IF(BA$16="","",IF(INDEX(App1data,MATCH(BA$16,App1IDnrs,0),VLOOKUP(InpCompany!$F$8,ProfileInps,6,0))="","",INDEX(App1data,MATCH(BA$16,App1IDnrs,0),VLOOKUP(InpCompany!$F$8,ProfileInps,6,0))))</f>
        <v/>
      </c>
      <c r="BB47" s="516" t="str">
        <f>IF(BB$16="","",IF(INDEX(App1data,MATCH(BB$16,App1IDnrs,0),VLOOKUP(InpCompany!$F$8,ProfileInps,6,0))="","",INDEX(App1data,MATCH(BB$16,App1IDnrs,0),VLOOKUP(InpCompany!$F$8,ProfileInps,6,0))))</f>
        <v/>
      </c>
      <c r="BC47" s="518" t="str">
        <f>IF(BC$16="","",IF(INDEX(App1data,MATCH(BC$16,App1IDnrs,0),VLOOKUP(InpCompany!$F$8,ProfileInps,6,0))="","",INDEX(App1data,MATCH(BC$16,App1IDnrs,0),VLOOKUP(InpCompany!$F$8,ProfileInps,6,0))))</f>
        <v/>
      </c>
      <c r="BD47" s="516"/>
      <c r="BE47" s="516"/>
      <c r="BF47" s="516"/>
      <c r="BG47" s="516"/>
      <c r="BH47" s="516"/>
      <c r="BI47" s="516"/>
      <c r="BJ47" s="516"/>
      <c r="BK47" s="516"/>
      <c r="BL47" s="516"/>
      <c r="BM47" s="516"/>
      <c r="BN47" s="516"/>
      <c r="BO47" s="516"/>
      <c r="BP47" s="516"/>
      <c r="BQ47" s="516"/>
      <c r="BR47" s="516"/>
      <c r="BS47" s="516"/>
    </row>
    <row r="48" spans="1:71" s="202" customFormat="1" ht="13.15">
      <c r="A48" s="453"/>
      <c r="B48" s="453"/>
      <c r="C48" s="453"/>
      <c r="D48" s="453"/>
      <c r="E48" s="453"/>
      <c r="F48" s="453"/>
      <c r="G48" s="453"/>
      <c r="H48" s="453"/>
      <c r="I48" s="453"/>
      <c r="J48" s="490"/>
      <c r="K48" s="490"/>
      <c r="L48" s="490"/>
      <c r="M48" s="490"/>
      <c r="N48" s="490"/>
      <c r="O48" s="490"/>
      <c r="P48" s="490"/>
      <c r="Q48" s="491"/>
      <c r="R48" s="490"/>
      <c r="S48" s="490"/>
      <c r="T48" s="490"/>
      <c r="U48" s="490"/>
      <c r="V48" s="490"/>
      <c r="W48" s="490"/>
      <c r="X48" s="490"/>
      <c r="Y48" s="490"/>
      <c r="Z48" s="490"/>
      <c r="AA48" s="490"/>
      <c r="AB48" s="490"/>
      <c r="AC48" s="490"/>
      <c r="AD48" s="490"/>
      <c r="AE48" s="490"/>
      <c r="AF48" s="490"/>
      <c r="AG48" s="490"/>
      <c r="AH48" s="490"/>
      <c r="AI48" s="490"/>
      <c r="AJ48" s="490"/>
      <c r="AK48" s="491"/>
      <c r="AL48" s="490"/>
      <c r="AM48" s="490"/>
      <c r="AN48" s="490"/>
      <c r="AO48" s="491"/>
      <c r="AP48" s="490"/>
      <c r="AQ48" s="490"/>
      <c r="AR48" s="490"/>
      <c r="AS48" s="490"/>
      <c r="AT48" s="490"/>
      <c r="AU48" s="490"/>
      <c r="AV48" s="490"/>
      <c r="AW48" s="490"/>
      <c r="AX48" s="490"/>
      <c r="AY48" s="490"/>
      <c r="AZ48" s="490"/>
      <c r="BA48" s="490"/>
      <c r="BB48" s="490"/>
      <c r="BC48" s="491"/>
      <c r="BD48" s="490"/>
      <c r="BE48" s="490"/>
      <c r="BF48" s="490"/>
      <c r="BG48" s="490"/>
      <c r="BH48" s="490"/>
      <c r="BI48" s="490"/>
      <c r="BJ48" s="490"/>
      <c r="BK48" s="490"/>
      <c r="BL48" s="490"/>
      <c r="BM48" s="490"/>
      <c r="BN48" s="490"/>
      <c r="BO48" s="490"/>
      <c r="BP48" s="490"/>
      <c r="BQ48" s="490"/>
      <c r="BR48" s="490"/>
      <c r="BS48" s="490"/>
    </row>
    <row r="49" spans="1:71" s="202" customFormat="1" ht="13.15">
      <c r="A49" s="453"/>
      <c r="B49" s="453"/>
      <c r="C49" s="453"/>
      <c r="D49" s="453"/>
      <c r="E49" s="453" t="s">
        <v>1178</v>
      </c>
      <c r="F49" s="453"/>
      <c r="G49" s="453" t="str">
        <f>"£m/unit ("&amp;InpCompany!$F$10&amp;" prices)"</f>
        <v>£m/unit (2017-18 prices)</v>
      </c>
      <c r="H49" s="453"/>
      <c r="I49" s="515"/>
      <c r="J49" s="519">
        <f t="shared" ref="J49:Q49" si="15">IF(J$16="","",IF(INDEX(App1bdata,MATCH(J$16,App1bIDnrs,0),101)="","",INDEX(App1bdata,MATCH(J$16,App1bIDnrs,0),101)))</f>
        <v>0</v>
      </c>
      <c r="K49" s="519">
        <f t="shared" si="15"/>
        <v>0.24399999999999999</v>
      </c>
      <c r="L49" s="519">
        <f t="shared" si="15"/>
        <v>0.13700000000000001</v>
      </c>
      <c r="M49" s="519" t="str">
        <f t="shared" si="15"/>
        <v/>
      </c>
      <c r="N49" s="519">
        <f t="shared" si="15"/>
        <v>7.0000000000000007E-2</v>
      </c>
      <c r="O49" s="519" t="str">
        <f t="shared" si="15"/>
        <v/>
      </c>
      <c r="P49" s="519">
        <f t="shared" si="15"/>
        <v>5.5E-2</v>
      </c>
      <c r="Q49" s="520" t="str">
        <f t="shared" si="15"/>
        <v/>
      </c>
      <c r="R49" s="519">
        <f t="shared" ref="R49:AK49" si="16">IF(R$16="","",IF(INDEX(App1data,MATCH(R$16,App1IDnrs,0),101)="","",INDEX(App1data,MATCH(R$16,App1IDnrs,0),101)))</f>
        <v>3.85</v>
      </c>
      <c r="S49" s="519">
        <f t="shared" si="16"/>
        <v>3.85</v>
      </c>
      <c r="T49" s="519">
        <f t="shared" si="16"/>
        <v>0.51100000000000001</v>
      </c>
      <c r="U49" s="519">
        <f t="shared" si="16"/>
        <v>3.63E-6</v>
      </c>
      <c r="V49" s="519">
        <f t="shared" si="16"/>
        <v>1.2</v>
      </c>
      <c r="W49" s="519">
        <f t="shared" si="16"/>
        <v>2.5000000000000001E-5</v>
      </c>
      <c r="X49" s="519" t="str">
        <f t="shared" si="16"/>
        <v/>
      </c>
      <c r="Y49" s="519" t="str">
        <f t="shared" si="16"/>
        <v/>
      </c>
      <c r="Z49" s="519" t="str">
        <f t="shared" si="16"/>
        <v/>
      </c>
      <c r="AA49" s="519" t="str">
        <f t="shared" si="16"/>
        <v/>
      </c>
      <c r="AB49" s="519" t="str">
        <f t="shared" si="16"/>
        <v/>
      </c>
      <c r="AC49" s="519" t="str">
        <f t="shared" si="16"/>
        <v/>
      </c>
      <c r="AD49" s="519" t="str">
        <f t="shared" si="16"/>
        <v/>
      </c>
      <c r="AE49" s="519" t="str">
        <f t="shared" si="16"/>
        <v/>
      </c>
      <c r="AF49" s="519" t="str">
        <f t="shared" si="16"/>
        <v/>
      </c>
      <c r="AG49" s="519" t="str">
        <f t="shared" si="16"/>
        <v/>
      </c>
      <c r="AH49" s="519" t="str">
        <f t="shared" si="16"/>
        <v/>
      </c>
      <c r="AI49" s="519" t="str">
        <f t="shared" si="16"/>
        <v/>
      </c>
      <c r="AJ49" s="519" t="str">
        <f t="shared" si="16"/>
        <v/>
      </c>
      <c r="AK49" s="520" t="str">
        <f t="shared" si="16"/>
        <v/>
      </c>
      <c r="AL49" s="519">
        <f>IF(AL$16="","",IF(INDEX(App1bdata,MATCH(AL$16,App1bIDnrs,0),101)="","",INDEX(App1bdata,MATCH(AL$16,App1bIDnrs,0),101)))</f>
        <v>5.5570000000000004</v>
      </c>
      <c r="AM49" s="519">
        <f>IF(AM$16="","",IF(INDEX(App1bdata,MATCH(AM$16,App1bIDnrs,0),101)="","",INDEX(App1bdata,MATCH(AM$16,App1bIDnrs,0),101)))</f>
        <v>0.27</v>
      </c>
      <c r="AN49" s="519" t="str">
        <f>IF(AN$16="","",IF(INDEX(App1bdata,MATCH(AN$16,App1bIDnrs,0),101)="","",INDEX(App1bdata,MATCH(AN$16,App1bIDnrs,0),101)))</f>
        <v/>
      </c>
      <c r="AO49" s="520" t="str">
        <f>IF(AO$16="","",IF(INDEX(App1bdata,MATCH(AO$16,App1bIDnrs,0),101)="","",INDEX(App1bdata,MATCH(AO$16,App1bIDnrs,0),101)))</f>
        <v/>
      </c>
      <c r="AP49" s="519">
        <f t="shared" ref="AP49:BC49" si="17">IF(AP$16="","",IF(INDEX(App1data,MATCH(AP$16,App1IDnrs,0),101)="","",INDEX(App1data,MATCH(AP$16,App1IDnrs,0),101)))</f>
        <v>3.2899999999999998E-6</v>
      </c>
      <c r="AQ49" s="519">
        <f t="shared" si="17"/>
        <v>0.221</v>
      </c>
      <c r="AR49" s="519" t="str">
        <f t="shared" si="17"/>
        <v/>
      </c>
      <c r="AS49" s="519" t="str">
        <f t="shared" si="17"/>
        <v/>
      </c>
      <c r="AT49" s="519" t="str">
        <f t="shared" si="17"/>
        <v/>
      </c>
      <c r="AU49" s="519">
        <f t="shared" si="17"/>
        <v>1.1910000000000001</v>
      </c>
      <c r="AV49" s="519">
        <f t="shared" si="17"/>
        <v>1.1910000000000001</v>
      </c>
      <c r="AW49" s="519">
        <f t="shared" si="17"/>
        <v>2.08E-6</v>
      </c>
      <c r="AX49" s="519">
        <f t="shared" si="17"/>
        <v>4.81E-3</v>
      </c>
      <c r="AY49" s="519" t="str">
        <f t="shared" si="17"/>
        <v/>
      </c>
      <c r="AZ49" s="519" t="str">
        <f t="shared" si="17"/>
        <v/>
      </c>
      <c r="BA49" s="519" t="str">
        <f t="shared" si="17"/>
        <v/>
      </c>
      <c r="BB49" s="519" t="str">
        <f t="shared" si="17"/>
        <v/>
      </c>
      <c r="BC49" s="520" t="str">
        <f t="shared" si="17"/>
        <v/>
      </c>
      <c r="BD49" s="519"/>
      <c r="BE49" s="519"/>
      <c r="BF49" s="519"/>
      <c r="BG49" s="519"/>
      <c r="BH49" s="519"/>
      <c r="BI49" s="519"/>
      <c r="BJ49" s="519"/>
      <c r="BK49" s="519"/>
      <c r="BL49" s="519"/>
      <c r="BM49" s="519"/>
      <c r="BN49" s="519"/>
      <c r="BO49" s="519"/>
      <c r="BP49" s="519"/>
      <c r="BQ49" s="519"/>
      <c r="BR49" s="519"/>
      <c r="BS49" s="519"/>
    </row>
    <row r="50" spans="1:71" s="202" customFormat="1" ht="13.15">
      <c r="A50" s="453"/>
      <c r="B50" s="453"/>
      <c r="C50" s="453"/>
      <c r="D50" s="453"/>
      <c r="E50" s="453" t="s">
        <v>1179</v>
      </c>
      <c r="F50" s="453"/>
      <c r="G50" s="453" t="str">
        <f>"£m/unit ("&amp;InpCompany!$F$10&amp;" prices)"</f>
        <v>£m/unit (2017-18 prices)</v>
      </c>
      <c r="H50" s="453"/>
      <c r="I50" s="453"/>
      <c r="J50" s="519">
        <f t="shared" ref="J50:Q50" si="18">IF(J$16="","",IF(INDEX(App1bdata,MATCH(J$16,App1bIDnrs,0),97)="","",INDEX(App1bdata,MATCH(J$16,App1bIDnrs,0),97)))</f>
        <v>-0.628</v>
      </c>
      <c r="K50" s="519">
        <f t="shared" si="18"/>
        <v>-0.24399999999999999</v>
      </c>
      <c r="L50" s="519">
        <f t="shared" si="18"/>
        <v>-0.26500000000000001</v>
      </c>
      <c r="M50" s="519" t="str">
        <f t="shared" si="18"/>
        <v/>
      </c>
      <c r="N50" s="519">
        <f t="shared" si="18"/>
        <v>-0.17799999999999999</v>
      </c>
      <c r="O50" s="519" t="str">
        <f t="shared" si="18"/>
        <v/>
      </c>
      <c r="P50" s="519">
        <f t="shared" si="18"/>
        <v>-8.4000000000000005E-2</v>
      </c>
      <c r="Q50" s="520">
        <f t="shared" si="18"/>
        <v>-0.89600000000000002</v>
      </c>
      <c r="R50" s="519">
        <f t="shared" ref="R50:AK50" si="19">IF(R$16="","",IF(INDEX(App1data,MATCH(R$16,App1IDnrs,0),97)="","",INDEX(App1data,MATCH(R$16,App1IDnrs,0),97)))</f>
        <v>-4.62</v>
      </c>
      <c r="S50" s="519">
        <f t="shared" si="19"/>
        <v>-4.62</v>
      </c>
      <c r="T50" s="519">
        <f t="shared" si="19"/>
        <v>-0.63400000000000001</v>
      </c>
      <c r="U50" s="519" t="str">
        <f t="shared" si="19"/>
        <v/>
      </c>
      <c r="V50" s="519">
        <f t="shared" si="19"/>
        <v>-1.2</v>
      </c>
      <c r="W50" s="519" t="str">
        <f t="shared" si="19"/>
        <v/>
      </c>
      <c r="X50" s="519">
        <f t="shared" si="19"/>
        <v>-1.73E-3</v>
      </c>
      <c r="Y50" s="519">
        <f t="shared" si="19"/>
        <v>-0.70430000000000004</v>
      </c>
      <c r="Z50" s="519">
        <f t="shared" si="19"/>
        <v>-6.6299999999999996E-3</v>
      </c>
      <c r="AA50" s="519" t="str">
        <f t="shared" si="19"/>
        <v/>
      </c>
      <c r="AB50" s="519" t="str">
        <f t="shared" si="19"/>
        <v/>
      </c>
      <c r="AC50" s="519" t="str">
        <f t="shared" si="19"/>
        <v/>
      </c>
      <c r="AD50" s="519" t="str">
        <f t="shared" si="19"/>
        <v/>
      </c>
      <c r="AE50" s="519" t="str">
        <f t="shared" si="19"/>
        <v/>
      </c>
      <c r="AF50" s="519" t="str">
        <f t="shared" si="19"/>
        <v/>
      </c>
      <c r="AG50" s="519" t="str">
        <f t="shared" si="19"/>
        <v/>
      </c>
      <c r="AH50" s="519" t="str">
        <f t="shared" si="19"/>
        <v/>
      </c>
      <c r="AI50" s="519" t="str">
        <f t="shared" si="19"/>
        <v/>
      </c>
      <c r="AJ50" s="519" t="str">
        <f t="shared" si="19"/>
        <v/>
      </c>
      <c r="AK50" s="520" t="str">
        <f t="shared" si="19"/>
        <v/>
      </c>
      <c r="AL50" s="519">
        <f>IF(AL$16="","",IF(INDEX(App1bdata,MATCH(AL$16,App1bIDnrs,0),97)="","",INDEX(App1bdata,MATCH(AL$16,App1bIDnrs,0),97)))</f>
        <v>-5.5570000000000004</v>
      </c>
      <c r="AM50" s="519">
        <f>IF(AM$16="","",IF(INDEX(App1bdata,MATCH(AM$16,App1bIDnrs,0),97)="","",INDEX(App1bdata,MATCH(AM$16,App1bIDnrs,0),97)))</f>
        <v>-0.315</v>
      </c>
      <c r="AN50" s="519">
        <f>IF(AN$16="","",IF(INDEX(App1bdata,MATCH(AN$16,App1bIDnrs,0),97)="","",INDEX(App1bdata,MATCH(AN$16,App1bIDnrs,0),97)))</f>
        <v>-1.843</v>
      </c>
      <c r="AO50" s="520">
        <f>IF(AO$16="","",IF(INDEX(App1bdata,MATCH(AO$16,App1bIDnrs,0),97)="","",INDEX(App1bdata,MATCH(AO$16,App1bIDnrs,0),97)))</f>
        <v>-10</v>
      </c>
      <c r="AP50" s="519" t="str">
        <f t="shared" ref="AP50:BC50" si="20">IF(AP$16="","",IF(INDEX(App1data,MATCH(AP$16,App1IDnrs,0),97)="","",INDEX(App1data,MATCH(AP$16,App1IDnrs,0),97)))</f>
        <v/>
      </c>
      <c r="AQ50" s="519">
        <f t="shared" si="20"/>
        <v>-0.442</v>
      </c>
      <c r="AR50" s="519">
        <f t="shared" si="20"/>
        <v>-0.41699999999999998</v>
      </c>
      <c r="AS50" s="519">
        <f t="shared" si="20"/>
        <v>-0.248</v>
      </c>
      <c r="AT50" s="519">
        <f t="shared" si="20"/>
        <v>-0.45</v>
      </c>
      <c r="AU50" s="519">
        <f t="shared" si="20"/>
        <v>-1.8520000000000001</v>
      </c>
      <c r="AV50" s="519">
        <f t="shared" si="20"/>
        <v>-1.7</v>
      </c>
      <c r="AW50" s="519">
        <f t="shared" si="20"/>
        <v>-2.08E-6</v>
      </c>
      <c r="AX50" s="519">
        <f t="shared" si="20"/>
        <v>-7.2700000000000004E-3</v>
      </c>
      <c r="AY50" s="519">
        <f t="shared" si="20"/>
        <v>-0.1807</v>
      </c>
      <c r="AZ50" s="519" t="str">
        <f t="shared" si="20"/>
        <v/>
      </c>
      <c r="BA50" s="519" t="str">
        <f t="shared" si="20"/>
        <v/>
      </c>
      <c r="BB50" s="519" t="str">
        <f t="shared" si="20"/>
        <v/>
      </c>
      <c r="BC50" s="520" t="str">
        <f t="shared" si="20"/>
        <v/>
      </c>
      <c r="BD50" s="519"/>
      <c r="BE50" s="519"/>
      <c r="BF50" s="519"/>
      <c r="BG50" s="519"/>
      <c r="BH50" s="519"/>
      <c r="BI50" s="519"/>
      <c r="BJ50" s="519"/>
      <c r="BK50" s="519"/>
      <c r="BL50" s="519"/>
      <c r="BM50" s="519"/>
      <c r="BN50" s="519"/>
      <c r="BO50" s="519"/>
      <c r="BP50" s="519"/>
      <c r="BQ50" s="519"/>
      <c r="BR50" s="519"/>
      <c r="BS50" s="519"/>
    </row>
    <row r="51" spans="1:71" s="202" customFormat="1" ht="13.15">
      <c r="A51" s="453"/>
      <c r="B51" s="453"/>
      <c r="C51" s="453"/>
      <c r="D51" s="453"/>
      <c r="E51" s="453"/>
      <c r="F51" s="453"/>
      <c r="G51" s="453"/>
      <c r="H51" s="453"/>
      <c r="I51" s="453"/>
      <c r="J51" s="521"/>
      <c r="K51" s="521"/>
      <c r="L51" s="521"/>
      <c r="M51" s="521"/>
      <c r="N51" s="521"/>
      <c r="O51" s="521"/>
      <c r="P51" s="521"/>
      <c r="Q51" s="522"/>
      <c r="R51" s="521"/>
      <c r="S51" s="521"/>
      <c r="T51" s="521"/>
      <c r="U51" s="521"/>
      <c r="V51" s="521"/>
      <c r="W51" s="521"/>
      <c r="X51" s="521"/>
      <c r="Y51" s="521"/>
      <c r="Z51" s="521"/>
      <c r="AA51" s="521"/>
      <c r="AB51" s="521"/>
      <c r="AC51" s="521"/>
      <c r="AD51" s="521"/>
      <c r="AE51" s="521"/>
      <c r="AF51" s="521"/>
      <c r="AG51" s="521"/>
      <c r="AH51" s="521"/>
      <c r="AI51" s="521"/>
      <c r="AJ51" s="521"/>
      <c r="AK51" s="522"/>
      <c r="AL51" s="521"/>
      <c r="AM51" s="521"/>
      <c r="AN51" s="521"/>
      <c r="AO51" s="522"/>
      <c r="AP51" s="521"/>
      <c r="AQ51" s="521"/>
      <c r="AR51" s="521"/>
      <c r="AS51" s="521"/>
      <c r="AT51" s="521"/>
      <c r="AU51" s="521"/>
      <c r="AV51" s="521"/>
      <c r="AW51" s="521"/>
      <c r="AX51" s="521"/>
      <c r="AY51" s="521"/>
      <c r="AZ51" s="521"/>
      <c r="BA51" s="521"/>
      <c r="BB51" s="521"/>
      <c r="BC51" s="522"/>
      <c r="BD51" s="521"/>
      <c r="BE51" s="521"/>
      <c r="BF51" s="521"/>
      <c r="BG51" s="521"/>
      <c r="BH51" s="521"/>
      <c r="BI51" s="521"/>
      <c r="BJ51" s="521"/>
      <c r="BK51" s="521"/>
      <c r="BL51" s="521"/>
      <c r="BM51" s="521"/>
      <c r="BN51" s="521"/>
      <c r="BO51" s="521"/>
      <c r="BP51" s="521"/>
      <c r="BQ51" s="521"/>
      <c r="BR51" s="521"/>
      <c r="BS51" s="521"/>
    </row>
    <row r="52" spans="1:71" s="202" customFormat="1" ht="13.15">
      <c r="A52" s="453"/>
      <c r="B52" s="453"/>
      <c r="C52" s="453"/>
      <c r="D52" s="463" t="s">
        <v>1180</v>
      </c>
      <c r="E52" s="453"/>
      <c r="F52" s="453"/>
      <c r="G52" s="453"/>
      <c r="H52" s="453"/>
      <c r="I52" s="453"/>
      <c r="J52" s="490"/>
      <c r="K52" s="490"/>
      <c r="L52" s="490"/>
      <c r="M52" s="490"/>
      <c r="N52" s="490"/>
      <c r="O52" s="490"/>
      <c r="P52" s="490"/>
      <c r="Q52" s="491"/>
      <c r="R52" s="490"/>
      <c r="S52" s="490"/>
      <c r="T52" s="490"/>
      <c r="U52" s="490"/>
      <c r="V52" s="490"/>
      <c r="W52" s="490"/>
      <c r="X52" s="490"/>
      <c r="Y52" s="490"/>
      <c r="Z52" s="490"/>
      <c r="AA52" s="490"/>
      <c r="AB52" s="490"/>
      <c r="AC52" s="490"/>
      <c r="AD52" s="490"/>
      <c r="AE52" s="490"/>
      <c r="AF52" s="490"/>
      <c r="AG52" s="490"/>
      <c r="AH52" s="490"/>
      <c r="AI52" s="490"/>
      <c r="AJ52" s="490"/>
      <c r="AK52" s="491"/>
      <c r="AL52" s="490"/>
      <c r="AM52" s="490"/>
      <c r="AN52" s="490"/>
      <c r="AO52" s="491"/>
      <c r="AP52" s="490"/>
      <c r="AQ52" s="490"/>
      <c r="AR52" s="490"/>
      <c r="AS52" s="490"/>
      <c r="AT52" s="490"/>
      <c r="AU52" s="490"/>
      <c r="AV52" s="490"/>
      <c r="AW52" s="490"/>
      <c r="AX52" s="490"/>
      <c r="AY52" s="490"/>
      <c r="AZ52" s="490"/>
      <c r="BA52" s="490"/>
      <c r="BB52" s="490"/>
      <c r="BC52" s="491"/>
      <c r="BD52" s="490"/>
      <c r="BE52" s="490"/>
      <c r="BF52" s="490"/>
      <c r="BG52" s="490"/>
      <c r="BH52" s="490"/>
      <c r="BI52" s="490"/>
      <c r="BJ52" s="490"/>
      <c r="BK52" s="490"/>
      <c r="BL52" s="490"/>
      <c r="BM52" s="490"/>
      <c r="BN52" s="490"/>
      <c r="BO52" s="490"/>
      <c r="BP52" s="490"/>
      <c r="BQ52" s="490"/>
      <c r="BR52" s="490"/>
      <c r="BS52" s="490"/>
    </row>
    <row r="53" spans="1:71" s="202" customFormat="1" ht="13.15">
      <c r="A53" s="453"/>
      <c r="B53" s="453"/>
      <c r="C53" s="453"/>
      <c r="D53" s="453"/>
      <c r="E53" s="453" t="s">
        <v>1181</v>
      </c>
      <c r="F53" s="453"/>
      <c r="G53" s="453" t="s">
        <v>418</v>
      </c>
      <c r="H53" s="453"/>
      <c r="I53" s="453"/>
      <c r="J53" s="505" t="b">
        <v>0</v>
      </c>
      <c r="K53" s="505" t="b">
        <v>0</v>
      </c>
      <c r="L53" s="505" t="b">
        <v>0</v>
      </c>
      <c r="M53" s="505" t="b">
        <v>0</v>
      </c>
      <c r="N53" s="505" t="b">
        <v>0</v>
      </c>
      <c r="O53" s="505" t="b">
        <v>0</v>
      </c>
      <c r="P53" s="505" t="b">
        <v>0</v>
      </c>
      <c r="Q53" s="506" t="b">
        <v>0</v>
      </c>
      <c r="R53" s="505" t="b">
        <v>0</v>
      </c>
      <c r="S53" s="505" t="b">
        <v>0</v>
      </c>
      <c r="T53" s="505" t="b">
        <v>0</v>
      </c>
      <c r="U53" s="505" t="b">
        <v>0</v>
      </c>
      <c r="V53" s="505" t="b">
        <v>0</v>
      </c>
      <c r="W53" s="505" t="b">
        <v>0</v>
      </c>
      <c r="X53" s="505" t="b">
        <v>0</v>
      </c>
      <c r="Y53" s="505" t="b">
        <v>0</v>
      </c>
      <c r="Z53" s="505" t="b">
        <v>0</v>
      </c>
      <c r="AA53" s="505" t="b">
        <v>0</v>
      </c>
      <c r="AB53" s="505" t="b">
        <v>0</v>
      </c>
      <c r="AC53" s="505" t="b">
        <v>0</v>
      </c>
      <c r="AD53" s="505" t="b">
        <v>0</v>
      </c>
      <c r="AE53" s="505" t="b">
        <v>0</v>
      </c>
      <c r="AF53" s="505" t="b">
        <v>0</v>
      </c>
      <c r="AG53" s="505" t="b">
        <v>0</v>
      </c>
      <c r="AH53" s="505" t="b">
        <v>0</v>
      </c>
      <c r="AI53" s="505" t="b">
        <v>0</v>
      </c>
      <c r="AJ53" s="505" t="b">
        <v>0</v>
      </c>
      <c r="AK53" s="506" t="b">
        <v>0</v>
      </c>
      <c r="AL53" s="505" t="b">
        <v>0</v>
      </c>
      <c r="AM53" s="505" t="b">
        <v>0</v>
      </c>
      <c r="AN53" s="505" t="b">
        <v>0</v>
      </c>
      <c r="AO53" s="506" t="b">
        <v>0</v>
      </c>
      <c r="AP53" s="505" t="b">
        <v>0</v>
      </c>
      <c r="AQ53" s="505" t="b">
        <v>0</v>
      </c>
      <c r="AR53" s="505" t="b">
        <v>0</v>
      </c>
      <c r="AS53" s="505" t="b">
        <v>0</v>
      </c>
      <c r="AT53" s="505" t="b">
        <v>0</v>
      </c>
      <c r="AU53" s="505" t="b">
        <v>0</v>
      </c>
      <c r="AV53" s="505" t="b">
        <v>0</v>
      </c>
      <c r="AW53" s="505" t="b">
        <v>0</v>
      </c>
      <c r="AX53" s="505" t="b">
        <v>0</v>
      </c>
      <c r="AY53" s="505" t="b">
        <v>0</v>
      </c>
      <c r="AZ53" s="505" t="b">
        <v>0</v>
      </c>
      <c r="BA53" s="505" t="b">
        <v>0</v>
      </c>
      <c r="BB53" s="505" t="b">
        <v>0</v>
      </c>
      <c r="BC53" s="506" t="b">
        <v>0</v>
      </c>
      <c r="BD53" s="548" t="b">
        <v>0</v>
      </c>
      <c r="BE53" s="548" t="b">
        <v>0</v>
      </c>
      <c r="BF53" s="548" t="b">
        <v>0</v>
      </c>
      <c r="BG53" s="548" t="b">
        <v>0</v>
      </c>
      <c r="BH53" s="548" t="b">
        <v>0</v>
      </c>
      <c r="BI53" s="548" t="b">
        <v>0</v>
      </c>
      <c r="BJ53" s="548" t="b">
        <v>0</v>
      </c>
      <c r="BK53" s="548" t="b">
        <v>0</v>
      </c>
      <c r="BL53" s="548" t="b">
        <v>0</v>
      </c>
      <c r="BM53" s="548" t="b">
        <v>0</v>
      </c>
      <c r="BN53" s="548" t="b">
        <v>0</v>
      </c>
      <c r="BO53" s="548" t="b">
        <v>0</v>
      </c>
      <c r="BP53" s="548" t="b">
        <v>0</v>
      </c>
      <c r="BQ53" s="548" t="b">
        <v>0</v>
      </c>
      <c r="BR53" s="548" t="b">
        <v>0</v>
      </c>
      <c r="BS53" s="548" t="b">
        <v>0</v>
      </c>
    </row>
    <row r="54" spans="1:71" s="202" customFormat="1" ht="13.15">
      <c r="A54" s="453"/>
      <c r="B54" s="453"/>
      <c r="C54" s="453"/>
      <c r="D54" s="453"/>
      <c r="E54" s="453" t="s">
        <v>1182</v>
      </c>
      <c r="F54" s="453"/>
      <c r="G54" s="453" t="s">
        <v>1183</v>
      </c>
      <c r="H54" s="453"/>
      <c r="I54" s="453"/>
      <c r="J54" s="505"/>
      <c r="K54" s="505"/>
      <c r="L54" s="505"/>
      <c r="M54" s="505"/>
      <c r="N54" s="505"/>
      <c r="O54" s="505"/>
      <c r="P54" s="505"/>
      <c r="Q54" s="506"/>
      <c r="R54" s="505"/>
      <c r="S54" s="505"/>
      <c r="T54" s="505"/>
      <c r="U54" s="505"/>
      <c r="V54" s="505"/>
      <c r="W54" s="505"/>
      <c r="X54" s="505"/>
      <c r="Y54" s="505"/>
      <c r="Z54" s="505"/>
      <c r="AA54" s="505"/>
      <c r="AB54" s="505"/>
      <c r="AC54" s="505"/>
      <c r="AD54" s="505"/>
      <c r="AE54" s="505"/>
      <c r="AF54" s="505"/>
      <c r="AG54" s="505"/>
      <c r="AH54" s="505"/>
      <c r="AI54" s="505"/>
      <c r="AJ54" s="505"/>
      <c r="AK54" s="506"/>
      <c r="AL54" s="505"/>
      <c r="AM54" s="505"/>
      <c r="AN54" s="505"/>
      <c r="AO54" s="506"/>
      <c r="AP54" s="505"/>
      <c r="AQ54" s="505"/>
      <c r="AR54" s="505"/>
      <c r="AS54" s="505"/>
      <c r="AT54" s="505"/>
      <c r="AU54" s="505"/>
      <c r="AV54" s="505"/>
      <c r="AW54" s="505"/>
      <c r="AX54" s="505"/>
      <c r="AY54" s="505"/>
      <c r="AZ54" s="505"/>
      <c r="BA54" s="505"/>
      <c r="BB54" s="505"/>
      <c r="BC54" s="506"/>
      <c r="BD54" s="548"/>
      <c r="BE54" s="548"/>
      <c r="BF54" s="548"/>
      <c r="BG54" s="548"/>
      <c r="BH54" s="548"/>
      <c r="BI54" s="548"/>
      <c r="BJ54" s="548"/>
      <c r="BK54" s="548"/>
      <c r="BL54" s="548"/>
      <c r="BM54" s="548"/>
      <c r="BN54" s="548"/>
      <c r="BO54" s="548"/>
      <c r="BP54" s="548"/>
      <c r="BQ54" s="548"/>
      <c r="BR54" s="548"/>
      <c r="BS54" s="548"/>
    </row>
    <row r="55" spans="1:71" s="202" customFormat="1" ht="13.15">
      <c r="A55" s="453"/>
      <c r="B55" s="453"/>
      <c r="C55" s="453"/>
      <c r="D55" s="453"/>
      <c r="E55" s="453"/>
      <c r="F55" s="453"/>
      <c r="G55" s="453"/>
      <c r="H55" s="453"/>
      <c r="I55" s="453"/>
      <c r="J55" s="490"/>
      <c r="K55" s="490"/>
      <c r="L55" s="490"/>
      <c r="M55" s="490"/>
      <c r="N55" s="490"/>
      <c r="O55" s="490"/>
      <c r="P55" s="490"/>
      <c r="Q55" s="491"/>
      <c r="R55" s="490"/>
      <c r="S55" s="490"/>
      <c r="T55" s="490"/>
      <c r="U55" s="490"/>
      <c r="V55" s="490"/>
      <c r="W55" s="490"/>
      <c r="X55" s="490"/>
      <c r="Y55" s="490"/>
      <c r="Z55" s="490"/>
      <c r="AA55" s="490"/>
      <c r="AB55" s="490"/>
      <c r="AC55" s="490"/>
      <c r="AD55" s="490"/>
      <c r="AE55" s="490"/>
      <c r="AF55" s="490"/>
      <c r="AG55" s="490"/>
      <c r="AH55" s="490"/>
      <c r="AI55" s="490"/>
      <c r="AJ55" s="490"/>
      <c r="AK55" s="491"/>
      <c r="AL55" s="490"/>
      <c r="AM55" s="490"/>
      <c r="AN55" s="490"/>
      <c r="AO55" s="491"/>
      <c r="AP55" s="490"/>
      <c r="AQ55" s="490"/>
      <c r="AR55" s="490"/>
      <c r="AS55" s="490"/>
      <c r="AT55" s="490"/>
      <c r="AU55" s="490"/>
      <c r="AV55" s="490"/>
      <c r="AW55" s="490"/>
      <c r="AX55" s="490"/>
      <c r="AY55" s="490"/>
      <c r="AZ55" s="490"/>
      <c r="BA55" s="490"/>
      <c r="BB55" s="490"/>
      <c r="BC55" s="491"/>
      <c r="BD55" s="490"/>
      <c r="BE55" s="490"/>
      <c r="BF55" s="490"/>
      <c r="BG55" s="490"/>
      <c r="BH55" s="490"/>
      <c r="BI55" s="490"/>
      <c r="BJ55" s="490"/>
      <c r="BK55" s="490"/>
      <c r="BL55" s="490"/>
      <c r="BM55" s="490"/>
      <c r="BN55" s="490"/>
      <c r="BO55" s="490"/>
      <c r="BP55" s="490"/>
      <c r="BQ55" s="490"/>
      <c r="BR55" s="490"/>
      <c r="BS55" s="490"/>
    </row>
    <row r="56" spans="1:71" s="202" customFormat="1" ht="13.15">
      <c r="A56" s="453"/>
      <c r="B56" s="453"/>
      <c r="C56" s="453"/>
      <c r="D56" s="453"/>
      <c r="E56" s="453" t="s">
        <v>999</v>
      </c>
      <c r="F56" s="453"/>
      <c r="G56" s="453" t="s">
        <v>1158</v>
      </c>
      <c r="H56" s="453"/>
      <c r="I56" s="515"/>
      <c r="J56" s="516" t="str">
        <f>IF(J$16="","",IF(INDEX(App1bdata,MATCH(J$16,App1bIDnrs,0),VLOOKUP(InpCompany!$F$8,ProfileInps,7,0))="","",INDEX(App1bdata,MATCH(J$16,App1bIDnrs,0),VLOOKUP(InpCompany!$F$8,ProfileInps,7,0))))</f>
        <v/>
      </c>
      <c r="K56" s="516" t="str">
        <f>IF(K$16="","",IF(INDEX(App1bdata,MATCH(K$16,App1bIDnrs,0),VLOOKUP(InpCompany!$F$8,ProfileInps,7,0))="","",INDEX(App1bdata,MATCH(K$16,App1bIDnrs,0),VLOOKUP(InpCompany!$F$8,ProfileInps,7,0))))</f>
        <v/>
      </c>
      <c r="L56" s="1245" t="str">
        <f>IF(L$16="","",IF(INDEX(App1bdata,MATCH(L$16,App1bIDnrs,0),VLOOKUP(InpCompany!$F$8,ProfileInps,7,0))="","",INDEX(App1bdata,MATCH(L$16,App1bIDnrs,0),VLOOKUP(InpCompany!$F$8,ProfileInps,7,0))))</f>
        <v/>
      </c>
      <c r="M56" s="1245" t="str">
        <f>IF(M$16="","",IF(INDEX(App1bdata,MATCH(M$16,App1bIDnrs,0),VLOOKUP(InpCompany!$F$8,ProfileInps,7,0))="","",INDEX(App1bdata,MATCH(M$16,App1bIDnrs,0),VLOOKUP(InpCompany!$F$8,ProfileInps,7,0))))</f>
        <v/>
      </c>
      <c r="N56" s="1245" t="str">
        <f>IF(N$16="","",IF(INDEX(App1bdata,MATCH(N$16,App1bIDnrs,0),VLOOKUP(InpCompany!$F$8,ProfileInps,7,0))="","",INDEX(App1bdata,MATCH(N$16,App1bIDnrs,0),VLOOKUP(InpCompany!$F$8,ProfileInps,7,0))))</f>
        <v>*</v>
      </c>
      <c r="O56" s="1245" t="str">
        <f>IF(O$16="","",IF(INDEX(App1bdata,MATCH(O$16,App1bIDnrs,0),VLOOKUP(InpCompany!$F$8,ProfileInps,7,0))="","",INDEX(App1bdata,MATCH(O$16,App1bIDnrs,0),VLOOKUP(InpCompany!$F$8,ProfileInps,7,0))))</f>
        <v/>
      </c>
      <c r="P56" s="516" t="str">
        <f>IF(P$16="","",IF(INDEX(App1bdata,MATCH(P$16,App1bIDnrs,0),VLOOKUP(InpCompany!$F$8,ProfileInps,7,0))="","",INDEX(App1bdata,MATCH(P$16,App1bIDnrs,0),VLOOKUP(InpCompany!$F$8,ProfileInps,7,0))))</f>
        <v/>
      </c>
      <c r="Q56" s="518" t="str">
        <f>IF(Q$16="","",IF(INDEX(App1bdata,MATCH(Q$16,App1bIDnrs,0),VLOOKUP(InpCompany!$F$8,ProfileInps,7,0))="","",INDEX(App1bdata,MATCH(Q$16,App1bIDnrs,0),VLOOKUP(InpCompany!$F$8,ProfileInps,7,0))))</f>
        <v/>
      </c>
      <c r="R56" s="516" t="str">
        <f>IF(R$16="","",IF(INDEX(App1data,MATCH(R$16,App1IDnrs,0),VLOOKUP(InpCompany!$F$8,ProfileInps,7,0))="","",INDEX(App1data,MATCH(R$16,App1IDnrs,0),VLOOKUP(InpCompany!$F$8,ProfileInps,7,0))))</f>
        <v/>
      </c>
      <c r="S56" s="516" t="str">
        <f>IF(S$16="","",IF(INDEX(App1data,MATCH(S$16,App1IDnrs,0),VLOOKUP(InpCompany!$F$8,ProfileInps,7,0))="","",INDEX(App1data,MATCH(S$16,App1IDnrs,0),VLOOKUP(InpCompany!$F$8,ProfileInps,7,0))))</f>
        <v/>
      </c>
      <c r="T56" s="516" t="str">
        <f>IF(T$16="","",IF(INDEX(App1data,MATCH(T$16,App1IDnrs,0),VLOOKUP(InpCompany!$F$8,ProfileInps,7,0))="","",INDEX(App1data,MATCH(T$16,App1IDnrs,0),VLOOKUP(InpCompany!$F$8,ProfileInps,7,0))))</f>
        <v/>
      </c>
      <c r="U56" s="516" t="str">
        <f>IF(U$16="","",IF(INDEX(App1data,MATCH(U$16,App1IDnrs,0),VLOOKUP(InpCompany!$F$8,ProfileInps,7,0))="","",INDEX(App1data,MATCH(U$16,App1IDnrs,0),VLOOKUP(InpCompany!$F$8,ProfileInps,7,0))))</f>
        <v/>
      </c>
      <c r="V56" s="516" t="str">
        <f>IF(V$16="","",IF(INDEX(App1data,MATCH(V$16,App1IDnrs,0),VLOOKUP(InpCompany!$F$8,ProfileInps,7,0))="","",INDEX(App1data,MATCH(V$16,App1IDnrs,0),VLOOKUP(InpCompany!$F$8,ProfileInps,7,0))))</f>
        <v/>
      </c>
      <c r="W56" s="516" t="str">
        <f>IF(W$16="","",IF(INDEX(App1data,MATCH(W$16,App1IDnrs,0),VLOOKUP(InpCompany!$F$8,ProfileInps,7,0))="","",INDEX(App1data,MATCH(W$16,App1IDnrs,0),VLOOKUP(InpCompany!$F$8,ProfileInps,7,0))))</f>
        <v/>
      </c>
      <c r="X56" s="516" t="str">
        <f>IF(X$16="","",IF(INDEX(App1data,MATCH(X$16,App1IDnrs,0),VLOOKUP(InpCompany!$F$8,ProfileInps,7,0))="","",INDEX(App1data,MATCH(X$16,App1IDnrs,0),VLOOKUP(InpCompany!$F$8,ProfileInps,7,0))))</f>
        <v/>
      </c>
      <c r="Y56" s="516" t="str">
        <f>IF(Y$16="","",IF(INDEX(App1data,MATCH(Y$16,App1IDnrs,0),VLOOKUP(InpCompany!$F$8,ProfileInps,7,0))="","",INDEX(App1data,MATCH(Y$16,App1IDnrs,0),VLOOKUP(InpCompany!$F$8,ProfileInps,7,0))))</f>
        <v/>
      </c>
      <c r="Z56" s="516" t="str">
        <f>IF(Z$16="","",IF(INDEX(App1data,MATCH(Z$16,App1IDnrs,0),VLOOKUP(InpCompany!$F$8,ProfileInps,7,0))="","",INDEX(App1data,MATCH(Z$16,App1IDnrs,0),VLOOKUP(InpCompany!$F$8,ProfileInps,7,0))))</f>
        <v/>
      </c>
      <c r="AA56" s="516" t="str">
        <f>IF(AA$16="","",IF(INDEX(App1data,MATCH(AA$16,App1IDnrs,0),VLOOKUP(InpCompany!$F$8,ProfileInps,7,0))="","",INDEX(App1data,MATCH(AA$16,App1IDnrs,0),VLOOKUP(InpCompany!$F$8,ProfileInps,7,0))))</f>
        <v/>
      </c>
      <c r="AB56" s="516" t="str">
        <f>IF(AB$16="","",IF(INDEX(App1data,MATCH(AB$16,App1IDnrs,0),VLOOKUP(InpCompany!$F$8,ProfileInps,7,0))="","",INDEX(App1data,MATCH(AB$16,App1IDnrs,0),VLOOKUP(InpCompany!$F$8,ProfileInps,7,0))))</f>
        <v/>
      </c>
      <c r="AC56" s="516" t="str">
        <f>IF(AC$16="","",IF(INDEX(App1data,MATCH(AC$16,App1IDnrs,0),VLOOKUP(InpCompany!$F$8,ProfileInps,7,0))="","",INDEX(App1data,MATCH(AC$16,App1IDnrs,0),VLOOKUP(InpCompany!$F$8,ProfileInps,7,0))))</f>
        <v/>
      </c>
      <c r="AD56" s="516" t="str">
        <f>IF(AD$16="","",IF(INDEX(App1data,MATCH(AD$16,App1IDnrs,0),VLOOKUP(InpCompany!$F$8,ProfileInps,7,0))="","",INDEX(App1data,MATCH(AD$16,App1IDnrs,0),VLOOKUP(InpCompany!$F$8,ProfileInps,7,0))))</f>
        <v/>
      </c>
      <c r="AE56" s="516" t="str">
        <f>IF(AE$16="","",IF(INDEX(App1data,MATCH(AE$16,App1IDnrs,0),VLOOKUP(InpCompany!$F$8,ProfileInps,7,0))="","",INDEX(App1data,MATCH(AE$16,App1IDnrs,0),VLOOKUP(InpCompany!$F$8,ProfileInps,7,0))))</f>
        <v/>
      </c>
      <c r="AF56" s="516" t="str">
        <f>IF(AF$16="","",IF(INDEX(App1data,MATCH(AF$16,App1IDnrs,0),VLOOKUP(InpCompany!$F$8,ProfileInps,7,0))="","",INDEX(App1data,MATCH(AF$16,App1IDnrs,0),VLOOKUP(InpCompany!$F$8,ProfileInps,7,0))))</f>
        <v/>
      </c>
      <c r="AG56" s="516" t="str">
        <f>IF(AG$16="","",IF(INDEX(App1data,MATCH(AG$16,App1IDnrs,0),VLOOKUP(InpCompany!$F$8,ProfileInps,7,0))="","",INDEX(App1data,MATCH(AG$16,App1IDnrs,0),VLOOKUP(InpCompany!$F$8,ProfileInps,7,0))))</f>
        <v/>
      </c>
      <c r="AH56" s="516" t="str">
        <f>IF(AH$16="","",IF(INDEX(App1data,MATCH(AH$16,App1IDnrs,0),VLOOKUP(InpCompany!$F$8,ProfileInps,7,0))="","",INDEX(App1data,MATCH(AH$16,App1IDnrs,0),VLOOKUP(InpCompany!$F$8,ProfileInps,7,0))))</f>
        <v/>
      </c>
      <c r="AI56" s="516" t="str">
        <f>IF(AI$16="","",IF(INDEX(App1data,MATCH(AI$16,App1IDnrs,0),VLOOKUP(InpCompany!$F$8,ProfileInps,7,0))="","",INDEX(App1data,MATCH(AI$16,App1IDnrs,0),VLOOKUP(InpCompany!$F$8,ProfileInps,7,0))))</f>
        <v/>
      </c>
      <c r="AJ56" s="516" t="str">
        <f>IF(AJ$16="","",IF(INDEX(App1data,MATCH(AJ$16,App1IDnrs,0),VLOOKUP(InpCompany!$F$8,ProfileInps,7,0))="","",INDEX(App1data,MATCH(AJ$16,App1IDnrs,0),VLOOKUP(InpCompany!$F$8,ProfileInps,7,0))))</f>
        <v/>
      </c>
      <c r="AK56" s="518" t="str">
        <f>IF(AK$16="","",IF(INDEX(App1data,MATCH(AK$16,App1IDnrs,0),VLOOKUP(InpCompany!$F$8,ProfileInps,7,0))="","",INDEX(App1data,MATCH(AK$16,App1IDnrs,0),VLOOKUP(InpCompany!$F$8,ProfileInps,7,0))))</f>
        <v/>
      </c>
      <c r="AL56" s="516" t="str">
        <f>IF(AL$16="","",IF(INDEX(App1bdata,MATCH(AL$16,App1bIDnrs,0),VLOOKUP(InpCompany!$F$8,ProfileInps,7,0))="","",INDEX(App1bdata,MATCH(AL$16,App1bIDnrs,0),VLOOKUP(InpCompany!$F$8,ProfileInps,7,0))))</f>
        <v/>
      </c>
      <c r="AM56" s="516" t="str">
        <f>IF(AM$16="","",IF(INDEX(App1bdata,MATCH(AM$16,App1bIDnrs,0),VLOOKUP(InpCompany!$F$8,ProfileInps,7,0))="","",INDEX(App1bdata,MATCH(AM$16,App1bIDnrs,0),VLOOKUP(InpCompany!$F$8,ProfileInps,7,0))))</f>
        <v/>
      </c>
      <c r="AN56" s="516" t="str">
        <f>IF(AN$16="","",IF(INDEX(App1bdata,MATCH(AN$16,App1bIDnrs,0),VLOOKUP(InpCompany!$F$8,ProfileInps,7,0))="","",INDEX(App1bdata,MATCH(AN$16,App1bIDnrs,0),VLOOKUP(InpCompany!$F$8,ProfileInps,7,0))))</f>
        <v/>
      </c>
      <c r="AO56" s="518" t="str">
        <f>IF(AO$16="","",IF(INDEX(App1bdata,MATCH(AO$16,App1bIDnrs,0),VLOOKUP(InpCompany!$F$8,ProfileInps,7,0))="","",INDEX(App1bdata,MATCH(AO$16,App1bIDnrs,0),VLOOKUP(InpCompany!$F$8,ProfileInps,7,0))))</f>
        <v/>
      </c>
      <c r="AP56" s="516" t="str">
        <f>IF(AP$16="","",IF(INDEX(App1data,MATCH(AP$16,App1IDnrs,0),VLOOKUP(InpCompany!$F$8,ProfileInps,7,0))="","",INDEX(App1data,MATCH(AP$16,App1IDnrs,0),VLOOKUP(InpCompany!$F$8,ProfileInps,7,0))))</f>
        <v/>
      </c>
      <c r="AQ56" s="516" t="str">
        <f>IF(AQ$16="","",IF(INDEX(App1data,MATCH(AQ$16,App1IDnrs,0),VLOOKUP(InpCompany!$F$8,ProfileInps,7,0))="","",INDEX(App1data,MATCH(AQ$16,App1IDnrs,0),VLOOKUP(InpCompany!$F$8,ProfileInps,7,0))))</f>
        <v/>
      </c>
      <c r="AR56" s="516" t="str">
        <f>IF(AR$16="","",IF(INDEX(App1data,MATCH(AR$16,App1IDnrs,0),VLOOKUP(InpCompany!$F$8,ProfileInps,7,0))="","",INDEX(App1data,MATCH(AR$16,App1IDnrs,0),VLOOKUP(InpCompany!$F$8,ProfileInps,7,0))))</f>
        <v/>
      </c>
      <c r="AS56" s="516" t="str">
        <f>IF(AS$16="","",IF(INDEX(App1data,MATCH(AS$16,App1IDnrs,0),VLOOKUP(InpCompany!$F$8,ProfileInps,7,0))="","",INDEX(App1data,MATCH(AS$16,App1IDnrs,0),VLOOKUP(InpCompany!$F$8,ProfileInps,7,0))))</f>
        <v/>
      </c>
      <c r="AT56" s="516" t="str">
        <f>IF(AT$16="","",IF(INDEX(App1data,MATCH(AT$16,App1IDnrs,0),VLOOKUP(InpCompany!$F$8,ProfileInps,7,0))="","",INDEX(App1data,MATCH(AT$16,App1IDnrs,0),VLOOKUP(InpCompany!$F$8,ProfileInps,7,0))))</f>
        <v/>
      </c>
      <c r="AU56" s="516" t="str">
        <f>IF(AU$16="","",IF(INDEX(App1data,MATCH(AU$16,App1IDnrs,0),VLOOKUP(InpCompany!$F$8,ProfileInps,7,0))="","",INDEX(App1data,MATCH(AU$16,App1IDnrs,0),VLOOKUP(InpCompany!$F$8,ProfileInps,7,0))))</f>
        <v/>
      </c>
      <c r="AV56" s="516" t="str">
        <f>IF(AV$16="","",IF(INDEX(App1data,MATCH(AV$16,App1IDnrs,0),VLOOKUP(InpCompany!$F$8,ProfileInps,7,0))="","",INDEX(App1data,MATCH(AV$16,App1IDnrs,0),VLOOKUP(InpCompany!$F$8,ProfileInps,7,0))))</f>
        <v/>
      </c>
      <c r="AW56" s="516" t="str">
        <f>IF(AW$16="","",IF(INDEX(App1data,MATCH(AW$16,App1IDnrs,0),VLOOKUP(InpCompany!$F$8,ProfileInps,7,0))="","",INDEX(App1data,MATCH(AW$16,App1IDnrs,0),VLOOKUP(InpCompany!$F$8,ProfileInps,7,0))))</f>
        <v/>
      </c>
      <c r="AX56" s="516" t="str">
        <f>IF(AX$16="","",IF(INDEX(App1data,MATCH(AX$16,App1IDnrs,0),VLOOKUP(InpCompany!$F$8,ProfileInps,7,0))="","",INDEX(App1data,MATCH(AX$16,App1IDnrs,0),VLOOKUP(InpCompany!$F$8,ProfileInps,7,0))))</f>
        <v/>
      </c>
      <c r="AY56" s="516" t="str">
        <f>IF(AY$16="","",IF(INDEX(App1data,MATCH(AY$16,App1IDnrs,0),VLOOKUP(InpCompany!$F$8,ProfileInps,7,0))="","",INDEX(App1data,MATCH(AY$16,App1IDnrs,0),VLOOKUP(InpCompany!$F$8,ProfileInps,7,0))))</f>
        <v/>
      </c>
      <c r="AZ56" s="516" t="str">
        <f>IF(AZ$16="","",IF(INDEX(App1data,MATCH(AZ$16,App1IDnrs,0),VLOOKUP(InpCompany!$F$8,ProfileInps,7,0))="","",INDEX(App1data,MATCH(AZ$16,App1IDnrs,0),VLOOKUP(InpCompany!$F$8,ProfileInps,7,0))))</f>
        <v/>
      </c>
      <c r="BA56" s="516" t="str">
        <f>IF(BA$16="","",IF(INDEX(App1data,MATCH(BA$16,App1IDnrs,0),VLOOKUP(InpCompany!$F$8,ProfileInps,7,0))="","",INDEX(App1data,MATCH(BA$16,App1IDnrs,0),VLOOKUP(InpCompany!$F$8,ProfileInps,7,0))))</f>
        <v/>
      </c>
      <c r="BB56" s="516" t="str">
        <f>IF(BB$16="","",IF(INDEX(App1data,MATCH(BB$16,App1IDnrs,0),VLOOKUP(InpCompany!$F$8,ProfileInps,7,0))="","",INDEX(App1data,MATCH(BB$16,App1IDnrs,0),VLOOKUP(InpCompany!$F$8,ProfileInps,7,0))))</f>
        <v/>
      </c>
      <c r="BC56" s="518" t="str">
        <f>IF(BC$16="","",IF(INDEX(App1data,MATCH(BC$16,App1IDnrs,0),VLOOKUP(InpCompany!$F$8,ProfileInps,7,0))="","",INDEX(App1data,MATCH(BC$16,App1IDnrs,0),VLOOKUP(InpCompany!$F$8,ProfileInps,7,0))))</f>
        <v/>
      </c>
      <c r="BD56" s="516"/>
      <c r="BE56" s="516"/>
      <c r="BF56" s="516"/>
      <c r="BG56" s="516"/>
      <c r="BH56" s="516"/>
      <c r="BI56" s="516"/>
      <c r="BJ56" s="516"/>
      <c r="BK56" s="516"/>
      <c r="BL56" s="516"/>
      <c r="BM56" s="516"/>
      <c r="BN56" s="516"/>
      <c r="BO56" s="516"/>
      <c r="BP56" s="516"/>
      <c r="BQ56" s="516"/>
      <c r="BR56" s="516"/>
      <c r="BS56" s="516"/>
    </row>
    <row r="57" spans="1:71" s="202" customFormat="1" ht="13.15">
      <c r="A57" s="453"/>
      <c r="B57" s="453"/>
      <c r="C57" s="453"/>
      <c r="D57" s="453"/>
      <c r="E57" s="453" t="s">
        <v>1000</v>
      </c>
      <c r="F57" s="453"/>
      <c r="G57" s="453" t="s">
        <v>1158</v>
      </c>
      <c r="H57" s="453"/>
      <c r="I57" s="515"/>
      <c r="J57" s="516" t="str">
        <f>IF(J$16="","",IF(INDEX(App1bdata,MATCH(J$16,App1bIDnrs,0),VLOOKUP(InpCompany!$F$8,ProfileInps,8,0))="","",INDEX(App1bdata,MATCH(J$16,App1bIDnrs,0),VLOOKUP(InpCompany!$F$8,ProfileInps,8,0))))</f>
        <v/>
      </c>
      <c r="K57" s="516" t="str">
        <f>IF(K$16="","",IF(INDEX(App1bdata,MATCH(K$16,App1bIDnrs,0),VLOOKUP(InpCompany!$F$8,ProfileInps,8,0))="","",INDEX(App1bdata,MATCH(K$16,App1bIDnrs,0),VLOOKUP(InpCompany!$F$8,ProfileInps,8,0))))</f>
        <v/>
      </c>
      <c r="L57" s="1245" t="str">
        <f>IF(L$16="","",IF(INDEX(App1bdata,MATCH(L$16,App1bIDnrs,0),VLOOKUP(InpCompany!$F$8,ProfileInps,8,0))="","",INDEX(App1bdata,MATCH(L$16,App1bIDnrs,0),VLOOKUP(InpCompany!$F$8,ProfileInps,8,0))))</f>
        <v/>
      </c>
      <c r="M57" s="1245" t="str">
        <f>IF(M$16="","",IF(INDEX(App1bdata,MATCH(M$16,App1bIDnrs,0),VLOOKUP(InpCompany!$F$8,ProfileInps,8,0))="","",INDEX(App1bdata,MATCH(M$16,App1bIDnrs,0),VLOOKUP(InpCompany!$F$8,ProfileInps,8,0))))</f>
        <v/>
      </c>
      <c r="N57" s="1245">
        <f>IF(N$16="","",IF(INDEX(App1bdata,MATCH(N$16,App1bIDnrs,0),VLOOKUP(InpCompany!$F$8,ProfileInps,8,0))="","",INDEX(App1bdata,MATCH(N$16,App1bIDnrs,0),VLOOKUP(InpCompany!$F$8,ProfileInps,8,0))))</f>
        <v>-18.3</v>
      </c>
      <c r="O57" s="1245" t="str">
        <f>IF(O$16="","",IF(INDEX(App1bdata,MATCH(O$16,App1bIDnrs,0),VLOOKUP(InpCompany!$F$8,ProfileInps,8,0))="","",INDEX(App1bdata,MATCH(O$16,App1bIDnrs,0),VLOOKUP(InpCompany!$F$8,ProfileInps,8,0))))</f>
        <v/>
      </c>
      <c r="P57" s="516" t="str">
        <f>IF(P$16="","",IF(INDEX(App1bdata,MATCH(P$16,App1bIDnrs,0),VLOOKUP(InpCompany!$F$8,ProfileInps,8,0))="","",INDEX(App1bdata,MATCH(P$16,App1bIDnrs,0),VLOOKUP(InpCompany!$F$8,ProfileInps,8,0))))</f>
        <v/>
      </c>
      <c r="Q57" s="518" t="str">
        <f>IF(Q$16="","",IF(INDEX(App1bdata,MATCH(Q$16,App1bIDnrs,0),VLOOKUP(InpCompany!$F$8,ProfileInps,8,0))="","",INDEX(App1bdata,MATCH(Q$16,App1bIDnrs,0),VLOOKUP(InpCompany!$F$8,ProfileInps,8,0))))</f>
        <v/>
      </c>
      <c r="R57" s="516" t="str">
        <f>IF(R$16="","",IF(INDEX(App1data,MATCH(R$16,App1IDnrs,0),VLOOKUP(InpCompany!$F$8,ProfileInps,8,0))="","",INDEX(App1data,MATCH(R$16,App1IDnrs,0),VLOOKUP(InpCompany!$F$8,ProfileInps,8,0))))</f>
        <v/>
      </c>
      <c r="S57" s="516" t="str">
        <f>IF(S$16="","",IF(INDEX(App1data,MATCH(S$16,App1IDnrs,0),VLOOKUP(InpCompany!$F$8,ProfileInps,8,0))="","",INDEX(App1data,MATCH(S$16,App1IDnrs,0),VLOOKUP(InpCompany!$F$8,ProfileInps,8,0))))</f>
        <v/>
      </c>
      <c r="T57" s="516" t="str">
        <f>IF(T$16="","",IF(INDEX(App1data,MATCH(T$16,App1IDnrs,0),VLOOKUP(InpCompany!$F$8,ProfileInps,8,0))="","",INDEX(App1data,MATCH(T$16,App1IDnrs,0),VLOOKUP(InpCompany!$F$8,ProfileInps,8,0))))</f>
        <v/>
      </c>
      <c r="U57" s="516" t="str">
        <f>IF(U$16="","",IF(INDEX(App1data,MATCH(U$16,App1IDnrs,0),VLOOKUP(InpCompany!$F$8,ProfileInps,8,0))="","",INDEX(App1data,MATCH(U$16,App1IDnrs,0),VLOOKUP(InpCompany!$F$8,ProfileInps,8,0))))</f>
        <v/>
      </c>
      <c r="V57" s="516" t="str">
        <f>IF(V$16="","",IF(INDEX(App1data,MATCH(V$16,App1IDnrs,0),VLOOKUP(InpCompany!$F$8,ProfileInps,8,0))="","",INDEX(App1data,MATCH(V$16,App1IDnrs,0),VLOOKUP(InpCompany!$F$8,ProfileInps,8,0))))</f>
        <v/>
      </c>
      <c r="W57" s="516" t="str">
        <f>IF(W$16="","",IF(INDEX(App1data,MATCH(W$16,App1IDnrs,0),VLOOKUP(InpCompany!$F$8,ProfileInps,8,0))="","",INDEX(App1data,MATCH(W$16,App1IDnrs,0),VLOOKUP(InpCompany!$F$8,ProfileInps,8,0))))</f>
        <v/>
      </c>
      <c r="X57" s="516" t="str">
        <f>IF(X$16="","",IF(INDEX(App1data,MATCH(X$16,App1IDnrs,0),VLOOKUP(InpCompany!$F$8,ProfileInps,8,0))="","",INDEX(App1data,MATCH(X$16,App1IDnrs,0),VLOOKUP(InpCompany!$F$8,ProfileInps,8,0))))</f>
        <v/>
      </c>
      <c r="Y57" s="516" t="str">
        <f>IF(Y$16="","",IF(INDEX(App1data,MATCH(Y$16,App1IDnrs,0),VLOOKUP(InpCompany!$F$8,ProfileInps,8,0))="","",INDEX(App1data,MATCH(Y$16,App1IDnrs,0),VLOOKUP(InpCompany!$F$8,ProfileInps,8,0))))</f>
        <v/>
      </c>
      <c r="Z57" s="516" t="str">
        <f>IF(Z$16="","",IF(INDEX(App1data,MATCH(Z$16,App1IDnrs,0),VLOOKUP(InpCompany!$F$8,ProfileInps,8,0))="","",INDEX(App1data,MATCH(Z$16,App1IDnrs,0),VLOOKUP(InpCompany!$F$8,ProfileInps,8,0))))</f>
        <v/>
      </c>
      <c r="AA57" s="516" t="str">
        <f>IF(AA$16="","",IF(INDEX(App1data,MATCH(AA$16,App1IDnrs,0),VLOOKUP(InpCompany!$F$8,ProfileInps,8,0))="","",INDEX(App1data,MATCH(AA$16,App1IDnrs,0),VLOOKUP(InpCompany!$F$8,ProfileInps,8,0))))</f>
        <v/>
      </c>
      <c r="AB57" s="516" t="str">
        <f>IF(AB$16="","",IF(INDEX(App1data,MATCH(AB$16,App1IDnrs,0),VLOOKUP(InpCompany!$F$8,ProfileInps,8,0))="","",INDEX(App1data,MATCH(AB$16,App1IDnrs,0),VLOOKUP(InpCompany!$F$8,ProfileInps,8,0))))</f>
        <v/>
      </c>
      <c r="AC57" s="516" t="str">
        <f>IF(AC$16="","",IF(INDEX(App1data,MATCH(AC$16,App1IDnrs,0),VLOOKUP(InpCompany!$F$8,ProfileInps,8,0))="","",INDEX(App1data,MATCH(AC$16,App1IDnrs,0),VLOOKUP(InpCompany!$F$8,ProfileInps,8,0))))</f>
        <v/>
      </c>
      <c r="AD57" s="516" t="str">
        <f>IF(AD$16="","",IF(INDEX(App1data,MATCH(AD$16,App1IDnrs,0),VLOOKUP(InpCompany!$F$8,ProfileInps,8,0))="","",INDEX(App1data,MATCH(AD$16,App1IDnrs,0),VLOOKUP(InpCompany!$F$8,ProfileInps,8,0))))</f>
        <v/>
      </c>
      <c r="AE57" s="516" t="str">
        <f>IF(AE$16="","",IF(INDEX(App1data,MATCH(AE$16,App1IDnrs,0),VLOOKUP(InpCompany!$F$8,ProfileInps,8,0))="","",INDEX(App1data,MATCH(AE$16,App1IDnrs,0),VLOOKUP(InpCompany!$F$8,ProfileInps,8,0))))</f>
        <v/>
      </c>
      <c r="AF57" s="516" t="str">
        <f>IF(AF$16="","",IF(INDEX(App1data,MATCH(AF$16,App1IDnrs,0),VLOOKUP(InpCompany!$F$8,ProfileInps,8,0))="","",INDEX(App1data,MATCH(AF$16,App1IDnrs,0),VLOOKUP(InpCompany!$F$8,ProfileInps,8,0))))</f>
        <v/>
      </c>
      <c r="AG57" s="516" t="str">
        <f>IF(AG$16="","",IF(INDEX(App1data,MATCH(AG$16,App1IDnrs,0),VLOOKUP(InpCompany!$F$8,ProfileInps,8,0))="","",INDEX(App1data,MATCH(AG$16,App1IDnrs,0),VLOOKUP(InpCompany!$F$8,ProfileInps,8,0))))</f>
        <v/>
      </c>
      <c r="AH57" s="516" t="str">
        <f>IF(AH$16="","",IF(INDEX(App1data,MATCH(AH$16,App1IDnrs,0),VLOOKUP(InpCompany!$F$8,ProfileInps,8,0))="","",INDEX(App1data,MATCH(AH$16,App1IDnrs,0),VLOOKUP(InpCompany!$F$8,ProfileInps,8,0))))</f>
        <v/>
      </c>
      <c r="AI57" s="516" t="str">
        <f>IF(AI$16="","",IF(INDEX(App1data,MATCH(AI$16,App1IDnrs,0),VLOOKUP(InpCompany!$F$8,ProfileInps,8,0))="","",INDEX(App1data,MATCH(AI$16,App1IDnrs,0),VLOOKUP(InpCompany!$F$8,ProfileInps,8,0))))</f>
        <v/>
      </c>
      <c r="AJ57" s="516" t="str">
        <f>IF(AJ$16="","",IF(INDEX(App1data,MATCH(AJ$16,App1IDnrs,0),VLOOKUP(InpCompany!$F$8,ProfileInps,8,0))="","",INDEX(App1data,MATCH(AJ$16,App1IDnrs,0),VLOOKUP(InpCompany!$F$8,ProfileInps,8,0))))</f>
        <v/>
      </c>
      <c r="AK57" s="518" t="str">
        <f>IF(AK$16="","",IF(INDEX(App1data,MATCH(AK$16,App1IDnrs,0),VLOOKUP(InpCompany!$F$8,ProfileInps,8,0))="","",INDEX(App1data,MATCH(AK$16,App1IDnrs,0),VLOOKUP(InpCompany!$F$8,ProfileInps,8,0))))</f>
        <v/>
      </c>
      <c r="AL57" s="516" t="str">
        <f>IF(AL$16="","",IF(INDEX(App1bdata,MATCH(AL$16,App1bIDnrs,0),VLOOKUP(InpCompany!$F$8,ProfileInps,8,0))="","",INDEX(App1bdata,MATCH(AL$16,App1bIDnrs,0),VLOOKUP(InpCompany!$F$8,ProfileInps,8,0))))</f>
        <v/>
      </c>
      <c r="AM57" s="516" t="str">
        <f>IF(AM$16="","",IF(INDEX(App1bdata,MATCH(AM$16,App1bIDnrs,0),VLOOKUP(InpCompany!$F$8,ProfileInps,8,0))="","",INDEX(App1bdata,MATCH(AM$16,App1bIDnrs,0),VLOOKUP(InpCompany!$F$8,ProfileInps,8,0))))</f>
        <v/>
      </c>
      <c r="AN57" s="516" t="str">
        <f>IF(AN$16="","",IF(INDEX(App1bdata,MATCH(AN$16,App1bIDnrs,0),VLOOKUP(InpCompany!$F$8,ProfileInps,8,0))="","",INDEX(App1bdata,MATCH(AN$16,App1bIDnrs,0),VLOOKUP(InpCompany!$F$8,ProfileInps,8,0))))</f>
        <v/>
      </c>
      <c r="AO57" s="518" t="str">
        <f>IF(AO$16="","",IF(INDEX(App1bdata,MATCH(AO$16,App1bIDnrs,0),VLOOKUP(InpCompany!$F$8,ProfileInps,8,0))="","",INDEX(App1bdata,MATCH(AO$16,App1bIDnrs,0),VLOOKUP(InpCompany!$F$8,ProfileInps,8,0))))</f>
        <v/>
      </c>
      <c r="AP57" s="516" t="str">
        <f>IF(AP$16="","",IF(INDEX(App1data,MATCH(AP$16,App1IDnrs,0),VLOOKUP(InpCompany!$F$8,ProfileInps,8,0))="","",INDEX(App1data,MATCH(AP$16,App1IDnrs,0),VLOOKUP(InpCompany!$F$8,ProfileInps,8,0))))</f>
        <v/>
      </c>
      <c r="AQ57" s="516" t="str">
        <f>IF(AQ$16="","",IF(INDEX(App1data,MATCH(AQ$16,App1IDnrs,0),VLOOKUP(InpCompany!$F$8,ProfileInps,8,0))="","",INDEX(App1data,MATCH(AQ$16,App1IDnrs,0),VLOOKUP(InpCompany!$F$8,ProfileInps,8,0))))</f>
        <v/>
      </c>
      <c r="AR57" s="516" t="str">
        <f>IF(AR$16="","",IF(INDEX(App1data,MATCH(AR$16,App1IDnrs,0),VLOOKUP(InpCompany!$F$8,ProfileInps,8,0))="","",INDEX(App1data,MATCH(AR$16,App1IDnrs,0),VLOOKUP(InpCompany!$F$8,ProfileInps,8,0))))</f>
        <v/>
      </c>
      <c r="AS57" s="516" t="str">
        <f>IF(AS$16="","",IF(INDEX(App1data,MATCH(AS$16,App1IDnrs,0),VLOOKUP(InpCompany!$F$8,ProfileInps,8,0))="","",INDEX(App1data,MATCH(AS$16,App1IDnrs,0),VLOOKUP(InpCompany!$F$8,ProfileInps,8,0))))</f>
        <v/>
      </c>
      <c r="AT57" s="516" t="str">
        <f>IF(AT$16="","",IF(INDEX(App1data,MATCH(AT$16,App1IDnrs,0),VLOOKUP(InpCompany!$F$8,ProfileInps,8,0))="","",INDEX(App1data,MATCH(AT$16,App1IDnrs,0),VLOOKUP(InpCompany!$F$8,ProfileInps,8,0))))</f>
        <v/>
      </c>
      <c r="AU57" s="516" t="str">
        <f>IF(AU$16="","",IF(INDEX(App1data,MATCH(AU$16,App1IDnrs,0),VLOOKUP(InpCompany!$F$8,ProfileInps,8,0))="","",INDEX(App1data,MATCH(AU$16,App1IDnrs,0),VLOOKUP(InpCompany!$F$8,ProfileInps,8,0))))</f>
        <v/>
      </c>
      <c r="AV57" s="516" t="str">
        <f>IF(AV$16="","",IF(INDEX(App1data,MATCH(AV$16,App1IDnrs,0),VLOOKUP(InpCompany!$F$8,ProfileInps,8,0))="","",INDEX(App1data,MATCH(AV$16,App1IDnrs,0),VLOOKUP(InpCompany!$F$8,ProfileInps,8,0))))</f>
        <v/>
      </c>
      <c r="AW57" s="516" t="str">
        <f>IF(AW$16="","",IF(INDEX(App1data,MATCH(AW$16,App1IDnrs,0),VLOOKUP(InpCompany!$F$8,ProfileInps,8,0))="","",INDEX(App1data,MATCH(AW$16,App1IDnrs,0),VLOOKUP(InpCompany!$F$8,ProfileInps,8,0))))</f>
        <v/>
      </c>
      <c r="AX57" s="516" t="str">
        <f>IF(AX$16="","",IF(INDEX(App1data,MATCH(AX$16,App1IDnrs,0),VLOOKUP(InpCompany!$F$8,ProfileInps,8,0))="","",INDEX(App1data,MATCH(AX$16,App1IDnrs,0),VLOOKUP(InpCompany!$F$8,ProfileInps,8,0))))</f>
        <v/>
      </c>
      <c r="AY57" s="516" t="str">
        <f>IF(AY$16="","",IF(INDEX(App1data,MATCH(AY$16,App1IDnrs,0),VLOOKUP(InpCompany!$F$8,ProfileInps,8,0))="","",INDEX(App1data,MATCH(AY$16,App1IDnrs,0),VLOOKUP(InpCompany!$F$8,ProfileInps,8,0))))</f>
        <v/>
      </c>
      <c r="AZ57" s="516" t="str">
        <f>IF(AZ$16="","",IF(INDEX(App1data,MATCH(AZ$16,App1IDnrs,0),VLOOKUP(InpCompany!$F$8,ProfileInps,8,0))="","",INDEX(App1data,MATCH(AZ$16,App1IDnrs,0),VLOOKUP(InpCompany!$F$8,ProfileInps,8,0))))</f>
        <v/>
      </c>
      <c r="BA57" s="516" t="str">
        <f>IF(BA$16="","",IF(INDEX(App1data,MATCH(BA$16,App1IDnrs,0),VLOOKUP(InpCompany!$F$8,ProfileInps,8,0))="","",INDEX(App1data,MATCH(BA$16,App1IDnrs,0),VLOOKUP(InpCompany!$F$8,ProfileInps,8,0))))</f>
        <v/>
      </c>
      <c r="BB57" s="516" t="str">
        <f>IF(BB$16="","",IF(INDEX(App1data,MATCH(BB$16,App1IDnrs,0),VLOOKUP(InpCompany!$F$8,ProfileInps,8,0))="","",INDEX(App1data,MATCH(BB$16,App1IDnrs,0),VLOOKUP(InpCompany!$F$8,ProfileInps,8,0))))</f>
        <v/>
      </c>
      <c r="BC57" s="518" t="str">
        <f>IF(BC$16="","",IF(INDEX(App1data,MATCH(BC$16,App1IDnrs,0),VLOOKUP(InpCompany!$F$8,ProfileInps,8,0))="","",INDEX(App1data,MATCH(BC$16,App1IDnrs,0),VLOOKUP(InpCompany!$F$8,ProfileInps,8,0))))</f>
        <v/>
      </c>
      <c r="BD57" s="516"/>
      <c r="BE57" s="516"/>
      <c r="BF57" s="516"/>
      <c r="BG57" s="516"/>
      <c r="BH57" s="516"/>
      <c r="BI57" s="516"/>
      <c r="BJ57" s="516"/>
      <c r="BK57" s="516"/>
      <c r="BL57" s="516"/>
      <c r="BM57" s="516"/>
      <c r="BN57" s="516"/>
      <c r="BO57" s="516"/>
      <c r="BP57" s="516"/>
      <c r="BQ57" s="516"/>
      <c r="BR57" s="516"/>
      <c r="BS57" s="516"/>
    </row>
    <row r="58" spans="1:71" s="202" customFormat="1" ht="13.15">
      <c r="A58" s="453"/>
      <c r="B58" s="453"/>
      <c r="C58" s="453"/>
      <c r="D58" s="453"/>
      <c r="E58" s="453"/>
      <c r="F58" s="453"/>
      <c r="G58" s="453"/>
      <c r="H58" s="453"/>
      <c r="I58" s="453"/>
      <c r="J58" s="523"/>
      <c r="K58" s="523"/>
      <c r="L58" s="523"/>
      <c r="M58" s="523"/>
      <c r="N58" s="523"/>
      <c r="O58" s="523"/>
      <c r="P58" s="523"/>
      <c r="Q58" s="524"/>
      <c r="R58" s="523"/>
      <c r="S58" s="523"/>
      <c r="T58" s="523"/>
      <c r="U58" s="523"/>
      <c r="V58" s="523"/>
      <c r="W58" s="523"/>
      <c r="X58" s="523"/>
      <c r="Y58" s="523"/>
      <c r="Z58" s="523"/>
      <c r="AA58" s="523"/>
      <c r="AB58" s="523"/>
      <c r="AC58" s="523"/>
      <c r="AD58" s="523"/>
      <c r="AE58" s="523"/>
      <c r="AF58" s="523"/>
      <c r="AG58" s="523"/>
      <c r="AH58" s="523"/>
      <c r="AI58" s="523"/>
      <c r="AJ58" s="523"/>
      <c r="AK58" s="524"/>
      <c r="AL58" s="523"/>
      <c r="AM58" s="523"/>
      <c r="AN58" s="523"/>
      <c r="AO58" s="524"/>
      <c r="AP58" s="523"/>
      <c r="AQ58" s="523"/>
      <c r="AR58" s="523"/>
      <c r="AS58" s="523"/>
      <c r="AT58" s="523"/>
      <c r="AU58" s="523"/>
      <c r="AV58" s="523"/>
      <c r="AW58" s="523"/>
      <c r="AX58" s="523"/>
      <c r="AY58" s="523"/>
      <c r="AZ58" s="523"/>
      <c r="BA58" s="523"/>
      <c r="BB58" s="523"/>
      <c r="BC58" s="524"/>
      <c r="BD58" s="523"/>
      <c r="BE58" s="523"/>
      <c r="BF58" s="523"/>
      <c r="BG58" s="523"/>
      <c r="BH58" s="523"/>
      <c r="BI58" s="523"/>
      <c r="BJ58" s="523"/>
      <c r="BK58" s="523"/>
      <c r="BL58" s="523"/>
      <c r="BM58" s="523"/>
      <c r="BN58" s="523"/>
      <c r="BO58" s="523"/>
      <c r="BP58" s="523"/>
      <c r="BQ58" s="523"/>
      <c r="BR58" s="523"/>
      <c r="BS58" s="523"/>
    </row>
    <row r="59" spans="1:71" s="202" customFormat="1" ht="13.15">
      <c r="A59" s="453"/>
      <c r="B59" s="453"/>
      <c r="C59" s="453"/>
      <c r="D59" s="453"/>
      <c r="E59" s="453" t="s">
        <v>1184</v>
      </c>
      <c r="F59" s="453"/>
      <c r="G59" s="453" t="str">
        <f>"£m/unit ("&amp;InpCompany!$F$10&amp;" prices)"</f>
        <v>£m/unit (2017-18 prices)</v>
      </c>
      <c r="H59" s="453"/>
      <c r="I59" s="515"/>
      <c r="J59" s="525" t="str">
        <f t="shared" ref="J59:Q59" si="21">IF(J$16="","",IF(INDEX(App1bdata,MATCH(J$16,App1bIDnrs,0),104)="","",INDEX(App1bdata,MATCH(J$16,App1bIDnrs,0),104)))</f>
        <v/>
      </c>
      <c r="K59" s="525" t="str">
        <f t="shared" si="21"/>
        <v/>
      </c>
      <c r="L59" s="525" t="str">
        <f t="shared" si="21"/>
        <v/>
      </c>
      <c r="M59" s="525" t="str">
        <f t="shared" si="21"/>
        <v/>
      </c>
      <c r="N59" s="525">
        <f t="shared" si="21"/>
        <v>0.35599999999999998</v>
      </c>
      <c r="O59" s="525" t="str">
        <f t="shared" si="21"/>
        <v/>
      </c>
      <c r="P59" s="525" t="str">
        <f t="shared" si="21"/>
        <v/>
      </c>
      <c r="Q59" s="526" t="str">
        <f t="shared" si="21"/>
        <v/>
      </c>
      <c r="R59" s="525" t="str">
        <f t="shared" ref="R59:AK59" si="22">IF(R$16="","",IF(INDEX(App1data,MATCH(R$16,App1IDnrs,0),104)="","",INDEX(App1data,MATCH(R$16,App1IDnrs,0),104)))</f>
        <v/>
      </c>
      <c r="S59" s="525" t="str">
        <f t="shared" si="22"/>
        <v/>
      </c>
      <c r="T59" s="525" t="str">
        <f t="shared" si="22"/>
        <v/>
      </c>
      <c r="U59" s="525" t="str">
        <f t="shared" si="22"/>
        <v/>
      </c>
      <c r="V59" s="525" t="str">
        <f t="shared" si="22"/>
        <v/>
      </c>
      <c r="W59" s="525" t="str">
        <f t="shared" si="22"/>
        <v/>
      </c>
      <c r="X59" s="525" t="str">
        <f t="shared" si="22"/>
        <v/>
      </c>
      <c r="Y59" s="525" t="str">
        <f t="shared" si="22"/>
        <v/>
      </c>
      <c r="Z59" s="525" t="str">
        <f t="shared" si="22"/>
        <v/>
      </c>
      <c r="AA59" s="525" t="str">
        <f t="shared" si="22"/>
        <v/>
      </c>
      <c r="AB59" s="525" t="str">
        <f t="shared" si="22"/>
        <v/>
      </c>
      <c r="AC59" s="525" t="str">
        <f t="shared" si="22"/>
        <v/>
      </c>
      <c r="AD59" s="525" t="str">
        <f t="shared" si="22"/>
        <v/>
      </c>
      <c r="AE59" s="525" t="str">
        <f t="shared" si="22"/>
        <v/>
      </c>
      <c r="AF59" s="525" t="str">
        <f t="shared" si="22"/>
        <v/>
      </c>
      <c r="AG59" s="525" t="str">
        <f t="shared" si="22"/>
        <v/>
      </c>
      <c r="AH59" s="525" t="str">
        <f t="shared" si="22"/>
        <v/>
      </c>
      <c r="AI59" s="525" t="str">
        <f t="shared" si="22"/>
        <v/>
      </c>
      <c r="AJ59" s="525" t="str">
        <f t="shared" si="22"/>
        <v/>
      </c>
      <c r="AK59" s="526" t="str">
        <f t="shared" si="22"/>
        <v/>
      </c>
      <c r="AL59" s="525" t="str">
        <f>IF(AL$16="","",IF(INDEX(App1bdata,MATCH(AL$16,App1bIDnrs,0),104)="","",INDEX(App1bdata,MATCH(AL$16,App1bIDnrs,0),104)))</f>
        <v/>
      </c>
      <c r="AM59" s="525" t="str">
        <f>IF(AM$16="","",IF(INDEX(App1bdata,MATCH(AM$16,App1bIDnrs,0),104)="","",INDEX(App1bdata,MATCH(AM$16,App1bIDnrs,0),104)))</f>
        <v/>
      </c>
      <c r="AN59" s="525" t="str">
        <f>IF(AN$16="","",IF(INDEX(App1bdata,MATCH(AN$16,App1bIDnrs,0),104)="","",INDEX(App1bdata,MATCH(AN$16,App1bIDnrs,0),104)))</f>
        <v/>
      </c>
      <c r="AO59" s="526" t="str">
        <f>IF(AO$16="","",IF(INDEX(App1bdata,MATCH(AO$16,App1bIDnrs,0),104)="","",INDEX(App1bdata,MATCH(AO$16,App1bIDnrs,0),104)))</f>
        <v/>
      </c>
      <c r="AP59" s="525" t="str">
        <f t="shared" ref="AP59:BC59" si="23">IF(AP$16="","",IF(INDEX(App1data,MATCH(AP$16,App1IDnrs,0),104)="","",INDEX(App1data,MATCH(AP$16,App1IDnrs,0),104)))</f>
        <v/>
      </c>
      <c r="AQ59" s="525" t="str">
        <f t="shared" si="23"/>
        <v/>
      </c>
      <c r="AR59" s="525" t="str">
        <f t="shared" si="23"/>
        <v/>
      </c>
      <c r="AS59" s="525" t="str">
        <f t="shared" si="23"/>
        <v/>
      </c>
      <c r="AT59" s="525" t="str">
        <f t="shared" si="23"/>
        <v/>
      </c>
      <c r="AU59" s="525" t="str">
        <f t="shared" si="23"/>
        <v/>
      </c>
      <c r="AV59" s="525" t="str">
        <f t="shared" si="23"/>
        <v/>
      </c>
      <c r="AW59" s="525" t="str">
        <f t="shared" si="23"/>
        <v/>
      </c>
      <c r="AX59" s="525" t="str">
        <f t="shared" si="23"/>
        <v/>
      </c>
      <c r="AY59" s="525" t="str">
        <f t="shared" si="23"/>
        <v/>
      </c>
      <c r="AZ59" s="525" t="str">
        <f t="shared" si="23"/>
        <v/>
      </c>
      <c r="BA59" s="525" t="str">
        <f t="shared" si="23"/>
        <v/>
      </c>
      <c r="BB59" s="525" t="str">
        <f t="shared" si="23"/>
        <v/>
      </c>
      <c r="BC59" s="526" t="str">
        <f t="shared" si="23"/>
        <v/>
      </c>
      <c r="BD59" s="525"/>
      <c r="BE59" s="525"/>
      <c r="BF59" s="525"/>
      <c r="BG59" s="525"/>
      <c r="BH59" s="525"/>
      <c r="BI59" s="525"/>
      <c r="BJ59" s="525"/>
      <c r="BK59" s="525"/>
      <c r="BL59" s="525"/>
      <c r="BM59" s="525"/>
      <c r="BN59" s="525"/>
      <c r="BO59" s="525"/>
      <c r="BP59" s="525"/>
      <c r="BQ59" s="525"/>
      <c r="BR59" s="525"/>
      <c r="BS59" s="525"/>
    </row>
    <row r="60" spans="1:71" s="202" customFormat="1" ht="13.15">
      <c r="A60" s="453"/>
      <c r="B60" s="453"/>
      <c r="C60" s="453"/>
      <c r="D60" s="453"/>
      <c r="E60" s="453" t="s">
        <v>1185</v>
      </c>
      <c r="F60" s="453"/>
      <c r="G60" s="453" t="str">
        <f>"£m/unit ("&amp;InpCompany!$F$10&amp;" prices)"</f>
        <v>£m/unit (2017-18 prices)</v>
      </c>
      <c r="H60" s="453"/>
      <c r="I60" s="515"/>
      <c r="J60" s="525" t="str">
        <f t="shared" ref="J60:Q60" si="24">IF(J$16="","",IF(INDEX(App1bdata,MATCH(J$16,App1bIDnrs,0),100)="","",INDEX(App1bdata,MATCH(J$16,App1bIDnrs,0),100)))</f>
        <v/>
      </c>
      <c r="K60" s="525" t="str">
        <f t="shared" si="24"/>
        <v/>
      </c>
      <c r="L60" s="525" t="str">
        <f t="shared" si="24"/>
        <v/>
      </c>
      <c r="M60" s="525" t="str">
        <f t="shared" si="24"/>
        <v/>
      </c>
      <c r="N60" s="525">
        <f t="shared" si="24"/>
        <v>-0.35599999999999998</v>
      </c>
      <c r="O60" s="525" t="str">
        <f t="shared" si="24"/>
        <v/>
      </c>
      <c r="P60" s="525" t="str">
        <f t="shared" si="24"/>
        <v/>
      </c>
      <c r="Q60" s="526" t="str">
        <f t="shared" si="24"/>
        <v/>
      </c>
      <c r="R60" s="525" t="str">
        <f t="shared" ref="R60:AK60" si="25">IF(R$16="","",IF(INDEX(App1data,MATCH(R$16,App1IDnrs,0),100)="","",INDEX(App1data,MATCH(R$16,App1IDnrs,0),100)))</f>
        <v/>
      </c>
      <c r="S60" s="525" t="str">
        <f t="shared" si="25"/>
        <v/>
      </c>
      <c r="T60" s="525" t="str">
        <f t="shared" si="25"/>
        <v/>
      </c>
      <c r="U60" s="525" t="str">
        <f t="shared" si="25"/>
        <v/>
      </c>
      <c r="V60" s="525" t="str">
        <f t="shared" si="25"/>
        <v/>
      </c>
      <c r="W60" s="525" t="str">
        <f t="shared" si="25"/>
        <v/>
      </c>
      <c r="X60" s="525" t="str">
        <f t="shared" si="25"/>
        <v/>
      </c>
      <c r="Y60" s="525" t="str">
        <f t="shared" si="25"/>
        <v/>
      </c>
      <c r="Z60" s="525" t="str">
        <f t="shared" si="25"/>
        <v/>
      </c>
      <c r="AA60" s="525" t="str">
        <f t="shared" si="25"/>
        <v/>
      </c>
      <c r="AB60" s="525" t="str">
        <f t="shared" si="25"/>
        <v/>
      </c>
      <c r="AC60" s="525" t="str">
        <f t="shared" si="25"/>
        <v/>
      </c>
      <c r="AD60" s="525" t="str">
        <f t="shared" si="25"/>
        <v/>
      </c>
      <c r="AE60" s="525" t="str">
        <f t="shared" si="25"/>
        <v/>
      </c>
      <c r="AF60" s="525" t="str">
        <f t="shared" si="25"/>
        <v/>
      </c>
      <c r="AG60" s="525" t="str">
        <f t="shared" si="25"/>
        <v/>
      </c>
      <c r="AH60" s="525" t="str">
        <f t="shared" si="25"/>
        <v/>
      </c>
      <c r="AI60" s="525" t="str">
        <f t="shared" si="25"/>
        <v/>
      </c>
      <c r="AJ60" s="525" t="str">
        <f t="shared" si="25"/>
        <v/>
      </c>
      <c r="AK60" s="526" t="str">
        <f t="shared" si="25"/>
        <v/>
      </c>
      <c r="AL60" s="525" t="str">
        <f>IF(AL$16="","",IF(INDEX(App1bdata,MATCH(AL$16,App1bIDnrs,0),100)="","",INDEX(App1bdata,MATCH(AL$16,App1bIDnrs,0),100)))</f>
        <v/>
      </c>
      <c r="AM60" s="525" t="str">
        <f>IF(AM$16="","",IF(INDEX(App1bdata,MATCH(AM$16,App1bIDnrs,0),100)="","",INDEX(App1bdata,MATCH(AM$16,App1bIDnrs,0),100)))</f>
        <v/>
      </c>
      <c r="AN60" s="525" t="str">
        <f>IF(AN$16="","",IF(INDEX(App1bdata,MATCH(AN$16,App1bIDnrs,0),100)="","",INDEX(App1bdata,MATCH(AN$16,App1bIDnrs,0),100)))</f>
        <v/>
      </c>
      <c r="AO60" s="526" t="str">
        <f>IF(AO$16="","",IF(INDEX(App1bdata,MATCH(AO$16,App1bIDnrs,0),100)="","",INDEX(App1bdata,MATCH(AO$16,App1bIDnrs,0),100)))</f>
        <v/>
      </c>
      <c r="AP60" s="525" t="str">
        <f t="shared" ref="AP60:BC60" si="26">IF(AP$16="","",IF(INDEX(App1data,MATCH(AP$16,App1IDnrs,0),100)="","",INDEX(App1data,MATCH(AP$16,App1IDnrs,0),100)))</f>
        <v/>
      </c>
      <c r="AQ60" s="525" t="str">
        <f t="shared" si="26"/>
        <v/>
      </c>
      <c r="AR60" s="525" t="str">
        <f t="shared" si="26"/>
        <v/>
      </c>
      <c r="AS60" s="525" t="str">
        <f t="shared" si="26"/>
        <v/>
      </c>
      <c r="AT60" s="525" t="str">
        <f t="shared" si="26"/>
        <v/>
      </c>
      <c r="AU60" s="525" t="str">
        <f t="shared" si="26"/>
        <v/>
      </c>
      <c r="AV60" s="525" t="str">
        <f t="shared" si="26"/>
        <v/>
      </c>
      <c r="AW60" s="525" t="str">
        <f t="shared" si="26"/>
        <v/>
      </c>
      <c r="AX60" s="525" t="str">
        <f t="shared" si="26"/>
        <v/>
      </c>
      <c r="AY60" s="525" t="str">
        <f t="shared" si="26"/>
        <v/>
      </c>
      <c r="AZ60" s="525" t="str">
        <f t="shared" si="26"/>
        <v/>
      </c>
      <c r="BA60" s="525" t="str">
        <f t="shared" si="26"/>
        <v/>
      </c>
      <c r="BB60" s="525" t="str">
        <f t="shared" si="26"/>
        <v/>
      </c>
      <c r="BC60" s="526" t="str">
        <f t="shared" si="26"/>
        <v/>
      </c>
      <c r="BD60" s="525"/>
      <c r="BE60" s="525"/>
      <c r="BF60" s="525"/>
      <c r="BG60" s="525"/>
      <c r="BH60" s="525"/>
      <c r="BI60" s="525"/>
      <c r="BJ60" s="525"/>
      <c r="BK60" s="525"/>
      <c r="BL60" s="525"/>
      <c r="BM60" s="525"/>
      <c r="BN60" s="525"/>
      <c r="BO60" s="525"/>
      <c r="BP60" s="525"/>
      <c r="BQ60" s="525"/>
      <c r="BR60" s="525"/>
      <c r="BS60" s="525"/>
    </row>
    <row r="61" spans="1:71" s="202" customFormat="1" ht="13.15">
      <c r="A61" s="453"/>
      <c r="B61" s="453"/>
      <c r="C61" s="453"/>
      <c r="D61" s="453"/>
      <c r="E61" s="453"/>
      <c r="F61" s="453"/>
      <c r="G61" s="453"/>
      <c r="H61" s="453"/>
      <c r="I61" s="453"/>
      <c r="J61" s="523"/>
      <c r="K61" s="523"/>
      <c r="L61" s="523"/>
      <c r="M61" s="523"/>
      <c r="N61" s="523"/>
      <c r="O61" s="523"/>
      <c r="P61" s="523"/>
      <c r="Q61" s="524"/>
      <c r="R61" s="523"/>
      <c r="S61" s="523"/>
      <c r="T61" s="523"/>
      <c r="U61" s="523"/>
      <c r="V61" s="523"/>
      <c r="W61" s="523"/>
      <c r="X61" s="523"/>
      <c r="Y61" s="523"/>
      <c r="Z61" s="523"/>
      <c r="AA61" s="523"/>
      <c r="AB61" s="523"/>
      <c r="AC61" s="523"/>
      <c r="AD61" s="523"/>
      <c r="AE61" s="523"/>
      <c r="AF61" s="523"/>
      <c r="AG61" s="523"/>
      <c r="AH61" s="523"/>
      <c r="AI61" s="523"/>
      <c r="AJ61" s="523"/>
      <c r="AK61" s="524"/>
      <c r="AL61" s="523"/>
      <c r="AM61" s="523"/>
      <c r="AN61" s="523"/>
      <c r="AO61" s="524"/>
      <c r="AP61" s="523"/>
      <c r="AQ61" s="523"/>
      <c r="AR61" s="523"/>
      <c r="AS61" s="523"/>
      <c r="AT61" s="523"/>
      <c r="AU61" s="523"/>
      <c r="AV61" s="523"/>
      <c r="AW61" s="523"/>
      <c r="AX61" s="523"/>
      <c r="AY61" s="523"/>
      <c r="AZ61" s="523"/>
      <c r="BA61" s="523"/>
      <c r="BB61" s="523"/>
      <c r="BC61" s="524"/>
      <c r="BD61" s="523"/>
      <c r="BE61" s="523"/>
      <c r="BF61" s="523"/>
      <c r="BG61" s="523"/>
      <c r="BH61" s="523"/>
      <c r="BI61" s="523"/>
      <c r="BJ61" s="523"/>
      <c r="BK61" s="523"/>
      <c r="BL61" s="523"/>
      <c r="BM61" s="523"/>
      <c r="BN61" s="523"/>
      <c r="BO61" s="523"/>
      <c r="BP61" s="523"/>
      <c r="BQ61" s="523"/>
      <c r="BR61" s="523"/>
      <c r="BS61" s="523"/>
    </row>
    <row r="62" spans="1:71" s="202" customFormat="1" ht="13.15">
      <c r="A62" s="453"/>
      <c r="B62" s="453"/>
      <c r="C62" s="453"/>
      <c r="D62" s="463" t="s">
        <v>1186</v>
      </c>
      <c r="E62" s="453"/>
      <c r="F62" s="453"/>
      <c r="G62" s="453"/>
      <c r="H62" s="453"/>
      <c r="I62" s="453"/>
      <c r="J62" s="523"/>
      <c r="K62" s="523"/>
      <c r="L62" s="523"/>
      <c r="M62" s="523"/>
      <c r="N62" s="523"/>
      <c r="O62" s="523"/>
      <c r="P62" s="523"/>
      <c r="Q62" s="524"/>
      <c r="R62" s="523"/>
      <c r="S62" s="523"/>
      <c r="T62" s="523"/>
      <c r="U62" s="523"/>
      <c r="V62" s="523"/>
      <c r="W62" s="523"/>
      <c r="X62" s="523"/>
      <c r="Y62" s="523"/>
      <c r="Z62" s="523"/>
      <c r="AA62" s="523"/>
      <c r="AB62" s="523"/>
      <c r="AC62" s="523"/>
      <c r="AD62" s="523"/>
      <c r="AE62" s="523"/>
      <c r="AF62" s="523"/>
      <c r="AG62" s="523"/>
      <c r="AH62" s="523"/>
      <c r="AI62" s="523"/>
      <c r="AJ62" s="523"/>
      <c r="AK62" s="524"/>
      <c r="AL62" s="523"/>
      <c r="AM62" s="523"/>
      <c r="AN62" s="523"/>
      <c r="AO62" s="524"/>
      <c r="AP62" s="523"/>
      <c r="AQ62" s="523"/>
      <c r="AR62" s="523"/>
      <c r="AS62" s="523"/>
      <c r="AT62" s="523"/>
      <c r="AU62" s="523"/>
      <c r="AV62" s="523"/>
      <c r="AW62" s="523"/>
      <c r="AX62" s="523"/>
      <c r="AY62" s="523"/>
      <c r="AZ62" s="523"/>
      <c r="BA62" s="523"/>
      <c r="BB62" s="523"/>
      <c r="BC62" s="524"/>
      <c r="BD62" s="523"/>
      <c r="BE62" s="523"/>
      <c r="BF62" s="523"/>
      <c r="BG62" s="523"/>
      <c r="BH62" s="523"/>
      <c r="BI62" s="523"/>
      <c r="BJ62" s="523"/>
      <c r="BK62" s="523"/>
      <c r="BL62" s="523"/>
      <c r="BM62" s="523"/>
      <c r="BN62" s="523"/>
      <c r="BO62" s="523"/>
      <c r="BP62" s="523"/>
      <c r="BQ62" s="523"/>
      <c r="BR62" s="523"/>
      <c r="BS62" s="523"/>
    </row>
    <row r="63" spans="1:71" s="202" customFormat="1" ht="13.15">
      <c r="A63" s="453"/>
      <c r="B63" s="453"/>
      <c r="C63" s="453"/>
      <c r="D63" s="453"/>
      <c r="E63" s="453" t="s">
        <v>1187</v>
      </c>
      <c r="F63" s="453"/>
      <c r="G63" s="453" t="str">
        <f>"£m/unit ("&amp;InpCompany!$F$10&amp;" prices)"</f>
        <v>£m/unit (2017-18 prices)</v>
      </c>
      <c r="H63" s="453"/>
      <c r="I63" s="453"/>
      <c r="J63" s="527"/>
      <c r="K63" s="527"/>
      <c r="L63" s="527"/>
      <c r="M63" s="527"/>
      <c r="N63" s="527"/>
      <c r="O63" s="527"/>
      <c r="P63" s="527"/>
      <c r="Q63" s="528"/>
      <c r="R63" s="527"/>
      <c r="S63" s="527"/>
      <c r="T63" s="527"/>
      <c r="U63" s="527"/>
      <c r="V63" s="527"/>
      <c r="W63" s="527"/>
      <c r="X63" s="527"/>
      <c r="Y63" s="527"/>
      <c r="Z63" s="527"/>
      <c r="AA63" s="527"/>
      <c r="AB63" s="527"/>
      <c r="AC63" s="527"/>
      <c r="AD63" s="527"/>
      <c r="AE63" s="527"/>
      <c r="AF63" s="527"/>
      <c r="AG63" s="527"/>
      <c r="AH63" s="527"/>
      <c r="AI63" s="527"/>
      <c r="AJ63" s="527"/>
      <c r="AK63" s="528"/>
      <c r="AL63" s="527"/>
      <c r="AM63" s="527"/>
      <c r="AN63" s="527"/>
      <c r="AO63" s="528"/>
      <c r="AP63" s="527"/>
      <c r="AQ63" s="527"/>
      <c r="AR63" s="527"/>
      <c r="AS63" s="527"/>
      <c r="AT63" s="527"/>
      <c r="AU63" s="527"/>
      <c r="AV63" s="527"/>
      <c r="AW63" s="527"/>
      <c r="AX63" s="527"/>
      <c r="AY63" s="527"/>
      <c r="AZ63" s="527"/>
      <c r="BA63" s="527"/>
      <c r="BB63" s="527"/>
      <c r="BC63" s="528"/>
      <c r="BD63" s="1199"/>
      <c r="BE63" s="1199"/>
      <c r="BF63" s="1199"/>
      <c r="BG63" s="1199"/>
      <c r="BH63" s="1199"/>
      <c r="BI63" s="1199"/>
      <c r="BJ63" s="1199"/>
      <c r="BK63" s="1199"/>
      <c r="BL63" s="1199"/>
      <c r="BM63" s="1199"/>
      <c r="BN63" s="1199"/>
      <c r="BO63" s="1199"/>
      <c r="BP63" s="1199"/>
      <c r="BQ63" s="1199"/>
      <c r="BR63" s="1199"/>
      <c r="BS63" s="1199"/>
    </row>
    <row r="64" spans="1:71" s="202" customFormat="1" ht="13.15">
      <c r="A64" s="453"/>
      <c r="B64" s="453"/>
      <c r="C64" s="453"/>
      <c r="D64" s="453"/>
      <c r="E64" s="453" t="s">
        <v>1188</v>
      </c>
      <c r="F64" s="453"/>
      <c r="G64" s="453" t="str">
        <f>"£m/unit ("&amp;InpCompany!$F$10&amp;" prices)"</f>
        <v>£m/unit (2017-18 prices)</v>
      </c>
      <c r="H64" s="453"/>
      <c r="I64" s="453"/>
      <c r="J64" s="527"/>
      <c r="K64" s="527"/>
      <c r="L64" s="527"/>
      <c r="M64" s="527"/>
      <c r="N64" s="527"/>
      <c r="O64" s="527"/>
      <c r="P64" s="527"/>
      <c r="Q64" s="528"/>
      <c r="R64" s="527"/>
      <c r="S64" s="527"/>
      <c r="T64" s="527"/>
      <c r="U64" s="527"/>
      <c r="V64" s="527"/>
      <c r="W64" s="527"/>
      <c r="X64" s="527"/>
      <c r="Y64" s="527"/>
      <c r="Z64" s="527"/>
      <c r="AA64" s="527"/>
      <c r="AB64" s="527"/>
      <c r="AC64" s="527"/>
      <c r="AD64" s="527"/>
      <c r="AE64" s="527"/>
      <c r="AF64" s="527"/>
      <c r="AG64" s="527"/>
      <c r="AH64" s="527"/>
      <c r="AI64" s="527"/>
      <c r="AJ64" s="527"/>
      <c r="AK64" s="528"/>
      <c r="AL64" s="527"/>
      <c r="AM64" s="527"/>
      <c r="AN64" s="527"/>
      <c r="AO64" s="528"/>
      <c r="AP64" s="527"/>
      <c r="AQ64" s="527"/>
      <c r="AR64" s="527"/>
      <c r="AS64" s="527"/>
      <c r="AT64" s="527"/>
      <c r="AU64" s="527"/>
      <c r="AV64" s="527"/>
      <c r="AW64" s="527"/>
      <c r="AX64" s="527"/>
      <c r="AY64" s="527"/>
      <c r="AZ64" s="527"/>
      <c r="BA64" s="527"/>
      <c r="BB64" s="527"/>
      <c r="BC64" s="528"/>
      <c r="BD64" s="1199"/>
      <c r="BE64" s="1199"/>
      <c r="BF64" s="1199"/>
      <c r="BG64" s="1199"/>
      <c r="BH64" s="1199"/>
      <c r="BI64" s="1199"/>
      <c r="BJ64" s="1199"/>
      <c r="BK64" s="1199"/>
      <c r="BL64" s="1199"/>
      <c r="BM64" s="1199"/>
      <c r="BN64" s="1199"/>
      <c r="BO64" s="1199"/>
      <c r="BP64" s="1199"/>
      <c r="BQ64" s="1199"/>
      <c r="BR64" s="1199"/>
      <c r="BS64" s="1199"/>
    </row>
    <row r="65" spans="1:71" s="202" customFormat="1" ht="13.15">
      <c r="A65" s="453"/>
      <c r="B65" s="453"/>
      <c r="C65" s="453"/>
      <c r="D65" s="453"/>
      <c r="E65" s="453" t="s">
        <v>1189</v>
      </c>
      <c r="F65" s="453"/>
      <c r="G65" s="453" t="s">
        <v>418</v>
      </c>
      <c r="H65" s="453"/>
      <c r="I65" s="453"/>
      <c r="J65" s="505" t="b">
        <v>0</v>
      </c>
      <c r="K65" s="505" t="b">
        <v>0</v>
      </c>
      <c r="L65" s="505" t="b">
        <v>0</v>
      </c>
      <c r="M65" s="505" t="b">
        <v>0</v>
      </c>
      <c r="N65" s="505" t="b">
        <v>0</v>
      </c>
      <c r="O65" s="505" t="b">
        <v>0</v>
      </c>
      <c r="P65" s="505" t="b">
        <v>0</v>
      </c>
      <c r="Q65" s="506" t="b">
        <v>0</v>
      </c>
      <c r="R65" s="505" t="b">
        <v>0</v>
      </c>
      <c r="S65" s="505" t="b">
        <v>0</v>
      </c>
      <c r="T65" s="505" t="b">
        <v>0</v>
      </c>
      <c r="U65" s="505" t="b">
        <v>0</v>
      </c>
      <c r="V65" s="505" t="b">
        <v>0</v>
      </c>
      <c r="W65" s="505" t="b">
        <v>0</v>
      </c>
      <c r="X65" s="505" t="b">
        <v>0</v>
      </c>
      <c r="Y65" s="505" t="b">
        <v>0</v>
      </c>
      <c r="Z65" s="505" t="b">
        <v>0</v>
      </c>
      <c r="AA65" s="505" t="b">
        <v>0</v>
      </c>
      <c r="AB65" s="505" t="b">
        <v>0</v>
      </c>
      <c r="AC65" s="505" t="b">
        <v>0</v>
      </c>
      <c r="AD65" s="505" t="b">
        <v>0</v>
      </c>
      <c r="AE65" s="505" t="b">
        <v>0</v>
      </c>
      <c r="AF65" s="505" t="b">
        <v>0</v>
      </c>
      <c r="AG65" s="505" t="b">
        <v>0</v>
      </c>
      <c r="AH65" s="505" t="b">
        <v>0</v>
      </c>
      <c r="AI65" s="505" t="b">
        <v>0</v>
      </c>
      <c r="AJ65" s="505" t="b">
        <v>0</v>
      </c>
      <c r="AK65" s="506" t="b">
        <v>0</v>
      </c>
      <c r="AL65" s="505" t="b">
        <v>0</v>
      </c>
      <c r="AM65" s="505" t="b">
        <v>0</v>
      </c>
      <c r="AN65" s="505" t="b">
        <v>0</v>
      </c>
      <c r="AO65" s="506" t="b">
        <v>0</v>
      </c>
      <c r="AP65" s="505" t="b">
        <v>0</v>
      </c>
      <c r="AQ65" s="505" t="b">
        <v>0</v>
      </c>
      <c r="AR65" s="505" t="b">
        <v>0</v>
      </c>
      <c r="AS65" s="505" t="b">
        <v>0</v>
      </c>
      <c r="AT65" s="505" t="b">
        <v>0</v>
      </c>
      <c r="AU65" s="505" t="b">
        <v>0</v>
      </c>
      <c r="AV65" s="505" t="b">
        <v>0</v>
      </c>
      <c r="AW65" s="505" t="b">
        <v>0</v>
      </c>
      <c r="AX65" s="505" t="b">
        <v>0</v>
      </c>
      <c r="AY65" s="505" t="b">
        <v>0</v>
      </c>
      <c r="AZ65" s="505" t="b">
        <v>0</v>
      </c>
      <c r="BA65" s="505" t="b">
        <v>0</v>
      </c>
      <c r="BB65" s="505" t="b">
        <v>0</v>
      </c>
      <c r="BC65" s="506" t="b">
        <v>0</v>
      </c>
      <c r="BD65" s="548" t="b">
        <v>0</v>
      </c>
      <c r="BE65" s="548" t="b">
        <v>0</v>
      </c>
      <c r="BF65" s="548" t="b">
        <v>0</v>
      </c>
      <c r="BG65" s="548" t="b">
        <v>0</v>
      </c>
      <c r="BH65" s="548" t="b">
        <v>0</v>
      </c>
      <c r="BI65" s="548" t="b">
        <v>0</v>
      </c>
      <c r="BJ65" s="548" t="b">
        <v>0</v>
      </c>
      <c r="BK65" s="548" t="b">
        <v>0</v>
      </c>
      <c r="BL65" s="548" t="b">
        <v>0</v>
      </c>
      <c r="BM65" s="548" t="b">
        <v>0</v>
      </c>
      <c r="BN65" s="548" t="b">
        <v>0</v>
      </c>
      <c r="BO65" s="548" t="b">
        <v>0</v>
      </c>
      <c r="BP65" s="548" t="b">
        <v>0</v>
      </c>
      <c r="BQ65" s="548" t="b">
        <v>0</v>
      </c>
      <c r="BR65" s="548" t="b">
        <v>0</v>
      </c>
      <c r="BS65" s="548" t="b">
        <v>0</v>
      </c>
    </row>
    <row r="66" spans="1:71" s="202" customFormat="1" ht="13.15">
      <c r="A66" s="453"/>
      <c r="B66" s="453"/>
      <c r="C66" s="453"/>
      <c r="D66" s="453"/>
      <c r="E66" s="453"/>
      <c r="F66" s="453"/>
      <c r="G66" s="453"/>
      <c r="H66" s="453"/>
      <c r="I66" s="453"/>
      <c r="J66" s="521"/>
      <c r="K66" s="521"/>
      <c r="L66" s="521"/>
      <c r="M66" s="521"/>
      <c r="N66" s="521"/>
      <c r="O66" s="521"/>
      <c r="P66" s="521"/>
      <c r="Q66" s="522"/>
      <c r="R66" s="521"/>
      <c r="S66" s="521"/>
      <c r="T66" s="521"/>
      <c r="U66" s="521"/>
      <c r="V66" s="521"/>
      <c r="W66" s="521"/>
      <c r="X66" s="521"/>
      <c r="Y66" s="521"/>
      <c r="Z66" s="521"/>
      <c r="AA66" s="521"/>
      <c r="AB66" s="521"/>
      <c r="AC66" s="521"/>
      <c r="AD66" s="521"/>
      <c r="AE66" s="521"/>
      <c r="AF66" s="521"/>
      <c r="AG66" s="521"/>
      <c r="AH66" s="521"/>
      <c r="AI66" s="521"/>
      <c r="AJ66" s="521"/>
      <c r="AK66" s="522"/>
      <c r="AL66" s="521"/>
      <c r="AM66" s="521"/>
      <c r="AN66" s="521"/>
      <c r="AO66" s="522"/>
      <c r="AP66" s="521"/>
      <c r="AQ66" s="521"/>
      <c r="AR66" s="521"/>
      <c r="AS66" s="521"/>
      <c r="AT66" s="521"/>
      <c r="AU66" s="521"/>
      <c r="AV66" s="521"/>
      <c r="AW66" s="521"/>
      <c r="AX66" s="521"/>
      <c r="AY66" s="521"/>
      <c r="AZ66" s="521"/>
      <c r="BA66" s="521"/>
      <c r="BB66" s="521"/>
      <c r="BC66" s="522"/>
      <c r="BD66" s="521"/>
      <c r="BE66" s="521"/>
      <c r="BF66" s="521"/>
      <c r="BG66" s="521"/>
      <c r="BH66" s="521"/>
      <c r="BI66" s="521"/>
      <c r="BJ66" s="521"/>
      <c r="BK66" s="521"/>
      <c r="BL66" s="521"/>
      <c r="BM66" s="521"/>
      <c r="BN66" s="521"/>
      <c r="BO66" s="521"/>
      <c r="BP66" s="521"/>
      <c r="BQ66" s="521"/>
      <c r="BR66" s="521"/>
      <c r="BS66" s="521"/>
    </row>
    <row r="67" spans="1:71" s="202" customFormat="1" ht="13.15">
      <c r="A67" s="453"/>
      <c r="B67" s="473"/>
      <c r="C67" s="453"/>
      <c r="D67" s="463" t="s">
        <v>1190</v>
      </c>
      <c r="E67" s="453"/>
      <c r="F67" s="453"/>
      <c r="G67" s="453"/>
      <c r="H67" s="453"/>
      <c r="I67" s="453"/>
      <c r="J67" s="529"/>
      <c r="K67" s="529"/>
      <c r="L67" s="529"/>
      <c r="M67" s="529"/>
      <c r="N67" s="529"/>
      <c r="O67" s="529"/>
      <c r="P67" s="529"/>
      <c r="Q67" s="530"/>
      <c r="R67" s="529"/>
      <c r="S67" s="529"/>
      <c r="T67" s="529"/>
      <c r="U67" s="529"/>
      <c r="V67" s="529"/>
      <c r="W67" s="529"/>
      <c r="X67" s="529"/>
      <c r="Y67" s="529"/>
      <c r="Z67" s="529"/>
      <c r="AA67" s="529"/>
      <c r="AB67" s="529"/>
      <c r="AC67" s="529"/>
      <c r="AD67" s="529"/>
      <c r="AE67" s="529"/>
      <c r="AF67" s="529"/>
      <c r="AG67" s="529"/>
      <c r="AH67" s="529"/>
      <c r="AI67" s="529"/>
      <c r="AJ67" s="529"/>
      <c r="AK67" s="530"/>
      <c r="AL67" s="529"/>
      <c r="AM67" s="529"/>
      <c r="AN67" s="529"/>
      <c r="AO67" s="530"/>
      <c r="AP67" s="529"/>
      <c r="AQ67" s="529"/>
      <c r="AR67" s="529"/>
      <c r="AS67" s="529"/>
      <c r="AT67" s="529"/>
      <c r="AU67" s="529"/>
      <c r="AV67" s="529"/>
      <c r="AW67" s="529"/>
      <c r="AX67" s="529"/>
      <c r="AY67" s="529"/>
      <c r="AZ67" s="529"/>
      <c r="BA67" s="529"/>
      <c r="BB67" s="529"/>
      <c r="BC67" s="530"/>
      <c r="BD67" s="529"/>
      <c r="BE67" s="529"/>
      <c r="BF67" s="529"/>
      <c r="BG67" s="529"/>
      <c r="BH67" s="529"/>
      <c r="BI67" s="529"/>
      <c r="BJ67" s="529"/>
      <c r="BK67" s="529"/>
      <c r="BL67" s="529"/>
      <c r="BM67" s="529"/>
      <c r="BN67" s="529"/>
      <c r="BO67" s="529"/>
      <c r="BP67" s="529"/>
      <c r="BQ67" s="529"/>
      <c r="BR67" s="529"/>
      <c r="BS67" s="529"/>
    </row>
    <row r="68" spans="1:71" s="202" customFormat="1" ht="13.15">
      <c r="A68" s="453"/>
      <c r="B68" s="453"/>
      <c r="C68" s="453"/>
      <c r="D68" s="453"/>
      <c r="E68" s="453" t="s">
        <v>1191</v>
      </c>
      <c r="F68" s="453"/>
      <c r="G68" s="453" t="s">
        <v>1146</v>
      </c>
      <c r="H68" s="453"/>
      <c r="I68" s="453"/>
      <c r="J68" s="531" t="str">
        <f t="shared" ref="J68:Q68" si="27">IF(J$16="","",INDEX(App1bdata,MATCH(J$16,App1bIDnrs,0),7))</f>
        <v/>
      </c>
      <c r="K68" s="531" t="str">
        <f t="shared" si="27"/>
        <v/>
      </c>
      <c r="L68" s="531" t="str">
        <f t="shared" si="27"/>
        <v/>
      </c>
      <c r="M68" s="531" t="str">
        <f t="shared" si="27"/>
        <v/>
      </c>
      <c r="N68" s="531">
        <f t="shared" si="27"/>
        <v>1</v>
      </c>
      <c r="O68" s="531" t="str">
        <f t="shared" si="27"/>
        <v/>
      </c>
      <c r="P68" s="531" t="str">
        <f t="shared" si="27"/>
        <v/>
      </c>
      <c r="Q68" s="532" t="str">
        <f t="shared" si="27"/>
        <v/>
      </c>
      <c r="R68" s="533">
        <f t="shared" ref="R68:AK68" si="28">IF(R$16="","",INDEX(App1data,MATCH(R$16,App1IDnrs,0),7))</f>
        <v>0</v>
      </c>
      <c r="S68" s="533">
        <f t="shared" si="28"/>
        <v>0</v>
      </c>
      <c r="T68" s="533">
        <f t="shared" si="28"/>
        <v>1</v>
      </c>
      <c r="U68" s="533">
        <f t="shared" si="28"/>
        <v>0</v>
      </c>
      <c r="V68" s="533">
        <f t="shared" si="28"/>
        <v>0</v>
      </c>
      <c r="W68" s="533">
        <f t="shared" si="28"/>
        <v>0</v>
      </c>
      <c r="X68" s="533">
        <f t="shared" si="28"/>
        <v>0</v>
      </c>
      <c r="Y68" s="533">
        <f t="shared" si="28"/>
        <v>0</v>
      </c>
      <c r="Z68" s="533">
        <f t="shared" si="28"/>
        <v>1</v>
      </c>
      <c r="AA68" s="533" t="str">
        <f t="shared" si="28"/>
        <v/>
      </c>
      <c r="AB68" s="533" t="str">
        <f t="shared" si="28"/>
        <v/>
      </c>
      <c r="AC68" s="533" t="str">
        <f t="shared" si="28"/>
        <v/>
      </c>
      <c r="AD68" s="533" t="str">
        <f t="shared" si="28"/>
        <v/>
      </c>
      <c r="AE68" s="533" t="str">
        <f t="shared" si="28"/>
        <v/>
      </c>
      <c r="AF68" s="533" t="str">
        <f t="shared" si="28"/>
        <v/>
      </c>
      <c r="AG68" s="533" t="str">
        <f t="shared" si="28"/>
        <v/>
      </c>
      <c r="AH68" s="533" t="str">
        <f t="shared" si="28"/>
        <v/>
      </c>
      <c r="AI68" s="533" t="str">
        <f t="shared" si="28"/>
        <v/>
      </c>
      <c r="AJ68" s="533" t="str">
        <f t="shared" si="28"/>
        <v/>
      </c>
      <c r="AK68" s="534" t="str">
        <f t="shared" si="28"/>
        <v/>
      </c>
      <c r="AL68" s="533" t="str">
        <f>IF(AL$16="","",INDEX(App1bdata,MATCH(AL$16,App1bIDnrs,0),7))</f>
        <v/>
      </c>
      <c r="AM68" s="533" t="str">
        <f>IF(AM$16="","",INDEX(App1bdata,MATCH(AM$16,App1bIDnrs,0),7))</f>
        <v/>
      </c>
      <c r="AN68" s="533" t="str">
        <f>IF(AN$16="","",INDEX(App1bdata,MATCH(AN$16,App1bIDnrs,0),7))</f>
        <v/>
      </c>
      <c r="AO68" s="534" t="str">
        <f>IF(AO$16="","",INDEX(App1bdata,MATCH(AO$16,App1bIDnrs,0),7))</f>
        <v/>
      </c>
      <c r="AP68" s="533">
        <f t="shared" ref="AP68:BC68" si="29">IF(AP$16="","",INDEX(App1data,MATCH(AP$16,App1IDnrs,0),7))</f>
        <v>0</v>
      </c>
      <c r="AQ68" s="533">
        <f t="shared" si="29"/>
        <v>0</v>
      </c>
      <c r="AR68" s="533">
        <f t="shared" si="29"/>
        <v>0</v>
      </c>
      <c r="AS68" s="533">
        <f t="shared" si="29"/>
        <v>0</v>
      </c>
      <c r="AT68" s="533">
        <f t="shared" si="29"/>
        <v>0</v>
      </c>
      <c r="AU68" s="533">
        <f t="shared" si="29"/>
        <v>0</v>
      </c>
      <c r="AV68" s="533">
        <f t="shared" si="29"/>
        <v>0</v>
      </c>
      <c r="AW68" s="533">
        <f t="shared" si="29"/>
        <v>0</v>
      </c>
      <c r="AX68" s="533">
        <f t="shared" si="29"/>
        <v>0</v>
      </c>
      <c r="AY68" s="533">
        <f t="shared" si="29"/>
        <v>0</v>
      </c>
      <c r="AZ68" s="533" t="str">
        <f t="shared" si="29"/>
        <v/>
      </c>
      <c r="BA68" s="533" t="str">
        <f t="shared" si="29"/>
        <v/>
      </c>
      <c r="BB68" s="533" t="str">
        <f t="shared" si="29"/>
        <v/>
      </c>
      <c r="BC68" s="534" t="str">
        <f t="shared" si="29"/>
        <v/>
      </c>
      <c r="BD68" s="531"/>
      <c r="BE68" s="531"/>
      <c r="BF68" s="531"/>
      <c r="BG68" s="531"/>
      <c r="BH68" s="531"/>
      <c r="BI68" s="531"/>
      <c r="BJ68" s="531"/>
      <c r="BK68" s="531"/>
      <c r="BL68" s="531"/>
      <c r="BM68" s="531"/>
      <c r="BN68" s="531"/>
      <c r="BO68" s="531"/>
      <c r="BP68" s="531"/>
      <c r="BQ68" s="531"/>
      <c r="BR68" s="531"/>
      <c r="BS68" s="531"/>
    </row>
    <row r="69" spans="1:71" s="202" customFormat="1" ht="13.15">
      <c r="A69" s="453"/>
      <c r="B69" s="453"/>
      <c r="C69" s="453"/>
      <c r="D69" s="453"/>
      <c r="E69" s="453" t="s">
        <v>1192</v>
      </c>
      <c r="F69" s="453"/>
      <c r="G69" s="453" t="s">
        <v>1146</v>
      </c>
      <c r="H69" s="453"/>
      <c r="I69" s="453"/>
      <c r="J69" s="531">
        <f t="shared" ref="J69:Q69" si="30">IF(J$16="","",INDEX(App1bdata,MATCH(J$16,App1bIDnrs,0),8))</f>
        <v>1</v>
      </c>
      <c r="K69" s="531">
        <f t="shared" si="30"/>
        <v>1</v>
      </c>
      <c r="L69" s="531">
        <f t="shared" si="30"/>
        <v>1</v>
      </c>
      <c r="M69" s="531" t="str">
        <f t="shared" si="30"/>
        <v/>
      </c>
      <c r="N69" s="531" t="str">
        <f t="shared" si="30"/>
        <v/>
      </c>
      <c r="O69" s="531" t="str">
        <f t="shared" si="30"/>
        <v/>
      </c>
      <c r="P69" s="531">
        <f t="shared" si="30"/>
        <v>1</v>
      </c>
      <c r="Q69" s="532">
        <f t="shared" si="30"/>
        <v>1</v>
      </c>
      <c r="R69" s="533">
        <f t="shared" ref="R69:AK69" si="31">IF(R$16="","",INDEX(App1data,MATCH(R$16,App1IDnrs,0),8))</f>
        <v>1</v>
      </c>
      <c r="S69" s="533">
        <f t="shared" si="31"/>
        <v>1</v>
      </c>
      <c r="T69" s="533">
        <f t="shared" si="31"/>
        <v>0</v>
      </c>
      <c r="U69" s="533">
        <f t="shared" si="31"/>
        <v>1</v>
      </c>
      <c r="V69" s="533">
        <f t="shared" si="31"/>
        <v>0</v>
      </c>
      <c r="W69" s="533">
        <f t="shared" si="31"/>
        <v>1</v>
      </c>
      <c r="X69" s="533">
        <f t="shared" si="31"/>
        <v>1</v>
      </c>
      <c r="Y69" s="533">
        <f t="shared" si="31"/>
        <v>1</v>
      </c>
      <c r="Z69" s="533">
        <f t="shared" si="31"/>
        <v>0</v>
      </c>
      <c r="AA69" s="533" t="str">
        <f t="shared" si="31"/>
        <v/>
      </c>
      <c r="AB69" s="533" t="str">
        <f t="shared" si="31"/>
        <v/>
      </c>
      <c r="AC69" s="533" t="str">
        <f t="shared" si="31"/>
        <v/>
      </c>
      <c r="AD69" s="533" t="str">
        <f t="shared" si="31"/>
        <v/>
      </c>
      <c r="AE69" s="533" t="str">
        <f t="shared" si="31"/>
        <v/>
      </c>
      <c r="AF69" s="533" t="str">
        <f t="shared" si="31"/>
        <v/>
      </c>
      <c r="AG69" s="533" t="str">
        <f t="shared" si="31"/>
        <v/>
      </c>
      <c r="AH69" s="533" t="str">
        <f t="shared" si="31"/>
        <v/>
      </c>
      <c r="AI69" s="533" t="str">
        <f t="shared" si="31"/>
        <v/>
      </c>
      <c r="AJ69" s="533" t="str">
        <f t="shared" si="31"/>
        <v/>
      </c>
      <c r="AK69" s="534" t="str">
        <f t="shared" si="31"/>
        <v/>
      </c>
      <c r="AL69" s="533" t="str">
        <f>IF(AL$16="","",INDEX(App1bdata,MATCH(AL$16,App1bIDnrs,0),8))</f>
        <v/>
      </c>
      <c r="AM69" s="533" t="str">
        <f>IF(AM$16="","",INDEX(App1bdata,MATCH(AM$16,App1bIDnrs,0),8))</f>
        <v/>
      </c>
      <c r="AN69" s="533" t="str">
        <f>IF(AN$16="","",INDEX(App1bdata,MATCH(AN$16,App1bIDnrs,0),8))</f>
        <v/>
      </c>
      <c r="AO69" s="534" t="str">
        <f>IF(AO$16="","",INDEX(App1bdata,MATCH(AO$16,App1bIDnrs,0),8))</f>
        <v/>
      </c>
      <c r="AP69" s="533">
        <f t="shared" ref="AP69:BC69" si="32">IF(AP$16="","",INDEX(App1data,MATCH(AP$16,App1IDnrs,0),8))</f>
        <v>0</v>
      </c>
      <c r="AQ69" s="533">
        <f t="shared" si="32"/>
        <v>0.03</v>
      </c>
      <c r="AR69" s="533">
        <f t="shared" si="32"/>
        <v>0</v>
      </c>
      <c r="AS69" s="533">
        <f t="shared" si="32"/>
        <v>0</v>
      </c>
      <c r="AT69" s="533">
        <f t="shared" si="32"/>
        <v>0</v>
      </c>
      <c r="AU69" s="533">
        <f t="shared" si="32"/>
        <v>0</v>
      </c>
      <c r="AV69" s="533">
        <f t="shared" si="32"/>
        <v>0</v>
      </c>
      <c r="AW69" s="533">
        <f t="shared" si="32"/>
        <v>0</v>
      </c>
      <c r="AX69" s="533">
        <f t="shared" si="32"/>
        <v>0</v>
      </c>
      <c r="AY69" s="533">
        <f t="shared" si="32"/>
        <v>0</v>
      </c>
      <c r="AZ69" s="533" t="str">
        <f t="shared" si="32"/>
        <v/>
      </c>
      <c r="BA69" s="533" t="str">
        <f t="shared" si="32"/>
        <v/>
      </c>
      <c r="BB69" s="533" t="str">
        <f t="shared" si="32"/>
        <v/>
      </c>
      <c r="BC69" s="534" t="str">
        <f t="shared" si="32"/>
        <v/>
      </c>
      <c r="BD69" s="531"/>
      <c r="BE69" s="531"/>
      <c r="BF69" s="531"/>
      <c r="BG69" s="531"/>
      <c r="BH69" s="531"/>
      <c r="BI69" s="531"/>
      <c r="BJ69" s="531"/>
      <c r="BK69" s="531"/>
      <c r="BL69" s="531"/>
      <c r="BM69" s="531"/>
      <c r="BN69" s="531"/>
      <c r="BO69" s="531"/>
      <c r="BP69" s="531"/>
      <c r="BQ69" s="531"/>
      <c r="BR69" s="531"/>
      <c r="BS69" s="531"/>
    </row>
    <row r="70" spans="1:71" s="202" customFormat="1" ht="13.15">
      <c r="A70" s="453"/>
      <c r="B70" s="453"/>
      <c r="C70" s="453"/>
      <c r="D70" s="453"/>
      <c r="E70" s="453" t="s">
        <v>1193</v>
      </c>
      <c r="F70" s="453"/>
      <c r="G70" s="453" t="s">
        <v>1146</v>
      </c>
      <c r="H70" s="453"/>
      <c r="I70" s="453"/>
      <c r="J70" s="535" t="str">
        <f t="shared" ref="J70:Q70" si="33">IF(J$16="","",INDEX(App1bdata,MATCH(J$16,App1bIDnrs,0),9))</f>
        <v/>
      </c>
      <c r="K70" s="531" t="str">
        <f t="shared" si="33"/>
        <v/>
      </c>
      <c r="L70" s="531" t="str">
        <f t="shared" si="33"/>
        <v/>
      </c>
      <c r="M70" s="531" t="str">
        <f t="shared" si="33"/>
        <v/>
      </c>
      <c r="N70" s="531" t="str">
        <f t="shared" si="33"/>
        <v/>
      </c>
      <c r="O70" s="531" t="str">
        <f t="shared" si="33"/>
        <v/>
      </c>
      <c r="P70" s="531" t="str">
        <f t="shared" si="33"/>
        <v/>
      </c>
      <c r="Q70" s="532" t="str">
        <f t="shared" si="33"/>
        <v/>
      </c>
      <c r="R70" s="533">
        <f t="shared" ref="R70:AK70" si="34">IF(R$16="","",INDEX(App1data,MATCH(R$16,App1IDnrs,0),9))</f>
        <v>0</v>
      </c>
      <c r="S70" s="533">
        <f t="shared" si="34"/>
        <v>0</v>
      </c>
      <c r="T70" s="533">
        <f t="shared" si="34"/>
        <v>0</v>
      </c>
      <c r="U70" s="533">
        <f t="shared" si="34"/>
        <v>0</v>
      </c>
      <c r="V70" s="533">
        <f t="shared" si="34"/>
        <v>0</v>
      </c>
      <c r="W70" s="533">
        <f t="shared" si="34"/>
        <v>0</v>
      </c>
      <c r="X70" s="533">
        <f t="shared" si="34"/>
        <v>0</v>
      </c>
      <c r="Y70" s="533">
        <f t="shared" si="34"/>
        <v>0</v>
      </c>
      <c r="Z70" s="533">
        <f t="shared" si="34"/>
        <v>0</v>
      </c>
      <c r="AA70" s="533" t="str">
        <f t="shared" si="34"/>
        <v/>
      </c>
      <c r="AB70" s="533" t="str">
        <f t="shared" si="34"/>
        <v/>
      </c>
      <c r="AC70" s="533" t="str">
        <f t="shared" si="34"/>
        <v/>
      </c>
      <c r="AD70" s="533" t="str">
        <f t="shared" si="34"/>
        <v/>
      </c>
      <c r="AE70" s="533" t="str">
        <f t="shared" si="34"/>
        <v/>
      </c>
      <c r="AF70" s="533" t="str">
        <f t="shared" si="34"/>
        <v/>
      </c>
      <c r="AG70" s="533" t="str">
        <f t="shared" si="34"/>
        <v/>
      </c>
      <c r="AH70" s="533" t="str">
        <f t="shared" si="34"/>
        <v/>
      </c>
      <c r="AI70" s="533" t="str">
        <f t="shared" si="34"/>
        <v/>
      </c>
      <c r="AJ70" s="533" t="str">
        <f t="shared" si="34"/>
        <v/>
      </c>
      <c r="AK70" s="534" t="str">
        <f t="shared" si="34"/>
        <v/>
      </c>
      <c r="AL70" s="533">
        <f>IF(AL$16="","",INDEX(App1bdata,MATCH(AL$16,App1bIDnrs,0),9))</f>
        <v>1</v>
      </c>
      <c r="AM70" s="533">
        <f>IF(AM$16="","",INDEX(App1bdata,MATCH(AM$16,App1bIDnrs,0),9))</f>
        <v>1</v>
      </c>
      <c r="AN70" s="533">
        <f>IF(AN$16="","",INDEX(App1bdata,MATCH(AN$16,App1bIDnrs,0),9))</f>
        <v>1</v>
      </c>
      <c r="AO70" s="534">
        <f>IF(AO$16="","",INDEX(App1bdata,MATCH(AO$16,App1bIDnrs,0),9))</f>
        <v>1</v>
      </c>
      <c r="AP70" s="533">
        <f t="shared" ref="AP70:BC70" si="35">IF(AP$16="","",INDEX(App1data,MATCH(AP$16,App1IDnrs,0),9))</f>
        <v>1</v>
      </c>
      <c r="AQ70" s="533">
        <f t="shared" si="35"/>
        <v>0</v>
      </c>
      <c r="AR70" s="533">
        <f t="shared" si="35"/>
        <v>0</v>
      </c>
      <c r="AS70" s="533">
        <f t="shared" si="35"/>
        <v>1</v>
      </c>
      <c r="AT70" s="533">
        <f t="shared" si="35"/>
        <v>1</v>
      </c>
      <c r="AU70" s="533">
        <f t="shared" si="35"/>
        <v>1</v>
      </c>
      <c r="AV70" s="533">
        <f t="shared" si="35"/>
        <v>1</v>
      </c>
      <c r="AW70" s="533">
        <f t="shared" si="35"/>
        <v>1</v>
      </c>
      <c r="AX70" s="533">
        <f t="shared" si="35"/>
        <v>1</v>
      </c>
      <c r="AY70" s="533">
        <f t="shared" si="35"/>
        <v>1</v>
      </c>
      <c r="AZ70" s="533" t="str">
        <f t="shared" si="35"/>
        <v/>
      </c>
      <c r="BA70" s="533" t="str">
        <f t="shared" si="35"/>
        <v/>
      </c>
      <c r="BB70" s="533" t="str">
        <f t="shared" si="35"/>
        <v/>
      </c>
      <c r="BC70" s="534" t="str">
        <f t="shared" si="35"/>
        <v/>
      </c>
      <c r="BD70" s="531"/>
      <c r="BE70" s="531"/>
      <c r="BF70" s="531"/>
      <c r="BG70" s="531"/>
      <c r="BH70" s="531"/>
      <c r="BI70" s="531"/>
      <c r="BJ70" s="531"/>
      <c r="BK70" s="531"/>
      <c r="BL70" s="531"/>
      <c r="BM70" s="531"/>
      <c r="BN70" s="531"/>
      <c r="BO70" s="531"/>
      <c r="BP70" s="531"/>
      <c r="BQ70" s="531"/>
      <c r="BR70" s="531"/>
      <c r="BS70" s="531"/>
    </row>
    <row r="71" spans="1:71" s="202" customFormat="1" ht="13.15">
      <c r="A71" s="453"/>
      <c r="B71" s="453"/>
      <c r="C71" s="453"/>
      <c r="D71" s="453"/>
      <c r="E71" s="453" t="s">
        <v>1194</v>
      </c>
      <c r="F71" s="453"/>
      <c r="G71" s="453" t="s">
        <v>1146</v>
      </c>
      <c r="H71" s="453"/>
      <c r="I71" s="453"/>
      <c r="J71" s="531" t="str">
        <f t="shared" ref="J71:Q71" si="36">IF(J$16="","",INDEX(App1bdata,MATCH(J$16,App1bIDnrs,0),10))</f>
        <v/>
      </c>
      <c r="K71" s="531" t="str">
        <f t="shared" si="36"/>
        <v/>
      </c>
      <c r="L71" s="531" t="str">
        <f t="shared" si="36"/>
        <v/>
      </c>
      <c r="M71" s="531" t="str">
        <f t="shared" si="36"/>
        <v/>
      </c>
      <c r="N71" s="531" t="str">
        <f t="shared" si="36"/>
        <v/>
      </c>
      <c r="O71" s="531" t="str">
        <f t="shared" si="36"/>
        <v/>
      </c>
      <c r="P71" s="531" t="str">
        <f t="shared" si="36"/>
        <v/>
      </c>
      <c r="Q71" s="532" t="str">
        <f t="shared" si="36"/>
        <v/>
      </c>
      <c r="R71" s="533">
        <f t="shared" ref="R71:AK71" si="37">IF(R$16="","",INDEX(App1data,MATCH(R$16,App1IDnrs,0),10))</f>
        <v>0</v>
      </c>
      <c r="S71" s="533">
        <f t="shared" si="37"/>
        <v>0</v>
      </c>
      <c r="T71" s="533">
        <f t="shared" si="37"/>
        <v>0</v>
      </c>
      <c r="U71" s="533">
        <f t="shared" si="37"/>
        <v>0</v>
      </c>
      <c r="V71" s="533">
        <f t="shared" si="37"/>
        <v>0</v>
      </c>
      <c r="W71" s="533">
        <f t="shared" si="37"/>
        <v>0</v>
      </c>
      <c r="X71" s="533">
        <f t="shared" si="37"/>
        <v>0</v>
      </c>
      <c r="Y71" s="533">
        <f t="shared" si="37"/>
        <v>0</v>
      </c>
      <c r="Z71" s="533">
        <f t="shared" si="37"/>
        <v>0</v>
      </c>
      <c r="AA71" s="533" t="str">
        <f t="shared" si="37"/>
        <v/>
      </c>
      <c r="AB71" s="533" t="str">
        <f t="shared" si="37"/>
        <v/>
      </c>
      <c r="AC71" s="533" t="str">
        <f t="shared" si="37"/>
        <v/>
      </c>
      <c r="AD71" s="533" t="str">
        <f t="shared" si="37"/>
        <v/>
      </c>
      <c r="AE71" s="533" t="str">
        <f t="shared" si="37"/>
        <v/>
      </c>
      <c r="AF71" s="533" t="str">
        <f t="shared" si="37"/>
        <v/>
      </c>
      <c r="AG71" s="533" t="str">
        <f t="shared" si="37"/>
        <v/>
      </c>
      <c r="AH71" s="533" t="str">
        <f t="shared" si="37"/>
        <v/>
      </c>
      <c r="AI71" s="533" t="str">
        <f t="shared" si="37"/>
        <v/>
      </c>
      <c r="AJ71" s="533" t="str">
        <f t="shared" si="37"/>
        <v/>
      </c>
      <c r="AK71" s="534" t="str">
        <f t="shared" si="37"/>
        <v/>
      </c>
      <c r="AL71" s="533" t="str">
        <f>IF(AL$16="","",INDEX(App1bdata,MATCH(AL$16,App1bIDnrs,0),10))</f>
        <v/>
      </c>
      <c r="AM71" s="533" t="str">
        <f>IF(AM$16="","",INDEX(App1bdata,MATCH(AM$16,App1bIDnrs,0),10))</f>
        <v/>
      </c>
      <c r="AN71" s="533" t="str">
        <f>IF(AN$16="","",INDEX(App1bdata,MATCH(AN$16,App1bIDnrs,0),10))</f>
        <v/>
      </c>
      <c r="AO71" s="534" t="str">
        <f>IF(AO$16="","",INDEX(App1bdata,MATCH(AO$16,App1bIDnrs,0),10))</f>
        <v/>
      </c>
      <c r="AP71" s="533">
        <f t="shared" ref="AP71:BC71" si="38">IF(AP$16="","",INDEX(App1data,MATCH(AP$16,App1IDnrs,0),10))</f>
        <v>0</v>
      </c>
      <c r="AQ71" s="533">
        <f t="shared" si="38"/>
        <v>0.97</v>
      </c>
      <c r="AR71" s="533">
        <f t="shared" si="38"/>
        <v>1</v>
      </c>
      <c r="AS71" s="533">
        <f t="shared" si="38"/>
        <v>0</v>
      </c>
      <c r="AT71" s="533">
        <f t="shared" si="38"/>
        <v>0</v>
      </c>
      <c r="AU71" s="533">
        <f t="shared" si="38"/>
        <v>0</v>
      </c>
      <c r="AV71" s="533">
        <f t="shared" si="38"/>
        <v>0</v>
      </c>
      <c r="AW71" s="533">
        <f t="shared" si="38"/>
        <v>0</v>
      </c>
      <c r="AX71" s="533">
        <f t="shared" si="38"/>
        <v>0</v>
      </c>
      <c r="AY71" s="533">
        <f t="shared" si="38"/>
        <v>0</v>
      </c>
      <c r="AZ71" s="533" t="str">
        <f t="shared" si="38"/>
        <v/>
      </c>
      <c r="BA71" s="533" t="str">
        <f t="shared" si="38"/>
        <v/>
      </c>
      <c r="BB71" s="533" t="str">
        <f t="shared" si="38"/>
        <v/>
      </c>
      <c r="BC71" s="534" t="str">
        <f t="shared" si="38"/>
        <v/>
      </c>
      <c r="BD71" s="531"/>
      <c r="BE71" s="531"/>
      <c r="BF71" s="531"/>
      <c r="BG71" s="531"/>
      <c r="BH71" s="531"/>
      <c r="BI71" s="531"/>
      <c r="BJ71" s="531"/>
      <c r="BK71" s="531"/>
      <c r="BL71" s="531"/>
      <c r="BM71" s="531"/>
      <c r="BN71" s="531"/>
      <c r="BO71" s="531"/>
      <c r="BP71" s="531"/>
      <c r="BQ71" s="531"/>
      <c r="BR71" s="531"/>
      <c r="BS71" s="531"/>
    </row>
    <row r="72" spans="1:71" s="202" customFormat="1" ht="13.15">
      <c r="A72" s="453"/>
      <c r="B72" s="453"/>
      <c r="C72" s="453"/>
      <c r="D72" s="453"/>
      <c r="E72" s="453" t="s">
        <v>1195</v>
      </c>
      <c r="F72" s="453"/>
      <c r="G72" s="453" t="s">
        <v>1146</v>
      </c>
      <c r="H72" s="453"/>
      <c r="I72" s="453"/>
      <c r="J72" s="531" t="str">
        <f t="shared" ref="J72:Q72" si="39">IF(J$16="","",INDEX(App1bdata,MATCH(J$16,App1bIDnrs,0),11))</f>
        <v/>
      </c>
      <c r="K72" s="531" t="str">
        <f t="shared" si="39"/>
        <v/>
      </c>
      <c r="L72" s="531" t="str">
        <f t="shared" si="39"/>
        <v/>
      </c>
      <c r="M72" s="531" t="str">
        <f t="shared" si="39"/>
        <v/>
      </c>
      <c r="N72" s="531" t="str">
        <f t="shared" si="39"/>
        <v/>
      </c>
      <c r="O72" s="531" t="str">
        <f t="shared" si="39"/>
        <v/>
      </c>
      <c r="P72" s="531" t="str">
        <f t="shared" si="39"/>
        <v/>
      </c>
      <c r="Q72" s="532" t="str">
        <f t="shared" si="39"/>
        <v/>
      </c>
      <c r="R72" s="533">
        <f t="shared" ref="R72:AK72" si="40">IF(R$16="","",INDEX(App1data,MATCH(R$16,App1IDnrs,0),11))</f>
        <v>0</v>
      </c>
      <c r="S72" s="533">
        <f t="shared" si="40"/>
        <v>0</v>
      </c>
      <c r="T72" s="533">
        <f t="shared" si="40"/>
        <v>0</v>
      </c>
      <c r="U72" s="533">
        <f t="shared" si="40"/>
        <v>0</v>
      </c>
      <c r="V72" s="533">
        <f t="shared" si="40"/>
        <v>1</v>
      </c>
      <c r="W72" s="533">
        <f t="shared" si="40"/>
        <v>0</v>
      </c>
      <c r="X72" s="533">
        <f t="shared" si="40"/>
        <v>0</v>
      </c>
      <c r="Y72" s="533">
        <f t="shared" si="40"/>
        <v>0</v>
      </c>
      <c r="Z72" s="533">
        <f t="shared" si="40"/>
        <v>0</v>
      </c>
      <c r="AA72" s="533" t="str">
        <f t="shared" si="40"/>
        <v/>
      </c>
      <c r="AB72" s="533" t="str">
        <f t="shared" si="40"/>
        <v/>
      </c>
      <c r="AC72" s="533" t="str">
        <f t="shared" si="40"/>
        <v/>
      </c>
      <c r="AD72" s="533" t="str">
        <f t="shared" si="40"/>
        <v/>
      </c>
      <c r="AE72" s="533" t="str">
        <f t="shared" si="40"/>
        <v/>
      </c>
      <c r="AF72" s="533" t="str">
        <f t="shared" si="40"/>
        <v/>
      </c>
      <c r="AG72" s="533" t="str">
        <f t="shared" si="40"/>
        <v/>
      </c>
      <c r="AH72" s="533" t="str">
        <f t="shared" si="40"/>
        <v/>
      </c>
      <c r="AI72" s="533" t="str">
        <f t="shared" si="40"/>
        <v/>
      </c>
      <c r="AJ72" s="533" t="str">
        <f t="shared" si="40"/>
        <v/>
      </c>
      <c r="AK72" s="534" t="str">
        <f t="shared" si="40"/>
        <v/>
      </c>
      <c r="AL72" s="533" t="str">
        <f>IF(AL$16="","",INDEX(App1bdata,MATCH(AL$16,App1bIDnrs,0),11))</f>
        <v/>
      </c>
      <c r="AM72" s="533" t="str">
        <f>IF(AM$16="","",INDEX(App1bdata,MATCH(AM$16,App1bIDnrs,0),11))</f>
        <v/>
      </c>
      <c r="AN72" s="533" t="str">
        <f>IF(AN$16="","",INDEX(App1bdata,MATCH(AN$16,App1bIDnrs,0),11))</f>
        <v/>
      </c>
      <c r="AO72" s="534" t="str">
        <f>IF(AO$16="","",INDEX(App1bdata,MATCH(AO$16,App1bIDnrs,0),11))</f>
        <v/>
      </c>
      <c r="AP72" s="533">
        <f t="shared" ref="AP72:BC72" si="41">IF(AP$16="","",INDEX(App1data,MATCH(AP$16,App1IDnrs,0),11))</f>
        <v>0</v>
      </c>
      <c r="AQ72" s="533">
        <f t="shared" si="41"/>
        <v>0</v>
      </c>
      <c r="AR72" s="533">
        <f t="shared" si="41"/>
        <v>0</v>
      </c>
      <c r="AS72" s="533">
        <f t="shared" si="41"/>
        <v>0</v>
      </c>
      <c r="AT72" s="533">
        <f t="shared" si="41"/>
        <v>0</v>
      </c>
      <c r="AU72" s="533">
        <f t="shared" si="41"/>
        <v>0</v>
      </c>
      <c r="AV72" s="533">
        <f t="shared" si="41"/>
        <v>0</v>
      </c>
      <c r="AW72" s="533">
        <f t="shared" si="41"/>
        <v>0</v>
      </c>
      <c r="AX72" s="533">
        <f t="shared" si="41"/>
        <v>0</v>
      </c>
      <c r="AY72" s="533">
        <f t="shared" si="41"/>
        <v>0</v>
      </c>
      <c r="AZ72" s="533" t="str">
        <f t="shared" si="41"/>
        <v/>
      </c>
      <c r="BA72" s="533" t="str">
        <f t="shared" si="41"/>
        <v/>
      </c>
      <c r="BB72" s="533" t="str">
        <f t="shared" si="41"/>
        <v/>
      </c>
      <c r="BC72" s="534" t="str">
        <f t="shared" si="41"/>
        <v/>
      </c>
      <c r="BD72" s="531"/>
      <c r="BE72" s="531"/>
      <c r="BF72" s="531"/>
      <c r="BG72" s="531"/>
      <c r="BH72" s="531"/>
      <c r="BI72" s="531"/>
      <c r="BJ72" s="531"/>
      <c r="BK72" s="531"/>
      <c r="BL72" s="531"/>
      <c r="BM72" s="531"/>
      <c r="BN72" s="531"/>
      <c r="BO72" s="531"/>
      <c r="BP72" s="531"/>
      <c r="BQ72" s="531"/>
      <c r="BR72" s="531"/>
      <c r="BS72" s="531"/>
    </row>
    <row r="73" spans="1:71" s="202" customFormat="1" ht="13.15">
      <c r="A73" s="453"/>
      <c r="B73" s="453"/>
      <c r="C73" s="453"/>
      <c r="D73" s="453"/>
      <c r="E73" s="453" t="s">
        <v>1196</v>
      </c>
      <c r="F73" s="453"/>
      <c r="G73" s="453" t="s">
        <v>1146</v>
      </c>
      <c r="H73" s="453"/>
      <c r="I73" s="453"/>
      <c r="J73" s="531" t="str">
        <f t="shared" ref="J73:Q73" si="42">IF(J$16="","",INDEX(App1bdata,MATCH(J$16,App1bIDnrs,0),12))</f>
        <v/>
      </c>
      <c r="K73" s="531" t="str">
        <f t="shared" si="42"/>
        <v/>
      </c>
      <c r="L73" s="531" t="str">
        <f t="shared" si="42"/>
        <v/>
      </c>
      <c r="M73" s="531" t="str">
        <f t="shared" si="42"/>
        <v/>
      </c>
      <c r="N73" s="531" t="str">
        <f t="shared" si="42"/>
        <v/>
      </c>
      <c r="O73" s="531" t="str">
        <f t="shared" si="42"/>
        <v/>
      </c>
      <c r="P73" s="531" t="str">
        <f t="shared" si="42"/>
        <v/>
      </c>
      <c r="Q73" s="532" t="str">
        <f t="shared" si="42"/>
        <v/>
      </c>
      <c r="R73" s="533">
        <f t="shared" ref="R73:AK73" si="43">IF(R$16="","",INDEX(App1data,MATCH(R$16,App1IDnrs,0),12))</f>
        <v>0</v>
      </c>
      <c r="S73" s="533">
        <f t="shared" si="43"/>
        <v>0</v>
      </c>
      <c r="T73" s="533">
        <f t="shared" si="43"/>
        <v>0</v>
      </c>
      <c r="U73" s="533">
        <f t="shared" si="43"/>
        <v>0</v>
      </c>
      <c r="V73" s="533">
        <f t="shared" si="43"/>
        <v>0</v>
      </c>
      <c r="W73" s="533">
        <f t="shared" si="43"/>
        <v>0</v>
      </c>
      <c r="X73" s="533">
        <f t="shared" si="43"/>
        <v>0</v>
      </c>
      <c r="Y73" s="533">
        <f t="shared" si="43"/>
        <v>0</v>
      </c>
      <c r="Z73" s="533">
        <f t="shared" si="43"/>
        <v>0</v>
      </c>
      <c r="AA73" s="533" t="str">
        <f t="shared" si="43"/>
        <v/>
      </c>
      <c r="AB73" s="533" t="str">
        <f t="shared" si="43"/>
        <v/>
      </c>
      <c r="AC73" s="533" t="str">
        <f t="shared" si="43"/>
        <v/>
      </c>
      <c r="AD73" s="533" t="str">
        <f t="shared" si="43"/>
        <v/>
      </c>
      <c r="AE73" s="533" t="str">
        <f t="shared" si="43"/>
        <v/>
      </c>
      <c r="AF73" s="533" t="str">
        <f t="shared" si="43"/>
        <v/>
      </c>
      <c r="AG73" s="533" t="str">
        <f t="shared" si="43"/>
        <v/>
      </c>
      <c r="AH73" s="533" t="str">
        <f t="shared" si="43"/>
        <v/>
      </c>
      <c r="AI73" s="533" t="str">
        <f t="shared" si="43"/>
        <v/>
      </c>
      <c r="AJ73" s="533" t="str">
        <f t="shared" si="43"/>
        <v/>
      </c>
      <c r="AK73" s="534" t="str">
        <f t="shared" si="43"/>
        <v/>
      </c>
      <c r="AL73" s="533" t="str">
        <f>IF(AL$16="","",INDEX(App1bdata,MATCH(AL$16,App1bIDnrs,0),12))</f>
        <v/>
      </c>
      <c r="AM73" s="533" t="str">
        <f>IF(AM$16="","",INDEX(App1bdata,MATCH(AM$16,App1bIDnrs,0),12))</f>
        <v/>
      </c>
      <c r="AN73" s="533" t="str">
        <f>IF(AN$16="","",INDEX(App1bdata,MATCH(AN$16,App1bIDnrs,0),12))</f>
        <v/>
      </c>
      <c r="AO73" s="534" t="str">
        <f>IF(AO$16="","",INDEX(App1bdata,MATCH(AO$16,App1bIDnrs,0),12))</f>
        <v/>
      </c>
      <c r="AP73" s="533">
        <f t="shared" ref="AP73:BC73" si="44">IF(AP$16="","",INDEX(App1data,MATCH(AP$16,App1IDnrs,0),12))</f>
        <v>0</v>
      </c>
      <c r="AQ73" s="533">
        <f t="shared" si="44"/>
        <v>0</v>
      </c>
      <c r="AR73" s="533">
        <f t="shared" si="44"/>
        <v>0</v>
      </c>
      <c r="AS73" s="533">
        <f t="shared" si="44"/>
        <v>0</v>
      </c>
      <c r="AT73" s="533">
        <f t="shared" si="44"/>
        <v>0</v>
      </c>
      <c r="AU73" s="533">
        <f t="shared" si="44"/>
        <v>0</v>
      </c>
      <c r="AV73" s="533">
        <f t="shared" si="44"/>
        <v>0</v>
      </c>
      <c r="AW73" s="533">
        <f t="shared" si="44"/>
        <v>0</v>
      </c>
      <c r="AX73" s="533">
        <f t="shared" si="44"/>
        <v>0</v>
      </c>
      <c r="AY73" s="533">
        <f t="shared" si="44"/>
        <v>0</v>
      </c>
      <c r="AZ73" s="533" t="str">
        <f t="shared" si="44"/>
        <v/>
      </c>
      <c r="BA73" s="533" t="str">
        <f t="shared" si="44"/>
        <v/>
      </c>
      <c r="BB73" s="533" t="str">
        <f t="shared" si="44"/>
        <v/>
      </c>
      <c r="BC73" s="534" t="str">
        <f t="shared" si="44"/>
        <v/>
      </c>
      <c r="BD73" s="531"/>
      <c r="BE73" s="531"/>
      <c r="BF73" s="531"/>
      <c r="BG73" s="531"/>
      <c r="BH73" s="531"/>
      <c r="BI73" s="531"/>
      <c r="BJ73" s="531"/>
      <c r="BK73" s="531"/>
      <c r="BL73" s="531"/>
      <c r="BM73" s="531"/>
      <c r="BN73" s="531"/>
      <c r="BO73" s="531"/>
      <c r="BP73" s="531"/>
      <c r="BQ73" s="531"/>
      <c r="BR73" s="531"/>
      <c r="BS73" s="531"/>
    </row>
    <row r="74" spans="1:71" s="202" customFormat="1" ht="13.15">
      <c r="A74" s="453"/>
      <c r="B74" s="453"/>
      <c r="C74" s="453"/>
      <c r="D74" s="453"/>
      <c r="E74" s="453" t="s">
        <v>1197</v>
      </c>
      <c r="F74" s="453"/>
      <c r="G74" s="453" t="s">
        <v>1146</v>
      </c>
      <c r="H74" s="453"/>
      <c r="I74" s="453"/>
      <c r="J74" s="531" t="str">
        <f t="shared" ref="J74:Q74" si="45">IF(J$16="","",INDEX(App1bdata,MATCH(J$16,App1bIDnrs,0),14))</f>
        <v/>
      </c>
      <c r="K74" s="531" t="str">
        <f t="shared" si="45"/>
        <v/>
      </c>
      <c r="L74" s="531" t="str">
        <f t="shared" si="45"/>
        <v/>
      </c>
      <c r="M74" s="531" t="str">
        <f t="shared" si="45"/>
        <v/>
      </c>
      <c r="N74" s="531" t="str">
        <f t="shared" si="45"/>
        <v/>
      </c>
      <c r="O74" s="531" t="str">
        <f t="shared" si="45"/>
        <v/>
      </c>
      <c r="P74" s="531" t="str">
        <f t="shared" si="45"/>
        <v/>
      </c>
      <c r="Q74" s="532" t="str">
        <f t="shared" si="45"/>
        <v/>
      </c>
      <c r="R74" s="533">
        <f t="shared" ref="R74:AK74" si="46">IF(R$16="","",INDEX(App1data,MATCH(R$16,App1IDnrs,0),14))</f>
        <v>0</v>
      </c>
      <c r="S74" s="533">
        <f t="shared" si="46"/>
        <v>0</v>
      </c>
      <c r="T74" s="533">
        <f t="shared" si="46"/>
        <v>0</v>
      </c>
      <c r="U74" s="533">
        <f t="shared" si="46"/>
        <v>0</v>
      </c>
      <c r="V74" s="533">
        <f t="shared" si="46"/>
        <v>0</v>
      </c>
      <c r="W74" s="533">
        <f t="shared" si="46"/>
        <v>0</v>
      </c>
      <c r="X74" s="533">
        <f t="shared" si="46"/>
        <v>0</v>
      </c>
      <c r="Y74" s="533">
        <f t="shared" si="46"/>
        <v>0</v>
      </c>
      <c r="Z74" s="533">
        <f t="shared" si="46"/>
        <v>0</v>
      </c>
      <c r="AA74" s="533" t="str">
        <f t="shared" si="46"/>
        <v/>
      </c>
      <c r="AB74" s="533" t="str">
        <f t="shared" si="46"/>
        <v/>
      </c>
      <c r="AC74" s="533" t="str">
        <f t="shared" si="46"/>
        <v/>
      </c>
      <c r="AD74" s="533" t="str">
        <f t="shared" si="46"/>
        <v/>
      </c>
      <c r="AE74" s="533" t="str">
        <f t="shared" si="46"/>
        <v/>
      </c>
      <c r="AF74" s="533" t="str">
        <f t="shared" si="46"/>
        <v/>
      </c>
      <c r="AG74" s="533" t="str">
        <f t="shared" si="46"/>
        <v/>
      </c>
      <c r="AH74" s="533" t="str">
        <f t="shared" si="46"/>
        <v/>
      </c>
      <c r="AI74" s="533" t="str">
        <f t="shared" si="46"/>
        <v/>
      </c>
      <c r="AJ74" s="533" t="str">
        <f t="shared" si="46"/>
        <v/>
      </c>
      <c r="AK74" s="534" t="str">
        <f t="shared" si="46"/>
        <v/>
      </c>
      <c r="AL74" s="533" t="str">
        <f>IF(AL$16="","",INDEX(App1bdata,MATCH(AL$16,App1bIDnrs,0),14))</f>
        <v/>
      </c>
      <c r="AM74" s="533" t="str">
        <f>IF(AM$16="","",INDEX(App1bdata,MATCH(AM$16,App1bIDnrs,0),14))</f>
        <v/>
      </c>
      <c r="AN74" s="533" t="str">
        <f>IF(AN$16="","",INDEX(App1bdata,MATCH(AN$16,App1bIDnrs,0),14))</f>
        <v/>
      </c>
      <c r="AO74" s="534" t="str">
        <f>IF(AO$16="","",INDEX(App1bdata,MATCH(AO$16,App1bIDnrs,0),14))</f>
        <v/>
      </c>
      <c r="AP74" s="533">
        <f t="shared" ref="AP74:BC74" si="47">IF(AP$16="","",INDEX(App1data,MATCH(AP$16,App1IDnrs,0),14))</f>
        <v>0</v>
      </c>
      <c r="AQ74" s="533">
        <f t="shared" si="47"/>
        <v>0</v>
      </c>
      <c r="AR74" s="533">
        <f t="shared" si="47"/>
        <v>0</v>
      </c>
      <c r="AS74" s="533">
        <f t="shared" si="47"/>
        <v>0</v>
      </c>
      <c r="AT74" s="533">
        <f t="shared" si="47"/>
        <v>0</v>
      </c>
      <c r="AU74" s="533">
        <f t="shared" si="47"/>
        <v>0</v>
      </c>
      <c r="AV74" s="533">
        <f t="shared" si="47"/>
        <v>0</v>
      </c>
      <c r="AW74" s="533">
        <f t="shared" si="47"/>
        <v>0</v>
      </c>
      <c r="AX74" s="533">
        <f t="shared" si="47"/>
        <v>0</v>
      </c>
      <c r="AY74" s="533">
        <f t="shared" si="47"/>
        <v>0</v>
      </c>
      <c r="AZ74" s="533" t="str">
        <f t="shared" si="47"/>
        <v/>
      </c>
      <c r="BA74" s="533" t="str">
        <f t="shared" si="47"/>
        <v/>
      </c>
      <c r="BB74" s="533" t="str">
        <f t="shared" si="47"/>
        <v/>
      </c>
      <c r="BC74" s="534" t="str">
        <f t="shared" si="47"/>
        <v/>
      </c>
      <c r="BD74" s="531"/>
      <c r="BE74" s="531"/>
      <c r="BF74" s="531"/>
      <c r="BG74" s="531"/>
      <c r="BH74" s="531"/>
      <c r="BI74" s="531"/>
      <c r="BJ74" s="531"/>
      <c r="BK74" s="531"/>
      <c r="BL74" s="531"/>
      <c r="BM74" s="531"/>
      <c r="BN74" s="531"/>
      <c r="BO74" s="531"/>
      <c r="BP74" s="531"/>
      <c r="BQ74" s="531"/>
      <c r="BR74" s="531"/>
      <c r="BS74" s="531"/>
    </row>
    <row r="75" spans="1:71" s="202" customFormat="1" ht="13.15">
      <c r="A75" s="453"/>
      <c r="B75" s="453"/>
      <c r="C75" s="453"/>
      <c r="D75" s="453"/>
      <c r="E75" s="453"/>
      <c r="F75" s="453"/>
      <c r="G75" s="453"/>
      <c r="H75" s="453"/>
      <c r="I75" s="453"/>
      <c r="J75" s="494"/>
      <c r="K75" s="494"/>
      <c r="L75" s="494"/>
      <c r="M75" s="494"/>
      <c r="N75" s="494"/>
      <c r="O75" s="494"/>
      <c r="P75" s="494"/>
      <c r="Q75" s="453"/>
      <c r="R75" s="453"/>
      <c r="S75" s="453"/>
      <c r="T75" s="453"/>
      <c r="U75" s="453"/>
      <c r="V75" s="453"/>
      <c r="W75" s="453"/>
      <c r="X75" s="453"/>
      <c r="Y75" s="453"/>
      <c r="Z75" s="453"/>
      <c r="AA75" s="453"/>
      <c r="AB75" s="453"/>
      <c r="AC75" s="453"/>
      <c r="AD75" s="453"/>
      <c r="AE75" s="453"/>
      <c r="AF75" s="453"/>
      <c r="AG75" s="453"/>
      <c r="AH75" s="453"/>
      <c r="AI75" s="453"/>
      <c r="AJ75" s="453"/>
      <c r="AK75" s="453"/>
      <c r="AL75" s="453"/>
      <c r="AM75" s="453"/>
      <c r="AN75" s="453"/>
      <c r="AO75" s="453"/>
      <c r="AP75" s="453"/>
      <c r="AQ75" s="453"/>
      <c r="AR75" s="453"/>
      <c r="AS75" s="453"/>
      <c r="AT75" s="453"/>
      <c r="AU75" s="453"/>
      <c r="AV75" s="453"/>
      <c r="AW75" s="453"/>
      <c r="AX75" s="453"/>
      <c r="AY75" s="453"/>
      <c r="AZ75" s="453"/>
      <c r="BA75" s="453"/>
      <c r="BB75" s="453"/>
      <c r="BC75" s="453"/>
    </row>
    <row r="76" spans="1:71" s="202" customFormat="1" ht="20.25">
      <c r="A76" s="536" t="s">
        <v>980</v>
      </c>
      <c r="B76" s="221"/>
      <c r="C76" s="222"/>
      <c r="D76" s="223"/>
      <c r="E76" s="188"/>
      <c r="F76" s="188"/>
      <c r="G76" s="188"/>
      <c r="H76" s="188"/>
      <c r="I76" s="188"/>
      <c r="J76" s="401"/>
      <c r="K76" s="401"/>
      <c r="L76" s="401"/>
      <c r="M76" s="401"/>
      <c r="N76" s="401"/>
      <c r="O76" s="401"/>
      <c r="P76" s="401"/>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row>
    <row r="77" spans="1:71" s="202" customFormat="1">
      <c r="J77" s="225"/>
      <c r="K77" s="225"/>
      <c r="L77" s="225"/>
      <c r="M77" s="225"/>
      <c r="N77" s="225"/>
      <c r="O77" s="225"/>
      <c r="P77" s="225"/>
    </row>
    <row r="78" spans="1:71" s="202" customFormat="1">
      <c r="J78" s="225"/>
      <c r="K78" s="225"/>
      <c r="L78" s="225"/>
      <c r="M78" s="225"/>
      <c r="N78" s="225"/>
      <c r="O78" s="225"/>
      <c r="P78" s="225"/>
    </row>
    <row r="79" spans="1:71" s="202" customFormat="1">
      <c r="J79" s="225"/>
      <c r="K79" s="225"/>
      <c r="L79" s="225"/>
      <c r="M79" s="225"/>
      <c r="N79" s="225"/>
      <c r="O79" s="225"/>
      <c r="P79" s="225"/>
    </row>
    <row r="80" spans="1:71" s="202" customFormat="1">
      <c r="J80" s="225"/>
      <c r="K80" s="225"/>
      <c r="L80" s="225"/>
      <c r="M80" s="225"/>
      <c r="N80" s="225"/>
      <c r="O80" s="225"/>
      <c r="P80" s="225"/>
    </row>
    <row r="81" spans="10:16" s="202" customFormat="1">
      <c r="J81" s="225"/>
      <c r="K81" s="225"/>
      <c r="L81" s="225"/>
      <c r="M81" s="225"/>
      <c r="N81" s="225"/>
      <c r="O81" s="225"/>
      <c r="P81" s="225"/>
    </row>
    <row r="82" spans="10:16" s="202" customFormat="1">
      <c r="J82" s="225"/>
      <c r="K82" s="225"/>
      <c r="L82" s="225"/>
      <c r="M82" s="225"/>
      <c r="N82" s="225"/>
      <c r="O82" s="225"/>
      <c r="P82" s="225"/>
    </row>
    <row r="83" spans="10:16" s="202" customFormat="1">
      <c r="J83" s="225"/>
      <c r="K83" s="225"/>
      <c r="L83" s="225"/>
      <c r="M83" s="225"/>
      <c r="N83" s="225"/>
      <c r="O83" s="225"/>
      <c r="P83" s="225"/>
    </row>
    <row r="84" spans="10:16" s="202" customFormat="1">
      <c r="J84" s="225"/>
      <c r="K84" s="225"/>
      <c r="L84" s="225"/>
      <c r="M84" s="225"/>
      <c r="N84" s="225"/>
      <c r="O84" s="225"/>
      <c r="P84" s="225"/>
    </row>
    <row r="85" spans="10:16" s="202" customFormat="1">
      <c r="J85" s="225"/>
      <c r="K85" s="225"/>
      <c r="L85" s="225"/>
      <c r="M85" s="225"/>
      <c r="N85" s="225"/>
      <c r="O85" s="225"/>
      <c r="P85" s="225"/>
    </row>
    <row r="86" spans="10:16" s="202" customFormat="1">
      <c r="J86" s="225"/>
      <c r="K86" s="225"/>
      <c r="L86" s="225"/>
      <c r="M86" s="225"/>
      <c r="N86" s="225"/>
      <c r="O86" s="225"/>
      <c r="P86" s="225"/>
    </row>
    <row r="87" spans="10:16" s="202" customFormat="1">
      <c r="J87" s="225"/>
      <c r="K87" s="225"/>
      <c r="L87" s="225"/>
      <c r="M87" s="225"/>
      <c r="N87" s="225"/>
      <c r="O87" s="225"/>
      <c r="P87" s="225"/>
    </row>
    <row r="88" spans="10:16" s="202" customFormat="1">
      <c r="J88" s="225"/>
      <c r="K88" s="225"/>
      <c r="L88" s="225"/>
      <c r="M88" s="225"/>
      <c r="N88" s="225"/>
      <c r="O88" s="225"/>
      <c r="P88" s="225"/>
    </row>
    <row r="89" spans="10:16" s="202" customFormat="1">
      <c r="J89" s="225"/>
      <c r="K89" s="225"/>
      <c r="L89" s="225"/>
      <c r="M89" s="225"/>
      <c r="N89" s="225"/>
      <c r="O89" s="225"/>
      <c r="P89" s="225"/>
    </row>
    <row r="90" spans="10:16" s="202" customFormat="1">
      <c r="J90" s="225"/>
      <c r="K90" s="225"/>
      <c r="L90" s="225"/>
      <c r="M90" s="225"/>
      <c r="N90" s="225"/>
      <c r="O90" s="225"/>
      <c r="P90" s="225"/>
    </row>
    <row r="91" spans="10:16" s="202" customFormat="1">
      <c r="J91" s="225"/>
      <c r="K91" s="225"/>
      <c r="L91" s="225"/>
      <c r="M91" s="225"/>
      <c r="N91" s="225"/>
      <c r="O91" s="225"/>
      <c r="P91" s="225"/>
    </row>
    <row r="92" spans="10:16" s="202" customFormat="1">
      <c r="J92" s="225"/>
      <c r="K92" s="225"/>
      <c r="L92" s="225"/>
      <c r="M92" s="225"/>
      <c r="N92" s="225"/>
      <c r="O92" s="225"/>
      <c r="P92" s="225"/>
    </row>
    <row r="93" spans="10:16" s="202" customFormat="1">
      <c r="J93" s="225"/>
      <c r="K93" s="225"/>
      <c r="L93" s="225"/>
      <c r="M93" s="225"/>
      <c r="N93" s="225"/>
      <c r="O93" s="225"/>
      <c r="P93" s="225"/>
    </row>
    <row r="94" spans="10:16" s="202" customFormat="1">
      <c r="J94" s="225"/>
      <c r="K94" s="225"/>
      <c r="L94" s="225"/>
      <c r="M94" s="225"/>
      <c r="N94" s="225"/>
      <c r="O94" s="225"/>
      <c r="P94" s="225"/>
    </row>
    <row r="95" spans="10:16" s="202" customFormat="1">
      <c r="J95" s="225"/>
      <c r="K95" s="225"/>
      <c r="L95" s="225"/>
      <c r="M95" s="225"/>
      <c r="N95" s="225"/>
      <c r="O95" s="225"/>
      <c r="P95" s="225"/>
    </row>
    <row r="96" spans="10:16" s="202" customFormat="1">
      <c r="J96" s="225"/>
      <c r="K96" s="225"/>
      <c r="L96" s="225"/>
      <c r="M96" s="225"/>
      <c r="N96" s="225"/>
      <c r="O96" s="225"/>
      <c r="P96" s="225"/>
    </row>
    <row r="97" spans="10:16" s="202" customFormat="1">
      <c r="J97" s="225"/>
      <c r="K97" s="225"/>
      <c r="L97" s="225"/>
      <c r="M97" s="225"/>
      <c r="N97" s="225"/>
      <c r="O97" s="225"/>
      <c r="P97" s="225"/>
    </row>
    <row r="98" spans="10:16" s="202" customFormat="1">
      <c r="J98" s="225"/>
      <c r="K98" s="225"/>
      <c r="L98" s="225"/>
      <c r="M98" s="225"/>
      <c r="N98" s="225"/>
      <c r="O98" s="225"/>
      <c r="P98" s="225"/>
    </row>
    <row r="99" spans="10:16" s="202" customFormat="1">
      <c r="J99" s="225"/>
      <c r="K99" s="225"/>
      <c r="L99" s="225"/>
      <c r="M99" s="225"/>
      <c r="N99" s="225"/>
      <c r="O99" s="225"/>
      <c r="P99" s="225"/>
    </row>
    <row r="100" spans="10:16" s="202" customFormat="1">
      <c r="J100" s="225"/>
      <c r="K100" s="225"/>
      <c r="L100" s="225"/>
      <c r="M100" s="225"/>
      <c r="N100" s="225"/>
      <c r="O100" s="225"/>
      <c r="P100" s="225"/>
    </row>
    <row r="101" spans="10:16" s="202" customFormat="1">
      <c r="J101" s="225"/>
      <c r="K101" s="225"/>
      <c r="L101" s="225"/>
      <c r="M101" s="225"/>
      <c r="N101" s="225"/>
      <c r="O101" s="225"/>
      <c r="P101" s="225"/>
    </row>
    <row r="102" spans="10:16" s="202" customFormat="1">
      <c r="J102" s="225"/>
      <c r="K102" s="225"/>
      <c r="L102" s="225"/>
      <c r="M102" s="225"/>
      <c r="N102" s="225"/>
      <c r="O102" s="225"/>
      <c r="P102" s="225"/>
    </row>
    <row r="103" spans="10:16" s="202" customFormat="1">
      <c r="J103" s="225"/>
      <c r="K103" s="225"/>
      <c r="L103" s="225"/>
      <c r="M103" s="225"/>
      <c r="N103" s="225"/>
      <c r="O103" s="225"/>
      <c r="P103" s="225"/>
    </row>
    <row r="104" spans="10:16" s="202" customFormat="1">
      <c r="J104" s="225"/>
      <c r="K104" s="225"/>
      <c r="L104" s="225"/>
      <c r="M104" s="225"/>
      <c r="N104" s="225"/>
      <c r="O104" s="225"/>
      <c r="P104" s="225"/>
    </row>
    <row r="105" spans="10:16" s="202" customFormat="1">
      <c r="J105" s="225"/>
      <c r="K105" s="225"/>
      <c r="L105" s="225"/>
      <c r="M105" s="225"/>
      <c r="N105" s="225"/>
      <c r="O105" s="225"/>
      <c r="P105" s="225"/>
    </row>
    <row r="106" spans="10:16" s="202" customFormat="1">
      <c r="J106" s="225"/>
      <c r="K106" s="225"/>
      <c r="L106" s="225"/>
      <c r="M106" s="225"/>
      <c r="N106" s="225"/>
      <c r="O106" s="225"/>
      <c r="P106" s="225"/>
    </row>
    <row r="107" spans="10:16" s="202" customFormat="1">
      <c r="J107" s="225"/>
      <c r="K107" s="225"/>
      <c r="L107" s="225"/>
      <c r="M107" s="225"/>
      <c r="N107" s="225"/>
      <c r="O107" s="225"/>
      <c r="P107" s="225"/>
    </row>
    <row r="108" spans="10:16" s="202" customFormat="1">
      <c r="J108" s="225"/>
      <c r="K108" s="225"/>
      <c r="L108" s="225"/>
      <c r="M108" s="225"/>
      <c r="N108" s="225"/>
      <c r="O108" s="225"/>
      <c r="P108" s="225"/>
    </row>
    <row r="109" spans="10:16" s="202" customFormat="1">
      <c r="J109" s="225"/>
      <c r="K109" s="225"/>
      <c r="L109" s="225"/>
      <c r="M109" s="225"/>
      <c r="N109" s="225"/>
      <c r="O109" s="225"/>
      <c r="P109" s="225"/>
    </row>
    <row r="110" spans="10:16" s="202" customFormat="1">
      <c r="J110" s="225"/>
      <c r="K110" s="225"/>
      <c r="L110" s="225"/>
      <c r="M110" s="225"/>
      <c r="N110" s="225"/>
      <c r="O110" s="225"/>
      <c r="P110" s="225"/>
    </row>
    <row r="111" spans="10:16" s="202" customFormat="1">
      <c r="J111" s="225"/>
      <c r="K111" s="225"/>
      <c r="L111" s="225"/>
      <c r="M111" s="225"/>
      <c r="N111" s="225"/>
      <c r="O111" s="225"/>
      <c r="P111" s="225"/>
    </row>
    <row r="112" spans="10:16" s="202" customFormat="1">
      <c r="J112" s="225"/>
      <c r="K112" s="225"/>
      <c r="L112" s="225"/>
      <c r="M112" s="225"/>
      <c r="N112" s="225"/>
      <c r="O112" s="225"/>
      <c r="P112" s="225"/>
    </row>
    <row r="113" spans="10:16" s="202" customFormat="1">
      <c r="J113" s="225"/>
      <c r="K113" s="225"/>
      <c r="L113" s="225"/>
      <c r="M113" s="225"/>
      <c r="N113" s="225"/>
      <c r="O113" s="225"/>
      <c r="P113" s="225"/>
    </row>
    <row r="114" spans="10:16" s="202" customFormat="1">
      <c r="J114" s="225"/>
      <c r="K114" s="225"/>
      <c r="L114" s="225"/>
      <c r="M114" s="225"/>
      <c r="N114" s="225"/>
      <c r="O114" s="225"/>
      <c r="P114" s="225"/>
    </row>
  </sheetData>
  <conditionalFormatting sqref="H76:BS76">
    <cfRule type="cellIs" dxfId="213" priority="14" operator="equal">
      <formula>0</formula>
    </cfRule>
  </conditionalFormatting>
  <conditionalFormatting sqref="J13:BS13">
    <cfRule type="expression" dxfId="210" priority="11">
      <formula>AND(J13=FALSE,J13&lt;&gt;"")</formula>
    </cfRule>
  </conditionalFormatting>
  <conditionalFormatting sqref="J68:BS74">
    <cfRule type="cellIs" dxfId="208" priority="3" operator="equal">
      <formula>0</formula>
    </cfRule>
  </conditionalFormatting>
  <dataValidations count="5">
    <dataValidation type="custom" allowBlank="1" showInputMessage="1" showErrorMessage="1" sqref="J49 J64:BS64 J50:BS50" xr:uid="{00000000-0002-0000-1400-000000000000}">
      <formula1>J49&lt;0</formula1>
    </dataValidation>
    <dataValidation type="custom" allowBlank="1" showInputMessage="1" showErrorMessage="1" sqref="J63:BS63 K49:BS49" xr:uid="{00000000-0002-0000-1400-000001000000}">
      <formula1>J49&gt;0</formula1>
    </dataValidation>
    <dataValidation type="list" allowBlank="1" showInputMessage="1" showErrorMessage="1" sqref="J19:BS20 J53:BS53 J65:BS65 J36:BS36" xr:uid="{00000000-0002-0000-1400-000002000000}">
      <formula1>"TRUE, FALSE"</formula1>
    </dataValidation>
    <dataValidation type="custom" allowBlank="1" showInputMessage="1" showErrorMessage="1" sqref="J27:BS29" xr:uid="{00000000-0002-0000-1400-000003000000}">
      <formula1>J27&lt;=0</formula1>
    </dataValidation>
    <dataValidation type="custom" allowBlank="1" showInputMessage="1" showErrorMessage="1" sqref="J23:BS25" xr:uid="{00000000-0002-0000-14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69" formatCode="[$-F400]h:mm:ss\ AM/PM"/>
            </x14:dxf>
          </x14:cfRule>
          <xm:sqref>J7:BS7</xm:sqref>
        </x14:conditionalFormatting>
        <x14:conditionalFormatting xmlns:xm="http://schemas.microsoft.com/office/excel/2006/main">
          <x14:cfRule type="expression" priority="1" id="{A872CAEA-6F44-43C4-BBB1-A7B990D0EEFA}">
            <xm:f>J$31=Validation!$F$6</xm:f>
            <x14:dxf>
              <numFmt numFmtId="169" formatCode="[$-F400]h:mm:ss\ AM/PM"/>
            </x14:dxf>
          </x14:cfRule>
          <xm:sqref>J7:BS8</xm:sqref>
        </x14:conditionalFormatting>
        <x14:conditionalFormatting xmlns:xm="http://schemas.microsoft.com/office/excel/2006/main">
          <x14:cfRule type="expression" priority="4" id="{879C79A4-82A4-4881-9CD7-473DA7E2367D}">
            <xm:f>J$31=Validation!$F$6</xm:f>
            <x14:dxf>
              <numFmt numFmtId="169"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69"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69"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5000000}">
          <x14:formula1>
            <xm:f>Validation!$N$5:$N$6</xm:f>
          </x14:formula1>
          <xm:sqref>J54:BS54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FEB82-B50C-4C95-A6DD-FE53196B9802}">
  <sheetPr>
    <tabColor rgb="FFFCEABF"/>
    <pageSetUpPr fitToPage="1"/>
  </sheetPr>
  <dimension ref="A1:DF114"/>
  <sheetViews>
    <sheetView showGridLines="0" zoomScale="80" zoomScaleNormal="80" zoomScaleSheetLayoutView="80" workbookViewId="0">
      <pane xSplit="8" ySplit="17" topLeftCell="I18" activePane="bottomRight" state="frozen"/>
      <selection activeCell="G4" sqref="G4"/>
      <selection pane="topRight" activeCell="G4" sqref="G4"/>
      <selection pane="bottomLeft" activeCell="G4" sqref="G4"/>
      <selection pane="bottomRight"/>
    </sheetView>
  </sheetViews>
  <sheetFormatPr defaultColWidth="0" defaultRowHeight="12.75" outlineLevelCol="1"/>
  <cols>
    <col min="1" max="4" width="1.625" style="207" customWidth="1"/>
    <col min="5" max="5" width="45.625" style="207" customWidth="1"/>
    <col min="6" max="8" width="15.625" style="207" customWidth="1"/>
    <col min="9" max="9" width="2.625" style="207" customWidth="1"/>
    <col min="10" max="55" width="28.625" style="215" customWidth="1"/>
    <col min="56" max="71" width="25.625" style="215" hidden="1" customWidth="1" outlineLevel="1"/>
    <col min="72" max="72" width="8.625" style="215" hidden="1" customWidth="1" collapsed="1"/>
    <col min="73" max="16384" width="8.625" style="215" hidden="1"/>
  </cols>
  <sheetData>
    <row r="1" spans="1:110" s="262" customFormat="1" ht="44.25">
      <c r="A1" s="447" t="str">
        <f ca="1" xml:space="preserve"> RIGHT(CELL("filename", $A$1), LEN(CELL("filename", $A$1)) - SEARCH("]", CELL("filename", $A$1)))</f>
        <v>Ofwat_PC_Interventions</v>
      </c>
      <c r="B1" s="447"/>
      <c r="C1" s="199"/>
      <c r="D1" s="199"/>
      <c r="E1" s="199"/>
      <c r="F1" s="199"/>
      <c r="G1" s="199"/>
      <c r="H1" s="199"/>
      <c r="I1" s="199"/>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1200"/>
      <c r="BE1" s="1200"/>
      <c r="BF1" s="1200"/>
      <c r="BG1" s="1200"/>
      <c r="BH1" s="1200"/>
      <c r="BI1" s="1200"/>
      <c r="BJ1" s="1200"/>
      <c r="BK1" s="1200"/>
      <c r="BL1" s="1200"/>
      <c r="BM1" s="1200"/>
      <c r="BN1" s="1200"/>
      <c r="BO1" s="1200"/>
      <c r="BP1" s="1200"/>
      <c r="BQ1" s="1200"/>
      <c r="BR1" s="1200"/>
      <c r="BS1" s="1200"/>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row>
    <row r="2" spans="1:110" s="214" customFormat="1" ht="13.15">
      <c r="A2" s="453"/>
      <c r="B2" s="453"/>
      <c r="C2" s="453"/>
      <c r="D2" s="453"/>
      <c r="E2" s="453"/>
      <c r="F2" s="462" t="s">
        <v>1130</v>
      </c>
      <c r="G2" s="462" t="s">
        <v>114</v>
      </c>
      <c r="H2" s="462" t="s">
        <v>1131</v>
      </c>
      <c r="I2" s="463"/>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7"/>
      <c r="AM2" s="537"/>
      <c r="AN2" s="537"/>
      <c r="AO2" s="537"/>
      <c r="AP2" s="537"/>
      <c r="AQ2" s="537"/>
      <c r="AR2" s="537"/>
      <c r="AS2" s="537"/>
      <c r="AT2" s="537"/>
      <c r="AU2" s="537"/>
      <c r="AV2" s="537"/>
      <c r="AW2" s="537"/>
      <c r="AX2" s="537"/>
      <c r="AY2" s="537"/>
      <c r="AZ2" s="537"/>
      <c r="BA2" s="537"/>
      <c r="BB2" s="537"/>
      <c r="BC2" s="537"/>
      <c r="BD2" s="537"/>
      <c r="BE2" s="537"/>
      <c r="BF2" s="537"/>
      <c r="BG2" s="537"/>
      <c r="BH2" s="537"/>
      <c r="BI2" s="537"/>
      <c r="BJ2" s="537"/>
      <c r="BK2" s="537"/>
      <c r="BL2" s="537"/>
      <c r="BM2" s="537"/>
      <c r="BN2" s="537"/>
      <c r="BO2" s="537"/>
      <c r="BP2" s="537"/>
      <c r="BQ2" s="537"/>
      <c r="BR2" s="537"/>
      <c r="BS2" s="537"/>
    </row>
    <row r="3" spans="1:110" s="260" customFormat="1" ht="13.15">
      <c r="A3" s="465" t="s">
        <v>1151</v>
      </c>
      <c r="B3" s="466"/>
      <c r="C3" s="467"/>
      <c r="D3" s="468"/>
      <c r="E3" s="468"/>
      <c r="F3" s="468"/>
      <c r="G3" s="468"/>
      <c r="H3" s="468"/>
      <c r="I3" s="468"/>
      <c r="J3" s="538" t="str">
        <f>IF(Company_PC_inputs!J3="","",Company_PC_inputs!J3)</f>
        <v>Water | Common | Financial</v>
      </c>
      <c r="K3" s="538" t="str">
        <f>IF(Company_PC_inputs!K3="","",Company_PC_inputs!K3)</f>
        <v>Water | Common | Financial</v>
      </c>
      <c r="L3" s="538" t="str">
        <f>IF(Company_PC_inputs!L3="","",Company_PC_inputs!L3)</f>
        <v>Water | Common | Financial</v>
      </c>
      <c r="M3" s="538" t="str">
        <f>IF(Company_PC_inputs!M3="","",Company_PC_inputs!M3)</f>
        <v>Water | Common | Financial</v>
      </c>
      <c r="N3" s="538" t="str">
        <f>IF(Company_PC_inputs!N3="","",Company_PC_inputs!N3)</f>
        <v>Water | Common | Financial</v>
      </c>
      <c r="O3" s="538" t="str">
        <f>IF(Company_PC_inputs!O3="","",Company_PC_inputs!O3)</f>
        <v>Water | Common | Financial</v>
      </c>
      <c r="P3" s="538" t="str">
        <f>IF(Company_PC_inputs!P3="","",Company_PC_inputs!P3)</f>
        <v>Water | Common | Financial</v>
      </c>
      <c r="Q3" s="539" t="str">
        <f>IF(Company_PC_inputs!Q3="","",Company_PC_inputs!Q3)</f>
        <v>Water | Common | Financial</v>
      </c>
      <c r="R3" s="538" t="str">
        <f>IF(Company_PC_inputs!R3="","",Company_PC_inputs!R3)</f>
        <v>Water | Bespoke | Financial</v>
      </c>
      <c r="S3" s="538" t="str">
        <f>IF(Company_PC_inputs!S3="","",Company_PC_inputs!S3)</f>
        <v>Water | Bespoke | Financial</v>
      </c>
      <c r="T3" s="538" t="str">
        <f>IF(Company_PC_inputs!T3="","",Company_PC_inputs!T3)</f>
        <v>Water | Bespoke | Financial</v>
      </c>
      <c r="U3" s="538" t="str">
        <f>IF(Company_PC_inputs!U3="","",Company_PC_inputs!U3)</f>
        <v>Water | Bespoke | Financial</v>
      </c>
      <c r="V3" s="538" t="str">
        <f>IF(Company_PC_inputs!V3="","",Company_PC_inputs!V3)</f>
        <v>Water | Bespoke | Financial</v>
      </c>
      <c r="W3" s="538" t="str">
        <f>IF(Company_PC_inputs!W3="","",Company_PC_inputs!W3)</f>
        <v>Water | Bespoke | Financial</v>
      </c>
      <c r="X3" s="538" t="str">
        <f>IF(Company_PC_inputs!X3="","",Company_PC_inputs!X3)</f>
        <v>Water | Bespoke | Financial</v>
      </c>
      <c r="Y3" s="538" t="str">
        <f>IF(Company_PC_inputs!Y3="","",Company_PC_inputs!Y3)</f>
        <v>Water | Bespoke | Financial</v>
      </c>
      <c r="Z3" s="538" t="str">
        <f>IF(Company_PC_inputs!Z3="","",Company_PC_inputs!Z3)</f>
        <v>Water | Bespoke | Financial</v>
      </c>
      <c r="AA3" s="538" t="str">
        <f>IF(Company_PC_inputs!AA3="","",Company_PC_inputs!AA3)</f>
        <v>Water | Bespoke | Financial</v>
      </c>
      <c r="AB3" s="538" t="str">
        <f>IF(Company_PC_inputs!AB3="","",Company_PC_inputs!AB3)</f>
        <v>Water | Bespoke | Financial</v>
      </c>
      <c r="AC3" s="538" t="str">
        <f>IF(Company_PC_inputs!AC3="","",Company_PC_inputs!AC3)</f>
        <v>Water | Bespoke | Financial</v>
      </c>
      <c r="AD3" s="538" t="str">
        <f>IF(Company_PC_inputs!AD3="","",Company_PC_inputs!AD3)</f>
        <v>Water | Bespoke | Financial</v>
      </c>
      <c r="AE3" s="538" t="str">
        <f>IF(Company_PC_inputs!AE3="","",Company_PC_inputs!AE3)</f>
        <v>Water | Bespoke | Financial</v>
      </c>
      <c r="AF3" s="538" t="str">
        <f>IF(Company_PC_inputs!AF3="","",Company_PC_inputs!AF3)</f>
        <v>Water | Bespoke | Financial</v>
      </c>
      <c r="AG3" s="538" t="str">
        <f>IF(Company_PC_inputs!AG3="","",Company_PC_inputs!AG3)</f>
        <v>Water | Bespoke | Financial</v>
      </c>
      <c r="AH3" s="538" t="str">
        <f>IF(Company_PC_inputs!AH3="","",Company_PC_inputs!AH3)</f>
        <v>Water | Bespoke | Financial</v>
      </c>
      <c r="AI3" s="538" t="str">
        <f>IF(Company_PC_inputs!AI3="","",Company_PC_inputs!AI3)</f>
        <v>Water | Bespoke | Financial</v>
      </c>
      <c r="AJ3" s="538" t="str">
        <f>IF(Company_PC_inputs!AJ3="","",Company_PC_inputs!AJ3)</f>
        <v>Water | Bespoke | Financial</v>
      </c>
      <c r="AK3" s="539" t="str">
        <f>IF(Company_PC_inputs!AK3="","",Company_PC_inputs!AK3)</f>
        <v>Water | Bespoke | Financial</v>
      </c>
      <c r="AL3" s="538" t="str">
        <f>IF(Company_PC_inputs!AL3="","",Company_PC_inputs!AL3)</f>
        <v>Wastewater | Common | Financial</v>
      </c>
      <c r="AM3" s="538" t="str">
        <f>IF(Company_PC_inputs!AM3="","",Company_PC_inputs!AM3)</f>
        <v>Wastewater | Common | Financial</v>
      </c>
      <c r="AN3" s="538" t="str">
        <f>IF(Company_PC_inputs!AN3="","",Company_PC_inputs!AN3)</f>
        <v>Wastewater | Common | Financial</v>
      </c>
      <c r="AO3" s="539" t="str">
        <f>IF(Company_PC_inputs!AO3="","",Company_PC_inputs!AO3)</f>
        <v>Wastewater | Common | Financial</v>
      </c>
      <c r="AP3" s="538" t="str">
        <f>IF(Company_PC_inputs!AP3="","",Company_PC_inputs!AP3)</f>
        <v>Wastewater | Bespoke | Financial</v>
      </c>
      <c r="AQ3" s="538" t="str">
        <f>IF(Company_PC_inputs!AQ3="","",Company_PC_inputs!AQ3)</f>
        <v>Wastewater | Bespoke | Financial</v>
      </c>
      <c r="AR3" s="538" t="str">
        <f>IF(Company_PC_inputs!AR3="","",Company_PC_inputs!AR3)</f>
        <v>Wastewater | Bespoke | Financial</v>
      </c>
      <c r="AS3" s="538" t="str">
        <f>IF(Company_PC_inputs!AS3="","",Company_PC_inputs!AS3)</f>
        <v>Wastewater | Bespoke | Financial</v>
      </c>
      <c r="AT3" s="538" t="str">
        <f>IF(Company_PC_inputs!AT3="","",Company_PC_inputs!AT3)</f>
        <v>Wastewater | Bespoke | Financial</v>
      </c>
      <c r="AU3" s="538" t="str">
        <f>IF(Company_PC_inputs!AU3="","",Company_PC_inputs!AU3)</f>
        <v>Wastewater | Bespoke | Financial</v>
      </c>
      <c r="AV3" s="538" t="str">
        <f>IF(Company_PC_inputs!AV3="","",Company_PC_inputs!AV3)</f>
        <v>Wastewater | Bespoke | Financial</v>
      </c>
      <c r="AW3" s="538" t="str">
        <f>IF(Company_PC_inputs!AW3="","",Company_PC_inputs!AW3)</f>
        <v>Wastewater | Bespoke | Financial</v>
      </c>
      <c r="AX3" s="538" t="str">
        <f>IF(Company_PC_inputs!AX3="","",Company_PC_inputs!AX3)</f>
        <v>Wastewater | Bespoke | Financial</v>
      </c>
      <c r="AY3" s="538" t="str">
        <f>IF(Company_PC_inputs!AY3="","",Company_PC_inputs!AY3)</f>
        <v>Wastewater | Bespoke | Financial</v>
      </c>
      <c r="AZ3" s="538" t="str">
        <f>IF(Company_PC_inputs!AZ3="","",Company_PC_inputs!AZ3)</f>
        <v>Wastewater | Bespoke | Financial</v>
      </c>
      <c r="BA3" s="538" t="str">
        <f>IF(Company_PC_inputs!BA3="","",Company_PC_inputs!BA3)</f>
        <v>Wastewater | Bespoke | Financial</v>
      </c>
      <c r="BB3" s="538" t="str">
        <f>IF(Company_PC_inputs!BB3="","",Company_PC_inputs!BB3)</f>
        <v>Wastewater | Bespoke | Financial</v>
      </c>
      <c r="BC3" s="538" t="str">
        <f>IF(Company_PC_inputs!BC3="","",Company_PC_inputs!BC3)</f>
        <v>Wastewater | Bespoke | Financial</v>
      </c>
      <c r="BD3" s="1201"/>
      <c r="BE3" s="1201"/>
      <c r="BF3" s="1201"/>
      <c r="BG3" s="1201"/>
      <c r="BH3" s="1201"/>
      <c r="BI3" s="1201"/>
      <c r="BJ3" s="1201"/>
      <c r="BK3" s="1201"/>
      <c r="BL3" s="1201"/>
      <c r="BM3" s="1201"/>
      <c r="BN3" s="1201"/>
      <c r="BO3" s="1201"/>
      <c r="BP3" s="1201"/>
      <c r="BQ3" s="1201"/>
      <c r="BR3" s="1201"/>
      <c r="BS3" s="1201"/>
    </row>
    <row r="4" spans="1:110" s="214" customFormat="1" ht="13.15">
      <c r="A4" s="453"/>
      <c r="B4" s="453"/>
      <c r="C4" s="453"/>
      <c r="D4" s="453"/>
      <c r="E4" s="453"/>
      <c r="F4" s="453"/>
      <c r="G4" s="453"/>
      <c r="H4" s="453"/>
      <c r="I4" s="453"/>
      <c r="J4" s="540"/>
      <c r="K4" s="540"/>
      <c r="L4" s="540"/>
      <c r="M4" s="540"/>
      <c r="N4" s="540"/>
      <c r="O4" s="540"/>
      <c r="P4" s="540"/>
      <c r="Q4" s="541"/>
      <c r="R4" s="540"/>
      <c r="S4" s="540"/>
      <c r="T4" s="540"/>
      <c r="U4" s="540"/>
      <c r="V4" s="540"/>
      <c r="W4" s="540"/>
      <c r="X4" s="540"/>
      <c r="Y4" s="540"/>
      <c r="Z4" s="540"/>
      <c r="AA4" s="540"/>
      <c r="AB4" s="540"/>
      <c r="AC4" s="540"/>
      <c r="AD4" s="540"/>
      <c r="AE4" s="540"/>
      <c r="AF4" s="540"/>
      <c r="AG4" s="540"/>
      <c r="AH4" s="540"/>
      <c r="AI4" s="540"/>
      <c r="AJ4" s="540"/>
      <c r="AK4" s="541"/>
      <c r="AL4" s="540"/>
      <c r="AM4" s="540"/>
      <c r="AN4" s="540"/>
      <c r="AO4" s="541"/>
      <c r="AP4" s="540"/>
      <c r="AQ4" s="540"/>
      <c r="AR4" s="540"/>
      <c r="AS4" s="540"/>
      <c r="AT4" s="540"/>
      <c r="AU4" s="540"/>
      <c r="AV4" s="540"/>
      <c r="AW4" s="540"/>
      <c r="AX4" s="540"/>
      <c r="AY4" s="540"/>
      <c r="AZ4" s="540"/>
      <c r="BA4" s="540"/>
      <c r="BB4" s="540"/>
      <c r="BC4" s="540"/>
      <c r="BD4" s="540"/>
      <c r="BE4" s="540"/>
      <c r="BF4" s="540"/>
      <c r="BG4" s="540"/>
      <c r="BH4" s="540"/>
      <c r="BI4" s="540"/>
      <c r="BJ4" s="540"/>
      <c r="BK4" s="540"/>
      <c r="BL4" s="540"/>
      <c r="BM4" s="540"/>
      <c r="BN4" s="540"/>
      <c r="BO4" s="540"/>
      <c r="BP4" s="540"/>
      <c r="BQ4" s="540"/>
      <c r="BR4" s="540"/>
      <c r="BS4" s="540"/>
    </row>
    <row r="5" spans="1:110" s="214" customFormat="1" ht="13.15">
      <c r="A5" s="453"/>
      <c r="B5" s="473" t="s">
        <v>1156</v>
      </c>
      <c r="C5" s="453"/>
      <c r="D5" s="453"/>
      <c r="E5" s="453"/>
      <c r="F5" s="453"/>
      <c r="G5" s="453"/>
      <c r="H5" s="453"/>
      <c r="I5" s="453"/>
      <c r="J5" s="540"/>
      <c r="K5" s="540"/>
      <c r="L5" s="540"/>
      <c r="M5" s="540"/>
      <c r="N5" s="540"/>
      <c r="O5" s="540"/>
      <c r="P5" s="540"/>
      <c r="Q5" s="541"/>
      <c r="R5" s="540"/>
      <c r="S5" s="540"/>
      <c r="T5" s="540"/>
      <c r="U5" s="540"/>
      <c r="V5" s="540"/>
      <c r="W5" s="540"/>
      <c r="X5" s="540"/>
      <c r="Y5" s="540"/>
      <c r="Z5" s="540"/>
      <c r="AA5" s="540"/>
      <c r="AB5" s="540"/>
      <c r="AC5" s="540"/>
      <c r="AD5" s="540"/>
      <c r="AE5" s="540"/>
      <c r="AF5" s="540"/>
      <c r="AG5" s="540"/>
      <c r="AH5" s="540"/>
      <c r="AI5" s="540"/>
      <c r="AJ5" s="540"/>
      <c r="AK5" s="541"/>
      <c r="AL5" s="540"/>
      <c r="AM5" s="540"/>
      <c r="AN5" s="540"/>
      <c r="AO5" s="541"/>
      <c r="AP5" s="540"/>
      <c r="AQ5" s="540"/>
      <c r="AR5" s="540"/>
      <c r="AS5" s="540"/>
      <c r="AT5" s="540"/>
      <c r="AU5" s="540"/>
      <c r="AV5" s="540"/>
      <c r="AW5" s="540"/>
      <c r="AX5" s="540"/>
      <c r="AY5" s="540"/>
      <c r="AZ5" s="540"/>
      <c r="BA5" s="540"/>
      <c r="BB5" s="540"/>
      <c r="BC5" s="540"/>
      <c r="BD5" s="540"/>
      <c r="BE5" s="540"/>
      <c r="BF5" s="540"/>
      <c r="BG5" s="540"/>
      <c r="BH5" s="540"/>
      <c r="BI5" s="540"/>
      <c r="BJ5" s="540"/>
      <c r="BK5" s="540"/>
      <c r="BL5" s="540"/>
      <c r="BM5" s="540"/>
      <c r="BN5" s="540"/>
      <c r="BO5" s="540"/>
      <c r="BP5" s="540"/>
      <c r="BQ5" s="540"/>
      <c r="BR5" s="540"/>
      <c r="BS5" s="540"/>
    </row>
    <row r="6" spans="1:110" s="214" customFormat="1" ht="13.15">
      <c r="A6" s="453"/>
      <c r="B6" s="453"/>
      <c r="C6" s="453"/>
      <c r="D6" s="453"/>
      <c r="E6" s="453"/>
      <c r="F6" s="453"/>
      <c r="G6" s="453"/>
      <c r="H6" s="453"/>
      <c r="I6" s="453"/>
      <c r="J6" s="540"/>
      <c r="K6" s="540"/>
      <c r="L6" s="540"/>
      <c r="M6" s="540"/>
      <c r="N6" s="540"/>
      <c r="O6" s="540"/>
      <c r="P6" s="540"/>
      <c r="Q6" s="541"/>
      <c r="R6" s="540"/>
      <c r="S6" s="540"/>
      <c r="T6" s="540"/>
      <c r="U6" s="540"/>
      <c r="V6" s="540"/>
      <c r="W6" s="540"/>
      <c r="X6" s="540"/>
      <c r="Y6" s="540"/>
      <c r="Z6" s="540"/>
      <c r="AA6" s="540"/>
      <c r="AB6" s="540"/>
      <c r="AC6" s="540"/>
      <c r="AD6" s="540"/>
      <c r="AE6" s="540"/>
      <c r="AF6" s="540"/>
      <c r="AG6" s="540"/>
      <c r="AH6" s="540"/>
      <c r="AI6" s="540"/>
      <c r="AJ6" s="540"/>
      <c r="AK6" s="541"/>
      <c r="AL6" s="540"/>
      <c r="AM6" s="540"/>
      <c r="AN6" s="540"/>
      <c r="AO6" s="541"/>
      <c r="AP6" s="540"/>
      <c r="AQ6" s="540"/>
      <c r="AR6" s="540"/>
      <c r="AS6" s="540"/>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row>
    <row r="7" spans="1:110" s="214" customFormat="1" ht="13.15">
      <c r="A7" s="453"/>
      <c r="B7" s="453"/>
      <c r="C7" s="453"/>
      <c r="D7" s="453"/>
      <c r="E7" s="453" t="str">
        <f>Company_PC_inputs!E7&amp; " (Intervention)"</f>
        <v>Actual performance (Intervention)</v>
      </c>
      <c r="F7" s="453"/>
      <c r="G7" s="453" t="s">
        <v>1158</v>
      </c>
      <c r="H7" s="453"/>
      <c r="I7" s="453"/>
      <c r="J7" s="488"/>
      <c r="K7" s="488"/>
      <c r="L7" s="488"/>
      <c r="M7" s="488"/>
      <c r="N7" s="488"/>
      <c r="O7" s="488"/>
      <c r="P7" s="488"/>
      <c r="Q7" s="489"/>
      <c r="R7" s="488"/>
      <c r="S7" s="488"/>
      <c r="T7" s="488"/>
      <c r="U7" s="488"/>
      <c r="V7" s="488"/>
      <c r="W7" s="488"/>
      <c r="X7" s="488"/>
      <c r="Y7" s="488"/>
      <c r="Z7" s="488"/>
      <c r="AA7" s="488"/>
      <c r="AB7" s="488"/>
      <c r="AC7" s="488"/>
      <c r="AD7" s="488"/>
      <c r="AE7" s="488"/>
      <c r="AF7" s="488"/>
      <c r="AG7" s="488"/>
      <c r="AH7" s="488"/>
      <c r="AI7" s="488"/>
      <c r="AJ7" s="488"/>
      <c r="AK7" s="489"/>
      <c r="AL7" s="488"/>
      <c r="AM7" s="488"/>
      <c r="AN7" s="488"/>
      <c r="AO7" s="489"/>
      <c r="AP7" s="488"/>
      <c r="AQ7" s="488"/>
      <c r="AR7" s="488"/>
      <c r="AS7" s="488"/>
      <c r="AT7" s="488"/>
      <c r="AU7" s="488"/>
      <c r="AV7" s="488"/>
      <c r="AW7" s="488"/>
      <c r="AX7" s="488"/>
      <c r="AY7" s="488"/>
      <c r="AZ7" s="488"/>
      <c r="BA7" s="488"/>
      <c r="BB7" s="488"/>
      <c r="BC7" s="489"/>
      <c r="BD7" s="488"/>
      <c r="BE7" s="488"/>
      <c r="BF7" s="488"/>
      <c r="BG7" s="488"/>
      <c r="BH7" s="488"/>
      <c r="BI7" s="488"/>
      <c r="BJ7" s="488"/>
      <c r="BK7" s="488"/>
      <c r="BL7" s="488"/>
      <c r="BM7" s="488"/>
      <c r="BN7" s="488"/>
      <c r="BO7" s="488"/>
      <c r="BP7" s="488"/>
      <c r="BQ7" s="488"/>
      <c r="BR7" s="488"/>
      <c r="BS7" s="488"/>
    </row>
    <row r="8" spans="1:110" s="214" customFormat="1" ht="13.15">
      <c r="A8" s="453"/>
      <c r="B8" s="453"/>
      <c r="C8" s="453"/>
      <c r="D8" s="453"/>
      <c r="E8" s="453" t="str">
        <f>Company_PC_inputs!E8&amp; " (Intervention)"</f>
        <v>Baseline (if applicable) (Intervention)</v>
      </c>
      <c r="F8" s="453"/>
      <c r="G8" s="453" t="s">
        <v>1160</v>
      </c>
      <c r="H8" s="453"/>
      <c r="I8" s="453"/>
      <c r="J8" s="488"/>
      <c r="K8" s="488"/>
      <c r="L8" s="488"/>
      <c r="M8" s="488"/>
      <c r="N8" s="488"/>
      <c r="O8" s="488"/>
      <c r="P8" s="488"/>
      <c r="Q8" s="489"/>
      <c r="R8" s="488"/>
      <c r="S8" s="488"/>
      <c r="T8" s="488"/>
      <c r="U8" s="488"/>
      <c r="V8" s="488"/>
      <c r="W8" s="488"/>
      <c r="X8" s="488"/>
      <c r="Y8" s="488"/>
      <c r="Z8" s="488"/>
      <c r="AA8" s="488"/>
      <c r="AB8" s="488"/>
      <c r="AC8" s="488"/>
      <c r="AD8" s="488"/>
      <c r="AE8" s="488"/>
      <c r="AF8" s="488"/>
      <c r="AG8" s="488"/>
      <c r="AH8" s="488"/>
      <c r="AI8" s="488"/>
      <c r="AJ8" s="488"/>
      <c r="AK8" s="489"/>
      <c r="AL8" s="488"/>
      <c r="AM8" s="488"/>
      <c r="AN8" s="488"/>
      <c r="AO8" s="489"/>
      <c r="AP8" s="488"/>
      <c r="AQ8" s="488"/>
      <c r="AR8" s="488"/>
      <c r="AS8" s="488"/>
      <c r="AT8" s="488"/>
      <c r="AU8" s="488"/>
      <c r="AV8" s="488"/>
      <c r="AW8" s="488"/>
      <c r="AX8" s="488"/>
      <c r="AY8" s="488"/>
      <c r="AZ8" s="488"/>
      <c r="BA8" s="488"/>
      <c r="BB8" s="488"/>
      <c r="BC8" s="489"/>
      <c r="BD8" s="488"/>
      <c r="BE8" s="488"/>
      <c r="BF8" s="488"/>
      <c r="BG8" s="488"/>
      <c r="BH8" s="488"/>
      <c r="BI8" s="488"/>
      <c r="BJ8" s="488"/>
      <c r="BK8" s="488"/>
      <c r="BL8" s="488"/>
      <c r="BM8" s="488"/>
      <c r="BN8" s="488"/>
      <c r="BO8" s="488"/>
      <c r="BP8" s="488"/>
      <c r="BQ8" s="488"/>
      <c r="BR8" s="488"/>
      <c r="BS8" s="488"/>
    </row>
    <row r="9" spans="1:110" s="214" customFormat="1" ht="13.15">
      <c r="A9" s="453"/>
      <c r="B9" s="453"/>
      <c r="C9" s="453"/>
      <c r="D9" s="453"/>
      <c r="E9" s="453" t="str">
        <f>Company_PC_inputs!E9&amp; " (Intervention)"</f>
        <v xml:space="preserve"> (Intervention)</v>
      </c>
      <c r="F9" s="453"/>
      <c r="G9" s="453"/>
      <c r="H9" s="453"/>
      <c r="I9" s="453"/>
      <c r="J9" s="488"/>
      <c r="K9" s="488"/>
      <c r="L9" s="488"/>
      <c r="M9" s="488"/>
      <c r="N9" s="488"/>
      <c r="O9" s="488"/>
      <c r="P9" s="488"/>
      <c r="Q9" s="489"/>
      <c r="R9" s="488"/>
      <c r="S9" s="488"/>
      <c r="T9" s="488"/>
      <c r="U9" s="488"/>
      <c r="V9" s="488"/>
      <c r="W9" s="488"/>
      <c r="X9" s="488"/>
      <c r="Y9" s="488"/>
      <c r="Z9" s="488"/>
      <c r="AA9" s="488"/>
      <c r="AB9" s="488"/>
      <c r="AC9" s="488"/>
      <c r="AD9" s="488"/>
      <c r="AE9" s="488"/>
      <c r="AF9" s="488"/>
      <c r="AG9" s="488"/>
      <c r="AH9" s="488"/>
      <c r="AI9" s="488"/>
      <c r="AJ9" s="488"/>
      <c r="AK9" s="489"/>
      <c r="AL9" s="488"/>
      <c r="AM9" s="488"/>
      <c r="AN9" s="488"/>
      <c r="AO9" s="489"/>
      <c r="AP9" s="488"/>
      <c r="AQ9" s="488"/>
      <c r="AR9" s="488"/>
      <c r="AS9" s="488"/>
      <c r="AT9" s="488"/>
      <c r="AU9" s="488"/>
      <c r="AV9" s="488"/>
      <c r="AW9" s="488"/>
      <c r="AX9" s="488"/>
      <c r="AY9" s="488"/>
      <c r="AZ9" s="488"/>
      <c r="BA9" s="488"/>
      <c r="BB9" s="488"/>
      <c r="BC9" s="489"/>
      <c r="BD9" s="488"/>
      <c r="BE9" s="488"/>
      <c r="BF9" s="488"/>
      <c r="BG9" s="488"/>
      <c r="BH9" s="488"/>
      <c r="BI9" s="488"/>
      <c r="BJ9" s="488"/>
      <c r="BK9" s="488"/>
      <c r="BL9" s="488"/>
      <c r="BM9" s="488"/>
      <c r="BN9" s="488"/>
      <c r="BO9" s="488"/>
      <c r="BP9" s="488"/>
      <c r="BQ9" s="488"/>
      <c r="BR9" s="488"/>
      <c r="BS9" s="488"/>
    </row>
    <row r="10" spans="1:110" s="214" customFormat="1" ht="13.15">
      <c r="A10" s="453"/>
      <c r="B10" s="453"/>
      <c r="C10" s="453"/>
      <c r="D10" s="463"/>
      <c r="E10" s="453"/>
      <c r="F10" s="453"/>
      <c r="G10" s="453"/>
      <c r="H10" s="453"/>
      <c r="I10" s="453"/>
      <c r="J10" s="492"/>
      <c r="K10" s="492"/>
      <c r="L10" s="492"/>
      <c r="M10" s="492"/>
      <c r="N10" s="492"/>
      <c r="O10" s="492"/>
      <c r="P10" s="492"/>
      <c r="Q10" s="493"/>
      <c r="R10" s="492"/>
      <c r="S10" s="492"/>
      <c r="T10" s="492"/>
      <c r="U10" s="492"/>
      <c r="V10" s="492"/>
      <c r="W10" s="492"/>
      <c r="X10" s="492"/>
      <c r="Y10" s="492"/>
      <c r="Z10" s="492"/>
      <c r="AA10" s="492"/>
      <c r="AB10" s="492"/>
      <c r="AC10" s="492"/>
      <c r="AD10" s="492"/>
      <c r="AE10" s="492"/>
      <c r="AF10" s="492"/>
      <c r="AG10" s="492"/>
      <c r="AH10" s="492"/>
      <c r="AI10" s="492"/>
      <c r="AJ10" s="492"/>
      <c r="AK10" s="493"/>
      <c r="AL10" s="492"/>
      <c r="AM10" s="492"/>
      <c r="AN10" s="492"/>
      <c r="AO10" s="493"/>
      <c r="AP10" s="492"/>
      <c r="AQ10" s="492"/>
      <c r="AR10" s="492"/>
      <c r="AS10" s="492"/>
      <c r="AT10" s="492"/>
      <c r="AU10" s="492"/>
      <c r="AV10" s="492"/>
      <c r="AW10" s="492"/>
      <c r="AX10" s="492"/>
      <c r="AY10" s="492"/>
      <c r="AZ10" s="492"/>
      <c r="BA10" s="492"/>
      <c r="BB10" s="492"/>
      <c r="BC10" s="493"/>
      <c r="BD10" s="492"/>
      <c r="BE10" s="492"/>
      <c r="BF10" s="492"/>
      <c r="BG10" s="492"/>
      <c r="BH10" s="492"/>
      <c r="BI10" s="492"/>
      <c r="BJ10" s="492"/>
      <c r="BK10" s="492"/>
      <c r="BL10" s="492"/>
      <c r="BM10" s="492"/>
      <c r="BN10" s="492"/>
      <c r="BO10" s="492"/>
      <c r="BP10" s="492"/>
      <c r="BQ10" s="492"/>
      <c r="BR10" s="492"/>
      <c r="BS10" s="492"/>
    </row>
    <row r="11" spans="1:110" s="214" customFormat="1" ht="13.15">
      <c r="A11" s="453"/>
      <c r="B11" s="453"/>
      <c r="C11" s="453"/>
      <c r="D11" s="463"/>
      <c r="E11" s="453" t="str">
        <f>Company_PC_inputs!E11&amp; " (Intervention)"</f>
        <v>Is the HH:MM:SS format being used (Intervention)</v>
      </c>
      <c r="F11" s="453"/>
      <c r="G11" s="453" t="s">
        <v>418</v>
      </c>
      <c r="H11" s="453"/>
      <c r="I11" s="453"/>
      <c r="J11" s="494" t="b">
        <f>J$31=Validation!$F$6</f>
        <v>0</v>
      </c>
      <c r="K11" s="494" t="b">
        <f>K$31=Validation!$F$6</f>
        <v>0</v>
      </c>
      <c r="L11" s="494" t="b">
        <f>L$31=Validation!$F$6</f>
        <v>0</v>
      </c>
      <c r="M11" s="494" t="b">
        <f>M$31=Validation!$F$6</f>
        <v>0</v>
      </c>
      <c r="N11" s="494" t="b">
        <f>N$31=Validation!$F$6</f>
        <v>0</v>
      </c>
      <c r="O11" s="494" t="b">
        <f>O$31=Validation!$F$6</f>
        <v>0</v>
      </c>
      <c r="P11" s="494" t="b">
        <f>P$31=Validation!$F$6</f>
        <v>0</v>
      </c>
      <c r="Q11" s="496" t="b">
        <f>Q$31=Validation!$F$6</f>
        <v>0</v>
      </c>
      <c r="R11" s="494" t="b">
        <f>R$31=Validation!$F$6</f>
        <v>0</v>
      </c>
      <c r="S11" s="494" t="b">
        <f>S$31=Validation!$F$6</f>
        <v>0</v>
      </c>
      <c r="T11" s="494" t="b">
        <f>T$31=Validation!$F$6</f>
        <v>0</v>
      </c>
      <c r="U11" s="494" t="b">
        <f>U$31=Validation!$F$6</f>
        <v>0</v>
      </c>
      <c r="V11" s="494" t="b">
        <f>V$31=Validation!$F$6</f>
        <v>0</v>
      </c>
      <c r="W11" s="494" t="b">
        <f>W$31=Validation!$F$6</f>
        <v>0</v>
      </c>
      <c r="X11" s="494" t="b">
        <f>X$31=Validation!$F$6</f>
        <v>0</v>
      </c>
      <c r="Y11" s="494" t="b">
        <f>Y$31=Validation!$F$6</f>
        <v>0</v>
      </c>
      <c r="Z11" s="494" t="b">
        <f>Z$31=Validation!$F$6</f>
        <v>0</v>
      </c>
      <c r="AA11" s="494" t="b">
        <f>AA$31=Validation!$F$6</f>
        <v>0</v>
      </c>
      <c r="AB11" s="494" t="b">
        <f>AB$31=Validation!$F$6</f>
        <v>0</v>
      </c>
      <c r="AC11" s="494" t="b">
        <f>AC$31=Validation!$F$6</f>
        <v>0</v>
      </c>
      <c r="AD11" s="494" t="b">
        <f>AD$31=Validation!$F$6</f>
        <v>0</v>
      </c>
      <c r="AE11" s="494" t="b">
        <f>AE$31=Validation!$F$6</f>
        <v>0</v>
      </c>
      <c r="AF11" s="494" t="b">
        <f>AF$31=Validation!$F$6</f>
        <v>0</v>
      </c>
      <c r="AG11" s="494" t="b">
        <f>AG$31=Validation!$F$6</f>
        <v>0</v>
      </c>
      <c r="AH11" s="494" t="b">
        <f>AH$31=Validation!$F$6</f>
        <v>0</v>
      </c>
      <c r="AI11" s="494" t="b">
        <f>AI$31=Validation!$F$6</f>
        <v>0</v>
      </c>
      <c r="AJ11" s="494" t="b">
        <f>AJ$31=Validation!$F$6</f>
        <v>0</v>
      </c>
      <c r="AK11" s="496" t="b">
        <f>AK$31=Validation!$F$6</f>
        <v>0</v>
      </c>
      <c r="AL11" s="494" t="b">
        <f>AL$31=Validation!$F$6</f>
        <v>0</v>
      </c>
      <c r="AM11" s="494" t="b">
        <f>AM$31=Validation!$F$6</f>
        <v>0</v>
      </c>
      <c r="AN11" s="494" t="b">
        <f>AN$31=Validation!$F$6</f>
        <v>0</v>
      </c>
      <c r="AO11" s="496" t="b">
        <f>AO$31=Validation!$F$6</f>
        <v>0</v>
      </c>
      <c r="AP11" s="494" t="b">
        <f>AP$31=Validation!$F$6</f>
        <v>0</v>
      </c>
      <c r="AQ11" s="494" t="b">
        <f>AQ$31=Validation!$F$6</f>
        <v>0</v>
      </c>
      <c r="AR11" s="494" t="b">
        <f>AR$31=Validation!$F$6</f>
        <v>0</v>
      </c>
      <c r="AS11" s="494" t="b">
        <f>AS$31=Validation!$F$6</f>
        <v>0</v>
      </c>
      <c r="AT11" s="494" t="b">
        <f>AT$31=Validation!$F$6</f>
        <v>0</v>
      </c>
      <c r="AU11" s="494" t="b">
        <f>AU$31=Validation!$F$6</f>
        <v>0</v>
      </c>
      <c r="AV11" s="494" t="b">
        <f>AV$31=Validation!$F$6</f>
        <v>0</v>
      </c>
      <c r="AW11" s="494" t="b">
        <f>AW$31=Validation!$F$6</f>
        <v>0</v>
      </c>
      <c r="AX11" s="494" t="b">
        <f>AX$31=Validation!$F$6</f>
        <v>0</v>
      </c>
      <c r="AY11" s="494" t="b">
        <f>AY$31=Validation!$F$6</f>
        <v>0</v>
      </c>
      <c r="AZ11" s="494" t="b">
        <f>AZ$31=Validation!$F$6</f>
        <v>0</v>
      </c>
      <c r="BA11" s="494" t="b">
        <f>BA$31=Validation!$F$6</f>
        <v>0</v>
      </c>
      <c r="BB11" s="494" t="b">
        <f>BB$31=Validation!$F$6</f>
        <v>0</v>
      </c>
      <c r="BC11" s="496" t="b">
        <f>BC$31=Validation!$F$6</f>
        <v>0</v>
      </c>
      <c r="BD11" s="494" t="b">
        <f>BD$31=Validation!$F$6</f>
        <v>0</v>
      </c>
      <c r="BE11" s="494" t="b">
        <f>BE$31=Validation!$F$6</f>
        <v>0</v>
      </c>
      <c r="BF11" s="494" t="b">
        <f>BF$31=Validation!$F$6</f>
        <v>0</v>
      </c>
      <c r="BG11" s="494" t="b">
        <f>BG$31=Validation!$F$6</f>
        <v>0</v>
      </c>
      <c r="BH11" s="494" t="b">
        <f>BH$31=Validation!$F$6</f>
        <v>0</v>
      </c>
      <c r="BI11" s="494" t="b">
        <f>BI$31=Validation!$F$6</f>
        <v>0</v>
      </c>
      <c r="BJ11" s="494" t="b">
        <f>BJ$31=Validation!$F$6</f>
        <v>0</v>
      </c>
      <c r="BK11" s="494" t="b">
        <f>BK$31=Validation!$F$6</f>
        <v>0</v>
      </c>
      <c r="BL11" s="494" t="b">
        <f>BL$31=Validation!$F$6</f>
        <v>0</v>
      </c>
      <c r="BM11" s="494" t="b">
        <f>BM$31=Validation!$F$6</f>
        <v>0</v>
      </c>
      <c r="BN11" s="494" t="b">
        <f>BN$31=Validation!$F$6</f>
        <v>0</v>
      </c>
      <c r="BO11" s="494" t="b">
        <f>BO$31=Validation!$F$6</f>
        <v>0</v>
      </c>
      <c r="BP11" s="494" t="b">
        <f>BP$31=Validation!$F$6</f>
        <v>0</v>
      </c>
      <c r="BQ11" s="494" t="b">
        <f>BQ$31=Validation!$F$6</f>
        <v>0</v>
      </c>
      <c r="BR11" s="494" t="b">
        <f>BR$31=Validation!$F$6</f>
        <v>0</v>
      </c>
      <c r="BS11" s="494" t="b">
        <f>BS$31=Validation!$F$6</f>
        <v>0</v>
      </c>
    </row>
    <row r="12" spans="1:110" s="214" customFormat="1" ht="13.15">
      <c r="A12" s="453"/>
      <c r="B12" s="453"/>
      <c r="C12" s="453"/>
      <c r="D12" s="453"/>
      <c r="E12" s="453"/>
      <c r="F12" s="453"/>
      <c r="G12" s="453"/>
      <c r="H12" s="453"/>
      <c r="I12" s="453"/>
      <c r="J12" s="499"/>
      <c r="K12" s="499"/>
      <c r="L12" s="499"/>
      <c r="M12" s="499"/>
      <c r="N12" s="499"/>
      <c r="O12" s="499"/>
      <c r="P12" s="499"/>
      <c r="Q12" s="498"/>
      <c r="R12" s="499"/>
      <c r="S12" s="499"/>
      <c r="T12" s="499"/>
      <c r="U12" s="499"/>
      <c r="V12" s="499"/>
      <c r="W12" s="499"/>
      <c r="X12" s="499"/>
      <c r="Y12" s="499"/>
      <c r="Z12" s="499"/>
      <c r="AA12" s="499"/>
      <c r="AB12" s="499"/>
      <c r="AC12" s="499"/>
      <c r="AD12" s="499"/>
      <c r="AE12" s="499"/>
      <c r="AF12" s="499"/>
      <c r="AG12" s="499"/>
      <c r="AH12" s="499"/>
      <c r="AI12" s="499"/>
      <c r="AJ12" s="499"/>
      <c r="AK12" s="498"/>
      <c r="AL12" s="499"/>
      <c r="AM12" s="499"/>
      <c r="AN12" s="499"/>
      <c r="AO12" s="498"/>
      <c r="AP12" s="499"/>
      <c r="AQ12" s="499"/>
      <c r="AR12" s="499"/>
      <c r="AS12" s="499"/>
      <c r="AT12" s="499"/>
      <c r="AU12" s="499"/>
      <c r="AV12" s="499"/>
      <c r="AW12" s="499"/>
      <c r="AX12" s="499"/>
      <c r="AY12" s="499"/>
      <c r="AZ12" s="499"/>
      <c r="BA12" s="499"/>
      <c r="BB12" s="499"/>
      <c r="BC12" s="498"/>
      <c r="BD12" s="499"/>
      <c r="BE12" s="499"/>
      <c r="BF12" s="499"/>
      <c r="BG12" s="499"/>
      <c r="BH12" s="499"/>
      <c r="BI12" s="499"/>
      <c r="BJ12" s="499"/>
      <c r="BK12" s="499"/>
      <c r="BL12" s="499"/>
      <c r="BM12" s="499"/>
      <c r="BN12" s="499"/>
      <c r="BO12" s="499"/>
      <c r="BP12" s="499"/>
      <c r="BQ12" s="499"/>
      <c r="BR12" s="499"/>
      <c r="BS12" s="499"/>
    </row>
    <row r="13" spans="1:110" s="214" customFormat="1" ht="13.15">
      <c r="A13" s="453"/>
      <c r="B13" s="453"/>
      <c r="C13" s="453"/>
      <c r="D13" s="453"/>
      <c r="E13" s="453"/>
      <c r="F13" s="453"/>
      <c r="G13" s="453"/>
      <c r="H13" s="453"/>
      <c r="I13" s="453"/>
      <c r="J13" s="499"/>
      <c r="K13" s="499"/>
      <c r="L13" s="499"/>
      <c r="M13" s="499"/>
      <c r="N13" s="499"/>
      <c r="O13" s="499"/>
      <c r="P13" s="499"/>
      <c r="Q13" s="498"/>
      <c r="R13" s="499"/>
      <c r="S13" s="499"/>
      <c r="T13" s="499"/>
      <c r="U13" s="499"/>
      <c r="V13" s="499"/>
      <c r="W13" s="499"/>
      <c r="X13" s="499"/>
      <c r="Y13" s="499"/>
      <c r="Z13" s="499"/>
      <c r="AA13" s="499"/>
      <c r="AB13" s="499"/>
      <c r="AC13" s="499"/>
      <c r="AD13" s="499"/>
      <c r="AE13" s="499"/>
      <c r="AF13" s="499"/>
      <c r="AG13" s="499"/>
      <c r="AH13" s="499"/>
      <c r="AI13" s="499"/>
      <c r="AJ13" s="499"/>
      <c r="AK13" s="498"/>
      <c r="AL13" s="499"/>
      <c r="AM13" s="499"/>
      <c r="AN13" s="499"/>
      <c r="AO13" s="498"/>
      <c r="AP13" s="499"/>
      <c r="AQ13" s="499"/>
      <c r="AR13" s="499"/>
      <c r="AS13" s="499"/>
      <c r="AT13" s="499"/>
      <c r="AU13" s="499"/>
      <c r="AV13" s="499"/>
      <c r="AW13" s="499"/>
      <c r="AX13" s="499"/>
      <c r="AY13" s="499"/>
      <c r="AZ13" s="499"/>
      <c r="BA13" s="499"/>
      <c r="BB13" s="499"/>
      <c r="BC13" s="498"/>
      <c r="BD13" s="499"/>
      <c r="BE13" s="499"/>
      <c r="BF13" s="499"/>
      <c r="BG13" s="499"/>
      <c r="BH13" s="499"/>
      <c r="BI13" s="499"/>
      <c r="BJ13" s="499"/>
      <c r="BK13" s="499"/>
      <c r="BL13" s="499"/>
      <c r="BM13" s="499"/>
      <c r="BN13" s="499"/>
      <c r="BO13" s="499"/>
      <c r="BP13" s="499"/>
      <c r="BQ13" s="499"/>
      <c r="BR13" s="499"/>
      <c r="BS13" s="499"/>
    </row>
    <row r="14" spans="1:110" s="214" customFormat="1" ht="13.15">
      <c r="A14" s="453"/>
      <c r="B14" s="453"/>
      <c r="C14" s="453"/>
      <c r="D14" s="453"/>
      <c r="E14" s="453"/>
      <c r="F14" s="453"/>
      <c r="G14" s="453"/>
      <c r="H14" s="453"/>
      <c r="I14" s="453"/>
      <c r="J14" s="542"/>
      <c r="K14" s="542"/>
      <c r="L14" s="542"/>
      <c r="M14" s="542"/>
      <c r="N14" s="542"/>
      <c r="O14" s="542"/>
      <c r="P14" s="542"/>
      <c r="Q14" s="543"/>
      <c r="R14" s="542"/>
      <c r="S14" s="542"/>
      <c r="T14" s="542"/>
      <c r="U14" s="542"/>
      <c r="V14" s="542"/>
      <c r="W14" s="542"/>
      <c r="X14" s="542"/>
      <c r="Y14" s="542"/>
      <c r="Z14" s="542"/>
      <c r="AA14" s="542"/>
      <c r="AB14" s="542"/>
      <c r="AC14" s="542"/>
      <c r="AD14" s="542"/>
      <c r="AE14" s="542"/>
      <c r="AF14" s="542"/>
      <c r="AG14" s="542"/>
      <c r="AH14" s="542"/>
      <c r="AI14" s="542"/>
      <c r="AJ14" s="542"/>
      <c r="AK14" s="543"/>
      <c r="AL14" s="542"/>
      <c r="AM14" s="542"/>
      <c r="AN14" s="542"/>
      <c r="AO14" s="543"/>
      <c r="AP14" s="542"/>
      <c r="AQ14" s="542"/>
      <c r="AR14" s="542"/>
      <c r="AS14" s="542"/>
      <c r="AT14" s="542"/>
      <c r="AU14" s="542"/>
      <c r="AV14" s="542"/>
      <c r="AW14" s="542"/>
      <c r="AX14" s="542"/>
      <c r="AY14" s="542"/>
      <c r="AZ14" s="542"/>
      <c r="BA14" s="542"/>
      <c r="BB14" s="542"/>
      <c r="BC14" s="543"/>
      <c r="BD14" s="542"/>
      <c r="BE14" s="542"/>
      <c r="BF14" s="542"/>
      <c r="BG14" s="542"/>
      <c r="BH14" s="542"/>
      <c r="BI14" s="542"/>
      <c r="BJ14" s="542"/>
      <c r="BK14" s="542"/>
      <c r="BL14" s="542"/>
      <c r="BM14" s="542"/>
      <c r="BN14" s="542"/>
      <c r="BO14" s="542"/>
      <c r="BP14" s="542"/>
      <c r="BQ14" s="542"/>
      <c r="BR14" s="542"/>
      <c r="BS14" s="542"/>
    </row>
    <row r="15" spans="1:110" s="214" customFormat="1" ht="13.15">
      <c r="A15" s="453"/>
      <c r="B15" s="473" t="s">
        <v>1162</v>
      </c>
      <c r="C15" s="453"/>
      <c r="D15" s="453"/>
      <c r="E15" s="453"/>
      <c r="F15" s="453"/>
      <c r="G15" s="453"/>
      <c r="H15" s="453"/>
      <c r="I15" s="453"/>
      <c r="J15" s="542"/>
      <c r="K15" s="542"/>
      <c r="L15" s="542"/>
      <c r="M15" s="542"/>
      <c r="N15" s="542"/>
      <c r="O15" s="542"/>
      <c r="P15" s="542"/>
      <c r="Q15" s="543"/>
      <c r="R15" s="542"/>
      <c r="S15" s="542"/>
      <c r="T15" s="542"/>
      <c r="U15" s="542"/>
      <c r="V15" s="542"/>
      <c r="W15" s="542"/>
      <c r="X15" s="542"/>
      <c r="Y15" s="542"/>
      <c r="Z15" s="542"/>
      <c r="AA15" s="542"/>
      <c r="AB15" s="542"/>
      <c r="AC15" s="542"/>
      <c r="AD15" s="542"/>
      <c r="AE15" s="542"/>
      <c r="AF15" s="542"/>
      <c r="AG15" s="542"/>
      <c r="AH15" s="542"/>
      <c r="AI15" s="542"/>
      <c r="AJ15" s="542"/>
      <c r="AK15" s="543"/>
      <c r="AL15" s="542"/>
      <c r="AM15" s="542"/>
      <c r="AN15" s="542"/>
      <c r="AO15" s="543"/>
      <c r="AP15" s="542"/>
      <c r="AQ15" s="542"/>
      <c r="AR15" s="542"/>
      <c r="AS15" s="542"/>
      <c r="AT15" s="542"/>
      <c r="AU15" s="542"/>
      <c r="AV15" s="542"/>
      <c r="AW15" s="542"/>
      <c r="AX15" s="542"/>
      <c r="AY15" s="542"/>
      <c r="AZ15" s="542"/>
      <c r="BA15" s="542"/>
      <c r="BB15" s="542"/>
      <c r="BC15" s="543"/>
      <c r="BD15" s="542"/>
      <c r="BE15" s="542"/>
      <c r="BF15" s="542"/>
      <c r="BG15" s="542"/>
      <c r="BH15" s="542"/>
      <c r="BI15" s="542"/>
      <c r="BJ15" s="542"/>
      <c r="BK15" s="542"/>
      <c r="BL15" s="542"/>
      <c r="BM15" s="542"/>
      <c r="BN15" s="542"/>
      <c r="BO15" s="542"/>
      <c r="BP15" s="542"/>
      <c r="BQ15" s="542"/>
      <c r="BR15" s="542"/>
      <c r="BS15" s="542"/>
    </row>
    <row r="16" spans="1:110" s="214" customFormat="1" ht="13.15">
      <c r="A16" s="453"/>
      <c r="B16" s="453"/>
      <c r="C16" s="453"/>
      <c r="D16" s="453"/>
      <c r="E16" s="453" t="str">
        <f>Company_PC_inputs!E16&amp; " (Intervention)"</f>
        <v>Performance commitment reference (Intervention)</v>
      </c>
      <c r="F16" s="453"/>
      <c r="G16" s="453" t="s">
        <v>1137</v>
      </c>
      <c r="H16" s="453"/>
      <c r="I16" s="453"/>
      <c r="J16" s="544" t="str">
        <f>IF(Company_PC_inputs!J16="","",Company_PC_inputs!J16)</f>
        <v>PR19SRN_WN02</v>
      </c>
      <c r="K16" s="544" t="str">
        <f>IF(Company_PC_inputs!K16="","",Company_PC_inputs!K16)</f>
        <v>PR19SRN_WN03</v>
      </c>
      <c r="L16" s="544" t="str">
        <f>IF(Company_PC_inputs!L16="","",Company_PC_inputs!L16)</f>
        <v>PR19SRN_WN04</v>
      </c>
      <c r="M16" s="544" t="str">
        <f>IF(Company_PC_inputs!M16="","",Company_PC_inputs!M16)</f>
        <v/>
      </c>
      <c r="N16" s="544" t="str">
        <f>IF(Company_PC_inputs!N16="","",Company_PC_inputs!N16)</f>
        <v>PR19SRN_WR01</v>
      </c>
      <c r="O16" s="544" t="str">
        <f>IF(Company_PC_inputs!O16="","",Company_PC_inputs!O16)</f>
        <v/>
      </c>
      <c r="P16" s="544" t="str">
        <f>IF(Company_PC_inputs!P16="","",Company_PC_inputs!P16)</f>
        <v>PR19SRN_WN05</v>
      </c>
      <c r="Q16" s="545" t="str">
        <f>IF(Company_PC_inputs!Q16="","",Company_PC_inputs!Q16)</f>
        <v>PR19SRN_WN06</v>
      </c>
      <c r="R16" s="544" t="str">
        <f>IF(Company_PC_inputs!R16="","",Company_PC_inputs!R16)</f>
        <v>PR19SRN_WN07</v>
      </c>
      <c r="S16" s="544" t="str">
        <f>IF(Company_PC_inputs!S16="","",Company_PC_inputs!S16)</f>
        <v>PR19SRN_WN08</v>
      </c>
      <c r="T16" s="544" t="str">
        <f>IF(Company_PC_inputs!T16="","",Company_PC_inputs!T16)</f>
        <v>PR19SRN_WR05</v>
      </c>
      <c r="U16" s="544" t="str">
        <f>IF(Company_PC_inputs!U16="","",Company_PC_inputs!U16)</f>
        <v>PR19SRN_RR02</v>
      </c>
      <c r="V16" s="544" t="str">
        <f>IF(Company_PC_inputs!V16="","",Company_PC_inputs!V16)</f>
        <v>PR19SRN_RR03</v>
      </c>
      <c r="W16" s="544" t="str">
        <f>IF(Company_PC_inputs!W16="","",Company_PC_inputs!W16)</f>
        <v>PR19SRN_WN09</v>
      </c>
      <c r="X16" s="544" t="str">
        <f>IF(Company_PC_inputs!X16="","",Company_PC_inputs!X16)</f>
        <v>PR19SRN_WN11</v>
      </c>
      <c r="Y16" s="544" t="str">
        <f>IF(Company_PC_inputs!Y16="","",Company_PC_inputs!Y16)</f>
        <v>PR19SRN_WN13</v>
      </c>
      <c r="Z16" s="544" t="str">
        <f>IF(Company_PC_inputs!Z16="","",Company_PC_inputs!Z16)</f>
        <v>PR19SRN_WR07</v>
      </c>
      <c r="AA16" s="544" t="str">
        <f>IF(Company_PC_inputs!AA16="","",Company_PC_inputs!AA16)</f>
        <v/>
      </c>
      <c r="AB16" s="544" t="str">
        <f>IF(Company_PC_inputs!AB16="","",Company_PC_inputs!AB16)</f>
        <v/>
      </c>
      <c r="AC16" s="544" t="str">
        <f>IF(Company_PC_inputs!AC16="","",Company_PC_inputs!AC16)</f>
        <v/>
      </c>
      <c r="AD16" s="544" t="str">
        <f>IF(Company_PC_inputs!AD16="","",Company_PC_inputs!AD16)</f>
        <v/>
      </c>
      <c r="AE16" s="544" t="str">
        <f>IF(Company_PC_inputs!AE16="","",Company_PC_inputs!AE16)</f>
        <v/>
      </c>
      <c r="AF16" s="544" t="str">
        <f>IF(Company_PC_inputs!AF16="","",Company_PC_inputs!AF16)</f>
        <v/>
      </c>
      <c r="AG16" s="544" t="str">
        <f>IF(Company_PC_inputs!AG16="","",Company_PC_inputs!AG16)</f>
        <v/>
      </c>
      <c r="AH16" s="544" t="str">
        <f>IF(Company_PC_inputs!AH16="","",Company_PC_inputs!AH16)</f>
        <v/>
      </c>
      <c r="AI16" s="544" t="str">
        <f>IF(Company_PC_inputs!AI16="","",Company_PC_inputs!AI16)</f>
        <v/>
      </c>
      <c r="AJ16" s="544" t="str">
        <f>IF(Company_PC_inputs!AJ16="","",Company_PC_inputs!AJ16)</f>
        <v/>
      </c>
      <c r="AK16" s="545" t="str">
        <f>IF(Company_PC_inputs!AK16="","",Company_PC_inputs!AK16)</f>
        <v/>
      </c>
      <c r="AL16" s="544" t="str">
        <f>IF(Company_PC_inputs!AL16="","",Company_PC_inputs!AL16)</f>
        <v>PR19SRN_WWN01</v>
      </c>
      <c r="AM16" s="544" t="str">
        <f>IF(Company_PC_inputs!AM16="","",Company_PC_inputs!AM16)</f>
        <v>PR19SRN_WWN02</v>
      </c>
      <c r="AN16" s="544" t="str">
        <f>IF(Company_PC_inputs!AN16="","",Company_PC_inputs!AN16)</f>
        <v>PR19SRN_WWN04</v>
      </c>
      <c r="AO16" s="545" t="str">
        <f>IF(Company_PC_inputs!AO16="","",Company_PC_inputs!AO16)</f>
        <v>PR19SRN_WWN05</v>
      </c>
      <c r="AP16" s="544" t="str">
        <f>IF(Company_PC_inputs!AP16="","",Company_PC_inputs!AP16)</f>
        <v>PR19SRN_WWN07</v>
      </c>
      <c r="AQ16" s="544" t="str">
        <f>IF(Company_PC_inputs!AQ16="","",Company_PC_inputs!AQ16)</f>
        <v>PR19SRN_BIO01</v>
      </c>
      <c r="AR16" s="544" t="str">
        <f>IF(Company_PC_inputs!AR16="","",Company_PC_inputs!AR16)</f>
        <v>PR19SRN_BIO02</v>
      </c>
      <c r="AS16" s="544" t="str">
        <f>IF(Company_PC_inputs!AS16="","",Company_PC_inputs!AS16)</f>
        <v>PR19SRN_WWN09</v>
      </c>
      <c r="AT16" s="544" t="str">
        <f>IF(Company_PC_inputs!AT16="","",Company_PC_inputs!AT16)</f>
        <v>PR19SRN_WWN11</v>
      </c>
      <c r="AU16" s="544" t="str">
        <f>IF(Company_PC_inputs!AU16="","",Company_PC_inputs!AU16)</f>
        <v>PR19SRN_WWN12</v>
      </c>
      <c r="AV16" s="544" t="str">
        <f>IF(Company_PC_inputs!AV16="","",Company_PC_inputs!AV16)</f>
        <v>PR19SRN_WWN13</v>
      </c>
      <c r="AW16" s="544" t="str">
        <f>IF(Company_PC_inputs!AW16="","",Company_PC_inputs!AW16)</f>
        <v>PR19SRN_WWN06</v>
      </c>
      <c r="AX16" s="544" t="str">
        <f>IF(Company_PC_inputs!AX16="","",Company_PC_inputs!AX16)</f>
        <v>PR19SRN_WWN08</v>
      </c>
      <c r="AY16" s="544" t="str">
        <f>IF(Company_PC_inputs!AY16="","",Company_PC_inputs!AY16)</f>
        <v>PR19SRN_WWN16</v>
      </c>
      <c r="AZ16" s="544" t="str">
        <f>IF(Company_PC_inputs!AZ16="","",Company_PC_inputs!AZ16)</f>
        <v/>
      </c>
      <c r="BA16" s="544" t="str">
        <f>IF(Company_PC_inputs!BA16="","",Company_PC_inputs!BA16)</f>
        <v/>
      </c>
      <c r="BB16" s="544" t="str">
        <f>IF(Company_PC_inputs!BB16="","",Company_PC_inputs!BB16)</f>
        <v/>
      </c>
      <c r="BC16" s="545" t="str">
        <f>IF(Company_PC_inputs!BC16="","",Company_PC_inputs!BC16)</f>
        <v/>
      </c>
      <c r="BD16" s="544" t="str">
        <f>IF(Company_PC_inputs!BD16="","",Company_PC_inputs!BD16)</f>
        <v/>
      </c>
      <c r="BE16" s="544" t="str">
        <f>IF(Company_PC_inputs!BE16="","",Company_PC_inputs!BE16)</f>
        <v/>
      </c>
      <c r="BF16" s="544" t="str">
        <f>IF(Company_PC_inputs!BF16="","",Company_PC_inputs!BF16)</f>
        <v/>
      </c>
      <c r="BG16" s="544" t="str">
        <f>IF(Company_PC_inputs!BG16="","",Company_PC_inputs!BG16)</f>
        <v/>
      </c>
      <c r="BH16" s="544" t="str">
        <f>IF(Company_PC_inputs!BH16="","",Company_PC_inputs!BH16)</f>
        <v/>
      </c>
      <c r="BI16" s="544" t="str">
        <f>IF(Company_PC_inputs!BI16="","",Company_PC_inputs!BI16)</f>
        <v/>
      </c>
      <c r="BJ16" s="544" t="str">
        <f>IF(Company_PC_inputs!BJ16="","",Company_PC_inputs!BJ16)</f>
        <v/>
      </c>
      <c r="BK16" s="544" t="str">
        <f>IF(Company_PC_inputs!BK16="","",Company_PC_inputs!BK16)</f>
        <v/>
      </c>
      <c r="BL16" s="544" t="str">
        <f>IF(Company_PC_inputs!BL16="","",Company_PC_inputs!BL16)</f>
        <v/>
      </c>
      <c r="BM16" s="544" t="str">
        <f>IF(Company_PC_inputs!BM16="","",Company_PC_inputs!BM16)</f>
        <v/>
      </c>
      <c r="BN16" s="544" t="str">
        <f>IF(Company_PC_inputs!BN16="","",Company_PC_inputs!BN16)</f>
        <v/>
      </c>
      <c r="BO16" s="544" t="str">
        <f>IF(Company_PC_inputs!BO16="","",Company_PC_inputs!BO16)</f>
        <v/>
      </c>
      <c r="BP16" s="544" t="str">
        <f>IF(Company_PC_inputs!BP16="","",Company_PC_inputs!BP16)</f>
        <v/>
      </c>
      <c r="BQ16" s="544" t="str">
        <f>IF(Company_PC_inputs!BQ16="","",Company_PC_inputs!BQ16)</f>
        <v/>
      </c>
      <c r="BR16" s="544" t="str">
        <f>IF(Company_PC_inputs!BR16="","",Company_PC_inputs!BR16)</f>
        <v/>
      </c>
      <c r="BS16" s="544" t="str">
        <f>IF(Company_PC_inputs!BS16="","",Company_PC_inputs!BS16)</f>
        <v/>
      </c>
    </row>
    <row r="17" spans="1:71" s="218" customFormat="1" ht="39.4">
      <c r="A17" s="502"/>
      <c r="B17" s="502"/>
      <c r="C17" s="502"/>
      <c r="D17" s="502"/>
      <c r="E17" s="453" t="str">
        <f>Company_PC_inputs!E17&amp; " (Intervention)"</f>
        <v>Performance commitment name (Intervention)</v>
      </c>
      <c r="F17" s="502"/>
      <c r="G17" s="502" t="s">
        <v>1137</v>
      </c>
      <c r="H17" s="502"/>
      <c r="I17" s="502"/>
      <c r="J17" s="503" t="str">
        <f>IF(Company_PC_inputs!J17="","",Company_PC_inputs!J17)</f>
        <v>Water quality compliance (CRI)</v>
      </c>
      <c r="K17" s="503" t="str">
        <f>IF(Company_PC_inputs!K17="","",Company_PC_inputs!K17)</f>
        <v>Water supply interruptions</v>
      </c>
      <c r="L17" s="503" t="str">
        <f>IF(Company_PC_inputs!L17="","",Company_PC_inputs!L17)</f>
        <v>Leakage</v>
      </c>
      <c r="M17" s="503" t="str">
        <f>IF(Company_PC_inputs!M17="","",Company_PC_inputs!M17)</f>
        <v>[For use by NES and SSC only]</v>
      </c>
      <c r="N17" s="503" t="str">
        <f>IF(Company_PC_inputs!N17="","",Company_PC_inputs!N17)</f>
        <v>Per capita consumption</v>
      </c>
      <c r="O17" s="503" t="str">
        <f>IF(Company_PC_inputs!O17="","",Company_PC_inputs!O17)</f>
        <v>[For use by SSC only]</v>
      </c>
      <c r="P17" s="503" t="str">
        <f>IF(Company_PC_inputs!P17="","",Company_PC_inputs!P17)</f>
        <v>Mains repairs</v>
      </c>
      <c r="Q17" s="504" t="str">
        <f>IF(Company_PC_inputs!Q17="","",Company_PC_inputs!Q17)</f>
        <v>Unplanned outage</v>
      </c>
      <c r="R17" s="503" t="str">
        <f>IF(Company_PC_inputs!R17="","",Company_PC_inputs!R17)</f>
        <v>Drinking water appearance</v>
      </c>
      <c r="S17" s="503" t="str">
        <f>IF(Company_PC_inputs!S17="","",Company_PC_inputs!S17)</f>
        <v>Drinking water taste and Odour</v>
      </c>
      <c r="T17" s="503" t="str">
        <f>IF(Company_PC_inputs!T17="","",Company_PC_inputs!T17)</f>
        <v>Abstraction Incentive Mechanism</v>
      </c>
      <c r="U17" s="503" t="str">
        <f>IF(Company_PC_inputs!U17="","",Company_PC_inputs!U17)</f>
        <v>Access to daily water consumption data</v>
      </c>
      <c r="V17" s="503" t="str">
        <f>IF(Company_PC_inputs!V17="","",Company_PC_inputs!V17)</f>
        <v>Void properties</v>
      </c>
      <c r="W17" s="503" t="str">
        <f>IF(Company_PC_inputs!W17="","",Company_PC_inputs!W17)</f>
        <v>Replace lead customer pipes</v>
      </c>
      <c r="X17" s="503" t="str">
        <f>IF(Company_PC_inputs!X17="","",Company_PC_inputs!X17)</f>
        <v>Properties at risk of receiving low pressure</v>
      </c>
      <c r="Y17" s="503" t="str">
        <f>IF(Company_PC_inputs!Y17="","",Company_PC_inputs!Y17)</f>
        <v>Long term supply demand schemes</v>
      </c>
      <c r="Z17" s="503" t="str">
        <f>IF(Company_PC_inputs!Z17="","",Company_PC_inputs!Z17)</f>
        <v>Impounding reservoirs</v>
      </c>
      <c r="AA17" s="503" t="str">
        <f>IF(Company_PC_inputs!AA17="","",Company_PC_inputs!AA17)</f>
        <v/>
      </c>
      <c r="AB17" s="503" t="str">
        <f>IF(Company_PC_inputs!AB17="","",Company_PC_inputs!AB17)</f>
        <v/>
      </c>
      <c r="AC17" s="503" t="str">
        <f>IF(Company_PC_inputs!AC17="","",Company_PC_inputs!AC17)</f>
        <v/>
      </c>
      <c r="AD17" s="503" t="str">
        <f>IF(Company_PC_inputs!AD17="","",Company_PC_inputs!AD17)</f>
        <v/>
      </c>
      <c r="AE17" s="503" t="str">
        <f>IF(Company_PC_inputs!AE17="","",Company_PC_inputs!AE17)</f>
        <v/>
      </c>
      <c r="AF17" s="503" t="str">
        <f>IF(Company_PC_inputs!AF17="","",Company_PC_inputs!AF17)</f>
        <v/>
      </c>
      <c r="AG17" s="503" t="str">
        <f>IF(Company_PC_inputs!AG17="","",Company_PC_inputs!AG17)</f>
        <v/>
      </c>
      <c r="AH17" s="503" t="str">
        <f>IF(Company_PC_inputs!AH17="","",Company_PC_inputs!AH17)</f>
        <v/>
      </c>
      <c r="AI17" s="503" t="str">
        <f>IF(Company_PC_inputs!AI17="","",Company_PC_inputs!AI17)</f>
        <v/>
      </c>
      <c r="AJ17" s="503" t="str">
        <f>IF(Company_PC_inputs!AJ17="","",Company_PC_inputs!AJ17)</f>
        <v/>
      </c>
      <c r="AK17" s="504" t="str">
        <f>IF(Company_PC_inputs!AK17="","",Company_PC_inputs!AK17)</f>
        <v/>
      </c>
      <c r="AL17" s="503" t="str">
        <f>IF(Company_PC_inputs!AL17="","",Company_PC_inputs!AL17)</f>
        <v>Internal sewer flooding</v>
      </c>
      <c r="AM17" s="503" t="str">
        <f>IF(Company_PC_inputs!AM17="","",Company_PC_inputs!AM17)</f>
        <v>Pollution incidents</v>
      </c>
      <c r="AN17" s="503" t="str">
        <f>IF(Company_PC_inputs!AN17="","",Company_PC_inputs!AN17)</f>
        <v>Sewer collapses</v>
      </c>
      <c r="AO17" s="504" t="str">
        <f>IF(Company_PC_inputs!AO17="","",Company_PC_inputs!AO17)</f>
        <v>Treatment works compliance</v>
      </c>
      <c r="AP17" s="503" t="str">
        <f>IF(Company_PC_inputs!AP17="","",Company_PC_inputs!AP17)</f>
        <v>Effluent re-use</v>
      </c>
      <c r="AQ17" s="503" t="str">
        <f>IF(Company_PC_inputs!AQ17="","",Company_PC_inputs!AQ17)</f>
        <v xml:space="preserve">Renewable Generation </v>
      </c>
      <c r="AR17" s="503" t="str">
        <f>IF(Company_PC_inputs!AR17="","",Company_PC_inputs!AR17)</f>
        <v>Satisfactory bioresources recycling</v>
      </c>
      <c r="AS17" s="503" t="str">
        <f>IF(Company_PC_inputs!AS17="","",Company_PC_inputs!AS17)</f>
        <v>River water quality</v>
      </c>
      <c r="AT17" s="503" t="str">
        <f>IF(Company_PC_inputs!AT17="","",Company_PC_inputs!AT17)</f>
        <v>Maintain Bathing waters at ‘Excellent’.</v>
      </c>
      <c r="AU17" s="503" t="str">
        <f>IF(Company_PC_inputs!AU17="","",Company_PC_inputs!AU17)</f>
        <v>Improve the number of Bathing waters to at least ‘Good’ (Cost Adjustment Claim).</v>
      </c>
      <c r="AV17" s="503" t="str">
        <f>IF(Company_PC_inputs!AV17="","",Company_PC_inputs!AV17)</f>
        <v>Improve the bathing waters at ‘Excellent’ quality (Cost Adjustment Claim).</v>
      </c>
      <c r="AW17" s="503" t="str">
        <f>IF(Company_PC_inputs!AW17="","",Company_PC_inputs!AW17)</f>
        <v>Surface water management</v>
      </c>
      <c r="AX17" s="503" t="str">
        <f>IF(Company_PC_inputs!AX17="","",Company_PC_inputs!AX17)</f>
        <v>External sewer flooding</v>
      </c>
      <c r="AY17" s="503" t="str">
        <f>IF(Company_PC_inputs!AY17="","",Company_PC_inputs!AY17)</f>
        <v>Thanet Sewers</v>
      </c>
      <c r="AZ17" s="503" t="str">
        <f>IF(Company_PC_inputs!AZ17="","",Company_PC_inputs!AZ17)</f>
        <v/>
      </c>
      <c r="BA17" s="503" t="str">
        <f>IF(Company_PC_inputs!BA17="","",Company_PC_inputs!BA17)</f>
        <v/>
      </c>
      <c r="BB17" s="503" t="str">
        <f>IF(Company_PC_inputs!BB17="","",Company_PC_inputs!BB17)</f>
        <v/>
      </c>
      <c r="BC17" s="504" t="str">
        <f>IF(Company_PC_inputs!BC17="","",Company_PC_inputs!BC17)</f>
        <v/>
      </c>
      <c r="BD17" s="503" t="str">
        <f>IF(Company_PC_inputs!BD17="","",Company_PC_inputs!BD17)</f>
        <v/>
      </c>
      <c r="BE17" s="503" t="str">
        <f>IF(Company_PC_inputs!BE17="","",Company_PC_inputs!BE17)</f>
        <v/>
      </c>
      <c r="BF17" s="503" t="str">
        <f>IF(Company_PC_inputs!BF17="","",Company_PC_inputs!BF17)</f>
        <v/>
      </c>
      <c r="BG17" s="503" t="str">
        <f>IF(Company_PC_inputs!BG17="","",Company_PC_inputs!BG17)</f>
        <v/>
      </c>
      <c r="BH17" s="503" t="str">
        <f>IF(Company_PC_inputs!BH17="","",Company_PC_inputs!BH17)</f>
        <v/>
      </c>
      <c r="BI17" s="503" t="str">
        <f>IF(Company_PC_inputs!BI17="","",Company_PC_inputs!BI17)</f>
        <v/>
      </c>
      <c r="BJ17" s="503" t="str">
        <f>IF(Company_PC_inputs!BJ17="","",Company_PC_inputs!BJ17)</f>
        <v/>
      </c>
      <c r="BK17" s="503" t="str">
        <f>IF(Company_PC_inputs!BK17="","",Company_PC_inputs!BK17)</f>
        <v/>
      </c>
      <c r="BL17" s="503" t="str">
        <f>IF(Company_PC_inputs!BL17="","",Company_PC_inputs!BL17)</f>
        <v/>
      </c>
      <c r="BM17" s="503" t="str">
        <f>IF(Company_PC_inputs!BM17="","",Company_PC_inputs!BM17)</f>
        <v/>
      </c>
      <c r="BN17" s="503" t="str">
        <f>IF(Company_PC_inputs!BN17="","",Company_PC_inputs!BN17)</f>
        <v/>
      </c>
      <c r="BO17" s="503" t="str">
        <f>IF(Company_PC_inputs!BO17="","",Company_PC_inputs!BO17)</f>
        <v/>
      </c>
      <c r="BP17" s="503" t="str">
        <f>IF(Company_PC_inputs!BP17="","",Company_PC_inputs!BP17)</f>
        <v/>
      </c>
      <c r="BQ17" s="503" t="str">
        <f>IF(Company_PC_inputs!BQ17="","",Company_PC_inputs!BQ17)</f>
        <v/>
      </c>
      <c r="BR17" s="503" t="str">
        <f>IF(Company_PC_inputs!BR17="","",Company_PC_inputs!BR17)</f>
        <v/>
      </c>
      <c r="BS17" s="503" t="str">
        <f>IF(Company_PC_inputs!BS17="","",Company_PC_inputs!BS17)</f>
        <v/>
      </c>
    </row>
    <row r="18" spans="1:71" s="214" customFormat="1" ht="13.15">
      <c r="A18" s="453"/>
      <c r="B18" s="453"/>
      <c r="C18" s="453"/>
      <c r="D18" s="453"/>
      <c r="E18" s="453"/>
      <c r="F18" s="453"/>
      <c r="G18" s="453"/>
      <c r="H18" s="453"/>
      <c r="I18" s="453"/>
      <c r="J18" s="546"/>
      <c r="K18" s="546"/>
      <c r="L18" s="546"/>
      <c r="M18" s="546"/>
      <c r="N18" s="546"/>
      <c r="O18" s="546"/>
      <c r="P18" s="546"/>
      <c r="Q18" s="547"/>
      <c r="R18" s="546"/>
      <c r="S18" s="546"/>
      <c r="T18" s="546"/>
      <c r="U18" s="546"/>
      <c r="V18" s="546"/>
      <c r="W18" s="546"/>
      <c r="X18" s="546"/>
      <c r="Y18" s="546"/>
      <c r="Z18" s="546"/>
      <c r="AA18" s="546"/>
      <c r="AB18" s="546"/>
      <c r="AC18" s="546"/>
      <c r="AD18" s="546"/>
      <c r="AE18" s="546"/>
      <c r="AF18" s="546"/>
      <c r="AG18" s="546"/>
      <c r="AH18" s="546"/>
      <c r="AI18" s="546"/>
      <c r="AJ18" s="546"/>
      <c r="AK18" s="547"/>
      <c r="AL18" s="546"/>
      <c r="AM18" s="546"/>
      <c r="AN18" s="546"/>
      <c r="AO18" s="547"/>
      <c r="AP18" s="546"/>
      <c r="AQ18" s="546"/>
      <c r="AR18" s="546"/>
      <c r="AS18" s="546"/>
      <c r="AT18" s="546"/>
      <c r="AU18" s="546"/>
      <c r="AV18" s="546"/>
      <c r="AW18" s="546"/>
      <c r="AX18" s="546"/>
      <c r="AY18" s="546"/>
      <c r="AZ18" s="546"/>
      <c r="BA18" s="546"/>
      <c r="BB18" s="546"/>
      <c r="BC18" s="547"/>
      <c r="BD18" s="546"/>
      <c r="BE18" s="546"/>
      <c r="BF18" s="546"/>
      <c r="BG18" s="546"/>
      <c r="BH18" s="546"/>
      <c r="BI18" s="546"/>
      <c r="BJ18" s="546"/>
      <c r="BK18" s="546"/>
      <c r="BL18" s="546"/>
      <c r="BM18" s="546"/>
      <c r="BN18" s="546"/>
      <c r="BO18" s="546"/>
      <c r="BP18" s="546"/>
      <c r="BQ18" s="546"/>
      <c r="BR18" s="546"/>
      <c r="BS18" s="546"/>
    </row>
    <row r="19" spans="1:71" s="214" customFormat="1" ht="13.15">
      <c r="A19" s="453"/>
      <c r="B19" s="453"/>
      <c r="C19" s="453"/>
      <c r="D19" s="453"/>
      <c r="E19" s="453" t="str">
        <f>Company_PC_inputs!E19&amp; " (Intervention)"</f>
        <v>ODI is calculated in decimal minutes, but the performance commitment is specified in HH:MM:SS (Intervention)</v>
      </c>
      <c r="F19" s="453"/>
      <c r="G19" s="453" t="s">
        <v>418</v>
      </c>
      <c r="H19" s="453"/>
      <c r="I19" s="453"/>
      <c r="J19" s="505"/>
      <c r="K19" s="505"/>
      <c r="L19" s="505"/>
      <c r="M19" s="505"/>
      <c r="N19" s="505"/>
      <c r="O19" s="505"/>
      <c r="P19" s="505"/>
      <c r="Q19" s="506"/>
      <c r="R19" s="505"/>
      <c r="S19" s="505"/>
      <c r="T19" s="505"/>
      <c r="U19" s="505"/>
      <c r="V19" s="505"/>
      <c r="W19" s="505"/>
      <c r="X19" s="505"/>
      <c r="Y19" s="505"/>
      <c r="Z19" s="505"/>
      <c r="AA19" s="505"/>
      <c r="AB19" s="505"/>
      <c r="AC19" s="505"/>
      <c r="AD19" s="505"/>
      <c r="AE19" s="505"/>
      <c r="AF19" s="505"/>
      <c r="AG19" s="505"/>
      <c r="AH19" s="505"/>
      <c r="AI19" s="505"/>
      <c r="AJ19" s="505"/>
      <c r="AK19" s="506"/>
      <c r="AL19" s="505"/>
      <c r="AM19" s="505"/>
      <c r="AN19" s="505"/>
      <c r="AO19" s="506"/>
      <c r="AP19" s="505"/>
      <c r="AQ19" s="505"/>
      <c r="AR19" s="505"/>
      <c r="AS19" s="505"/>
      <c r="AT19" s="505"/>
      <c r="AU19" s="505"/>
      <c r="AV19" s="505"/>
      <c r="AW19" s="505"/>
      <c r="AX19" s="505"/>
      <c r="AY19" s="505"/>
      <c r="AZ19" s="505"/>
      <c r="BA19" s="505"/>
      <c r="BB19" s="505"/>
      <c r="BC19" s="506"/>
      <c r="BD19" s="548"/>
      <c r="BE19" s="548"/>
      <c r="BF19" s="548"/>
      <c r="BG19" s="548"/>
      <c r="BH19" s="548"/>
      <c r="BI19" s="548"/>
      <c r="BJ19" s="548"/>
      <c r="BK19" s="548"/>
      <c r="BL19" s="548"/>
      <c r="BM19" s="548"/>
      <c r="BN19" s="548"/>
      <c r="BO19" s="548"/>
      <c r="BP19" s="548"/>
      <c r="BQ19" s="548"/>
      <c r="BR19" s="548"/>
      <c r="BS19" s="548"/>
    </row>
    <row r="20" spans="1:71" s="214" customFormat="1" ht="13.15">
      <c r="A20" s="453"/>
      <c r="B20" s="453"/>
      <c r="C20" s="453"/>
      <c r="D20" s="453"/>
      <c r="E20" s="453" t="str">
        <f>Company_PC_inputs!E20&amp; " (Intervention)"</f>
        <v>ODI is calculated as a percentage difference to a baseline (Intervention)</v>
      </c>
      <c r="F20" s="453"/>
      <c r="G20" s="453" t="s">
        <v>418</v>
      </c>
      <c r="H20" s="453"/>
      <c r="I20" s="453"/>
      <c r="J20" s="505"/>
      <c r="K20" s="505"/>
      <c r="L20" s="505"/>
      <c r="M20" s="505"/>
      <c r="N20" s="505"/>
      <c r="O20" s="505"/>
      <c r="P20" s="505"/>
      <c r="Q20" s="506"/>
      <c r="R20" s="505"/>
      <c r="S20" s="505"/>
      <c r="T20" s="505"/>
      <c r="U20" s="505"/>
      <c r="V20" s="505"/>
      <c r="W20" s="505"/>
      <c r="X20" s="505"/>
      <c r="Y20" s="505"/>
      <c r="Z20" s="505"/>
      <c r="AA20" s="505"/>
      <c r="AB20" s="505"/>
      <c r="AC20" s="505"/>
      <c r="AD20" s="505"/>
      <c r="AE20" s="505"/>
      <c r="AF20" s="505"/>
      <c r="AG20" s="505"/>
      <c r="AH20" s="505"/>
      <c r="AI20" s="505"/>
      <c r="AJ20" s="505"/>
      <c r="AK20" s="506"/>
      <c r="AL20" s="505"/>
      <c r="AM20" s="505"/>
      <c r="AN20" s="505"/>
      <c r="AO20" s="506"/>
      <c r="AP20" s="505"/>
      <c r="AQ20" s="505"/>
      <c r="AR20" s="505"/>
      <c r="AS20" s="505"/>
      <c r="AT20" s="505"/>
      <c r="AU20" s="505"/>
      <c r="AV20" s="505"/>
      <c r="AW20" s="505"/>
      <c r="AX20" s="505"/>
      <c r="AY20" s="505"/>
      <c r="AZ20" s="505"/>
      <c r="BA20" s="505"/>
      <c r="BB20" s="505"/>
      <c r="BC20" s="506"/>
      <c r="BD20" s="548"/>
      <c r="BE20" s="548"/>
      <c r="BF20" s="548"/>
      <c r="BG20" s="548"/>
      <c r="BH20" s="548"/>
      <c r="BI20" s="548"/>
      <c r="BJ20" s="548"/>
      <c r="BK20" s="548"/>
      <c r="BL20" s="548"/>
      <c r="BM20" s="548"/>
      <c r="BN20" s="548"/>
      <c r="BO20" s="548"/>
      <c r="BP20" s="548"/>
      <c r="BQ20" s="548"/>
      <c r="BR20" s="548"/>
      <c r="BS20" s="548"/>
    </row>
    <row r="21" spans="1:71" s="214" customFormat="1" ht="13.15">
      <c r="A21" s="453"/>
      <c r="B21" s="453"/>
      <c r="C21" s="453"/>
      <c r="D21" s="453"/>
      <c r="E21" s="453"/>
      <c r="F21" s="453"/>
      <c r="G21" s="453"/>
      <c r="H21" s="453"/>
      <c r="I21" s="453"/>
      <c r="J21" s="546"/>
      <c r="K21" s="546"/>
      <c r="L21" s="546"/>
      <c r="M21" s="546"/>
      <c r="N21" s="546"/>
      <c r="O21" s="546"/>
      <c r="P21" s="546"/>
      <c r="Q21" s="547"/>
      <c r="R21" s="546"/>
      <c r="S21" s="546"/>
      <c r="T21" s="546"/>
      <c r="U21" s="546"/>
      <c r="V21" s="546"/>
      <c r="W21" s="546"/>
      <c r="X21" s="546"/>
      <c r="Y21" s="546"/>
      <c r="Z21" s="546"/>
      <c r="AA21" s="546"/>
      <c r="AB21" s="546"/>
      <c r="AC21" s="546"/>
      <c r="AD21" s="546"/>
      <c r="AE21" s="546"/>
      <c r="AF21" s="546"/>
      <c r="AG21" s="546"/>
      <c r="AH21" s="546"/>
      <c r="AI21" s="546"/>
      <c r="AJ21" s="546"/>
      <c r="AK21" s="547"/>
      <c r="AL21" s="546"/>
      <c r="AM21" s="546"/>
      <c r="AN21" s="546"/>
      <c r="AO21" s="547"/>
      <c r="AP21" s="546"/>
      <c r="AQ21" s="546"/>
      <c r="AR21" s="546"/>
      <c r="AS21" s="546"/>
      <c r="AT21" s="546"/>
      <c r="AU21" s="546"/>
      <c r="AV21" s="546"/>
      <c r="AW21" s="546"/>
      <c r="AX21" s="546"/>
      <c r="AY21" s="546"/>
      <c r="AZ21" s="546"/>
      <c r="BA21" s="546"/>
      <c r="BB21" s="546"/>
      <c r="BC21" s="547"/>
      <c r="BD21" s="546"/>
      <c r="BE21" s="546"/>
      <c r="BF21" s="546"/>
      <c r="BG21" s="546"/>
      <c r="BH21" s="546"/>
      <c r="BI21" s="546"/>
      <c r="BJ21" s="546"/>
      <c r="BK21" s="546"/>
      <c r="BL21" s="546"/>
      <c r="BM21" s="546"/>
      <c r="BN21" s="546"/>
      <c r="BO21" s="546"/>
      <c r="BP21" s="546"/>
      <c r="BQ21" s="546"/>
      <c r="BR21" s="546"/>
      <c r="BS21" s="546"/>
    </row>
    <row r="22" spans="1:71" s="214" customFormat="1" ht="13.15">
      <c r="A22" s="453"/>
      <c r="B22" s="453"/>
      <c r="C22" s="453"/>
      <c r="D22" s="463" t="s">
        <v>1167</v>
      </c>
      <c r="E22" s="453"/>
      <c r="F22" s="453"/>
      <c r="G22" s="453"/>
      <c r="H22" s="453"/>
      <c r="I22" s="453"/>
      <c r="J22" s="542"/>
      <c r="K22" s="542"/>
      <c r="L22" s="542"/>
      <c r="M22" s="542"/>
      <c r="N22" s="542"/>
      <c r="O22" s="542"/>
      <c r="P22" s="542"/>
      <c r="Q22" s="543"/>
      <c r="R22" s="542"/>
      <c r="S22" s="542"/>
      <c r="T22" s="542"/>
      <c r="U22" s="542"/>
      <c r="V22" s="542"/>
      <c r="W22" s="542"/>
      <c r="X22" s="542"/>
      <c r="Y22" s="542"/>
      <c r="Z22" s="542"/>
      <c r="AA22" s="542"/>
      <c r="AB22" s="542"/>
      <c r="AC22" s="542"/>
      <c r="AD22" s="542"/>
      <c r="AE22" s="542"/>
      <c r="AF22" s="542"/>
      <c r="AG22" s="542"/>
      <c r="AH22" s="542"/>
      <c r="AI22" s="542"/>
      <c r="AJ22" s="542"/>
      <c r="AK22" s="543"/>
      <c r="AL22" s="542"/>
      <c r="AM22" s="542"/>
      <c r="AN22" s="542"/>
      <c r="AO22" s="543"/>
      <c r="AP22" s="542"/>
      <c r="AQ22" s="542"/>
      <c r="AR22" s="542"/>
      <c r="AS22" s="542"/>
      <c r="AT22" s="542"/>
      <c r="AU22" s="542"/>
      <c r="AV22" s="542"/>
      <c r="AW22" s="542"/>
      <c r="AX22" s="542"/>
      <c r="AY22" s="542"/>
      <c r="AZ22" s="542"/>
      <c r="BA22" s="542"/>
      <c r="BB22" s="542"/>
      <c r="BC22" s="543"/>
      <c r="BD22" s="542"/>
      <c r="BE22" s="542"/>
      <c r="BF22" s="542"/>
      <c r="BG22" s="542"/>
      <c r="BH22" s="542"/>
      <c r="BI22" s="542"/>
      <c r="BJ22" s="542"/>
      <c r="BK22" s="542"/>
      <c r="BL22" s="542"/>
      <c r="BM22" s="542"/>
      <c r="BN22" s="542"/>
      <c r="BO22" s="542"/>
      <c r="BP22" s="542"/>
      <c r="BQ22" s="542"/>
      <c r="BR22" s="542"/>
      <c r="BS22" s="542"/>
    </row>
    <row r="23" spans="1:71" s="214" customFormat="1" ht="13.15">
      <c r="A23" s="453"/>
      <c r="B23" s="453"/>
      <c r="C23" s="453"/>
      <c r="D23" s="453"/>
      <c r="E23" s="453" t="str">
        <f>Company_PC_inputs!E23&amp; " (Intervention)"</f>
        <v>Standard outperformance payments - override (Intervention)</v>
      </c>
      <c r="F23" s="453"/>
      <c r="G23" s="453" t="str">
        <f>InpCompany!$F$11</f>
        <v>£m (2017-18 prices)</v>
      </c>
      <c r="H23" s="453"/>
      <c r="I23" s="453"/>
      <c r="J23" s="488"/>
      <c r="K23" s="488"/>
      <c r="L23" s="488"/>
      <c r="M23" s="488"/>
      <c r="N23" s="488"/>
      <c r="O23" s="488"/>
      <c r="P23" s="488"/>
      <c r="Q23" s="489"/>
      <c r="R23" s="488"/>
      <c r="S23" s="488"/>
      <c r="T23" s="488"/>
      <c r="U23" s="488"/>
      <c r="V23" s="488"/>
      <c r="W23" s="488"/>
      <c r="X23" s="488"/>
      <c r="Y23" s="488"/>
      <c r="Z23" s="488"/>
      <c r="AA23" s="488"/>
      <c r="AB23" s="488"/>
      <c r="AC23" s="488"/>
      <c r="AD23" s="488"/>
      <c r="AE23" s="488"/>
      <c r="AF23" s="488"/>
      <c r="AG23" s="488"/>
      <c r="AH23" s="488"/>
      <c r="AI23" s="488"/>
      <c r="AJ23" s="488"/>
      <c r="AK23" s="489"/>
      <c r="AL23" s="488"/>
      <c r="AM23" s="488"/>
      <c r="AN23" s="488"/>
      <c r="AO23" s="489"/>
      <c r="AP23" s="488"/>
      <c r="AQ23" s="488"/>
      <c r="AR23" s="488"/>
      <c r="AS23" s="488"/>
      <c r="AT23" s="488"/>
      <c r="AU23" s="488"/>
      <c r="AV23" s="488"/>
      <c r="AW23" s="488"/>
      <c r="AX23" s="488"/>
      <c r="AY23" s="488"/>
      <c r="AZ23" s="488"/>
      <c r="BA23" s="488"/>
      <c r="BB23" s="488"/>
      <c r="BC23" s="489"/>
      <c r="BD23" s="488"/>
      <c r="BE23" s="488"/>
      <c r="BF23" s="488"/>
      <c r="BG23" s="488"/>
      <c r="BH23" s="488"/>
      <c r="BI23" s="488"/>
      <c r="BJ23" s="488"/>
      <c r="BK23" s="488"/>
      <c r="BL23" s="488"/>
      <c r="BM23" s="488"/>
      <c r="BN23" s="488"/>
      <c r="BO23" s="488"/>
      <c r="BP23" s="488"/>
      <c r="BQ23" s="488"/>
      <c r="BR23" s="488"/>
      <c r="BS23" s="488"/>
    </row>
    <row r="24" spans="1:71" s="214" customFormat="1" ht="13.15">
      <c r="A24" s="453"/>
      <c r="B24" s="453"/>
      <c r="C24" s="453"/>
      <c r="D24" s="453"/>
      <c r="E24" s="453" t="str">
        <f>Company_PC_inputs!E24&amp; " (Intervention)"</f>
        <v>Enhanced outperformance payments - override (Intervention)</v>
      </c>
      <c r="F24" s="453"/>
      <c r="G24" s="453" t="str">
        <f>InpCompany!$F$11</f>
        <v>£m (2017-18 prices)</v>
      </c>
      <c r="H24" s="453"/>
      <c r="I24" s="453"/>
      <c r="J24" s="488"/>
      <c r="K24" s="488"/>
      <c r="L24" s="488"/>
      <c r="M24" s="488"/>
      <c r="N24" s="488"/>
      <c r="O24" s="488"/>
      <c r="P24" s="488"/>
      <c r="Q24" s="489"/>
      <c r="R24" s="488"/>
      <c r="S24" s="488"/>
      <c r="T24" s="488"/>
      <c r="U24" s="488"/>
      <c r="V24" s="488"/>
      <c r="W24" s="488"/>
      <c r="X24" s="488"/>
      <c r="Y24" s="488"/>
      <c r="Z24" s="488"/>
      <c r="AA24" s="488"/>
      <c r="AB24" s="488"/>
      <c r="AC24" s="488"/>
      <c r="AD24" s="488"/>
      <c r="AE24" s="488"/>
      <c r="AF24" s="488"/>
      <c r="AG24" s="488"/>
      <c r="AH24" s="488"/>
      <c r="AI24" s="488"/>
      <c r="AJ24" s="488"/>
      <c r="AK24" s="489"/>
      <c r="AL24" s="488"/>
      <c r="AM24" s="488"/>
      <c r="AN24" s="488"/>
      <c r="AO24" s="489"/>
      <c r="AP24" s="488"/>
      <c r="AQ24" s="488"/>
      <c r="AR24" s="488"/>
      <c r="AS24" s="488"/>
      <c r="AT24" s="488"/>
      <c r="AU24" s="488"/>
      <c r="AV24" s="488"/>
      <c r="AW24" s="488"/>
      <c r="AX24" s="488"/>
      <c r="AY24" s="488"/>
      <c r="AZ24" s="488"/>
      <c r="BA24" s="488"/>
      <c r="BB24" s="488"/>
      <c r="BC24" s="489"/>
      <c r="BD24" s="488"/>
      <c r="BE24" s="488"/>
      <c r="BF24" s="488"/>
      <c r="BG24" s="488"/>
      <c r="BH24" s="488"/>
      <c r="BI24" s="488"/>
      <c r="BJ24" s="488"/>
      <c r="BK24" s="488"/>
      <c r="BL24" s="488"/>
      <c r="BM24" s="488"/>
      <c r="BN24" s="488"/>
      <c r="BO24" s="488"/>
      <c r="BP24" s="488"/>
      <c r="BQ24" s="488"/>
      <c r="BR24" s="488"/>
      <c r="BS24" s="488"/>
    </row>
    <row r="25" spans="1:71" s="214" customFormat="1" ht="13.15">
      <c r="A25" s="453"/>
      <c r="B25" s="453"/>
      <c r="C25" s="453"/>
      <c r="D25" s="453"/>
      <c r="E25" s="453" t="str">
        <f>Company_PC_inputs!E25&amp; " (Intervention)"</f>
        <v>Additional outperformance payments - override (Intervention)</v>
      </c>
      <c r="F25" s="453"/>
      <c r="G25" s="453" t="str">
        <f>InpCompany!$F$11</f>
        <v>£m (2017-18 prices)</v>
      </c>
      <c r="H25" s="453"/>
      <c r="I25" s="453"/>
      <c r="J25" s="488"/>
      <c r="K25" s="488"/>
      <c r="L25" s="488"/>
      <c r="M25" s="488"/>
      <c r="N25" s="488"/>
      <c r="O25" s="488"/>
      <c r="P25" s="488"/>
      <c r="Q25" s="489"/>
      <c r="R25" s="488"/>
      <c r="S25" s="488"/>
      <c r="T25" s="488"/>
      <c r="U25" s="488"/>
      <c r="V25" s="488"/>
      <c r="W25" s="488"/>
      <c r="X25" s="488"/>
      <c r="Y25" s="488"/>
      <c r="Z25" s="488"/>
      <c r="AA25" s="488"/>
      <c r="AB25" s="488"/>
      <c r="AC25" s="488"/>
      <c r="AD25" s="488"/>
      <c r="AE25" s="488"/>
      <c r="AF25" s="488"/>
      <c r="AG25" s="488"/>
      <c r="AH25" s="488"/>
      <c r="AI25" s="488"/>
      <c r="AJ25" s="488"/>
      <c r="AK25" s="489"/>
      <c r="AL25" s="488"/>
      <c r="AM25" s="488"/>
      <c r="AN25" s="488"/>
      <c r="AO25" s="489"/>
      <c r="AP25" s="488"/>
      <c r="AQ25" s="488"/>
      <c r="AR25" s="488"/>
      <c r="AS25" s="488"/>
      <c r="AT25" s="488"/>
      <c r="AU25" s="488"/>
      <c r="AV25" s="488"/>
      <c r="AW25" s="488"/>
      <c r="AX25" s="488"/>
      <c r="AY25" s="488"/>
      <c r="AZ25" s="488"/>
      <c r="BA25" s="488"/>
      <c r="BB25" s="488"/>
      <c r="BC25" s="489"/>
      <c r="BD25" s="488"/>
      <c r="BE25" s="488"/>
      <c r="BF25" s="488"/>
      <c r="BG25" s="488"/>
      <c r="BH25" s="488"/>
      <c r="BI25" s="488"/>
      <c r="BJ25" s="488"/>
      <c r="BK25" s="488"/>
      <c r="BL25" s="488"/>
      <c r="BM25" s="488"/>
      <c r="BN25" s="488"/>
      <c r="BO25" s="488"/>
      <c r="BP25" s="488"/>
      <c r="BQ25" s="488"/>
      <c r="BR25" s="488"/>
      <c r="BS25" s="488"/>
    </row>
    <row r="26" spans="1:71" s="214" customFormat="1" ht="13.15">
      <c r="A26" s="453"/>
      <c r="B26" s="453"/>
      <c r="C26" s="453"/>
      <c r="D26" s="453"/>
      <c r="E26" s="453"/>
      <c r="F26" s="453"/>
      <c r="G26" s="453"/>
      <c r="H26" s="453"/>
      <c r="I26" s="453"/>
      <c r="J26" s="542"/>
      <c r="K26" s="542"/>
      <c r="L26" s="542"/>
      <c r="M26" s="542"/>
      <c r="N26" s="542"/>
      <c r="O26" s="542"/>
      <c r="P26" s="542"/>
      <c r="Q26" s="543"/>
      <c r="R26" s="542"/>
      <c r="S26" s="542"/>
      <c r="T26" s="542"/>
      <c r="U26" s="542"/>
      <c r="V26" s="542"/>
      <c r="W26" s="542"/>
      <c r="X26" s="542"/>
      <c r="Y26" s="542"/>
      <c r="Z26" s="542"/>
      <c r="AA26" s="542"/>
      <c r="AB26" s="542"/>
      <c r="AC26" s="542"/>
      <c r="AD26" s="542"/>
      <c r="AE26" s="542"/>
      <c r="AF26" s="542"/>
      <c r="AG26" s="542"/>
      <c r="AH26" s="542"/>
      <c r="AI26" s="542"/>
      <c r="AJ26" s="542"/>
      <c r="AK26" s="543"/>
      <c r="AL26" s="542"/>
      <c r="AM26" s="542"/>
      <c r="AN26" s="542"/>
      <c r="AO26" s="543"/>
      <c r="AP26" s="542"/>
      <c r="AQ26" s="542"/>
      <c r="AR26" s="542"/>
      <c r="AS26" s="542"/>
      <c r="AT26" s="542"/>
      <c r="AU26" s="542"/>
      <c r="AV26" s="542"/>
      <c r="AW26" s="542"/>
      <c r="AX26" s="542"/>
      <c r="AY26" s="542"/>
      <c r="AZ26" s="542"/>
      <c r="BA26" s="542"/>
      <c r="BB26" s="542"/>
      <c r="BC26" s="543"/>
      <c r="BD26" s="542"/>
      <c r="BE26" s="542"/>
      <c r="BF26" s="542"/>
      <c r="BG26" s="542"/>
      <c r="BH26" s="542"/>
      <c r="BI26" s="542"/>
      <c r="BJ26" s="542"/>
      <c r="BK26" s="542"/>
      <c r="BL26" s="542"/>
      <c r="BM26" s="542"/>
      <c r="BN26" s="542"/>
      <c r="BO26" s="542"/>
      <c r="BP26" s="542"/>
      <c r="BQ26" s="542"/>
      <c r="BR26" s="542"/>
      <c r="BS26" s="542"/>
    </row>
    <row r="27" spans="1:71" s="214" customFormat="1" ht="13.15">
      <c r="A27" s="453"/>
      <c r="B27" s="453"/>
      <c r="C27" s="453"/>
      <c r="D27" s="453"/>
      <c r="E27" s="453" t="str">
        <f>Company_PC_inputs!E27&amp; " (Intervention)"</f>
        <v>Standard underperformance payments - override (must be negative) (Intervention)</v>
      </c>
      <c r="F27" s="453"/>
      <c r="G27" s="453" t="str">
        <f>InpCompany!$F$11</f>
        <v>£m (2017-18 prices)</v>
      </c>
      <c r="H27" s="453"/>
      <c r="I27" s="453"/>
      <c r="J27" s="488"/>
      <c r="K27" s="488"/>
      <c r="L27" s="488"/>
      <c r="M27" s="488"/>
      <c r="N27" s="2078">
        <v>0</v>
      </c>
      <c r="O27" s="488"/>
      <c r="P27" s="488"/>
      <c r="Q27" s="489"/>
      <c r="R27" s="488"/>
      <c r="S27" s="488"/>
      <c r="T27" s="488"/>
      <c r="U27" s="488"/>
      <c r="V27" s="488"/>
      <c r="W27" s="488"/>
      <c r="X27" s="488"/>
      <c r="Y27" s="488"/>
      <c r="Z27" s="488"/>
      <c r="AA27" s="488"/>
      <c r="AB27" s="488"/>
      <c r="AC27" s="488"/>
      <c r="AD27" s="488"/>
      <c r="AE27" s="488"/>
      <c r="AF27" s="488"/>
      <c r="AG27" s="488"/>
      <c r="AH27" s="488"/>
      <c r="AI27" s="488"/>
      <c r="AJ27" s="488"/>
      <c r="AK27" s="489"/>
      <c r="AL27" s="488"/>
      <c r="AM27" s="488"/>
      <c r="AN27" s="488"/>
      <c r="AO27" s="489"/>
      <c r="AP27" s="488"/>
      <c r="AQ27" s="488"/>
      <c r="AR27" s="488"/>
      <c r="AS27" s="488"/>
      <c r="AT27" s="488"/>
      <c r="AU27" s="488"/>
      <c r="AV27" s="488"/>
      <c r="AW27" s="488"/>
      <c r="AX27" s="488"/>
      <c r="AY27" s="488"/>
      <c r="AZ27" s="488"/>
      <c r="BA27" s="488"/>
      <c r="BB27" s="488"/>
      <c r="BC27" s="489"/>
      <c r="BD27" s="488"/>
      <c r="BE27" s="488"/>
      <c r="BF27" s="488"/>
      <c r="BG27" s="488"/>
      <c r="BH27" s="488"/>
      <c r="BI27" s="488"/>
      <c r="BJ27" s="488"/>
      <c r="BK27" s="488"/>
      <c r="BL27" s="488"/>
      <c r="BM27" s="488"/>
      <c r="BN27" s="488"/>
      <c r="BO27" s="488"/>
      <c r="BP27" s="488"/>
      <c r="BQ27" s="488"/>
      <c r="BR27" s="488"/>
      <c r="BS27" s="488"/>
    </row>
    <row r="28" spans="1:71" s="214" customFormat="1" ht="13.15">
      <c r="A28" s="453"/>
      <c r="B28" s="453"/>
      <c r="C28" s="453"/>
      <c r="D28" s="453"/>
      <c r="E28" s="453" t="str">
        <f>Company_PC_inputs!E28&amp; " (Intervention)"</f>
        <v>Enhanced underperformance payments - override (Intervention)</v>
      </c>
      <c r="F28" s="453"/>
      <c r="G28" s="453" t="str">
        <f>InpCompany!$F$11</f>
        <v>£m (2017-18 prices)</v>
      </c>
      <c r="H28" s="453"/>
      <c r="I28" s="453"/>
      <c r="J28" s="488"/>
      <c r="K28" s="488"/>
      <c r="L28" s="488"/>
      <c r="M28" s="488"/>
      <c r="N28" s="488"/>
      <c r="O28" s="488"/>
      <c r="P28" s="488"/>
      <c r="Q28" s="489"/>
      <c r="R28" s="488"/>
      <c r="S28" s="488"/>
      <c r="T28" s="488"/>
      <c r="U28" s="488"/>
      <c r="V28" s="488"/>
      <c r="W28" s="488"/>
      <c r="X28" s="488"/>
      <c r="Y28" s="488"/>
      <c r="Z28" s="488"/>
      <c r="AA28" s="488"/>
      <c r="AB28" s="488"/>
      <c r="AC28" s="488"/>
      <c r="AD28" s="488"/>
      <c r="AE28" s="488"/>
      <c r="AF28" s="488"/>
      <c r="AG28" s="488"/>
      <c r="AH28" s="488"/>
      <c r="AI28" s="488"/>
      <c r="AJ28" s="488"/>
      <c r="AK28" s="489"/>
      <c r="AL28" s="488"/>
      <c r="AM28" s="488"/>
      <c r="AN28" s="488"/>
      <c r="AO28" s="489"/>
      <c r="AP28" s="488"/>
      <c r="AQ28" s="488"/>
      <c r="AR28" s="488"/>
      <c r="AS28" s="488"/>
      <c r="AT28" s="488"/>
      <c r="AU28" s="488"/>
      <c r="AV28" s="488"/>
      <c r="AW28" s="488"/>
      <c r="AX28" s="488"/>
      <c r="AY28" s="488"/>
      <c r="AZ28" s="488"/>
      <c r="BA28" s="488"/>
      <c r="BB28" s="488"/>
      <c r="BC28" s="489"/>
      <c r="BD28" s="488"/>
      <c r="BE28" s="488"/>
      <c r="BF28" s="488"/>
      <c r="BG28" s="488"/>
      <c r="BH28" s="488"/>
      <c r="BI28" s="488"/>
      <c r="BJ28" s="488"/>
      <c r="BK28" s="488"/>
      <c r="BL28" s="488"/>
      <c r="BM28" s="488"/>
      <c r="BN28" s="488"/>
      <c r="BO28" s="488"/>
      <c r="BP28" s="488"/>
      <c r="BQ28" s="488"/>
      <c r="BR28" s="488"/>
      <c r="BS28" s="488"/>
    </row>
    <row r="29" spans="1:71" s="214" customFormat="1" ht="13.15">
      <c r="A29" s="453"/>
      <c r="B29" s="453"/>
      <c r="C29" s="453"/>
      <c r="D29" s="453"/>
      <c r="E29" s="453" t="str">
        <f>Company_PC_inputs!E29&amp; " (Intervention)"</f>
        <v>Additional underperformance payments - override (Intervention)</v>
      </c>
      <c r="F29" s="453"/>
      <c r="G29" s="453" t="str">
        <f>InpCompany!$F$11</f>
        <v>£m (2017-18 prices)</v>
      </c>
      <c r="H29" s="453"/>
      <c r="I29" s="453"/>
      <c r="J29" s="488"/>
      <c r="K29" s="488"/>
      <c r="L29" s="488"/>
      <c r="M29" s="488"/>
      <c r="N29" s="488"/>
      <c r="O29" s="488"/>
      <c r="P29" s="488"/>
      <c r="Q29" s="489"/>
      <c r="R29" s="488"/>
      <c r="S29" s="488"/>
      <c r="T29" s="488"/>
      <c r="U29" s="488"/>
      <c r="V29" s="488"/>
      <c r="W29" s="488"/>
      <c r="X29" s="488"/>
      <c r="Y29" s="488"/>
      <c r="Z29" s="488"/>
      <c r="AA29" s="488"/>
      <c r="AB29" s="488"/>
      <c r="AC29" s="488"/>
      <c r="AD29" s="488"/>
      <c r="AE29" s="488"/>
      <c r="AF29" s="488"/>
      <c r="AG29" s="488"/>
      <c r="AH29" s="488"/>
      <c r="AI29" s="488"/>
      <c r="AJ29" s="488"/>
      <c r="AK29" s="489"/>
      <c r="AL29" s="488"/>
      <c r="AM29" s="488"/>
      <c r="AN29" s="488"/>
      <c r="AO29" s="489"/>
      <c r="AP29" s="488"/>
      <c r="AQ29" s="488"/>
      <c r="AR29" s="488"/>
      <c r="AS29" s="488"/>
      <c r="AT29" s="488"/>
      <c r="AU29" s="488"/>
      <c r="AV29" s="488"/>
      <c r="AW29" s="488"/>
      <c r="AX29" s="488"/>
      <c r="AY29" s="488"/>
      <c r="AZ29" s="488"/>
      <c r="BA29" s="488"/>
      <c r="BB29" s="488"/>
      <c r="BC29" s="489"/>
      <c r="BD29" s="488"/>
      <c r="BE29" s="488"/>
      <c r="BF29" s="488"/>
      <c r="BG29" s="488"/>
      <c r="BH29" s="488"/>
      <c r="BI29" s="488"/>
      <c r="BJ29" s="488"/>
      <c r="BK29" s="488"/>
      <c r="BL29" s="488"/>
      <c r="BM29" s="488"/>
      <c r="BN29" s="488"/>
      <c r="BO29" s="488"/>
      <c r="BP29" s="488"/>
      <c r="BQ29" s="488"/>
      <c r="BR29" s="488"/>
      <c r="BS29" s="488"/>
    </row>
    <row r="30" spans="1:71" s="214" customFormat="1" ht="13.15">
      <c r="A30" s="453"/>
      <c r="B30" s="453"/>
      <c r="C30" s="453"/>
      <c r="D30" s="453"/>
      <c r="E30" s="453"/>
      <c r="F30" s="453"/>
      <c r="G30" s="453"/>
      <c r="H30" s="453"/>
      <c r="I30" s="453"/>
      <c r="J30" s="537"/>
      <c r="K30" s="537"/>
      <c r="L30" s="537"/>
      <c r="M30" s="537"/>
      <c r="N30" s="537"/>
      <c r="O30" s="537"/>
      <c r="P30" s="537"/>
      <c r="Q30" s="549"/>
      <c r="R30" s="537"/>
      <c r="S30" s="537"/>
      <c r="T30" s="537"/>
      <c r="U30" s="537"/>
      <c r="V30" s="537"/>
      <c r="W30" s="537"/>
      <c r="X30" s="537"/>
      <c r="Y30" s="537"/>
      <c r="Z30" s="537"/>
      <c r="AA30" s="537"/>
      <c r="AB30" s="537"/>
      <c r="AC30" s="537"/>
      <c r="AD30" s="537"/>
      <c r="AE30" s="537"/>
      <c r="AF30" s="537"/>
      <c r="AG30" s="537"/>
      <c r="AH30" s="537"/>
      <c r="AI30" s="537"/>
      <c r="AJ30" s="537"/>
      <c r="AK30" s="549"/>
      <c r="AL30" s="537"/>
      <c r="AM30" s="537"/>
      <c r="AN30" s="537"/>
      <c r="AO30" s="549"/>
      <c r="AP30" s="537"/>
      <c r="AQ30" s="537"/>
      <c r="AR30" s="537"/>
      <c r="AS30" s="537"/>
      <c r="AT30" s="537"/>
      <c r="AU30" s="537"/>
      <c r="AV30" s="537"/>
      <c r="AW30" s="537"/>
      <c r="AX30" s="537"/>
      <c r="AY30" s="537"/>
      <c r="AZ30" s="537"/>
      <c r="BA30" s="537"/>
      <c r="BB30" s="537"/>
      <c r="BC30" s="549"/>
      <c r="BD30" s="537"/>
      <c r="BE30" s="537"/>
      <c r="BF30" s="537"/>
      <c r="BG30" s="537"/>
      <c r="BH30" s="537"/>
      <c r="BI30" s="537"/>
      <c r="BJ30" s="537"/>
      <c r="BK30" s="537"/>
      <c r="BL30" s="537"/>
      <c r="BM30" s="537"/>
      <c r="BN30" s="537"/>
      <c r="BO30" s="537"/>
      <c r="BP30" s="537"/>
      <c r="BQ30" s="537"/>
      <c r="BR30" s="537"/>
      <c r="BS30" s="537"/>
    </row>
    <row r="31" spans="1:71" s="214" customFormat="1" ht="13.15">
      <c r="A31" s="453"/>
      <c r="B31" s="453"/>
      <c r="C31" s="453"/>
      <c r="D31" s="453"/>
      <c r="E31" s="453" t="str">
        <f>Company_PC_inputs!E31&amp; " (Intervention)"</f>
        <v>Performance commitment unit (Intervention)</v>
      </c>
      <c r="F31" s="453"/>
      <c r="G31" s="453" t="s">
        <v>114</v>
      </c>
      <c r="H31" s="453"/>
      <c r="I31" s="453"/>
      <c r="J31" s="505"/>
      <c r="K31" s="505"/>
      <c r="L31" s="505"/>
      <c r="M31" s="505"/>
      <c r="N31" s="505"/>
      <c r="O31" s="505"/>
      <c r="P31" s="505"/>
      <c r="Q31" s="506"/>
      <c r="R31" s="505"/>
      <c r="S31" s="505"/>
      <c r="T31" s="505"/>
      <c r="U31" s="505"/>
      <c r="V31" s="505"/>
      <c r="W31" s="505"/>
      <c r="X31" s="505"/>
      <c r="Y31" s="505"/>
      <c r="Z31" s="505"/>
      <c r="AA31" s="505"/>
      <c r="AB31" s="505"/>
      <c r="AC31" s="505"/>
      <c r="AD31" s="505"/>
      <c r="AE31" s="505"/>
      <c r="AF31" s="505"/>
      <c r="AG31" s="505"/>
      <c r="AH31" s="505"/>
      <c r="AI31" s="505"/>
      <c r="AJ31" s="505"/>
      <c r="AK31" s="506"/>
      <c r="AL31" s="505"/>
      <c r="AM31" s="505"/>
      <c r="AN31" s="505"/>
      <c r="AO31" s="506"/>
      <c r="AP31" s="505"/>
      <c r="AQ31" s="505"/>
      <c r="AR31" s="505"/>
      <c r="AS31" s="505"/>
      <c r="AT31" s="505"/>
      <c r="AU31" s="505"/>
      <c r="AV31" s="505"/>
      <c r="AW31" s="505"/>
      <c r="AX31" s="505"/>
      <c r="AY31" s="505"/>
      <c r="AZ31" s="505"/>
      <c r="BA31" s="505"/>
      <c r="BB31" s="505"/>
      <c r="BC31" s="506"/>
      <c r="BD31" s="505"/>
      <c r="BE31" s="505"/>
      <c r="BF31" s="505"/>
      <c r="BG31" s="505"/>
      <c r="BH31" s="505"/>
      <c r="BI31" s="505"/>
      <c r="BJ31" s="505"/>
      <c r="BK31" s="505"/>
      <c r="BL31" s="505"/>
      <c r="BM31" s="505"/>
      <c r="BN31" s="505"/>
      <c r="BO31" s="505"/>
      <c r="BP31" s="505"/>
      <c r="BQ31" s="505"/>
      <c r="BR31" s="505"/>
      <c r="BS31" s="505"/>
    </row>
    <row r="32" spans="1:71" s="220" customFormat="1" ht="13.15">
      <c r="A32" s="510"/>
      <c r="B32" s="510"/>
      <c r="C32" s="510"/>
      <c r="D32" s="510"/>
      <c r="E32" s="453"/>
      <c r="F32" s="510"/>
      <c r="G32" s="510"/>
      <c r="H32" s="510"/>
      <c r="I32" s="510"/>
      <c r="J32" s="550"/>
      <c r="K32" s="550"/>
      <c r="L32" s="550"/>
      <c r="M32" s="550"/>
      <c r="N32" s="550"/>
      <c r="O32" s="550"/>
      <c r="P32" s="550"/>
      <c r="Q32" s="551"/>
      <c r="R32" s="550"/>
      <c r="S32" s="550"/>
      <c r="T32" s="550"/>
      <c r="U32" s="550"/>
      <c r="V32" s="550"/>
      <c r="W32" s="550"/>
      <c r="X32" s="550"/>
      <c r="Y32" s="550"/>
      <c r="Z32" s="550"/>
      <c r="AA32" s="550"/>
      <c r="AB32" s="550"/>
      <c r="AC32" s="550"/>
      <c r="AD32" s="550"/>
      <c r="AE32" s="550"/>
      <c r="AF32" s="550"/>
      <c r="AG32" s="550"/>
      <c r="AH32" s="550"/>
      <c r="AI32" s="550"/>
      <c r="AJ32" s="550"/>
      <c r="AK32" s="551"/>
      <c r="AL32" s="550"/>
      <c r="AM32" s="550"/>
      <c r="AN32" s="550"/>
      <c r="AO32" s="551"/>
      <c r="AP32" s="550"/>
      <c r="AQ32" s="550"/>
      <c r="AR32" s="550"/>
      <c r="AS32" s="550"/>
      <c r="AT32" s="550"/>
      <c r="AU32" s="550"/>
      <c r="AV32" s="550"/>
      <c r="AW32" s="550"/>
      <c r="AX32" s="550"/>
      <c r="AY32" s="550"/>
      <c r="AZ32" s="550"/>
      <c r="BA32" s="550"/>
      <c r="BB32" s="550"/>
      <c r="BC32" s="551"/>
      <c r="BD32" s="550"/>
      <c r="BE32" s="550"/>
      <c r="BF32" s="550"/>
      <c r="BG32" s="550"/>
      <c r="BH32" s="550"/>
      <c r="BI32" s="550"/>
      <c r="BJ32" s="550"/>
      <c r="BK32" s="550"/>
      <c r="BL32" s="550"/>
      <c r="BM32" s="550"/>
      <c r="BN32" s="550"/>
      <c r="BO32" s="550"/>
      <c r="BP32" s="550"/>
      <c r="BQ32" s="550"/>
      <c r="BR32" s="550"/>
      <c r="BS32" s="550"/>
    </row>
    <row r="33" spans="1:71" s="214" customFormat="1" ht="13.15">
      <c r="A33" s="453"/>
      <c r="B33" s="453"/>
      <c r="C33" s="453"/>
      <c r="D33" s="453"/>
      <c r="E33" s="453" t="str">
        <f>Company_PC_inputs!E33&amp; " (Intervention)"</f>
        <v>ODI form (Intervention)</v>
      </c>
      <c r="F33" s="453"/>
      <c r="G33" s="453" t="s">
        <v>1137</v>
      </c>
      <c r="H33" s="453"/>
      <c r="I33" s="453"/>
      <c r="J33" s="505"/>
      <c r="K33" s="505"/>
      <c r="L33" s="505"/>
      <c r="M33" s="505"/>
      <c r="N33" s="505"/>
      <c r="O33" s="505"/>
      <c r="P33" s="505"/>
      <c r="Q33" s="506"/>
      <c r="R33" s="505"/>
      <c r="S33" s="505"/>
      <c r="T33" s="505"/>
      <c r="U33" s="505"/>
      <c r="V33" s="505"/>
      <c r="W33" s="505"/>
      <c r="X33" s="505"/>
      <c r="Y33" s="505"/>
      <c r="Z33" s="505"/>
      <c r="AA33" s="505"/>
      <c r="AB33" s="505"/>
      <c r="AC33" s="505"/>
      <c r="AD33" s="505"/>
      <c r="AE33" s="505"/>
      <c r="AF33" s="505"/>
      <c r="AG33" s="505"/>
      <c r="AH33" s="505"/>
      <c r="AI33" s="505"/>
      <c r="AJ33" s="505"/>
      <c r="AK33" s="506"/>
      <c r="AL33" s="505"/>
      <c r="AM33" s="505"/>
      <c r="AN33" s="505"/>
      <c r="AO33" s="506"/>
      <c r="AP33" s="505"/>
      <c r="AQ33" s="505"/>
      <c r="AR33" s="505"/>
      <c r="AS33" s="505"/>
      <c r="AT33" s="505"/>
      <c r="AU33" s="505"/>
      <c r="AV33" s="505"/>
      <c r="AW33" s="505"/>
      <c r="AX33" s="505"/>
      <c r="AY33" s="505"/>
      <c r="AZ33" s="505"/>
      <c r="BA33" s="505"/>
      <c r="BB33" s="505"/>
      <c r="BC33" s="506"/>
      <c r="BD33" s="505"/>
      <c r="BE33" s="505"/>
      <c r="BF33" s="505"/>
      <c r="BG33" s="505"/>
      <c r="BH33" s="505"/>
      <c r="BI33" s="505"/>
      <c r="BJ33" s="505"/>
      <c r="BK33" s="505"/>
      <c r="BL33" s="505"/>
      <c r="BM33" s="505"/>
      <c r="BN33" s="505"/>
      <c r="BO33" s="505"/>
      <c r="BP33" s="505"/>
      <c r="BQ33" s="505"/>
      <c r="BR33" s="505"/>
      <c r="BS33" s="505"/>
    </row>
    <row r="34" spans="1:71" s="214" customFormat="1" ht="13.15">
      <c r="A34" s="453"/>
      <c r="B34" s="453"/>
      <c r="C34" s="453"/>
      <c r="D34" s="453"/>
      <c r="E34" s="453" t="str">
        <f>Company_PC_inputs!E34&amp; " (Intervention)"</f>
        <v>ODI timing (Intervention)</v>
      </c>
      <c r="F34" s="453"/>
      <c r="G34" s="453" t="s">
        <v>1137</v>
      </c>
      <c r="H34" s="453"/>
      <c r="I34" s="453"/>
      <c r="J34" s="505"/>
      <c r="K34" s="505"/>
      <c r="L34" s="505"/>
      <c r="M34" s="505"/>
      <c r="N34" s="505"/>
      <c r="O34" s="505"/>
      <c r="P34" s="505"/>
      <c r="Q34" s="506"/>
      <c r="R34" s="505"/>
      <c r="S34" s="505"/>
      <c r="T34" s="505"/>
      <c r="U34" s="505"/>
      <c r="V34" s="505"/>
      <c r="W34" s="505"/>
      <c r="X34" s="505"/>
      <c r="Y34" s="505"/>
      <c r="Z34" s="505"/>
      <c r="AA34" s="505"/>
      <c r="AB34" s="505"/>
      <c r="AC34" s="505"/>
      <c r="AD34" s="505"/>
      <c r="AE34" s="505"/>
      <c r="AF34" s="505"/>
      <c r="AG34" s="505"/>
      <c r="AH34" s="505"/>
      <c r="AI34" s="505"/>
      <c r="AJ34" s="505"/>
      <c r="AK34" s="506"/>
      <c r="AL34" s="505"/>
      <c r="AM34" s="505"/>
      <c r="AN34" s="505"/>
      <c r="AO34" s="506"/>
      <c r="AP34" s="505"/>
      <c r="AQ34" s="505"/>
      <c r="AR34" s="505"/>
      <c r="AS34" s="505"/>
      <c r="AT34" s="505"/>
      <c r="AU34" s="505"/>
      <c r="AV34" s="505"/>
      <c r="AW34" s="505"/>
      <c r="AX34" s="505"/>
      <c r="AY34" s="505"/>
      <c r="AZ34" s="505"/>
      <c r="BA34" s="505"/>
      <c r="BB34" s="505"/>
      <c r="BC34" s="506"/>
      <c r="BD34" s="505"/>
      <c r="BE34" s="505"/>
      <c r="BF34" s="505"/>
      <c r="BG34" s="505"/>
      <c r="BH34" s="505"/>
      <c r="BI34" s="505"/>
      <c r="BJ34" s="505"/>
      <c r="BK34" s="505"/>
      <c r="BL34" s="505"/>
      <c r="BM34" s="505"/>
      <c r="BN34" s="505"/>
      <c r="BO34" s="505"/>
      <c r="BP34" s="505"/>
      <c r="BQ34" s="505"/>
      <c r="BR34" s="505"/>
      <c r="BS34" s="505"/>
    </row>
    <row r="35" spans="1:71" s="214" customFormat="1" ht="13.15">
      <c r="A35" s="453"/>
      <c r="B35" s="453"/>
      <c r="C35" s="453"/>
      <c r="D35" s="453"/>
      <c r="E35" s="453"/>
      <c r="F35" s="453"/>
      <c r="G35" s="453"/>
      <c r="H35" s="453"/>
      <c r="I35" s="453"/>
      <c r="J35" s="542"/>
      <c r="K35" s="542"/>
      <c r="L35" s="542"/>
      <c r="M35" s="542"/>
      <c r="N35" s="542"/>
      <c r="O35" s="542"/>
      <c r="P35" s="542"/>
      <c r="Q35" s="543"/>
      <c r="R35" s="542"/>
      <c r="S35" s="542"/>
      <c r="T35" s="542"/>
      <c r="U35" s="542"/>
      <c r="V35" s="542"/>
      <c r="W35" s="542"/>
      <c r="X35" s="542"/>
      <c r="Y35" s="542"/>
      <c r="Z35" s="542"/>
      <c r="AA35" s="542"/>
      <c r="AB35" s="542"/>
      <c r="AC35" s="542"/>
      <c r="AD35" s="542"/>
      <c r="AE35" s="542"/>
      <c r="AF35" s="542"/>
      <c r="AG35" s="542"/>
      <c r="AH35" s="542"/>
      <c r="AI35" s="542"/>
      <c r="AJ35" s="542"/>
      <c r="AK35" s="543"/>
      <c r="AL35" s="542"/>
      <c r="AM35" s="542"/>
      <c r="AN35" s="542"/>
      <c r="AO35" s="543"/>
      <c r="AP35" s="542"/>
      <c r="AQ35" s="542"/>
      <c r="AR35" s="542"/>
      <c r="AS35" s="542"/>
      <c r="AT35" s="542"/>
      <c r="AU35" s="542"/>
      <c r="AV35" s="542"/>
      <c r="AW35" s="542"/>
      <c r="AX35" s="542"/>
      <c r="AY35" s="542"/>
      <c r="AZ35" s="542"/>
      <c r="BA35" s="542"/>
      <c r="BB35" s="542"/>
      <c r="BC35" s="543"/>
      <c r="BD35" s="542"/>
      <c r="BE35" s="542"/>
      <c r="BF35" s="542"/>
      <c r="BG35" s="542"/>
      <c r="BH35" s="542"/>
      <c r="BI35" s="542"/>
      <c r="BJ35" s="542"/>
      <c r="BK35" s="542"/>
      <c r="BL35" s="542"/>
      <c r="BM35" s="542"/>
      <c r="BN35" s="542"/>
      <c r="BO35" s="542"/>
      <c r="BP35" s="542"/>
      <c r="BQ35" s="542"/>
      <c r="BR35" s="542"/>
      <c r="BS35" s="542"/>
    </row>
    <row r="36" spans="1:71" s="214" customFormat="1" ht="13.15">
      <c r="A36" s="453"/>
      <c r="B36" s="453"/>
      <c r="C36" s="453"/>
      <c r="D36" s="453"/>
      <c r="E36" s="453" t="str">
        <f>Company_PC_inputs!E36&amp; " (Intervention)"</f>
        <v>Financial incentives apply or accrue this year? (Intervention)</v>
      </c>
      <c r="F36" s="453"/>
      <c r="G36" s="453" t="s">
        <v>418</v>
      </c>
      <c r="H36" s="453"/>
      <c r="I36" s="453"/>
      <c r="J36" s="505"/>
      <c r="K36" s="505"/>
      <c r="L36" s="505"/>
      <c r="M36" s="505"/>
      <c r="N36" s="505"/>
      <c r="O36" s="505"/>
      <c r="P36" s="505"/>
      <c r="Q36" s="506"/>
      <c r="R36" s="505"/>
      <c r="S36" s="505"/>
      <c r="T36" s="505"/>
      <c r="U36" s="505"/>
      <c r="V36" s="505"/>
      <c r="W36" s="505"/>
      <c r="X36" s="505"/>
      <c r="Y36" s="2069" t="b">
        <v>0</v>
      </c>
      <c r="Z36" s="505"/>
      <c r="AA36" s="505"/>
      <c r="AB36" s="505"/>
      <c r="AC36" s="505"/>
      <c r="AD36" s="505"/>
      <c r="AE36" s="505"/>
      <c r="AF36" s="505"/>
      <c r="AG36" s="505"/>
      <c r="AH36" s="505"/>
      <c r="AI36" s="505"/>
      <c r="AJ36" s="505"/>
      <c r="AK36" s="506"/>
      <c r="AL36" s="505"/>
      <c r="AM36" s="505"/>
      <c r="AN36" s="505"/>
      <c r="AO36" s="506"/>
      <c r="AP36" s="505"/>
      <c r="AQ36" s="505"/>
      <c r="AR36" s="505"/>
      <c r="AS36" s="505"/>
      <c r="AT36" s="505"/>
      <c r="AU36" s="2069" t="b">
        <v>0</v>
      </c>
      <c r="AV36" s="2069" t="b">
        <v>0</v>
      </c>
      <c r="AW36" s="505"/>
      <c r="AX36" s="505"/>
      <c r="AY36" s="505"/>
      <c r="AZ36" s="505"/>
      <c r="BA36" s="505"/>
      <c r="BB36" s="505"/>
      <c r="BC36" s="506"/>
      <c r="BD36" s="548"/>
      <c r="BE36" s="548"/>
      <c r="BF36" s="548"/>
      <c r="BG36" s="548"/>
      <c r="BH36" s="548"/>
      <c r="BI36" s="548"/>
      <c r="BJ36" s="548"/>
      <c r="BK36" s="548"/>
      <c r="BL36" s="548"/>
      <c r="BM36" s="548"/>
      <c r="BN36" s="548"/>
      <c r="BO36" s="548"/>
      <c r="BP36" s="548"/>
      <c r="BQ36" s="548"/>
      <c r="BR36" s="548"/>
      <c r="BS36" s="548"/>
    </row>
    <row r="37" spans="1:71" s="214" customFormat="1" ht="13.15">
      <c r="A37" s="453"/>
      <c r="B37" s="453"/>
      <c r="C37" s="453"/>
      <c r="D37" s="453"/>
      <c r="E37" s="453"/>
      <c r="F37" s="453"/>
      <c r="G37" s="453"/>
      <c r="H37" s="453"/>
      <c r="I37" s="453"/>
      <c r="J37" s="542"/>
      <c r="K37" s="542"/>
      <c r="L37" s="542"/>
      <c r="M37" s="542"/>
      <c r="N37" s="542"/>
      <c r="O37" s="542"/>
      <c r="P37" s="542"/>
      <c r="Q37" s="543"/>
      <c r="R37" s="542"/>
      <c r="S37" s="542"/>
      <c r="T37" s="542"/>
      <c r="U37" s="542"/>
      <c r="V37" s="542"/>
      <c r="W37" s="542"/>
      <c r="X37" s="542"/>
      <c r="Y37" s="542"/>
      <c r="Z37" s="542"/>
      <c r="AA37" s="542"/>
      <c r="AB37" s="542"/>
      <c r="AC37" s="542"/>
      <c r="AD37" s="542"/>
      <c r="AE37" s="542"/>
      <c r="AF37" s="542"/>
      <c r="AG37" s="542"/>
      <c r="AH37" s="542"/>
      <c r="AI37" s="542"/>
      <c r="AJ37" s="542"/>
      <c r="AK37" s="543"/>
      <c r="AL37" s="542"/>
      <c r="AM37" s="542"/>
      <c r="AN37" s="542"/>
      <c r="AO37" s="543"/>
      <c r="AP37" s="542"/>
      <c r="AQ37" s="542"/>
      <c r="AR37" s="542"/>
      <c r="AS37" s="542"/>
      <c r="AT37" s="542"/>
      <c r="AU37" s="542"/>
      <c r="AV37" s="542"/>
      <c r="AW37" s="542"/>
      <c r="AX37" s="542"/>
      <c r="AY37" s="542"/>
      <c r="AZ37" s="542"/>
      <c r="BA37" s="542"/>
      <c r="BB37" s="542"/>
      <c r="BC37" s="543"/>
      <c r="BD37" s="542"/>
      <c r="BE37" s="542"/>
      <c r="BF37" s="542"/>
      <c r="BG37" s="542"/>
      <c r="BH37" s="542"/>
      <c r="BI37" s="542"/>
      <c r="BJ37" s="542"/>
      <c r="BK37" s="542"/>
      <c r="BL37" s="542"/>
      <c r="BM37" s="542"/>
      <c r="BN37" s="542"/>
      <c r="BO37" s="542"/>
      <c r="BP37" s="542"/>
      <c r="BQ37" s="542"/>
      <c r="BR37" s="542"/>
      <c r="BS37" s="542"/>
    </row>
    <row r="38" spans="1:71" s="214" customFormat="1" ht="13.15">
      <c r="A38" s="453"/>
      <c r="B38" s="453"/>
      <c r="C38" s="453"/>
      <c r="D38" s="453"/>
      <c r="E38" s="453" t="str">
        <f>Company_PC_inputs!E38&amp; " (Intervention)"</f>
        <v>Direction of improving performance (Intervention)</v>
      </c>
      <c r="F38" s="453"/>
      <c r="G38" s="453" t="s">
        <v>1176</v>
      </c>
      <c r="H38" s="453"/>
      <c r="I38" s="453"/>
      <c r="J38" s="505"/>
      <c r="K38" s="505"/>
      <c r="L38" s="505"/>
      <c r="M38" s="505"/>
      <c r="N38" s="505"/>
      <c r="O38" s="505"/>
      <c r="P38" s="505"/>
      <c r="Q38" s="506"/>
      <c r="R38" s="505"/>
      <c r="S38" s="505"/>
      <c r="T38" s="505"/>
      <c r="U38" s="505"/>
      <c r="V38" s="505"/>
      <c r="W38" s="505"/>
      <c r="X38" s="505"/>
      <c r="Y38" s="505"/>
      <c r="Z38" s="505"/>
      <c r="AA38" s="505"/>
      <c r="AB38" s="505"/>
      <c r="AC38" s="505"/>
      <c r="AD38" s="505"/>
      <c r="AE38" s="505"/>
      <c r="AF38" s="505"/>
      <c r="AG38" s="505"/>
      <c r="AH38" s="505"/>
      <c r="AI38" s="505"/>
      <c r="AJ38" s="505"/>
      <c r="AK38" s="506"/>
      <c r="AL38" s="505"/>
      <c r="AM38" s="505"/>
      <c r="AN38" s="505"/>
      <c r="AO38" s="506"/>
      <c r="AP38" s="505"/>
      <c r="AQ38" s="505"/>
      <c r="AR38" s="505"/>
      <c r="AS38" s="505"/>
      <c r="AT38" s="505"/>
      <c r="AU38" s="505"/>
      <c r="AV38" s="505"/>
      <c r="AW38" s="505"/>
      <c r="AX38" s="505"/>
      <c r="AY38" s="505"/>
      <c r="AZ38" s="505"/>
      <c r="BA38" s="505"/>
      <c r="BB38" s="505"/>
      <c r="BC38" s="506"/>
      <c r="BD38" s="505"/>
      <c r="BE38" s="505"/>
      <c r="BF38" s="505"/>
      <c r="BG38" s="505"/>
      <c r="BH38" s="505"/>
      <c r="BI38" s="505"/>
      <c r="BJ38" s="505"/>
      <c r="BK38" s="505"/>
      <c r="BL38" s="505"/>
      <c r="BM38" s="505"/>
      <c r="BN38" s="505"/>
      <c r="BO38" s="505"/>
      <c r="BP38" s="505"/>
      <c r="BQ38" s="505"/>
      <c r="BR38" s="505"/>
      <c r="BS38" s="505"/>
    </row>
    <row r="39" spans="1:71" s="214" customFormat="1" ht="13.15">
      <c r="A39" s="453"/>
      <c r="B39" s="453"/>
      <c r="C39" s="453"/>
      <c r="D39" s="453"/>
      <c r="E39" s="453"/>
      <c r="F39" s="453"/>
      <c r="G39" s="453"/>
      <c r="H39" s="453"/>
      <c r="I39" s="453"/>
      <c r="J39" s="542"/>
      <c r="K39" s="542"/>
      <c r="L39" s="542"/>
      <c r="M39" s="542"/>
      <c r="N39" s="542"/>
      <c r="O39" s="542"/>
      <c r="P39" s="542"/>
      <c r="Q39" s="543"/>
      <c r="R39" s="542"/>
      <c r="S39" s="542"/>
      <c r="T39" s="542"/>
      <c r="U39" s="542"/>
      <c r="V39" s="542"/>
      <c r="W39" s="542"/>
      <c r="X39" s="542"/>
      <c r="Y39" s="542"/>
      <c r="Z39" s="542"/>
      <c r="AA39" s="542"/>
      <c r="AB39" s="542"/>
      <c r="AC39" s="542"/>
      <c r="AD39" s="542"/>
      <c r="AE39" s="542"/>
      <c r="AF39" s="542"/>
      <c r="AG39" s="542"/>
      <c r="AH39" s="542"/>
      <c r="AI39" s="542"/>
      <c r="AJ39" s="542"/>
      <c r="AK39" s="543"/>
      <c r="AL39" s="542"/>
      <c r="AM39" s="542"/>
      <c r="AN39" s="542"/>
      <c r="AO39" s="543"/>
      <c r="AP39" s="542"/>
      <c r="AQ39" s="542"/>
      <c r="AR39" s="542"/>
      <c r="AS39" s="542"/>
      <c r="AT39" s="542"/>
      <c r="AU39" s="542"/>
      <c r="AV39" s="542"/>
      <c r="AW39" s="542"/>
      <c r="AX39" s="542"/>
      <c r="AY39" s="542"/>
      <c r="AZ39" s="542"/>
      <c r="BA39" s="542"/>
      <c r="BB39" s="542"/>
      <c r="BC39" s="543"/>
      <c r="BD39" s="542"/>
      <c r="BE39" s="542"/>
      <c r="BF39" s="542"/>
      <c r="BG39" s="542"/>
      <c r="BH39" s="542"/>
      <c r="BI39" s="542"/>
      <c r="BJ39" s="542"/>
      <c r="BK39" s="542"/>
      <c r="BL39" s="542"/>
      <c r="BM39" s="542"/>
      <c r="BN39" s="542"/>
      <c r="BO39" s="542"/>
      <c r="BP39" s="542"/>
      <c r="BQ39" s="542"/>
      <c r="BR39" s="542"/>
      <c r="BS39" s="542"/>
    </row>
    <row r="40" spans="1:71" s="214" customFormat="1" ht="13.15">
      <c r="A40" s="453"/>
      <c r="B40" s="453"/>
      <c r="C40" s="453"/>
      <c r="D40" s="453"/>
      <c r="E40" s="453" t="str">
        <f>Company_PC_inputs!E40&amp; " (Intervention)"</f>
        <v>Decimal places (Intervention)</v>
      </c>
      <c r="F40" s="453"/>
      <c r="G40" s="453" t="s">
        <v>396</v>
      </c>
      <c r="H40" s="453"/>
      <c r="I40" s="453"/>
      <c r="J40" s="505"/>
      <c r="K40" s="505"/>
      <c r="L40" s="505"/>
      <c r="M40" s="505"/>
      <c r="N40" s="505"/>
      <c r="O40" s="505"/>
      <c r="P40" s="505"/>
      <c r="Q40" s="506"/>
      <c r="R40" s="505"/>
      <c r="S40" s="505"/>
      <c r="T40" s="505"/>
      <c r="U40" s="505"/>
      <c r="V40" s="505"/>
      <c r="W40" s="505"/>
      <c r="X40" s="505"/>
      <c r="Y40" s="505"/>
      <c r="Z40" s="505"/>
      <c r="AA40" s="505"/>
      <c r="AB40" s="505"/>
      <c r="AC40" s="505"/>
      <c r="AD40" s="505"/>
      <c r="AE40" s="505"/>
      <c r="AF40" s="505"/>
      <c r="AG40" s="505"/>
      <c r="AH40" s="505"/>
      <c r="AI40" s="505"/>
      <c r="AJ40" s="505"/>
      <c r="AK40" s="506"/>
      <c r="AL40" s="505"/>
      <c r="AM40" s="505"/>
      <c r="AN40" s="505"/>
      <c r="AO40" s="506"/>
      <c r="AP40" s="505"/>
      <c r="AQ40" s="505"/>
      <c r="AR40" s="505"/>
      <c r="AS40" s="505"/>
      <c r="AT40" s="505"/>
      <c r="AU40" s="505"/>
      <c r="AV40" s="505"/>
      <c r="AW40" s="505"/>
      <c r="AX40" s="505"/>
      <c r="AY40" s="505"/>
      <c r="AZ40" s="505"/>
      <c r="BA40" s="505"/>
      <c r="BB40" s="505"/>
      <c r="BC40" s="506"/>
      <c r="BD40" s="505"/>
      <c r="BE40" s="505"/>
      <c r="BF40" s="505"/>
      <c r="BG40" s="505"/>
      <c r="BH40" s="505"/>
      <c r="BI40" s="505"/>
      <c r="BJ40" s="505"/>
      <c r="BK40" s="505"/>
      <c r="BL40" s="505"/>
      <c r="BM40" s="505"/>
      <c r="BN40" s="505"/>
      <c r="BO40" s="505"/>
      <c r="BP40" s="505"/>
      <c r="BQ40" s="505"/>
      <c r="BR40" s="505"/>
      <c r="BS40" s="505"/>
    </row>
    <row r="41" spans="1:71" s="214" customFormat="1" ht="13.15">
      <c r="A41" s="453"/>
      <c r="B41" s="453"/>
      <c r="C41" s="453"/>
      <c r="D41" s="453"/>
      <c r="E41" s="453"/>
      <c r="F41" s="453"/>
      <c r="G41" s="453"/>
      <c r="H41" s="453"/>
      <c r="I41" s="453"/>
      <c r="J41" s="546"/>
      <c r="K41" s="546"/>
      <c r="L41" s="546"/>
      <c r="M41" s="546"/>
      <c r="N41" s="546"/>
      <c r="O41" s="546"/>
      <c r="P41" s="546"/>
      <c r="Q41" s="547"/>
      <c r="R41" s="546"/>
      <c r="S41" s="546"/>
      <c r="T41" s="546"/>
      <c r="U41" s="546"/>
      <c r="V41" s="546"/>
      <c r="W41" s="546"/>
      <c r="X41" s="546"/>
      <c r="Y41" s="546"/>
      <c r="Z41" s="546"/>
      <c r="AA41" s="546"/>
      <c r="AB41" s="546"/>
      <c r="AC41" s="546"/>
      <c r="AD41" s="546"/>
      <c r="AE41" s="546"/>
      <c r="AF41" s="546"/>
      <c r="AG41" s="546"/>
      <c r="AH41" s="546"/>
      <c r="AI41" s="546"/>
      <c r="AJ41" s="546"/>
      <c r="AK41" s="547"/>
      <c r="AL41" s="546"/>
      <c r="AM41" s="546"/>
      <c r="AN41" s="546"/>
      <c r="AO41" s="547"/>
      <c r="AP41" s="546"/>
      <c r="AQ41" s="546"/>
      <c r="AR41" s="546"/>
      <c r="AS41" s="546"/>
      <c r="AT41" s="546"/>
      <c r="AU41" s="546"/>
      <c r="AV41" s="546"/>
      <c r="AW41" s="546"/>
      <c r="AX41" s="546"/>
      <c r="AY41" s="546"/>
      <c r="AZ41" s="546"/>
      <c r="BA41" s="546"/>
      <c r="BB41" s="546"/>
      <c r="BC41" s="547"/>
      <c r="BD41" s="546"/>
      <c r="BE41" s="546"/>
      <c r="BF41" s="546"/>
      <c r="BG41" s="546"/>
      <c r="BH41" s="546"/>
      <c r="BI41" s="546"/>
      <c r="BJ41" s="546"/>
      <c r="BK41" s="546"/>
      <c r="BL41" s="546"/>
      <c r="BM41" s="546"/>
      <c r="BN41" s="546"/>
      <c r="BO41" s="546"/>
      <c r="BP41" s="546"/>
      <c r="BQ41" s="546"/>
      <c r="BR41" s="546"/>
      <c r="BS41" s="546"/>
    </row>
    <row r="42" spans="1:71" s="214" customFormat="1" ht="13.15">
      <c r="A42" s="453"/>
      <c r="B42" s="453"/>
      <c r="C42" s="453"/>
      <c r="D42" s="463" t="s">
        <v>1177</v>
      </c>
      <c r="E42" s="453"/>
      <c r="F42" s="453"/>
      <c r="G42" s="453"/>
      <c r="H42" s="453"/>
      <c r="I42" s="453"/>
      <c r="J42" s="542"/>
      <c r="K42" s="542"/>
      <c r="L42" s="542"/>
      <c r="M42" s="542"/>
      <c r="N42" s="542"/>
      <c r="O42" s="542"/>
      <c r="P42" s="542"/>
      <c r="Q42" s="543"/>
      <c r="R42" s="542"/>
      <c r="S42" s="542"/>
      <c r="T42" s="542"/>
      <c r="U42" s="542"/>
      <c r="V42" s="542"/>
      <c r="W42" s="542"/>
      <c r="X42" s="542"/>
      <c r="Y42" s="542"/>
      <c r="Z42" s="542"/>
      <c r="AA42" s="542"/>
      <c r="AB42" s="542"/>
      <c r="AC42" s="542"/>
      <c r="AD42" s="542"/>
      <c r="AE42" s="542"/>
      <c r="AF42" s="542"/>
      <c r="AG42" s="542"/>
      <c r="AH42" s="542"/>
      <c r="AI42" s="542"/>
      <c r="AJ42" s="542"/>
      <c r="AK42" s="543"/>
      <c r="AL42" s="542"/>
      <c r="AM42" s="542"/>
      <c r="AN42" s="542"/>
      <c r="AO42" s="543"/>
      <c r="AP42" s="542"/>
      <c r="AQ42" s="542"/>
      <c r="AR42" s="542"/>
      <c r="AS42" s="542"/>
      <c r="AT42" s="542"/>
      <c r="AU42" s="542"/>
      <c r="AV42" s="542"/>
      <c r="AW42" s="542"/>
      <c r="AX42" s="542"/>
      <c r="AY42" s="542"/>
      <c r="AZ42" s="542"/>
      <c r="BA42" s="542"/>
      <c r="BB42" s="542"/>
      <c r="BC42" s="543"/>
      <c r="BD42" s="542"/>
      <c r="BE42" s="542"/>
      <c r="BF42" s="542"/>
      <c r="BG42" s="542"/>
      <c r="BH42" s="542"/>
      <c r="BI42" s="542"/>
      <c r="BJ42" s="542"/>
      <c r="BK42" s="542"/>
      <c r="BL42" s="542"/>
      <c r="BM42" s="542"/>
      <c r="BN42" s="542"/>
      <c r="BO42" s="542"/>
      <c r="BP42" s="542"/>
      <c r="BQ42" s="542"/>
      <c r="BR42" s="542"/>
      <c r="BS42" s="542"/>
    </row>
    <row r="43" spans="1:71" s="214" customFormat="1" ht="13.15">
      <c r="A43" s="453"/>
      <c r="B43" s="453"/>
      <c r="C43" s="453"/>
      <c r="D43" s="453"/>
      <c r="E43" s="453" t="str">
        <f>Company_PC_inputs!E43&amp; " (Intervention)"</f>
        <v>Standard outperformance cap (Intervention)</v>
      </c>
      <c r="F43" s="453"/>
      <c r="G43" s="453" t="s">
        <v>1158</v>
      </c>
      <c r="H43" s="453"/>
      <c r="I43" s="453"/>
      <c r="J43" s="488"/>
      <c r="K43" s="488"/>
      <c r="L43" s="488"/>
      <c r="M43" s="488"/>
      <c r="N43" s="488"/>
      <c r="O43" s="488"/>
      <c r="P43" s="488"/>
      <c r="Q43" s="489"/>
      <c r="R43" s="488"/>
      <c r="S43" s="488"/>
      <c r="T43" s="488"/>
      <c r="U43" s="488"/>
      <c r="V43" s="488"/>
      <c r="W43" s="488"/>
      <c r="X43" s="488"/>
      <c r="Y43" s="488"/>
      <c r="Z43" s="488"/>
      <c r="AA43" s="488"/>
      <c r="AB43" s="488"/>
      <c r="AC43" s="488"/>
      <c r="AD43" s="488"/>
      <c r="AE43" s="488"/>
      <c r="AF43" s="488"/>
      <c r="AG43" s="488"/>
      <c r="AH43" s="488"/>
      <c r="AI43" s="488"/>
      <c r="AJ43" s="488"/>
      <c r="AK43" s="489"/>
      <c r="AL43" s="488"/>
      <c r="AM43" s="488"/>
      <c r="AN43" s="488"/>
      <c r="AO43" s="489"/>
      <c r="AP43" s="488"/>
      <c r="AQ43" s="488"/>
      <c r="AR43" s="488"/>
      <c r="AS43" s="488"/>
      <c r="AT43" s="488"/>
      <c r="AU43" s="488"/>
      <c r="AV43" s="488"/>
      <c r="AW43" s="488"/>
      <c r="AX43" s="488"/>
      <c r="AY43" s="488"/>
      <c r="AZ43" s="488"/>
      <c r="BA43" s="488"/>
      <c r="BB43" s="488"/>
      <c r="BC43" s="489"/>
      <c r="BD43" s="488"/>
      <c r="BE43" s="488"/>
      <c r="BF43" s="488"/>
      <c r="BG43" s="488"/>
      <c r="BH43" s="488"/>
      <c r="BI43" s="488"/>
      <c r="BJ43" s="488"/>
      <c r="BK43" s="488"/>
      <c r="BL43" s="488"/>
      <c r="BM43" s="488"/>
      <c r="BN43" s="488"/>
      <c r="BO43" s="488"/>
      <c r="BP43" s="488"/>
      <c r="BQ43" s="488"/>
      <c r="BR43" s="488"/>
      <c r="BS43" s="488"/>
    </row>
    <row r="44" spans="1:71" s="214" customFormat="1" ht="13.15">
      <c r="A44" s="453"/>
      <c r="B44" s="453"/>
      <c r="C44" s="453"/>
      <c r="D44" s="453"/>
      <c r="E44" s="453" t="str">
        <f>Company_PC_inputs!E44&amp; " (Intervention)"</f>
        <v>Outperformance deadband (Intervention)</v>
      </c>
      <c r="F44" s="453"/>
      <c r="G44" s="453" t="s">
        <v>1158</v>
      </c>
      <c r="H44" s="453"/>
      <c r="I44" s="453"/>
      <c r="J44" s="488"/>
      <c r="K44" s="488"/>
      <c r="L44" s="488"/>
      <c r="M44" s="488"/>
      <c r="N44" s="488"/>
      <c r="O44" s="488"/>
      <c r="P44" s="488"/>
      <c r="Q44" s="489"/>
      <c r="R44" s="488"/>
      <c r="S44" s="488"/>
      <c r="T44" s="488"/>
      <c r="U44" s="488"/>
      <c r="V44" s="488"/>
      <c r="W44" s="488"/>
      <c r="X44" s="488"/>
      <c r="Y44" s="488"/>
      <c r="Z44" s="488"/>
      <c r="AA44" s="488"/>
      <c r="AB44" s="488"/>
      <c r="AC44" s="488"/>
      <c r="AD44" s="488"/>
      <c r="AE44" s="488"/>
      <c r="AF44" s="488"/>
      <c r="AG44" s="488"/>
      <c r="AH44" s="488"/>
      <c r="AI44" s="488"/>
      <c r="AJ44" s="488"/>
      <c r="AK44" s="489"/>
      <c r="AL44" s="488"/>
      <c r="AM44" s="488"/>
      <c r="AN44" s="488"/>
      <c r="AO44" s="489"/>
      <c r="AP44" s="488"/>
      <c r="AQ44" s="488"/>
      <c r="AR44" s="488"/>
      <c r="AS44" s="488"/>
      <c r="AT44" s="488"/>
      <c r="AU44" s="488"/>
      <c r="AV44" s="488"/>
      <c r="AW44" s="488"/>
      <c r="AX44" s="488"/>
      <c r="AY44" s="488"/>
      <c r="AZ44" s="488"/>
      <c r="BA44" s="488"/>
      <c r="BB44" s="488"/>
      <c r="BC44" s="489"/>
      <c r="BD44" s="488"/>
      <c r="BE44" s="488"/>
      <c r="BF44" s="488"/>
      <c r="BG44" s="488"/>
      <c r="BH44" s="488"/>
      <c r="BI44" s="488"/>
      <c r="BJ44" s="488"/>
      <c r="BK44" s="488"/>
      <c r="BL44" s="488"/>
      <c r="BM44" s="488"/>
      <c r="BN44" s="488"/>
      <c r="BO44" s="488"/>
      <c r="BP44" s="488"/>
      <c r="BQ44" s="488"/>
      <c r="BR44" s="488"/>
      <c r="BS44" s="488"/>
    </row>
    <row r="45" spans="1:71" s="214" customFormat="1" ht="13.15">
      <c r="A45" s="453"/>
      <c r="B45" s="453"/>
      <c r="C45" s="453"/>
      <c r="D45" s="453"/>
      <c r="E45" s="453" t="str">
        <f>Company_PC_inputs!E45&amp; " (Intervention)"</f>
        <v>Performance commitment level (Intervention)</v>
      </c>
      <c r="F45" s="453"/>
      <c r="G45" s="453" t="s">
        <v>1158</v>
      </c>
      <c r="H45" s="453"/>
      <c r="I45" s="453"/>
      <c r="J45" s="488"/>
      <c r="K45" s="488"/>
      <c r="L45" s="488"/>
      <c r="M45" s="488"/>
      <c r="N45" s="488"/>
      <c r="O45" s="488"/>
      <c r="P45" s="488"/>
      <c r="Q45" s="489"/>
      <c r="R45" s="488"/>
      <c r="S45" s="488"/>
      <c r="T45" s="488"/>
      <c r="U45" s="488"/>
      <c r="V45" s="488"/>
      <c r="W45" s="488"/>
      <c r="X45" s="488"/>
      <c r="Y45" s="488"/>
      <c r="Z45" s="488"/>
      <c r="AA45" s="488"/>
      <c r="AB45" s="488"/>
      <c r="AC45" s="488"/>
      <c r="AD45" s="488"/>
      <c r="AE45" s="488"/>
      <c r="AF45" s="488"/>
      <c r="AG45" s="488"/>
      <c r="AH45" s="488"/>
      <c r="AI45" s="488"/>
      <c r="AJ45" s="488"/>
      <c r="AK45" s="489"/>
      <c r="AL45" s="488"/>
      <c r="AM45" s="488"/>
      <c r="AN45" s="488"/>
      <c r="AO45" s="489"/>
      <c r="AP45" s="488"/>
      <c r="AQ45" s="488"/>
      <c r="AR45" s="488"/>
      <c r="AS45" s="488"/>
      <c r="AT45" s="488"/>
      <c r="AU45" s="488"/>
      <c r="AV45" s="488"/>
      <c r="AW45" s="488"/>
      <c r="AX45" s="488"/>
      <c r="AY45" s="488"/>
      <c r="AZ45" s="488"/>
      <c r="BA45" s="488"/>
      <c r="BB45" s="488"/>
      <c r="BC45" s="489"/>
      <c r="BD45" s="488"/>
      <c r="BE45" s="488"/>
      <c r="BF45" s="488"/>
      <c r="BG45" s="488"/>
      <c r="BH45" s="488"/>
      <c r="BI45" s="488"/>
      <c r="BJ45" s="488"/>
      <c r="BK45" s="488"/>
      <c r="BL45" s="488"/>
      <c r="BM45" s="488"/>
      <c r="BN45" s="488"/>
      <c r="BO45" s="488"/>
      <c r="BP45" s="488"/>
      <c r="BQ45" s="488"/>
      <c r="BR45" s="488"/>
      <c r="BS45" s="488"/>
    </row>
    <row r="46" spans="1:71" s="214" customFormat="1" ht="13.15">
      <c r="A46" s="453"/>
      <c r="B46" s="453"/>
      <c r="C46" s="453"/>
      <c r="D46" s="453"/>
      <c r="E46" s="453" t="str">
        <f>Company_PC_inputs!E46&amp; " (Intervention)"</f>
        <v>Underperformance deadband (Intervention)</v>
      </c>
      <c r="F46" s="453"/>
      <c r="G46" s="453" t="s">
        <v>1158</v>
      </c>
      <c r="H46" s="453"/>
      <c r="I46" s="453"/>
      <c r="J46" s="488"/>
      <c r="K46" s="488"/>
      <c r="L46" s="488"/>
      <c r="M46" s="488"/>
      <c r="N46" s="488"/>
      <c r="O46" s="488"/>
      <c r="P46" s="488"/>
      <c r="Q46" s="489"/>
      <c r="R46" s="488"/>
      <c r="S46" s="488"/>
      <c r="T46" s="488"/>
      <c r="U46" s="488"/>
      <c r="V46" s="488"/>
      <c r="W46" s="488"/>
      <c r="X46" s="488"/>
      <c r="Y46" s="488"/>
      <c r="Z46" s="488"/>
      <c r="AA46" s="488"/>
      <c r="AB46" s="488"/>
      <c r="AC46" s="488"/>
      <c r="AD46" s="488"/>
      <c r="AE46" s="488"/>
      <c r="AF46" s="488"/>
      <c r="AG46" s="488"/>
      <c r="AH46" s="488"/>
      <c r="AI46" s="488"/>
      <c r="AJ46" s="488"/>
      <c r="AK46" s="489"/>
      <c r="AL46" s="488"/>
      <c r="AM46" s="488"/>
      <c r="AN46" s="488"/>
      <c r="AO46" s="489"/>
      <c r="AP46" s="488"/>
      <c r="AQ46" s="488"/>
      <c r="AR46" s="488"/>
      <c r="AS46" s="488"/>
      <c r="AT46" s="488"/>
      <c r="AU46" s="488"/>
      <c r="AV46" s="488"/>
      <c r="AW46" s="488"/>
      <c r="AX46" s="488"/>
      <c r="AY46" s="488"/>
      <c r="AZ46" s="488"/>
      <c r="BA46" s="488"/>
      <c r="BB46" s="488"/>
      <c r="BC46" s="489"/>
      <c r="BD46" s="488"/>
      <c r="BE46" s="488"/>
      <c r="BF46" s="488"/>
      <c r="BG46" s="488"/>
      <c r="BH46" s="488"/>
      <c r="BI46" s="488"/>
      <c r="BJ46" s="488"/>
      <c r="BK46" s="488"/>
      <c r="BL46" s="488"/>
      <c r="BM46" s="488"/>
      <c r="BN46" s="488"/>
      <c r="BO46" s="488"/>
      <c r="BP46" s="488"/>
      <c r="BQ46" s="488"/>
      <c r="BR46" s="488"/>
      <c r="BS46" s="488"/>
    </row>
    <row r="47" spans="1:71" s="214" customFormat="1" ht="13.15">
      <c r="A47" s="453"/>
      <c r="B47" s="453"/>
      <c r="C47" s="453"/>
      <c r="D47" s="453"/>
      <c r="E47" s="453" t="str">
        <f>Company_PC_inputs!E47&amp; " (Intervention)"</f>
        <v>Standard underperformance collar (Intervention)</v>
      </c>
      <c r="F47" s="453"/>
      <c r="G47" s="453" t="s">
        <v>1158</v>
      </c>
      <c r="H47" s="453"/>
      <c r="I47" s="453"/>
      <c r="J47" s="488"/>
      <c r="K47" s="488"/>
      <c r="L47" s="488"/>
      <c r="M47" s="488"/>
      <c r="N47" s="488"/>
      <c r="O47" s="488"/>
      <c r="P47" s="488"/>
      <c r="Q47" s="489"/>
      <c r="R47" s="488"/>
      <c r="S47" s="488"/>
      <c r="T47" s="488"/>
      <c r="U47" s="488"/>
      <c r="V47" s="488"/>
      <c r="W47" s="488"/>
      <c r="X47" s="488"/>
      <c r="Y47" s="488"/>
      <c r="Z47" s="488"/>
      <c r="AA47" s="488"/>
      <c r="AB47" s="488"/>
      <c r="AC47" s="488"/>
      <c r="AD47" s="488"/>
      <c r="AE47" s="488"/>
      <c r="AF47" s="488"/>
      <c r="AG47" s="488"/>
      <c r="AH47" s="488"/>
      <c r="AI47" s="488"/>
      <c r="AJ47" s="488"/>
      <c r="AK47" s="489"/>
      <c r="AL47" s="488"/>
      <c r="AM47" s="488"/>
      <c r="AN47" s="488"/>
      <c r="AO47" s="489"/>
      <c r="AP47" s="488"/>
      <c r="AQ47" s="488"/>
      <c r="AR47" s="488"/>
      <c r="AS47" s="488"/>
      <c r="AT47" s="488"/>
      <c r="AU47" s="488"/>
      <c r="AV47" s="488"/>
      <c r="AW47" s="488"/>
      <c r="AX47" s="488"/>
      <c r="AY47" s="488"/>
      <c r="AZ47" s="488"/>
      <c r="BA47" s="488"/>
      <c r="BB47" s="488"/>
      <c r="BC47" s="489"/>
      <c r="BD47" s="488"/>
      <c r="BE47" s="488"/>
      <c r="BF47" s="488"/>
      <c r="BG47" s="488"/>
      <c r="BH47" s="488"/>
      <c r="BI47" s="488"/>
      <c r="BJ47" s="488"/>
      <c r="BK47" s="488"/>
      <c r="BL47" s="488"/>
      <c r="BM47" s="488"/>
      <c r="BN47" s="488"/>
      <c r="BO47" s="488"/>
      <c r="BP47" s="488"/>
      <c r="BQ47" s="488"/>
      <c r="BR47" s="488"/>
      <c r="BS47" s="488"/>
    </row>
    <row r="48" spans="1:71" s="214" customFormat="1" ht="13.15">
      <c r="A48" s="453"/>
      <c r="B48" s="453"/>
      <c r="C48" s="453"/>
      <c r="D48" s="453"/>
      <c r="E48" s="453"/>
      <c r="F48" s="453"/>
      <c r="G48" s="453"/>
      <c r="H48" s="453"/>
      <c r="I48" s="453"/>
      <c r="J48" s="542"/>
      <c r="K48" s="542"/>
      <c r="L48" s="542"/>
      <c r="M48" s="542"/>
      <c r="N48" s="542"/>
      <c r="O48" s="542"/>
      <c r="P48" s="542"/>
      <c r="Q48" s="543"/>
      <c r="R48" s="542"/>
      <c r="S48" s="542"/>
      <c r="T48" s="542"/>
      <c r="U48" s="542"/>
      <c r="V48" s="542"/>
      <c r="W48" s="542"/>
      <c r="X48" s="542"/>
      <c r="Y48" s="542"/>
      <c r="Z48" s="542"/>
      <c r="AA48" s="542"/>
      <c r="AB48" s="542"/>
      <c r="AC48" s="542"/>
      <c r="AD48" s="542"/>
      <c r="AE48" s="542"/>
      <c r="AF48" s="542"/>
      <c r="AG48" s="542"/>
      <c r="AH48" s="542"/>
      <c r="AI48" s="542"/>
      <c r="AJ48" s="542"/>
      <c r="AK48" s="543"/>
      <c r="AL48" s="542"/>
      <c r="AM48" s="542"/>
      <c r="AN48" s="542"/>
      <c r="AO48" s="543"/>
      <c r="AP48" s="542"/>
      <c r="AQ48" s="542"/>
      <c r="AR48" s="542"/>
      <c r="AS48" s="542"/>
      <c r="AT48" s="542"/>
      <c r="AU48" s="542"/>
      <c r="AV48" s="542"/>
      <c r="AW48" s="542"/>
      <c r="AX48" s="542"/>
      <c r="AY48" s="542"/>
      <c r="AZ48" s="542"/>
      <c r="BA48" s="542"/>
      <c r="BB48" s="542"/>
      <c r="BC48" s="543"/>
      <c r="BD48" s="542"/>
      <c r="BE48" s="542"/>
      <c r="BF48" s="542"/>
      <c r="BG48" s="542"/>
      <c r="BH48" s="542"/>
      <c r="BI48" s="542"/>
      <c r="BJ48" s="542"/>
      <c r="BK48" s="542"/>
      <c r="BL48" s="542"/>
      <c r="BM48" s="542"/>
      <c r="BN48" s="542"/>
      <c r="BO48" s="542"/>
      <c r="BP48" s="542"/>
      <c r="BQ48" s="542"/>
      <c r="BR48" s="542"/>
      <c r="BS48" s="542"/>
    </row>
    <row r="49" spans="1:71" s="214" customFormat="1" ht="13.15">
      <c r="A49" s="453"/>
      <c r="B49" s="453"/>
      <c r="C49" s="453"/>
      <c r="D49" s="453"/>
      <c r="E49" s="453" t="str">
        <f>Company_PC_inputs!E49&amp; " (Intervention)"</f>
        <v>Standard outperformance rate (Intervention)</v>
      </c>
      <c r="F49" s="453"/>
      <c r="G49" s="453" t="str">
        <f>"£m/unit ("&amp;InpCompany!$F$10&amp;" prices)"</f>
        <v>£m/unit (2017-18 prices)</v>
      </c>
      <c r="H49" s="453"/>
      <c r="I49" s="453"/>
      <c r="J49" s="527"/>
      <c r="K49" s="527"/>
      <c r="L49" s="527"/>
      <c r="M49" s="527"/>
      <c r="N49" s="527"/>
      <c r="O49" s="527"/>
      <c r="P49" s="527"/>
      <c r="Q49" s="528"/>
      <c r="R49" s="527"/>
      <c r="S49" s="527"/>
      <c r="T49" s="527"/>
      <c r="U49" s="527"/>
      <c r="V49" s="527"/>
      <c r="W49" s="527"/>
      <c r="X49" s="527"/>
      <c r="Y49" s="527"/>
      <c r="Z49" s="527"/>
      <c r="AA49" s="527"/>
      <c r="AB49" s="527"/>
      <c r="AC49" s="527"/>
      <c r="AD49" s="527"/>
      <c r="AE49" s="527"/>
      <c r="AF49" s="527"/>
      <c r="AG49" s="527"/>
      <c r="AH49" s="527"/>
      <c r="AI49" s="527"/>
      <c r="AJ49" s="527"/>
      <c r="AK49" s="528"/>
      <c r="AL49" s="527"/>
      <c r="AM49" s="527"/>
      <c r="AN49" s="527"/>
      <c r="AO49" s="528"/>
      <c r="AP49" s="527"/>
      <c r="AQ49" s="527"/>
      <c r="AR49" s="527"/>
      <c r="AS49" s="527"/>
      <c r="AT49" s="527"/>
      <c r="AU49" s="527"/>
      <c r="AV49" s="527"/>
      <c r="AW49" s="527"/>
      <c r="AX49" s="527"/>
      <c r="AY49" s="527"/>
      <c r="AZ49" s="527"/>
      <c r="BA49" s="527"/>
      <c r="BB49" s="527"/>
      <c r="BC49" s="528"/>
      <c r="BD49" s="527"/>
      <c r="BE49" s="527"/>
      <c r="BF49" s="527"/>
      <c r="BG49" s="527"/>
      <c r="BH49" s="527"/>
      <c r="BI49" s="527"/>
      <c r="BJ49" s="527"/>
      <c r="BK49" s="527"/>
      <c r="BL49" s="527"/>
      <c r="BM49" s="527"/>
      <c r="BN49" s="527"/>
      <c r="BO49" s="527"/>
      <c r="BP49" s="527"/>
      <c r="BQ49" s="527"/>
      <c r="BR49" s="527"/>
      <c r="BS49" s="527"/>
    </row>
    <row r="50" spans="1:71" s="214" customFormat="1" ht="13.15">
      <c r="A50" s="453"/>
      <c r="B50" s="453"/>
      <c r="C50" s="453"/>
      <c r="D50" s="453"/>
      <c r="E50" s="453" t="str">
        <f>Company_PC_inputs!E50&amp; " (Intervention)"</f>
        <v>Standard underperformance rate (Intervention)</v>
      </c>
      <c r="F50" s="453"/>
      <c r="G50" s="453" t="str">
        <f>"£m/unit ("&amp;InpCompany!$F$10&amp;" prices)"</f>
        <v>£m/unit (2017-18 prices)</v>
      </c>
      <c r="H50" s="453"/>
      <c r="I50" s="453"/>
      <c r="J50" s="527"/>
      <c r="K50" s="527"/>
      <c r="L50" s="527"/>
      <c r="M50" s="527"/>
      <c r="N50" s="527"/>
      <c r="O50" s="527"/>
      <c r="P50" s="527"/>
      <c r="Q50" s="528"/>
      <c r="R50" s="527"/>
      <c r="S50" s="527"/>
      <c r="T50" s="527"/>
      <c r="U50" s="527"/>
      <c r="V50" s="527"/>
      <c r="W50" s="527"/>
      <c r="X50" s="527"/>
      <c r="Y50" s="527"/>
      <c r="Z50" s="527"/>
      <c r="AA50" s="527"/>
      <c r="AB50" s="527"/>
      <c r="AC50" s="527"/>
      <c r="AD50" s="527"/>
      <c r="AE50" s="527"/>
      <c r="AF50" s="527"/>
      <c r="AG50" s="527"/>
      <c r="AH50" s="527"/>
      <c r="AI50" s="527"/>
      <c r="AJ50" s="527"/>
      <c r="AK50" s="528"/>
      <c r="AL50" s="527"/>
      <c r="AM50" s="527"/>
      <c r="AN50" s="527"/>
      <c r="AO50" s="528"/>
      <c r="AP50" s="527"/>
      <c r="AQ50" s="527"/>
      <c r="AR50" s="527"/>
      <c r="AS50" s="527"/>
      <c r="AT50" s="527"/>
      <c r="AU50" s="527"/>
      <c r="AV50" s="527"/>
      <c r="AW50" s="527"/>
      <c r="AX50" s="527"/>
      <c r="AY50" s="527"/>
      <c r="AZ50" s="527"/>
      <c r="BA50" s="527"/>
      <c r="BB50" s="527"/>
      <c r="BC50" s="528"/>
      <c r="BD50" s="527"/>
      <c r="BE50" s="527"/>
      <c r="BF50" s="527"/>
      <c r="BG50" s="527"/>
      <c r="BH50" s="527"/>
      <c r="BI50" s="527"/>
      <c r="BJ50" s="527"/>
      <c r="BK50" s="527"/>
      <c r="BL50" s="527"/>
      <c r="BM50" s="527"/>
      <c r="BN50" s="527"/>
      <c r="BO50" s="527"/>
      <c r="BP50" s="527"/>
      <c r="BQ50" s="527"/>
      <c r="BR50" s="527"/>
      <c r="BS50" s="527"/>
    </row>
    <row r="51" spans="1:71" s="214" customFormat="1" ht="13.15">
      <c r="A51" s="453"/>
      <c r="B51" s="453"/>
      <c r="C51" s="453"/>
      <c r="D51" s="453"/>
      <c r="E51" s="453"/>
      <c r="F51" s="453"/>
      <c r="G51" s="453"/>
      <c r="H51" s="453"/>
      <c r="I51" s="453"/>
      <c r="J51" s="552"/>
      <c r="K51" s="552"/>
      <c r="L51" s="552"/>
      <c r="M51" s="552"/>
      <c r="N51" s="552"/>
      <c r="O51" s="552"/>
      <c r="P51" s="552"/>
      <c r="Q51" s="553"/>
      <c r="R51" s="552"/>
      <c r="S51" s="552"/>
      <c r="T51" s="552"/>
      <c r="U51" s="552"/>
      <c r="V51" s="552"/>
      <c r="W51" s="552"/>
      <c r="X51" s="552"/>
      <c r="Y51" s="552"/>
      <c r="Z51" s="552"/>
      <c r="AA51" s="552"/>
      <c r="AB51" s="552"/>
      <c r="AC51" s="552"/>
      <c r="AD51" s="552"/>
      <c r="AE51" s="552"/>
      <c r="AF51" s="552"/>
      <c r="AG51" s="552"/>
      <c r="AH51" s="552"/>
      <c r="AI51" s="552"/>
      <c r="AJ51" s="552"/>
      <c r="AK51" s="553"/>
      <c r="AL51" s="552"/>
      <c r="AM51" s="552"/>
      <c r="AN51" s="552"/>
      <c r="AO51" s="553"/>
      <c r="AP51" s="552"/>
      <c r="AQ51" s="552"/>
      <c r="AR51" s="552"/>
      <c r="AS51" s="552"/>
      <c r="AT51" s="552"/>
      <c r="AU51" s="552"/>
      <c r="AV51" s="552"/>
      <c r="AW51" s="552"/>
      <c r="AX51" s="552"/>
      <c r="AY51" s="552"/>
      <c r="AZ51" s="552"/>
      <c r="BA51" s="552"/>
      <c r="BB51" s="552"/>
      <c r="BC51" s="553"/>
      <c r="BD51" s="552"/>
      <c r="BE51" s="552"/>
      <c r="BF51" s="552"/>
      <c r="BG51" s="552"/>
      <c r="BH51" s="552"/>
      <c r="BI51" s="552"/>
      <c r="BJ51" s="552"/>
      <c r="BK51" s="552"/>
      <c r="BL51" s="552"/>
      <c r="BM51" s="552"/>
      <c r="BN51" s="552"/>
      <c r="BO51" s="552"/>
      <c r="BP51" s="552"/>
      <c r="BQ51" s="552"/>
      <c r="BR51" s="552"/>
      <c r="BS51" s="552"/>
    </row>
    <row r="52" spans="1:71" s="214" customFormat="1" ht="13.15">
      <c r="A52" s="453"/>
      <c r="B52" s="453"/>
      <c r="C52" s="453"/>
      <c r="D52" s="463" t="s">
        <v>1180</v>
      </c>
      <c r="E52" s="453"/>
      <c r="F52" s="453"/>
      <c r="G52" s="453"/>
      <c r="H52" s="453"/>
      <c r="I52" s="453"/>
      <c r="J52" s="542"/>
      <c r="K52" s="542"/>
      <c r="L52" s="542"/>
      <c r="M52" s="542"/>
      <c r="N52" s="542"/>
      <c r="O52" s="542"/>
      <c r="P52" s="542"/>
      <c r="Q52" s="543"/>
      <c r="R52" s="542"/>
      <c r="S52" s="542"/>
      <c r="T52" s="542"/>
      <c r="U52" s="542"/>
      <c r="V52" s="542"/>
      <c r="W52" s="542"/>
      <c r="X52" s="542"/>
      <c r="Y52" s="542"/>
      <c r="Z52" s="542"/>
      <c r="AA52" s="542"/>
      <c r="AB52" s="542"/>
      <c r="AC52" s="542"/>
      <c r="AD52" s="542"/>
      <c r="AE52" s="542"/>
      <c r="AF52" s="542"/>
      <c r="AG52" s="542"/>
      <c r="AH52" s="542"/>
      <c r="AI52" s="542"/>
      <c r="AJ52" s="542"/>
      <c r="AK52" s="543"/>
      <c r="AL52" s="542"/>
      <c r="AM52" s="542"/>
      <c r="AN52" s="542"/>
      <c r="AO52" s="543"/>
      <c r="AP52" s="542"/>
      <c r="AQ52" s="542"/>
      <c r="AR52" s="542"/>
      <c r="AS52" s="542"/>
      <c r="AT52" s="542"/>
      <c r="AU52" s="542"/>
      <c r="AV52" s="542"/>
      <c r="AW52" s="542"/>
      <c r="AX52" s="542"/>
      <c r="AY52" s="542"/>
      <c r="AZ52" s="542"/>
      <c r="BA52" s="542"/>
      <c r="BB52" s="542"/>
      <c r="BC52" s="543"/>
      <c r="BD52" s="542"/>
      <c r="BE52" s="542"/>
      <c r="BF52" s="542"/>
      <c r="BG52" s="542"/>
      <c r="BH52" s="542"/>
      <c r="BI52" s="542"/>
      <c r="BJ52" s="542"/>
      <c r="BK52" s="542"/>
      <c r="BL52" s="542"/>
      <c r="BM52" s="542"/>
      <c r="BN52" s="542"/>
      <c r="BO52" s="542"/>
      <c r="BP52" s="542"/>
      <c r="BQ52" s="542"/>
      <c r="BR52" s="542"/>
      <c r="BS52" s="542"/>
    </row>
    <row r="53" spans="1:71" s="214" customFormat="1" ht="13.15">
      <c r="A53" s="453"/>
      <c r="B53" s="453"/>
      <c r="C53" s="453"/>
      <c r="D53" s="453"/>
      <c r="E53" s="453" t="str">
        <f>Company_PC_inputs!E53&amp; " (Intervention)"</f>
        <v>Enhanced (or two tiered ODI)? (Intervention)</v>
      </c>
      <c r="F53" s="453"/>
      <c r="G53" s="453" t="s">
        <v>418</v>
      </c>
      <c r="H53" s="453"/>
      <c r="I53" s="453"/>
      <c r="J53" s="505"/>
      <c r="K53" s="505"/>
      <c r="L53" s="505"/>
      <c r="M53" s="505"/>
      <c r="N53" s="505"/>
      <c r="O53" s="505"/>
      <c r="P53" s="505"/>
      <c r="Q53" s="506"/>
      <c r="R53" s="505"/>
      <c r="S53" s="505"/>
      <c r="T53" s="505"/>
      <c r="U53" s="505"/>
      <c r="V53" s="505"/>
      <c r="W53" s="505"/>
      <c r="X53" s="505"/>
      <c r="Y53" s="505"/>
      <c r="Z53" s="505"/>
      <c r="AA53" s="505"/>
      <c r="AB53" s="505"/>
      <c r="AC53" s="505"/>
      <c r="AD53" s="505"/>
      <c r="AE53" s="505"/>
      <c r="AF53" s="505"/>
      <c r="AG53" s="505"/>
      <c r="AH53" s="505"/>
      <c r="AI53" s="505"/>
      <c r="AJ53" s="505"/>
      <c r="AK53" s="506"/>
      <c r="AL53" s="505"/>
      <c r="AM53" s="505"/>
      <c r="AN53" s="505"/>
      <c r="AO53" s="506"/>
      <c r="AP53" s="505"/>
      <c r="AQ53" s="505"/>
      <c r="AR53" s="505"/>
      <c r="AS53" s="505"/>
      <c r="AT53" s="505"/>
      <c r="AU53" s="505"/>
      <c r="AV53" s="505"/>
      <c r="AW53" s="505"/>
      <c r="AX53" s="505"/>
      <c r="AY53" s="505"/>
      <c r="AZ53" s="505"/>
      <c r="BA53" s="505"/>
      <c r="BB53" s="505"/>
      <c r="BC53" s="506"/>
      <c r="BD53" s="548"/>
      <c r="BE53" s="548"/>
      <c r="BF53" s="548"/>
      <c r="BG53" s="548"/>
      <c r="BH53" s="548"/>
      <c r="BI53" s="548"/>
      <c r="BJ53" s="548"/>
      <c r="BK53" s="548"/>
      <c r="BL53" s="548"/>
      <c r="BM53" s="548"/>
      <c r="BN53" s="548"/>
      <c r="BO53" s="548"/>
      <c r="BP53" s="548"/>
      <c r="BQ53" s="548"/>
      <c r="BR53" s="548"/>
      <c r="BS53" s="548"/>
    </row>
    <row r="54" spans="1:71" s="214" customFormat="1" ht="13.15">
      <c r="A54" s="453"/>
      <c r="B54" s="453"/>
      <c r="C54" s="453"/>
      <c r="D54" s="453"/>
      <c r="E54" s="453" t="str">
        <f>Company_PC_inputs!E54&amp; " (Intervention)"</f>
        <v>For enhanced ODIs: wholesale water or wholesale wastewater? (Intervention)</v>
      </c>
      <c r="F54" s="453"/>
      <c r="G54" s="453" t="s">
        <v>1183</v>
      </c>
      <c r="H54" s="453"/>
      <c r="I54" s="453"/>
      <c r="J54" s="488"/>
      <c r="K54" s="488"/>
      <c r="L54" s="488"/>
      <c r="M54" s="488"/>
      <c r="N54" s="488"/>
      <c r="O54" s="488"/>
      <c r="P54" s="488"/>
      <c r="Q54" s="489"/>
      <c r="R54" s="488"/>
      <c r="S54" s="488"/>
      <c r="T54" s="488"/>
      <c r="U54" s="488"/>
      <c r="V54" s="488"/>
      <c r="W54" s="488"/>
      <c r="X54" s="488"/>
      <c r="Y54" s="488"/>
      <c r="Z54" s="488"/>
      <c r="AA54" s="488"/>
      <c r="AB54" s="488"/>
      <c r="AC54" s="488"/>
      <c r="AD54" s="488"/>
      <c r="AE54" s="488"/>
      <c r="AF54" s="488"/>
      <c r="AG54" s="488"/>
      <c r="AH54" s="488"/>
      <c r="AI54" s="488"/>
      <c r="AJ54" s="488"/>
      <c r="AK54" s="489"/>
      <c r="AL54" s="488"/>
      <c r="AM54" s="488"/>
      <c r="AN54" s="488"/>
      <c r="AO54" s="489"/>
      <c r="AP54" s="488"/>
      <c r="AQ54" s="488"/>
      <c r="AR54" s="488"/>
      <c r="AS54" s="488"/>
      <c r="AT54" s="488"/>
      <c r="AU54" s="488"/>
      <c r="AV54" s="488"/>
      <c r="AW54" s="488"/>
      <c r="AX54" s="488"/>
      <c r="AY54" s="488"/>
      <c r="AZ54" s="488"/>
      <c r="BA54" s="488"/>
      <c r="BB54" s="488"/>
      <c r="BC54" s="489"/>
      <c r="BD54" s="488"/>
      <c r="BE54" s="488"/>
      <c r="BF54" s="488"/>
      <c r="BG54" s="488"/>
      <c r="BH54" s="488"/>
      <c r="BI54" s="488"/>
      <c r="BJ54" s="488"/>
      <c r="BK54" s="488"/>
      <c r="BL54" s="488"/>
      <c r="BM54" s="488"/>
      <c r="BN54" s="488"/>
      <c r="BO54" s="488"/>
      <c r="BP54" s="488"/>
      <c r="BQ54" s="488"/>
      <c r="BR54" s="488"/>
      <c r="BS54" s="488"/>
    </row>
    <row r="55" spans="1:71" s="214" customFormat="1" ht="13.15">
      <c r="A55" s="453"/>
      <c r="B55" s="453"/>
      <c r="C55" s="453"/>
      <c r="D55" s="453"/>
      <c r="E55" s="453"/>
      <c r="F55" s="453"/>
      <c r="G55" s="453"/>
      <c r="H55" s="453"/>
      <c r="I55" s="453"/>
      <c r="J55" s="542"/>
      <c r="K55" s="542"/>
      <c r="L55" s="542"/>
      <c r="M55" s="542"/>
      <c r="N55" s="542"/>
      <c r="O55" s="542"/>
      <c r="P55" s="542"/>
      <c r="Q55" s="543"/>
      <c r="R55" s="542"/>
      <c r="S55" s="542"/>
      <c r="T55" s="542"/>
      <c r="U55" s="542"/>
      <c r="V55" s="542"/>
      <c r="W55" s="542"/>
      <c r="X55" s="542"/>
      <c r="Y55" s="542"/>
      <c r="Z55" s="542"/>
      <c r="AA55" s="542"/>
      <c r="AB55" s="542"/>
      <c r="AC55" s="542"/>
      <c r="AD55" s="542"/>
      <c r="AE55" s="542"/>
      <c r="AF55" s="542"/>
      <c r="AG55" s="542"/>
      <c r="AH55" s="542"/>
      <c r="AI55" s="542"/>
      <c r="AJ55" s="542"/>
      <c r="AK55" s="543"/>
      <c r="AL55" s="542"/>
      <c r="AM55" s="542"/>
      <c r="AN55" s="542"/>
      <c r="AO55" s="543"/>
      <c r="AP55" s="542"/>
      <c r="AQ55" s="542"/>
      <c r="AR55" s="542"/>
      <c r="AS55" s="542"/>
      <c r="AT55" s="542"/>
      <c r="AU55" s="542"/>
      <c r="AV55" s="542"/>
      <c r="AW55" s="542"/>
      <c r="AX55" s="542"/>
      <c r="AY55" s="542"/>
      <c r="AZ55" s="542"/>
      <c r="BA55" s="542"/>
      <c r="BB55" s="542"/>
      <c r="BC55" s="543"/>
      <c r="BD55" s="542"/>
      <c r="BE55" s="542"/>
      <c r="BF55" s="542"/>
      <c r="BG55" s="542"/>
      <c r="BH55" s="542"/>
      <c r="BI55" s="542"/>
      <c r="BJ55" s="542"/>
      <c r="BK55" s="542"/>
      <c r="BL55" s="542"/>
      <c r="BM55" s="542"/>
      <c r="BN55" s="542"/>
      <c r="BO55" s="542"/>
      <c r="BP55" s="542"/>
      <c r="BQ55" s="542"/>
      <c r="BR55" s="542"/>
      <c r="BS55" s="542"/>
    </row>
    <row r="56" spans="1:71" s="214" customFormat="1" ht="13.15">
      <c r="A56" s="453"/>
      <c r="B56" s="453"/>
      <c r="C56" s="453"/>
      <c r="D56" s="453"/>
      <c r="E56" s="453" t="str">
        <f>Company_PC_inputs!E56&amp; " (Intervention)"</f>
        <v>Enhanced outperformance cap (Note not normally required) (Intervention)</v>
      </c>
      <c r="F56" s="453"/>
      <c r="G56" s="453" t="s">
        <v>1158</v>
      </c>
      <c r="H56" s="453"/>
      <c r="I56" s="453"/>
      <c r="J56" s="488"/>
      <c r="K56" s="488"/>
      <c r="L56" s="488"/>
      <c r="M56" s="488"/>
      <c r="N56" s="488"/>
      <c r="O56" s="488"/>
      <c r="P56" s="488"/>
      <c r="Q56" s="489"/>
      <c r="R56" s="488"/>
      <c r="S56" s="488"/>
      <c r="T56" s="488"/>
      <c r="U56" s="488"/>
      <c r="V56" s="488"/>
      <c r="W56" s="488"/>
      <c r="X56" s="488"/>
      <c r="Y56" s="488"/>
      <c r="Z56" s="488"/>
      <c r="AA56" s="488"/>
      <c r="AB56" s="488"/>
      <c r="AC56" s="488"/>
      <c r="AD56" s="488"/>
      <c r="AE56" s="488"/>
      <c r="AF56" s="488"/>
      <c r="AG56" s="488"/>
      <c r="AH56" s="488"/>
      <c r="AI56" s="488"/>
      <c r="AJ56" s="488"/>
      <c r="AK56" s="489"/>
      <c r="AL56" s="488"/>
      <c r="AM56" s="488"/>
      <c r="AN56" s="488"/>
      <c r="AO56" s="489"/>
      <c r="AP56" s="488"/>
      <c r="AQ56" s="488"/>
      <c r="AR56" s="488"/>
      <c r="AS56" s="488"/>
      <c r="AT56" s="488"/>
      <c r="AU56" s="488"/>
      <c r="AV56" s="488"/>
      <c r="AW56" s="488"/>
      <c r="AX56" s="488"/>
      <c r="AY56" s="488"/>
      <c r="AZ56" s="488"/>
      <c r="BA56" s="488"/>
      <c r="BB56" s="488"/>
      <c r="BC56" s="489"/>
      <c r="BD56" s="488"/>
      <c r="BE56" s="488"/>
      <c r="BF56" s="488"/>
      <c r="BG56" s="488"/>
      <c r="BH56" s="488"/>
      <c r="BI56" s="488"/>
      <c r="BJ56" s="488"/>
      <c r="BK56" s="488"/>
      <c r="BL56" s="488"/>
      <c r="BM56" s="488"/>
      <c r="BN56" s="488"/>
      <c r="BO56" s="488"/>
      <c r="BP56" s="488"/>
      <c r="BQ56" s="488"/>
      <c r="BR56" s="488"/>
      <c r="BS56" s="488"/>
    </row>
    <row r="57" spans="1:71" s="214" customFormat="1" ht="13.15">
      <c r="A57" s="453"/>
      <c r="B57" s="453"/>
      <c r="C57" s="453"/>
      <c r="D57" s="453"/>
      <c r="E57" s="453" t="str">
        <f>Company_PC_inputs!E57&amp; " (Intervention)"</f>
        <v>Enhanced underperformance collar (Intervention)</v>
      </c>
      <c r="F57" s="453"/>
      <c r="G57" s="453" t="s">
        <v>1158</v>
      </c>
      <c r="H57" s="453"/>
      <c r="I57" s="453"/>
      <c r="J57" s="488"/>
      <c r="K57" s="488"/>
      <c r="L57" s="488"/>
      <c r="M57" s="488"/>
      <c r="N57" s="488"/>
      <c r="O57" s="488"/>
      <c r="P57" s="488"/>
      <c r="Q57" s="489"/>
      <c r="R57" s="488"/>
      <c r="S57" s="488"/>
      <c r="T57" s="488"/>
      <c r="U57" s="488"/>
      <c r="V57" s="488"/>
      <c r="W57" s="488"/>
      <c r="X57" s="488"/>
      <c r="Y57" s="488"/>
      <c r="Z57" s="488"/>
      <c r="AA57" s="488"/>
      <c r="AB57" s="488"/>
      <c r="AC57" s="488"/>
      <c r="AD57" s="488"/>
      <c r="AE57" s="488"/>
      <c r="AF57" s="488"/>
      <c r="AG57" s="488"/>
      <c r="AH57" s="488"/>
      <c r="AI57" s="488"/>
      <c r="AJ57" s="488"/>
      <c r="AK57" s="489"/>
      <c r="AL57" s="488"/>
      <c r="AM57" s="488"/>
      <c r="AN57" s="488"/>
      <c r="AO57" s="489"/>
      <c r="AP57" s="488"/>
      <c r="AQ57" s="488"/>
      <c r="AR57" s="488"/>
      <c r="AS57" s="488"/>
      <c r="AT57" s="488"/>
      <c r="AU57" s="488"/>
      <c r="AV57" s="488"/>
      <c r="AW57" s="488"/>
      <c r="AX57" s="488"/>
      <c r="AY57" s="488"/>
      <c r="AZ57" s="488"/>
      <c r="BA57" s="488"/>
      <c r="BB57" s="488"/>
      <c r="BC57" s="489"/>
      <c r="BD57" s="488"/>
      <c r="BE57" s="488"/>
      <c r="BF57" s="488"/>
      <c r="BG57" s="488"/>
      <c r="BH57" s="488"/>
      <c r="BI57" s="488"/>
      <c r="BJ57" s="488"/>
      <c r="BK57" s="488"/>
      <c r="BL57" s="488"/>
      <c r="BM57" s="488"/>
      <c r="BN57" s="488"/>
      <c r="BO57" s="488"/>
      <c r="BP57" s="488"/>
      <c r="BQ57" s="488"/>
      <c r="BR57" s="488"/>
      <c r="BS57" s="488"/>
    </row>
    <row r="58" spans="1:71" s="214" customFormat="1" ht="13.15">
      <c r="A58" s="453"/>
      <c r="B58" s="453"/>
      <c r="C58" s="453"/>
      <c r="D58" s="453"/>
      <c r="E58" s="453"/>
      <c r="F58" s="453"/>
      <c r="G58" s="453"/>
      <c r="H58" s="453"/>
      <c r="I58" s="453"/>
      <c r="J58" s="554"/>
      <c r="K58" s="554"/>
      <c r="L58" s="554"/>
      <c r="M58" s="554"/>
      <c r="N58" s="554"/>
      <c r="O58" s="554"/>
      <c r="P58" s="554"/>
      <c r="Q58" s="555"/>
      <c r="R58" s="554"/>
      <c r="S58" s="554"/>
      <c r="T58" s="554"/>
      <c r="U58" s="554"/>
      <c r="V58" s="554"/>
      <c r="W58" s="554"/>
      <c r="X58" s="554"/>
      <c r="Y58" s="554"/>
      <c r="Z58" s="554"/>
      <c r="AA58" s="554"/>
      <c r="AB58" s="554"/>
      <c r="AC58" s="554"/>
      <c r="AD58" s="554"/>
      <c r="AE58" s="554"/>
      <c r="AF58" s="554"/>
      <c r="AG58" s="554"/>
      <c r="AH58" s="554"/>
      <c r="AI58" s="554"/>
      <c r="AJ58" s="554"/>
      <c r="AK58" s="555"/>
      <c r="AL58" s="554"/>
      <c r="AM58" s="554"/>
      <c r="AN58" s="554"/>
      <c r="AO58" s="555"/>
      <c r="AP58" s="554"/>
      <c r="AQ58" s="554"/>
      <c r="AR58" s="554"/>
      <c r="AS58" s="554"/>
      <c r="AT58" s="554"/>
      <c r="AU58" s="554"/>
      <c r="AV58" s="554"/>
      <c r="AW58" s="554"/>
      <c r="AX58" s="554"/>
      <c r="AY58" s="554"/>
      <c r="AZ58" s="554"/>
      <c r="BA58" s="554"/>
      <c r="BB58" s="554"/>
      <c r="BC58" s="555"/>
      <c r="BD58" s="554"/>
      <c r="BE58" s="554"/>
      <c r="BF58" s="554"/>
      <c r="BG58" s="554"/>
      <c r="BH58" s="554"/>
      <c r="BI58" s="554"/>
      <c r="BJ58" s="554"/>
      <c r="BK58" s="554"/>
      <c r="BL58" s="554"/>
      <c r="BM58" s="554"/>
      <c r="BN58" s="554"/>
      <c r="BO58" s="554"/>
      <c r="BP58" s="554"/>
      <c r="BQ58" s="554"/>
      <c r="BR58" s="554"/>
      <c r="BS58" s="554"/>
    </row>
    <row r="59" spans="1:71" s="214" customFormat="1" ht="13.15">
      <c r="A59" s="453"/>
      <c r="B59" s="453"/>
      <c r="C59" s="453"/>
      <c r="D59" s="453"/>
      <c r="E59" s="453" t="str">
        <f>Company_PC_inputs!E59&amp; " (Intervention)"</f>
        <v>Enhanced outperformance rate (Intervention)</v>
      </c>
      <c r="F59" s="453"/>
      <c r="G59" s="453" t="str">
        <f>"£m/unit ("&amp;InpCompany!$F$10&amp;" prices)"</f>
        <v>£m/unit (2017-18 prices)</v>
      </c>
      <c r="H59" s="453"/>
      <c r="I59" s="453"/>
      <c r="J59" s="527"/>
      <c r="K59" s="527"/>
      <c r="L59" s="527"/>
      <c r="M59" s="527"/>
      <c r="N59" s="527"/>
      <c r="O59" s="527"/>
      <c r="P59" s="527"/>
      <c r="Q59" s="528"/>
      <c r="R59" s="527"/>
      <c r="S59" s="527"/>
      <c r="T59" s="527"/>
      <c r="U59" s="527"/>
      <c r="V59" s="527"/>
      <c r="W59" s="527"/>
      <c r="X59" s="527"/>
      <c r="Y59" s="527"/>
      <c r="Z59" s="527"/>
      <c r="AA59" s="527"/>
      <c r="AB59" s="527"/>
      <c r="AC59" s="527"/>
      <c r="AD59" s="527"/>
      <c r="AE59" s="527"/>
      <c r="AF59" s="527"/>
      <c r="AG59" s="527"/>
      <c r="AH59" s="527"/>
      <c r="AI59" s="527"/>
      <c r="AJ59" s="527"/>
      <c r="AK59" s="528"/>
      <c r="AL59" s="527"/>
      <c r="AM59" s="527"/>
      <c r="AN59" s="527"/>
      <c r="AO59" s="528"/>
      <c r="AP59" s="527"/>
      <c r="AQ59" s="527"/>
      <c r="AR59" s="527"/>
      <c r="AS59" s="527"/>
      <c r="AT59" s="527"/>
      <c r="AU59" s="527"/>
      <c r="AV59" s="527"/>
      <c r="AW59" s="527"/>
      <c r="AX59" s="527"/>
      <c r="AY59" s="527"/>
      <c r="AZ59" s="527"/>
      <c r="BA59" s="527"/>
      <c r="BB59" s="527"/>
      <c r="BC59" s="528"/>
      <c r="BD59" s="527"/>
      <c r="BE59" s="527"/>
      <c r="BF59" s="527"/>
      <c r="BG59" s="527"/>
      <c r="BH59" s="527"/>
      <c r="BI59" s="527"/>
      <c r="BJ59" s="527"/>
      <c r="BK59" s="527"/>
      <c r="BL59" s="527"/>
      <c r="BM59" s="527"/>
      <c r="BN59" s="527"/>
      <c r="BO59" s="527"/>
      <c r="BP59" s="527"/>
      <c r="BQ59" s="527"/>
      <c r="BR59" s="527"/>
      <c r="BS59" s="527"/>
    </row>
    <row r="60" spans="1:71" s="214" customFormat="1" ht="13.15">
      <c r="A60" s="453"/>
      <c r="B60" s="453"/>
      <c r="C60" s="453"/>
      <c r="D60" s="453"/>
      <c r="E60" s="453" t="str">
        <f>Company_PC_inputs!E60&amp; " (Intervention)"</f>
        <v>Enhanced underperformance rate (Intervention)</v>
      </c>
      <c r="F60" s="453"/>
      <c r="G60" s="453" t="str">
        <f>"£m/unit ("&amp;InpCompany!$F$10&amp;" prices)"</f>
        <v>£m/unit (2017-18 prices)</v>
      </c>
      <c r="H60" s="453"/>
      <c r="I60" s="453"/>
      <c r="J60" s="527"/>
      <c r="K60" s="527"/>
      <c r="L60" s="527"/>
      <c r="M60" s="527"/>
      <c r="N60" s="527"/>
      <c r="O60" s="527"/>
      <c r="P60" s="527"/>
      <c r="Q60" s="528"/>
      <c r="R60" s="527"/>
      <c r="S60" s="527"/>
      <c r="T60" s="527"/>
      <c r="U60" s="527"/>
      <c r="V60" s="527"/>
      <c r="W60" s="527"/>
      <c r="X60" s="527"/>
      <c r="Y60" s="527"/>
      <c r="Z60" s="527"/>
      <c r="AA60" s="527"/>
      <c r="AB60" s="527"/>
      <c r="AC60" s="527"/>
      <c r="AD60" s="527"/>
      <c r="AE60" s="527"/>
      <c r="AF60" s="527"/>
      <c r="AG60" s="527"/>
      <c r="AH60" s="527"/>
      <c r="AI60" s="527"/>
      <c r="AJ60" s="527"/>
      <c r="AK60" s="528"/>
      <c r="AL60" s="527"/>
      <c r="AM60" s="527"/>
      <c r="AN60" s="527"/>
      <c r="AO60" s="528"/>
      <c r="AP60" s="527"/>
      <c r="AQ60" s="527"/>
      <c r="AR60" s="527"/>
      <c r="AS60" s="527"/>
      <c r="AT60" s="527"/>
      <c r="AU60" s="527"/>
      <c r="AV60" s="527"/>
      <c r="AW60" s="527"/>
      <c r="AX60" s="527"/>
      <c r="AY60" s="527"/>
      <c r="AZ60" s="527"/>
      <c r="BA60" s="527"/>
      <c r="BB60" s="527"/>
      <c r="BC60" s="528"/>
      <c r="BD60" s="527"/>
      <c r="BE60" s="527"/>
      <c r="BF60" s="527"/>
      <c r="BG60" s="527"/>
      <c r="BH60" s="527"/>
      <c r="BI60" s="527"/>
      <c r="BJ60" s="527"/>
      <c r="BK60" s="527"/>
      <c r="BL60" s="527"/>
      <c r="BM60" s="527"/>
      <c r="BN60" s="527"/>
      <c r="BO60" s="527"/>
      <c r="BP60" s="527"/>
      <c r="BQ60" s="527"/>
      <c r="BR60" s="527"/>
      <c r="BS60" s="527"/>
    </row>
    <row r="61" spans="1:71" s="214" customFormat="1" ht="13.15">
      <c r="A61" s="453"/>
      <c r="B61" s="453"/>
      <c r="C61" s="453"/>
      <c r="D61" s="453"/>
      <c r="E61" s="453"/>
      <c r="F61" s="453"/>
      <c r="G61" s="453"/>
      <c r="H61" s="453"/>
      <c r="I61" s="453"/>
      <c r="J61" s="554"/>
      <c r="K61" s="554"/>
      <c r="L61" s="554"/>
      <c r="M61" s="554"/>
      <c r="N61" s="554"/>
      <c r="O61" s="554"/>
      <c r="P61" s="554"/>
      <c r="Q61" s="555"/>
      <c r="R61" s="554"/>
      <c r="S61" s="554"/>
      <c r="T61" s="554"/>
      <c r="U61" s="554"/>
      <c r="V61" s="554"/>
      <c r="W61" s="554"/>
      <c r="X61" s="554"/>
      <c r="Y61" s="554"/>
      <c r="Z61" s="554"/>
      <c r="AA61" s="554"/>
      <c r="AB61" s="554"/>
      <c r="AC61" s="554"/>
      <c r="AD61" s="554"/>
      <c r="AE61" s="554"/>
      <c r="AF61" s="554"/>
      <c r="AG61" s="554"/>
      <c r="AH61" s="554"/>
      <c r="AI61" s="554"/>
      <c r="AJ61" s="554"/>
      <c r="AK61" s="555"/>
      <c r="AL61" s="554"/>
      <c r="AM61" s="554"/>
      <c r="AN61" s="554"/>
      <c r="AO61" s="555"/>
      <c r="AP61" s="554"/>
      <c r="AQ61" s="554"/>
      <c r="AR61" s="554"/>
      <c r="AS61" s="554"/>
      <c r="AT61" s="554"/>
      <c r="AU61" s="554"/>
      <c r="AV61" s="554"/>
      <c r="AW61" s="554"/>
      <c r="AX61" s="554"/>
      <c r="AY61" s="554"/>
      <c r="AZ61" s="554"/>
      <c r="BA61" s="554"/>
      <c r="BB61" s="554"/>
      <c r="BC61" s="555"/>
      <c r="BD61" s="554"/>
      <c r="BE61" s="554"/>
      <c r="BF61" s="554"/>
      <c r="BG61" s="554"/>
      <c r="BH61" s="554"/>
      <c r="BI61" s="554"/>
      <c r="BJ61" s="554"/>
      <c r="BK61" s="554"/>
      <c r="BL61" s="554"/>
      <c r="BM61" s="554"/>
      <c r="BN61" s="554"/>
      <c r="BO61" s="554"/>
      <c r="BP61" s="554"/>
      <c r="BQ61" s="554"/>
      <c r="BR61" s="554"/>
      <c r="BS61" s="554"/>
    </row>
    <row r="62" spans="1:71" s="214" customFormat="1" ht="13.15">
      <c r="A62" s="453"/>
      <c r="B62" s="453"/>
      <c r="C62" s="453"/>
      <c r="D62" s="463" t="s">
        <v>1186</v>
      </c>
      <c r="E62" s="453"/>
      <c r="F62" s="453"/>
      <c r="G62" s="453"/>
      <c r="H62" s="453"/>
      <c r="I62" s="453"/>
      <c r="J62" s="554"/>
      <c r="K62" s="554"/>
      <c r="L62" s="554"/>
      <c r="M62" s="554"/>
      <c r="N62" s="554"/>
      <c r="O62" s="554"/>
      <c r="P62" s="554"/>
      <c r="Q62" s="555"/>
      <c r="R62" s="554"/>
      <c r="S62" s="554"/>
      <c r="T62" s="554"/>
      <c r="U62" s="554"/>
      <c r="V62" s="554"/>
      <c r="W62" s="554"/>
      <c r="X62" s="554"/>
      <c r="Y62" s="554"/>
      <c r="Z62" s="554"/>
      <c r="AA62" s="554"/>
      <c r="AB62" s="554"/>
      <c r="AC62" s="554"/>
      <c r="AD62" s="554"/>
      <c r="AE62" s="554"/>
      <c r="AF62" s="554"/>
      <c r="AG62" s="554"/>
      <c r="AH62" s="554"/>
      <c r="AI62" s="554"/>
      <c r="AJ62" s="554"/>
      <c r="AK62" s="555"/>
      <c r="AL62" s="554"/>
      <c r="AM62" s="554"/>
      <c r="AN62" s="554"/>
      <c r="AO62" s="555"/>
      <c r="AP62" s="554"/>
      <c r="AQ62" s="554"/>
      <c r="AR62" s="554"/>
      <c r="AS62" s="554"/>
      <c r="AT62" s="554"/>
      <c r="AU62" s="554"/>
      <c r="AV62" s="554"/>
      <c r="AW62" s="554"/>
      <c r="AX62" s="554"/>
      <c r="AY62" s="554"/>
      <c r="AZ62" s="554"/>
      <c r="BA62" s="554"/>
      <c r="BB62" s="554"/>
      <c r="BC62" s="555"/>
      <c r="BD62" s="554"/>
      <c r="BE62" s="554"/>
      <c r="BF62" s="554"/>
      <c r="BG62" s="554"/>
      <c r="BH62" s="554"/>
      <c r="BI62" s="554"/>
      <c r="BJ62" s="554"/>
      <c r="BK62" s="554"/>
      <c r="BL62" s="554"/>
      <c r="BM62" s="554"/>
      <c r="BN62" s="554"/>
      <c r="BO62" s="554"/>
      <c r="BP62" s="554"/>
      <c r="BQ62" s="554"/>
      <c r="BR62" s="554"/>
      <c r="BS62" s="554"/>
    </row>
    <row r="63" spans="1:71" s="214" customFormat="1" ht="13.15">
      <c r="A63" s="453"/>
      <c r="B63" s="453"/>
      <c r="C63" s="453"/>
      <c r="D63" s="453"/>
      <c r="E63" s="453" t="str">
        <f>Company_PC_inputs!E63&amp; " (Intervention)"</f>
        <v>Additional ODI rate - out (Intervention)</v>
      </c>
      <c r="F63" s="453"/>
      <c r="G63" s="453" t="str">
        <f>"£m/unit ("&amp;InpCompany!$F$10&amp;" prices)"</f>
        <v>£m/unit (2017-18 prices)</v>
      </c>
      <c r="H63" s="453"/>
      <c r="I63" s="453"/>
      <c r="J63" s="527"/>
      <c r="K63" s="527"/>
      <c r="L63" s="527"/>
      <c r="M63" s="527"/>
      <c r="N63" s="527"/>
      <c r="O63" s="527"/>
      <c r="P63" s="527"/>
      <c r="Q63" s="528"/>
      <c r="R63" s="527"/>
      <c r="S63" s="527"/>
      <c r="T63" s="527"/>
      <c r="U63" s="527"/>
      <c r="V63" s="527"/>
      <c r="W63" s="527"/>
      <c r="X63" s="527"/>
      <c r="Y63" s="527"/>
      <c r="Z63" s="527"/>
      <c r="AA63" s="527"/>
      <c r="AB63" s="527"/>
      <c r="AC63" s="527"/>
      <c r="AD63" s="527"/>
      <c r="AE63" s="527"/>
      <c r="AF63" s="527"/>
      <c r="AG63" s="527"/>
      <c r="AH63" s="527"/>
      <c r="AI63" s="527"/>
      <c r="AJ63" s="527"/>
      <c r="AK63" s="528"/>
      <c r="AL63" s="527"/>
      <c r="AM63" s="527"/>
      <c r="AN63" s="527"/>
      <c r="AO63" s="528"/>
      <c r="AP63" s="527"/>
      <c r="AQ63" s="527"/>
      <c r="AR63" s="527"/>
      <c r="AS63" s="527"/>
      <c r="AT63" s="527"/>
      <c r="AU63" s="527"/>
      <c r="AV63" s="527"/>
      <c r="AW63" s="527"/>
      <c r="AX63" s="527"/>
      <c r="AY63" s="527"/>
      <c r="AZ63" s="527"/>
      <c r="BA63" s="527"/>
      <c r="BB63" s="527"/>
      <c r="BC63" s="528"/>
      <c r="BD63" s="527"/>
      <c r="BE63" s="527"/>
      <c r="BF63" s="527"/>
      <c r="BG63" s="527"/>
      <c r="BH63" s="527"/>
      <c r="BI63" s="527"/>
      <c r="BJ63" s="527"/>
      <c r="BK63" s="527"/>
      <c r="BL63" s="527"/>
      <c r="BM63" s="527"/>
      <c r="BN63" s="527"/>
      <c r="BO63" s="527"/>
      <c r="BP63" s="527"/>
      <c r="BQ63" s="527"/>
      <c r="BR63" s="527"/>
      <c r="BS63" s="527"/>
    </row>
    <row r="64" spans="1:71" s="214" customFormat="1" ht="13.15">
      <c r="A64" s="453"/>
      <c r="B64" s="453"/>
      <c r="C64" s="453"/>
      <c r="D64" s="453"/>
      <c r="E64" s="453" t="str">
        <f>Company_PC_inputs!E64&amp; " (Intervention)"</f>
        <v>Additional ODI rate - under (Intervention)</v>
      </c>
      <c r="F64" s="453"/>
      <c r="G64" s="453" t="str">
        <f>"£m/unit ("&amp;InpCompany!$F$10&amp;" prices)"</f>
        <v>£m/unit (2017-18 prices)</v>
      </c>
      <c r="H64" s="453"/>
      <c r="I64" s="453"/>
      <c r="J64" s="527"/>
      <c r="K64" s="527"/>
      <c r="L64" s="527"/>
      <c r="M64" s="527"/>
      <c r="N64" s="527"/>
      <c r="O64" s="527"/>
      <c r="P64" s="527"/>
      <c r="Q64" s="528"/>
      <c r="R64" s="527"/>
      <c r="S64" s="527"/>
      <c r="T64" s="527"/>
      <c r="U64" s="527"/>
      <c r="V64" s="527"/>
      <c r="W64" s="527"/>
      <c r="X64" s="527"/>
      <c r="Y64" s="527"/>
      <c r="Z64" s="527"/>
      <c r="AA64" s="527"/>
      <c r="AB64" s="527"/>
      <c r="AC64" s="527"/>
      <c r="AD64" s="527"/>
      <c r="AE64" s="527"/>
      <c r="AF64" s="527"/>
      <c r="AG64" s="527"/>
      <c r="AH64" s="527"/>
      <c r="AI64" s="527"/>
      <c r="AJ64" s="527"/>
      <c r="AK64" s="528"/>
      <c r="AL64" s="527"/>
      <c r="AM64" s="527"/>
      <c r="AN64" s="527"/>
      <c r="AO64" s="528"/>
      <c r="AP64" s="527"/>
      <c r="AQ64" s="527"/>
      <c r="AR64" s="527"/>
      <c r="AS64" s="527"/>
      <c r="AT64" s="527"/>
      <c r="AU64" s="527"/>
      <c r="AV64" s="527"/>
      <c r="AW64" s="527"/>
      <c r="AX64" s="527"/>
      <c r="AY64" s="527"/>
      <c r="AZ64" s="527"/>
      <c r="BA64" s="527"/>
      <c r="BB64" s="527"/>
      <c r="BC64" s="528"/>
      <c r="BD64" s="527"/>
      <c r="BE64" s="527"/>
      <c r="BF64" s="527"/>
      <c r="BG64" s="527"/>
      <c r="BH64" s="527"/>
      <c r="BI64" s="527"/>
      <c r="BJ64" s="527"/>
      <c r="BK64" s="527"/>
      <c r="BL64" s="527"/>
      <c r="BM64" s="527"/>
      <c r="BN64" s="527"/>
      <c r="BO64" s="527"/>
      <c r="BP64" s="527"/>
      <c r="BQ64" s="527"/>
      <c r="BR64" s="527"/>
      <c r="BS64" s="527"/>
    </row>
    <row r="65" spans="1:71" s="214" customFormat="1" ht="13.15">
      <c r="A65" s="453"/>
      <c r="B65" s="453"/>
      <c r="C65" s="453"/>
      <c r="D65" s="453"/>
      <c r="E65" s="453" t="str">
        <f>Company_PC_inputs!E65&amp; " (Intervention)"</f>
        <v>Cost recovery mechanism applies this year? (Intervention)</v>
      </c>
      <c r="F65" s="453"/>
      <c r="G65" s="453" t="s">
        <v>418</v>
      </c>
      <c r="H65" s="453"/>
      <c r="I65" s="453"/>
      <c r="J65" s="505"/>
      <c r="K65" s="505"/>
      <c r="L65" s="505"/>
      <c r="M65" s="505"/>
      <c r="N65" s="505"/>
      <c r="O65" s="505"/>
      <c r="P65" s="505"/>
      <c r="Q65" s="506"/>
      <c r="R65" s="505"/>
      <c r="S65" s="505"/>
      <c r="T65" s="505"/>
      <c r="U65" s="505"/>
      <c r="V65" s="505"/>
      <c r="W65" s="505"/>
      <c r="X65" s="505"/>
      <c r="Y65" s="505"/>
      <c r="Z65" s="505"/>
      <c r="AA65" s="505"/>
      <c r="AB65" s="505"/>
      <c r="AC65" s="505"/>
      <c r="AD65" s="505"/>
      <c r="AE65" s="505"/>
      <c r="AF65" s="505"/>
      <c r="AG65" s="505"/>
      <c r="AH65" s="505"/>
      <c r="AI65" s="505"/>
      <c r="AJ65" s="505"/>
      <c r="AK65" s="506"/>
      <c r="AL65" s="505"/>
      <c r="AM65" s="505"/>
      <c r="AN65" s="505"/>
      <c r="AO65" s="506"/>
      <c r="AP65" s="505"/>
      <c r="AQ65" s="505"/>
      <c r="AR65" s="505"/>
      <c r="AS65" s="505"/>
      <c r="AT65" s="505"/>
      <c r="AU65" s="505"/>
      <c r="AV65" s="505"/>
      <c r="AW65" s="505"/>
      <c r="AX65" s="505"/>
      <c r="AY65" s="505"/>
      <c r="AZ65" s="505"/>
      <c r="BA65" s="505"/>
      <c r="BB65" s="505"/>
      <c r="BC65" s="506"/>
      <c r="BD65" s="548"/>
      <c r="BE65" s="548"/>
      <c r="BF65" s="548"/>
      <c r="BG65" s="548"/>
      <c r="BH65" s="548"/>
      <c r="BI65" s="548"/>
      <c r="BJ65" s="548"/>
      <c r="BK65" s="548"/>
      <c r="BL65" s="548"/>
      <c r="BM65" s="548"/>
      <c r="BN65" s="548"/>
      <c r="BO65" s="548"/>
      <c r="BP65" s="548"/>
      <c r="BQ65" s="548"/>
      <c r="BR65" s="548"/>
      <c r="BS65" s="548"/>
    </row>
    <row r="66" spans="1:71" s="214" customFormat="1" ht="13.15">
      <c r="A66" s="453"/>
      <c r="B66" s="453"/>
      <c r="C66" s="453"/>
      <c r="D66" s="453"/>
      <c r="E66" s="453"/>
      <c r="F66" s="453"/>
      <c r="G66" s="453"/>
      <c r="H66" s="453"/>
      <c r="I66" s="453"/>
      <c r="J66" s="552"/>
      <c r="K66" s="552"/>
      <c r="L66" s="552"/>
      <c r="M66" s="552"/>
      <c r="N66" s="552"/>
      <c r="O66" s="552"/>
      <c r="P66" s="552"/>
      <c r="Q66" s="553"/>
      <c r="R66" s="552"/>
      <c r="S66" s="552"/>
      <c r="T66" s="552"/>
      <c r="U66" s="552"/>
      <c r="V66" s="552"/>
      <c r="W66" s="552"/>
      <c r="X66" s="552"/>
      <c r="Y66" s="552"/>
      <c r="Z66" s="552"/>
      <c r="AA66" s="552"/>
      <c r="AB66" s="552"/>
      <c r="AC66" s="552"/>
      <c r="AD66" s="552"/>
      <c r="AE66" s="552"/>
      <c r="AF66" s="552"/>
      <c r="AG66" s="552"/>
      <c r="AH66" s="552"/>
      <c r="AI66" s="552"/>
      <c r="AJ66" s="552"/>
      <c r="AK66" s="553"/>
      <c r="AL66" s="552"/>
      <c r="AM66" s="552"/>
      <c r="AN66" s="552"/>
      <c r="AO66" s="553"/>
      <c r="AP66" s="552"/>
      <c r="AQ66" s="552"/>
      <c r="AR66" s="552"/>
      <c r="AS66" s="552"/>
      <c r="AT66" s="552"/>
      <c r="AU66" s="552"/>
      <c r="AV66" s="552"/>
      <c r="AW66" s="552"/>
      <c r="AX66" s="552"/>
      <c r="AY66" s="552"/>
      <c r="AZ66" s="552"/>
      <c r="BA66" s="552"/>
      <c r="BB66" s="552"/>
      <c r="BC66" s="553"/>
      <c r="BD66" s="552"/>
      <c r="BE66" s="552"/>
      <c r="BF66" s="552"/>
      <c r="BG66" s="552"/>
      <c r="BH66" s="552"/>
      <c r="BI66" s="552"/>
      <c r="BJ66" s="552"/>
      <c r="BK66" s="552"/>
      <c r="BL66" s="552"/>
      <c r="BM66" s="552"/>
      <c r="BN66" s="552"/>
      <c r="BO66" s="552"/>
      <c r="BP66" s="552"/>
      <c r="BQ66" s="552"/>
      <c r="BR66" s="552"/>
      <c r="BS66" s="552"/>
    </row>
    <row r="67" spans="1:71" s="214" customFormat="1" ht="13.15">
      <c r="A67" s="453"/>
      <c r="B67" s="473"/>
      <c r="C67" s="453"/>
      <c r="D67" s="463" t="s">
        <v>1190</v>
      </c>
      <c r="E67" s="453"/>
      <c r="F67" s="453"/>
      <c r="G67" s="453"/>
      <c r="H67" s="453"/>
      <c r="I67" s="453"/>
      <c r="J67" s="556"/>
      <c r="K67" s="556"/>
      <c r="L67" s="556"/>
      <c r="M67" s="556"/>
      <c r="N67" s="556"/>
      <c r="O67" s="556"/>
      <c r="P67" s="556"/>
      <c r="Q67" s="557"/>
      <c r="R67" s="556"/>
      <c r="S67" s="556"/>
      <c r="T67" s="556"/>
      <c r="U67" s="556"/>
      <c r="V67" s="556"/>
      <c r="W67" s="556"/>
      <c r="X67" s="556"/>
      <c r="Y67" s="556"/>
      <c r="Z67" s="556"/>
      <c r="AA67" s="556"/>
      <c r="AB67" s="556"/>
      <c r="AC67" s="556"/>
      <c r="AD67" s="556"/>
      <c r="AE67" s="556"/>
      <c r="AF67" s="556"/>
      <c r="AG67" s="556"/>
      <c r="AH67" s="556"/>
      <c r="AI67" s="556"/>
      <c r="AJ67" s="556"/>
      <c r="AK67" s="557"/>
      <c r="AL67" s="556"/>
      <c r="AM67" s="556"/>
      <c r="AN67" s="556"/>
      <c r="AO67" s="557"/>
      <c r="AP67" s="556"/>
      <c r="AQ67" s="556"/>
      <c r="AR67" s="556"/>
      <c r="AS67" s="556"/>
      <c r="AT67" s="556"/>
      <c r="AU67" s="556"/>
      <c r="AV67" s="556"/>
      <c r="AW67" s="556"/>
      <c r="AX67" s="556"/>
      <c r="AY67" s="556"/>
      <c r="AZ67" s="556"/>
      <c r="BA67" s="556"/>
      <c r="BB67" s="556"/>
      <c r="BC67" s="557"/>
      <c r="BD67" s="556"/>
      <c r="BE67" s="556"/>
      <c r="BF67" s="556"/>
      <c r="BG67" s="556"/>
      <c r="BH67" s="556"/>
      <c r="BI67" s="556"/>
      <c r="BJ67" s="556"/>
      <c r="BK67" s="556"/>
      <c r="BL67" s="556"/>
      <c r="BM67" s="556"/>
      <c r="BN67" s="556"/>
      <c r="BO67" s="556"/>
      <c r="BP67" s="556"/>
      <c r="BQ67" s="556"/>
      <c r="BR67" s="556"/>
      <c r="BS67" s="556"/>
    </row>
    <row r="68" spans="1:71" s="214" customFormat="1" ht="13.15">
      <c r="A68" s="453"/>
      <c r="B68" s="453"/>
      <c r="C68" s="453"/>
      <c r="D68" s="453"/>
      <c r="E68" s="453" t="str">
        <f>Company_PC_inputs!E68&amp; " (Intervention)"</f>
        <v>Price control allocation - Water resources (Intervention)</v>
      </c>
      <c r="F68" s="453"/>
      <c r="G68" s="453" t="s">
        <v>1146</v>
      </c>
      <c r="H68" s="453"/>
      <c r="I68" s="453"/>
      <c r="J68" s="558"/>
      <c r="K68" s="558"/>
      <c r="L68" s="558"/>
      <c r="M68" s="558"/>
      <c r="N68" s="558"/>
      <c r="O68" s="558"/>
      <c r="P68" s="558"/>
      <c r="Q68" s="559"/>
      <c r="R68" s="558"/>
      <c r="S68" s="558"/>
      <c r="T68" s="558"/>
      <c r="U68" s="558"/>
      <c r="V68" s="558"/>
      <c r="W68" s="558"/>
      <c r="X68" s="558"/>
      <c r="Y68" s="558"/>
      <c r="Z68" s="558"/>
      <c r="AA68" s="558"/>
      <c r="AB68" s="558"/>
      <c r="AC68" s="558"/>
      <c r="AD68" s="558"/>
      <c r="AE68" s="558"/>
      <c r="AF68" s="558"/>
      <c r="AG68" s="558"/>
      <c r="AH68" s="558"/>
      <c r="AI68" s="558"/>
      <c r="AJ68" s="558"/>
      <c r="AK68" s="559"/>
      <c r="AL68" s="558"/>
      <c r="AM68" s="558"/>
      <c r="AN68" s="558"/>
      <c r="AO68" s="559"/>
      <c r="AP68" s="558"/>
      <c r="AQ68" s="558"/>
      <c r="AR68" s="558"/>
      <c r="AS68" s="558"/>
      <c r="AT68" s="558"/>
      <c r="AU68" s="558"/>
      <c r="AV68" s="558"/>
      <c r="AW68" s="558"/>
      <c r="AX68" s="558"/>
      <c r="AY68" s="558"/>
      <c r="AZ68" s="558"/>
      <c r="BA68" s="558"/>
      <c r="BB68" s="558"/>
      <c r="BC68" s="559"/>
      <c r="BD68" s="558"/>
      <c r="BE68" s="558"/>
      <c r="BF68" s="558"/>
      <c r="BG68" s="558"/>
      <c r="BH68" s="558"/>
      <c r="BI68" s="558"/>
      <c r="BJ68" s="558"/>
      <c r="BK68" s="558"/>
      <c r="BL68" s="558"/>
      <c r="BM68" s="558"/>
      <c r="BN68" s="558"/>
      <c r="BO68" s="558"/>
      <c r="BP68" s="558"/>
      <c r="BQ68" s="558"/>
      <c r="BR68" s="558"/>
      <c r="BS68" s="558"/>
    </row>
    <row r="69" spans="1:71" s="214" customFormat="1" ht="13.15">
      <c r="A69" s="453"/>
      <c r="B69" s="453"/>
      <c r="C69" s="453"/>
      <c r="D69" s="453"/>
      <c r="E69" s="453" t="str">
        <f>Company_PC_inputs!E69&amp; " (Intervention)"</f>
        <v>Price control allocation - Water network plus (Intervention)</v>
      </c>
      <c r="F69" s="453"/>
      <c r="G69" s="453" t="s">
        <v>1146</v>
      </c>
      <c r="H69" s="453"/>
      <c r="I69" s="453"/>
      <c r="J69" s="558"/>
      <c r="K69" s="558"/>
      <c r="L69" s="558"/>
      <c r="M69" s="558"/>
      <c r="N69" s="558"/>
      <c r="O69" s="558"/>
      <c r="P69" s="558"/>
      <c r="Q69" s="559"/>
      <c r="R69" s="558"/>
      <c r="S69" s="558"/>
      <c r="T69" s="558"/>
      <c r="U69" s="558"/>
      <c r="V69" s="558"/>
      <c r="W69" s="558"/>
      <c r="X69" s="558"/>
      <c r="Y69" s="558"/>
      <c r="Z69" s="558"/>
      <c r="AA69" s="558"/>
      <c r="AB69" s="558"/>
      <c r="AC69" s="558"/>
      <c r="AD69" s="558"/>
      <c r="AE69" s="558"/>
      <c r="AF69" s="558"/>
      <c r="AG69" s="558"/>
      <c r="AH69" s="558"/>
      <c r="AI69" s="558"/>
      <c r="AJ69" s="558"/>
      <c r="AK69" s="559"/>
      <c r="AL69" s="558"/>
      <c r="AM69" s="558"/>
      <c r="AN69" s="558"/>
      <c r="AO69" s="559"/>
      <c r="AP69" s="558"/>
      <c r="AQ69" s="558"/>
      <c r="AR69" s="558"/>
      <c r="AS69" s="558"/>
      <c r="AT69" s="558"/>
      <c r="AU69" s="558"/>
      <c r="AV69" s="558"/>
      <c r="AW69" s="558"/>
      <c r="AX69" s="558"/>
      <c r="AY69" s="558"/>
      <c r="AZ69" s="558"/>
      <c r="BA69" s="558"/>
      <c r="BB69" s="558"/>
      <c r="BC69" s="559"/>
      <c r="BD69" s="558"/>
      <c r="BE69" s="558"/>
      <c r="BF69" s="558"/>
      <c r="BG69" s="558"/>
      <c r="BH69" s="558"/>
      <c r="BI69" s="558"/>
      <c r="BJ69" s="558"/>
      <c r="BK69" s="558"/>
      <c r="BL69" s="558"/>
      <c r="BM69" s="558"/>
      <c r="BN69" s="558"/>
      <c r="BO69" s="558"/>
      <c r="BP69" s="558"/>
      <c r="BQ69" s="558"/>
      <c r="BR69" s="558"/>
      <c r="BS69" s="558"/>
    </row>
    <row r="70" spans="1:71" s="214" customFormat="1" ht="13.15">
      <c r="A70" s="453"/>
      <c r="B70" s="453"/>
      <c r="C70" s="453"/>
      <c r="D70" s="453"/>
      <c r="E70" s="453" t="str">
        <f>Company_PC_inputs!E70&amp; " (Intervention)"</f>
        <v>Price control allocation - Wastewater network plus (Intervention)</v>
      </c>
      <c r="F70" s="453"/>
      <c r="G70" s="453" t="s">
        <v>1146</v>
      </c>
      <c r="H70" s="453"/>
      <c r="I70" s="453"/>
      <c r="J70" s="558"/>
      <c r="K70" s="558"/>
      <c r="L70" s="558"/>
      <c r="M70" s="558"/>
      <c r="N70" s="558"/>
      <c r="O70" s="558"/>
      <c r="P70" s="558"/>
      <c r="Q70" s="559"/>
      <c r="R70" s="558"/>
      <c r="S70" s="558"/>
      <c r="T70" s="558"/>
      <c r="U70" s="558"/>
      <c r="V70" s="558"/>
      <c r="W70" s="558"/>
      <c r="X70" s="558"/>
      <c r="Y70" s="558"/>
      <c r="Z70" s="558"/>
      <c r="AA70" s="558"/>
      <c r="AB70" s="558"/>
      <c r="AC70" s="558"/>
      <c r="AD70" s="558"/>
      <c r="AE70" s="558"/>
      <c r="AF70" s="558"/>
      <c r="AG70" s="558"/>
      <c r="AH70" s="558"/>
      <c r="AI70" s="558"/>
      <c r="AJ70" s="558"/>
      <c r="AK70" s="559"/>
      <c r="AL70" s="558"/>
      <c r="AM70" s="558"/>
      <c r="AN70" s="558"/>
      <c r="AO70" s="559"/>
      <c r="AP70" s="558"/>
      <c r="AQ70" s="558"/>
      <c r="AR70" s="558"/>
      <c r="AS70" s="558"/>
      <c r="AT70" s="558"/>
      <c r="AU70" s="558"/>
      <c r="AV70" s="558"/>
      <c r="AW70" s="558"/>
      <c r="AX70" s="558"/>
      <c r="AY70" s="558"/>
      <c r="AZ70" s="558"/>
      <c r="BA70" s="558"/>
      <c r="BB70" s="558"/>
      <c r="BC70" s="559"/>
      <c r="BD70" s="558"/>
      <c r="BE70" s="558"/>
      <c r="BF70" s="558"/>
      <c r="BG70" s="558"/>
      <c r="BH70" s="558"/>
      <c r="BI70" s="558"/>
      <c r="BJ70" s="558"/>
      <c r="BK70" s="558"/>
      <c r="BL70" s="558"/>
      <c r="BM70" s="558"/>
      <c r="BN70" s="558"/>
      <c r="BO70" s="558"/>
      <c r="BP70" s="558"/>
      <c r="BQ70" s="558"/>
      <c r="BR70" s="558"/>
      <c r="BS70" s="558"/>
    </row>
    <row r="71" spans="1:71" s="214" customFormat="1" ht="13.15">
      <c r="A71" s="453"/>
      <c r="B71" s="453"/>
      <c r="C71" s="453"/>
      <c r="D71" s="453"/>
      <c r="E71" s="453" t="str">
        <f>Company_PC_inputs!E71&amp; " (Intervention)"</f>
        <v>Price control allocation - Bioresources (sludge) (Intervention)</v>
      </c>
      <c r="F71" s="453"/>
      <c r="G71" s="453" t="s">
        <v>1146</v>
      </c>
      <c r="H71" s="453"/>
      <c r="I71" s="453"/>
      <c r="J71" s="558"/>
      <c r="K71" s="558"/>
      <c r="L71" s="558"/>
      <c r="M71" s="558"/>
      <c r="N71" s="558"/>
      <c r="O71" s="558"/>
      <c r="P71" s="558"/>
      <c r="Q71" s="559"/>
      <c r="R71" s="558"/>
      <c r="S71" s="558"/>
      <c r="T71" s="558"/>
      <c r="U71" s="558"/>
      <c r="V71" s="558"/>
      <c r="W71" s="558"/>
      <c r="X71" s="558"/>
      <c r="Y71" s="558"/>
      <c r="Z71" s="558"/>
      <c r="AA71" s="558"/>
      <c r="AB71" s="558"/>
      <c r="AC71" s="558"/>
      <c r="AD71" s="558"/>
      <c r="AE71" s="558"/>
      <c r="AF71" s="558"/>
      <c r="AG71" s="558"/>
      <c r="AH71" s="558"/>
      <c r="AI71" s="558"/>
      <c r="AJ71" s="558"/>
      <c r="AK71" s="559"/>
      <c r="AL71" s="558"/>
      <c r="AM71" s="558"/>
      <c r="AN71" s="558"/>
      <c r="AO71" s="559"/>
      <c r="AP71" s="558"/>
      <c r="AQ71" s="558"/>
      <c r="AR71" s="558"/>
      <c r="AS71" s="558"/>
      <c r="AT71" s="558"/>
      <c r="AU71" s="558"/>
      <c r="AV71" s="558"/>
      <c r="AW71" s="558"/>
      <c r="AX71" s="558"/>
      <c r="AY71" s="558"/>
      <c r="AZ71" s="558"/>
      <c r="BA71" s="558"/>
      <c r="BB71" s="558"/>
      <c r="BC71" s="559"/>
      <c r="BD71" s="558"/>
      <c r="BE71" s="558"/>
      <c r="BF71" s="558"/>
      <c r="BG71" s="558"/>
      <c r="BH71" s="558"/>
      <c r="BI71" s="558"/>
      <c r="BJ71" s="558"/>
      <c r="BK71" s="558"/>
      <c r="BL71" s="558"/>
      <c r="BM71" s="558"/>
      <c r="BN71" s="558"/>
      <c r="BO71" s="558"/>
      <c r="BP71" s="558"/>
      <c r="BQ71" s="558"/>
      <c r="BR71" s="558"/>
      <c r="BS71" s="558"/>
    </row>
    <row r="72" spans="1:71" s="214" customFormat="1" ht="13.15">
      <c r="A72" s="453"/>
      <c r="B72" s="453"/>
      <c r="C72" s="453"/>
      <c r="D72" s="453"/>
      <c r="E72" s="453" t="str">
        <f>Company_PC_inputs!E72&amp; " (Intervention)"</f>
        <v>Price control allocation - Residential retail (Intervention)</v>
      </c>
      <c r="F72" s="453"/>
      <c r="G72" s="453" t="s">
        <v>1146</v>
      </c>
      <c r="H72" s="453"/>
      <c r="I72" s="453"/>
      <c r="J72" s="558"/>
      <c r="K72" s="558"/>
      <c r="L72" s="558"/>
      <c r="M72" s="558"/>
      <c r="N72" s="558"/>
      <c r="O72" s="558"/>
      <c r="P72" s="558"/>
      <c r="Q72" s="559"/>
      <c r="R72" s="558"/>
      <c r="S72" s="558"/>
      <c r="T72" s="558"/>
      <c r="U72" s="558"/>
      <c r="V72" s="558"/>
      <c r="W72" s="558"/>
      <c r="X72" s="558"/>
      <c r="Y72" s="558"/>
      <c r="Z72" s="558"/>
      <c r="AA72" s="558"/>
      <c r="AB72" s="558"/>
      <c r="AC72" s="558"/>
      <c r="AD72" s="558"/>
      <c r="AE72" s="558"/>
      <c r="AF72" s="558"/>
      <c r="AG72" s="558"/>
      <c r="AH72" s="558"/>
      <c r="AI72" s="558"/>
      <c r="AJ72" s="558"/>
      <c r="AK72" s="559"/>
      <c r="AL72" s="558"/>
      <c r="AM72" s="558"/>
      <c r="AN72" s="558"/>
      <c r="AO72" s="559"/>
      <c r="AP72" s="558"/>
      <c r="AQ72" s="558"/>
      <c r="AR72" s="558"/>
      <c r="AS72" s="558"/>
      <c r="AT72" s="558"/>
      <c r="AU72" s="558"/>
      <c r="AV72" s="558"/>
      <c r="AW72" s="558"/>
      <c r="AX72" s="558"/>
      <c r="AY72" s="558"/>
      <c r="AZ72" s="558"/>
      <c r="BA72" s="558"/>
      <c r="BB72" s="558"/>
      <c r="BC72" s="559"/>
      <c r="BD72" s="558"/>
      <c r="BE72" s="558"/>
      <c r="BF72" s="558"/>
      <c r="BG72" s="558"/>
      <c r="BH72" s="558"/>
      <c r="BI72" s="558"/>
      <c r="BJ72" s="558"/>
      <c r="BK72" s="558"/>
      <c r="BL72" s="558"/>
      <c r="BM72" s="558"/>
      <c r="BN72" s="558"/>
      <c r="BO72" s="558"/>
      <c r="BP72" s="558"/>
      <c r="BQ72" s="558"/>
      <c r="BR72" s="558"/>
      <c r="BS72" s="558"/>
    </row>
    <row r="73" spans="1:71" s="214" customFormat="1" ht="13.15">
      <c r="A73" s="453"/>
      <c r="B73" s="453"/>
      <c r="C73" s="453"/>
      <c r="D73" s="453"/>
      <c r="E73" s="453" t="str">
        <f>Company_PC_inputs!E73&amp; " (Intervention)"</f>
        <v>Price control allocation - Business retail (Intervention)</v>
      </c>
      <c r="F73" s="453"/>
      <c r="G73" s="453" t="s">
        <v>1146</v>
      </c>
      <c r="H73" s="453"/>
      <c r="I73" s="453"/>
      <c r="J73" s="558"/>
      <c r="K73" s="558"/>
      <c r="L73" s="558"/>
      <c r="M73" s="558"/>
      <c r="N73" s="558"/>
      <c r="O73" s="558"/>
      <c r="P73" s="558"/>
      <c r="Q73" s="559"/>
      <c r="R73" s="558"/>
      <c r="S73" s="558"/>
      <c r="T73" s="558"/>
      <c r="U73" s="558"/>
      <c r="V73" s="558"/>
      <c r="W73" s="558"/>
      <c r="X73" s="558"/>
      <c r="Y73" s="558"/>
      <c r="Z73" s="558"/>
      <c r="AA73" s="558"/>
      <c r="AB73" s="558"/>
      <c r="AC73" s="558"/>
      <c r="AD73" s="558"/>
      <c r="AE73" s="558"/>
      <c r="AF73" s="558"/>
      <c r="AG73" s="558"/>
      <c r="AH73" s="558"/>
      <c r="AI73" s="558"/>
      <c r="AJ73" s="558"/>
      <c r="AK73" s="559"/>
      <c r="AL73" s="558"/>
      <c r="AM73" s="558"/>
      <c r="AN73" s="558"/>
      <c r="AO73" s="559"/>
      <c r="AP73" s="558"/>
      <c r="AQ73" s="558"/>
      <c r="AR73" s="558"/>
      <c r="AS73" s="558"/>
      <c r="AT73" s="558"/>
      <c r="AU73" s="558"/>
      <c r="AV73" s="558"/>
      <c r="AW73" s="558"/>
      <c r="AX73" s="558"/>
      <c r="AY73" s="558"/>
      <c r="AZ73" s="558"/>
      <c r="BA73" s="558"/>
      <c r="BB73" s="558"/>
      <c r="BC73" s="559"/>
      <c r="BD73" s="558"/>
      <c r="BE73" s="558"/>
      <c r="BF73" s="558"/>
      <c r="BG73" s="558"/>
      <c r="BH73" s="558"/>
      <c r="BI73" s="558"/>
      <c r="BJ73" s="558"/>
      <c r="BK73" s="558"/>
      <c r="BL73" s="558"/>
      <c r="BM73" s="558"/>
      <c r="BN73" s="558"/>
      <c r="BO73" s="558"/>
      <c r="BP73" s="558"/>
      <c r="BQ73" s="558"/>
      <c r="BR73" s="558"/>
      <c r="BS73" s="558"/>
    </row>
    <row r="74" spans="1:71" s="214" customFormat="1" ht="13.15">
      <c r="A74" s="453"/>
      <c r="B74" s="453"/>
      <c r="C74" s="453"/>
      <c r="D74" s="453"/>
      <c r="E74" s="453" t="str">
        <f>Company_PC_inputs!E74&amp; " (Intervention)"</f>
        <v>Price control allocation - Dummy control (Intervention)</v>
      </c>
      <c r="F74" s="453"/>
      <c r="G74" s="453" t="s">
        <v>1146</v>
      </c>
      <c r="H74" s="453"/>
      <c r="I74" s="453"/>
      <c r="J74" s="558"/>
      <c r="K74" s="558"/>
      <c r="L74" s="558"/>
      <c r="M74" s="558"/>
      <c r="N74" s="558"/>
      <c r="O74" s="558"/>
      <c r="P74" s="558"/>
      <c r="Q74" s="559"/>
      <c r="R74" s="558"/>
      <c r="S74" s="558"/>
      <c r="T74" s="558"/>
      <c r="U74" s="558"/>
      <c r="V74" s="558"/>
      <c r="W74" s="558"/>
      <c r="X74" s="558"/>
      <c r="Y74" s="558"/>
      <c r="Z74" s="558"/>
      <c r="AA74" s="558"/>
      <c r="AB74" s="558"/>
      <c r="AC74" s="558"/>
      <c r="AD74" s="558"/>
      <c r="AE74" s="558"/>
      <c r="AF74" s="558"/>
      <c r="AG74" s="558"/>
      <c r="AH74" s="558"/>
      <c r="AI74" s="558"/>
      <c r="AJ74" s="558"/>
      <c r="AK74" s="559"/>
      <c r="AL74" s="558"/>
      <c r="AM74" s="558"/>
      <c r="AN74" s="558"/>
      <c r="AO74" s="559"/>
      <c r="AP74" s="558"/>
      <c r="AQ74" s="558"/>
      <c r="AR74" s="558"/>
      <c r="AS74" s="558"/>
      <c r="AT74" s="558"/>
      <c r="AU74" s="558"/>
      <c r="AV74" s="558"/>
      <c r="AW74" s="558"/>
      <c r="AX74" s="558"/>
      <c r="AY74" s="558"/>
      <c r="AZ74" s="558"/>
      <c r="BA74" s="558"/>
      <c r="BB74" s="558"/>
      <c r="BC74" s="559"/>
      <c r="BD74" s="558"/>
      <c r="BE74" s="558"/>
      <c r="BF74" s="558"/>
      <c r="BG74" s="558"/>
      <c r="BH74" s="558"/>
      <c r="BI74" s="558"/>
      <c r="BJ74" s="558"/>
      <c r="BK74" s="558"/>
      <c r="BL74" s="558"/>
      <c r="BM74" s="558"/>
      <c r="BN74" s="558"/>
      <c r="BO74" s="558"/>
      <c r="BP74" s="558"/>
      <c r="BQ74" s="558"/>
      <c r="BR74" s="558"/>
      <c r="BS74" s="558"/>
    </row>
    <row r="75" spans="1:71" s="214" customFormat="1" ht="13.15">
      <c r="A75" s="453"/>
      <c r="B75" s="453"/>
      <c r="C75" s="453"/>
      <c r="D75" s="453"/>
      <c r="E75" s="453"/>
      <c r="F75" s="453"/>
      <c r="G75" s="453"/>
      <c r="H75" s="453"/>
      <c r="I75" s="453"/>
      <c r="J75" s="537"/>
      <c r="K75" s="537"/>
      <c r="L75" s="537"/>
      <c r="M75" s="537"/>
      <c r="N75" s="537"/>
      <c r="O75" s="537"/>
      <c r="P75" s="537"/>
      <c r="Q75" s="537"/>
      <c r="R75" s="537"/>
      <c r="S75" s="537"/>
      <c r="T75" s="537"/>
      <c r="U75" s="537"/>
      <c r="V75" s="537"/>
      <c r="W75" s="537"/>
      <c r="X75" s="537"/>
      <c r="Y75" s="537"/>
      <c r="Z75" s="537"/>
      <c r="AA75" s="537"/>
      <c r="AB75" s="537"/>
      <c r="AC75" s="537"/>
      <c r="AD75" s="537"/>
      <c r="AE75" s="537"/>
      <c r="AF75" s="537"/>
      <c r="AG75" s="537"/>
      <c r="AH75" s="537"/>
      <c r="AI75" s="537"/>
      <c r="AJ75" s="537"/>
      <c r="AK75" s="537"/>
      <c r="AL75" s="537"/>
      <c r="AM75" s="537"/>
      <c r="AN75" s="537"/>
      <c r="AO75" s="537"/>
      <c r="AP75" s="537"/>
      <c r="AQ75" s="537"/>
      <c r="AR75" s="537"/>
      <c r="AS75" s="537"/>
      <c r="AT75" s="537"/>
      <c r="AU75" s="537"/>
      <c r="AV75" s="537"/>
      <c r="AW75" s="537"/>
      <c r="AX75" s="537"/>
      <c r="AY75" s="537"/>
      <c r="AZ75" s="537"/>
      <c r="BA75" s="537"/>
      <c r="BB75" s="537"/>
      <c r="BC75" s="537"/>
    </row>
    <row r="76" spans="1:71" s="214" customFormat="1" ht="20.25">
      <c r="A76" s="536" t="s">
        <v>980</v>
      </c>
      <c r="B76" s="221"/>
      <c r="C76" s="222"/>
      <c r="D76" s="223"/>
      <c r="E76" s="188"/>
      <c r="F76" s="188"/>
      <c r="G76" s="188"/>
      <c r="H76" s="188"/>
      <c r="I76" s="188"/>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row>
    <row r="77" spans="1:71" s="214" customFormat="1">
      <c r="A77" s="202"/>
      <c r="B77" s="202"/>
      <c r="C77" s="202"/>
      <c r="D77" s="202"/>
      <c r="E77" s="202"/>
      <c r="F77" s="202"/>
      <c r="G77" s="202"/>
      <c r="H77" s="202"/>
      <c r="I77" s="202"/>
    </row>
    <row r="78" spans="1:71" s="214" customFormat="1">
      <c r="A78" s="202"/>
      <c r="B78" s="202"/>
      <c r="C78" s="202"/>
      <c r="D78" s="202"/>
      <c r="E78" s="202"/>
      <c r="F78" s="202"/>
      <c r="G78" s="202"/>
      <c r="H78" s="202"/>
      <c r="I78" s="202"/>
    </row>
    <row r="79" spans="1:71" s="214" customFormat="1">
      <c r="A79" s="202"/>
      <c r="B79" s="202"/>
      <c r="C79" s="202"/>
      <c r="D79" s="202"/>
      <c r="E79" s="202"/>
      <c r="F79" s="202"/>
      <c r="G79" s="202"/>
      <c r="H79" s="202"/>
      <c r="I79" s="202"/>
    </row>
    <row r="80" spans="1:71" s="214" customFormat="1">
      <c r="A80" s="202"/>
      <c r="B80" s="202"/>
      <c r="C80" s="202"/>
      <c r="D80" s="202"/>
      <c r="E80" s="202"/>
      <c r="F80" s="202"/>
      <c r="G80" s="202"/>
      <c r="H80" s="202"/>
      <c r="I80" s="202"/>
    </row>
    <row r="81" spans="1:9" s="214" customFormat="1">
      <c r="A81" s="202"/>
      <c r="B81" s="202"/>
      <c r="C81" s="202"/>
      <c r="D81" s="202"/>
      <c r="E81" s="202"/>
      <c r="F81" s="202"/>
      <c r="G81" s="202"/>
      <c r="H81" s="202"/>
      <c r="I81" s="202"/>
    </row>
    <row r="82" spans="1:9" s="214" customFormat="1">
      <c r="A82" s="202"/>
      <c r="B82" s="202"/>
      <c r="C82" s="202"/>
      <c r="D82" s="202"/>
      <c r="E82" s="202"/>
      <c r="F82" s="202"/>
      <c r="G82" s="202"/>
      <c r="H82" s="202"/>
      <c r="I82" s="202"/>
    </row>
    <row r="83" spans="1:9" s="214" customFormat="1">
      <c r="A83" s="202"/>
      <c r="B83" s="202"/>
      <c r="C83" s="202"/>
      <c r="D83" s="202"/>
      <c r="E83" s="202"/>
      <c r="F83" s="202"/>
      <c r="G83" s="202"/>
      <c r="H83" s="202"/>
      <c r="I83" s="202"/>
    </row>
    <row r="84" spans="1:9" s="214" customFormat="1">
      <c r="A84" s="202"/>
      <c r="B84" s="202"/>
      <c r="C84" s="202"/>
      <c r="D84" s="202"/>
      <c r="E84" s="202"/>
      <c r="F84" s="202"/>
      <c r="G84" s="202"/>
      <c r="H84" s="202"/>
      <c r="I84" s="202"/>
    </row>
    <row r="85" spans="1:9" s="214" customFormat="1">
      <c r="A85" s="202"/>
      <c r="B85" s="202"/>
      <c r="C85" s="202"/>
      <c r="D85" s="202"/>
      <c r="E85" s="202"/>
      <c r="F85" s="202"/>
      <c r="G85" s="202"/>
      <c r="H85" s="202"/>
      <c r="I85" s="202"/>
    </row>
    <row r="86" spans="1:9" s="214" customFormat="1">
      <c r="A86" s="202"/>
      <c r="B86" s="202"/>
      <c r="C86" s="202"/>
      <c r="D86" s="202"/>
      <c r="E86" s="202"/>
      <c r="F86" s="202"/>
      <c r="G86" s="202"/>
      <c r="H86" s="202"/>
      <c r="I86" s="202"/>
    </row>
    <row r="87" spans="1:9" s="214" customFormat="1">
      <c r="A87" s="202"/>
      <c r="B87" s="202"/>
      <c r="C87" s="202"/>
      <c r="D87" s="202"/>
      <c r="E87" s="202"/>
      <c r="F87" s="202"/>
      <c r="G87" s="202"/>
      <c r="H87" s="202"/>
      <c r="I87" s="202"/>
    </row>
    <row r="88" spans="1:9" s="214" customFormat="1">
      <c r="A88" s="202"/>
      <c r="B88" s="202"/>
      <c r="C88" s="202"/>
      <c r="D88" s="202"/>
      <c r="E88" s="202"/>
      <c r="F88" s="202"/>
      <c r="G88" s="202"/>
      <c r="H88" s="202"/>
      <c r="I88" s="202"/>
    </row>
    <row r="89" spans="1:9" s="214" customFormat="1">
      <c r="A89" s="202"/>
      <c r="B89" s="202"/>
      <c r="C89" s="202"/>
      <c r="D89" s="202"/>
      <c r="E89" s="202"/>
      <c r="F89" s="202"/>
      <c r="G89" s="202"/>
      <c r="H89" s="202"/>
      <c r="I89" s="202"/>
    </row>
    <row r="90" spans="1:9" s="214" customFormat="1">
      <c r="A90" s="202"/>
      <c r="B90" s="202"/>
      <c r="C90" s="202"/>
      <c r="D90" s="202"/>
      <c r="E90" s="202"/>
      <c r="F90" s="202"/>
      <c r="G90" s="202"/>
      <c r="H90" s="202"/>
      <c r="I90" s="202"/>
    </row>
    <row r="91" spans="1:9" s="214" customFormat="1">
      <c r="A91" s="202"/>
      <c r="B91" s="202"/>
      <c r="C91" s="202"/>
      <c r="D91" s="202"/>
      <c r="E91" s="202"/>
      <c r="F91" s="202"/>
      <c r="G91" s="202"/>
      <c r="H91" s="202"/>
      <c r="I91" s="202"/>
    </row>
    <row r="92" spans="1:9" s="214" customFormat="1">
      <c r="A92" s="202"/>
      <c r="B92" s="202"/>
      <c r="C92" s="202"/>
      <c r="D92" s="202"/>
      <c r="E92" s="202"/>
      <c r="F92" s="202"/>
      <c r="G92" s="202"/>
      <c r="H92" s="202"/>
      <c r="I92" s="202"/>
    </row>
    <row r="93" spans="1:9" s="214" customFormat="1">
      <c r="A93" s="202"/>
      <c r="B93" s="202"/>
      <c r="C93" s="202"/>
      <c r="D93" s="202"/>
      <c r="E93" s="202"/>
      <c r="F93" s="202"/>
      <c r="G93" s="202"/>
      <c r="H93" s="202"/>
      <c r="I93" s="202"/>
    </row>
    <row r="94" spans="1:9" s="214" customFormat="1">
      <c r="A94" s="202"/>
      <c r="B94" s="202"/>
      <c r="C94" s="202"/>
      <c r="D94" s="202"/>
      <c r="E94" s="202"/>
      <c r="F94" s="202"/>
      <c r="G94" s="202"/>
      <c r="H94" s="202"/>
      <c r="I94" s="202"/>
    </row>
    <row r="95" spans="1:9" s="214" customFormat="1">
      <c r="A95" s="202"/>
      <c r="B95" s="202"/>
      <c r="C95" s="202"/>
      <c r="D95" s="202"/>
      <c r="E95" s="202"/>
      <c r="F95" s="202"/>
      <c r="G95" s="202"/>
      <c r="H95" s="202"/>
      <c r="I95" s="202"/>
    </row>
    <row r="96" spans="1:9" s="214" customFormat="1">
      <c r="A96" s="202"/>
      <c r="B96" s="202"/>
      <c r="C96" s="202"/>
      <c r="D96" s="202"/>
      <c r="E96" s="202"/>
      <c r="F96" s="202"/>
      <c r="G96" s="202"/>
      <c r="H96" s="202"/>
      <c r="I96" s="202"/>
    </row>
    <row r="97" spans="1:9" s="214" customFormat="1">
      <c r="A97" s="202"/>
      <c r="B97" s="202"/>
      <c r="C97" s="202"/>
      <c r="D97" s="202"/>
      <c r="E97" s="202"/>
      <c r="F97" s="202"/>
      <c r="G97" s="202"/>
      <c r="H97" s="202"/>
      <c r="I97" s="202"/>
    </row>
    <row r="98" spans="1:9" s="214" customFormat="1">
      <c r="A98" s="202"/>
      <c r="B98" s="202"/>
      <c r="C98" s="202"/>
      <c r="D98" s="202"/>
      <c r="E98" s="202"/>
      <c r="F98" s="202"/>
      <c r="G98" s="202"/>
      <c r="H98" s="202"/>
      <c r="I98" s="202"/>
    </row>
    <row r="99" spans="1:9" s="214" customFormat="1">
      <c r="A99" s="202"/>
      <c r="B99" s="202"/>
      <c r="C99" s="202"/>
      <c r="D99" s="202"/>
      <c r="E99" s="202"/>
      <c r="F99" s="202"/>
      <c r="G99" s="202"/>
      <c r="H99" s="202"/>
      <c r="I99" s="202"/>
    </row>
    <row r="100" spans="1:9" s="214" customFormat="1">
      <c r="A100" s="202"/>
      <c r="B100" s="202"/>
      <c r="C100" s="202"/>
      <c r="D100" s="202"/>
      <c r="E100" s="202"/>
      <c r="F100" s="202"/>
      <c r="G100" s="202"/>
      <c r="H100" s="202"/>
      <c r="I100" s="202"/>
    </row>
    <row r="101" spans="1:9" s="214" customFormat="1">
      <c r="A101" s="202"/>
      <c r="B101" s="202"/>
      <c r="C101" s="202"/>
      <c r="D101" s="202"/>
      <c r="E101" s="202"/>
      <c r="F101" s="202"/>
      <c r="G101" s="202"/>
      <c r="H101" s="202"/>
      <c r="I101" s="202"/>
    </row>
    <row r="102" spans="1:9" s="214" customFormat="1">
      <c r="A102" s="202"/>
      <c r="B102" s="202"/>
      <c r="C102" s="202"/>
      <c r="D102" s="202"/>
      <c r="E102" s="202"/>
      <c r="F102" s="202"/>
      <c r="G102" s="202"/>
      <c r="H102" s="202"/>
      <c r="I102" s="202"/>
    </row>
    <row r="103" spans="1:9" s="214" customFormat="1">
      <c r="A103" s="202"/>
      <c r="B103" s="202"/>
      <c r="C103" s="202"/>
      <c r="D103" s="202"/>
      <c r="E103" s="202"/>
      <c r="F103" s="202"/>
      <c r="G103" s="202"/>
      <c r="H103" s="202"/>
      <c r="I103" s="202"/>
    </row>
    <row r="104" spans="1:9" s="214" customFormat="1">
      <c r="A104" s="202"/>
      <c r="B104" s="202"/>
      <c r="C104" s="202"/>
      <c r="D104" s="202"/>
      <c r="E104" s="202"/>
      <c r="F104" s="202"/>
      <c r="G104" s="202"/>
      <c r="H104" s="202"/>
      <c r="I104" s="202"/>
    </row>
    <row r="105" spans="1:9" s="214" customFormat="1">
      <c r="A105" s="202"/>
      <c r="B105" s="202"/>
      <c r="C105" s="202"/>
      <c r="D105" s="202"/>
      <c r="E105" s="202"/>
      <c r="F105" s="202"/>
      <c r="G105" s="202"/>
      <c r="H105" s="202"/>
      <c r="I105" s="202"/>
    </row>
    <row r="106" spans="1:9" s="214" customFormat="1">
      <c r="A106" s="202"/>
      <c r="B106" s="202"/>
      <c r="C106" s="202"/>
      <c r="D106" s="202"/>
      <c r="E106" s="202"/>
      <c r="F106" s="202"/>
      <c r="G106" s="202"/>
      <c r="H106" s="202"/>
      <c r="I106" s="202"/>
    </row>
    <row r="107" spans="1:9" s="214" customFormat="1">
      <c r="A107" s="202"/>
      <c r="B107" s="202"/>
      <c r="C107" s="202"/>
      <c r="D107" s="202"/>
      <c r="E107" s="202"/>
      <c r="F107" s="202"/>
      <c r="G107" s="202"/>
      <c r="H107" s="202"/>
      <c r="I107" s="202"/>
    </row>
    <row r="108" spans="1:9" s="214" customFormat="1">
      <c r="A108" s="202"/>
      <c r="B108" s="202"/>
      <c r="C108" s="202"/>
      <c r="D108" s="202"/>
      <c r="E108" s="202"/>
      <c r="F108" s="202"/>
      <c r="G108" s="202"/>
      <c r="H108" s="202"/>
      <c r="I108" s="202"/>
    </row>
    <row r="109" spans="1:9" s="214" customFormat="1">
      <c r="A109" s="202"/>
      <c r="B109" s="202"/>
      <c r="C109" s="202"/>
      <c r="D109" s="202"/>
      <c r="E109" s="202"/>
      <c r="F109" s="202"/>
      <c r="G109" s="202"/>
      <c r="H109" s="202"/>
      <c r="I109" s="202"/>
    </row>
    <row r="110" spans="1:9" s="214" customFormat="1">
      <c r="A110" s="202"/>
      <c r="B110" s="202"/>
      <c r="C110" s="202"/>
      <c r="D110" s="202"/>
      <c r="E110" s="202"/>
      <c r="F110" s="202"/>
      <c r="G110" s="202"/>
      <c r="H110" s="202"/>
      <c r="I110" s="202"/>
    </row>
    <row r="111" spans="1:9" s="214" customFormat="1">
      <c r="A111" s="202"/>
      <c r="B111" s="202"/>
      <c r="C111" s="202"/>
      <c r="D111" s="202"/>
      <c r="E111" s="202"/>
      <c r="F111" s="202"/>
      <c r="G111" s="202"/>
      <c r="H111" s="202"/>
      <c r="I111" s="202"/>
    </row>
    <row r="112" spans="1:9" s="214" customFormat="1">
      <c r="A112" s="202"/>
      <c r="B112" s="202"/>
      <c r="C112" s="202"/>
      <c r="D112" s="202"/>
      <c r="E112" s="202"/>
      <c r="F112" s="202"/>
      <c r="G112" s="202"/>
      <c r="H112" s="202"/>
      <c r="I112" s="202"/>
    </row>
    <row r="113" spans="1:9" s="214" customFormat="1">
      <c r="A113" s="202"/>
      <c r="B113" s="202"/>
      <c r="C113" s="202"/>
      <c r="D113" s="202"/>
      <c r="E113" s="202"/>
      <c r="F113" s="202"/>
      <c r="G113" s="202"/>
      <c r="H113" s="202"/>
      <c r="I113" s="202"/>
    </row>
    <row r="114" spans="1:9" s="214" customFormat="1">
      <c r="A114" s="202"/>
      <c r="B114" s="202"/>
      <c r="C114" s="202"/>
      <c r="D114" s="202"/>
      <c r="E114" s="202"/>
      <c r="F114" s="202"/>
      <c r="G114" s="202"/>
      <c r="H114" s="202"/>
      <c r="I114" s="202"/>
    </row>
  </sheetData>
  <conditionalFormatting sqref="H76:BS76">
    <cfRule type="cellIs" dxfId="205" priority="14" operator="equal">
      <formula>0</formula>
    </cfRule>
  </conditionalFormatting>
  <conditionalFormatting sqref="J13:BS13">
    <cfRule type="expression" dxfId="201" priority="1">
      <formula>AND(J13=FALSE,J13&lt;&gt;"")</formula>
    </cfRule>
  </conditionalFormatting>
  <conditionalFormatting sqref="J68:BS74">
    <cfRule type="cellIs" dxfId="199" priority="4" operator="equal">
      <formula>0</formula>
    </cfRule>
  </conditionalFormatting>
  <dataValidations count="5">
    <dataValidation type="custom" allowBlank="1" showInputMessage="1" showErrorMessage="1" sqref="J23:BS25" xr:uid="{00000000-0002-0000-1500-000000000000}">
      <formula1>J23&gt;=0</formula1>
    </dataValidation>
    <dataValidation type="custom" allowBlank="1" showInputMessage="1" showErrorMessage="1" sqref="J27:BS29" xr:uid="{00000000-0002-0000-1500-000001000000}">
      <formula1>J27&lt;=0</formula1>
    </dataValidation>
    <dataValidation type="list" allowBlank="1" showInputMessage="1" showErrorMessage="1" sqref="J53:BS53 J65:BS65 J19:BS20 J36:BS36" xr:uid="{00000000-0002-0000-1500-000002000000}">
      <formula1>"TRUE, FALSE"</formula1>
    </dataValidation>
    <dataValidation type="custom" allowBlank="1" showInputMessage="1" showErrorMessage="1" sqref="J49:BS49 J59:BS59 J63:BS63" xr:uid="{00000000-0002-0000-1500-000003000000}">
      <formula1>J49&gt;0</formula1>
    </dataValidation>
    <dataValidation type="custom" allowBlank="1" showInputMessage="1" showErrorMessage="1" sqref="J50:BS50 J60:BS60 J64:BS64" xr:uid="{00000000-0002-0000-15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69" formatCode="[$-F400]h:mm:ss\ AM/PM"/>
            </x14:dxf>
          </x14:cfRule>
          <xm:sqref>J7:BS7</xm:sqref>
        </x14:conditionalFormatting>
        <x14:conditionalFormatting xmlns:xm="http://schemas.microsoft.com/office/excel/2006/main">
          <x14:cfRule type="expression" priority="5" id="{6BAC611E-2E06-45F9-958E-4D8759F31BF1}">
            <xm:f>J$31=Validation!$F$6</xm:f>
            <x14:dxf>
              <numFmt numFmtId="169" formatCode="[$-F400]h:mm:ss\ AM/PM"/>
            </x14:dxf>
          </x14:cfRule>
          <xm:sqref>J7:BS9</xm:sqref>
        </x14:conditionalFormatting>
        <x14:conditionalFormatting xmlns:xm="http://schemas.microsoft.com/office/excel/2006/main">
          <x14:cfRule type="expression" priority="2" id="{C5E65178-3698-4621-8DCB-92BE9D2B477E}">
            <xm:f>J$9=Validation!$F$6</xm:f>
            <x14:dxf>
              <numFmt numFmtId="169"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69"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500-000005000000}">
          <x14:formula1>
            <xm:f>Validation!$M$4:$M$7</xm:f>
          </x14:formula1>
          <xm:sqref>J38:BS38</xm:sqref>
        </x14:dataValidation>
        <x14:dataValidation type="list" allowBlank="1" showInputMessage="1" showErrorMessage="1" xr:uid="{00000000-0002-0000-1500-000006000000}">
          <x14:formula1>
            <xm:f>Validation!$J$4:$J$7</xm:f>
          </x14:formula1>
          <xm:sqref>J34:BS34</xm:sqref>
        </x14:dataValidation>
        <x14:dataValidation type="list" allowBlank="1" showInputMessage="1" showErrorMessage="1" xr:uid="{00000000-0002-0000-1500-000007000000}">
          <x14:formula1>
            <xm:f>Validation!$I$4:$I$7</xm:f>
          </x14:formula1>
          <xm:sqref>J33:BS33</xm:sqref>
        </x14:dataValidation>
        <x14:dataValidation type="list" allowBlank="1" showInputMessage="1" showErrorMessage="1" xr:uid="{00000000-0002-0000-1500-000008000000}">
          <x14:formula1>
            <xm:f>Validation!$F$4:$F$31</xm:f>
          </x14:formula1>
          <xm:sqref>J31:BS31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0C981-69D9-4A45-881C-291A1E648B00}">
  <sheetPr>
    <tabColor theme="5"/>
    <pageSetUpPr fitToPage="1"/>
  </sheetPr>
  <dimension ref="A1:DF114"/>
  <sheetViews>
    <sheetView showGridLines="0" zoomScale="80" zoomScaleNormal="80" zoomScaleSheetLayoutView="80" workbookViewId="0">
      <pane xSplit="8" ySplit="17" topLeftCell="I18" activePane="bottomRight" state="frozen"/>
      <selection activeCell="G4" sqref="G4"/>
      <selection pane="topRight" activeCell="G4" sqref="G4"/>
      <selection pane="bottomLeft" activeCell="G4" sqref="G4"/>
      <selection pane="bottomRight"/>
    </sheetView>
  </sheetViews>
  <sheetFormatPr defaultColWidth="0" defaultRowHeight="12.75" outlineLevelCol="1"/>
  <cols>
    <col min="1" max="4" width="1.625" style="207" customWidth="1"/>
    <col min="5" max="5" width="45.625" style="207" customWidth="1"/>
    <col min="6" max="8" width="15.625" style="207" customWidth="1"/>
    <col min="9" max="9" width="2.625" style="207" customWidth="1"/>
    <col min="10" max="55" width="28.625" style="207" customWidth="1"/>
    <col min="56" max="71" width="25.625" style="207" hidden="1" customWidth="1" outlineLevel="1"/>
    <col min="72" max="72" width="8.625" style="207" hidden="1" customWidth="1" collapsed="1"/>
    <col min="73" max="16384" width="8.625" style="207" hidden="1"/>
  </cols>
  <sheetData>
    <row r="1" spans="1:110" s="226" customFormat="1" ht="44.25">
      <c r="A1" s="447" t="str">
        <f ca="1" xml:space="preserve"> RIGHT(CELL("filename", $A$1), LEN(CELL("filename", $A$1)) - SEARCH("]", CELL("filename", $A$1)))</f>
        <v>InpPerformance</v>
      </c>
      <c r="B1" s="447"/>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2"/>
      <c r="BE1" s="1192"/>
      <c r="BF1" s="1192"/>
      <c r="BG1" s="1192"/>
      <c r="BH1" s="1192"/>
      <c r="BI1" s="1192"/>
      <c r="BJ1" s="1192"/>
      <c r="BK1" s="1192"/>
      <c r="BL1" s="1192"/>
      <c r="BM1" s="1192"/>
      <c r="BN1" s="1192"/>
      <c r="BO1" s="1192"/>
      <c r="BP1" s="1192"/>
      <c r="BQ1" s="1192"/>
      <c r="BR1" s="1192"/>
      <c r="BS1" s="1192"/>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row>
    <row r="2" spans="1:110" s="202" customFormat="1" ht="13.15">
      <c r="A2" s="453"/>
      <c r="B2" s="453"/>
      <c r="C2" s="453"/>
      <c r="D2" s="453"/>
      <c r="E2" s="453"/>
      <c r="F2" s="462" t="s">
        <v>1130</v>
      </c>
      <c r="G2" s="462" t="s">
        <v>114</v>
      </c>
      <c r="H2" s="462" t="s">
        <v>1131</v>
      </c>
      <c r="I2" s="46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row>
    <row r="3" spans="1:110" s="227" customFormat="1" ht="13.15">
      <c r="A3" s="465" t="s">
        <v>1151</v>
      </c>
      <c r="B3" s="466"/>
      <c r="C3" s="467"/>
      <c r="D3" s="468"/>
      <c r="E3" s="468"/>
      <c r="F3" s="468"/>
      <c r="G3" s="468"/>
      <c r="H3" s="468"/>
      <c r="I3" s="468"/>
      <c r="J3" s="469" t="str">
        <f>IF(Ofwat_PC_Interventions!J3&lt;&gt;"",Ofwat_PC_Interventions!J3,IF(Company_PC_inputs!J3&lt;&gt;"",Company_PC_inputs!J3,""))</f>
        <v>Water | Common | Financial</v>
      </c>
      <c r="K3" s="469" t="str">
        <f>IF(Ofwat_PC_Interventions!K3&lt;&gt;"",Ofwat_PC_Interventions!K3,IF(Company_PC_inputs!K3&lt;&gt;"",Company_PC_inputs!K3,""))</f>
        <v>Water | Common | Financial</v>
      </c>
      <c r="L3" s="469" t="str">
        <f>IF(Ofwat_PC_Interventions!L3&lt;&gt;"",Ofwat_PC_Interventions!L3,IF(Company_PC_inputs!L3&lt;&gt;"",Company_PC_inputs!L3,""))</f>
        <v>Water | Common | Financial</v>
      </c>
      <c r="M3" s="469" t="str">
        <f>IF(Ofwat_PC_Interventions!M3&lt;&gt;"",Ofwat_PC_Interventions!M3,IF(Company_PC_inputs!M3&lt;&gt;"",Company_PC_inputs!M3,""))</f>
        <v>Water | Common | Financial</v>
      </c>
      <c r="N3" s="469" t="str">
        <f>IF(Ofwat_PC_Interventions!N3&lt;&gt;"",Ofwat_PC_Interventions!N3,IF(Company_PC_inputs!N3&lt;&gt;"",Company_PC_inputs!N3,""))</f>
        <v>Water | Common | Financial</v>
      </c>
      <c r="O3" s="469" t="str">
        <f>IF(Ofwat_PC_Interventions!O3&lt;&gt;"",Ofwat_PC_Interventions!O3,IF(Company_PC_inputs!O3&lt;&gt;"",Company_PC_inputs!O3,""))</f>
        <v>Water | Common | Financial</v>
      </c>
      <c r="P3" s="469" t="str">
        <f>IF(Ofwat_PC_Interventions!P3&lt;&gt;"",Ofwat_PC_Interventions!P3,IF(Company_PC_inputs!P3&lt;&gt;"",Company_PC_inputs!P3,""))</f>
        <v>Water | Common | Financial</v>
      </c>
      <c r="Q3" s="470" t="str">
        <f>IF(Ofwat_PC_Interventions!Q3&lt;&gt;"",Ofwat_PC_Interventions!Q3,IF(Company_PC_inputs!Q3&lt;&gt;"",Company_PC_inputs!Q3,""))</f>
        <v>Water | Common | Financial</v>
      </c>
      <c r="R3" s="469" t="str">
        <f>IF(Ofwat_PC_Interventions!R3&lt;&gt;"",Ofwat_PC_Interventions!R3,IF(Company_PC_inputs!R3&lt;&gt;"",Company_PC_inputs!R3,""))</f>
        <v>Water | Bespoke | Financial</v>
      </c>
      <c r="S3" s="469" t="str">
        <f>IF(Ofwat_PC_Interventions!S3&lt;&gt;"",Ofwat_PC_Interventions!S3,IF(Company_PC_inputs!S3&lt;&gt;"",Company_PC_inputs!S3,""))</f>
        <v>Water | Bespoke | Financial</v>
      </c>
      <c r="T3" s="469" t="str">
        <f>IF(Ofwat_PC_Interventions!T3&lt;&gt;"",Ofwat_PC_Interventions!T3,IF(Company_PC_inputs!T3&lt;&gt;"",Company_PC_inputs!T3,""))</f>
        <v>Water | Bespoke | Financial</v>
      </c>
      <c r="U3" s="469" t="str">
        <f>IF(Ofwat_PC_Interventions!U3&lt;&gt;"",Ofwat_PC_Interventions!U3,IF(Company_PC_inputs!U3&lt;&gt;"",Company_PC_inputs!U3,""))</f>
        <v>Water | Bespoke | Financial</v>
      </c>
      <c r="V3" s="469" t="str">
        <f>IF(Ofwat_PC_Interventions!V3&lt;&gt;"",Ofwat_PC_Interventions!V3,IF(Company_PC_inputs!V3&lt;&gt;"",Company_PC_inputs!V3,""))</f>
        <v>Water | Bespoke | Financial</v>
      </c>
      <c r="W3" s="469" t="str">
        <f>IF(Ofwat_PC_Interventions!W3&lt;&gt;"",Ofwat_PC_Interventions!W3,IF(Company_PC_inputs!W3&lt;&gt;"",Company_PC_inputs!W3,""))</f>
        <v>Water | Bespoke | Financial</v>
      </c>
      <c r="X3" s="469" t="str">
        <f>IF(Ofwat_PC_Interventions!X3&lt;&gt;"",Ofwat_PC_Interventions!X3,IF(Company_PC_inputs!X3&lt;&gt;"",Company_PC_inputs!X3,""))</f>
        <v>Water | Bespoke | Financial</v>
      </c>
      <c r="Y3" s="469" t="str">
        <f>IF(Ofwat_PC_Interventions!Y3&lt;&gt;"",Ofwat_PC_Interventions!Y3,IF(Company_PC_inputs!Y3&lt;&gt;"",Company_PC_inputs!Y3,""))</f>
        <v>Water | Bespoke | Financial</v>
      </c>
      <c r="Z3" s="469" t="str">
        <f>IF(Ofwat_PC_Interventions!Z3&lt;&gt;"",Ofwat_PC_Interventions!Z3,IF(Company_PC_inputs!Z3&lt;&gt;"",Company_PC_inputs!Z3,""))</f>
        <v>Water | Bespoke | Financial</v>
      </c>
      <c r="AA3" s="469" t="str">
        <f>IF(Ofwat_PC_Interventions!AA3&lt;&gt;"",Ofwat_PC_Interventions!AA3,IF(Company_PC_inputs!AA3&lt;&gt;"",Company_PC_inputs!AA3,""))</f>
        <v>Water | Bespoke | Financial</v>
      </c>
      <c r="AB3" s="469" t="str">
        <f>IF(Ofwat_PC_Interventions!AB3&lt;&gt;"",Ofwat_PC_Interventions!AB3,IF(Company_PC_inputs!AB3&lt;&gt;"",Company_PC_inputs!AB3,""))</f>
        <v>Water | Bespoke | Financial</v>
      </c>
      <c r="AC3" s="469" t="str">
        <f>IF(Ofwat_PC_Interventions!AC3&lt;&gt;"",Ofwat_PC_Interventions!AC3,IF(Company_PC_inputs!AC3&lt;&gt;"",Company_PC_inputs!AC3,""))</f>
        <v>Water | Bespoke | Financial</v>
      </c>
      <c r="AD3" s="469" t="str">
        <f>IF(Ofwat_PC_Interventions!AD3&lt;&gt;"",Ofwat_PC_Interventions!AD3,IF(Company_PC_inputs!AD3&lt;&gt;"",Company_PC_inputs!AD3,""))</f>
        <v>Water | Bespoke | Financial</v>
      </c>
      <c r="AE3" s="469" t="str">
        <f>IF(Ofwat_PC_Interventions!AE3&lt;&gt;"",Ofwat_PC_Interventions!AE3,IF(Company_PC_inputs!AE3&lt;&gt;"",Company_PC_inputs!AE3,""))</f>
        <v>Water | Bespoke | Financial</v>
      </c>
      <c r="AF3" s="469" t="str">
        <f>IF(Ofwat_PC_Interventions!AF3&lt;&gt;"",Ofwat_PC_Interventions!AF3,IF(Company_PC_inputs!AF3&lt;&gt;"",Company_PC_inputs!AF3,""))</f>
        <v>Water | Bespoke | Financial</v>
      </c>
      <c r="AG3" s="469" t="str">
        <f>IF(Ofwat_PC_Interventions!AG3&lt;&gt;"",Ofwat_PC_Interventions!AG3,IF(Company_PC_inputs!AG3&lt;&gt;"",Company_PC_inputs!AG3,""))</f>
        <v>Water | Bespoke | Financial</v>
      </c>
      <c r="AH3" s="469" t="str">
        <f>IF(Ofwat_PC_Interventions!AH3&lt;&gt;"",Ofwat_PC_Interventions!AH3,IF(Company_PC_inputs!AH3&lt;&gt;"",Company_PC_inputs!AH3,""))</f>
        <v>Water | Bespoke | Financial</v>
      </c>
      <c r="AI3" s="469" t="str">
        <f>IF(Ofwat_PC_Interventions!AI3&lt;&gt;"",Ofwat_PC_Interventions!AI3,IF(Company_PC_inputs!AI3&lt;&gt;"",Company_PC_inputs!AI3,""))</f>
        <v>Water | Bespoke | Financial</v>
      </c>
      <c r="AJ3" s="469" t="str">
        <f>IF(Ofwat_PC_Interventions!AJ3&lt;&gt;"",Ofwat_PC_Interventions!AJ3,IF(Company_PC_inputs!AJ3&lt;&gt;"",Company_PC_inputs!AJ3,""))</f>
        <v>Water | Bespoke | Financial</v>
      </c>
      <c r="AK3" s="470" t="str">
        <f>IF(Ofwat_PC_Interventions!AK3&lt;&gt;"",Ofwat_PC_Interventions!AK3,IF(Company_PC_inputs!AK3&lt;&gt;"",Company_PC_inputs!AK3,""))</f>
        <v>Water | Bespoke | Financial</v>
      </c>
      <c r="AL3" s="469" t="str">
        <f>IF(Ofwat_PC_Interventions!AL3&lt;&gt;"",Ofwat_PC_Interventions!AL3,IF(Company_PC_inputs!AL3&lt;&gt;"",Company_PC_inputs!AL3,""))</f>
        <v>Wastewater | Common | Financial</v>
      </c>
      <c r="AM3" s="469" t="str">
        <f>IF(Ofwat_PC_Interventions!AM3&lt;&gt;"",Ofwat_PC_Interventions!AM3,IF(Company_PC_inputs!AM3&lt;&gt;"",Company_PC_inputs!AM3,""))</f>
        <v>Wastewater | Common | Financial</v>
      </c>
      <c r="AN3" s="469" t="str">
        <f>IF(Ofwat_PC_Interventions!AN3&lt;&gt;"",Ofwat_PC_Interventions!AN3,IF(Company_PC_inputs!AN3&lt;&gt;"",Company_PC_inputs!AN3,""))</f>
        <v>Wastewater | Common | Financial</v>
      </c>
      <c r="AO3" s="470" t="str">
        <f>IF(Ofwat_PC_Interventions!AO3&lt;&gt;"",Ofwat_PC_Interventions!AO3,IF(Company_PC_inputs!AO3&lt;&gt;"",Company_PC_inputs!AO3,""))</f>
        <v>Wastewater | Common | Financial</v>
      </c>
      <c r="AP3" s="469" t="str">
        <f>IF(Ofwat_PC_Interventions!AP3&lt;&gt;"",Ofwat_PC_Interventions!AP3,IF(Company_PC_inputs!AP3&lt;&gt;"",Company_PC_inputs!AP3,""))</f>
        <v>Wastewater | Bespoke | Financial</v>
      </c>
      <c r="AQ3" s="469" t="str">
        <f>IF(Ofwat_PC_Interventions!AQ3&lt;&gt;"",Ofwat_PC_Interventions!AQ3,IF(Company_PC_inputs!AQ3&lt;&gt;"",Company_PC_inputs!AQ3,""))</f>
        <v>Wastewater | Bespoke | Financial</v>
      </c>
      <c r="AR3" s="469" t="str">
        <f>IF(Ofwat_PC_Interventions!AR3&lt;&gt;"",Ofwat_PC_Interventions!AR3,IF(Company_PC_inputs!AR3&lt;&gt;"",Company_PC_inputs!AR3,""))</f>
        <v>Wastewater | Bespoke | Financial</v>
      </c>
      <c r="AS3" s="469" t="str">
        <f>IF(Ofwat_PC_Interventions!AS3&lt;&gt;"",Ofwat_PC_Interventions!AS3,IF(Company_PC_inputs!AS3&lt;&gt;"",Company_PC_inputs!AS3,""))</f>
        <v>Wastewater | Bespoke | Financial</v>
      </c>
      <c r="AT3" s="469" t="str">
        <f>IF(Ofwat_PC_Interventions!AT3&lt;&gt;"",Ofwat_PC_Interventions!AT3,IF(Company_PC_inputs!AT3&lt;&gt;"",Company_PC_inputs!AT3,""))</f>
        <v>Wastewater | Bespoke | Financial</v>
      </c>
      <c r="AU3" s="469" t="str">
        <f>IF(Ofwat_PC_Interventions!AU3&lt;&gt;"",Ofwat_PC_Interventions!AU3,IF(Company_PC_inputs!AU3&lt;&gt;"",Company_PC_inputs!AU3,""))</f>
        <v>Wastewater | Bespoke | Financial</v>
      </c>
      <c r="AV3" s="469" t="str">
        <f>IF(Ofwat_PC_Interventions!AV3&lt;&gt;"",Ofwat_PC_Interventions!AV3,IF(Company_PC_inputs!AV3&lt;&gt;"",Company_PC_inputs!AV3,""))</f>
        <v>Wastewater | Bespoke | Financial</v>
      </c>
      <c r="AW3" s="469" t="str">
        <f>IF(Ofwat_PC_Interventions!AW3&lt;&gt;"",Ofwat_PC_Interventions!AW3,IF(Company_PC_inputs!AW3&lt;&gt;"",Company_PC_inputs!AW3,""))</f>
        <v>Wastewater | Bespoke | Financial</v>
      </c>
      <c r="AX3" s="469" t="str">
        <f>IF(Ofwat_PC_Interventions!AX3&lt;&gt;"",Ofwat_PC_Interventions!AX3,IF(Company_PC_inputs!AX3&lt;&gt;"",Company_PC_inputs!AX3,""))</f>
        <v>Wastewater | Bespoke | Financial</v>
      </c>
      <c r="AY3" s="469" t="str">
        <f>IF(Ofwat_PC_Interventions!AY3&lt;&gt;"",Ofwat_PC_Interventions!AY3,IF(Company_PC_inputs!AY3&lt;&gt;"",Company_PC_inputs!AY3,""))</f>
        <v>Wastewater | Bespoke | Financial</v>
      </c>
      <c r="AZ3" s="469" t="str">
        <f>IF(Ofwat_PC_Interventions!AZ3&lt;&gt;"",Ofwat_PC_Interventions!AZ3,IF(Company_PC_inputs!AZ3&lt;&gt;"",Company_PC_inputs!AZ3,""))</f>
        <v>Wastewater | Bespoke | Financial</v>
      </c>
      <c r="BA3" s="469" t="str">
        <f>IF(Ofwat_PC_Interventions!BA3&lt;&gt;"",Ofwat_PC_Interventions!BA3,IF(Company_PC_inputs!BA3&lt;&gt;"",Company_PC_inputs!BA3,""))</f>
        <v>Wastewater | Bespoke | Financial</v>
      </c>
      <c r="BB3" s="469" t="str">
        <f>IF(Ofwat_PC_Interventions!BB3&lt;&gt;"",Ofwat_PC_Interventions!BB3,IF(Company_PC_inputs!BB3&lt;&gt;"",Company_PC_inputs!BB3,""))</f>
        <v>Wastewater | Bespoke | Financial</v>
      </c>
      <c r="BC3" s="469" t="str">
        <f>IF(Ofwat_PC_Interventions!BC3&lt;&gt;"",Ofwat_PC_Interventions!BC3,IF(Company_PC_inputs!BC3&lt;&gt;"",Company_PC_inputs!BC3,""))</f>
        <v>Wastewater | Bespoke | Financial</v>
      </c>
      <c r="BD3" s="468"/>
      <c r="BE3" s="468"/>
      <c r="BF3" s="468"/>
      <c r="BG3" s="468"/>
      <c r="BH3" s="468"/>
      <c r="BI3" s="468"/>
      <c r="BJ3" s="468"/>
      <c r="BK3" s="468"/>
      <c r="BL3" s="468"/>
      <c r="BM3" s="468"/>
      <c r="BN3" s="468"/>
      <c r="BO3" s="468"/>
      <c r="BP3" s="468"/>
      <c r="BQ3" s="468"/>
      <c r="BR3" s="468"/>
      <c r="BS3" s="468"/>
    </row>
    <row r="4" spans="1:110" s="202" customFormat="1" ht="13.15">
      <c r="A4" s="453"/>
      <c r="B4" s="453"/>
      <c r="C4" s="453"/>
      <c r="D4" s="453"/>
      <c r="E4" s="453"/>
      <c r="F4" s="453"/>
      <c r="G4" s="453"/>
      <c r="H4" s="453"/>
      <c r="I4" s="453"/>
      <c r="J4" s="455"/>
      <c r="K4" s="455"/>
      <c r="L4" s="455"/>
      <c r="M4" s="455"/>
      <c r="N4" s="455"/>
      <c r="O4" s="455"/>
      <c r="P4" s="455"/>
      <c r="Q4" s="472"/>
      <c r="R4" s="455"/>
      <c r="S4" s="455"/>
      <c r="T4" s="455"/>
      <c r="U4" s="455"/>
      <c r="V4" s="455"/>
      <c r="W4" s="455"/>
      <c r="X4" s="455"/>
      <c r="Y4" s="455"/>
      <c r="Z4" s="455"/>
      <c r="AA4" s="455"/>
      <c r="AB4" s="455"/>
      <c r="AC4" s="455"/>
      <c r="AD4" s="455"/>
      <c r="AE4" s="455"/>
      <c r="AF4" s="455"/>
      <c r="AG4" s="455"/>
      <c r="AH4" s="455"/>
      <c r="AI4" s="455"/>
      <c r="AJ4" s="455"/>
      <c r="AK4" s="472"/>
      <c r="AL4" s="455"/>
      <c r="AM4" s="455"/>
      <c r="AN4" s="455"/>
      <c r="AO4" s="472"/>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row>
    <row r="5" spans="1:110" s="202" customFormat="1" ht="13.15">
      <c r="A5" s="453"/>
      <c r="B5" s="473" t="s">
        <v>1156</v>
      </c>
      <c r="C5" s="453"/>
      <c r="D5" s="453"/>
      <c r="E5" s="453"/>
      <c r="F5" s="453"/>
      <c r="G5" s="453"/>
      <c r="H5" s="453"/>
      <c r="I5" s="453"/>
      <c r="J5" s="455"/>
      <c r="K5" s="455"/>
      <c r="L5" s="455"/>
      <c r="M5" s="455"/>
      <c r="N5" s="455"/>
      <c r="O5" s="455"/>
      <c r="P5" s="455"/>
      <c r="Q5" s="472"/>
      <c r="R5" s="455"/>
      <c r="S5" s="455"/>
      <c r="T5" s="455"/>
      <c r="U5" s="455"/>
      <c r="V5" s="455"/>
      <c r="W5" s="455"/>
      <c r="X5" s="455"/>
      <c r="Y5" s="455"/>
      <c r="Z5" s="455"/>
      <c r="AA5" s="455"/>
      <c r="AB5" s="455"/>
      <c r="AC5" s="455"/>
      <c r="AD5" s="455"/>
      <c r="AE5" s="455"/>
      <c r="AF5" s="455"/>
      <c r="AG5" s="455"/>
      <c r="AH5" s="455"/>
      <c r="AI5" s="455"/>
      <c r="AJ5" s="455"/>
      <c r="AK5" s="472"/>
      <c r="AL5" s="455"/>
      <c r="AM5" s="455"/>
      <c r="AN5" s="455"/>
      <c r="AO5" s="472"/>
      <c r="AP5" s="455"/>
      <c r="AQ5" s="455"/>
      <c r="AR5" s="455"/>
      <c r="AS5" s="455"/>
      <c r="AT5" s="455"/>
      <c r="AU5" s="455"/>
      <c r="AV5" s="455"/>
      <c r="AW5" s="455"/>
      <c r="AX5" s="455"/>
      <c r="AY5" s="455"/>
      <c r="AZ5" s="455"/>
      <c r="BA5" s="455"/>
      <c r="BB5" s="455"/>
      <c r="BC5" s="455"/>
      <c r="BD5" s="455"/>
      <c r="BE5" s="455"/>
      <c r="BF5" s="455"/>
      <c r="BG5" s="455"/>
      <c r="BH5" s="455"/>
      <c r="BI5" s="455"/>
      <c r="BJ5" s="455"/>
      <c r="BK5" s="455"/>
      <c r="BL5" s="455"/>
      <c r="BM5" s="455"/>
      <c r="BN5" s="455"/>
      <c r="BO5" s="455"/>
      <c r="BP5" s="455"/>
      <c r="BQ5" s="455"/>
      <c r="BR5" s="455"/>
      <c r="BS5" s="455"/>
    </row>
    <row r="6" spans="1:110" s="202" customFormat="1" ht="13.15">
      <c r="A6" s="453"/>
      <c r="B6" s="453"/>
      <c r="C6" s="453"/>
      <c r="D6" s="453"/>
      <c r="E6" s="453"/>
      <c r="F6" s="453"/>
      <c r="G6" s="453"/>
      <c r="H6" s="453"/>
      <c r="I6" s="453"/>
      <c r="J6" s="455"/>
      <c r="K6" s="455"/>
      <c r="L6" s="455"/>
      <c r="M6" s="455"/>
      <c r="N6" s="455"/>
      <c r="O6" s="455"/>
      <c r="P6" s="455"/>
      <c r="Q6" s="472"/>
      <c r="R6" s="455"/>
      <c r="S6" s="455"/>
      <c r="T6" s="455"/>
      <c r="U6" s="455"/>
      <c r="V6" s="455"/>
      <c r="W6" s="455"/>
      <c r="X6" s="455"/>
      <c r="Y6" s="455"/>
      <c r="Z6" s="455"/>
      <c r="AA6" s="455"/>
      <c r="AB6" s="455"/>
      <c r="AC6" s="455"/>
      <c r="AD6" s="455"/>
      <c r="AE6" s="455"/>
      <c r="AF6" s="455"/>
      <c r="AG6" s="455"/>
      <c r="AH6" s="455"/>
      <c r="AI6" s="455"/>
      <c r="AJ6" s="455"/>
      <c r="AK6" s="472"/>
      <c r="AL6" s="455"/>
      <c r="AM6" s="455"/>
      <c r="AN6" s="455"/>
      <c r="AO6" s="472"/>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5"/>
    </row>
    <row r="7" spans="1:110" s="202" customFormat="1" ht="13.15">
      <c r="A7" s="453"/>
      <c r="B7" s="453"/>
      <c r="C7" s="453"/>
      <c r="D7" s="453"/>
      <c r="E7" s="453" t="s">
        <v>1157</v>
      </c>
      <c r="F7" s="453"/>
      <c r="G7" s="453" t="s">
        <v>1158</v>
      </c>
      <c r="H7" s="453"/>
      <c r="I7" s="453"/>
      <c r="J7" s="560">
        <f>IF(Ofwat_PC_Interventions!J7&lt;&gt;"",Ofwat_PC_Interventions!J7,IF(Company_PC_inputs!J7&lt;&gt;"",Company_PC_inputs!J7,""))</f>
        <v>3.0649999999999999</v>
      </c>
      <c r="K7" s="561">
        <f>IF(Ofwat_PC_Interventions!K7&lt;&gt;"",Ofwat_PC_Interventions!K7,IF(Company_PC_inputs!K7&lt;&gt;"",Company_PC_inputs!K7,""))</f>
        <v>5.6635957305140185E-2</v>
      </c>
      <c r="L7" s="560">
        <f>IF(Ofwat_PC_Interventions!L7&lt;&gt;"",Ofwat_PC_Interventions!L7,IF(Company_PC_inputs!L7&lt;&gt;"",Company_PC_inputs!L7,""))</f>
        <v>-4.404404404404394</v>
      </c>
      <c r="M7" s="560" t="str">
        <f>IF(Ofwat_PC_Interventions!M7&lt;&gt;"",Ofwat_PC_Interventions!M7,IF(Company_PC_inputs!M7&lt;&gt;"",Company_PC_inputs!M7,""))</f>
        <v/>
      </c>
      <c r="N7" s="560">
        <f>IF(Ofwat_PC_Interventions!N7&lt;&gt;"",Ofwat_PC_Interventions!N7,IF(Company_PC_inputs!N7&lt;&gt;"",Company_PC_inputs!N7,""))</f>
        <v>-1.2499999999999956</v>
      </c>
      <c r="O7" s="560" t="str">
        <f>IF(Ofwat_PC_Interventions!O7&lt;&gt;"",Ofwat_PC_Interventions!O7,IF(Company_PC_inputs!O7&lt;&gt;"",Company_PC_inputs!O7,""))</f>
        <v/>
      </c>
      <c r="P7" s="562">
        <f>IF(Ofwat_PC_Interventions!P7&lt;&gt;"",Ofwat_PC_Interventions!P7,IF(Company_PC_inputs!P7&lt;&gt;"",Company_PC_inputs!P7,""))</f>
        <v>121.09414139100812</v>
      </c>
      <c r="Q7" s="563">
        <f>IF(Ofwat_PC_Interventions!Q7&lt;&gt;"",Ofwat_PC_Interventions!Q7,IF(Company_PC_inputs!Q7&lt;&gt;"",Company_PC_inputs!Q7,""))</f>
        <v>5.6772736178501049</v>
      </c>
      <c r="R7" s="564">
        <f>IF(Ofwat_PC_Interventions!R7&lt;&gt;"",Ofwat_PC_Interventions!R7,IF(Company_PC_inputs!R7&lt;&gt;"",Company_PC_inputs!R7,""))</f>
        <v>1</v>
      </c>
      <c r="S7" s="565">
        <f>IF(Ofwat_PC_Interventions!S7&lt;&gt;"",Ofwat_PC_Interventions!S7,IF(Company_PC_inputs!S7&lt;&gt;"",Company_PC_inputs!S7,""))</f>
        <v>0.24</v>
      </c>
      <c r="T7" s="564">
        <f>IF(Ofwat_PC_Interventions!T7&lt;&gt;"",Ofwat_PC_Interventions!T7,IF(Company_PC_inputs!T7&lt;&gt;"",Company_PC_inputs!T7,""))</f>
        <v>-19</v>
      </c>
      <c r="U7" s="560">
        <f>IF(Ofwat_PC_Interventions!U7&lt;&gt;"",Ofwat_PC_Interventions!U7,IF(Company_PC_inputs!U7&lt;&gt;"",Company_PC_inputs!U7,""))</f>
        <v>0</v>
      </c>
      <c r="V7" s="562">
        <f>IF(Ofwat_PC_Interventions!V7&lt;&gt;"",Ofwat_PC_Interventions!V7,IF(Company_PC_inputs!V7&lt;&gt;"",Company_PC_inputs!V7,""))</f>
        <v>2.97</v>
      </c>
      <c r="W7" s="565">
        <f>IF(Ofwat_PC_Interventions!W7&lt;&gt;"",Ofwat_PC_Interventions!W7,IF(Company_PC_inputs!W7&lt;&gt;"",Company_PC_inputs!W7,""))</f>
        <v>0</v>
      </c>
      <c r="X7" s="565">
        <f>IF(Ofwat_PC_Interventions!X7&lt;&gt;"",Ofwat_PC_Interventions!X7,IF(Company_PC_inputs!X7&lt;&gt;"",Company_PC_inputs!X7,""))</f>
        <v>173</v>
      </c>
      <c r="Y7" s="566">
        <f>IF(Ofwat_PC_Interventions!Y7&lt;&gt;"",Ofwat_PC_Interventions!Y7,IF(Company_PC_inputs!Y7&lt;&gt;"",Company_PC_inputs!Y7,""))</f>
        <v>51</v>
      </c>
      <c r="Z7" s="560">
        <f>IF(Ofwat_PC_Interventions!Z7&lt;&gt;"",Ofwat_PC_Interventions!Z7,IF(Company_PC_inputs!Z7&lt;&gt;"",Company_PC_inputs!Z7,""))</f>
        <v>0</v>
      </c>
      <c r="AA7" s="564" t="str">
        <f>IF(Ofwat_PC_Interventions!AA7&lt;&gt;"",Ofwat_PC_Interventions!AA7,IF(Company_PC_inputs!AA7&lt;&gt;"",Company_PC_inputs!AA7,""))</f>
        <v/>
      </c>
      <c r="AB7" s="565" t="str">
        <f>IF(Ofwat_PC_Interventions!AB7&lt;&gt;"",Ofwat_PC_Interventions!AB7,IF(Company_PC_inputs!AB7&lt;&gt;"",Company_PC_inputs!AB7,""))</f>
        <v/>
      </c>
      <c r="AC7" s="564" t="str">
        <f>IF(Ofwat_PC_Interventions!AC7&lt;&gt;"",Ofwat_PC_Interventions!AC7,IF(Company_PC_inputs!AC7&lt;&gt;"",Company_PC_inputs!AC7,""))</f>
        <v/>
      </c>
      <c r="AD7" s="567" t="str">
        <f>IF(Ofwat_PC_Interventions!AD7&lt;&gt;"",Ofwat_PC_Interventions!AD7,IF(Company_PC_inputs!AD7&lt;&gt;"",Company_PC_inputs!AD7,""))</f>
        <v/>
      </c>
      <c r="AE7" s="560" t="str">
        <f>IF(Ofwat_PC_Interventions!AE7&lt;&gt;"",Ofwat_PC_Interventions!AE7,IF(Company_PC_inputs!AE7&lt;&gt;"",Company_PC_inputs!AE7,""))</f>
        <v/>
      </c>
      <c r="AF7" s="565" t="str">
        <f>IF(Ofwat_PC_Interventions!AF7&lt;&gt;"",Ofwat_PC_Interventions!AF7,IF(Company_PC_inputs!AF7&lt;&gt;"",Company_PC_inputs!AF7,""))</f>
        <v/>
      </c>
      <c r="AG7" s="565" t="str">
        <f>IF(Ofwat_PC_Interventions!AG7&lt;&gt;"",Ofwat_PC_Interventions!AG7,IF(Company_PC_inputs!AG7&lt;&gt;"",Company_PC_inputs!AG7,""))</f>
        <v/>
      </c>
      <c r="AH7" s="565" t="str">
        <f>IF(Ofwat_PC_Interventions!AH7&lt;&gt;"",Ofwat_PC_Interventions!AH7,IF(Company_PC_inputs!AH7&lt;&gt;"",Company_PC_inputs!AH7,""))</f>
        <v/>
      </c>
      <c r="AI7" s="564" t="str">
        <f>IF(Ofwat_PC_Interventions!AI7&lt;&gt;"",Ofwat_PC_Interventions!AI7,IF(Company_PC_inputs!AI7&lt;&gt;"",Company_PC_inputs!AI7,""))</f>
        <v/>
      </c>
      <c r="AJ7" s="564" t="str">
        <f>IF(Ofwat_PC_Interventions!AJ7&lt;&gt;"",Ofwat_PC_Interventions!AJ7,IF(Company_PC_inputs!AJ7&lt;&gt;"",Company_PC_inputs!AJ7,""))</f>
        <v/>
      </c>
      <c r="AK7" s="568" t="str">
        <f>IF(Ofwat_PC_Interventions!AK7&lt;&gt;"",Ofwat_PC_Interventions!AK7,IF(Company_PC_inputs!AK7&lt;&gt;"",Company_PC_inputs!AK7,""))</f>
        <v/>
      </c>
      <c r="AL7" s="564">
        <f>IF(Ofwat_PC_Interventions!AL7&lt;&gt;"",Ofwat_PC_Interventions!AL7,IF(Company_PC_inputs!AL7&lt;&gt;"",Company_PC_inputs!AL7,""))</f>
        <v>2.5721106095414079</v>
      </c>
      <c r="AM7" s="562">
        <f>IF(Ofwat_PC_Interventions!AM7&lt;&gt;"",Ofwat_PC_Interventions!AM7,IF(Company_PC_inputs!AM7&lt;&gt;"",Company_PC_inputs!AM7,""))</f>
        <v>58.899041002793929</v>
      </c>
      <c r="AN7" s="562">
        <f>IF(Ofwat_PC_Interventions!AN7&lt;&gt;"",Ofwat_PC_Interventions!AN7,IF(Company_PC_inputs!AN7&lt;&gt;"",Company_PC_inputs!AN7,""))</f>
        <v>5.8454697609352753</v>
      </c>
      <c r="AO7" s="568">
        <f>IF(Ofwat_PC_Interventions!AO7&lt;&gt;"",Ofwat_PC_Interventions!AO7,IF(Company_PC_inputs!AO7&lt;&gt;"",Company_PC_inputs!AO7,""))</f>
        <v>99.36</v>
      </c>
      <c r="AP7" s="565">
        <f>IF(Ofwat_PC_Interventions!AP7&lt;&gt;"",Ofwat_PC_Interventions!AP7,IF(Company_PC_inputs!AP7&lt;&gt;"",Company_PC_inputs!AP7,""))</f>
        <v>79</v>
      </c>
      <c r="AQ7" s="567">
        <f>IF(Ofwat_PC_Interventions!AQ7&lt;&gt;"",Ofwat_PC_Interventions!AQ7,IF(Company_PC_inputs!AQ7&lt;&gt;"",Company_PC_inputs!AQ7,""))</f>
        <v>13.32</v>
      </c>
      <c r="AR7" s="562">
        <f>IF(Ofwat_PC_Interventions!AR7&lt;&gt;"",Ofwat_PC_Interventions!AR7,IF(Company_PC_inputs!AR7&lt;&gt;"",Company_PC_inputs!AR7,""))</f>
        <v>100</v>
      </c>
      <c r="AS7" s="560">
        <f>IF(Ofwat_PC_Interventions!AS7&lt;&gt;"",Ofwat_PC_Interventions!AS7,IF(Company_PC_inputs!AS7&lt;&gt;"",Company_PC_inputs!AS7,""))</f>
        <v>102.7</v>
      </c>
      <c r="AT7" s="560">
        <f>IF(Ofwat_PC_Interventions!AT7&lt;&gt;"",Ofwat_PC_Interventions!AT7,IF(Company_PC_inputs!AT7&lt;&gt;"",Company_PC_inputs!AT7,""))</f>
        <v>48</v>
      </c>
      <c r="AU7" s="564">
        <f>IF(Ofwat_PC_Interventions!AU7&lt;&gt;"",Ofwat_PC_Interventions!AU7,IF(Company_PC_inputs!AU7&lt;&gt;"",Company_PC_inputs!AU7,""))</f>
        <v>4</v>
      </c>
      <c r="AV7" s="567">
        <f>IF(Ofwat_PC_Interventions!AV7&lt;&gt;"",Ofwat_PC_Interventions!AV7,IF(Company_PC_inputs!AV7&lt;&gt;"",Company_PC_inputs!AV7,""))</f>
        <v>4</v>
      </c>
      <c r="AW7" s="567">
        <f>IF(Ofwat_PC_Interventions!AW7&lt;&gt;"",Ofwat_PC_Interventions!AW7,IF(Company_PC_inputs!AW7&lt;&gt;"",Company_PC_inputs!AW7,""))</f>
        <v>0</v>
      </c>
      <c r="AX7" s="564">
        <f>IF(Ofwat_PC_Interventions!AX7&lt;&gt;"",Ofwat_PC_Interventions!AX7,IF(Company_PC_inputs!AX7&lt;&gt;"",Company_PC_inputs!AX7,""))</f>
        <v>3245</v>
      </c>
      <c r="AY7" s="560">
        <f>IF(Ofwat_PC_Interventions!AY7&lt;&gt;"",Ofwat_PC_Interventions!AY7,IF(Company_PC_inputs!AY7&lt;&gt;"",Company_PC_inputs!AY7,""))</f>
        <v>0</v>
      </c>
      <c r="AZ7" s="560" t="str">
        <f>IF(Ofwat_PC_Interventions!AZ7&lt;&gt;"",Ofwat_PC_Interventions!AZ7,IF(Company_PC_inputs!AZ7&lt;&gt;"",Company_PC_inputs!AZ7,""))</f>
        <v/>
      </c>
      <c r="BA7" s="564" t="str">
        <f>IF(Ofwat_PC_Interventions!BA7&lt;&gt;"",Ofwat_PC_Interventions!BA7,IF(Company_PC_inputs!BA7&lt;&gt;"",Company_PC_inputs!BA7,""))</f>
        <v/>
      </c>
      <c r="BB7" s="564" t="str">
        <f>IF(Ofwat_PC_Interventions!BB7&lt;&gt;"",Ofwat_PC_Interventions!BB7,IF(Company_PC_inputs!BB7&lt;&gt;"",Company_PC_inputs!BB7,""))</f>
        <v/>
      </c>
      <c r="BC7" s="568" t="str">
        <f>IF(Ofwat_PC_Interventions!BC7&lt;&gt;"",Ofwat_PC_Interventions!BC7,IF(Company_PC_inputs!BC7&lt;&gt;"",Company_PC_inputs!BC7,""))</f>
        <v/>
      </c>
      <c r="BD7" s="564" t="str">
        <f>IF(Ofwat_PC_Interventions!BD7&lt;&gt;"",Ofwat_PC_Interventions!BD7,IF(Company_PC_inputs!BD7&lt;&gt;"",Company_PC_inputs!BD7,""))</f>
        <v/>
      </c>
      <c r="BE7" s="556" t="str">
        <f>IF(Ofwat_PC_Interventions!BE7&lt;&gt;"",Ofwat_PC_Interventions!BE7,IF(Company_PC_inputs!BE7&lt;&gt;"",Company_PC_inputs!BE7,""))</f>
        <v/>
      </c>
      <c r="BF7" s="556" t="str">
        <f>IF(Ofwat_PC_Interventions!BF7&lt;&gt;"",Ofwat_PC_Interventions!BF7,IF(Company_PC_inputs!BF7&lt;&gt;"",Company_PC_inputs!BF7,""))</f>
        <v/>
      </c>
      <c r="BG7" s="556" t="str">
        <f>IF(Ofwat_PC_Interventions!BG7&lt;&gt;"",Ofwat_PC_Interventions!BG7,IF(Company_PC_inputs!BG7&lt;&gt;"",Company_PC_inputs!BG7,""))</f>
        <v/>
      </c>
      <c r="BH7" s="560" t="str">
        <f>IF(Ofwat_PC_Interventions!BH7&lt;&gt;"",Ofwat_PC_Interventions!BH7,IF(Company_PC_inputs!BH7&lt;&gt;"",Company_PC_inputs!BH7,""))</f>
        <v/>
      </c>
      <c r="BI7" s="560" t="str">
        <f>IF(Ofwat_PC_Interventions!BI7&lt;&gt;"",Ofwat_PC_Interventions!BI7,IF(Company_PC_inputs!BI7&lt;&gt;"",Company_PC_inputs!BI7,""))</f>
        <v/>
      </c>
      <c r="BJ7" s="1202" t="str">
        <f>IF(Ofwat_PC_Interventions!BJ7&lt;&gt;"",Ofwat_PC_Interventions!BJ7,IF(Company_PC_inputs!BJ7&lt;&gt;"",Company_PC_inputs!BJ7,""))</f>
        <v/>
      </c>
      <c r="BK7" s="565" t="str">
        <f>IF(Ofwat_PC_Interventions!BK7&lt;&gt;"",Ofwat_PC_Interventions!BK7,IF(Company_PC_inputs!BK7&lt;&gt;"",Company_PC_inputs!BK7,""))</f>
        <v/>
      </c>
      <c r="BL7" s="565" t="str">
        <f>IF(Ofwat_PC_Interventions!BL7&lt;&gt;"",Ofwat_PC_Interventions!BL7,IF(Company_PC_inputs!BL7&lt;&gt;"",Company_PC_inputs!BL7,""))</f>
        <v/>
      </c>
      <c r="BM7" s="564" t="str">
        <f>IF(Ofwat_PC_Interventions!BM7&lt;&gt;"",Ofwat_PC_Interventions!BM7,IF(Company_PC_inputs!BM7&lt;&gt;"",Company_PC_inputs!BM7,""))</f>
        <v/>
      </c>
      <c r="BN7" s="564" t="str">
        <f>IF(Ofwat_PC_Interventions!BN7&lt;&gt;"",Ofwat_PC_Interventions!BN7,IF(Company_PC_inputs!BN7&lt;&gt;"",Company_PC_inputs!BN7,""))</f>
        <v/>
      </c>
      <c r="BO7" s="564" t="str">
        <f>IF(Ofwat_PC_Interventions!BO7&lt;&gt;"",Ofwat_PC_Interventions!BO7,IF(Company_PC_inputs!BO7&lt;&gt;"",Company_PC_inputs!BO7,""))</f>
        <v/>
      </c>
      <c r="BP7" s="564" t="str">
        <f>IF(Ofwat_PC_Interventions!BP7&lt;&gt;"",Ofwat_PC_Interventions!BP7,IF(Company_PC_inputs!BP7&lt;&gt;"",Company_PC_inputs!BP7,""))</f>
        <v/>
      </c>
      <c r="BQ7" s="564" t="str">
        <f>IF(Ofwat_PC_Interventions!BQ7&lt;&gt;"",Ofwat_PC_Interventions!BQ7,IF(Company_PC_inputs!BQ7&lt;&gt;"",Company_PC_inputs!BQ7,""))</f>
        <v/>
      </c>
      <c r="BR7" s="564" t="str">
        <f>IF(Ofwat_PC_Interventions!BR7&lt;&gt;"",Ofwat_PC_Interventions!BR7,IF(Company_PC_inputs!BR7&lt;&gt;"",Company_PC_inputs!BR7,""))</f>
        <v/>
      </c>
      <c r="BS7" s="564" t="str">
        <f>IF(Ofwat_PC_Interventions!BS7&lt;&gt;"",Ofwat_PC_Interventions!BS7,IF(Company_PC_inputs!BS7&lt;&gt;"",Company_PC_inputs!BS7,""))</f>
        <v/>
      </c>
    </row>
    <row r="8" spans="1:110" s="202" customFormat="1" ht="13.15">
      <c r="A8" s="453"/>
      <c r="B8" s="453"/>
      <c r="C8" s="453"/>
      <c r="D8" s="453"/>
      <c r="E8" s="453" t="s">
        <v>1159</v>
      </c>
      <c r="F8" s="453"/>
      <c r="G8" s="453" t="s">
        <v>1160</v>
      </c>
      <c r="H8" s="453"/>
      <c r="I8" s="453"/>
      <c r="J8" s="490" t="str">
        <f>IF(Ofwat_PC_Interventions!J8&lt;&gt;"",Ofwat_PC_Interventions!J8,IF(Company_PC_inputs!J8&lt;&gt;"",Company_PC_inputs!J8,""))</f>
        <v/>
      </c>
      <c r="K8" s="490" t="str">
        <f>IF(Ofwat_PC_Interventions!K8&lt;&gt;"",Ofwat_PC_Interventions!K8,IF(Company_PC_inputs!K8&lt;&gt;"",Company_PC_inputs!K8,""))</f>
        <v/>
      </c>
      <c r="L8" s="569">
        <f>IF(Ofwat_PC_Interventions!L8&lt;&gt;"",Ofwat_PC_Interventions!L8,IF(Company_PC_inputs!L8&lt;&gt;"",Company_PC_inputs!L8,""))</f>
        <v>99.9</v>
      </c>
      <c r="M8" s="569" t="str">
        <f>IF(Ofwat_PC_Interventions!M8&lt;&gt;"",Ofwat_PC_Interventions!M8,IF(Company_PC_inputs!M8&lt;&gt;"",Company_PC_inputs!M8,""))</f>
        <v/>
      </c>
      <c r="N8" s="569">
        <f>IF(Ofwat_PC_Interventions!N8&lt;&gt;"",Ofwat_PC_Interventions!N8,IF(Company_PC_inputs!N8&lt;&gt;"",Company_PC_inputs!N8,""))</f>
        <v>128</v>
      </c>
      <c r="O8" s="569" t="str">
        <f>IF(Ofwat_PC_Interventions!O8&lt;&gt;"",Ofwat_PC_Interventions!O8,IF(Company_PC_inputs!O8&lt;&gt;"",Company_PC_inputs!O8,""))</f>
        <v/>
      </c>
      <c r="P8" s="490" t="str">
        <f>IF(Ofwat_PC_Interventions!P8&lt;&gt;"",Ofwat_PC_Interventions!P8,IF(Company_PC_inputs!P8&lt;&gt;"",Company_PC_inputs!P8,""))</f>
        <v/>
      </c>
      <c r="Q8" s="491" t="str">
        <f>IF(Ofwat_PC_Interventions!Q8&lt;&gt;"",Ofwat_PC_Interventions!Q8,IF(Company_PC_inputs!Q8&lt;&gt;"",Company_PC_inputs!Q8,""))</f>
        <v/>
      </c>
      <c r="R8" s="490" t="str">
        <f>IF(Ofwat_PC_Interventions!R8&lt;&gt;"",Ofwat_PC_Interventions!R8,IF(Company_PC_inputs!R8&lt;&gt;"",Company_PC_inputs!R8,""))</f>
        <v/>
      </c>
      <c r="S8" s="490" t="str">
        <f>IF(Ofwat_PC_Interventions!S8&lt;&gt;"",Ofwat_PC_Interventions!S8,IF(Company_PC_inputs!S8&lt;&gt;"",Company_PC_inputs!S8,""))</f>
        <v/>
      </c>
      <c r="T8" s="490" t="str">
        <f>IF(Ofwat_PC_Interventions!T8&lt;&gt;"",Ofwat_PC_Interventions!T8,IF(Company_PC_inputs!T8&lt;&gt;"",Company_PC_inputs!T8,""))</f>
        <v/>
      </c>
      <c r="U8" s="490" t="str">
        <f>IF(Ofwat_PC_Interventions!U8&lt;&gt;"",Ofwat_PC_Interventions!U8,IF(Company_PC_inputs!U8&lt;&gt;"",Company_PC_inputs!U8,""))</f>
        <v/>
      </c>
      <c r="V8" s="490" t="str">
        <f>IF(Ofwat_PC_Interventions!V8&lt;&gt;"",Ofwat_PC_Interventions!V8,IF(Company_PC_inputs!V8&lt;&gt;"",Company_PC_inputs!V8,""))</f>
        <v/>
      </c>
      <c r="W8" s="490" t="str">
        <f>IF(Ofwat_PC_Interventions!W8&lt;&gt;"",Ofwat_PC_Interventions!W8,IF(Company_PC_inputs!W8&lt;&gt;"",Company_PC_inputs!W8,""))</f>
        <v/>
      </c>
      <c r="X8" s="490" t="str">
        <f>IF(Ofwat_PC_Interventions!X8&lt;&gt;"",Ofwat_PC_Interventions!X8,IF(Company_PC_inputs!X8&lt;&gt;"",Company_PC_inputs!X8,""))</f>
        <v/>
      </c>
      <c r="Y8" s="490" t="str">
        <f>IF(Ofwat_PC_Interventions!Y8&lt;&gt;"",Ofwat_PC_Interventions!Y8,IF(Company_PC_inputs!Y8&lt;&gt;"",Company_PC_inputs!Y8,""))</f>
        <v/>
      </c>
      <c r="Z8" s="490" t="str">
        <f>IF(Ofwat_PC_Interventions!Z8&lt;&gt;"",Ofwat_PC_Interventions!Z8,IF(Company_PC_inputs!Z8&lt;&gt;"",Company_PC_inputs!Z8,""))</f>
        <v/>
      </c>
      <c r="AA8" s="490" t="str">
        <f>IF(Ofwat_PC_Interventions!AA8&lt;&gt;"",Ofwat_PC_Interventions!AA8,IF(Company_PC_inputs!AA8&lt;&gt;"",Company_PC_inputs!AA8,""))</f>
        <v/>
      </c>
      <c r="AB8" s="490" t="str">
        <f>IF(Ofwat_PC_Interventions!AB8&lt;&gt;"",Ofwat_PC_Interventions!AB8,IF(Company_PC_inputs!AB8&lt;&gt;"",Company_PC_inputs!AB8,""))</f>
        <v/>
      </c>
      <c r="AC8" s="490" t="str">
        <f>IF(Ofwat_PC_Interventions!AC8&lt;&gt;"",Ofwat_PC_Interventions!AC8,IF(Company_PC_inputs!AC8&lt;&gt;"",Company_PC_inputs!AC8,""))</f>
        <v/>
      </c>
      <c r="AD8" s="490" t="str">
        <f>IF(Ofwat_PC_Interventions!AD8&lt;&gt;"",Ofwat_PC_Interventions!AD8,IF(Company_PC_inputs!AD8&lt;&gt;"",Company_PC_inputs!AD8,""))</f>
        <v/>
      </c>
      <c r="AE8" s="490" t="str">
        <f>IF(Ofwat_PC_Interventions!AE8&lt;&gt;"",Ofwat_PC_Interventions!AE8,IF(Company_PC_inputs!AE8&lt;&gt;"",Company_PC_inputs!AE8,""))</f>
        <v/>
      </c>
      <c r="AF8" s="490" t="str">
        <f>IF(Ofwat_PC_Interventions!AF8&lt;&gt;"",Ofwat_PC_Interventions!AF8,IF(Company_PC_inputs!AF8&lt;&gt;"",Company_PC_inputs!AF8,""))</f>
        <v/>
      </c>
      <c r="AG8" s="490" t="str">
        <f>IF(Ofwat_PC_Interventions!AG8&lt;&gt;"",Ofwat_PC_Interventions!AG8,IF(Company_PC_inputs!AG8&lt;&gt;"",Company_PC_inputs!AG8,""))</f>
        <v/>
      </c>
      <c r="AH8" s="490" t="str">
        <f>IF(Ofwat_PC_Interventions!AH8&lt;&gt;"",Ofwat_PC_Interventions!AH8,IF(Company_PC_inputs!AH8&lt;&gt;"",Company_PC_inputs!AH8,""))</f>
        <v/>
      </c>
      <c r="AI8" s="490" t="str">
        <f>IF(Ofwat_PC_Interventions!AI8&lt;&gt;"",Ofwat_PC_Interventions!AI8,IF(Company_PC_inputs!AI8&lt;&gt;"",Company_PC_inputs!AI8,""))</f>
        <v/>
      </c>
      <c r="AJ8" s="490" t="str">
        <f>IF(Ofwat_PC_Interventions!AJ8&lt;&gt;"",Ofwat_PC_Interventions!AJ8,IF(Company_PC_inputs!AJ8&lt;&gt;"",Company_PC_inputs!AJ8,""))</f>
        <v/>
      </c>
      <c r="AK8" s="491" t="str">
        <f>IF(Ofwat_PC_Interventions!AK8&lt;&gt;"",Ofwat_PC_Interventions!AK8,IF(Company_PC_inputs!AK8&lt;&gt;"",Company_PC_inputs!AK8,""))</f>
        <v/>
      </c>
      <c r="AL8" s="490" t="str">
        <f>IF(Ofwat_PC_Interventions!AL8&lt;&gt;"",Ofwat_PC_Interventions!AL8,IF(Company_PC_inputs!AL8&lt;&gt;"",Company_PC_inputs!AL8,""))</f>
        <v/>
      </c>
      <c r="AM8" s="490" t="str">
        <f>IF(Ofwat_PC_Interventions!AM8&lt;&gt;"",Ofwat_PC_Interventions!AM8,IF(Company_PC_inputs!AM8&lt;&gt;"",Company_PC_inputs!AM8,""))</f>
        <v/>
      </c>
      <c r="AN8" s="490" t="str">
        <f>IF(Ofwat_PC_Interventions!AN8&lt;&gt;"",Ofwat_PC_Interventions!AN8,IF(Company_PC_inputs!AN8&lt;&gt;"",Company_PC_inputs!AN8,""))</f>
        <v/>
      </c>
      <c r="AO8" s="491" t="str">
        <f>IF(Ofwat_PC_Interventions!AO8&lt;&gt;"",Ofwat_PC_Interventions!AO8,IF(Company_PC_inputs!AO8&lt;&gt;"",Company_PC_inputs!AO8,""))</f>
        <v/>
      </c>
      <c r="AP8" s="490" t="str">
        <f>IF(Ofwat_PC_Interventions!AP8&lt;&gt;"",Ofwat_PC_Interventions!AP8,IF(Company_PC_inputs!AP8&lt;&gt;"",Company_PC_inputs!AP8,""))</f>
        <v/>
      </c>
      <c r="AQ8" s="490" t="str">
        <f>IF(Ofwat_PC_Interventions!AQ8&lt;&gt;"",Ofwat_PC_Interventions!AQ8,IF(Company_PC_inputs!AQ8&lt;&gt;"",Company_PC_inputs!AQ8,""))</f>
        <v/>
      </c>
      <c r="AR8" s="490" t="str">
        <f>IF(Ofwat_PC_Interventions!AR8&lt;&gt;"",Ofwat_PC_Interventions!AR8,IF(Company_PC_inputs!AR8&lt;&gt;"",Company_PC_inputs!AR8,""))</f>
        <v/>
      </c>
      <c r="AS8" s="490" t="str">
        <f>IF(Ofwat_PC_Interventions!AS8&lt;&gt;"",Ofwat_PC_Interventions!AS8,IF(Company_PC_inputs!AS8&lt;&gt;"",Company_PC_inputs!AS8,""))</f>
        <v/>
      </c>
      <c r="AT8" s="490" t="str">
        <f>IF(Ofwat_PC_Interventions!AT8&lt;&gt;"",Ofwat_PC_Interventions!AT8,IF(Company_PC_inputs!AT8&lt;&gt;"",Company_PC_inputs!AT8,""))</f>
        <v/>
      </c>
      <c r="AU8" s="490" t="str">
        <f>IF(Ofwat_PC_Interventions!AU8&lt;&gt;"",Ofwat_PC_Interventions!AU8,IF(Company_PC_inputs!AU8&lt;&gt;"",Company_PC_inputs!AU8,""))</f>
        <v/>
      </c>
      <c r="AV8" s="490" t="str">
        <f>IF(Ofwat_PC_Interventions!AV8&lt;&gt;"",Ofwat_PC_Interventions!AV8,IF(Company_PC_inputs!AV8&lt;&gt;"",Company_PC_inputs!AV8,""))</f>
        <v/>
      </c>
      <c r="AW8" s="490" t="str">
        <f>IF(Ofwat_PC_Interventions!AW8&lt;&gt;"",Ofwat_PC_Interventions!AW8,IF(Company_PC_inputs!AW8&lt;&gt;"",Company_PC_inputs!AW8,""))</f>
        <v/>
      </c>
      <c r="AX8" s="490" t="str">
        <f>IF(Ofwat_PC_Interventions!AX8&lt;&gt;"",Ofwat_PC_Interventions!AX8,IF(Company_PC_inputs!AX8&lt;&gt;"",Company_PC_inputs!AX8,""))</f>
        <v/>
      </c>
      <c r="AY8" s="490" t="str">
        <f>IF(Ofwat_PC_Interventions!AY8&lt;&gt;"",Ofwat_PC_Interventions!AY8,IF(Company_PC_inputs!AY8&lt;&gt;"",Company_PC_inputs!AY8,""))</f>
        <v/>
      </c>
      <c r="AZ8" s="490" t="str">
        <f>IF(Ofwat_PC_Interventions!AZ8&lt;&gt;"",Ofwat_PC_Interventions!AZ8,IF(Company_PC_inputs!AZ8&lt;&gt;"",Company_PC_inputs!AZ8,""))</f>
        <v/>
      </c>
      <c r="BA8" s="490" t="str">
        <f>IF(Ofwat_PC_Interventions!BA8&lt;&gt;"",Ofwat_PC_Interventions!BA8,IF(Company_PC_inputs!BA8&lt;&gt;"",Company_PC_inputs!BA8,""))</f>
        <v/>
      </c>
      <c r="BB8" s="490" t="str">
        <f>IF(Ofwat_PC_Interventions!BB8&lt;&gt;"",Ofwat_PC_Interventions!BB8,IF(Company_PC_inputs!BB8&lt;&gt;"",Company_PC_inputs!BB8,""))</f>
        <v/>
      </c>
      <c r="BC8" s="491" t="str">
        <f>IF(Ofwat_PC_Interventions!BC8&lt;&gt;"",Ofwat_PC_Interventions!BC8,IF(Company_PC_inputs!BC8&lt;&gt;"",Company_PC_inputs!BC8,""))</f>
        <v/>
      </c>
      <c r="BD8" s="490" t="str">
        <f>IF(Ofwat_PC_Interventions!BD8&lt;&gt;"",Ofwat_PC_Interventions!BD8,IF(Company_PC_inputs!BD8&lt;&gt;"",Company_PC_inputs!BD8,""))</f>
        <v/>
      </c>
      <c r="BE8" s="490" t="str">
        <f>IF(Ofwat_PC_Interventions!BE8&lt;&gt;"",Ofwat_PC_Interventions!BE8,IF(Company_PC_inputs!BE8&lt;&gt;"",Company_PC_inputs!BE8,""))</f>
        <v/>
      </c>
      <c r="BF8" s="490" t="str">
        <f>IF(Ofwat_PC_Interventions!BF8&lt;&gt;"",Ofwat_PC_Interventions!BF8,IF(Company_PC_inputs!BF8&lt;&gt;"",Company_PC_inputs!BF8,""))</f>
        <v/>
      </c>
      <c r="BG8" s="490" t="str">
        <f>IF(Ofwat_PC_Interventions!BG8&lt;&gt;"",Ofwat_PC_Interventions!BG8,IF(Company_PC_inputs!BG8&lt;&gt;"",Company_PC_inputs!BG8,""))</f>
        <v/>
      </c>
      <c r="BH8" s="490" t="str">
        <f>IF(Ofwat_PC_Interventions!BH8&lt;&gt;"",Ofwat_PC_Interventions!BH8,IF(Company_PC_inputs!BH8&lt;&gt;"",Company_PC_inputs!BH8,""))</f>
        <v/>
      </c>
      <c r="BI8" s="490" t="str">
        <f>IF(Ofwat_PC_Interventions!BI8&lt;&gt;"",Ofwat_PC_Interventions!BI8,IF(Company_PC_inputs!BI8&lt;&gt;"",Company_PC_inputs!BI8,""))</f>
        <v/>
      </c>
      <c r="BJ8" s="490" t="str">
        <f>IF(Ofwat_PC_Interventions!BJ8&lt;&gt;"",Ofwat_PC_Interventions!BJ8,IF(Company_PC_inputs!BJ8&lt;&gt;"",Company_PC_inputs!BJ8,""))</f>
        <v/>
      </c>
      <c r="BK8" s="490" t="str">
        <f>IF(Ofwat_PC_Interventions!BK8&lt;&gt;"",Ofwat_PC_Interventions!BK8,IF(Company_PC_inputs!BK8&lt;&gt;"",Company_PC_inputs!BK8,""))</f>
        <v/>
      </c>
      <c r="BL8" s="490" t="str">
        <f>IF(Ofwat_PC_Interventions!BL8&lt;&gt;"",Ofwat_PC_Interventions!BL8,IF(Company_PC_inputs!BL8&lt;&gt;"",Company_PC_inputs!BL8,""))</f>
        <v/>
      </c>
      <c r="BM8" s="490" t="str">
        <f>IF(Ofwat_PC_Interventions!BM8&lt;&gt;"",Ofwat_PC_Interventions!BM8,IF(Company_PC_inputs!BM8&lt;&gt;"",Company_PC_inputs!BM8,""))</f>
        <v/>
      </c>
      <c r="BN8" s="490" t="str">
        <f>IF(Ofwat_PC_Interventions!BN8&lt;&gt;"",Ofwat_PC_Interventions!BN8,IF(Company_PC_inputs!BN8&lt;&gt;"",Company_PC_inputs!BN8,""))</f>
        <v/>
      </c>
      <c r="BO8" s="490" t="str">
        <f>IF(Ofwat_PC_Interventions!BO8&lt;&gt;"",Ofwat_PC_Interventions!BO8,IF(Company_PC_inputs!BO8&lt;&gt;"",Company_PC_inputs!BO8,""))</f>
        <v/>
      </c>
      <c r="BP8" s="490" t="str">
        <f>IF(Ofwat_PC_Interventions!BP8&lt;&gt;"",Ofwat_PC_Interventions!BP8,IF(Company_PC_inputs!BP8&lt;&gt;"",Company_PC_inputs!BP8,""))</f>
        <v/>
      </c>
      <c r="BQ8" s="490" t="str">
        <f>IF(Ofwat_PC_Interventions!BQ8&lt;&gt;"",Ofwat_PC_Interventions!BQ8,IF(Company_PC_inputs!BQ8&lt;&gt;"",Company_PC_inputs!BQ8,""))</f>
        <v/>
      </c>
      <c r="BR8" s="490" t="str">
        <f>IF(Ofwat_PC_Interventions!BR8&lt;&gt;"",Ofwat_PC_Interventions!BR8,IF(Company_PC_inputs!BR8&lt;&gt;"",Company_PC_inputs!BR8,""))</f>
        <v/>
      </c>
      <c r="BS8" s="490" t="str">
        <f>IF(Ofwat_PC_Interventions!BS8&lt;&gt;"",Ofwat_PC_Interventions!BS8,IF(Company_PC_inputs!BS8&lt;&gt;"",Company_PC_inputs!BS8,""))</f>
        <v/>
      </c>
    </row>
    <row r="9" spans="1:110" s="202" customFormat="1" ht="13.15">
      <c r="A9" s="453"/>
      <c r="B9" s="453"/>
      <c r="C9" s="453"/>
      <c r="D9" s="453"/>
      <c r="E9" s="453"/>
      <c r="F9" s="453"/>
      <c r="G9" s="453"/>
      <c r="H9" s="453"/>
      <c r="I9" s="453"/>
      <c r="J9" s="490" t="str">
        <f>IF(Ofwat_PC_Interventions!J9&lt;&gt;"",Ofwat_PC_Interventions!J9,IF(Company_PC_inputs!J9&lt;&gt;"",Company_PC_inputs!J9,""))</f>
        <v/>
      </c>
      <c r="K9" s="490" t="str">
        <f>IF(Ofwat_PC_Interventions!K9&lt;&gt;"",Ofwat_PC_Interventions!K9,IF(Company_PC_inputs!K9&lt;&gt;"",Company_PC_inputs!K9,""))</f>
        <v/>
      </c>
      <c r="L9" s="490" t="str">
        <f>IF(Ofwat_PC_Interventions!L9&lt;&gt;"",Ofwat_PC_Interventions!L9,IF(Company_PC_inputs!L9&lt;&gt;"",Company_PC_inputs!L9,""))</f>
        <v/>
      </c>
      <c r="M9" s="490" t="str">
        <f>IF(Ofwat_PC_Interventions!M9&lt;&gt;"",Ofwat_PC_Interventions!M9,IF(Company_PC_inputs!M9&lt;&gt;"",Company_PC_inputs!M9,""))</f>
        <v/>
      </c>
      <c r="N9" s="490" t="str">
        <f>IF(Ofwat_PC_Interventions!N9&lt;&gt;"",Ofwat_PC_Interventions!N9,IF(Company_PC_inputs!N9&lt;&gt;"",Company_PC_inputs!N9,""))</f>
        <v/>
      </c>
      <c r="O9" s="490" t="str">
        <f>IF(Ofwat_PC_Interventions!O9&lt;&gt;"",Ofwat_PC_Interventions!O9,IF(Company_PC_inputs!O9&lt;&gt;"",Company_PC_inputs!O9,""))</f>
        <v/>
      </c>
      <c r="P9" s="490" t="str">
        <f>IF(Ofwat_PC_Interventions!P9&lt;&gt;"",Ofwat_PC_Interventions!P9,IF(Company_PC_inputs!P9&lt;&gt;"",Company_PC_inputs!P9,""))</f>
        <v/>
      </c>
      <c r="Q9" s="491" t="str">
        <f>IF(Ofwat_PC_Interventions!Q9&lt;&gt;"",Ofwat_PC_Interventions!Q9,IF(Company_PC_inputs!Q9&lt;&gt;"",Company_PC_inputs!Q9,""))</f>
        <v/>
      </c>
      <c r="R9" s="490" t="str">
        <f>IF(Ofwat_PC_Interventions!R9&lt;&gt;"",Ofwat_PC_Interventions!R9,IF(Company_PC_inputs!R9&lt;&gt;"",Company_PC_inputs!R9,""))</f>
        <v/>
      </c>
      <c r="S9" s="490" t="str">
        <f>IF(Ofwat_PC_Interventions!S9&lt;&gt;"",Ofwat_PC_Interventions!S9,IF(Company_PC_inputs!S9&lt;&gt;"",Company_PC_inputs!S9,""))</f>
        <v/>
      </c>
      <c r="T9" s="490" t="str">
        <f>IF(Ofwat_PC_Interventions!T9&lt;&gt;"",Ofwat_PC_Interventions!T9,IF(Company_PC_inputs!T9&lt;&gt;"",Company_PC_inputs!T9,""))</f>
        <v/>
      </c>
      <c r="U9" s="490" t="str">
        <f>IF(Ofwat_PC_Interventions!U9&lt;&gt;"",Ofwat_PC_Interventions!U9,IF(Company_PC_inputs!U9&lt;&gt;"",Company_PC_inputs!U9,""))</f>
        <v/>
      </c>
      <c r="V9" s="490" t="str">
        <f>IF(Ofwat_PC_Interventions!V9&lt;&gt;"",Ofwat_PC_Interventions!V9,IF(Company_PC_inputs!V9&lt;&gt;"",Company_PC_inputs!V9,""))</f>
        <v/>
      </c>
      <c r="W9" s="490" t="str">
        <f>IF(Ofwat_PC_Interventions!W9&lt;&gt;"",Ofwat_PC_Interventions!W9,IF(Company_PC_inputs!W9&lt;&gt;"",Company_PC_inputs!W9,""))</f>
        <v/>
      </c>
      <c r="X9" s="490" t="str">
        <f>IF(Ofwat_PC_Interventions!X9&lt;&gt;"",Ofwat_PC_Interventions!X9,IF(Company_PC_inputs!X9&lt;&gt;"",Company_PC_inputs!X9,""))</f>
        <v/>
      </c>
      <c r="Y9" s="490" t="str">
        <f>IF(Ofwat_PC_Interventions!Y9&lt;&gt;"",Ofwat_PC_Interventions!Y9,IF(Company_PC_inputs!Y9&lt;&gt;"",Company_PC_inputs!Y9,""))</f>
        <v/>
      </c>
      <c r="Z9" s="490" t="str">
        <f>IF(Ofwat_PC_Interventions!Z9&lt;&gt;"",Ofwat_PC_Interventions!Z9,IF(Company_PC_inputs!Z9&lt;&gt;"",Company_PC_inputs!Z9,""))</f>
        <v/>
      </c>
      <c r="AA9" s="490" t="str">
        <f>IF(Ofwat_PC_Interventions!AA9&lt;&gt;"",Ofwat_PC_Interventions!AA9,IF(Company_PC_inputs!AA9&lt;&gt;"",Company_PC_inputs!AA9,""))</f>
        <v/>
      </c>
      <c r="AB9" s="490" t="str">
        <f>IF(Ofwat_PC_Interventions!AB9&lt;&gt;"",Ofwat_PC_Interventions!AB9,IF(Company_PC_inputs!AB9&lt;&gt;"",Company_PC_inputs!AB9,""))</f>
        <v/>
      </c>
      <c r="AC9" s="490" t="str">
        <f>IF(Ofwat_PC_Interventions!AC9&lt;&gt;"",Ofwat_PC_Interventions!AC9,IF(Company_PC_inputs!AC9&lt;&gt;"",Company_PC_inputs!AC9,""))</f>
        <v/>
      </c>
      <c r="AD9" s="490" t="str">
        <f>IF(Ofwat_PC_Interventions!AD9&lt;&gt;"",Ofwat_PC_Interventions!AD9,IF(Company_PC_inputs!AD9&lt;&gt;"",Company_PC_inputs!AD9,""))</f>
        <v/>
      </c>
      <c r="AE9" s="490" t="str">
        <f>IF(Ofwat_PC_Interventions!AE9&lt;&gt;"",Ofwat_PC_Interventions!AE9,IF(Company_PC_inputs!AE9&lt;&gt;"",Company_PC_inputs!AE9,""))</f>
        <v/>
      </c>
      <c r="AF9" s="490" t="str">
        <f>IF(Ofwat_PC_Interventions!AF9&lt;&gt;"",Ofwat_PC_Interventions!AF9,IF(Company_PC_inputs!AF9&lt;&gt;"",Company_PC_inputs!AF9,""))</f>
        <v/>
      </c>
      <c r="AG9" s="490" t="str">
        <f>IF(Ofwat_PC_Interventions!AG9&lt;&gt;"",Ofwat_PC_Interventions!AG9,IF(Company_PC_inputs!AG9&lt;&gt;"",Company_PC_inputs!AG9,""))</f>
        <v/>
      </c>
      <c r="AH9" s="490" t="str">
        <f>IF(Ofwat_PC_Interventions!AH9&lt;&gt;"",Ofwat_PC_Interventions!AH9,IF(Company_PC_inputs!AH9&lt;&gt;"",Company_PC_inputs!AH9,""))</f>
        <v/>
      </c>
      <c r="AI9" s="490" t="str">
        <f>IF(Ofwat_PC_Interventions!AI9&lt;&gt;"",Ofwat_PC_Interventions!AI9,IF(Company_PC_inputs!AI9&lt;&gt;"",Company_PC_inputs!AI9,""))</f>
        <v/>
      </c>
      <c r="AJ9" s="490" t="str">
        <f>IF(Ofwat_PC_Interventions!AJ9&lt;&gt;"",Ofwat_PC_Interventions!AJ9,IF(Company_PC_inputs!AJ9&lt;&gt;"",Company_PC_inputs!AJ9,""))</f>
        <v/>
      </c>
      <c r="AK9" s="491" t="str">
        <f>IF(Ofwat_PC_Interventions!AK9&lt;&gt;"",Ofwat_PC_Interventions!AK9,IF(Company_PC_inputs!AK9&lt;&gt;"",Company_PC_inputs!AK9,""))</f>
        <v/>
      </c>
      <c r="AL9" s="490" t="str">
        <f>IF(Ofwat_PC_Interventions!AL9&lt;&gt;"",Ofwat_PC_Interventions!AL9,IF(Company_PC_inputs!AL9&lt;&gt;"",Company_PC_inputs!AL9,""))</f>
        <v/>
      </c>
      <c r="AM9" s="490" t="str">
        <f>IF(Ofwat_PC_Interventions!AM9&lt;&gt;"",Ofwat_PC_Interventions!AM9,IF(Company_PC_inputs!AM9&lt;&gt;"",Company_PC_inputs!AM9,""))</f>
        <v/>
      </c>
      <c r="AN9" s="490" t="str">
        <f>IF(Ofwat_PC_Interventions!AN9&lt;&gt;"",Ofwat_PC_Interventions!AN9,IF(Company_PC_inputs!AN9&lt;&gt;"",Company_PC_inputs!AN9,""))</f>
        <v/>
      </c>
      <c r="AO9" s="491" t="str">
        <f>IF(Ofwat_PC_Interventions!AO9&lt;&gt;"",Ofwat_PC_Interventions!AO9,IF(Company_PC_inputs!AO9&lt;&gt;"",Company_PC_inputs!AO9,""))</f>
        <v/>
      </c>
      <c r="AP9" s="490" t="str">
        <f>IF(Ofwat_PC_Interventions!AP9&lt;&gt;"",Ofwat_PC_Interventions!AP9,IF(Company_PC_inputs!AP9&lt;&gt;"",Company_PC_inputs!AP9,""))</f>
        <v/>
      </c>
      <c r="AQ9" s="490" t="str">
        <f>IF(Ofwat_PC_Interventions!AQ9&lt;&gt;"",Ofwat_PC_Interventions!AQ9,IF(Company_PC_inputs!AQ9&lt;&gt;"",Company_PC_inputs!AQ9,""))</f>
        <v/>
      </c>
      <c r="AR9" s="490" t="str">
        <f>IF(Ofwat_PC_Interventions!AR9&lt;&gt;"",Ofwat_PC_Interventions!AR9,IF(Company_PC_inputs!AR9&lt;&gt;"",Company_PC_inputs!AR9,""))</f>
        <v/>
      </c>
      <c r="AS9" s="490" t="str">
        <f>IF(Ofwat_PC_Interventions!AS9&lt;&gt;"",Ofwat_PC_Interventions!AS9,IF(Company_PC_inputs!AS9&lt;&gt;"",Company_PC_inputs!AS9,""))</f>
        <v/>
      </c>
      <c r="AT9" s="490" t="str">
        <f>IF(Ofwat_PC_Interventions!AT9&lt;&gt;"",Ofwat_PC_Interventions!AT9,IF(Company_PC_inputs!AT9&lt;&gt;"",Company_PC_inputs!AT9,""))</f>
        <v/>
      </c>
      <c r="AU9" s="490" t="str">
        <f>IF(Ofwat_PC_Interventions!AU9&lt;&gt;"",Ofwat_PC_Interventions!AU9,IF(Company_PC_inputs!AU9&lt;&gt;"",Company_PC_inputs!AU9,""))</f>
        <v/>
      </c>
      <c r="AV9" s="490" t="str">
        <f>IF(Ofwat_PC_Interventions!AV9&lt;&gt;"",Ofwat_PC_Interventions!AV9,IF(Company_PC_inputs!AV9&lt;&gt;"",Company_PC_inputs!AV9,""))</f>
        <v/>
      </c>
      <c r="AW9" s="490" t="str">
        <f>IF(Ofwat_PC_Interventions!AW9&lt;&gt;"",Ofwat_PC_Interventions!AW9,IF(Company_PC_inputs!AW9&lt;&gt;"",Company_PC_inputs!AW9,""))</f>
        <v/>
      </c>
      <c r="AX9" s="490" t="str">
        <f>IF(Ofwat_PC_Interventions!AX9&lt;&gt;"",Ofwat_PC_Interventions!AX9,IF(Company_PC_inputs!AX9&lt;&gt;"",Company_PC_inputs!AX9,""))</f>
        <v/>
      </c>
      <c r="AY9" s="490" t="str">
        <f>IF(Ofwat_PC_Interventions!AY9&lt;&gt;"",Ofwat_PC_Interventions!AY9,IF(Company_PC_inputs!AY9&lt;&gt;"",Company_PC_inputs!AY9,""))</f>
        <v/>
      </c>
      <c r="AZ9" s="490" t="str">
        <f>IF(Ofwat_PC_Interventions!AZ9&lt;&gt;"",Ofwat_PC_Interventions!AZ9,IF(Company_PC_inputs!AZ9&lt;&gt;"",Company_PC_inputs!AZ9,""))</f>
        <v/>
      </c>
      <c r="BA9" s="490" t="str">
        <f>IF(Ofwat_PC_Interventions!BA9&lt;&gt;"",Ofwat_PC_Interventions!BA9,IF(Company_PC_inputs!BA9&lt;&gt;"",Company_PC_inputs!BA9,""))</f>
        <v/>
      </c>
      <c r="BB9" s="490" t="str">
        <f>IF(Ofwat_PC_Interventions!BB9&lt;&gt;"",Ofwat_PC_Interventions!BB9,IF(Company_PC_inputs!BB9&lt;&gt;"",Company_PC_inputs!BB9,""))</f>
        <v/>
      </c>
      <c r="BC9" s="491" t="str">
        <f>IF(Ofwat_PC_Interventions!BC9&lt;&gt;"",Ofwat_PC_Interventions!BC9,IF(Company_PC_inputs!BC9&lt;&gt;"",Company_PC_inputs!BC9,""))</f>
        <v/>
      </c>
      <c r="BD9" s="490" t="str">
        <f>IF(Ofwat_PC_Interventions!BD9&lt;&gt;"",Ofwat_PC_Interventions!BD9,IF(Company_PC_inputs!BD9&lt;&gt;"",Company_PC_inputs!BD9,""))</f>
        <v/>
      </c>
      <c r="BE9" s="490" t="str">
        <f>IF(Ofwat_PC_Interventions!BE9&lt;&gt;"",Ofwat_PC_Interventions!BE9,IF(Company_PC_inputs!BE9&lt;&gt;"",Company_PC_inputs!BE9,""))</f>
        <v/>
      </c>
      <c r="BF9" s="490" t="str">
        <f>IF(Ofwat_PC_Interventions!BF9&lt;&gt;"",Ofwat_PC_Interventions!BF9,IF(Company_PC_inputs!BF9&lt;&gt;"",Company_PC_inputs!BF9,""))</f>
        <v/>
      </c>
      <c r="BG9" s="490" t="str">
        <f>IF(Ofwat_PC_Interventions!BG9&lt;&gt;"",Ofwat_PC_Interventions!BG9,IF(Company_PC_inputs!BG9&lt;&gt;"",Company_PC_inputs!BG9,""))</f>
        <v/>
      </c>
      <c r="BH9" s="490" t="str">
        <f>IF(Ofwat_PC_Interventions!BH9&lt;&gt;"",Ofwat_PC_Interventions!BH9,IF(Company_PC_inputs!BH9&lt;&gt;"",Company_PC_inputs!BH9,""))</f>
        <v/>
      </c>
      <c r="BI9" s="490" t="str">
        <f>IF(Ofwat_PC_Interventions!BI9&lt;&gt;"",Ofwat_PC_Interventions!BI9,IF(Company_PC_inputs!BI9&lt;&gt;"",Company_PC_inputs!BI9,""))</f>
        <v/>
      </c>
      <c r="BJ9" s="490" t="str">
        <f>IF(Ofwat_PC_Interventions!BJ9&lt;&gt;"",Ofwat_PC_Interventions!BJ9,IF(Company_PC_inputs!BJ9&lt;&gt;"",Company_PC_inputs!BJ9,""))</f>
        <v/>
      </c>
      <c r="BK9" s="490" t="str">
        <f>IF(Ofwat_PC_Interventions!BK9&lt;&gt;"",Ofwat_PC_Interventions!BK9,IF(Company_PC_inputs!BK9&lt;&gt;"",Company_PC_inputs!BK9,""))</f>
        <v/>
      </c>
      <c r="BL9" s="490" t="str">
        <f>IF(Ofwat_PC_Interventions!BL9&lt;&gt;"",Ofwat_PC_Interventions!BL9,IF(Company_PC_inputs!BL9&lt;&gt;"",Company_PC_inputs!BL9,""))</f>
        <v/>
      </c>
      <c r="BM9" s="490" t="str">
        <f>IF(Ofwat_PC_Interventions!BM9&lt;&gt;"",Ofwat_PC_Interventions!BM9,IF(Company_PC_inputs!BM9&lt;&gt;"",Company_PC_inputs!BM9,""))</f>
        <v/>
      </c>
      <c r="BN9" s="490" t="str">
        <f>IF(Ofwat_PC_Interventions!BN9&lt;&gt;"",Ofwat_PC_Interventions!BN9,IF(Company_PC_inputs!BN9&lt;&gt;"",Company_PC_inputs!BN9,""))</f>
        <v/>
      </c>
      <c r="BO9" s="490" t="str">
        <f>IF(Ofwat_PC_Interventions!BO9&lt;&gt;"",Ofwat_PC_Interventions!BO9,IF(Company_PC_inputs!BO9&lt;&gt;"",Company_PC_inputs!BO9,""))</f>
        <v/>
      </c>
      <c r="BP9" s="490" t="str">
        <f>IF(Ofwat_PC_Interventions!BP9&lt;&gt;"",Ofwat_PC_Interventions!BP9,IF(Company_PC_inputs!BP9&lt;&gt;"",Company_PC_inputs!BP9,""))</f>
        <v/>
      </c>
      <c r="BQ9" s="490" t="str">
        <f>IF(Ofwat_PC_Interventions!BQ9&lt;&gt;"",Ofwat_PC_Interventions!BQ9,IF(Company_PC_inputs!BQ9&lt;&gt;"",Company_PC_inputs!BQ9,""))</f>
        <v/>
      </c>
      <c r="BR9" s="490" t="str">
        <f>IF(Ofwat_PC_Interventions!BR9&lt;&gt;"",Ofwat_PC_Interventions!BR9,IF(Company_PC_inputs!BR9&lt;&gt;"",Company_PC_inputs!BR9,""))</f>
        <v/>
      </c>
      <c r="BS9" s="490" t="str">
        <f>IF(Ofwat_PC_Interventions!BS9&lt;&gt;"",Ofwat_PC_Interventions!BS9,IF(Company_PC_inputs!BS9&lt;&gt;"",Company_PC_inputs!BS9,""))</f>
        <v/>
      </c>
    </row>
    <row r="10" spans="1:110" s="202" customFormat="1" ht="13.15">
      <c r="A10" s="453"/>
      <c r="B10" s="453"/>
      <c r="C10" s="453"/>
      <c r="D10" s="463"/>
      <c r="E10" s="453"/>
      <c r="F10" s="453"/>
      <c r="G10" s="453"/>
      <c r="H10" s="453"/>
      <c r="I10" s="453"/>
      <c r="J10" s="492"/>
      <c r="K10" s="492"/>
      <c r="L10" s="492"/>
      <c r="M10" s="492"/>
      <c r="N10" s="492"/>
      <c r="O10" s="492"/>
      <c r="P10" s="492"/>
      <c r="Q10" s="493"/>
      <c r="R10" s="492"/>
      <c r="S10" s="492"/>
      <c r="T10" s="492"/>
      <c r="U10" s="492"/>
      <c r="V10" s="492"/>
      <c r="W10" s="492"/>
      <c r="X10" s="492"/>
      <c r="Y10" s="492"/>
      <c r="Z10" s="492"/>
      <c r="AA10" s="492"/>
      <c r="AB10" s="492"/>
      <c r="AC10" s="492"/>
      <c r="AD10" s="492"/>
      <c r="AE10" s="492"/>
      <c r="AF10" s="492"/>
      <c r="AG10" s="492"/>
      <c r="AH10" s="492"/>
      <c r="AI10" s="492"/>
      <c r="AJ10" s="492"/>
      <c r="AK10" s="493"/>
      <c r="AL10" s="492"/>
      <c r="AM10" s="492"/>
      <c r="AN10" s="492"/>
      <c r="AO10" s="493"/>
      <c r="AP10" s="492"/>
      <c r="AQ10" s="492"/>
      <c r="AR10" s="492"/>
      <c r="AS10" s="492"/>
      <c r="AT10" s="492"/>
      <c r="AU10" s="492"/>
      <c r="AV10" s="492"/>
      <c r="AW10" s="492"/>
      <c r="AX10" s="492"/>
      <c r="AY10" s="492"/>
      <c r="AZ10" s="492"/>
      <c r="BA10" s="492"/>
      <c r="BB10" s="492"/>
      <c r="BC10" s="493"/>
      <c r="BD10" s="492"/>
      <c r="BE10" s="492"/>
      <c r="BF10" s="492"/>
      <c r="BG10" s="492"/>
      <c r="BH10" s="492"/>
      <c r="BI10" s="492"/>
      <c r="BJ10" s="492"/>
      <c r="BK10" s="492"/>
      <c r="BL10" s="492"/>
      <c r="BM10" s="492"/>
      <c r="BN10" s="492"/>
      <c r="BO10" s="492"/>
      <c r="BP10" s="492"/>
      <c r="BQ10" s="492"/>
      <c r="BR10" s="492"/>
      <c r="BS10" s="492"/>
    </row>
    <row r="11" spans="1:110" s="202" customFormat="1" ht="13.15">
      <c r="A11" s="453"/>
      <c r="B11" s="453"/>
      <c r="C11" s="453"/>
      <c r="D11" s="463"/>
      <c r="E11" s="453" t="s">
        <v>1161</v>
      </c>
      <c r="F11" s="453"/>
      <c r="G11" s="453" t="s">
        <v>418</v>
      </c>
      <c r="H11" s="453"/>
      <c r="I11" s="453"/>
      <c r="J11" s="494" t="b">
        <f>J$31=Validation!$F$6</f>
        <v>0</v>
      </c>
      <c r="K11" s="494" t="b">
        <f>K$31=Validation!$F$6</f>
        <v>1</v>
      </c>
      <c r="L11" s="494" t="b">
        <f>L$31=Validation!$F$6</f>
        <v>0</v>
      </c>
      <c r="M11" s="494" t="b">
        <f>M$31=Validation!$F$6</f>
        <v>0</v>
      </c>
      <c r="N11" s="494" t="b">
        <f>N$31=Validation!$F$6</f>
        <v>0</v>
      </c>
      <c r="O11" s="494" t="b">
        <f>O$31=Validation!$F$6</f>
        <v>0</v>
      </c>
      <c r="P11" s="494" t="b">
        <f>P$31=Validation!$F$6</f>
        <v>0</v>
      </c>
      <c r="Q11" s="496" t="b">
        <f>Q$31=Validation!$F$6</f>
        <v>0</v>
      </c>
      <c r="R11" s="494" t="b">
        <f>R$31=Validation!$F$6</f>
        <v>0</v>
      </c>
      <c r="S11" s="494" t="b">
        <f>S$31=Validation!$F$6</f>
        <v>0</v>
      </c>
      <c r="T11" s="494" t="b">
        <f>T$31=Validation!$F$6</f>
        <v>0</v>
      </c>
      <c r="U11" s="494" t="b">
        <f>U$31=Validation!$F$6</f>
        <v>0</v>
      </c>
      <c r="V11" s="494" t="b">
        <f>V$31=Validation!$F$6</f>
        <v>0</v>
      </c>
      <c r="W11" s="494" t="b">
        <f>W$31=Validation!$F$6</f>
        <v>0</v>
      </c>
      <c r="X11" s="494" t="b">
        <f>X$31=Validation!$F$6</f>
        <v>0</v>
      </c>
      <c r="Y11" s="494" t="b">
        <f>Y$31=Validation!$F$6</f>
        <v>0</v>
      </c>
      <c r="Z11" s="494" t="b">
        <f>Z$31=Validation!$F$6</f>
        <v>0</v>
      </c>
      <c r="AA11" s="494" t="b">
        <f>AA$31=Validation!$F$6</f>
        <v>0</v>
      </c>
      <c r="AB11" s="494" t="b">
        <f>AB$31=Validation!$F$6</f>
        <v>0</v>
      </c>
      <c r="AC11" s="494" t="b">
        <f>AC$31=Validation!$F$6</f>
        <v>0</v>
      </c>
      <c r="AD11" s="494" t="b">
        <f>AD$31=Validation!$F$6</f>
        <v>0</v>
      </c>
      <c r="AE11" s="494" t="b">
        <f>AE$31=Validation!$F$6</f>
        <v>0</v>
      </c>
      <c r="AF11" s="494" t="b">
        <f>AF$31=Validation!$F$6</f>
        <v>0</v>
      </c>
      <c r="AG11" s="494" t="b">
        <f>AG$31=Validation!$F$6</f>
        <v>0</v>
      </c>
      <c r="AH11" s="494" t="b">
        <f>AH$31=Validation!$F$6</f>
        <v>0</v>
      </c>
      <c r="AI11" s="494" t="b">
        <f>AI$31=Validation!$F$6</f>
        <v>0</v>
      </c>
      <c r="AJ11" s="494" t="b">
        <f>AJ$31=Validation!$F$6</f>
        <v>0</v>
      </c>
      <c r="AK11" s="496" t="b">
        <f>AK$31=Validation!$F$6</f>
        <v>0</v>
      </c>
      <c r="AL11" s="494" t="b">
        <f>AL$31=Validation!$F$6</f>
        <v>0</v>
      </c>
      <c r="AM11" s="494" t="b">
        <f>AM$31=Validation!$F$6</f>
        <v>0</v>
      </c>
      <c r="AN11" s="494" t="b">
        <f>AN$31=Validation!$F$6</f>
        <v>0</v>
      </c>
      <c r="AO11" s="496" t="b">
        <f>AO$31=Validation!$F$6</f>
        <v>0</v>
      </c>
      <c r="AP11" s="494" t="b">
        <f>AP$31=Validation!$F$6</f>
        <v>0</v>
      </c>
      <c r="AQ11" s="494" t="b">
        <f>AQ$31=Validation!$F$6</f>
        <v>0</v>
      </c>
      <c r="AR11" s="494" t="b">
        <f>AR$31=Validation!$F$6</f>
        <v>0</v>
      </c>
      <c r="AS11" s="494" t="b">
        <f>AS$31=Validation!$F$6</f>
        <v>0</v>
      </c>
      <c r="AT11" s="494" t="b">
        <f>AT$31=Validation!$F$6</f>
        <v>0</v>
      </c>
      <c r="AU11" s="494" t="b">
        <f>AU$31=Validation!$F$6</f>
        <v>0</v>
      </c>
      <c r="AV11" s="494" t="b">
        <f>AV$31=Validation!$F$6</f>
        <v>0</v>
      </c>
      <c r="AW11" s="494" t="b">
        <f>AW$31=Validation!$F$6</f>
        <v>0</v>
      </c>
      <c r="AX11" s="494" t="b">
        <f>AX$31=Validation!$F$6</f>
        <v>0</v>
      </c>
      <c r="AY11" s="494" t="b">
        <f>AY$31=Validation!$F$6</f>
        <v>0</v>
      </c>
      <c r="AZ11" s="494" t="b">
        <f>AZ$31=Validation!$F$6</f>
        <v>0</v>
      </c>
      <c r="BA11" s="494" t="b">
        <f>BA$31=Validation!$F$6</f>
        <v>0</v>
      </c>
      <c r="BB11" s="494" t="b">
        <f>BB$31=Validation!$F$6</f>
        <v>0</v>
      </c>
      <c r="BC11" s="496" t="b">
        <f>BC$31=Validation!$F$6</f>
        <v>0</v>
      </c>
      <c r="BD11" s="494" t="b">
        <f>BD$31=Validation!$F$6</f>
        <v>0</v>
      </c>
      <c r="BE11" s="494" t="b">
        <f>BE$31=Validation!$F$6</f>
        <v>0</v>
      </c>
      <c r="BF11" s="494" t="b">
        <f>BF$31=Validation!$F$6</f>
        <v>0</v>
      </c>
      <c r="BG11" s="494" t="b">
        <f>BG$31=Validation!$F$6</f>
        <v>0</v>
      </c>
      <c r="BH11" s="494" t="b">
        <f>BH$31=Validation!$F$6</f>
        <v>0</v>
      </c>
      <c r="BI11" s="494" t="b">
        <f>BI$31=Validation!$F$6</f>
        <v>0</v>
      </c>
      <c r="BJ11" s="494" t="b">
        <f>BJ$31=Validation!$F$6</f>
        <v>0</v>
      </c>
      <c r="BK11" s="494" t="b">
        <f>BK$31=Validation!$F$6</f>
        <v>0</v>
      </c>
      <c r="BL11" s="494" t="b">
        <f>BL$31=Validation!$F$6</f>
        <v>0</v>
      </c>
      <c r="BM11" s="494" t="b">
        <f>BM$31=Validation!$F$6</f>
        <v>0</v>
      </c>
      <c r="BN11" s="494" t="b">
        <f>BN$31=Validation!$F$6</f>
        <v>0</v>
      </c>
      <c r="BO11" s="494" t="b">
        <f>BO$31=Validation!$F$6</f>
        <v>0</v>
      </c>
      <c r="BP11" s="494" t="b">
        <f>BP$31=Validation!$F$6</f>
        <v>0</v>
      </c>
      <c r="BQ11" s="494" t="b">
        <f>BQ$31=Validation!$F$6</f>
        <v>0</v>
      </c>
      <c r="BR11" s="494" t="b">
        <f>BR$31=Validation!$F$6</f>
        <v>0</v>
      </c>
      <c r="BS11" s="494" t="b">
        <f>BS$31=Validation!$F$6</f>
        <v>0</v>
      </c>
    </row>
    <row r="12" spans="1:110" s="202" customFormat="1" ht="13.15">
      <c r="A12" s="453"/>
      <c r="B12" s="453"/>
      <c r="C12" s="453"/>
      <c r="D12" s="453"/>
      <c r="E12" s="453"/>
      <c r="F12" s="453"/>
      <c r="G12" s="453"/>
      <c r="H12" s="453"/>
      <c r="I12" s="453"/>
      <c r="J12" s="570"/>
      <c r="K12" s="570"/>
      <c r="L12" s="570"/>
      <c r="M12" s="570"/>
      <c r="N12" s="570"/>
      <c r="O12" s="570"/>
      <c r="P12" s="570"/>
      <c r="Q12" s="571"/>
      <c r="R12" s="570"/>
      <c r="S12" s="570"/>
      <c r="T12" s="570"/>
      <c r="U12" s="570"/>
      <c r="V12" s="570"/>
      <c r="W12" s="570"/>
      <c r="X12" s="570"/>
      <c r="Y12" s="570"/>
      <c r="Z12" s="570"/>
      <c r="AA12" s="570"/>
      <c r="AB12" s="570"/>
      <c r="AC12" s="570"/>
      <c r="AD12" s="570"/>
      <c r="AE12" s="570"/>
      <c r="AF12" s="570"/>
      <c r="AG12" s="570"/>
      <c r="AH12" s="570"/>
      <c r="AI12" s="570"/>
      <c r="AJ12" s="570"/>
      <c r="AK12" s="571"/>
      <c r="AL12" s="570"/>
      <c r="AM12" s="570"/>
      <c r="AN12" s="570"/>
      <c r="AO12" s="571"/>
      <c r="AP12" s="570"/>
      <c r="AQ12" s="570"/>
      <c r="AR12" s="570"/>
      <c r="AS12" s="570"/>
      <c r="AT12" s="570"/>
      <c r="AU12" s="570"/>
      <c r="AV12" s="570"/>
      <c r="AW12" s="570"/>
      <c r="AX12" s="570"/>
      <c r="AY12" s="570"/>
      <c r="AZ12" s="570"/>
      <c r="BA12" s="570"/>
      <c r="BB12" s="570"/>
      <c r="BC12" s="571"/>
      <c r="BD12" s="570"/>
      <c r="BE12" s="570"/>
      <c r="BF12" s="570"/>
      <c r="BG12" s="570"/>
      <c r="BH12" s="570"/>
      <c r="BI12" s="570"/>
      <c r="BJ12" s="570"/>
      <c r="BK12" s="570"/>
      <c r="BL12" s="570"/>
      <c r="BM12" s="570"/>
      <c r="BN12" s="570"/>
      <c r="BO12" s="570"/>
      <c r="BP12" s="570"/>
      <c r="BQ12" s="570"/>
      <c r="BR12" s="570"/>
      <c r="BS12" s="570"/>
    </row>
    <row r="13" spans="1:110" s="202" customFormat="1" ht="13.15">
      <c r="A13" s="453"/>
      <c r="B13" s="453"/>
      <c r="C13" s="453"/>
      <c r="D13" s="453"/>
      <c r="E13" s="453"/>
      <c r="F13" s="453"/>
      <c r="G13" s="453"/>
      <c r="H13" s="453"/>
      <c r="I13" s="453"/>
      <c r="J13" s="570"/>
      <c r="K13" s="570"/>
      <c r="L13" s="570"/>
      <c r="M13" s="570"/>
      <c r="N13" s="570"/>
      <c r="O13" s="570"/>
      <c r="P13" s="570"/>
      <c r="Q13" s="571"/>
      <c r="R13" s="570"/>
      <c r="S13" s="570"/>
      <c r="T13" s="570"/>
      <c r="U13" s="570"/>
      <c r="V13" s="570"/>
      <c r="W13" s="570"/>
      <c r="X13" s="570"/>
      <c r="Y13" s="570"/>
      <c r="Z13" s="570"/>
      <c r="AA13" s="570"/>
      <c r="AB13" s="570"/>
      <c r="AC13" s="570"/>
      <c r="AD13" s="570"/>
      <c r="AE13" s="570"/>
      <c r="AF13" s="570"/>
      <c r="AG13" s="570"/>
      <c r="AH13" s="570"/>
      <c r="AI13" s="570"/>
      <c r="AJ13" s="570"/>
      <c r="AK13" s="571"/>
      <c r="AL13" s="570"/>
      <c r="AM13" s="570"/>
      <c r="AN13" s="570"/>
      <c r="AO13" s="571"/>
      <c r="AP13" s="570"/>
      <c r="AQ13" s="570"/>
      <c r="AR13" s="570"/>
      <c r="AS13" s="570"/>
      <c r="AT13" s="570"/>
      <c r="AU13" s="570"/>
      <c r="AV13" s="570"/>
      <c r="AW13" s="570"/>
      <c r="AX13" s="570"/>
      <c r="AY13" s="570"/>
      <c r="AZ13" s="570"/>
      <c r="BA13" s="570"/>
      <c r="BB13" s="570"/>
      <c r="BC13" s="571"/>
      <c r="BD13" s="570"/>
      <c r="BE13" s="570"/>
      <c r="BF13" s="570"/>
      <c r="BG13" s="570"/>
      <c r="BH13" s="570"/>
      <c r="BI13" s="570"/>
      <c r="BJ13" s="570"/>
      <c r="BK13" s="570"/>
      <c r="BL13" s="570"/>
      <c r="BM13" s="570"/>
      <c r="BN13" s="570"/>
      <c r="BO13" s="570"/>
      <c r="BP13" s="570"/>
      <c r="BQ13" s="570"/>
      <c r="BR13" s="570"/>
      <c r="BS13" s="570"/>
    </row>
    <row r="14" spans="1:110" s="202" customFormat="1" ht="13.15">
      <c r="A14" s="453"/>
      <c r="B14" s="453"/>
      <c r="C14" s="453"/>
      <c r="D14" s="453"/>
      <c r="E14" s="453"/>
      <c r="F14" s="453"/>
      <c r="G14" s="453"/>
      <c r="H14" s="453"/>
      <c r="I14" s="453"/>
      <c r="J14" s="490"/>
      <c r="K14" s="490"/>
      <c r="L14" s="490"/>
      <c r="M14" s="490"/>
      <c r="N14" s="490"/>
      <c r="O14" s="490"/>
      <c r="P14" s="490"/>
      <c r="Q14" s="491"/>
      <c r="R14" s="490"/>
      <c r="S14" s="490"/>
      <c r="T14" s="490"/>
      <c r="U14" s="490"/>
      <c r="V14" s="490"/>
      <c r="W14" s="490"/>
      <c r="X14" s="490"/>
      <c r="Y14" s="490"/>
      <c r="Z14" s="490"/>
      <c r="AA14" s="490"/>
      <c r="AB14" s="490"/>
      <c r="AC14" s="490"/>
      <c r="AD14" s="490"/>
      <c r="AE14" s="490"/>
      <c r="AF14" s="490"/>
      <c r="AG14" s="490"/>
      <c r="AH14" s="490"/>
      <c r="AI14" s="490"/>
      <c r="AJ14" s="490"/>
      <c r="AK14" s="491"/>
      <c r="AL14" s="490"/>
      <c r="AM14" s="490"/>
      <c r="AN14" s="490"/>
      <c r="AO14" s="491"/>
      <c r="AP14" s="490"/>
      <c r="AQ14" s="490"/>
      <c r="AR14" s="490"/>
      <c r="AS14" s="490"/>
      <c r="AT14" s="490"/>
      <c r="AU14" s="490"/>
      <c r="AV14" s="490"/>
      <c r="AW14" s="490"/>
      <c r="AX14" s="490"/>
      <c r="AY14" s="490"/>
      <c r="AZ14" s="490"/>
      <c r="BA14" s="490"/>
      <c r="BB14" s="490"/>
      <c r="BC14" s="491"/>
      <c r="BD14" s="490"/>
      <c r="BE14" s="490"/>
      <c r="BF14" s="490"/>
      <c r="BG14" s="490"/>
      <c r="BH14" s="490"/>
      <c r="BI14" s="490"/>
      <c r="BJ14" s="490"/>
      <c r="BK14" s="490"/>
      <c r="BL14" s="490"/>
      <c r="BM14" s="490"/>
      <c r="BN14" s="490"/>
      <c r="BO14" s="490"/>
      <c r="BP14" s="490"/>
      <c r="BQ14" s="490"/>
      <c r="BR14" s="490"/>
      <c r="BS14" s="490"/>
    </row>
    <row r="15" spans="1:110" s="202" customFormat="1" ht="13.15">
      <c r="A15" s="453"/>
      <c r="B15" s="473" t="s">
        <v>1162</v>
      </c>
      <c r="C15" s="453"/>
      <c r="D15" s="453"/>
      <c r="E15" s="453"/>
      <c r="F15" s="453"/>
      <c r="G15" s="453"/>
      <c r="H15" s="453"/>
      <c r="I15" s="453"/>
      <c r="J15" s="490"/>
      <c r="K15" s="490"/>
      <c r="L15" s="490"/>
      <c r="M15" s="490"/>
      <c r="N15" s="490"/>
      <c r="O15" s="490"/>
      <c r="P15" s="490"/>
      <c r="Q15" s="491"/>
      <c r="R15" s="490"/>
      <c r="S15" s="490"/>
      <c r="T15" s="490"/>
      <c r="U15" s="490"/>
      <c r="V15" s="490"/>
      <c r="W15" s="490"/>
      <c r="X15" s="490"/>
      <c r="Y15" s="490"/>
      <c r="Z15" s="490"/>
      <c r="AA15" s="490"/>
      <c r="AB15" s="490"/>
      <c r="AC15" s="490"/>
      <c r="AD15" s="490"/>
      <c r="AE15" s="490"/>
      <c r="AF15" s="490"/>
      <c r="AG15" s="490"/>
      <c r="AH15" s="490"/>
      <c r="AI15" s="490"/>
      <c r="AJ15" s="490"/>
      <c r="AK15" s="491"/>
      <c r="AL15" s="490"/>
      <c r="AM15" s="490"/>
      <c r="AN15" s="490"/>
      <c r="AO15" s="491"/>
      <c r="AP15" s="490"/>
      <c r="AQ15" s="490"/>
      <c r="AR15" s="490"/>
      <c r="AS15" s="490"/>
      <c r="AT15" s="490"/>
      <c r="AU15" s="490"/>
      <c r="AV15" s="490"/>
      <c r="AW15" s="490"/>
      <c r="AX15" s="490"/>
      <c r="AY15" s="490"/>
      <c r="AZ15" s="490"/>
      <c r="BA15" s="490"/>
      <c r="BB15" s="490"/>
      <c r="BC15" s="491"/>
      <c r="BD15" s="490"/>
      <c r="BE15" s="490"/>
      <c r="BF15" s="490"/>
      <c r="BG15" s="490"/>
      <c r="BH15" s="490"/>
      <c r="BI15" s="490"/>
      <c r="BJ15" s="490"/>
      <c r="BK15" s="490"/>
      <c r="BL15" s="490"/>
      <c r="BM15" s="490"/>
      <c r="BN15" s="490"/>
      <c r="BO15" s="490"/>
      <c r="BP15" s="490"/>
      <c r="BQ15" s="490"/>
      <c r="BR15" s="490"/>
      <c r="BS15" s="490"/>
    </row>
    <row r="16" spans="1:110" s="202" customFormat="1" ht="13.15">
      <c r="A16" s="453"/>
      <c r="B16" s="453"/>
      <c r="C16" s="453"/>
      <c r="D16" s="453"/>
      <c r="E16" s="453" t="s">
        <v>1163</v>
      </c>
      <c r="F16" s="453"/>
      <c r="G16" s="453" t="s">
        <v>1137</v>
      </c>
      <c r="H16" s="453"/>
      <c r="I16" s="453"/>
      <c r="J16" s="572" t="str">
        <f>IF(Ofwat_PC_Interventions!J16&lt;&gt;"",Ofwat_PC_Interventions!J16,IF(Company_PC_inputs!J16&lt;&gt;"",Company_PC_inputs!J16,""))</f>
        <v>PR19SRN_WN02</v>
      </c>
      <c r="K16" s="572" t="str">
        <f>IF(Ofwat_PC_Interventions!K16&lt;&gt;"",Ofwat_PC_Interventions!K16,IF(Company_PC_inputs!K16&lt;&gt;"",Company_PC_inputs!K16,""))</f>
        <v>PR19SRN_WN03</v>
      </c>
      <c r="L16" s="572" t="str">
        <f>IF(Ofwat_PC_Interventions!L16&lt;&gt;"",Ofwat_PC_Interventions!L16,IF(Company_PC_inputs!L16&lt;&gt;"",Company_PC_inputs!L16,""))</f>
        <v>PR19SRN_WN04</v>
      </c>
      <c r="M16" s="572" t="str">
        <f>IF(Ofwat_PC_Interventions!M16&lt;&gt;"",Ofwat_PC_Interventions!M16,IF(Company_PC_inputs!M16&lt;&gt;"",Company_PC_inputs!M16,""))</f>
        <v/>
      </c>
      <c r="N16" s="572" t="str">
        <f>IF(Ofwat_PC_Interventions!N16&lt;&gt;"",Ofwat_PC_Interventions!N16,IF(Company_PC_inputs!N16&lt;&gt;"",Company_PC_inputs!N16,""))</f>
        <v>PR19SRN_WR01</v>
      </c>
      <c r="O16" s="572" t="str">
        <f>IF(Ofwat_PC_Interventions!O16&lt;&gt;"",Ofwat_PC_Interventions!O16,IF(Company_PC_inputs!O16&lt;&gt;"",Company_PC_inputs!O16,""))</f>
        <v/>
      </c>
      <c r="P16" s="572" t="str">
        <f>IF(Ofwat_PC_Interventions!P16&lt;&gt;"",Ofwat_PC_Interventions!P16,IF(Company_PC_inputs!P16&lt;&gt;"",Company_PC_inputs!P16,""))</f>
        <v>PR19SRN_WN05</v>
      </c>
      <c r="Q16" s="573" t="str">
        <f>IF(Ofwat_PC_Interventions!Q16&lt;&gt;"",Ofwat_PC_Interventions!Q16,IF(Company_PC_inputs!Q16&lt;&gt;"",Company_PC_inputs!Q16,""))</f>
        <v>PR19SRN_WN06</v>
      </c>
      <c r="R16" s="572" t="str">
        <f>IF(Ofwat_PC_Interventions!R16&lt;&gt;"",Ofwat_PC_Interventions!R16,IF(Company_PC_inputs!R16&lt;&gt;"",Company_PC_inputs!R16,""))</f>
        <v>PR19SRN_WN07</v>
      </c>
      <c r="S16" s="572" t="str">
        <f>IF(Ofwat_PC_Interventions!S16&lt;&gt;"",Ofwat_PC_Interventions!S16,IF(Company_PC_inputs!S16&lt;&gt;"",Company_PC_inputs!S16,""))</f>
        <v>PR19SRN_WN08</v>
      </c>
      <c r="T16" s="572" t="str">
        <f>IF(Ofwat_PC_Interventions!T16&lt;&gt;"",Ofwat_PC_Interventions!T16,IF(Company_PC_inputs!T16&lt;&gt;"",Company_PC_inputs!T16,""))</f>
        <v>PR19SRN_WR05</v>
      </c>
      <c r="U16" s="572" t="str">
        <f>IF(Ofwat_PC_Interventions!U16&lt;&gt;"",Ofwat_PC_Interventions!U16,IF(Company_PC_inputs!U16&lt;&gt;"",Company_PC_inputs!U16,""))</f>
        <v>PR19SRN_RR02</v>
      </c>
      <c r="V16" s="572" t="str">
        <f>IF(Ofwat_PC_Interventions!V16&lt;&gt;"",Ofwat_PC_Interventions!V16,IF(Company_PC_inputs!V16&lt;&gt;"",Company_PC_inputs!V16,""))</f>
        <v>PR19SRN_RR03</v>
      </c>
      <c r="W16" s="572" t="str">
        <f>IF(Ofwat_PC_Interventions!W16&lt;&gt;"",Ofwat_PC_Interventions!W16,IF(Company_PC_inputs!W16&lt;&gt;"",Company_PC_inputs!W16,""))</f>
        <v>PR19SRN_WN09</v>
      </c>
      <c r="X16" s="572" t="str">
        <f>IF(Ofwat_PC_Interventions!X16&lt;&gt;"",Ofwat_PC_Interventions!X16,IF(Company_PC_inputs!X16&lt;&gt;"",Company_PC_inputs!X16,""))</f>
        <v>PR19SRN_WN11</v>
      </c>
      <c r="Y16" s="572" t="str">
        <f>IF(Ofwat_PC_Interventions!Y16&lt;&gt;"",Ofwat_PC_Interventions!Y16,IF(Company_PC_inputs!Y16&lt;&gt;"",Company_PC_inputs!Y16,""))</f>
        <v>PR19SRN_WN13</v>
      </c>
      <c r="Z16" s="572" t="str">
        <f>IF(Ofwat_PC_Interventions!Z16&lt;&gt;"",Ofwat_PC_Interventions!Z16,IF(Company_PC_inputs!Z16&lt;&gt;"",Company_PC_inputs!Z16,""))</f>
        <v>PR19SRN_WR07</v>
      </c>
      <c r="AA16" s="572" t="str">
        <f>IF(Ofwat_PC_Interventions!AA16&lt;&gt;"",Ofwat_PC_Interventions!AA16,IF(Company_PC_inputs!AA16&lt;&gt;"",Company_PC_inputs!AA16,""))</f>
        <v/>
      </c>
      <c r="AB16" s="572" t="str">
        <f>IF(Ofwat_PC_Interventions!AB16&lt;&gt;"",Ofwat_PC_Interventions!AB16,IF(Company_PC_inputs!AB16&lt;&gt;"",Company_PC_inputs!AB16,""))</f>
        <v/>
      </c>
      <c r="AC16" s="572" t="str">
        <f>IF(Ofwat_PC_Interventions!AC16&lt;&gt;"",Ofwat_PC_Interventions!AC16,IF(Company_PC_inputs!AC16&lt;&gt;"",Company_PC_inputs!AC16,""))</f>
        <v/>
      </c>
      <c r="AD16" s="572" t="str">
        <f>IF(Ofwat_PC_Interventions!AD16&lt;&gt;"",Ofwat_PC_Interventions!AD16,IF(Company_PC_inputs!AD16&lt;&gt;"",Company_PC_inputs!AD16,""))</f>
        <v/>
      </c>
      <c r="AE16" s="572" t="str">
        <f>IF(Ofwat_PC_Interventions!AE16&lt;&gt;"",Ofwat_PC_Interventions!AE16,IF(Company_PC_inputs!AE16&lt;&gt;"",Company_PC_inputs!AE16,""))</f>
        <v/>
      </c>
      <c r="AF16" s="572" t="str">
        <f>IF(Ofwat_PC_Interventions!AF16&lt;&gt;"",Ofwat_PC_Interventions!AF16,IF(Company_PC_inputs!AF16&lt;&gt;"",Company_PC_inputs!AF16,""))</f>
        <v/>
      </c>
      <c r="AG16" s="572" t="str">
        <f>IF(Ofwat_PC_Interventions!AG16&lt;&gt;"",Ofwat_PC_Interventions!AG16,IF(Company_PC_inputs!AG16&lt;&gt;"",Company_PC_inputs!AG16,""))</f>
        <v/>
      </c>
      <c r="AH16" s="572" t="str">
        <f>IF(Ofwat_PC_Interventions!AH16&lt;&gt;"",Ofwat_PC_Interventions!AH16,IF(Company_PC_inputs!AH16&lt;&gt;"",Company_PC_inputs!AH16,""))</f>
        <v/>
      </c>
      <c r="AI16" s="572" t="str">
        <f>IF(Ofwat_PC_Interventions!AI16&lt;&gt;"",Ofwat_PC_Interventions!AI16,IF(Company_PC_inputs!AI16&lt;&gt;"",Company_PC_inputs!AI16,""))</f>
        <v/>
      </c>
      <c r="AJ16" s="572" t="str">
        <f>IF(Ofwat_PC_Interventions!AJ16&lt;&gt;"",Ofwat_PC_Interventions!AJ16,IF(Company_PC_inputs!AJ16&lt;&gt;"",Company_PC_inputs!AJ16,""))</f>
        <v/>
      </c>
      <c r="AK16" s="573" t="str">
        <f>IF(Ofwat_PC_Interventions!AK16&lt;&gt;"",Ofwat_PC_Interventions!AK16,IF(Company_PC_inputs!AK16&lt;&gt;"",Company_PC_inputs!AK16,""))</f>
        <v/>
      </c>
      <c r="AL16" s="572" t="str">
        <f>IF(Ofwat_PC_Interventions!AL16&lt;&gt;"",Ofwat_PC_Interventions!AL16,IF(Company_PC_inputs!AL16&lt;&gt;"",Company_PC_inputs!AL16,""))</f>
        <v>PR19SRN_WWN01</v>
      </c>
      <c r="AM16" s="572" t="str">
        <f>IF(Ofwat_PC_Interventions!AM16&lt;&gt;"",Ofwat_PC_Interventions!AM16,IF(Company_PC_inputs!AM16&lt;&gt;"",Company_PC_inputs!AM16,""))</f>
        <v>PR19SRN_WWN02</v>
      </c>
      <c r="AN16" s="572" t="str">
        <f>IF(Ofwat_PC_Interventions!AN16&lt;&gt;"",Ofwat_PC_Interventions!AN16,IF(Company_PC_inputs!AN16&lt;&gt;"",Company_PC_inputs!AN16,""))</f>
        <v>PR19SRN_WWN04</v>
      </c>
      <c r="AO16" s="573" t="str">
        <f>IF(Ofwat_PC_Interventions!AO16&lt;&gt;"",Ofwat_PC_Interventions!AO16,IF(Company_PC_inputs!AO16&lt;&gt;"",Company_PC_inputs!AO16,""))</f>
        <v>PR19SRN_WWN05</v>
      </c>
      <c r="AP16" s="572" t="str">
        <f>IF(Ofwat_PC_Interventions!AP16&lt;&gt;"",Ofwat_PC_Interventions!AP16,IF(Company_PC_inputs!AP16&lt;&gt;"",Company_PC_inputs!AP16,""))</f>
        <v>PR19SRN_WWN07</v>
      </c>
      <c r="AQ16" s="572" t="str">
        <f>IF(Ofwat_PC_Interventions!AQ16&lt;&gt;"",Ofwat_PC_Interventions!AQ16,IF(Company_PC_inputs!AQ16&lt;&gt;"",Company_PC_inputs!AQ16,""))</f>
        <v>PR19SRN_BIO01</v>
      </c>
      <c r="AR16" s="572" t="str">
        <f>IF(Ofwat_PC_Interventions!AR16&lt;&gt;"",Ofwat_PC_Interventions!AR16,IF(Company_PC_inputs!AR16&lt;&gt;"",Company_PC_inputs!AR16,""))</f>
        <v>PR19SRN_BIO02</v>
      </c>
      <c r="AS16" s="572" t="str">
        <f>IF(Ofwat_PC_Interventions!AS16&lt;&gt;"",Ofwat_PC_Interventions!AS16,IF(Company_PC_inputs!AS16&lt;&gt;"",Company_PC_inputs!AS16,""))</f>
        <v>PR19SRN_WWN09</v>
      </c>
      <c r="AT16" s="572" t="str">
        <f>IF(Ofwat_PC_Interventions!AT16&lt;&gt;"",Ofwat_PC_Interventions!AT16,IF(Company_PC_inputs!AT16&lt;&gt;"",Company_PC_inputs!AT16,""))</f>
        <v>PR19SRN_WWN11</v>
      </c>
      <c r="AU16" s="572" t="str">
        <f>IF(Ofwat_PC_Interventions!AU16&lt;&gt;"",Ofwat_PC_Interventions!AU16,IF(Company_PC_inputs!AU16&lt;&gt;"",Company_PC_inputs!AU16,""))</f>
        <v>PR19SRN_WWN12</v>
      </c>
      <c r="AV16" s="572" t="str">
        <f>IF(Ofwat_PC_Interventions!AV16&lt;&gt;"",Ofwat_PC_Interventions!AV16,IF(Company_PC_inputs!AV16&lt;&gt;"",Company_PC_inputs!AV16,""))</f>
        <v>PR19SRN_WWN13</v>
      </c>
      <c r="AW16" s="572" t="str">
        <f>IF(Ofwat_PC_Interventions!AW16&lt;&gt;"",Ofwat_PC_Interventions!AW16,IF(Company_PC_inputs!AW16&lt;&gt;"",Company_PC_inputs!AW16,""))</f>
        <v>PR19SRN_WWN06</v>
      </c>
      <c r="AX16" s="572" t="str">
        <f>IF(Ofwat_PC_Interventions!AX16&lt;&gt;"",Ofwat_PC_Interventions!AX16,IF(Company_PC_inputs!AX16&lt;&gt;"",Company_PC_inputs!AX16,""))</f>
        <v>PR19SRN_WWN08</v>
      </c>
      <c r="AY16" s="572" t="str">
        <f>IF(Ofwat_PC_Interventions!AY16&lt;&gt;"",Ofwat_PC_Interventions!AY16,IF(Company_PC_inputs!AY16&lt;&gt;"",Company_PC_inputs!AY16,""))</f>
        <v>PR19SRN_WWN16</v>
      </c>
      <c r="AZ16" s="572" t="str">
        <f>IF(Ofwat_PC_Interventions!AZ16&lt;&gt;"",Ofwat_PC_Interventions!AZ16,IF(Company_PC_inputs!AZ16&lt;&gt;"",Company_PC_inputs!AZ16,""))</f>
        <v/>
      </c>
      <c r="BA16" s="572" t="str">
        <f>IF(Ofwat_PC_Interventions!BA16&lt;&gt;"",Ofwat_PC_Interventions!BA16,IF(Company_PC_inputs!BA16&lt;&gt;"",Company_PC_inputs!BA16,""))</f>
        <v/>
      </c>
      <c r="BB16" s="572" t="str">
        <f>IF(Ofwat_PC_Interventions!BB16&lt;&gt;"",Ofwat_PC_Interventions!BB16,IF(Company_PC_inputs!BB16&lt;&gt;"",Company_PC_inputs!BB16,""))</f>
        <v/>
      </c>
      <c r="BC16" s="573" t="str">
        <f>IF(Ofwat_PC_Interventions!BC16&lt;&gt;"",Ofwat_PC_Interventions!BC16,IF(Company_PC_inputs!BC16&lt;&gt;"",Company_PC_inputs!BC16,""))</f>
        <v/>
      </c>
      <c r="BD16" s="572" t="str">
        <f>IF(Ofwat_PC_Interventions!BD16&lt;&gt;"",Ofwat_PC_Interventions!BD16,IF(Company_PC_inputs!BD16&lt;&gt;"",Company_PC_inputs!BD16,""))</f>
        <v/>
      </c>
      <c r="BE16" s="572" t="str">
        <f>IF(Ofwat_PC_Interventions!BE16&lt;&gt;"",Ofwat_PC_Interventions!BE16,IF(Company_PC_inputs!BE16&lt;&gt;"",Company_PC_inputs!BE16,""))</f>
        <v/>
      </c>
      <c r="BF16" s="572" t="str">
        <f>IF(Ofwat_PC_Interventions!BF16&lt;&gt;"",Ofwat_PC_Interventions!BF16,IF(Company_PC_inputs!BF16&lt;&gt;"",Company_PC_inputs!BF16,""))</f>
        <v/>
      </c>
      <c r="BG16" s="572" t="str">
        <f>IF(Ofwat_PC_Interventions!BG16&lt;&gt;"",Ofwat_PC_Interventions!BG16,IF(Company_PC_inputs!BG16&lt;&gt;"",Company_PC_inputs!BG16,""))</f>
        <v/>
      </c>
      <c r="BH16" s="572" t="str">
        <f>IF(Ofwat_PC_Interventions!BH16&lt;&gt;"",Ofwat_PC_Interventions!BH16,IF(Company_PC_inputs!BH16&lt;&gt;"",Company_PC_inputs!BH16,""))</f>
        <v/>
      </c>
      <c r="BI16" s="572" t="str">
        <f>IF(Ofwat_PC_Interventions!BI16&lt;&gt;"",Ofwat_PC_Interventions!BI16,IF(Company_PC_inputs!BI16&lt;&gt;"",Company_PC_inputs!BI16,""))</f>
        <v/>
      </c>
      <c r="BJ16" s="572" t="str">
        <f>IF(Ofwat_PC_Interventions!BJ16&lt;&gt;"",Ofwat_PC_Interventions!BJ16,IF(Company_PC_inputs!BJ16&lt;&gt;"",Company_PC_inputs!BJ16,""))</f>
        <v/>
      </c>
      <c r="BK16" s="572" t="str">
        <f>IF(Ofwat_PC_Interventions!BK16&lt;&gt;"",Ofwat_PC_Interventions!BK16,IF(Company_PC_inputs!BK16&lt;&gt;"",Company_PC_inputs!BK16,""))</f>
        <v/>
      </c>
      <c r="BL16" s="572" t="str">
        <f>IF(Ofwat_PC_Interventions!BL16&lt;&gt;"",Ofwat_PC_Interventions!BL16,IF(Company_PC_inputs!BL16&lt;&gt;"",Company_PC_inputs!BL16,""))</f>
        <v/>
      </c>
      <c r="BM16" s="572" t="str">
        <f>IF(Ofwat_PC_Interventions!BM16&lt;&gt;"",Ofwat_PC_Interventions!BM16,IF(Company_PC_inputs!BM16&lt;&gt;"",Company_PC_inputs!BM16,""))</f>
        <v/>
      </c>
      <c r="BN16" s="572" t="str">
        <f>IF(Ofwat_PC_Interventions!BN16&lt;&gt;"",Ofwat_PC_Interventions!BN16,IF(Company_PC_inputs!BN16&lt;&gt;"",Company_PC_inputs!BN16,""))</f>
        <v/>
      </c>
      <c r="BO16" s="572" t="str">
        <f>IF(Ofwat_PC_Interventions!BO16&lt;&gt;"",Ofwat_PC_Interventions!BO16,IF(Company_PC_inputs!BO16&lt;&gt;"",Company_PC_inputs!BO16,""))</f>
        <v/>
      </c>
      <c r="BP16" s="572" t="str">
        <f>IF(Ofwat_PC_Interventions!BP16&lt;&gt;"",Ofwat_PC_Interventions!BP16,IF(Company_PC_inputs!BP16&lt;&gt;"",Company_PC_inputs!BP16,""))</f>
        <v/>
      </c>
      <c r="BQ16" s="572" t="str">
        <f>IF(Ofwat_PC_Interventions!BQ16&lt;&gt;"",Ofwat_PC_Interventions!BQ16,IF(Company_PC_inputs!BQ16&lt;&gt;"",Company_PC_inputs!BQ16,""))</f>
        <v/>
      </c>
      <c r="BR16" s="572" t="str">
        <f>IF(Ofwat_PC_Interventions!BR16&lt;&gt;"",Ofwat_PC_Interventions!BR16,IF(Company_PC_inputs!BR16&lt;&gt;"",Company_PC_inputs!BR16,""))</f>
        <v/>
      </c>
      <c r="BS16" s="572" t="str">
        <f>IF(Ofwat_PC_Interventions!BS16&lt;&gt;"",Ofwat_PC_Interventions!BS16,IF(Company_PC_inputs!BS16&lt;&gt;"",Company_PC_inputs!BS16,""))</f>
        <v/>
      </c>
    </row>
    <row r="17" spans="1:71" s="217" customFormat="1" ht="39.4">
      <c r="A17" s="502"/>
      <c r="B17" s="502"/>
      <c r="C17" s="502"/>
      <c r="D17" s="502"/>
      <c r="E17" s="502" t="s">
        <v>1164</v>
      </c>
      <c r="F17" s="502"/>
      <c r="G17" s="502" t="s">
        <v>1137</v>
      </c>
      <c r="H17" s="502"/>
      <c r="I17" s="502"/>
      <c r="J17" s="574" t="str">
        <f>IF(Ofwat_PC_Interventions!J17&lt;&gt;"",Ofwat_PC_Interventions!J17,IF(Company_PC_inputs!J17&lt;&gt;"",Company_PC_inputs!J17,""))</f>
        <v>Water quality compliance (CRI)</v>
      </c>
      <c r="K17" s="574" t="str">
        <f>IF(Ofwat_PC_Interventions!K17&lt;&gt;"",Ofwat_PC_Interventions!K17,IF(Company_PC_inputs!K17&lt;&gt;"",Company_PC_inputs!K17,""))</f>
        <v>Water supply interruptions</v>
      </c>
      <c r="L17" s="574" t="str">
        <f>IF(Ofwat_PC_Interventions!L17&lt;&gt;"",Ofwat_PC_Interventions!L17,IF(Company_PC_inputs!L17&lt;&gt;"",Company_PC_inputs!L17,""))</f>
        <v>Leakage</v>
      </c>
      <c r="M17" s="574" t="str">
        <f>IF(Ofwat_PC_Interventions!M17&lt;&gt;"",Ofwat_PC_Interventions!M17,IF(Company_PC_inputs!M17&lt;&gt;"",Company_PC_inputs!M17,""))</f>
        <v>[For use by NES and SSC only]</v>
      </c>
      <c r="N17" s="574" t="str">
        <f>IF(Ofwat_PC_Interventions!N17&lt;&gt;"",Ofwat_PC_Interventions!N17,IF(Company_PC_inputs!N17&lt;&gt;"",Company_PC_inputs!N17,""))</f>
        <v>Per capita consumption</v>
      </c>
      <c r="O17" s="574" t="str">
        <f>IF(Ofwat_PC_Interventions!O17&lt;&gt;"",Ofwat_PC_Interventions!O17,IF(Company_PC_inputs!O17&lt;&gt;"",Company_PC_inputs!O17,""))</f>
        <v>[For use by SSC only]</v>
      </c>
      <c r="P17" s="574" t="str">
        <f>IF(Ofwat_PC_Interventions!P17&lt;&gt;"",Ofwat_PC_Interventions!P17,IF(Company_PC_inputs!P17&lt;&gt;"",Company_PC_inputs!P17,""))</f>
        <v>Mains repairs</v>
      </c>
      <c r="Q17" s="575" t="str">
        <f>IF(Ofwat_PC_Interventions!Q17&lt;&gt;"",Ofwat_PC_Interventions!Q17,IF(Company_PC_inputs!Q17&lt;&gt;"",Company_PC_inputs!Q17,""))</f>
        <v>Unplanned outage</v>
      </c>
      <c r="R17" s="574" t="str">
        <f>IF(Ofwat_PC_Interventions!R17&lt;&gt;"",Ofwat_PC_Interventions!R17,IF(Company_PC_inputs!R17&lt;&gt;"",Company_PC_inputs!R17,""))</f>
        <v>Drinking water appearance</v>
      </c>
      <c r="S17" s="574" t="str">
        <f>IF(Ofwat_PC_Interventions!S17&lt;&gt;"",Ofwat_PC_Interventions!S17,IF(Company_PC_inputs!S17&lt;&gt;"",Company_PC_inputs!S17,""))</f>
        <v>Drinking water taste and Odour</v>
      </c>
      <c r="T17" s="574" t="str">
        <f>IF(Ofwat_PC_Interventions!T17&lt;&gt;"",Ofwat_PC_Interventions!T17,IF(Company_PC_inputs!T17&lt;&gt;"",Company_PC_inputs!T17,""))</f>
        <v>Abstraction Incentive Mechanism</v>
      </c>
      <c r="U17" s="574" t="str">
        <f>IF(Ofwat_PC_Interventions!U17&lt;&gt;"",Ofwat_PC_Interventions!U17,IF(Company_PC_inputs!U17&lt;&gt;"",Company_PC_inputs!U17,""))</f>
        <v>Access to daily water consumption data</v>
      </c>
      <c r="V17" s="574" t="str">
        <f>IF(Ofwat_PC_Interventions!V17&lt;&gt;"",Ofwat_PC_Interventions!V17,IF(Company_PC_inputs!V17&lt;&gt;"",Company_PC_inputs!V17,""))</f>
        <v>Void properties</v>
      </c>
      <c r="W17" s="574" t="str">
        <f>IF(Ofwat_PC_Interventions!W17&lt;&gt;"",Ofwat_PC_Interventions!W17,IF(Company_PC_inputs!W17&lt;&gt;"",Company_PC_inputs!W17,""))</f>
        <v>Replace lead customer pipes</v>
      </c>
      <c r="X17" s="574" t="str">
        <f>IF(Ofwat_PC_Interventions!X17&lt;&gt;"",Ofwat_PC_Interventions!X17,IF(Company_PC_inputs!X17&lt;&gt;"",Company_PC_inputs!X17,""))</f>
        <v>Properties at risk of receiving low pressure</v>
      </c>
      <c r="Y17" s="574" t="str">
        <f>IF(Ofwat_PC_Interventions!Y17&lt;&gt;"",Ofwat_PC_Interventions!Y17,IF(Company_PC_inputs!Y17&lt;&gt;"",Company_PC_inputs!Y17,""))</f>
        <v>Long term supply demand schemes</v>
      </c>
      <c r="Z17" s="574" t="str">
        <f>IF(Ofwat_PC_Interventions!Z17&lt;&gt;"",Ofwat_PC_Interventions!Z17,IF(Company_PC_inputs!Z17&lt;&gt;"",Company_PC_inputs!Z17,""))</f>
        <v>Impounding reservoirs</v>
      </c>
      <c r="AA17" s="574" t="str">
        <f>IF(Ofwat_PC_Interventions!AA17&lt;&gt;"",Ofwat_PC_Interventions!AA17,IF(Company_PC_inputs!AA17&lt;&gt;"",Company_PC_inputs!AA17,""))</f>
        <v/>
      </c>
      <c r="AB17" s="574" t="str">
        <f>IF(Ofwat_PC_Interventions!AB17&lt;&gt;"",Ofwat_PC_Interventions!AB17,IF(Company_PC_inputs!AB17&lt;&gt;"",Company_PC_inputs!AB17,""))</f>
        <v/>
      </c>
      <c r="AC17" s="574" t="str">
        <f>IF(Ofwat_PC_Interventions!AC17&lt;&gt;"",Ofwat_PC_Interventions!AC17,IF(Company_PC_inputs!AC17&lt;&gt;"",Company_PC_inputs!AC17,""))</f>
        <v/>
      </c>
      <c r="AD17" s="574" t="str">
        <f>IF(Ofwat_PC_Interventions!AD17&lt;&gt;"",Ofwat_PC_Interventions!AD17,IF(Company_PC_inputs!AD17&lt;&gt;"",Company_PC_inputs!AD17,""))</f>
        <v/>
      </c>
      <c r="AE17" s="574" t="str">
        <f>IF(Ofwat_PC_Interventions!AE17&lt;&gt;"",Ofwat_PC_Interventions!AE17,IF(Company_PC_inputs!AE17&lt;&gt;"",Company_PC_inputs!AE17,""))</f>
        <v/>
      </c>
      <c r="AF17" s="574" t="str">
        <f>IF(Ofwat_PC_Interventions!AF17&lt;&gt;"",Ofwat_PC_Interventions!AF17,IF(Company_PC_inputs!AF17&lt;&gt;"",Company_PC_inputs!AF17,""))</f>
        <v/>
      </c>
      <c r="AG17" s="574" t="str">
        <f>IF(Ofwat_PC_Interventions!AG17&lt;&gt;"",Ofwat_PC_Interventions!AG17,IF(Company_PC_inputs!AG17&lt;&gt;"",Company_PC_inputs!AG17,""))</f>
        <v/>
      </c>
      <c r="AH17" s="574" t="str">
        <f>IF(Ofwat_PC_Interventions!AH17&lt;&gt;"",Ofwat_PC_Interventions!AH17,IF(Company_PC_inputs!AH17&lt;&gt;"",Company_PC_inputs!AH17,""))</f>
        <v/>
      </c>
      <c r="AI17" s="574" t="str">
        <f>IF(Ofwat_PC_Interventions!AI17&lt;&gt;"",Ofwat_PC_Interventions!AI17,IF(Company_PC_inputs!AI17&lt;&gt;"",Company_PC_inputs!AI17,""))</f>
        <v/>
      </c>
      <c r="AJ17" s="574" t="str">
        <f>IF(Ofwat_PC_Interventions!AJ17&lt;&gt;"",Ofwat_PC_Interventions!AJ17,IF(Company_PC_inputs!AJ17&lt;&gt;"",Company_PC_inputs!AJ17,""))</f>
        <v/>
      </c>
      <c r="AK17" s="575" t="str">
        <f>IF(Ofwat_PC_Interventions!AK17&lt;&gt;"",Ofwat_PC_Interventions!AK17,IF(Company_PC_inputs!AK17&lt;&gt;"",Company_PC_inputs!AK17,""))</f>
        <v/>
      </c>
      <c r="AL17" s="574" t="str">
        <f>IF(Ofwat_PC_Interventions!AL17&lt;&gt;"",Ofwat_PC_Interventions!AL17,IF(Company_PC_inputs!AL17&lt;&gt;"",Company_PC_inputs!AL17,""))</f>
        <v>Internal sewer flooding</v>
      </c>
      <c r="AM17" s="574" t="str">
        <f>IF(Ofwat_PC_Interventions!AM17&lt;&gt;"",Ofwat_PC_Interventions!AM17,IF(Company_PC_inputs!AM17&lt;&gt;"",Company_PC_inputs!AM17,""))</f>
        <v>Pollution incidents</v>
      </c>
      <c r="AN17" s="574" t="str">
        <f>IF(Ofwat_PC_Interventions!AN17&lt;&gt;"",Ofwat_PC_Interventions!AN17,IF(Company_PC_inputs!AN17&lt;&gt;"",Company_PC_inputs!AN17,""))</f>
        <v>Sewer collapses</v>
      </c>
      <c r="AO17" s="575" t="str">
        <f>IF(Ofwat_PC_Interventions!AO17&lt;&gt;"",Ofwat_PC_Interventions!AO17,IF(Company_PC_inputs!AO17&lt;&gt;"",Company_PC_inputs!AO17,""))</f>
        <v>Treatment works compliance</v>
      </c>
      <c r="AP17" s="574" t="str">
        <f>IF(Ofwat_PC_Interventions!AP17&lt;&gt;"",Ofwat_PC_Interventions!AP17,IF(Company_PC_inputs!AP17&lt;&gt;"",Company_PC_inputs!AP17,""))</f>
        <v>Effluent re-use</v>
      </c>
      <c r="AQ17" s="574" t="str">
        <f>IF(Ofwat_PC_Interventions!AQ17&lt;&gt;"",Ofwat_PC_Interventions!AQ17,IF(Company_PC_inputs!AQ17&lt;&gt;"",Company_PC_inputs!AQ17,""))</f>
        <v xml:space="preserve">Renewable Generation </v>
      </c>
      <c r="AR17" s="574" t="str">
        <f>IF(Ofwat_PC_Interventions!AR17&lt;&gt;"",Ofwat_PC_Interventions!AR17,IF(Company_PC_inputs!AR17&lt;&gt;"",Company_PC_inputs!AR17,""))</f>
        <v>Satisfactory bioresources recycling</v>
      </c>
      <c r="AS17" s="574" t="str">
        <f>IF(Ofwat_PC_Interventions!AS17&lt;&gt;"",Ofwat_PC_Interventions!AS17,IF(Company_PC_inputs!AS17&lt;&gt;"",Company_PC_inputs!AS17,""))</f>
        <v>River water quality</v>
      </c>
      <c r="AT17" s="574" t="str">
        <f>IF(Ofwat_PC_Interventions!AT17&lt;&gt;"",Ofwat_PC_Interventions!AT17,IF(Company_PC_inputs!AT17&lt;&gt;"",Company_PC_inputs!AT17,""))</f>
        <v>Maintain Bathing waters at ‘Excellent’.</v>
      </c>
      <c r="AU17" s="574" t="str">
        <f>IF(Ofwat_PC_Interventions!AU17&lt;&gt;"",Ofwat_PC_Interventions!AU17,IF(Company_PC_inputs!AU17&lt;&gt;"",Company_PC_inputs!AU17,""))</f>
        <v>Improve the number of Bathing waters to at least ‘Good’ (Cost Adjustment Claim).</v>
      </c>
      <c r="AV17" s="574" t="str">
        <f>IF(Ofwat_PC_Interventions!AV17&lt;&gt;"",Ofwat_PC_Interventions!AV17,IF(Company_PC_inputs!AV17&lt;&gt;"",Company_PC_inputs!AV17,""))</f>
        <v>Improve the bathing waters at ‘Excellent’ quality (Cost Adjustment Claim).</v>
      </c>
      <c r="AW17" s="574" t="str">
        <f>IF(Ofwat_PC_Interventions!AW17&lt;&gt;"",Ofwat_PC_Interventions!AW17,IF(Company_PC_inputs!AW17&lt;&gt;"",Company_PC_inputs!AW17,""))</f>
        <v>Surface water management</v>
      </c>
      <c r="AX17" s="574" t="str">
        <f>IF(Ofwat_PC_Interventions!AX17&lt;&gt;"",Ofwat_PC_Interventions!AX17,IF(Company_PC_inputs!AX17&lt;&gt;"",Company_PC_inputs!AX17,""))</f>
        <v>External sewer flooding</v>
      </c>
      <c r="AY17" s="574" t="str">
        <f>IF(Ofwat_PC_Interventions!AY17&lt;&gt;"",Ofwat_PC_Interventions!AY17,IF(Company_PC_inputs!AY17&lt;&gt;"",Company_PC_inputs!AY17,""))</f>
        <v>Thanet Sewers</v>
      </c>
      <c r="AZ17" s="574" t="str">
        <f>IF(Ofwat_PC_Interventions!AZ17&lt;&gt;"",Ofwat_PC_Interventions!AZ17,IF(Company_PC_inputs!AZ17&lt;&gt;"",Company_PC_inputs!AZ17,""))</f>
        <v/>
      </c>
      <c r="BA17" s="574" t="str">
        <f>IF(Ofwat_PC_Interventions!BA17&lt;&gt;"",Ofwat_PC_Interventions!BA17,IF(Company_PC_inputs!BA17&lt;&gt;"",Company_PC_inputs!BA17,""))</f>
        <v/>
      </c>
      <c r="BB17" s="574" t="str">
        <f>IF(Ofwat_PC_Interventions!BB17&lt;&gt;"",Ofwat_PC_Interventions!BB17,IF(Company_PC_inputs!BB17&lt;&gt;"",Company_PC_inputs!BB17,""))</f>
        <v/>
      </c>
      <c r="BC17" s="575" t="str">
        <f>IF(Ofwat_PC_Interventions!BC17&lt;&gt;"",Ofwat_PC_Interventions!BC17,IF(Company_PC_inputs!BC17&lt;&gt;"",Company_PC_inputs!BC17,""))</f>
        <v/>
      </c>
      <c r="BD17" s="574" t="str">
        <f>IF(Ofwat_PC_Interventions!BD17&lt;&gt;"",Ofwat_PC_Interventions!BD17,IF(Company_PC_inputs!BD17&lt;&gt;"",Company_PC_inputs!BD17,""))</f>
        <v/>
      </c>
      <c r="BE17" s="574" t="str">
        <f>IF(Ofwat_PC_Interventions!BE17&lt;&gt;"",Ofwat_PC_Interventions!BE17,IF(Company_PC_inputs!BE17&lt;&gt;"",Company_PC_inputs!BE17,""))</f>
        <v/>
      </c>
      <c r="BF17" s="574" t="str">
        <f>IF(Ofwat_PC_Interventions!BF17&lt;&gt;"",Ofwat_PC_Interventions!BF17,IF(Company_PC_inputs!BF17&lt;&gt;"",Company_PC_inputs!BF17,""))</f>
        <v/>
      </c>
      <c r="BG17" s="574" t="str">
        <f>IF(Ofwat_PC_Interventions!BG17&lt;&gt;"",Ofwat_PC_Interventions!BG17,IF(Company_PC_inputs!BG17&lt;&gt;"",Company_PC_inputs!BG17,""))</f>
        <v/>
      </c>
      <c r="BH17" s="574" t="str">
        <f>IF(Ofwat_PC_Interventions!BH17&lt;&gt;"",Ofwat_PC_Interventions!BH17,IF(Company_PC_inputs!BH17&lt;&gt;"",Company_PC_inputs!BH17,""))</f>
        <v/>
      </c>
      <c r="BI17" s="574" t="str">
        <f>IF(Ofwat_PC_Interventions!BI17&lt;&gt;"",Ofwat_PC_Interventions!BI17,IF(Company_PC_inputs!BI17&lt;&gt;"",Company_PC_inputs!BI17,""))</f>
        <v/>
      </c>
      <c r="BJ17" s="574" t="str">
        <f>IF(Ofwat_PC_Interventions!BJ17&lt;&gt;"",Ofwat_PC_Interventions!BJ17,IF(Company_PC_inputs!BJ17&lt;&gt;"",Company_PC_inputs!BJ17,""))</f>
        <v/>
      </c>
      <c r="BK17" s="574" t="str">
        <f>IF(Ofwat_PC_Interventions!BK17&lt;&gt;"",Ofwat_PC_Interventions!BK17,IF(Company_PC_inputs!BK17&lt;&gt;"",Company_PC_inputs!BK17,""))</f>
        <v/>
      </c>
      <c r="BL17" s="574" t="str">
        <f>IF(Ofwat_PC_Interventions!BL17&lt;&gt;"",Ofwat_PC_Interventions!BL17,IF(Company_PC_inputs!BL17&lt;&gt;"",Company_PC_inputs!BL17,""))</f>
        <v/>
      </c>
      <c r="BM17" s="574" t="str">
        <f>IF(Ofwat_PC_Interventions!BM17&lt;&gt;"",Ofwat_PC_Interventions!BM17,IF(Company_PC_inputs!BM17&lt;&gt;"",Company_PC_inputs!BM17,""))</f>
        <v/>
      </c>
      <c r="BN17" s="574" t="str">
        <f>IF(Ofwat_PC_Interventions!BN17&lt;&gt;"",Ofwat_PC_Interventions!BN17,IF(Company_PC_inputs!BN17&lt;&gt;"",Company_PC_inputs!BN17,""))</f>
        <v/>
      </c>
      <c r="BO17" s="574" t="str">
        <f>IF(Ofwat_PC_Interventions!BO17&lt;&gt;"",Ofwat_PC_Interventions!BO17,IF(Company_PC_inputs!BO17&lt;&gt;"",Company_PC_inputs!BO17,""))</f>
        <v/>
      </c>
      <c r="BP17" s="574" t="str">
        <f>IF(Ofwat_PC_Interventions!BP17&lt;&gt;"",Ofwat_PC_Interventions!BP17,IF(Company_PC_inputs!BP17&lt;&gt;"",Company_PC_inputs!BP17,""))</f>
        <v/>
      </c>
      <c r="BQ17" s="574" t="str">
        <f>IF(Ofwat_PC_Interventions!BQ17&lt;&gt;"",Ofwat_PC_Interventions!BQ17,IF(Company_PC_inputs!BQ17&lt;&gt;"",Company_PC_inputs!BQ17,""))</f>
        <v/>
      </c>
      <c r="BR17" s="574" t="str">
        <f>IF(Ofwat_PC_Interventions!BR17&lt;&gt;"",Ofwat_PC_Interventions!BR17,IF(Company_PC_inputs!BR17&lt;&gt;"",Company_PC_inputs!BR17,""))</f>
        <v/>
      </c>
      <c r="BS17" s="574" t="str">
        <f>IF(Ofwat_PC_Interventions!BS17&lt;&gt;"",Ofwat_PC_Interventions!BS17,IF(Company_PC_inputs!BS17&lt;&gt;"",Company_PC_inputs!BS17,""))</f>
        <v/>
      </c>
    </row>
    <row r="18" spans="1:71" s="202" customFormat="1" ht="13.15">
      <c r="A18" s="453"/>
      <c r="B18" s="453"/>
      <c r="C18" s="453"/>
      <c r="D18" s="453"/>
      <c r="E18" s="453"/>
      <c r="F18" s="453"/>
      <c r="G18" s="453"/>
      <c r="H18" s="453"/>
      <c r="I18" s="453"/>
      <c r="J18" s="494" t="str">
        <f>IF(Ofwat_PC_Interventions!J18&lt;&gt;"",Ofwat_PC_Interventions!J18,IF(Company_PC_inputs!J18&lt;&gt;"",Company_PC_inputs!J18,""))</f>
        <v/>
      </c>
      <c r="K18" s="494" t="str">
        <f>IF(Ofwat_PC_Interventions!K18&lt;&gt;"",Ofwat_PC_Interventions!K18,IF(Company_PC_inputs!K18&lt;&gt;"",Company_PC_inputs!K18,""))</f>
        <v/>
      </c>
      <c r="L18" s="494" t="str">
        <f>IF(Ofwat_PC_Interventions!L18&lt;&gt;"",Ofwat_PC_Interventions!L18,IF(Company_PC_inputs!L18&lt;&gt;"",Company_PC_inputs!L18,""))</f>
        <v/>
      </c>
      <c r="M18" s="494" t="str">
        <f>IF(Ofwat_PC_Interventions!M18&lt;&gt;"",Ofwat_PC_Interventions!M18,IF(Company_PC_inputs!M18&lt;&gt;"",Company_PC_inputs!M18,""))</f>
        <v/>
      </c>
      <c r="N18" s="494" t="str">
        <f>IF(Ofwat_PC_Interventions!N18&lt;&gt;"",Ofwat_PC_Interventions!N18,IF(Company_PC_inputs!N18&lt;&gt;"",Company_PC_inputs!N18,""))</f>
        <v/>
      </c>
      <c r="O18" s="494" t="str">
        <f>IF(Ofwat_PC_Interventions!O18&lt;&gt;"",Ofwat_PC_Interventions!O18,IF(Company_PC_inputs!O18&lt;&gt;"",Company_PC_inputs!O18,""))</f>
        <v/>
      </c>
      <c r="P18" s="494" t="str">
        <f>IF(Ofwat_PC_Interventions!P18&lt;&gt;"",Ofwat_PC_Interventions!P18,IF(Company_PC_inputs!P18&lt;&gt;"",Company_PC_inputs!P18,""))</f>
        <v/>
      </c>
      <c r="Q18" s="496" t="str">
        <f>IF(Ofwat_PC_Interventions!Q18&lt;&gt;"",Ofwat_PC_Interventions!Q18,IF(Company_PC_inputs!Q18&lt;&gt;"",Company_PC_inputs!Q18,""))</f>
        <v/>
      </c>
      <c r="R18" s="494" t="str">
        <f>IF(Ofwat_PC_Interventions!R18&lt;&gt;"",Ofwat_PC_Interventions!R18,IF(Company_PC_inputs!R18&lt;&gt;"",Company_PC_inputs!R18,""))</f>
        <v/>
      </c>
      <c r="S18" s="494" t="str">
        <f>IF(Ofwat_PC_Interventions!S18&lt;&gt;"",Ofwat_PC_Interventions!S18,IF(Company_PC_inputs!S18&lt;&gt;"",Company_PC_inputs!S18,""))</f>
        <v/>
      </c>
      <c r="T18" s="494" t="str">
        <f>IF(Ofwat_PC_Interventions!T18&lt;&gt;"",Ofwat_PC_Interventions!T18,IF(Company_PC_inputs!T18&lt;&gt;"",Company_PC_inputs!T18,""))</f>
        <v/>
      </c>
      <c r="U18" s="494" t="str">
        <f>IF(Ofwat_PC_Interventions!U18&lt;&gt;"",Ofwat_PC_Interventions!U18,IF(Company_PC_inputs!U18&lt;&gt;"",Company_PC_inputs!U18,""))</f>
        <v/>
      </c>
      <c r="V18" s="494" t="str">
        <f>IF(Ofwat_PC_Interventions!V18&lt;&gt;"",Ofwat_PC_Interventions!V18,IF(Company_PC_inputs!V18&lt;&gt;"",Company_PC_inputs!V18,""))</f>
        <v/>
      </c>
      <c r="W18" s="494" t="str">
        <f>IF(Ofwat_PC_Interventions!W18&lt;&gt;"",Ofwat_PC_Interventions!W18,IF(Company_PC_inputs!W18&lt;&gt;"",Company_PC_inputs!W18,""))</f>
        <v/>
      </c>
      <c r="X18" s="494" t="str">
        <f>IF(Ofwat_PC_Interventions!X18&lt;&gt;"",Ofwat_PC_Interventions!X18,IF(Company_PC_inputs!X18&lt;&gt;"",Company_PC_inputs!X18,""))</f>
        <v/>
      </c>
      <c r="Y18" s="494" t="str">
        <f>IF(Ofwat_PC_Interventions!Y18&lt;&gt;"",Ofwat_PC_Interventions!Y18,IF(Company_PC_inputs!Y18&lt;&gt;"",Company_PC_inputs!Y18,""))</f>
        <v/>
      </c>
      <c r="Z18" s="494" t="str">
        <f>IF(Ofwat_PC_Interventions!Z18&lt;&gt;"",Ofwat_PC_Interventions!Z18,IF(Company_PC_inputs!Z18&lt;&gt;"",Company_PC_inputs!Z18,""))</f>
        <v/>
      </c>
      <c r="AA18" s="494" t="str">
        <f>IF(Ofwat_PC_Interventions!AA18&lt;&gt;"",Ofwat_PC_Interventions!AA18,IF(Company_PC_inputs!AA18&lt;&gt;"",Company_PC_inputs!AA18,""))</f>
        <v/>
      </c>
      <c r="AB18" s="494" t="str">
        <f>IF(Ofwat_PC_Interventions!AB18&lt;&gt;"",Ofwat_PC_Interventions!AB18,IF(Company_PC_inputs!AB18&lt;&gt;"",Company_PC_inputs!AB18,""))</f>
        <v/>
      </c>
      <c r="AC18" s="494" t="str">
        <f>IF(Ofwat_PC_Interventions!AC18&lt;&gt;"",Ofwat_PC_Interventions!AC18,IF(Company_PC_inputs!AC18&lt;&gt;"",Company_PC_inputs!AC18,""))</f>
        <v/>
      </c>
      <c r="AD18" s="494" t="str">
        <f>IF(Ofwat_PC_Interventions!AD18&lt;&gt;"",Ofwat_PC_Interventions!AD18,IF(Company_PC_inputs!AD18&lt;&gt;"",Company_PC_inputs!AD18,""))</f>
        <v/>
      </c>
      <c r="AE18" s="494" t="str">
        <f>IF(Ofwat_PC_Interventions!AE18&lt;&gt;"",Ofwat_PC_Interventions!AE18,IF(Company_PC_inputs!AE18&lt;&gt;"",Company_PC_inputs!AE18,""))</f>
        <v/>
      </c>
      <c r="AF18" s="494" t="str">
        <f>IF(Ofwat_PC_Interventions!AF18&lt;&gt;"",Ofwat_PC_Interventions!AF18,IF(Company_PC_inputs!AF18&lt;&gt;"",Company_PC_inputs!AF18,""))</f>
        <v/>
      </c>
      <c r="AG18" s="494" t="str">
        <f>IF(Ofwat_PC_Interventions!AG18&lt;&gt;"",Ofwat_PC_Interventions!AG18,IF(Company_PC_inputs!AG18&lt;&gt;"",Company_PC_inputs!AG18,""))</f>
        <v/>
      </c>
      <c r="AH18" s="494" t="str">
        <f>IF(Ofwat_PC_Interventions!AH18&lt;&gt;"",Ofwat_PC_Interventions!AH18,IF(Company_PC_inputs!AH18&lt;&gt;"",Company_PC_inputs!AH18,""))</f>
        <v/>
      </c>
      <c r="AI18" s="494" t="str">
        <f>IF(Ofwat_PC_Interventions!AI18&lt;&gt;"",Ofwat_PC_Interventions!AI18,IF(Company_PC_inputs!AI18&lt;&gt;"",Company_PC_inputs!AI18,""))</f>
        <v/>
      </c>
      <c r="AJ18" s="494" t="str">
        <f>IF(Ofwat_PC_Interventions!AJ18&lt;&gt;"",Ofwat_PC_Interventions!AJ18,IF(Company_PC_inputs!AJ18&lt;&gt;"",Company_PC_inputs!AJ18,""))</f>
        <v/>
      </c>
      <c r="AK18" s="496" t="str">
        <f>IF(Ofwat_PC_Interventions!AK18&lt;&gt;"",Ofwat_PC_Interventions!AK18,IF(Company_PC_inputs!AK18&lt;&gt;"",Company_PC_inputs!AK18,""))</f>
        <v/>
      </c>
      <c r="AL18" s="494" t="str">
        <f>IF(Ofwat_PC_Interventions!AL18&lt;&gt;"",Ofwat_PC_Interventions!AL18,IF(Company_PC_inputs!AL18&lt;&gt;"",Company_PC_inputs!AL18,""))</f>
        <v/>
      </c>
      <c r="AM18" s="494" t="str">
        <f>IF(Ofwat_PC_Interventions!AM18&lt;&gt;"",Ofwat_PC_Interventions!AM18,IF(Company_PC_inputs!AM18&lt;&gt;"",Company_PC_inputs!AM18,""))</f>
        <v/>
      </c>
      <c r="AN18" s="494" t="str">
        <f>IF(Ofwat_PC_Interventions!AN18&lt;&gt;"",Ofwat_PC_Interventions!AN18,IF(Company_PC_inputs!AN18&lt;&gt;"",Company_PC_inputs!AN18,""))</f>
        <v/>
      </c>
      <c r="AO18" s="496" t="str">
        <f>IF(Ofwat_PC_Interventions!AO18&lt;&gt;"",Ofwat_PC_Interventions!AO18,IF(Company_PC_inputs!AO18&lt;&gt;"",Company_PC_inputs!AO18,""))</f>
        <v/>
      </c>
      <c r="AP18" s="494" t="str">
        <f>IF(Ofwat_PC_Interventions!AP18&lt;&gt;"",Ofwat_PC_Interventions!AP18,IF(Company_PC_inputs!AP18&lt;&gt;"",Company_PC_inputs!AP18,""))</f>
        <v/>
      </c>
      <c r="AQ18" s="494" t="str">
        <f>IF(Ofwat_PC_Interventions!AQ18&lt;&gt;"",Ofwat_PC_Interventions!AQ18,IF(Company_PC_inputs!AQ18&lt;&gt;"",Company_PC_inputs!AQ18,""))</f>
        <v/>
      </c>
      <c r="AR18" s="494" t="str">
        <f>IF(Ofwat_PC_Interventions!AR18&lt;&gt;"",Ofwat_PC_Interventions!AR18,IF(Company_PC_inputs!AR18&lt;&gt;"",Company_PC_inputs!AR18,""))</f>
        <v/>
      </c>
      <c r="AS18" s="494" t="str">
        <f>IF(Ofwat_PC_Interventions!AS18&lt;&gt;"",Ofwat_PC_Interventions!AS18,IF(Company_PC_inputs!AS18&lt;&gt;"",Company_PC_inputs!AS18,""))</f>
        <v/>
      </c>
      <c r="AT18" s="494" t="str">
        <f>IF(Ofwat_PC_Interventions!AT18&lt;&gt;"",Ofwat_PC_Interventions!AT18,IF(Company_PC_inputs!AT18&lt;&gt;"",Company_PC_inputs!AT18,""))</f>
        <v/>
      </c>
      <c r="AU18" s="494" t="str">
        <f>IF(Ofwat_PC_Interventions!AU18&lt;&gt;"",Ofwat_PC_Interventions!AU18,IF(Company_PC_inputs!AU18&lt;&gt;"",Company_PC_inputs!AU18,""))</f>
        <v/>
      </c>
      <c r="AV18" s="494" t="str">
        <f>IF(Ofwat_PC_Interventions!AV18&lt;&gt;"",Ofwat_PC_Interventions!AV18,IF(Company_PC_inputs!AV18&lt;&gt;"",Company_PC_inputs!AV18,""))</f>
        <v/>
      </c>
      <c r="AW18" s="494" t="str">
        <f>IF(Ofwat_PC_Interventions!AW18&lt;&gt;"",Ofwat_PC_Interventions!AW18,IF(Company_PC_inputs!AW18&lt;&gt;"",Company_PC_inputs!AW18,""))</f>
        <v/>
      </c>
      <c r="AX18" s="494" t="str">
        <f>IF(Ofwat_PC_Interventions!AX18&lt;&gt;"",Ofwat_PC_Interventions!AX18,IF(Company_PC_inputs!AX18&lt;&gt;"",Company_PC_inputs!AX18,""))</f>
        <v/>
      </c>
      <c r="AY18" s="494" t="str">
        <f>IF(Ofwat_PC_Interventions!AY18&lt;&gt;"",Ofwat_PC_Interventions!AY18,IF(Company_PC_inputs!AY18&lt;&gt;"",Company_PC_inputs!AY18,""))</f>
        <v/>
      </c>
      <c r="AZ18" s="494" t="str">
        <f>IF(Ofwat_PC_Interventions!AZ18&lt;&gt;"",Ofwat_PC_Interventions!AZ18,IF(Company_PC_inputs!AZ18&lt;&gt;"",Company_PC_inputs!AZ18,""))</f>
        <v/>
      </c>
      <c r="BA18" s="494" t="str">
        <f>IF(Ofwat_PC_Interventions!BA18&lt;&gt;"",Ofwat_PC_Interventions!BA18,IF(Company_PC_inputs!BA18&lt;&gt;"",Company_PC_inputs!BA18,""))</f>
        <v/>
      </c>
      <c r="BB18" s="494" t="str">
        <f>IF(Ofwat_PC_Interventions!BB18&lt;&gt;"",Ofwat_PC_Interventions!BB18,IF(Company_PC_inputs!BB18&lt;&gt;"",Company_PC_inputs!BB18,""))</f>
        <v/>
      </c>
      <c r="BC18" s="496" t="str">
        <f>IF(Ofwat_PC_Interventions!BC18&lt;&gt;"",Ofwat_PC_Interventions!BC18,IF(Company_PC_inputs!BC18&lt;&gt;"",Company_PC_inputs!BC18,""))</f>
        <v/>
      </c>
      <c r="BD18" s="494" t="str">
        <f>IF(Ofwat_PC_Interventions!BD18&lt;&gt;"",Ofwat_PC_Interventions!BD18,IF(Company_PC_inputs!BD18&lt;&gt;"",Company_PC_inputs!BD18,""))</f>
        <v/>
      </c>
      <c r="BE18" s="494" t="str">
        <f>IF(Ofwat_PC_Interventions!BE18&lt;&gt;"",Ofwat_PC_Interventions!BE18,IF(Company_PC_inputs!BE18&lt;&gt;"",Company_PC_inputs!BE18,""))</f>
        <v/>
      </c>
      <c r="BF18" s="494" t="str">
        <f>IF(Ofwat_PC_Interventions!BF18&lt;&gt;"",Ofwat_PC_Interventions!BF18,IF(Company_PC_inputs!BF18&lt;&gt;"",Company_PC_inputs!BF18,""))</f>
        <v/>
      </c>
      <c r="BG18" s="494" t="str">
        <f>IF(Ofwat_PC_Interventions!BG18&lt;&gt;"",Ofwat_PC_Interventions!BG18,IF(Company_PC_inputs!BG18&lt;&gt;"",Company_PC_inputs!BG18,""))</f>
        <v/>
      </c>
      <c r="BH18" s="494" t="str">
        <f>IF(Ofwat_PC_Interventions!BH18&lt;&gt;"",Ofwat_PC_Interventions!BH18,IF(Company_PC_inputs!BH18&lt;&gt;"",Company_PC_inputs!BH18,""))</f>
        <v/>
      </c>
      <c r="BI18" s="494" t="str">
        <f>IF(Ofwat_PC_Interventions!BI18&lt;&gt;"",Ofwat_PC_Interventions!BI18,IF(Company_PC_inputs!BI18&lt;&gt;"",Company_PC_inputs!BI18,""))</f>
        <v/>
      </c>
      <c r="BJ18" s="494" t="str">
        <f>IF(Ofwat_PC_Interventions!BJ18&lt;&gt;"",Ofwat_PC_Interventions!BJ18,IF(Company_PC_inputs!BJ18&lt;&gt;"",Company_PC_inputs!BJ18,""))</f>
        <v/>
      </c>
      <c r="BK18" s="494" t="str">
        <f>IF(Ofwat_PC_Interventions!BK18&lt;&gt;"",Ofwat_PC_Interventions!BK18,IF(Company_PC_inputs!BK18&lt;&gt;"",Company_PC_inputs!BK18,""))</f>
        <v/>
      </c>
      <c r="BL18" s="494" t="str">
        <f>IF(Ofwat_PC_Interventions!BL18&lt;&gt;"",Ofwat_PC_Interventions!BL18,IF(Company_PC_inputs!BL18&lt;&gt;"",Company_PC_inputs!BL18,""))</f>
        <v/>
      </c>
      <c r="BM18" s="494" t="str">
        <f>IF(Ofwat_PC_Interventions!BM18&lt;&gt;"",Ofwat_PC_Interventions!BM18,IF(Company_PC_inputs!BM18&lt;&gt;"",Company_PC_inputs!BM18,""))</f>
        <v/>
      </c>
      <c r="BN18" s="494" t="str">
        <f>IF(Ofwat_PC_Interventions!BN18&lt;&gt;"",Ofwat_PC_Interventions!BN18,IF(Company_PC_inputs!BN18&lt;&gt;"",Company_PC_inputs!BN18,""))</f>
        <v/>
      </c>
      <c r="BO18" s="494" t="str">
        <f>IF(Ofwat_PC_Interventions!BO18&lt;&gt;"",Ofwat_PC_Interventions!BO18,IF(Company_PC_inputs!BO18&lt;&gt;"",Company_PC_inputs!BO18,""))</f>
        <v/>
      </c>
      <c r="BP18" s="494" t="str">
        <f>IF(Ofwat_PC_Interventions!BP18&lt;&gt;"",Ofwat_PC_Interventions!BP18,IF(Company_PC_inputs!BP18&lt;&gt;"",Company_PC_inputs!BP18,""))</f>
        <v/>
      </c>
      <c r="BQ18" s="494" t="str">
        <f>IF(Ofwat_PC_Interventions!BQ18&lt;&gt;"",Ofwat_PC_Interventions!BQ18,IF(Company_PC_inputs!BQ18&lt;&gt;"",Company_PC_inputs!BQ18,""))</f>
        <v/>
      </c>
      <c r="BR18" s="494" t="str">
        <f>IF(Ofwat_PC_Interventions!BR18&lt;&gt;"",Ofwat_PC_Interventions!BR18,IF(Company_PC_inputs!BR18&lt;&gt;"",Company_PC_inputs!BR18,""))</f>
        <v/>
      </c>
      <c r="BS18" s="494" t="str">
        <f>IF(Ofwat_PC_Interventions!BS18&lt;&gt;"",Ofwat_PC_Interventions!BS18,IF(Company_PC_inputs!BS18&lt;&gt;"",Company_PC_inputs!BS18,""))</f>
        <v/>
      </c>
    </row>
    <row r="19" spans="1:71" s="202" customFormat="1" ht="13.15">
      <c r="A19" s="453"/>
      <c r="B19" s="453"/>
      <c r="C19" s="453"/>
      <c r="D19" s="453"/>
      <c r="E19" s="453" t="s">
        <v>1165</v>
      </c>
      <c r="F19" s="453"/>
      <c r="G19" s="453" t="s">
        <v>418</v>
      </c>
      <c r="H19" s="453"/>
      <c r="I19" s="453"/>
      <c r="J19" s="494" t="b">
        <f>IF(Ofwat_PC_Interventions!J19&lt;&gt;"",Ofwat_PC_Interventions!J19,IF(Company_PC_inputs!J19&lt;&gt;"",Company_PC_inputs!J19,""))</f>
        <v>0</v>
      </c>
      <c r="K19" s="494" t="b">
        <f>IF(Ofwat_PC_Interventions!K19&lt;&gt;"",Ofwat_PC_Interventions!K19,IF(Company_PC_inputs!K19&lt;&gt;"",Company_PC_inputs!K19,""))</f>
        <v>1</v>
      </c>
      <c r="L19" s="494" t="b">
        <f>IF(Ofwat_PC_Interventions!L19&lt;&gt;"",Ofwat_PC_Interventions!L19,IF(Company_PC_inputs!L19&lt;&gt;"",Company_PC_inputs!L19,""))</f>
        <v>0</v>
      </c>
      <c r="M19" s="494" t="b">
        <f>IF(Ofwat_PC_Interventions!M19&lt;&gt;"",Ofwat_PC_Interventions!M19,IF(Company_PC_inputs!M19&lt;&gt;"",Company_PC_inputs!M19,""))</f>
        <v>0</v>
      </c>
      <c r="N19" s="494" t="b">
        <f>IF(Ofwat_PC_Interventions!N19&lt;&gt;"",Ofwat_PC_Interventions!N19,IF(Company_PC_inputs!N19&lt;&gt;"",Company_PC_inputs!N19,""))</f>
        <v>0</v>
      </c>
      <c r="O19" s="494" t="b">
        <f>IF(Ofwat_PC_Interventions!O19&lt;&gt;"",Ofwat_PC_Interventions!O19,IF(Company_PC_inputs!O19&lt;&gt;"",Company_PC_inputs!O19,""))</f>
        <v>0</v>
      </c>
      <c r="P19" s="494" t="b">
        <f>IF(Ofwat_PC_Interventions!P19&lt;&gt;"",Ofwat_PC_Interventions!P19,IF(Company_PC_inputs!P19&lt;&gt;"",Company_PC_inputs!P19,""))</f>
        <v>0</v>
      </c>
      <c r="Q19" s="496" t="b">
        <f>IF(Ofwat_PC_Interventions!Q19&lt;&gt;"",Ofwat_PC_Interventions!Q19,IF(Company_PC_inputs!Q19&lt;&gt;"",Company_PC_inputs!Q19,""))</f>
        <v>0</v>
      </c>
      <c r="R19" s="494" t="b">
        <f>IF(Ofwat_PC_Interventions!R19&lt;&gt;"",Ofwat_PC_Interventions!R19,IF(Company_PC_inputs!R19&lt;&gt;"",Company_PC_inputs!R19,""))</f>
        <v>0</v>
      </c>
      <c r="S19" s="494" t="b">
        <f>IF(Ofwat_PC_Interventions!S19&lt;&gt;"",Ofwat_PC_Interventions!S19,IF(Company_PC_inputs!S19&lt;&gt;"",Company_PC_inputs!S19,""))</f>
        <v>0</v>
      </c>
      <c r="T19" s="494" t="b">
        <f>IF(Ofwat_PC_Interventions!T19&lt;&gt;"",Ofwat_PC_Interventions!T19,IF(Company_PC_inputs!T19&lt;&gt;"",Company_PC_inputs!T19,""))</f>
        <v>0</v>
      </c>
      <c r="U19" s="494" t="b">
        <f>IF(Ofwat_PC_Interventions!U19&lt;&gt;"",Ofwat_PC_Interventions!U19,IF(Company_PC_inputs!U19&lt;&gt;"",Company_PC_inputs!U19,""))</f>
        <v>0</v>
      </c>
      <c r="V19" s="494" t="b">
        <f>IF(Ofwat_PC_Interventions!V19&lt;&gt;"",Ofwat_PC_Interventions!V19,IF(Company_PC_inputs!V19&lt;&gt;"",Company_PC_inputs!V19,""))</f>
        <v>0</v>
      </c>
      <c r="W19" s="494" t="b">
        <f>IF(Ofwat_PC_Interventions!W19&lt;&gt;"",Ofwat_PC_Interventions!W19,IF(Company_PC_inputs!W19&lt;&gt;"",Company_PC_inputs!W19,""))</f>
        <v>0</v>
      </c>
      <c r="X19" s="494" t="b">
        <f>IF(Ofwat_PC_Interventions!X19&lt;&gt;"",Ofwat_PC_Interventions!X19,IF(Company_PC_inputs!X19&lt;&gt;"",Company_PC_inputs!X19,""))</f>
        <v>0</v>
      </c>
      <c r="Y19" s="494" t="b">
        <f>IF(Ofwat_PC_Interventions!Y19&lt;&gt;"",Ofwat_PC_Interventions!Y19,IF(Company_PC_inputs!Y19&lt;&gt;"",Company_PC_inputs!Y19,""))</f>
        <v>0</v>
      </c>
      <c r="Z19" s="494" t="b">
        <f>IF(Ofwat_PC_Interventions!Z19&lt;&gt;"",Ofwat_PC_Interventions!Z19,IF(Company_PC_inputs!Z19&lt;&gt;"",Company_PC_inputs!Z19,""))</f>
        <v>0</v>
      </c>
      <c r="AA19" s="494" t="b">
        <f>IF(Ofwat_PC_Interventions!AA19&lt;&gt;"",Ofwat_PC_Interventions!AA19,IF(Company_PC_inputs!AA19&lt;&gt;"",Company_PC_inputs!AA19,""))</f>
        <v>0</v>
      </c>
      <c r="AB19" s="494" t="b">
        <f>IF(Ofwat_PC_Interventions!AB19&lt;&gt;"",Ofwat_PC_Interventions!AB19,IF(Company_PC_inputs!AB19&lt;&gt;"",Company_PC_inputs!AB19,""))</f>
        <v>0</v>
      </c>
      <c r="AC19" s="494" t="b">
        <f>IF(Ofwat_PC_Interventions!AC19&lt;&gt;"",Ofwat_PC_Interventions!AC19,IF(Company_PC_inputs!AC19&lt;&gt;"",Company_PC_inputs!AC19,""))</f>
        <v>0</v>
      </c>
      <c r="AD19" s="494" t="b">
        <f>IF(Ofwat_PC_Interventions!AD19&lt;&gt;"",Ofwat_PC_Interventions!AD19,IF(Company_PC_inputs!AD19&lt;&gt;"",Company_PC_inputs!AD19,""))</f>
        <v>0</v>
      </c>
      <c r="AE19" s="494" t="b">
        <f>IF(Ofwat_PC_Interventions!AE19&lt;&gt;"",Ofwat_PC_Interventions!AE19,IF(Company_PC_inputs!AE19&lt;&gt;"",Company_PC_inputs!AE19,""))</f>
        <v>0</v>
      </c>
      <c r="AF19" s="494" t="b">
        <f>IF(Ofwat_PC_Interventions!AF19&lt;&gt;"",Ofwat_PC_Interventions!AF19,IF(Company_PC_inputs!AF19&lt;&gt;"",Company_PC_inputs!AF19,""))</f>
        <v>0</v>
      </c>
      <c r="AG19" s="494" t="b">
        <f>IF(Ofwat_PC_Interventions!AG19&lt;&gt;"",Ofwat_PC_Interventions!AG19,IF(Company_PC_inputs!AG19&lt;&gt;"",Company_PC_inputs!AG19,""))</f>
        <v>0</v>
      </c>
      <c r="AH19" s="494" t="b">
        <f>IF(Ofwat_PC_Interventions!AH19&lt;&gt;"",Ofwat_PC_Interventions!AH19,IF(Company_PC_inputs!AH19&lt;&gt;"",Company_PC_inputs!AH19,""))</f>
        <v>0</v>
      </c>
      <c r="AI19" s="494" t="b">
        <f>IF(Ofwat_PC_Interventions!AI19&lt;&gt;"",Ofwat_PC_Interventions!AI19,IF(Company_PC_inputs!AI19&lt;&gt;"",Company_PC_inputs!AI19,""))</f>
        <v>0</v>
      </c>
      <c r="AJ19" s="494" t="b">
        <f>IF(Ofwat_PC_Interventions!AJ19&lt;&gt;"",Ofwat_PC_Interventions!AJ19,IF(Company_PC_inputs!AJ19&lt;&gt;"",Company_PC_inputs!AJ19,""))</f>
        <v>0</v>
      </c>
      <c r="AK19" s="496" t="b">
        <f>IF(Ofwat_PC_Interventions!AK19&lt;&gt;"",Ofwat_PC_Interventions!AK19,IF(Company_PC_inputs!AK19&lt;&gt;"",Company_PC_inputs!AK19,""))</f>
        <v>0</v>
      </c>
      <c r="AL19" s="494" t="b">
        <f>IF(Ofwat_PC_Interventions!AL19&lt;&gt;"",Ofwat_PC_Interventions!AL19,IF(Company_PC_inputs!AL19&lt;&gt;"",Company_PC_inputs!AL19,""))</f>
        <v>0</v>
      </c>
      <c r="AM19" s="494" t="b">
        <f>IF(Ofwat_PC_Interventions!AM19&lt;&gt;"",Ofwat_PC_Interventions!AM19,IF(Company_PC_inputs!AM19&lt;&gt;"",Company_PC_inputs!AM19,""))</f>
        <v>0</v>
      </c>
      <c r="AN19" s="494" t="b">
        <f>IF(Ofwat_PC_Interventions!AN19&lt;&gt;"",Ofwat_PC_Interventions!AN19,IF(Company_PC_inputs!AN19&lt;&gt;"",Company_PC_inputs!AN19,""))</f>
        <v>0</v>
      </c>
      <c r="AO19" s="496" t="b">
        <f>IF(Ofwat_PC_Interventions!AO19&lt;&gt;"",Ofwat_PC_Interventions!AO19,IF(Company_PC_inputs!AO19&lt;&gt;"",Company_PC_inputs!AO19,""))</f>
        <v>0</v>
      </c>
      <c r="AP19" s="494" t="b">
        <f>IF(Ofwat_PC_Interventions!AP19&lt;&gt;"",Ofwat_PC_Interventions!AP19,IF(Company_PC_inputs!AP19&lt;&gt;"",Company_PC_inputs!AP19,""))</f>
        <v>0</v>
      </c>
      <c r="AQ19" s="494" t="b">
        <f>IF(Ofwat_PC_Interventions!AQ19&lt;&gt;"",Ofwat_PC_Interventions!AQ19,IF(Company_PC_inputs!AQ19&lt;&gt;"",Company_PC_inputs!AQ19,""))</f>
        <v>0</v>
      </c>
      <c r="AR19" s="494" t="b">
        <f>IF(Ofwat_PC_Interventions!AR19&lt;&gt;"",Ofwat_PC_Interventions!AR19,IF(Company_PC_inputs!AR19&lt;&gt;"",Company_PC_inputs!AR19,""))</f>
        <v>0</v>
      </c>
      <c r="AS19" s="494" t="b">
        <f>IF(Ofwat_PC_Interventions!AS19&lt;&gt;"",Ofwat_PC_Interventions!AS19,IF(Company_PC_inputs!AS19&lt;&gt;"",Company_PC_inputs!AS19,""))</f>
        <v>0</v>
      </c>
      <c r="AT19" s="494" t="b">
        <f>IF(Ofwat_PC_Interventions!AT19&lt;&gt;"",Ofwat_PC_Interventions!AT19,IF(Company_PC_inputs!AT19&lt;&gt;"",Company_PC_inputs!AT19,""))</f>
        <v>0</v>
      </c>
      <c r="AU19" s="494" t="b">
        <f>IF(Ofwat_PC_Interventions!AU19&lt;&gt;"",Ofwat_PC_Interventions!AU19,IF(Company_PC_inputs!AU19&lt;&gt;"",Company_PC_inputs!AU19,""))</f>
        <v>0</v>
      </c>
      <c r="AV19" s="494" t="b">
        <f>IF(Ofwat_PC_Interventions!AV19&lt;&gt;"",Ofwat_PC_Interventions!AV19,IF(Company_PC_inputs!AV19&lt;&gt;"",Company_PC_inputs!AV19,""))</f>
        <v>0</v>
      </c>
      <c r="AW19" s="494" t="b">
        <f>IF(Ofwat_PC_Interventions!AW19&lt;&gt;"",Ofwat_PC_Interventions!AW19,IF(Company_PC_inputs!AW19&lt;&gt;"",Company_PC_inputs!AW19,""))</f>
        <v>0</v>
      </c>
      <c r="AX19" s="494" t="b">
        <f>IF(Ofwat_PC_Interventions!AX19&lt;&gt;"",Ofwat_PC_Interventions!AX19,IF(Company_PC_inputs!AX19&lt;&gt;"",Company_PC_inputs!AX19,""))</f>
        <v>0</v>
      </c>
      <c r="AY19" s="494" t="b">
        <f>IF(Ofwat_PC_Interventions!AY19&lt;&gt;"",Ofwat_PC_Interventions!AY19,IF(Company_PC_inputs!AY19&lt;&gt;"",Company_PC_inputs!AY19,""))</f>
        <v>0</v>
      </c>
      <c r="AZ19" s="494" t="b">
        <f>IF(Ofwat_PC_Interventions!AZ19&lt;&gt;"",Ofwat_PC_Interventions!AZ19,IF(Company_PC_inputs!AZ19&lt;&gt;"",Company_PC_inputs!AZ19,""))</f>
        <v>0</v>
      </c>
      <c r="BA19" s="494" t="b">
        <f>IF(Ofwat_PC_Interventions!BA19&lt;&gt;"",Ofwat_PC_Interventions!BA19,IF(Company_PC_inputs!BA19&lt;&gt;"",Company_PC_inputs!BA19,""))</f>
        <v>0</v>
      </c>
      <c r="BB19" s="494" t="b">
        <f>IF(Ofwat_PC_Interventions!BB19&lt;&gt;"",Ofwat_PC_Interventions!BB19,IF(Company_PC_inputs!BB19&lt;&gt;"",Company_PC_inputs!BB19,""))</f>
        <v>0</v>
      </c>
      <c r="BC19" s="496" t="b">
        <f>IF(Ofwat_PC_Interventions!BC19&lt;&gt;"",Ofwat_PC_Interventions!BC19,IF(Company_PC_inputs!BC19&lt;&gt;"",Company_PC_inputs!BC19,""))</f>
        <v>0</v>
      </c>
      <c r="BD19" s="494" t="b">
        <f>IF(Ofwat_PC_Interventions!BD19&lt;&gt;"",Ofwat_PC_Interventions!BD19,IF(Company_PC_inputs!BD19&lt;&gt;"",Company_PC_inputs!BD19,""))</f>
        <v>0</v>
      </c>
      <c r="BE19" s="494" t="b">
        <f>IF(Ofwat_PC_Interventions!BE19&lt;&gt;"",Ofwat_PC_Interventions!BE19,IF(Company_PC_inputs!BE19&lt;&gt;"",Company_PC_inputs!BE19,""))</f>
        <v>0</v>
      </c>
      <c r="BF19" s="494" t="b">
        <f>IF(Ofwat_PC_Interventions!BF19&lt;&gt;"",Ofwat_PC_Interventions!BF19,IF(Company_PC_inputs!BF19&lt;&gt;"",Company_PC_inputs!BF19,""))</f>
        <v>0</v>
      </c>
      <c r="BG19" s="494" t="b">
        <f>IF(Ofwat_PC_Interventions!BG19&lt;&gt;"",Ofwat_PC_Interventions!BG19,IF(Company_PC_inputs!BG19&lt;&gt;"",Company_PC_inputs!BG19,""))</f>
        <v>0</v>
      </c>
      <c r="BH19" s="494" t="b">
        <f>IF(Ofwat_PC_Interventions!BH19&lt;&gt;"",Ofwat_PC_Interventions!BH19,IF(Company_PC_inputs!BH19&lt;&gt;"",Company_PC_inputs!BH19,""))</f>
        <v>0</v>
      </c>
      <c r="BI19" s="494" t="b">
        <f>IF(Ofwat_PC_Interventions!BI19&lt;&gt;"",Ofwat_PC_Interventions!BI19,IF(Company_PC_inputs!BI19&lt;&gt;"",Company_PC_inputs!BI19,""))</f>
        <v>0</v>
      </c>
      <c r="BJ19" s="494" t="b">
        <f>IF(Ofwat_PC_Interventions!BJ19&lt;&gt;"",Ofwat_PC_Interventions!BJ19,IF(Company_PC_inputs!BJ19&lt;&gt;"",Company_PC_inputs!BJ19,""))</f>
        <v>0</v>
      </c>
      <c r="BK19" s="494" t="b">
        <f>IF(Ofwat_PC_Interventions!BK19&lt;&gt;"",Ofwat_PC_Interventions!BK19,IF(Company_PC_inputs!BK19&lt;&gt;"",Company_PC_inputs!BK19,""))</f>
        <v>0</v>
      </c>
      <c r="BL19" s="494" t="b">
        <f>IF(Ofwat_PC_Interventions!BL19&lt;&gt;"",Ofwat_PC_Interventions!BL19,IF(Company_PC_inputs!BL19&lt;&gt;"",Company_PC_inputs!BL19,""))</f>
        <v>0</v>
      </c>
      <c r="BM19" s="494" t="b">
        <f>IF(Ofwat_PC_Interventions!BM19&lt;&gt;"",Ofwat_PC_Interventions!BM19,IF(Company_PC_inputs!BM19&lt;&gt;"",Company_PC_inputs!BM19,""))</f>
        <v>0</v>
      </c>
      <c r="BN19" s="494" t="b">
        <f>IF(Ofwat_PC_Interventions!BN19&lt;&gt;"",Ofwat_PC_Interventions!BN19,IF(Company_PC_inputs!BN19&lt;&gt;"",Company_PC_inputs!BN19,""))</f>
        <v>0</v>
      </c>
      <c r="BO19" s="494" t="b">
        <f>IF(Ofwat_PC_Interventions!BO19&lt;&gt;"",Ofwat_PC_Interventions!BO19,IF(Company_PC_inputs!BO19&lt;&gt;"",Company_PC_inputs!BO19,""))</f>
        <v>0</v>
      </c>
      <c r="BP19" s="494" t="b">
        <f>IF(Ofwat_PC_Interventions!BP19&lt;&gt;"",Ofwat_PC_Interventions!BP19,IF(Company_PC_inputs!BP19&lt;&gt;"",Company_PC_inputs!BP19,""))</f>
        <v>0</v>
      </c>
      <c r="BQ19" s="494" t="b">
        <f>IF(Ofwat_PC_Interventions!BQ19&lt;&gt;"",Ofwat_PC_Interventions!BQ19,IF(Company_PC_inputs!BQ19&lt;&gt;"",Company_PC_inputs!BQ19,""))</f>
        <v>0</v>
      </c>
      <c r="BR19" s="494" t="b">
        <f>IF(Ofwat_PC_Interventions!BR19&lt;&gt;"",Ofwat_PC_Interventions!BR19,IF(Company_PC_inputs!BR19&lt;&gt;"",Company_PC_inputs!BR19,""))</f>
        <v>0</v>
      </c>
      <c r="BS19" s="494" t="b">
        <f>IF(Ofwat_PC_Interventions!BS19&lt;&gt;"",Ofwat_PC_Interventions!BS19,IF(Company_PC_inputs!BS19&lt;&gt;"",Company_PC_inputs!BS19,""))</f>
        <v>0</v>
      </c>
    </row>
    <row r="20" spans="1:71" s="202" customFormat="1" ht="13.15">
      <c r="A20" s="453"/>
      <c r="B20" s="453"/>
      <c r="C20" s="453"/>
      <c r="D20" s="453"/>
      <c r="E20" s="453" t="s">
        <v>1166</v>
      </c>
      <c r="F20" s="453"/>
      <c r="G20" s="453" t="s">
        <v>418</v>
      </c>
      <c r="H20" s="453"/>
      <c r="I20" s="453"/>
      <c r="J20" s="494" t="b">
        <f>IF(Ofwat_PC_Interventions!J20&lt;&gt;"",Ofwat_PC_Interventions!J20,IF(Company_PC_inputs!J20&lt;&gt;"",Company_PC_inputs!J20,""))</f>
        <v>0</v>
      </c>
      <c r="K20" s="494" t="b">
        <f>IF(Ofwat_PC_Interventions!K20&lt;&gt;"",Ofwat_PC_Interventions!K20,IF(Company_PC_inputs!K20&lt;&gt;"",Company_PC_inputs!K20,""))</f>
        <v>0</v>
      </c>
      <c r="L20" s="494" t="b">
        <f>IF(Ofwat_PC_Interventions!L20&lt;&gt;"",Ofwat_PC_Interventions!L20,IF(Company_PC_inputs!L20&lt;&gt;"",Company_PC_inputs!L20,""))</f>
        <v>1</v>
      </c>
      <c r="M20" s="494" t="b">
        <f>IF(Ofwat_PC_Interventions!M20&lt;&gt;"",Ofwat_PC_Interventions!M20,IF(Company_PC_inputs!M20&lt;&gt;"",Company_PC_inputs!M20,""))</f>
        <v>1</v>
      </c>
      <c r="N20" s="494" t="b">
        <f>IF(Ofwat_PC_Interventions!N20&lt;&gt;"",Ofwat_PC_Interventions!N20,IF(Company_PC_inputs!N20&lt;&gt;"",Company_PC_inputs!N20,""))</f>
        <v>1</v>
      </c>
      <c r="O20" s="494" t="b">
        <f>IF(Ofwat_PC_Interventions!O20&lt;&gt;"",Ofwat_PC_Interventions!O20,IF(Company_PC_inputs!O20&lt;&gt;"",Company_PC_inputs!O20,""))</f>
        <v>1</v>
      </c>
      <c r="P20" s="494" t="b">
        <f>IF(Ofwat_PC_Interventions!P20&lt;&gt;"",Ofwat_PC_Interventions!P20,IF(Company_PC_inputs!P20&lt;&gt;"",Company_PC_inputs!P20,""))</f>
        <v>0</v>
      </c>
      <c r="Q20" s="496" t="b">
        <f>IF(Ofwat_PC_Interventions!Q20&lt;&gt;"",Ofwat_PC_Interventions!Q20,IF(Company_PC_inputs!Q20&lt;&gt;"",Company_PC_inputs!Q20,""))</f>
        <v>0</v>
      </c>
      <c r="R20" s="494" t="b">
        <f>IF(Ofwat_PC_Interventions!R20&lt;&gt;"",Ofwat_PC_Interventions!R20,IF(Company_PC_inputs!R20&lt;&gt;"",Company_PC_inputs!R20,""))</f>
        <v>0</v>
      </c>
      <c r="S20" s="494" t="b">
        <f>IF(Ofwat_PC_Interventions!S20&lt;&gt;"",Ofwat_PC_Interventions!S20,IF(Company_PC_inputs!S20&lt;&gt;"",Company_PC_inputs!S20,""))</f>
        <v>0</v>
      </c>
      <c r="T20" s="494" t="b">
        <f>IF(Ofwat_PC_Interventions!T20&lt;&gt;"",Ofwat_PC_Interventions!T20,IF(Company_PC_inputs!T20&lt;&gt;"",Company_PC_inputs!T20,""))</f>
        <v>0</v>
      </c>
      <c r="U20" s="494" t="b">
        <f>IF(Ofwat_PC_Interventions!U20&lt;&gt;"",Ofwat_PC_Interventions!U20,IF(Company_PC_inputs!U20&lt;&gt;"",Company_PC_inputs!U20,""))</f>
        <v>0</v>
      </c>
      <c r="V20" s="494" t="b">
        <f>IF(Ofwat_PC_Interventions!V20&lt;&gt;"",Ofwat_PC_Interventions!V20,IF(Company_PC_inputs!V20&lt;&gt;"",Company_PC_inputs!V20,""))</f>
        <v>0</v>
      </c>
      <c r="W20" s="494" t="b">
        <f>IF(Ofwat_PC_Interventions!W20&lt;&gt;"",Ofwat_PC_Interventions!W20,IF(Company_PC_inputs!W20&lt;&gt;"",Company_PC_inputs!W20,""))</f>
        <v>0</v>
      </c>
      <c r="X20" s="494" t="b">
        <f>IF(Ofwat_PC_Interventions!X20&lt;&gt;"",Ofwat_PC_Interventions!X20,IF(Company_PC_inputs!X20&lt;&gt;"",Company_PC_inputs!X20,""))</f>
        <v>0</v>
      </c>
      <c r="Y20" s="494" t="b">
        <f>IF(Ofwat_PC_Interventions!Y20&lt;&gt;"",Ofwat_PC_Interventions!Y20,IF(Company_PC_inputs!Y20&lt;&gt;"",Company_PC_inputs!Y20,""))</f>
        <v>0</v>
      </c>
      <c r="Z20" s="494" t="b">
        <f>IF(Ofwat_PC_Interventions!Z20&lt;&gt;"",Ofwat_PC_Interventions!Z20,IF(Company_PC_inputs!Z20&lt;&gt;"",Company_PC_inputs!Z20,""))</f>
        <v>0</v>
      </c>
      <c r="AA20" s="494" t="b">
        <f>IF(Ofwat_PC_Interventions!AA20&lt;&gt;"",Ofwat_PC_Interventions!AA20,IF(Company_PC_inputs!AA20&lt;&gt;"",Company_PC_inputs!AA20,""))</f>
        <v>0</v>
      </c>
      <c r="AB20" s="494" t="b">
        <f>IF(Ofwat_PC_Interventions!AB20&lt;&gt;"",Ofwat_PC_Interventions!AB20,IF(Company_PC_inputs!AB20&lt;&gt;"",Company_PC_inputs!AB20,""))</f>
        <v>0</v>
      </c>
      <c r="AC20" s="494" t="b">
        <f>IF(Ofwat_PC_Interventions!AC20&lt;&gt;"",Ofwat_PC_Interventions!AC20,IF(Company_PC_inputs!AC20&lt;&gt;"",Company_PC_inputs!AC20,""))</f>
        <v>0</v>
      </c>
      <c r="AD20" s="494" t="b">
        <f>IF(Ofwat_PC_Interventions!AD20&lt;&gt;"",Ofwat_PC_Interventions!AD20,IF(Company_PC_inputs!AD20&lt;&gt;"",Company_PC_inputs!AD20,""))</f>
        <v>0</v>
      </c>
      <c r="AE20" s="494" t="b">
        <f>IF(Ofwat_PC_Interventions!AE20&lt;&gt;"",Ofwat_PC_Interventions!AE20,IF(Company_PC_inputs!AE20&lt;&gt;"",Company_PC_inputs!AE20,""))</f>
        <v>0</v>
      </c>
      <c r="AF20" s="494" t="b">
        <f>IF(Ofwat_PC_Interventions!AF20&lt;&gt;"",Ofwat_PC_Interventions!AF20,IF(Company_PC_inputs!AF20&lt;&gt;"",Company_PC_inputs!AF20,""))</f>
        <v>0</v>
      </c>
      <c r="AG20" s="494" t="b">
        <f>IF(Ofwat_PC_Interventions!AG20&lt;&gt;"",Ofwat_PC_Interventions!AG20,IF(Company_PC_inputs!AG20&lt;&gt;"",Company_PC_inputs!AG20,""))</f>
        <v>0</v>
      </c>
      <c r="AH20" s="494" t="b">
        <f>IF(Ofwat_PC_Interventions!AH20&lt;&gt;"",Ofwat_PC_Interventions!AH20,IF(Company_PC_inputs!AH20&lt;&gt;"",Company_PC_inputs!AH20,""))</f>
        <v>0</v>
      </c>
      <c r="AI20" s="494" t="b">
        <f>IF(Ofwat_PC_Interventions!AI20&lt;&gt;"",Ofwat_PC_Interventions!AI20,IF(Company_PC_inputs!AI20&lt;&gt;"",Company_PC_inputs!AI20,""))</f>
        <v>0</v>
      </c>
      <c r="AJ20" s="494" t="b">
        <f>IF(Ofwat_PC_Interventions!AJ20&lt;&gt;"",Ofwat_PC_Interventions!AJ20,IF(Company_PC_inputs!AJ20&lt;&gt;"",Company_PC_inputs!AJ20,""))</f>
        <v>0</v>
      </c>
      <c r="AK20" s="496" t="b">
        <f>IF(Ofwat_PC_Interventions!AK20&lt;&gt;"",Ofwat_PC_Interventions!AK20,IF(Company_PC_inputs!AK20&lt;&gt;"",Company_PC_inputs!AK20,""))</f>
        <v>0</v>
      </c>
      <c r="AL20" s="494" t="b">
        <f>IF(Ofwat_PC_Interventions!AL20&lt;&gt;"",Ofwat_PC_Interventions!AL20,IF(Company_PC_inputs!AL20&lt;&gt;"",Company_PC_inputs!AL20,""))</f>
        <v>0</v>
      </c>
      <c r="AM20" s="494" t="b">
        <f>IF(Ofwat_PC_Interventions!AM20&lt;&gt;"",Ofwat_PC_Interventions!AM20,IF(Company_PC_inputs!AM20&lt;&gt;"",Company_PC_inputs!AM20,""))</f>
        <v>0</v>
      </c>
      <c r="AN20" s="494" t="b">
        <f>IF(Ofwat_PC_Interventions!AN20&lt;&gt;"",Ofwat_PC_Interventions!AN20,IF(Company_PC_inputs!AN20&lt;&gt;"",Company_PC_inputs!AN20,""))</f>
        <v>0</v>
      </c>
      <c r="AO20" s="496" t="b">
        <f>IF(Ofwat_PC_Interventions!AO20&lt;&gt;"",Ofwat_PC_Interventions!AO20,IF(Company_PC_inputs!AO20&lt;&gt;"",Company_PC_inputs!AO20,""))</f>
        <v>0</v>
      </c>
      <c r="AP20" s="494" t="b">
        <f>IF(Ofwat_PC_Interventions!AP20&lt;&gt;"",Ofwat_PC_Interventions!AP20,IF(Company_PC_inputs!AP20&lt;&gt;"",Company_PC_inputs!AP20,""))</f>
        <v>0</v>
      </c>
      <c r="AQ20" s="494" t="b">
        <f>IF(Ofwat_PC_Interventions!AQ20&lt;&gt;"",Ofwat_PC_Interventions!AQ20,IF(Company_PC_inputs!AQ20&lt;&gt;"",Company_PC_inputs!AQ20,""))</f>
        <v>0</v>
      </c>
      <c r="AR20" s="494" t="b">
        <f>IF(Ofwat_PC_Interventions!AR20&lt;&gt;"",Ofwat_PC_Interventions!AR20,IF(Company_PC_inputs!AR20&lt;&gt;"",Company_PC_inputs!AR20,""))</f>
        <v>0</v>
      </c>
      <c r="AS20" s="494" t="b">
        <f>IF(Ofwat_PC_Interventions!AS20&lt;&gt;"",Ofwat_PC_Interventions!AS20,IF(Company_PC_inputs!AS20&lt;&gt;"",Company_PC_inputs!AS20,""))</f>
        <v>0</v>
      </c>
      <c r="AT20" s="494" t="b">
        <f>IF(Ofwat_PC_Interventions!AT20&lt;&gt;"",Ofwat_PC_Interventions!AT20,IF(Company_PC_inputs!AT20&lt;&gt;"",Company_PC_inputs!AT20,""))</f>
        <v>0</v>
      </c>
      <c r="AU20" s="494" t="b">
        <f>IF(Ofwat_PC_Interventions!AU20&lt;&gt;"",Ofwat_PC_Interventions!AU20,IF(Company_PC_inputs!AU20&lt;&gt;"",Company_PC_inputs!AU20,""))</f>
        <v>0</v>
      </c>
      <c r="AV20" s="494" t="b">
        <f>IF(Ofwat_PC_Interventions!AV20&lt;&gt;"",Ofwat_PC_Interventions!AV20,IF(Company_PC_inputs!AV20&lt;&gt;"",Company_PC_inputs!AV20,""))</f>
        <v>0</v>
      </c>
      <c r="AW20" s="494" t="b">
        <f>IF(Ofwat_PC_Interventions!AW20&lt;&gt;"",Ofwat_PC_Interventions!AW20,IF(Company_PC_inputs!AW20&lt;&gt;"",Company_PC_inputs!AW20,""))</f>
        <v>0</v>
      </c>
      <c r="AX20" s="494" t="b">
        <f>IF(Ofwat_PC_Interventions!AX20&lt;&gt;"",Ofwat_PC_Interventions!AX20,IF(Company_PC_inputs!AX20&lt;&gt;"",Company_PC_inputs!AX20,""))</f>
        <v>0</v>
      </c>
      <c r="AY20" s="494" t="b">
        <f>IF(Ofwat_PC_Interventions!AY20&lt;&gt;"",Ofwat_PC_Interventions!AY20,IF(Company_PC_inputs!AY20&lt;&gt;"",Company_PC_inputs!AY20,""))</f>
        <v>0</v>
      </c>
      <c r="AZ20" s="494" t="b">
        <f>IF(Ofwat_PC_Interventions!AZ20&lt;&gt;"",Ofwat_PC_Interventions!AZ20,IF(Company_PC_inputs!AZ20&lt;&gt;"",Company_PC_inputs!AZ20,""))</f>
        <v>0</v>
      </c>
      <c r="BA20" s="494" t="b">
        <f>IF(Ofwat_PC_Interventions!BA20&lt;&gt;"",Ofwat_PC_Interventions!BA20,IF(Company_PC_inputs!BA20&lt;&gt;"",Company_PC_inputs!BA20,""))</f>
        <v>0</v>
      </c>
      <c r="BB20" s="494" t="b">
        <f>IF(Ofwat_PC_Interventions!BB20&lt;&gt;"",Ofwat_PC_Interventions!BB20,IF(Company_PC_inputs!BB20&lt;&gt;"",Company_PC_inputs!BB20,""))</f>
        <v>0</v>
      </c>
      <c r="BC20" s="496" t="b">
        <f>IF(Ofwat_PC_Interventions!BC20&lt;&gt;"",Ofwat_PC_Interventions!BC20,IF(Company_PC_inputs!BC20&lt;&gt;"",Company_PC_inputs!BC20,""))</f>
        <v>0</v>
      </c>
      <c r="BD20" s="494" t="b">
        <f>IF(Ofwat_PC_Interventions!BD20&lt;&gt;"",Ofwat_PC_Interventions!BD20,IF(Company_PC_inputs!BD20&lt;&gt;"",Company_PC_inputs!BD20,""))</f>
        <v>0</v>
      </c>
      <c r="BE20" s="494" t="b">
        <f>IF(Ofwat_PC_Interventions!BE20&lt;&gt;"",Ofwat_PC_Interventions!BE20,IF(Company_PC_inputs!BE20&lt;&gt;"",Company_PC_inputs!BE20,""))</f>
        <v>0</v>
      </c>
      <c r="BF20" s="494" t="b">
        <f>IF(Ofwat_PC_Interventions!BF20&lt;&gt;"",Ofwat_PC_Interventions!BF20,IF(Company_PC_inputs!BF20&lt;&gt;"",Company_PC_inputs!BF20,""))</f>
        <v>0</v>
      </c>
      <c r="BG20" s="494" t="b">
        <f>IF(Ofwat_PC_Interventions!BG20&lt;&gt;"",Ofwat_PC_Interventions!BG20,IF(Company_PC_inputs!BG20&lt;&gt;"",Company_PC_inputs!BG20,""))</f>
        <v>0</v>
      </c>
      <c r="BH20" s="494" t="b">
        <f>IF(Ofwat_PC_Interventions!BH20&lt;&gt;"",Ofwat_PC_Interventions!BH20,IF(Company_PC_inputs!BH20&lt;&gt;"",Company_PC_inputs!BH20,""))</f>
        <v>0</v>
      </c>
      <c r="BI20" s="494" t="b">
        <f>IF(Ofwat_PC_Interventions!BI20&lt;&gt;"",Ofwat_PC_Interventions!BI20,IF(Company_PC_inputs!BI20&lt;&gt;"",Company_PC_inputs!BI20,""))</f>
        <v>0</v>
      </c>
      <c r="BJ20" s="494" t="b">
        <f>IF(Ofwat_PC_Interventions!BJ20&lt;&gt;"",Ofwat_PC_Interventions!BJ20,IF(Company_PC_inputs!BJ20&lt;&gt;"",Company_PC_inputs!BJ20,""))</f>
        <v>0</v>
      </c>
      <c r="BK20" s="494" t="b">
        <f>IF(Ofwat_PC_Interventions!BK20&lt;&gt;"",Ofwat_PC_Interventions!BK20,IF(Company_PC_inputs!BK20&lt;&gt;"",Company_PC_inputs!BK20,""))</f>
        <v>0</v>
      </c>
      <c r="BL20" s="494" t="b">
        <f>IF(Ofwat_PC_Interventions!BL20&lt;&gt;"",Ofwat_PC_Interventions!BL20,IF(Company_PC_inputs!BL20&lt;&gt;"",Company_PC_inputs!BL20,""))</f>
        <v>0</v>
      </c>
      <c r="BM20" s="494" t="b">
        <f>IF(Ofwat_PC_Interventions!BM20&lt;&gt;"",Ofwat_PC_Interventions!BM20,IF(Company_PC_inputs!BM20&lt;&gt;"",Company_PC_inputs!BM20,""))</f>
        <v>0</v>
      </c>
      <c r="BN20" s="494" t="b">
        <f>IF(Ofwat_PC_Interventions!BN20&lt;&gt;"",Ofwat_PC_Interventions!BN20,IF(Company_PC_inputs!BN20&lt;&gt;"",Company_PC_inputs!BN20,""))</f>
        <v>0</v>
      </c>
      <c r="BO20" s="494" t="b">
        <f>IF(Ofwat_PC_Interventions!BO20&lt;&gt;"",Ofwat_PC_Interventions!BO20,IF(Company_PC_inputs!BO20&lt;&gt;"",Company_PC_inputs!BO20,""))</f>
        <v>0</v>
      </c>
      <c r="BP20" s="494" t="b">
        <f>IF(Ofwat_PC_Interventions!BP20&lt;&gt;"",Ofwat_PC_Interventions!BP20,IF(Company_PC_inputs!BP20&lt;&gt;"",Company_PC_inputs!BP20,""))</f>
        <v>0</v>
      </c>
      <c r="BQ20" s="494" t="b">
        <f>IF(Ofwat_PC_Interventions!BQ20&lt;&gt;"",Ofwat_PC_Interventions!BQ20,IF(Company_PC_inputs!BQ20&lt;&gt;"",Company_PC_inputs!BQ20,""))</f>
        <v>0</v>
      </c>
      <c r="BR20" s="494" t="b">
        <f>IF(Ofwat_PC_Interventions!BR20&lt;&gt;"",Ofwat_PC_Interventions!BR20,IF(Company_PC_inputs!BR20&lt;&gt;"",Company_PC_inputs!BR20,""))</f>
        <v>0</v>
      </c>
      <c r="BS20" s="494" t="b">
        <f>IF(Ofwat_PC_Interventions!BS20&lt;&gt;"",Ofwat_PC_Interventions!BS20,IF(Company_PC_inputs!BS20&lt;&gt;"",Company_PC_inputs!BS20,""))</f>
        <v>0</v>
      </c>
    </row>
    <row r="21" spans="1:71" s="202" customFormat="1" ht="13.15">
      <c r="A21" s="453"/>
      <c r="B21" s="453"/>
      <c r="C21" s="453"/>
      <c r="D21" s="453"/>
      <c r="E21" s="453"/>
      <c r="F21" s="453"/>
      <c r="G21" s="453"/>
      <c r="H21" s="453"/>
      <c r="I21" s="453"/>
      <c r="J21" s="494" t="str">
        <f>IF(Ofwat_PC_Interventions!J21&lt;&gt;"",Ofwat_PC_Interventions!J21,IF(Company_PC_inputs!J21&lt;&gt;"",Company_PC_inputs!J21,""))</f>
        <v/>
      </c>
      <c r="K21" s="494" t="str">
        <f>IF(Ofwat_PC_Interventions!K21&lt;&gt;"",Ofwat_PC_Interventions!K21,IF(Company_PC_inputs!K21&lt;&gt;"",Company_PC_inputs!K21,""))</f>
        <v/>
      </c>
      <c r="L21" s="494" t="str">
        <f>IF(Ofwat_PC_Interventions!L21&lt;&gt;"",Ofwat_PC_Interventions!L21,IF(Company_PC_inputs!L21&lt;&gt;"",Company_PC_inputs!L21,""))</f>
        <v/>
      </c>
      <c r="M21" s="494" t="str">
        <f>IF(Ofwat_PC_Interventions!M21&lt;&gt;"",Ofwat_PC_Interventions!M21,IF(Company_PC_inputs!M21&lt;&gt;"",Company_PC_inputs!M21,""))</f>
        <v/>
      </c>
      <c r="N21" s="494" t="str">
        <f>IF(Ofwat_PC_Interventions!N21&lt;&gt;"",Ofwat_PC_Interventions!N21,IF(Company_PC_inputs!N21&lt;&gt;"",Company_PC_inputs!N21,""))</f>
        <v/>
      </c>
      <c r="O21" s="494" t="str">
        <f>IF(Ofwat_PC_Interventions!O21&lt;&gt;"",Ofwat_PC_Interventions!O21,IF(Company_PC_inputs!O21&lt;&gt;"",Company_PC_inputs!O21,""))</f>
        <v/>
      </c>
      <c r="P21" s="494" t="str">
        <f>IF(Ofwat_PC_Interventions!P21&lt;&gt;"",Ofwat_PC_Interventions!P21,IF(Company_PC_inputs!P21&lt;&gt;"",Company_PC_inputs!P21,""))</f>
        <v/>
      </c>
      <c r="Q21" s="496" t="str">
        <f>IF(Ofwat_PC_Interventions!Q21&lt;&gt;"",Ofwat_PC_Interventions!Q21,IF(Company_PC_inputs!Q21&lt;&gt;"",Company_PC_inputs!Q21,""))</f>
        <v/>
      </c>
      <c r="R21" s="494" t="str">
        <f>IF(Ofwat_PC_Interventions!R21&lt;&gt;"",Ofwat_PC_Interventions!R21,IF(Company_PC_inputs!R21&lt;&gt;"",Company_PC_inputs!R21,""))</f>
        <v/>
      </c>
      <c r="S21" s="494" t="str">
        <f>IF(Ofwat_PC_Interventions!S21&lt;&gt;"",Ofwat_PC_Interventions!S21,IF(Company_PC_inputs!S21&lt;&gt;"",Company_PC_inputs!S21,""))</f>
        <v/>
      </c>
      <c r="T21" s="494" t="str">
        <f>IF(Ofwat_PC_Interventions!T21&lt;&gt;"",Ofwat_PC_Interventions!T21,IF(Company_PC_inputs!T21&lt;&gt;"",Company_PC_inputs!T21,""))</f>
        <v/>
      </c>
      <c r="U21" s="494" t="str">
        <f>IF(Ofwat_PC_Interventions!U21&lt;&gt;"",Ofwat_PC_Interventions!U21,IF(Company_PC_inputs!U21&lt;&gt;"",Company_PC_inputs!U21,""))</f>
        <v/>
      </c>
      <c r="V21" s="494" t="str">
        <f>IF(Ofwat_PC_Interventions!V21&lt;&gt;"",Ofwat_PC_Interventions!V21,IF(Company_PC_inputs!V21&lt;&gt;"",Company_PC_inputs!V21,""))</f>
        <v/>
      </c>
      <c r="W21" s="494" t="str">
        <f>IF(Ofwat_PC_Interventions!W21&lt;&gt;"",Ofwat_PC_Interventions!W21,IF(Company_PC_inputs!W21&lt;&gt;"",Company_PC_inputs!W21,""))</f>
        <v/>
      </c>
      <c r="X21" s="494" t="str">
        <f>IF(Ofwat_PC_Interventions!X21&lt;&gt;"",Ofwat_PC_Interventions!X21,IF(Company_PC_inputs!X21&lt;&gt;"",Company_PC_inputs!X21,""))</f>
        <v/>
      </c>
      <c r="Y21" s="494" t="str">
        <f>IF(Ofwat_PC_Interventions!Y21&lt;&gt;"",Ofwat_PC_Interventions!Y21,IF(Company_PC_inputs!Y21&lt;&gt;"",Company_PC_inputs!Y21,""))</f>
        <v/>
      </c>
      <c r="Z21" s="494" t="str">
        <f>IF(Ofwat_PC_Interventions!Z21&lt;&gt;"",Ofwat_PC_Interventions!Z21,IF(Company_PC_inputs!Z21&lt;&gt;"",Company_PC_inputs!Z21,""))</f>
        <v/>
      </c>
      <c r="AA21" s="494" t="str">
        <f>IF(Ofwat_PC_Interventions!AA21&lt;&gt;"",Ofwat_PC_Interventions!AA21,IF(Company_PC_inputs!AA21&lt;&gt;"",Company_PC_inputs!AA21,""))</f>
        <v/>
      </c>
      <c r="AB21" s="494" t="str">
        <f>IF(Ofwat_PC_Interventions!AB21&lt;&gt;"",Ofwat_PC_Interventions!AB21,IF(Company_PC_inputs!AB21&lt;&gt;"",Company_PC_inputs!AB21,""))</f>
        <v/>
      </c>
      <c r="AC21" s="494" t="str">
        <f>IF(Ofwat_PC_Interventions!AC21&lt;&gt;"",Ofwat_PC_Interventions!AC21,IF(Company_PC_inputs!AC21&lt;&gt;"",Company_PC_inputs!AC21,""))</f>
        <v/>
      </c>
      <c r="AD21" s="494" t="str">
        <f>IF(Ofwat_PC_Interventions!AD21&lt;&gt;"",Ofwat_PC_Interventions!AD21,IF(Company_PC_inputs!AD21&lt;&gt;"",Company_PC_inputs!AD21,""))</f>
        <v/>
      </c>
      <c r="AE21" s="494" t="str">
        <f>IF(Ofwat_PC_Interventions!AE21&lt;&gt;"",Ofwat_PC_Interventions!AE21,IF(Company_PC_inputs!AE21&lt;&gt;"",Company_PC_inputs!AE21,""))</f>
        <v/>
      </c>
      <c r="AF21" s="494" t="str">
        <f>IF(Ofwat_PC_Interventions!AF21&lt;&gt;"",Ofwat_PC_Interventions!AF21,IF(Company_PC_inputs!AF21&lt;&gt;"",Company_PC_inputs!AF21,""))</f>
        <v/>
      </c>
      <c r="AG21" s="494" t="str">
        <f>IF(Ofwat_PC_Interventions!AG21&lt;&gt;"",Ofwat_PC_Interventions!AG21,IF(Company_PC_inputs!AG21&lt;&gt;"",Company_PC_inputs!AG21,""))</f>
        <v/>
      </c>
      <c r="AH21" s="494" t="str">
        <f>IF(Ofwat_PC_Interventions!AH21&lt;&gt;"",Ofwat_PC_Interventions!AH21,IF(Company_PC_inputs!AH21&lt;&gt;"",Company_PC_inputs!AH21,""))</f>
        <v/>
      </c>
      <c r="AI21" s="494" t="str">
        <f>IF(Ofwat_PC_Interventions!AI21&lt;&gt;"",Ofwat_PC_Interventions!AI21,IF(Company_PC_inputs!AI21&lt;&gt;"",Company_PC_inputs!AI21,""))</f>
        <v/>
      </c>
      <c r="AJ21" s="494" t="str">
        <f>IF(Ofwat_PC_Interventions!AJ21&lt;&gt;"",Ofwat_PC_Interventions!AJ21,IF(Company_PC_inputs!AJ21&lt;&gt;"",Company_PC_inputs!AJ21,""))</f>
        <v/>
      </c>
      <c r="AK21" s="496" t="str">
        <f>IF(Ofwat_PC_Interventions!AK21&lt;&gt;"",Ofwat_PC_Interventions!AK21,IF(Company_PC_inputs!AK21&lt;&gt;"",Company_PC_inputs!AK21,""))</f>
        <v/>
      </c>
      <c r="AL21" s="494" t="str">
        <f>IF(Ofwat_PC_Interventions!AL21&lt;&gt;"",Ofwat_PC_Interventions!AL21,IF(Company_PC_inputs!AL21&lt;&gt;"",Company_PC_inputs!AL21,""))</f>
        <v/>
      </c>
      <c r="AM21" s="494" t="str">
        <f>IF(Ofwat_PC_Interventions!AM21&lt;&gt;"",Ofwat_PC_Interventions!AM21,IF(Company_PC_inputs!AM21&lt;&gt;"",Company_PC_inputs!AM21,""))</f>
        <v/>
      </c>
      <c r="AN21" s="494" t="str">
        <f>IF(Ofwat_PC_Interventions!AN21&lt;&gt;"",Ofwat_PC_Interventions!AN21,IF(Company_PC_inputs!AN21&lt;&gt;"",Company_PC_inputs!AN21,""))</f>
        <v/>
      </c>
      <c r="AO21" s="496" t="str">
        <f>IF(Ofwat_PC_Interventions!AO21&lt;&gt;"",Ofwat_PC_Interventions!AO21,IF(Company_PC_inputs!AO21&lt;&gt;"",Company_PC_inputs!AO21,""))</f>
        <v/>
      </c>
      <c r="AP21" s="494" t="str">
        <f>IF(Ofwat_PC_Interventions!AP21&lt;&gt;"",Ofwat_PC_Interventions!AP21,IF(Company_PC_inputs!AP21&lt;&gt;"",Company_PC_inputs!AP21,""))</f>
        <v/>
      </c>
      <c r="AQ21" s="494" t="str">
        <f>IF(Ofwat_PC_Interventions!AQ21&lt;&gt;"",Ofwat_PC_Interventions!AQ21,IF(Company_PC_inputs!AQ21&lt;&gt;"",Company_PC_inputs!AQ21,""))</f>
        <v/>
      </c>
      <c r="AR21" s="494" t="str">
        <f>IF(Ofwat_PC_Interventions!AR21&lt;&gt;"",Ofwat_PC_Interventions!AR21,IF(Company_PC_inputs!AR21&lt;&gt;"",Company_PC_inputs!AR21,""))</f>
        <v/>
      </c>
      <c r="AS21" s="494" t="str">
        <f>IF(Ofwat_PC_Interventions!AS21&lt;&gt;"",Ofwat_PC_Interventions!AS21,IF(Company_PC_inputs!AS21&lt;&gt;"",Company_PC_inputs!AS21,""))</f>
        <v/>
      </c>
      <c r="AT21" s="494" t="str">
        <f>IF(Ofwat_PC_Interventions!AT21&lt;&gt;"",Ofwat_PC_Interventions!AT21,IF(Company_PC_inputs!AT21&lt;&gt;"",Company_PC_inputs!AT21,""))</f>
        <v/>
      </c>
      <c r="AU21" s="494" t="str">
        <f>IF(Ofwat_PC_Interventions!AU21&lt;&gt;"",Ofwat_PC_Interventions!AU21,IF(Company_PC_inputs!AU21&lt;&gt;"",Company_PC_inputs!AU21,""))</f>
        <v/>
      </c>
      <c r="AV21" s="494" t="str">
        <f>IF(Ofwat_PC_Interventions!AV21&lt;&gt;"",Ofwat_PC_Interventions!AV21,IF(Company_PC_inputs!AV21&lt;&gt;"",Company_PC_inputs!AV21,""))</f>
        <v/>
      </c>
      <c r="AW21" s="494" t="str">
        <f>IF(Ofwat_PC_Interventions!AW21&lt;&gt;"",Ofwat_PC_Interventions!AW21,IF(Company_PC_inputs!AW21&lt;&gt;"",Company_PC_inputs!AW21,""))</f>
        <v/>
      </c>
      <c r="AX21" s="494" t="str">
        <f>IF(Ofwat_PC_Interventions!AX21&lt;&gt;"",Ofwat_PC_Interventions!AX21,IF(Company_PC_inputs!AX21&lt;&gt;"",Company_PC_inputs!AX21,""))</f>
        <v/>
      </c>
      <c r="AY21" s="494" t="str">
        <f>IF(Ofwat_PC_Interventions!AY21&lt;&gt;"",Ofwat_PC_Interventions!AY21,IF(Company_PC_inputs!AY21&lt;&gt;"",Company_PC_inputs!AY21,""))</f>
        <v/>
      </c>
      <c r="AZ21" s="494" t="str">
        <f>IF(Ofwat_PC_Interventions!AZ21&lt;&gt;"",Ofwat_PC_Interventions!AZ21,IF(Company_PC_inputs!AZ21&lt;&gt;"",Company_PC_inputs!AZ21,""))</f>
        <v/>
      </c>
      <c r="BA21" s="494" t="str">
        <f>IF(Ofwat_PC_Interventions!BA21&lt;&gt;"",Ofwat_PC_Interventions!BA21,IF(Company_PC_inputs!BA21&lt;&gt;"",Company_PC_inputs!BA21,""))</f>
        <v/>
      </c>
      <c r="BB21" s="494" t="str">
        <f>IF(Ofwat_PC_Interventions!BB21&lt;&gt;"",Ofwat_PC_Interventions!BB21,IF(Company_PC_inputs!BB21&lt;&gt;"",Company_PC_inputs!BB21,""))</f>
        <v/>
      </c>
      <c r="BC21" s="496" t="str">
        <f>IF(Ofwat_PC_Interventions!BC21&lt;&gt;"",Ofwat_PC_Interventions!BC21,IF(Company_PC_inputs!BC21&lt;&gt;"",Company_PC_inputs!BC21,""))</f>
        <v/>
      </c>
      <c r="BD21" s="494" t="str">
        <f>IF(Ofwat_PC_Interventions!BD21&lt;&gt;"",Ofwat_PC_Interventions!BD21,IF(Company_PC_inputs!BD21&lt;&gt;"",Company_PC_inputs!BD21,""))</f>
        <v/>
      </c>
      <c r="BE21" s="494" t="str">
        <f>IF(Ofwat_PC_Interventions!BE21&lt;&gt;"",Ofwat_PC_Interventions!BE21,IF(Company_PC_inputs!BE21&lt;&gt;"",Company_PC_inputs!BE21,""))</f>
        <v/>
      </c>
      <c r="BF21" s="494" t="str">
        <f>IF(Ofwat_PC_Interventions!BF21&lt;&gt;"",Ofwat_PC_Interventions!BF21,IF(Company_PC_inputs!BF21&lt;&gt;"",Company_PC_inputs!BF21,""))</f>
        <v/>
      </c>
      <c r="BG21" s="494" t="str">
        <f>IF(Ofwat_PC_Interventions!BG21&lt;&gt;"",Ofwat_PC_Interventions!BG21,IF(Company_PC_inputs!BG21&lt;&gt;"",Company_PC_inputs!BG21,""))</f>
        <v/>
      </c>
      <c r="BH21" s="494" t="str">
        <f>IF(Ofwat_PC_Interventions!BH21&lt;&gt;"",Ofwat_PC_Interventions!BH21,IF(Company_PC_inputs!BH21&lt;&gt;"",Company_PC_inputs!BH21,""))</f>
        <v/>
      </c>
      <c r="BI21" s="494" t="str">
        <f>IF(Ofwat_PC_Interventions!BI21&lt;&gt;"",Ofwat_PC_Interventions!BI21,IF(Company_PC_inputs!BI21&lt;&gt;"",Company_PC_inputs!BI21,""))</f>
        <v/>
      </c>
      <c r="BJ21" s="494" t="str">
        <f>IF(Ofwat_PC_Interventions!BJ21&lt;&gt;"",Ofwat_PC_Interventions!BJ21,IF(Company_PC_inputs!BJ21&lt;&gt;"",Company_PC_inputs!BJ21,""))</f>
        <v/>
      </c>
      <c r="BK21" s="494" t="str">
        <f>IF(Ofwat_PC_Interventions!BK21&lt;&gt;"",Ofwat_PC_Interventions!BK21,IF(Company_PC_inputs!BK21&lt;&gt;"",Company_PC_inputs!BK21,""))</f>
        <v/>
      </c>
      <c r="BL21" s="494" t="str">
        <f>IF(Ofwat_PC_Interventions!BL21&lt;&gt;"",Ofwat_PC_Interventions!BL21,IF(Company_PC_inputs!BL21&lt;&gt;"",Company_PC_inputs!BL21,""))</f>
        <v/>
      </c>
      <c r="BM21" s="494" t="str">
        <f>IF(Ofwat_PC_Interventions!BM21&lt;&gt;"",Ofwat_PC_Interventions!BM21,IF(Company_PC_inputs!BM21&lt;&gt;"",Company_PC_inputs!BM21,""))</f>
        <v/>
      </c>
      <c r="BN21" s="494" t="str">
        <f>IF(Ofwat_PC_Interventions!BN21&lt;&gt;"",Ofwat_PC_Interventions!BN21,IF(Company_PC_inputs!BN21&lt;&gt;"",Company_PC_inputs!BN21,""))</f>
        <v/>
      </c>
      <c r="BO21" s="494" t="str">
        <f>IF(Ofwat_PC_Interventions!BO21&lt;&gt;"",Ofwat_PC_Interventions!BO21,IF(Company_PC_inputs!BO21&lt;&gt;"",Company_PC_inputs!BO21,""))</f>
        <v/>
      </c>
      <c r="BP21" s="494" t="str">
        <f>IF(Ofwat_PC_Interventions!BP21&lt;&gt;"",Ofwat_PC_Interventions!BP21,IF(Company_PC_inputs!BP21&lt;&gt;"",Company_PC_inputs!BP21,""))</f>
        <v/>
      </c>
      <c r="BQ21" s="494" t="str">
        <f>IF(Ofwat_PC_Interventions!BQ21&lt;&gt;"",Ofwat_PC_Interventions!BQ21,IF(Company_PC_inputs!BQ21&lt;&gt;"",Company_PC_inputs!BQ21,""))</f>
        <v/>
      </c>
      <c r="BR21" s="494" t="str">
        <f>IF(Ofwat_PC_Interventions!BR21&lt;&gt;"",Ofwat_PC_Interventions!BR21,IF(Company_PC_inputs!BR21&lt;&gt;"",Company_PC_inputs!BR21,""))</f>
        <v/>
      </c>
      <c r="BS21" s="494" t="str">
        <f>IF(Ofwat_PC_Interventions!BS21&lt;&gt;"",Ofwat_PC_Interventions!BS21,IF(Company_PC_inputs!BS21&lt;&gt;"",Company_PC_inputs!BS21,""))</f>
        <v/>
      </c>
    </row>
    <row r="22" spans="1:71" s="202" customFormat="1" ht="13.15">
      <c r="A22" s="453"/>
      <c r="B22" s="453"/>
      <c r="C22" s="453"/>
      <c r="D22" s="463" t="s">
        <v>1167</v>
      </c>
      <c r="E22" s="453"/>
      <c r="F22" s="453"/>
      <c r="G22" s="453"/>
      <c r="H22" s="453"/>
      <c r="I22" s="453"/>
      <c r="J22" s="490" t="str">
        <f>IF(Ofwat_PC_Interventions!J22&lt;&gt;"",Ofwat_PC_Interventions!J22,IF(Company_PC_inputs!J22&lt;&gt;"",Company_PC_inputs!J22,""))</f>
        <v/>
      </c>
      <c r="K22" s="490" t="str">
        <f>IF(Ofwat_PC_Interventions!K22&lt;&gt;"",Ofwat_PC_Interventions!K22,IF(Company_PC_inputs!K22&lt;&gt;"",Company_PC_inputs!K22,""))</f>
        <v/>
      </c>
      <c r="L22" s="490" t="str">
        <f>IF(Ofwat_PC_Interventions!L22&lt;&gt;"",Ofwat_PC_Interventions!L22,IF(Company_PC_inputs!L22&lt;&gt;"",Company_PC_inputs!L22,""))</f>
        <v/>
      </c>
      <c r="M22" s="490" t="str">
        <f>IF(Ofwat_PC_Interventions!M22&lt;&gt;"",Ofwat_PC_Interventions!M22,IF(Company_PC_inputs!M22&lt;&gt;"",Company_PC_inputs!M22,""))</f>
        <v/>
      </c>
      <c r="N22" s="490" t="str">
        <f>IF(Ofwat_PC_Interventions!N22&lt;&gt;"",Ofwat_PC_Interventions!N22,IF(Company_PC_inputs!N22&lt;&gt;"",Company_PC_inputs!N22,""))</f>
        <v/>
      </c>
      <c r="O22" s="490" t="str">
        <f>IF(Ofwat_PC_Interventions!O22&lt;&gt;"",Ofwat_PC_Interventions!O22,IF(Company_PC_inputs!O22&lt;&gt;"",Company_PC_inputs!O22,""))</f>
        <v/>
      </c>
      <c r="P22" s="490" t="str">
        <f>IF(Ofwat_PC_Interventions!P22&lt;&gt;"",Ofwat_PC_Interventions!P22,IF(Company_PC_inputs!P22&lt;&gt;"",Company_PC_inputs!P22,""))</f>
        <v/>
      </c>
      <c r="Q22" s="491" t="str">
        <f>IF(Ofwat_PC_Interventions!Q22&lt;&gt;"",Ofwat_PC_Interventions!Q22,IF(Company_PC_inputs!Q22&lt;&gt;"",Company_PC_inputs!Q22,""))</f>
        <v/>
      </c>
      <c r="R22" s="490" t="str">
        <f>IF(Ofwat_PC_Interventions!R22&lt;&gt;"",Ofwat_PC_Interventions!R22,IF(Company_PC_inputs!R22&lt;&gt;"",Company_PC_inputs!R22,""))</f>
        <v/>
      </c>
      <c r="S22" s="490" t="str">
        <f>IF(Ofwat_PC_Interventions!S22&lt;&gt;"",Ofwat_PC_Interventions!S22,IF(Company_PC_inputs!S22&lt;&gt;"",Company_PC_inputs!S22,""))</f>
        <v/>
      </c>
      <c r="T22" s="490" t="str">
        <f>IF(Ofwat_PC_Interventions!T22&lt;&gt;"",Ofwat_PC_Interventions!T22,IF(Company_PC_inputs!T22&lt;&gt;"",Company_PC_inputs!T22,""))</f>
        <v/>
      </c>
      <c r="U22" s="490" t="str">
        <f>IF(Ofwat_PC_Interventions!U22&lt;&gt;"",Ofwat_PC_Interventions!U22,IF(Company_PC_inputs!U22&lt;&gt;"",Company_PC_inputs!U22,""))</f>
        <v/>
      </c>
      <c r="V22" s="490" t="str">
        <f>IF(Ofwat_PC_Interventions!V22&lt;&gt;"",Ofwat_PC_Interventions!V22,IF(Company_PC_inputs!V22&lt;&gt;"",Company_PC_inputs!V22,""))</f>
        <v/>
      </c>
      <c r="W22" s="490" t="str">
        <f>IF(Ofwat_PC_Interventions!W22&lt;&gt;"",Ofwat_PC_Interventions!W22,IF(Company_PC_inputs!W22&lt;&gt;"",Company_PC_inputs!W22,""))</f>
        <v/>
      </c>
      <c r="X22" s="490" t="str">
        <f>IF(Ofwat_PC_Interventions!X22&lt;&gt;"",Ofwat_PC_Interventions!X22,IF(Company_PC_inputs!X22&lt;&gt;"",Company_PC_inputs!X22,""))</f>
        <v/>
      </c>
      <c r="Y22" s="490" t="str">
        <f>IF(Ofwat_PC_Interventions!Y22&lt;&gt;"",Ofwat_PC_Interventions!Y22,IF(Company_PC_inputs!Y22&lt;&gt;"",Company_PC_inputs!Y22,""))</f>
        <v/>
      </c>
      <c r="Z22" s="490" t="str">
        <f>IF(Ofwat_PC_Interventions!Z22&lt;&gt;"",Ofwat_PC_Interventions!Z22,IF(Company_PC_inputs!Z22&lt;&gt;"",Company_PC_inputs!Z22,""))</f>
        <v/>
      </c>
      <c r="AA22" s="490" t="str">
        <f>IF(Ofwat_PC_Interventions!AA22&lt;&gt;"",Ofwat_PC_Interventions!AA22,IF(Company_PC_inputs!AA22&lt;&gt;"",Company_PC_inputs!AA22,""))</f>
        <v/>
      </c>
      <c r="AB22" s="490" t="str">
        <f>IF(Ofwat_PC_Interventions!AB22&lt;&gt;"",Ofwat_PC_Interventions!AB22,IF(Company_PC_inputs!AB22&lt;&gt;"",Company_PC_inputs!AB22,""))</f>
        <v/>
      </c>
      <c r="AC22" s="490" t="str">
        <f>IF(Ofwat_PC_Interventions!AC22&lt;&gt;"",Ofwat_PC_Interventions!AC22,IF(Company_PC_inputs!AC22&lt;&gt;"",Company_PC_inputs!AC22,""))</f>
        <v/>
      </c>
      <c r="AD22" s="490" t="str">
        <f>IF(Ofwat_PC_Interventions!AD22&lt;&gt;"",Ofwat_PC_Interventions!AD22,IF(Company_PC_inputs!AD22&lt;&gt;"",Company_PC_inputs!AD22,""))</f>
        <v/>
      </c>
      <c r="AE22" s="490" t="str">
        <f>IF(Ofwat_PC_Interventions!AE22&lt;&gt;"",Ofwat_PC_Interventions!AE22,IF(Company_PC_inputs!AE22&lt;&gt;"",Company_PC_inputs!AE22,""))</f>
        <v/>
      </c>
      <c r="AF22" s="490" t="str">
        <f>IF(Ofwat_PC_Interventions!AF22&lt;&gt;"",Ofwat_PC_Interventions!AF22,IF(Company_PC_inputs!AF22&lt;&gt;"",Company_PC_inputs!AF22,""))</f>
        <v/>
      </c>
      <c r="AG22" s="490" t="str">
        <f>IF(Ofwat_PC_Interventions!AG22&lt;&gt;"",Ofwat_PC_Interventions!AG22,IF(Company_PC_inputs!AG22&lt;&gt;"",Company_PC_inputs!AG22,""))</f>
        <v/>
      </c>
      <c r="AH22" s="490" t="str">
        <f>IF(Ofwat_PC_Interventions!AH22&lt;&gt;"",Ofwat_PC_Interventions!AH22,IF(Company_PC_inputs!AH22&lt;&gt;"",Company_PC_inputs!AH22,""))</f>
        <v/>
      </c>
      <c r="AI22" s="490" t="str">
        <f>IF(Ofwat_PC_Interventions!AI22&lt;&gt;"",Ofwat_PC_Interventions!AI22,IF(Company_PC_inputs!AI22&lt;&gt;"",Company_PC_inputs!AI22,""))</f>
        <v/>
      </c>
      <c r="AJ22" s="490" t="str">
        <f>IF(Ofwat_PC_Interventions!AJ22&lt;&gt;"",Ofwat_PC_Interventions!AJ22,IF(Company_PC_inputs!AJ22&lt;&gt;"",Company_PC_inputs!AJ22,""))</f>
        <v/>
      </c>
      <c r="AK22" s="491" t="str">
        <f>IF(Ofwat_PC_Interventions!AK22&lt;&gt;"",Ofwat_PC_Interventions!AK22,IF(Company_PC_inputs!AK22&lt;&gt;"",Company_PC_inputs!AK22,""))</f>
        <v/>
      </c>
      <c r="AL22" s="490" t="str">
        <f>IF(Ofwat_PC_Interventions!AL22&lt;&gt;"",Ofwat_PC_Interventions!AL22,IF(Company_PC_inputs!AL22&lt;&gt;"",Company_PC_inputs!AL22,""))</f>
        <v/>
      </c>
      <c r="AM22" s="490" t="str">
        <f>IF(Ofwat_PC_Interventions!AM22&lt;&gt;"",Ofwat_PC_Interventions!AM22,IF(Company_PC_inputs!AM22&lt;&gt;"",Company_PC_inputs!AM22,""))</f>
        <v/>
      </c>
      <c r="AN22" s="490" t="str">
        <f>IF(Ofwat_PC_Interventions!AN22&lt;&gt;"",Ofwat_PC_Interventions!AN22,IF(Company_PC_inputs!AN22&lt;&gt;"",Company_PC_inputs!AN22,""))</f>
        <v/>
      </c>
      <c r="AO22" s="491" t="str">
        <f>IF(Ofwat_PC_Interventions!AO22&lt;&gt;"",Ofwat_PC_Interventions!AO22,IF(Company_PC_inputs!AO22&lt;&gt;"",Company_PC_inputs!AO22,""))</f>
        <v/>
      </c>
      <c r="AP22" s="490" t="str">
        <f>IF(Ofwat_PC_Interventions!AP22&lt;&gt;"",Ofwat_PC_Interventions!AP22,IF(Company_PC_inputs!AP22&lt;&gt;"",Company_PC_inputs!AP22,""))</f>
        <v/>
      </c>
      <c r="AQ22" s="490" t="str">
        <f>IF(Ofwat_PC_Interventions!AQ22&lt;&gt;"",Ofwat_PC_Interventions!AQ22,IF(Company_PC_inputs!AQ22&lt;&gt;"",Company_PC_inputs!AQ22,""))</f>
        <v/>
      </c>
      <c r="AR22" s="490" t="str">
        <f>IF(Ofwat_PC_Interventions!AR22&lt;&gt;"",Ofwat_PC_Interventions!AR22,IF(Company_PC_inputs!AR22&lt;&gt;"",Company_PC_inputs!AR22,""))</f>
        <v/>
      </c>
      <c r="AS22" s="490" t="str">
        <f>IF(Ofwat_PC_Interventions!AS22&lt;&gt;"",Ofwat_PC_Interventions!AS22,IF(Company_PC_inputs!AS22&lt;&gt;"",Company_PC_inputs!AS22,""))</f>
        <v/>
      </c>
      <c r="AT22" s="490" t="str">
        <f>IF(Ofwat_PC_Interventions!AT22&lt;&gt;"",Ofwat_PC_Interventions!AT22,IF(Company_PC_inputs!AT22&lt;&gt;"",Company_PC_inputs!AT22,""))</f>
        <v/>
      </c>
      <c r="AU22" s="490" t="str">
        <f>IF(Ofwat_PC_Interventions!AU22&lt;&gt;"",Ofwat_PC_Interventions!AU22,IF(Company_PC_inputs!AU22&lt;&gt;"",Company_PC_inputs!AU22,""))</f>
        <v/>
      </c>
      <c r="AV22" s="490" t="str">
        <f>IF(Ofwat_PC_Interventions!AV22&lt;&gt;"",Ofwat_PC_Interventions!AV22,IF(Company_PC_inputs!AV22&lt;&gt;"",Company_PC_inputs!AV22,""))</f>
        <v/>
      </c>
      <c r="AW22" s="490" t="str">
        <f>IF(Ofwat_PC_Interventions!AW22&lt;&gt;"",Ofwat_PC_Interventions!AW22,IF(Company_PC_inputs!AW22&lt;&gt;"",Company_PC_inputs!AW22,""))</f>
        <v/>
      </c>
      <c r="AX22" s="490" t="str">
        <f>IF(Ofwat_PC_Interventions!AX22&lt;&gt;"",Ofwat_PC_Interventions!AX22,IF(Company_PC_inputs!AX22&lt;&gt;"",Company_PC_inputs!AX22,""))</f>
        <v/>
      </c>
      <c r="AY22" s="490" t="str">
        <f>IF(Ofwat_PC_Interventions!AY22&lt;&gt;"",Ofwat_PC_Interventions!AY22,IF(Company_PC_inputs!AY22&lt;&gt;"",Company_PC_inputs!AY22,""))</f>
        <v/>
      </c>
      <c r="AZ22" s="490" t="str">
        <f>IF(Ofwat_PC_Interventions!AZ22&lt;&gt;"",Ofwat_PC_Interventions!AZ22,IF(Company_PC_inputs!AZ22&lt;&gt;"",Company_PC_inputs!AZ22,""))</f>
        <v/>
      </c>
      <c r="BA22" s="490" t="str">
        <f>IF(Ofwat_PC_Interventions!BA22&lt;&gt;"",Ofwat_PC_Interventions!BA22,IF(Company_PC_inputs!BA22&lt;&gt;"",Company_PC_inputs!BA22,""))</f>
        <v/>
      </c>
      <c r="BB22" s="490" t="str">
        <f>IF(Ofwat_PC_Interventions!BB22&lt;&gt;"",Ofwat_PC_Interventions!BB22,IF(Company_PC_inputs!BB22&lt;&gt;"",Company_PC_inputs!BB22,""))</f>
        <v/>
      </c>
      <c r="BC22" s="491" t="str">
        <f>IF(Ofwat_PC_Interventions!BC22&lt;&gt;"",Ofwat_PC_Interventions!BC22,IF(Company_PC_inputs!BC22&lt;&gt;"",Company_PC_inputs!BC22,""))</f>
        <v/>
      </c>
      <c r="BD22" s="490" t="str">
        <f>IF(Ofwat_PC_Interventions!BD22&lt;&gt;"",Ofwat_PC_Interventions!BD22,IF(Company_PC_inputs!BD22&lt;&gt;"",Company_PC_inputs!BD22,""))</f>
        <v/>
      </c>
      <c r="BE22" s="490" t="str">
        <f>IF(Ofwat_PC_Interventions!BE22&lt;&gt;"",Ofwat_PC_Interventions!BE22,IF(Company_PC_inputs!BE22&lt;&gt;"",Company_PC_inputs!BE22,""))</f>
        <v/>
      </c>
      <c r="BF22" s="490" t="str">
        <f>IF(Ofwat_PC_Interventions!BF22&lt;&gt;"",Ofwat_PC_Interventions!BF22,IF(Company_PC_inputs!BF22&lt;&gt;"",Company_PC_inputs!BF22,""))</f>
        <v/>
      </c>
      <c r="BG22" s="490" t="str">
        <f>IF(Ofwat_PC_Interventions!BG22&lt;&gt;"",Ofwat_PC_Interventions!BG22,IF(Company_PC_inputs!BG22&lt;&gt;"",Company_PC_inputs!BG22,""))</f>
        <v/>
      </c>
      <c r="BH22" s="490" t="str">
        <f>IF(Ofwat_PC_Interventions!BH22&lt;&gt;"",Ofwat_PC_Interventions!BH22,IF(Company_PC_inputs!BH22&lt;&gt;"",Company_PC_inputs!BH22,""))</f>
        <v/>
      </c>
      <c r="BI22" s="490" t="str">
        <f>IF(Ofwat_PC_Interventions!BI22&lt;&gt;"",Ofwat_PC_Interventions!BI22,IF(Company_PC_inputs!BI22&lt;&gt;"",Company_PC_inputs!BI22,""))</f>
        <v/>
      </c>
      <c r="BJ22" s="490" t="str">
        <f>IF(Ofwat_PC_Interventions!BJ22&lt;&gt;"",Ofwat_PC_Interventions!BJ22,IF(Company_PC_inputs!BJ22&lt;&gt;"",Company_PC_inputs!BJ22,""))</f>
        <v/>
      </c>
      <c r="BK22" s="490" t="str">
        <f>IF(Ofwat_PC_Interventions!BK22&lt;&gt;"",Ofwat_PC_Interventions!BK22,IF(Company_PC_inputs!BK22&lt;&gt;"",Company_PC_inputs!BK22,""))</f>
        <v/>
      </c>
      <c r="BL22" s="490" t="str">
        <f>IF(Ofwat_PC_Interventions!BL22&lt;&gt;"",Ofwat_PC_Interventions!BL22,IF(Company_PC_inputs!BL22&lt;&gt;"",Company_PC_inputs!BL22,""))</f>
        <v/>
      </c>
      <c r="BM22" s="490" t="str">
        <f>IF(Ofwat_PC_Interventions!BM22&lt;&gt;"",Ofwat_PC_Interventions!BM22,IF(Company_PC_inputs!BM22&lt;&gt;"",Company_PC_inputs!BM22,""))</f>
        <v/>
      </c>
      <c r="BN22" s="490" t="str">
        <f>IF(Ofwat_PC_Interventions!BN22&lt;&gt;"",Ofwat_PC_Interventions!BN22,IF(Company_PC_inputs!BN22&lt;&gt;"",Company_PC_inputs!BN22,""))</f>
        <v/>
      </c>
      <c r="BO22" s="490" t="str">
        <f>IF(Ofwat_PC_Interventions!BO22&lt;&gt;"",Ofwat_PC_Interventions!BO22,IF(Company_PC_inputs!BO22&lt;&gt;"",Company_PC_inputs!BO22,""))</f>
        <v/>
      </c>
      <c r="BP22" s="490" t="str">
        <f>IF(Ofwat_PC_Interventions!BP22&lt;&gt;"",Ofwat_PC_Interventions!BP22,IF(Company_PC_inputs!BP22&lt;&gt;"",Company_PC_inputs!BP22,""))</f>
        <v/>
      </c>
      <c r="BQ22" s="490" t="str">
        <f>IF(Ofwat_PC_Interventions!BQ22&lt;&gt;"",Ofwat_PC_Interventions!BQ22,IF(Company_PC_inputs!BQ22&lt;&gt;"",Company_PC_inputs!BQ22,""))</f>
        <v/>
      </c>
      <c r="BR22" s="490" t="str">
        <f>IF(Ofwat_PC_Interventions!BR22&lt;&gt;"",Ofwat_PC_Interventions!BR22,IF(Company_PC_inputs!BR22&lt;&gt;"",Company_PC_inputs!BR22,""))</f>
        <v/>
      </c>
      <c r="BS22" s="490" t="str">
        <f>IF(Ofwat_PC_Interventions!BS22&lt;&gt;"",Ofwat_PC_Interventions!BS22,IF(Company_PC_inputs!BS22&lt;&gt;"",Company_PC_inputs!BS22,""))</f>
        <v/>
      </c>
    </row>
    <row r="23" spans="1:71" s="202" customFormat="1" ht="13.15">
      <c r="A23" s="453"/>
      <c r="B23" s="453"/>
      <c r="C23" s="453"/>
      <c r="D23" s="453"/>
      <c r="E23" s="453" t="s">
        <v>1168</v>
      </c>
      <c r="F23" s="453"/>
      <c r="G23" s="453" t="str">
        <f>InpCompany!$F$11</f>
        <v>£m (2017-18 prices)</v>
      </c>
      <c r="H23" s="453"/>
      <c r="I23" s="453"/>
      <c r="J23" s="490" t="str">
        <f>IF(Ofwat_PC_Interventions!J23&lt;&gt;"",Ofwat_PC_Interventions!J23,IF(Company_PC_inputs!J23&lt;&gt;"",Company_PC_inputs!J23,""))</f>
        <v/>
      </c>
      <c r="K23" s="490" t="str">
        <f>IF(Ofwat_PC_Interventions!K23&lt;&gt;"",Ofwat_PC_Interventions!K23,IF(Company_PC_inputs!K23&lt;&gt;"",Company_PC_inputs!K23,""))</f>
        <v/>
      </c>
      <c r="L23" s="490" t="str">
        <f>IF(Ofwat_PC_Interventions!L23&lt;&gt;"",Ofwat_PC_Interventions!L23,IF(Company_PC_inputs!L23&lt;&gt;"",Company_PC_inputs!L23,""))</f>
        <v/>
      </c>
      <c r="M23" s="490" t="str">
        <f>IF(Ofwat_PC_Interventions!M23&lt;&gt;"",Ofwat_PC_Interventions!M23,IF(Company_PC_inputs!M23&lt;&gt;"",Company_PC_inputs!M23,""))</f>
        <v/>
      </c>
      <c r="N23" s="490" t="str">
        <f>IF(Ofwat_PC_Interventions!N23&lt;&gt;"",Ofwat_PC_Interventions!N23,IF(Company_PC_inputs!N23&lt;&gt;"",Company_PC_inputs!N23,""))</f>
        <v/>
      </c>
      <c r="O23" s="490" t="str">
        <f>IF(Ofwat_PC_Interventions!O23&lt;&gt;"",Ofwat_PC_Interventions!O23,IF(Company_PC_inputs!O23&lt;&gt;"",Company_PC_inputs!O23,""))</f>
        <v/>
      </c>
      <c r="P23" s="490" t="str">
        <f>IF(Ofwat_PC_Interventions!P23&lt;&gt;"",Ofwat_PC_Interventions!P23,IF(Company_PC_inputs!P23&lt;&gt;"",Company_PC_inputs!P23,""))</f>
        <v/>
      </c>
      <c r="Q23" s="491" t="str">
        <f>IF(Ofwat_PC_Interventions!Q23&lt;&gt;"",Ofwat_PC_Interventions!Q23,IF(Company_PC_inputs!Q23&lt;&gt;"",Company_PC_inputs!Q23,""))</f>
        <v/>
      </c>
      <c r="R23" s="490" t="str">
        <f>IF(Ofwat_PC_Interventions!R23&lt;&gt;"",Ofwat_PC_Interventions!R23,IF(Company_PC_inputs!R23&lt;&gt;"",Company_PC_inputs!R23,""))</f>
        <v/>
      </c>
      <c r="S23" s="490" t="str">
        <f>IF(Ofwat_PC_Interventions!S23&lt;&gt;"",Ofwat_PC_Interventions!S23,IF(Company_PC_inputs!S23&lt;&gt;"",Company_PC_inputs!S23,""))</f>
        <v/>
      </c>
      <c r="T23" s="490" t="str">
        <f>IF(Ofwat_PC_Interventions!T23&lt;&gt;"",Ofwat_PC_Interventions!T23,IF(Company_PC_inputs!T23&lt;&gt;"",Company_PC_inputs!T23,""))</f>
        <v/>
      </c>
      <c r="U23" s="490" t="str">
        <f>IF(Ofwat_PC_Interventions!U23&lt;&gt;"",Ofwat_PC_Interventions!U23,IF(Company_PC_inputs!U23&lt;&gt;"",Company_PC_inputs!U23,""))</f>
        <v/>
      </c>
      <c r="V23" s="490" t="str">
        <f>IF(Ofwat_PC_Interventions!V23&lt;&gt;"",Ofwat_PC_Interventions!V23,IF(Company_PC_inputs!V23&lt;&gt;"",Company_PC_inputs!V23,""))</f>
        <v/>
      </c>
      <c r="W23" s="490" t="str">
        <f>IF(Ofwat_PC_Interventions!W23&lt;&gt;"",Ofwat_PC_Interventions!W23,IF(Company_PC_inputs!W23&lt;&gt;"",Company_PC_inputs!W23,""))</f>
        <v/>
      </c>
      <c r="X23" s="490" t="str">
        <f>IF(Ofwat_PC_Interventions!X23&lt;&gt;"",Ofwat_PC_Interventions!X23,IF(Company_PC_inputs!X23&lt;&gt;"",Company_PC_inputs!X23,""))</f>
        <v/>
      </c>
      <c r="Y23" s="490" t="str">
        <f>IF(Ofwat_PC_Interventions!Y23&lt;&gt;"",Ofwat_PC_Interventions!Y23,IF(Company_PC_inputs!Y23&lt;&gt;"",Company_PC_inputs!Y23,""))</f>
        <v/>
      </c>
      <c r="Z23" s="490" t="str">
        <f>IF(Ofwat_PC_Interventions!Z23&lt;&gt;"",Ofwat_PC_Interventions!Z23,IF(Company_PC_inputs!Z23&lt;&gt;"",Company_PC_inputs!Z23,""))</f>
        <v/>
      </c>
      <c r="AA23" s="490" t="str">
        <f>IF(Ofwat_PC_Interventions!AA23&lt;&gt;"",Ofwat_PC_Interventions!AA23,IF(Company_PC_inputs!AA23&lt;&gt;"",Company_PC_inputs!AA23,""))</f>
        <v/>
      </c>
      <c r="AB23" s="490" t="str">
        <f>IF(Ofwat_PC_Interventions!AB23&lt;&gt;"",Ofwat_PC_Interventions!AB23,IF(Company_PC_inputs!AB23&lt;&gt;"",Company_PC_inputs!AB23,""))</f>
        <v/>
      </c>
      <c r="AC23" s="490" t="str">
        <f>IF(Ofwat_PC_Interventions!AC23&lt;&gt;"",Ofwat_PC_Interventions!AC23,IF(Company_PC_inputs!AC23&lt;&gt;"",Company_PC_inputs!AC23,""))</f>
        <v/>
      </c>
      <c r="AD23" s="490" t="str">
        <f>IF(Ofwat_PC_Interventions!AD23&lt;&gt;"",Ofwat_PC_Interventions!AD23,IF(Company_PC_inputs!AD23&lt;&gt;"",Company_PC_inputs!AD23,""))</f>
        <v/>
      </c>
      <c r="AE23" s="490" t="str">
        <f>IF(Ofwat_PC_Interventions!AE23&lt;&gt;"",Ofwat_PC_Interventions!AE23,IF(Company_PC_inputs!AE23&lt;&gt;"",Company_PC_inputs!AE23,""))</f>
        <v/>
      </c>
      <c r="AF23" s="490" t="str">
        <f>IF(Ofwat_PC_Interventions!AF23&lt;&gt;"",Ofwat_PC_Interventions!AF23,IF(Company_PC_inputs!AF23&lt;&gt;"",Company_PC_inputs!AF23,""))</f>
        <v/>
      </c>
      <c r="AG23" s="490" t="str">
        <f>IF(Ofwat_PC_Interventions!AG23&lt;&gt;"",Ofwat_PC_Interventions!AG23,IF(Company_PC_inputs!AG23&lt;&gt;"",Company_PC_inputs!AG23,""))</f>
        <v/>
      </c>
      <c r="AH23" s="490" t="str">
        <f>IF(Ofwat_PC_Interventions!AH23&lt;&gt;"",Ofwat_PC_Interventions!AH23,IF(Company_PC_inputs!AH23&lt;&gt;"",Company_PC_inputs!AH23,""))</f>
        <v/>
      </c>
      <c r="AI23" s="490" t="str">
        <f>IF(Ofwat_PC_Interventions!AI23&lt;&gt;"",Ofwat_PC_Interventions!AI23,IF(Company_PC_inputs!AI23&lt;&gt;"",Company_PC_inputs!AI23,""))</f>
        <v/>
      </c>
      <c r="AJ23" s="490" t="str">
        <f>IF(Ofwat_PC_Interventions!AJ23&lt;&gt;"",Ofwat_PC_Interventions!AJ23,IF(Company_PC_inputs!AJ23&lt;&gt;"",Company_PC_inputs!AJ23,""))</f>
        <v/>
      </c>
      <c r="AK23" s="491" t="str">
        <f>IF(Ofwat_PC_Interventions!AK23&lt;&gt;"",Ofwat_PC_Interventions!AK23,IF(Company_PC_inputs!AK23&lt;&gt;"",Company_PC_inputs!AK23,""))</f>
        <v/>
      </c>
      <c r="AL23" s="490" t="str">
        <f>IF(Ofwat_PC_Interventions!AL23&lt;&gt;"",Ofwat_PC_Interventions!AL23,IF(Company_PC_inputs!AL23&lt;&gt;"",Company_PC_inputs!AL23,""))</f>
        <v/>
      </c>
      <c r="AM23" s="490" t="str">
        <f>IF(Ofwat_PC_Interventions!AM23&lt;&gt;"",Ofwat_PC_Interventions!AM23,IF(Company_PC_inputs!AM23&lt;&gt;"",Company_PC_inputs!AM23,""))</f>
        <v/>
      </c>
      <c r="AN23" s="490" t="str">
        <f>IF(Ofwat_PC_Interventions!AN23&lt;&gt;"",Ofwat_PC_Interventions!AN23,IF(Company_PC_inputs!AN23&lt;&gt;"",Company_PC_inputs!AN23,""))</f>
        <v/>
      </c>
      <c r="AO23" s="491" t="str">
        <f>IF(Ofwat_PC_Interventions!AO23&lt;&gt;"",Ofwat_PC_Interventions!AO23,IF(Company_PC_inputs!AO23&lt;&gt;"",Company_PC_inputs!AO23,""))</f>
        <v/>
      </c>
      <c r="AP23" s="490" t="str">
        <f>IF(Ofwat_PC_Interventions!AP23&lt;&gt;"",Ofwat_PC_Interventions!AP23,IF(Company_PC_inputs!AP23&lt;&gt;"",Company_PC_inputs!AP23,""))</f>
        <v/>
      </c>
      <c r="AQ23" s="490" t="str">
        <f>IF(Ofwat_PC_Interventions!AQ23&lt;&gt;"",Ofwat_PC_Interventions!AQ23,IF(Company_PC_inputs!AQ23&lt;&gt;"",Company_PC_inputs!AQ23,""))</f>
        <v/>
      </c>
      <c r="AR23" s="490" t="str">
        <f>IF(Ofwat_PC_Interventions!AR23&lt;&gt;"",Ofwat_PC_Interventions!AR23,IF(Company_PC_inputs!AR23&lt;&gt;"",Company_PC_inputs!AR23,""))</f>
        <v/>
      </c>
      <c r="AS23" s="490" t="str">
        <f>IF(Ofwat_PC_Interventions!AS23&lt;&gt;"",Ofwat_PC_Interventions!AS23,IF(Company_PC_inputs!AS23&lt;&gt;"",Company_PC_inputs!AS23,""))</f>
        <v/>
      </c>
      <c r="AT23" s="490" t="str">
        <f>IF(Ofwat_PC_Interventions!AT23&lt;&gt;"",Ofwat_PC_Interventions!AT23,IF(Company_PC_inputs!AT23&lt;&gt;"",Company_PC_inputs!AT23,""))</f>
        <v/>
      </c>
      <c r="AU23" s="490" t="str">
        <f>IF(Ofwat_PC_Interventions!AU23&lt;&gt;"",Ofwat_PC_Interventions!AU23,IF(Company_PC_inputs!AU23&lt;&gt;"",Company_PC_inputs!AU23,""))</f>
        <v/>
      </c>
      <c r="AV23" s="490" t="str">
        <f>IF(Ofwat_PC_Interventions!AV23&lt;&gt;"",Ofwat_PC_Interventions!AV23,IF(Company_PC_inputs!AV23&lt;&gt;"",Company_PC_inputs!AV23,""))</f>
        <v/>
      </c>
      <c r="AW23" s="490" t="str">
        <f>IF(Ofwat_PC_Interventions!AW23&lt;&gt;"",Ofwat_PC_Interventions!AW23,IF(Company_PC_inputs!AW23&lt;&gt;"",Company_PC_inputs!AW23,""))</f>
        <v/>
      </c>
      <c r="AX23" s="490" t="str">
        <f>IF(Ofwat_PC_Interventions!AX23&lt;&gt;"",Ofwat_PC_Interventions!AX23,IF(Company_PC_inputs!AX23&lt;&gt;"",Company_PC_inputs!AX23,""))</f>
        <v/>
      </c>
      <c r="AY23" s="490" t="str">
        <f>IF(Ofwat_PC_Interventions!AY23&lt;&gt;"",Ofwat_PC_Interventions!AY23,IF(Company_PC_inputs!AY23&lt;&gt;"",Company_PC_inputs!AY23,""))</f>
        <v/>
      </c>
      <c r="AZ23" s="490" t="str">
        <f>IF(Ofwat_PC_Interventions!AZ23&lt;&gt;"",Ofwat_PC_Interventions!AZ23,IF(Company_PC_inputs!AZ23&lt;&gt;"",Company_PC_inputs!AZ23,""))</f>
        <v/>
      </c>
      <c r="BA23" s="490" t="str">
        <f>IF(Ofwat_PC_Interventions!BA23&lt;&gt;"",Ofwat_PC_Interventions!BA23,IF(Company_PC_inputs!BA23&lt;&gt;"",Company_PC_inputs!BA23,""))</f>
        <v/>
      </c>
      <c r="BB23" s="490" t="str">
        <f>IF(Ofwat_PC_Interventions!BB23&lt;&gt;"",Ofwat_PC_Interventions!BB23,IF(Company_PC_inputs!BB23&lt;&gt;"",Company_PC_inputs!BB23,""))</f>
        <v/>
      </c>
      <c r="BC23" s="491" t="str">
        <f>IF(Ofwat_PC_Interventions!BC23&lt;&gt;"",Ofwat_PC_Interventions!BC23,IF(Company_PC_inputs!BC23&lt;&gt;"",Company_PC_inputs!BC23,""))</f>
        <v/>
      </c>
      <c r="BD23" s="490" t="str">
        <f>IF(Ofwat_PC_Interventions!BD23&lt;&gt;"",Ofwat_PC_Interventions!BD23,IF(Company_PC_inputs!BD23&lt;&gt;"",Company_PC_inputs!BD23,""))</f>
        <v/>
      </c>
      <c r="BE23" s="490" t="str">
        <f>IF(Ofwat_PC_Interventions!BE23&lt;&gt;"",Ofwat_PC_Interventions!BE23,IF(Company_PC_inputs!BE23&lt;&gt;"",Company_PC_inputs!BE23,""))</f>
        <v/>
      </c>
      <c r="BF23" s="490" t="str">
        <f>IF(Ofwat_PC_Interventions!BF23&lt;&gt;"",Ofwat_PC_Interventions!BF23,IF(Company_PC_inputs!BF23&lt;&gt;"",Company_PC_inputs!BF23,""))</f>
        <v/>
      </c>
      <c r="BG23" s="490" t="str">
        <f>IF(Ofwat_PC_Interventions!BG23&lt;&gt;"",Ofwat_PC_Interventions!BG23,IF(Company_PC_inputs!BG23&lt;&gt;"",Company_PC_inputs!BG23,""))</f>
        <v/>
      </c>
      <c r="BH23" s="490" t="str">
        <f>IF(Ofwat_PC_Interventions!BH23&lt;&gt;"",Ofwat_PC_Interventions!BH23,IF(Company_PC_inputs!BH23&lt;&gt;"",Company_PC_inputs!BH23,""))</f>
        <v/>
      </c>
      <c r="BI23" s="490" t="str">
        <f>IF(Ofwat_PC_Interventions!BI23&lt;&gt;"",Ofwat_PC_Interventions!BI23,IF(Company_PC_inputs!BI23&lt;&gt;"",Company_PC_inputs!BI23,""))</f>
        <v/>
      </c>
      <c r="BJ23" s="490" t="str">
        <f>IF(Ofwat_PC_Interventions!BJ23&lt;&gt;"",Ofwat_PC_Interventions!BJ23,IF(Company_PC_inputs!BJ23&lt;&gt;"",Company_PC_inputs!BJ23,""))</f>
        <v/>
      </c>
      <c r="BK23" s="490" t="str">
        <f>IF(Ofwat_PC_Interventions!BK23&lt;&gt;"",Ofwat_PC_Interventions!BK23,IF(Company_PC_inputs!BK23&lt;&gt;"",Company_PC_inputs!BK23,""))</f>
        <v/>
      </c>
      <c r="BL23" s="490" t="str">
        <f>IF(Ofwat_PC_Interventions!BL23&lt;&gt;"",Ofwat_PC_Interventions!BL23,IF(Company_PC_inputs!BL23&lt;&gt;"",Company_PC_inputs!BL23,""))</f>
        <v/>
      </c>
      <c r="BM23" s="490" t="str">
        <f>IF(Ofwat_PC_Interventions!BM23&lt;&gt;"",Ofwat_PC_Interventions!BM23,IF(Company_PC_inputs!BM23&lt;&gt;"",Company_PC_inputs!BM23,""))</f>
        <v/>
      </c>
      <c r="BN23" s="490" t="str">
        <f>IF(Ofwat_PC_Interventions!BN23&lt;&gt;"",Ofwat_PC_Interventions!BN23,IF(Company_PC_inputs!BN23&lt;&gt;"",Company_PC_inputs!BN23,""))</f>
        <v/>
      </c>
      <c r="BO23" s="490" t="str">
        <f>IF(Ofwat_PC_Interventions!BO23&lt;&gt;"",Ofwat_PC_Interventions!BO23,IF(Company_PC_inputs!BO23&lt;&gt;"",Company_PC_inputs!BO23,""))</f>
        <v/>
      </c>
      <c r="BP23" s="490" t="str">
        <f>IF(Ofwat_PC_Interventions!BP23&lt;&gt;"",Ofwat_PC_Interventions!BP23,IF(Company_PC_inputs!BP23&lt;&gt;"",Company_PC_inputs!BP23,""))</f>
        <v/>
      </c>
      <c r="BQ23" s="490" t="str">
        <f>IF(Ofwat_PC_Interventions!BQ23&lt;&gt;"",Ofwat_PC_Interventions!BQ23,IF(Company_PC_inputs!BQ23&lt;&gt;"",Company_PC_inputs!BQ23,""))</f>
        <v/>
      </c>
      <c r="BR23" s="490" t="str">
        <f>IF(Ofwat_PC_Interventions!BR23&lt;&gt;"",Ofwat_PC_Interventions!BR23,IF(Company_PC_inputs!BR23&lt;&gt;"",Company_PC_inputs!BR23,""))</f>
        <v/>
      </c>
      <c r="BS23" s="490" t="str">
        <f>IF(Ofwat_PC_Interventions!BS23&lt;&gt;"",Ofwat_PC_Interventions!BS23,IF(Company_PC_inputs!BS23&lt;&gt;"",Company_PC_inputs!BS23,""))</f>
        <v/>
      </c>
    </row>
    <row r="24" spans="1:71" s="202" customFormat="1" ht="13.15">
      <c r="A24" s="453"/>
      <c r="B24" s="453"/>
      <c r="C24" s="453"/>
      <c r="D24" s="453"/>
      <c r="E24" s="453" t="s">
        <v>1169</v>
      </c>
      <c r="F24" s="453"/>
      <c r="G24" s="453" t="str">
        <f>InpCompany!$F$11</f>
        <v>£m (2017-18 prices)</v>
      </c>
      <c r="H24" s="453"/>
      <c r="I24" s="453"/>
      <c r="J24" s="490" t="str">
        <f>IF(Ofwat_PC_Interventions!J24&lt;&gt;"",Ofwat_PC_Interventions!J24,IF(Company_PC_inputs!J24&lt;&gt;"",Company_PC_inputs!J24,""))</f>
        <v/>
      </c>
      <c r="K24" s="490" t="str">
        <f>IF(Ofwat_PC_Interventions!K24&lt;&gt;"",Ofwat_PC_Interventions!K24,IF(Company_PC_inputs!K24&lt;&gt;"",Company_PC_inputs!K24,""))</f>
        <v/>
      </c>
      <c r="L24" s="490" t="str">
        <f>IF(Ofwat_PC_Interventions!L24&lt;&gt;"",Ofwat_PC_Interventions!L24,IF(Company_PC_inputs!L24&lt;&gt;"",Company_PC_inputs!L24,""))</f>
        <v/>
      </c>
      <c r="M24" s="490" t="str">
        <f>IF(Ofwat_PC_Interventions!M24&lt;&gt;"",Ofwat_PC_Interventions!M24,IF(Company_PC_inputs!M24&lt;&gt;"",Company_PC_inputs!M24,""))</f>
        <v/>
      </c>
      <c r="N24" s="490" t="str">
        <f>IF(Ofwat_PC_Interventions!N24&lt;&gt;"",Ofwat_PC_Interventions!N24,IF(Company_PC_inputs!N24&lt;&gt;"",Company_PC_inputs!N24,""))</f>
        <v/>
      </c>
      <c r="O24" s="490" t="str">
        <f>IF(Ofwat_PC_Interventions!O24&lt;&gt;"",Ofwat_PC_Interventions!O24,IF(Company_PC_inputs!O24&lt;&gt;"",Company_PC_inputs!O24,""))</f>
        <v/>
      </c>
      <c r="P24" s="490" t="str">
        <f>IF(Ofwat_PC_Interventions!P24&lt;&gt;"",Ofwat_PC_Interventions!P24,IF(Company_PC_inputs!P24&lt;&gt;"",Company_PC_inputs!P24,""))</f>
        <v/>
      </c>
      <c r="Q24" s="491" t="str">
        <f>IF(Ofwat_PC_Interventions!Q24&lt;&gt;"",Ofwat_PC_Interventions!Q24,IF(Company_PC_inputs!Q24&lt;&gt;"",Company_PC_inputs!Q24,""))</f>
        <v/>
      </c>
      <c r="R24" s="490" t="str">
        <f>IF(Ofwat_PC_Interventions!R24&lt;&gt;"",Ofwat_PC_Interventions!R24,IF(Company_PC_inputs!R24&lt;&gt;"",Company_PC_inputs!R24,""))</f>
        <v/>
      </c>
      <c r="S24" s="490" t="str">
        <f>IF(Ofwat_PC_Interventions!S24&lt;&gt;"",Ofwat_PC_Interventions!S24,IF(Company_PC_inputs!S24&lt;&gt;"",Company_PC_inputs!S24,""))</f>
        <v/>
      </c>
      <c r="T24" s="490" t="str">
        <f>IF(Ofwat_PC_Interventions!T24&lt;&gt;"",Ofwat_PC_Interventions!T24,IF(Company_PC_inputs!T24&lt;&gt;"",Company_PC_inputs!T24,""))</f>
        <v/>
      </c>
      <c r="U24" s="490" t="str">
        <f>IF(Ofwat_PC_Interventions!U24&lt;&gt;"",Ofwat_PC_Interventions!U24,IF(Company_PC_inputs!U24&lt;&gt;"",Company_PC_inputs!U24,""))</f>
        <v/>
      </c>
      <c r="V24" s="490" t="str">
        <f>IF(Ofwat_PC_Interventions!V24&lt;&gt;"",Ofwat_PC_Interventions!V24,IF(Company_PC_inputs!V24&lt;&gt;"",Company_PC_inputs!V24,""))</f>
        <v/>
      </c>
      <c r="W24" s="490" t="str">
        <f>IF(Ofwat_PC_Interventions!W24&lt;&gt;"",Ofwat_PC_Interventions!W24,IF(Company_PC_inputs!W24&lt;&gt;"",Company_PC_inputs!W24,""))</f>
        <v/>
      </c>
      <c r="X24" s="490" t="str">
        <f>IF(Ofwat_PC_Interventions!X24&lt;&gt;"",Ofwat_PC_Interventions!X24,IF(Company_PC_inputs!X24&lt;&gt;"",Company_PC_inputs!X24,""))</f>
        <v/>
      </c>
      <c r="Y24" s="490" t="str">
        <f>IF(Ofwat_PC_Interventions!Y24&lt;&gt;"",Ofwat_PC_Interventions!Y24,IF(Company_PC_inputs!Y24&lt;&gt;"",Company_PC_inputs!Y24,""))</f>
        <v/>
      </c>
      <c r="Z24" s="490" t="str">
        <f>IF(Ofwat_PC_Interventions!Z24&lt;&gt;"",Ofwat_PC_Interventions!Z24,IF(Company_PC_inputs!Z24&lt;&gt;"",Company_PC_inputs!Z24,""))</f>
        <v/>
      </c>
      <c r="AA24" s="490" t="str">
        <f>IF(Ofwat_PC_Interventions!AA24&lt;&gt;"",Ofwat_PC_Interventions!AA24,IF(Company_PC_inputs!AA24&lt;&gt;"",Company_PC_inputs!AA24,""))</f>
        <v/>
      </c>
      <c r="AB24" s="490" t="str">
        <f>IF(Ofwat_PC_Interventions!AB24&lt;&gt;"",Ofwat_PC_Interventions!AB24,IF(Company_PC_inputs!AB24&lt;&gt;"",Company_PC_inputs!AB24,""))</f>
        <v/>
      </c>
      <c r="AC24" s="490" t="str">
        <f>IF(Ofwat_PC_Interventions!AC24&lt;&gt;"",Ofwat_PC_Interventions!AC24,IF(Company_PC_inputs!AC24&lt;&gt;"",Company_PC_inputs!AC24,""))</f>
        <v/>
      </c>
      <c r="AD24" s="490" t="str">
        <f>IF(Ofwat_PC_Interventions!AD24&lt;&gt;"",Ofwat_PC_Interventions!AD24,IF(Company_PC_inputs!AD24&lt;&gt;"",Company_PC_inputs!AD24,""))</f>
        <v/>
      </c>
      <c r="AE24" s="490" t="str">
        <f>IF(Ofwat_PC_Interventions!AE24&lt;&gt;"",Ofwat_PC_Interventions!AE24,IF(Company_PC_inputs!AE24&lt;&gt;"",Company_PC_inputs!AE24,""))</f>
        <v/>
      </c>
      <c r="AF24" s="490" t="str">
        <f>IF(Ofwat_PC_Interventions!AF24&lt;&gt;"",Ofwat_PC_Interventions!AF24,IF(Company_PC_inputs!AF24&lt;&gt;"",Company_PC_inputs!AF24,""))</f>
        <v/>
      </c>
      <c r="AG24" s="490" t="str">
        <f>IF(Ofwat_PC_Interventions!AG24&lt;&gt;"",Ofwat_PC_Interventions!AG24,IF(Company_PC_inputs!AG24&lt;&gt;"",Company_PC_inputs!AG24,""))</f>
        <v/>
      </c>
      <c r="AH24" s="490" t="str">
        <f>IF(Ofwat_PC_Interventions!AH24&lt;&gt;"",Ofwat_PC_Interventions!AH24,IF(Company_PC_inputs!AH24&lt;&gt;"",Company_PC_inputs!AH24,""))</f>
        <v/>
      </c>
      <c r="AI24" s="490" t="str">
        <f>IF(Ofwat_PC_Interventions!AI24&lt;&gt;"",Ofwat_PC_Interventions!AI24,IF(Company_PC_inputs!AI24&lt;&gt;"",Company_PC_inputs!AI24,""))</f>
        <v/>
      </c>
      <c r="AJ24" s="490" t="str">
        <f>IF(Ofwat_PC_Interventions!AJ24&lt;&gt;"",Ofwat_PC_Interventions!AJ24,IF(Company_PC_inputs!AJ24&lt;&gt;"",Company_PC_inputs!AJ24,""))</f>
        <v/>
      </c>
      <c r="AK24" s="491" t="str">
        <f>IF(Ofwat_PC_Interventions!AK24&lt;&gt;"",Ofwat_PC_Interventions!AK24,IF(Company_PC_inputs!AK24&lt;&gt;"",Company_PC_inputs!AK24,""))</f>
        <v/>
      </c>
      <c r="AL24" s="490" t="str">
        <f>IF(Ofwat_PC_Interventions!AL24&lt;&gt;"",Ofwat_PC_Interventions!AL24,IF(Company_PC_inputs!AL24&lt;&gt;"",Company_PC_inputs!AL24,""))</f>
        <v/>
      </c>
      <c r="AM24" s="490" t="str">
        <f>IF(Ofwat_PC_Interventions!AM24&lt;&gt;"",Ofwat_PC_Interventions!AM24,IF(Company_PC_inputs!AM24&lt;&gt;"",Company_PC_inputs!AM24,""))</f>
        <v/>
      </c>
      <c r="AN24" s="490" t="str">
        <f>IF(Ofwat_PC_Interventions!AN24&lt;&gt;"",Ofwat_PC_Interventions!AN24,IF(Company_PC_inputs!AN24&lt;&gt;"",Company_PC_inputs!AN24,""))</f>
        <v/>
      </c>
      <c r="AO24" s="491" t="str">
        <f>IF(Ofwat_PC_Interventions!AO24&lt;&gt;"",Ofwat_PC_Interventions!AO24,IF(Company_PC_inputs!AO24&lt;&gt;"",Company_PC_inputs!AO24,""))</f>
        <v/>
      </c>
      <c r="AP24" s="490" t="str">
        <f>IF(Ofwat_PC_Interventions!AP24&lt;&gt;"",Ofwat_PC_Interventions!AP24,IF(Company_PC_inputs!AP24&lt;&gt;"",Company_PC_inputs!AP24,""))</f>
        <v/>
      </c>
      <c r="AQ24" s="490" t="str">
        <f>IF(Ofwat_PC_Interventions!AQ24&lt;&gt;"",Ofwat_PC_Interventions!AQ24,IF(Company_PC_inputs!AQ24&lt;&gt;"",Company_PC_inputs!AQ24,""))</f>
        <v/>
      </c>
      <c r="AR24" s="490" t="str">
        <f>IF(Ofwat_PC_Interventions!AR24&lt;&gt;"",Ofwat_PC_Interventions!AR24,IF(Company_PC_inputs!AR24&lt;&gt;"",Company_PC_inputs!AR24,""))</f>
        <v/>
      </c>
      <c r="AS24" s="490" t="str">
        <f>IF(Ofwat_PC_Interventions!AS24&lt;&gt;"",Ofwat_PC_Interventions!AS24,IF(Company_PC_inputs!AS24&lt;&gt;"",Company_PC_inputs!AS24,""))</f>
        <v/>
      </c>
      <c r="AT24" s="490" t="str">
        <f>IF(Ofwat_PC_Interventions!AT24&lt;&gt;"",Ofwat_PC_Interventions!AT24,IF(Company_PC_inputs!AT24&lt;&gt;"",Company_PC_inputs!AT24,""))</f>
        <v/>
      </c>
      <c r="AU24" s="490" t="str">
        <f>IF(Ofwat_PC_Interventions!AU24&lt;&gt;"",Ofwat_PC_Interventions!AU24,IF(Company_PC_inputs!AU24&lt;&gt;"",Company_PC_inputs!AU24,""))</f>
        <v/>
      </c>
      <c r="AV24" s="490" t="str">
        <f>IF(Ofwat_PC_Interventions!AV24&lt;&gt;"",Ofwat_PC_Interventions!AV24,IF(Company_PC_inputs!AV24&lt;&gt;"",Company_PC_inputs!AV24,""))</f>
        <v/>
      </c>
      <c r="AW24" s="490" t="str">
        <f>IF(Ofwat_PC_Interventions!AW24&lt;&gt;"",Ofwat_PC_Interventions!AW24,IF(Company_PC_inputs!AW24&lt;&gt;"",Company_PC_inputs!AW24,""))</f>
        <v/>
      </c>
      <c r="AX24" s="490" t="str">
        <f>IF(Ofwat_PC_Interventions!AX24&lt;&gt;"",Ofwat_PC_Interventions!AX24,IF(Company_PC_inputs!AX24&lt;&gt;"",Company_PC_inputs!AX24,""))</f>
        <v/>
      </c>
      <c r="AY24" s="490" t="str">
        <f>IF(Ofwat_PC_Interventions!AY24&lt;&gt;"",Ofwat_PC_Interventions!AY24,IF(Company_PC_inputs!AY24&lt;&gt;"",Company_PC_inputs!AY24,""))</f>
        <v/>
      </c>
      <c r="AZ24" s="490" t="str">
        <f>IF(Ofwat_PC_Interventions!AZ24&lt;&gt;"",Ofwat_PC_Interventions!AZ24,IF(Company_PC_inputs!AZ24&lt;&gt;"",Company_PC_inputs!AZ24,""))</f>
        <v/>
      </c>
      <c r="BA24" s="490" t="str">
        <f>IF(Ofwat_PC_Interventions!BA24&lt;&gt;"",Ofwat_PC_Interventions!BA24,IF(Company_PC_inputs!BA24&lt;&gt;"",Company_PC_inputs!BA24,""))</f>
        <v/>
      </c>
      <c r="BB24" s="490" t="str">
        <f>IF(Ofwat_PC_Interventions!BB24&lt;&gt;"",Ofwat_PC_Interventions!BB24,IF(Company_PC_inputs!BB24&lt;&gt;"",Company_PC_inputs!BB24,""))</f>
        <v/>
      </c>
      <c r="BC24" s="491" t="str">
        <f>IF(Ofwat_PC_Interventions!BC24&lt;&gt;"",Ofwat_PC_Interventions!BC24,IF(Company_PC_inputs!BC24&lt;&gt;"",Company_PC_inputs!BC24,""))</f>
        <v/>
      </c>
      <c r="BD24" s="490" t="str">
        <f>IF(Ofwat_PC_Interventions!BD24&lt;&gt;"",Ofwat_PC_Interventions!BD24,IF(Company_PC_inputs!BD24&lt;&gt;"",Company_PC_inputs!BD24,""))</f>
        <v/>
      </c>
      <c r="BE24" s="490" t="str">
        <f>IF(Ofwat_PC_Interventions!BE24&lt;&gt;"",Ofwat_PC_Interventions!BE24,IF(Company_PC_inputs!BE24&lt;&gt;"",Company_PC_inputs!BE24,""))</f>
        <v/>
      </c>
      <c r="BF24" s="490" t="str">
        <f>IF(Ofwat_PC_Interventions!BF24&lt;&gt;"",Ofwat_PC_Interventions!BF24,IF(Company_PC_inputs!BF24&lt;&gt;"",Company_PC_inputs!BF24,""))</f>
        <v/>
      </c>
      <c r="BG24" s="490" t="str">
        <f>IF(Ofwat_PC_Interventions!BG24&lt;&gt;"",Ofwat_PC_Interventions!BG24,IF(Company_PC_inputs!BG24&lt;&gt;"",Company_PC_inputs!BG24,""))</f>
        <v/>
      </c>
      <c r="BH24" s="490" t="str">
        <f>IF(Ofwat_PC_Interventions!BH24&lt;&gt;"",Ofwat_PC_Interventions!BH24,IF(Company_PC_inputs!BH24&lt;&gt;"",Company_PC_inputs!BH24,""))</f>
        <v/>
      </c>
      <c r="BI24" s="490" t="str">
        <f>IF(Ofwat_PC_Interventions!BI24&lt;&gt;"",Ofwat_PC_Interventions!BI24,IF(Company_PC_inputs!BI24&lt;&gt;"",Company_PC_inputs!BI24,""))</f>
        <v/>
      </c>
      <c r="BJ24" s="490" t="str">
        <f>IF(Ofwat_PC_Interventions!BJ24&lt;&gt;"",Ofwat_PC_Interventions!BJ24,IF(Company_PC_inputs!BJ24&lt;&gt;"",Company_PC_inputs!BJ24,""))</f>
        <v/>
      </c>
      <c r="BK24" s="490" t="str">
        <f>IF(Ofwat_PC_Interventions!BK24&lt;&gt;"",Ofwat_PC_Interventions!BK24,IF(Company_PC_inputs!BK24&lt;&gt;"",Company_PC_inputs!BK24,""))</f>
        <v/>
      </c>
      <c r="BL24" s="490" t="str">
        <f>IF(Ofwat_PC_Interventions!BL24&lt;&gt;"",Ofwat_PC_Interventions!BL24,IF(Company_PC_inputs!BL24&lt;&gt;"",Company_PC_inputs!BL24,""))</f>
        <v/>
      </c>
      <c r="BM24" s="490" t="str">
        <f>IF(Ofwat_PC_Interventions!BM24&lt;&gt;"",Ofwat_PC_Interventions!BM24,IF(Company_PC_inputs!BM24&lt;&gt;"",Company_PC_inputs!BM24,""))</f>
        <v/>
      </c>
      <c r="BN24" s="490" t="str">
        <f>IF(Ofwat_PC_Interventions!BN24&lt;&gt;"",Ofwat_PC_Interventions!BN24,IF(Company_PC_inputs!BN24&lt;&gt;"",Company_PC_inputs!BN24,""))</f>
        <v/>
      </c>
      <c r="BO24" s="490" t="str">
        <f>IF(Ofwat_PC_Interventions!BO24&lt;&gt;"",Ofwat_PC_Interventions!BO24,IF(Company_PC_inputs!BO24&lt;&gt;"",Company_PC_inputs!BO24,""))</f>
        <v/>
      </c>
      <c r="BP24" s="490" t="str">
        <f>IF(Ofwat_PC_Interventions!BP24&lt;&gt;"",Ofwat_PC_Interventions!BP24,IF(Company_PC_inputs!BP24&lt;&gt;"",Company_PC_inputs!BP24,""))</f>
        <v/>
      </c>
      <c r="BQ24" s="490" t="str">
        <f>IF(Ofwat_PC_Interventions!BQ24&lt;&gt;"",Ofwat_PC_Interventions!BQ24,IF(Company_PC_inputs!BQ24&lt;&gt;"",Company_PC_inputs!BQ24,""))</f>
        <v/>
      </c>
      <c r="BR24" s="490" t="str">
        <f>IF(Ofwat_PC_Interventions!BR24&lt;&gt;"",Ofwat_PC_Interventions!BR24,IF(Company_PC_inputs!BR24&lt;&gt;"",Company_PC_inputs!BR24,""))</f>
        <v/>
      </c>
      <c r="BS24" s="490" t="str">
        <f>IF(Ofwat_PC_Interventions!BS24&lt;&gt;"",Ofwat_PC_Interventions!BS24,IF(Company_PC_inputs!BS24&lt;&gt;"",Company_PC_inputs!BS24,""))</f>
        <v/>
      </c>
    </row>
    <row r="25" spans="1:71" s="202" customFormat="1" ht="13.15">
      <c r="A25" s="453"/>
      <c r="B25" s="453"/>
      <c r="C25" s="453"/>
      <c r="D25" s="453"/>
      <c r="E25" s="453" t="s">
        <v>1170</v>
      </c>
      <c r="F25" s="453"/>
      <c r="G25" s="453" t="str">
        <f>InpCompany!$F$11</f>
        <v>£m (2017-18 prices)</v>
      </c>
      <c r="H25" s="453"/>
      <c r="I25" s="453"/>
      <c r="J25" s="490" t="str">
        <f>IF(Ofwat_PC_Interventions!J25&lt;&gt;"",Ofwat_PC_Interventions!J25,IF(Company_PC_inputs!J25&lt;&gt;"",Company_PC_inputs!J25,""))</f>
        <v/>
      </c>
      <c r="K25" s="490" t="str">
        <f>IF(Ofwat_PC_Interventions!K25&lt;&gt;"",Ofwat_PC_Interventions!K25,IF(Company_PC_inputs!K25&lt;&gt;"",Company_PC_inputs!K25,""))</f>
        <v/>
      </c>
      <c r="L25" s="490" t="str">
        <f>IF(Ofwat_PC_Interventions!L25&lt;&gt;"",Ofwat_PC_Interventions!L25,IF(Company_PC_inputs!L25&lt;&gt;"",Company_PC_inputs!L25,""))</f>
        <v/>
      </c>
      <c r="M25" s="490" t="str">
        <f>IF(Ofwat_PC_Interventions!M25&lt;&gt;"",Ofwat_PC_Interventions!M25,IF(Company_PC_inputs!M25&lt;&gt;"",Company_PC_inputs!M25,""))</f>
        <v/>
      </c>
      <c r="N25" s="490" t="str">
        <f>IF(Ofwat_PC_Interventions!N25&lt;&gt;"",Ofwat_PC_Interventions!N25,IF(Company_PC_inputs!N25&lt;&gt;"",Company_PC_inputs!N25,""))</f>
        <v/>
      </c>
      <c r="O25" s="490" t="str">
        <f>IF(Ofwat_PC_Interventions!O25&lt;&gt;"",Ofwat_PC_Interventions!O25,IF(Company_PC_inputs!O25&lt;&gt;"",Company_PC_inputs!O25,""))</f>
        <v/>
      </c>
      <c r="P25" s="490" t="str">
        <f>IF(Ofwat_PC_Interventions!P25&lt;&gt;"",Ofwat_PC_Interventions!P25,IF(Company_PC_inputs!P25&lt;&gt;"",Company_PC_inputs!P25,""))</f>
        <v/>
      </c>
      <c r="Q25" s="491" t="str">
        <f>IF(Ofwat_PC_Interventions!Q25&lt;&gt;"",Ofwat_PC_Interventions!Q25,IF(Company_PC_inputs!Q25&lt;&gt;"",Company_PC_inputs!Q25,""))</f>
        <v/>
      </c>
      <c r="R25" s="490" t="str">
        <f>IF(Ofwat_PC_Interventions!R25&lt;&gt;"",Ofwat_PC_Interventions!R25,IF(Company_PC_inputs!R25&lt;&gt;"",Company_PC_inputs!R25,""))</f>
        <v/>
      </c>
      <c r="S25" s="490" t="str">
        <f>IF(Ofwat_PC_Interventions!S25&lt;&gt;"",Ofwat_PC_Interventions!S25,IF(Company_PC_inputs!S25&lt;&gt;"",Company_PC_inputs!S25,""))</f>
        <v/>
      </c>
      <c r="T25" s="490" t="str">
        <f>IF(Ofwat_PC_Interventions!T25&lt;&gt;"",Ofwat_PC_Interventions!T25,IF(Company_PC_inputs!T25&lt;&gt;"",Company_PC_inputs!T25,""))</f>
        <v/>
      </c>
      <c r="U25" s="490" t="str">
        <f>IF(Ofwat_PC_Interventions!U25&lt;&gt;"",Ofwat_PC_Interventions!U25,IF(Company_PC_inputs!U25&lt;&gt;"",Company_PC_inputs!U25,""))</f>
        <v/>
      </c>
      <c r="V25" s="490" t="str">
        <f>IF(Ofwat_PC_Interventions!V25&lt;&gt;"",Ofwat_PC_Interventions!V25,IF(Company_PC_inputs!V25&lt;&gt;"",Company_PC_inputs!V25,""))</f>
        <v/>
      </c>
      <c r="W25" s="490" t="str">
        <f>IF(Ofwat_PC_Interventions!W25&lt;&gt;"",Ofwat_PC_Interventions!W25,IF(Company_PC_inputs!W25&lt;&gt;"",Company_PC_inputs!W25,""))</f>
        <v/>
      </c>
      <c r="X25" s="490" t="str">
        <f>IF(Ofwat_PC_Interventions!X25&lt;&gt;"",Ofwat_PC_Interventions!X25,IF(Company_PC_inputs!X25&lt;&gt;"",Company_PC_inputs!X25,""))</f>
        <v/>
      </c>
      <c r="Y25" s="490" t="str">
        <f>IF(Ofwat_PC_Interventions!Y25&lt;&gt;"",Ofwat_PC_Interventions!Y25,IF(Company_PC_inputs!Y25&lt;&gt;"",Company_PC_inputs!Y25,""))</f>
        <v/>
      </c>
      <c r="Z25" s="490" t="str">
        <f>IF(Ofwat_PC_Interventions!Z25&lt;&gt;"",Ofwat_PC_Interventions!Z25,IF(Company_PC_inputs!Z25&lt;&gt;"",Company_PC_inputs!Z25,""))</f>
        <v/>
      </c>
      <c r="AA25" s="490" t="str">
        <f>IF(Ofwat_PC_Interventions!AA25&lt;&gt;"",Ofwat_PC_Interventions!AA25,IF(Company_PC_inputs!AA25&lt;&gt;"",Company_PC_inputs!AA25,""))</f>
        <v/>
      </c>
      <c r="AB25" s="490" t="str">
        <f>IF(Ofwat_PC_Interventions!AB25&lt;&gt;"",Ofwat_PC_Interventions!AB25,IF(Company_PC_inputs!AB25&lt;&gt;"",Company_PC_inputs!AB25,""))</f>
        <v/>
      </c>
      <c r="AC25" s="490" t="str">
        <f>IF(Ofwat_PC_Interventions!AC25&lt;&gt;"",Ofwat_PC_Interventions!AC25,IF(Company_PC_inputs!AC25&lt;&gt;"",Company_PC_inputs!AC25,""))</f>
        <v/>
      </c>
      <c r="AD25" s="490" t="str">
        <f>IF(Ofwat_PC_Interventions!AD25&lt;&gt;"",Ofwat_PC_Interventions!AD25,IF(Company_PC_inputs!AD25&lt;&gt;"",Company_PC_inputs!AD25,""))</f>
        <v/>
      </c>
      <c r="AE25" s="490" t="str">
        <f>IF(Ofwat_PC_Interventions!AE25&lt;&gt;"",Ofwat_PC_Interventions!AE25,IF(Company_PC_inputs!AE25&lt;&gt;"",Company_PC_inputs!AE25,""))</f>
        <v/>
      </c>
      <c r="AF25" s="490" t="str">
        <f>IF(Ofwat_PC_Interventions!AF25&lt;&gt;"",Ofwat_PC_Interventions!AF25,IF(Company_PC_inputs!AF25&lt;&gt;"",Company_PC_inputs!AF25,""))</f>
        <v/>
      </c>
      <c r="AG25" s="490" t="str">
        <f>IF(Ofwat_PC_Interventions!AG25&lt;&gt;"",Ofwat_PC_Interventions!AG25,IF(Company_PC_inputs!AG25&lt;&gt;"",Company_PC_inputs!AG25,""))</f>
        <v/>
      </c>
      <c r="AH25" s="490" t="str">
        <f>IF(Ofwat_PC_Interventions!AH25&lt;&gt;"",Ofwat_PC_Interventions!AH25,IF(Company_PC_inputs!AH25&lt;&gt;"",Company_PC_inputs!AH25,""))</f>
        <v/>
      </c>
      <c r="AI25" s="490" t="str">
        <f>IF(Ofwat_PC_Interventions!AI25&lt;&gt;"",Ofwat_PC_Interventions!AI25,IF(Company_PC_inputs!AI25&lt;&gt;"",Company_PC_inputs!AI25,""))</f>
        <v/>
      </c>
      <c r="AJ25" s="490" t="str">
        <f>IF(Ofwat_PC_Interventions!AJ25&lt;&gt;"",Ofwat_PC_Interventions!AJ25,IF(Company_PC_inputs!AJ25&lt;&gt;"",Company_PC_inputs!AJ25,""))</f>
        <v/>
      </c>
      <c r="AK25" s="491" t="str">
        <f>IF(Ofwat_PC_Interventions!AK25&lt;&gt;"",Ofwat_PC_Interventions!AK25,IF(Company_PC_inputs!AK25&lt;&gt;"",Company_PC_inputs!AK25,""))</f>
        <v/>
      </c>
      <c r="AL25" s="490" t="str">
        <f>IF(Ofwat_PC_Interventions!AL25&lt;&gt;"",Ofwat_PC_Interventions!AL25,IF(Company_PC_inputs!AL25&lt;&gt;"",Company_PC_inputs!AL25,""))</f>
        <v/>
      </c>
      <c r="AM25" s="490" t="str">
        <f>IF(Ofwat_PC_Interventions!AM25&lt;&gt;"",Ofwat_PC_Interventions!AM25,IF(Company_PC_inputs!AM25&lt;&gt;"",Company_PC_inputs!AM25,""))</f>
        <v/>
      </c>
      <c r="AN25" s="490" t="str">
        <f>IF(Ofwat_PC_Interventions!AN25&lt;&gt;"",Ofwat_PC_Interventions!AN25,IF(Company_PC_inputs!AN25&lt;&gt;"",Company_PC_inputs!AN25,""))</f>
        <v/>
      </c>
      <c r="AO25" s="491" t="str">
        <f>IF(Ofwat_PC_Interventions!AO25&lt;&gt;"",Ofwat_PC_Interventions!AO25,IF(Company_PC_inputs!AO25&lt;&gt;"",Company_PC_inputs!AO25,""))</f>
        <v/>
      </c>
      <c r="AP25" s="490" t="str">
        <f>IF(Ofwat_PC_Interventions!AP25&lt;&gt;"",Ofwat_PC_Interventions!AP25,IF(Company_PC_inputs!AP25&lt;&gt;"",Company_PC_inputs!AP25,""))</f>
        <v/>
      </c>
      <c r="AQ25" s="490" t="str">
        <f>IF(Ofwat_PC_Interventions!AQ25&lt;&gt;"",Ofwat_PC_Interventions!AQ25,IF(Company_PC_inputs!AQ25&lt;&gt;"",Company_PC_inputs!AQ25,""))</f>
        <v/>
      </c>
      <c r="AR25" s="490" t="str">
        <f>IF(Ofwat_PC_Interventions!AR25&lt;&gt;"",Ofwat_PC_Interventions!AR25,IF(Company_PC_inputs!AR25&lt;&gt;"",Company_PC_inputs!AR25,""))</f>
        <v/>
      </c>
      <c r="AS25" s="490" t="str">
        <f>IF(Ofwat_PC_Interventions!AS25&lt;&gt;"",Ofwat_PC_Interventions!AS25,IF(Company_PC_inputs!AS25&lt;&gt;"",Company_PC_inputs!AS25,""))</f>
        <v/>
      </c>
      <c r="AT25" s="490" t="str">
        <f>IF(Ofwat_PC_Interventions!AT25&lt;&gt;"",Ofwat_PC_Interventions!AT25,IF(Company_PC_inputs!AT25&lt;&gt;"",Company_PC_inputs!AT25,""))</f>
        <v/>
      </c>
      <c r="AU25" s="490" t="str">
        <f>IF(Ofwat_PC_Interventions!AU25&lt;&gt;"",Ofwat_PC_Interventions!AU25,IF(Company_PC_inputs!AU25&lt;&gt;"",Company_PC_inputs!AU25,""))</f>
        <v/>
      </c>
      <c r="AV25" s="490" t="str">
        <f>IF(Ofwat_PC_Interventions!AV25&lt;&gt;"",Ofwat_PC_Interventions!AV25,IF(Company_PC_inputs!AV25&lt;&gt;"",Company_PC_inputs!AV25,""))</f>
        <v/>
      </c>
      <c r="AW25" s="490" t="str">
        <f>IF(Ofwat_PC_Interventions!AW25&lt;&gt;"",Ofwat_PC_Interventions!AW25,IF(Company_PC_inputs!AW25&lt;&gt;"",Company_PC_inputs!AW25,""))</f>
        <v/>
      </c>
      <c r="AX25" s="490" t="str">
        <f>IF(Ofwat_PC_Interventions!AX25&lt;&gt;"",Ofwat_PC_Interventions!AX25,IF(Company_PC_inputs!AX25&lt;&gt;"",Company_PC_inputs!AX25,""))</f>
        <v/>
      </c>
      <c r="AY25" s="490" t="str">
        <f>IF(Ofwat_PC_Interventions!AY25&lt;&gt;"",Ofwat_PC_Interventions!AY25,IF(Company_PC_inputs!AY25&lt;&gt;"",Company_PC_inputs!AY25,""))</f>
        <v/>
      </c>
      <c r="AZ25" s="490" t="str">
        <f>IF(Ofwat_PC_Interventions!AZ25&lt;&gt;"",Ofwat_PC_Interventions!AZ25,IF(Company_PC_inputs!AZ25&lt;&gt;"",Company_PC_inputs!AZ25,""))</f>
        <v/>
      </c>
      <c r="BA25" s="490" t="str">
        <f>IF(Ofwat_PC_Interventions!BA25&lt;&gt;"",Ofwat_PC_Interventions!BA25,IF(Company_PC_inputs!BA25&lt;&gt;"",Company_PC_inputs!BA25,""))</f>
        <v/>
      </c>
      <c r="BB25" s="490" t="str">
        <f>IF(Ofwat_PC_Interventions!BB25&lt;&gt;"",Ofwat_PC_Interventions!BB25,IF(Company_PC_inputs!BB25&lt;&gt;"",Company_PC_inputs!BB25,""))</f>
        <v/>
      </c>
      <c r="BC25" s="491" t="str">
        <f>IF(Ofwat_PC_Interventions!BC25&lt;&gt;"",Ofwat_PC_Interventions!BC25,IF(Company_PC_inputs!BC25&lt;&gt;"",Company_PC_inputs!BC25,""))</f>
        <v/>
      </c>
      <c r="BD25" s="490" t="str">
        <f>IF(Ofwat_PC_Interventions!BD25&lt;&gt;"",Ofwat_PC_Interventions!BD25,IF(Company_PC_inputs!BD25&lt;&gt;"",Company_PC_inputs!BD25,""))</f>
        <v/>
      </c>
      <c r="BE25" s="490" t="str">
        <f>IF(Ofwat_PC_Interventions!BE25&lt;&gt;"",Ofwat_PC_Interventions!BE25,IF(Company_PC_inputs!BE25&lt;&gt;"",Company_PC_inputs!BE25,""))</f>
        <v/>
      </c>
      <c r="BF25" s="490" t="str">
        <f>IF(Ofwat_PC_Interventions!BF25&lt;&gt;"",Ofwat_PC_Interventions!BF25,IF(Company_PC_inputs!BF25&lt;&gt;"",Company_PC_inputs!BF25,""))</f>
        <v/>
      </c>
      <c r="BG25" s="490" t="str">
        <f>IF(Ofwat_PC_Interventions!BG25&lt;&gt;"",Ofwat_PC_Interventions!BG25,IF(Company_PC_inputs!BG25&lt;&gt;"",Company_PC_inputs!BG25,""))</f>
        <v/>
      </c>
      <c r="BH25" s="490" t="str">
        <f>IF(Ofwat_PC_Interventions!BH25&lt;&gt;"",Ofwat_PC_Interventions!BH25,IF(Company_PC_inputs!BH25&lt;&gt;"",Company_PC_inputs!BH25,""))</f>
        <v/>
      </c>
      <c r="BI25" s="490" t="str">
        <f>IF(Ofwat_PC_Interventions!BI25&lt;&gt;"",Ofwat_PC_Interventions!BI25,IF(Company_PC_inputs!BI25&lt;&gt;"",Company_PC_inputs!BI25,""))</f>
        <v/>
      </c>
      <c r="BJ25" s="490" t="str">
        <f>IF(Ofwat_PC_Interventions!BJ25&lt;&gt;"",Ofwat_PC_Interventions!BJ25,IF(Company_PC_inputs!BJ25&lt;&gt;"",Company_PC_inputs!BJ25,""))</f>
        <v/>
      </c>
      <c r="BK25" s="490" t="str">
        <f>IF(Ofwat_PC_Interventions!BK25&lt;&gt;"",Ofwat_PC_Interventions!BK25,IF(Company_PC_inputs!BK25&lt;&gt;"",Company_PC_inputs!BK25,""))</f>
        <v/>
      </c>
      <c r="BL25" s="490" t="str">
        <f>IF(Ofwat_PC_Interventions!BL25&lt;&gt;"",Ofwat_PC_Interventions!BL25,IF(Company_PC_inputs!BL25&lt;&gt;"",Company_PC_inputs!BL25,""))</f>
        <v/>
      </c>
      <c r="BM25" s="490" t="str">
        <f>IF(Ofwat_PC_Interventions!BM25&lt;&gt;"",Ofwat_PC_Interventions!BM25,IF(Company_PC_inputs!BM25&lt;&gt;"",Company_PC_inputs!BM25,""))</f>
        <v/>
      </c>
      <c r="BN25" s="490" t="str">
        <f>IF(Ofwat_PC_Interventions!BN25&lt;&gt;"",Ofwat_PC_Interventions!BN25,IF(Company_PC_inputs!BN25&lt;&gt;"",Company_PC_inputs!BN25,""))</f>
        <v/>
      </c>
      <c r="BO25" s="490" t="str">
        <f>IF(Ofwat_PC_Interventions!BO25&lt;&gt;"",Ofwat_PC_Interventions!BO25,IF(Company_PC_inputs!BO25&lt;&gt;"",Company_PC_inputs!BO25,""))</f>
        <v/>
      </c>
      <c r="BP25" s="490" t="str">
        <f>IF(Ofwat_PC_Interventions!BP25&lt;&gt;"",Ofwat_PC_Interventions!BP25,IF(Company_PC_inputs!BP25&lt;&gt;"",Company_PC_inputs!BP25,""))</f>
        <v/>
      </c>
      <c r="BQ25" s="490" t="str">
        <f>IF(Ofwat_PC_Interventions!BQ25&lt;&gt;"",Ofwat_PC_Interventions!BQ25,IF(Company_PC_inputs!BQ25&lt;&gt;"",Company_PC_inputs!BQ25,""))</f>
        <v/>
      </c>
      <c r="BR25" s="490" t="str">
        <f>IF(Ofwat_PC_Interventions!BR25&lt;&gt;"",Ofwat_PC_Interventions!BR25,IF(Company_PC_inputs!BR25&lt;&gt;"",Company_PC_inputs!BR25,""))</f>
        <v/>
      </c>
      <c r="BS25" s="490" t="str">
        <f>IF(Ofwat_PC_Interventions!BS25&lt;&gt;"",Ofwat_PC_Interventions!BS25,IF(Company_PC_inputs!BS25&lt;&gt;"",Company_PC_inputs!BS25,""))</f>
        <v/>
      </c>
    </row>
    <row r="26" spans="1:71" s="202" customFormat="1" ht="13.15">
      <c r="A26" s="453"/>
      <c r="B26" s="453"/>
      <c r="C26" s="453"/>
      <c r="D26" s="453"/>
      <c r="E26" s="453"/>
      <c r="F26" s="453"/>
      <c r="G26" s="453"/>
      <c r="H26" s="453"/>
      <c r="I26" s="453"/>
      <c r="J26" s="490" t="str">
        <f>IF(Ofwat_PC_Interventions!J26&lt;&gt;"",Ofwat_PC_Interventions!J26,IF(Company_PC_inputs!J26&lt;&gt;"",Company_PC_inputs!J26,""))</f>
        <v/>
      </c>
      <c r="K26" s="490" t="str">
        <f>IF(Ofwat_PC_Interventions!K26&lt;&gt;"",Ofwat_PC_Interventions!K26,IF(Company_PC_inputs!K26&lt;&gt;"",Company_PC_inputs!K26,""))</f>
        <v/>
      </c>
      <c r="L26" s="490" t="str">
        <f>IF(Ofwat_PC_Interventions!L26&lt;&gt;"",Ofwat_PC_Interventions!L26,IF(Company_PC_inputs!L26&lt;&gt;"",Company_PC_inputs!L26,""))</f>
        <v/>
      </c>
      <c r="M26" s="490" t="str">
        <f>IF(Ofwat_PC_Interventions!M26&lt;&gt;"",Ofwat_PC_Interventions!M26,IF(Company_PC_inputs!M26&lt;&gt;"",Company_PC_inputs!M26,""))</f>
        <v/>
      </c>
      <c r="N26" s="490" t="str">
        <f>IF(Ofwat_PC_Interventions!N26&lt;&gt;"",Ofwat_PC_Interventions!N26,IF(Company_PC_inputs!N26&lt;&gt;"",Company_PC_inputs!N26,""))</f>
        <v/>
      </c>
      <c r="O26" s="490" t="str">
        <f>IF(Ofwat_PC_Interventions!O26&lt;&gt;"",Ofwat_PC_Interventions!O26,IF(Company_PC_inputs!O26&lt;&gt;"",Company_PC_inputs!O26,""))</f>
        <v/>
      </c>
      <c r="P26" s="490" t="str">
        <f>IF(Ofwat_PC_Interventions!P26&lt;&gt;"",Ofwat_PC_Interventions!P26,IF(Company_PC_inputs!P26&lt;&gt;"",Company_PC_inputs!P26,""))</f>
        <v/>
      </c>
      <c r="Q26" s="491" t="str">
        <f>IF(Ofwat_PC_Interventions!Q26&lt;&gt;"",Ofwat_PC_Interventions!Q26,IF(Company_PC_inputs!Q26&lt;&gt;"",Company_PC_inputs!Q26,""))</f>
        <v/>
      </c>
      <c r="R26" s="490" t="str">
        <f>IF(Ofwat_PC_Interventions!R26&lt;&gt;"",Ofwat_PC_Interventions!R26,IF(Company_PC_inputs!R26&lt;&gt;"",Company_PC_inputs!R26,""))</f>
        <v/>
      </c>
      <c r="S26" s="490" t="str">
        <f>IF(Ofwat_PC_Interventions!S26&lt;&gt;"",Ofwat_PC_Interventions!S26,IF(Company_PC_inputs!S26&lt;&gt;"",Company_PC_inputs!S26,""))</f>
        <v/>
      </c>
      <c r="T26" s="490" t="str">
        <f>IF(Ofwat_PC_Interventions!T26&lt;&gt;"",Ofwat_PC_Interventions!T26,IF(Company_PC_inputs!T26&lt;&gt;"",Company_PC_inputs!T26,""))</f>
        <v/>
      </c>
      <c r="U26" s="490" t="str">
        <f>IF(Ofwat_PC_Interventions!U26&lt;&gt;"",Ofwat_PC_Interventions!U26,IF(Company_PC_inputs!U26&lt;&gt;"",Company_PC_inputs!U26,""))</f>
        <v/>
      </c>
      <c r="V26" s="490" t="str">
        <f>IF(Ofwat_PC_Interventions!V26&lt;&gt;"",Ofwat_PC_Interventions!V26,IF(Company_PC_inputs!V26&lt;&gt;"",Company_PC_inputs!V26,""))</f>
        <v/>
      </c>
      <c r="W26" s="490" t="str">
        <f>IF(Ofwat_PC_Interventions!W26&lt;&gt;"",Ofwat_PC_Interventions!W26,IF(Company_PC_inputs!W26&lt;&gt;"",Company_PC_inputs!W26,""))</f>
        <v/>
      </c>
      <c r="X26" s="490" t="str">
        <f>IF(Ofwat_PC_Interventions!X26&lt;&gt;"",Ofwat_PC_Interventions!X26,IF(Company_PC_inputs!X26&lt;&gt;"",Company_PC_inputs!X26,""))</f>
        <v/>
      </c>
      <c r="Y26" s="490" t="str">
        <f>IF(Ofwat_PC_Interventions!Y26&lt;&gt;"",Ofwat_PC_Interventions!Y26,IF(Company_PC_inputs!Y26&lt;&gt;"",Company_PC_inputs!Y26,""))</f>
        <v/>
      </c>
      <c r="Z26" s="490" t="str">
        <f>IF(Ofwat_PC_Interventions!Z26&lt;&gt;"",Ofwat_PC_Interventions!Z26,IF(Company_PC_inputs!Z26&lt;&gt;"",Company_PC_inputs!Z26,""))</f>
        <v/>
      </c>
      <c r="AA26" s="490" t="str">
        <f>IF(Ofwat_PC_Interventions!AA26&lt;&gt;"",Ofwat_PC_Interventions!AA26,IF(Company_PC_inputs!AA26&lt;&gt;"",Company_PC_inputs!AA26,""))</f>
        <v/>
      </c>
      <c r="AB26" s="490" t="str">
        <f>IF(Ofwat_PC_Interventions!AB26&lt;&gt;"",Ofwat_PC_Interventions!AB26,IF(Company_PC_inputs!AB26&lt;&gt;"",Company_PC_inputs!AB26,""))</f>
        <v/>
      </c>
      <c r="AC26" s="490" t="str">
        <f>IF(Ofwat_PC_Interventions!AC26&lt;&gt;"",Ofwat_PC_Interventions!AC26,IF(Company_PC_inputs!AC26&lt;&gt;"",Company_PC_inputs!AC26,""))</f>
        <v/>
      </c>
      <c r="AD26" s="490" t="str">
        <f>IF(Ofwat_PC_Interventions!AD26&lt;&gt;"",Ofwat_PC_Interventions!AD26,IF(Company_PC_inputs!AD26&lt;&gt;"",Company_PC_inputs!AD26,""))</f>
        <v/>
      </c>
      <c r="AE26" s="490" t="str">
        <f>IF(Ofwat_PC_Interventions!AE26&lt;&gt;"",Ofwat_PC_Interventions!AE26,IF(Company_PC_inputs!AE26&lt;&gt;"",Company_PC_inputs!AE26,""))</f>
        <v/>
      </c>
      <c r="AF26" s="490" t="str">
        <f>IF(Ofwat_PC_Interventions!AF26&lt;&gt;"",Ofwat_PC_Interventions!AF26,IF(Company_PC_inputs!AF26&lt;&gt;"",Company_PC_inputs!AF26,""))</f>
        <v/>
      </c>
      <c r="AG26" s="490" t="str">
        <f>IF(Ofwat_PC_Interventions!AG26&lt;&gt;"",Ofwat_PC_Interventions!AG26,IF(Company_PC_inputs!AG26&lt;&gt;"",Company_PC_inputs!AG26,""))</f>
        <v/>
      </c>
      <c r="AH26" s="490" t="str">
        <f>IF(Ofwat_PC_Interventions!AH26&lt;&gt;"",Ofwat_PC_Interventions!AH26,IF(Company_PC_inputs!AH26&lt;&gt;"",Company_PC_inputs!AH26,""))</f>
        <v/>
      </c>
      <c r="AI26" s="490" t="str">
        <f>IF(Ofwat_PC_Interventions!AI26&lt;&gt;"",Ofwat_PC_Interventions!AI26,IF(Company_PC_inputs!AI26&lt;&gt;"",Company_PC_inputs!AI26,""))</f>
        <v/>
      </c>
      <c r="AJ26" s="490" t="str">
        <f>IF(Ofwat_PC_Interventions!AJ26&lt;&gt;"",Ofwat_PC_Interventions!AJ26,IF(Company_PC_inputs!AJ26&lt;&gt;"",Company_PC_inputs!AJ26,""))</f>
        <v/>
      </c>
      <c r="AK26" s="491" t="str">
        <f>IF(Ofwat_PC_Interventions!AK26&lt;&gt;"",Ofwat_PC_Interventions!AK26,IF(Company_PC_inputs!AK26&lt;&gt;"",Company_PC_inputs!AK26,""))</f>
        <v/>
      </c>
      <c r="AL26" s="490" t="str">
        <f>IF(Ofwat_PC_Interventions!AL26&lt;&gt;"",Ofwat_PC_Interventions!AL26,IF(Company_PC_inputs!AL26&lt;&gt;"",Company_PC_inputs!AL26,""))</f>
        <v/>
      </c>
      <c r="AM26" s="490" t="str">
        <f>IF(Ofwat_PC_Interventions!AM26&lt;&gt;"",Ofwat_PC_Interventions!AM26,IF(Company_PC_inputs!AM26&lt;&gt;"",Company_PC_inputs!AM26,""))</f>
        <v/>
      </c>
      <c r="AN26" s="490" t="str">
        <f>IF(Ofwat_PC_Interventions!AN26&lt;&gt;"",Ofwat_PC_Interventions!AN26,IF(Company_PC_inputs!AN26&lt;&gt;"",Company_PC_inputs!AN26,""))</f>
        <v/>
      </c>
      <c r="AO26" s="491" t="str">
        <f>IF(Ofwat_PC_Interventions!AO26&lt;&gt;"",Ofwat_PC_Interventions!AO26,IF(Company_PC_inputs!AO26&lt;&gt;"",Company_PC_inputs!AO26,""))</f>
        <v/>
      </c>
      <c r="AP26" s="490" t="str">
        <f>IF(Ofwat_PC_Interventions!AP26&lt;&gt;"",Ofwat_PC_Interventions!AP26,IF(Company_PC_inputs!AP26&lt;&gt;"",Company_PC_inputs!AP26,""))</f>
        <v/>
      </c>
      <c r="AQ26" s="490" t="str">
        <f>IF(Ofwat_PC_Interventions!AQ26&lt;&gt;"",Ofwat_PC_Interventions!AQ26,IF(Company_PC_inputs!AQ26&lt;&gt;"",Company_PC_inputs!AQ26,""))</f>
        <v/>
      </c>
      <c r="AR26" s="490" t="str">
        <f>IF(Ofwat_PC_Interventions!AR26&lt;&gt;"",Ofwat_PC_Interventions!AR26,IF(Company_PC_inputs!AR26&lt;&gt;"",Company_PC_inputs!AR26,""))</f>
        <v/>
      </c>
      <c r="AS26" s="490" t="str">
        <f>IF(Ofwat_PC_Interventions!AS26&lt;&gt;"",Ofwat_PC_Interventions!AS26,IF(Company_PC_inputs!AS26&lt;&gt;"",Company_PC_inputs!AS26,""))</f>
        <v/>
      </c>
      <c r="AT26" s="490" t="str">
        <f>IF(Ofwat_PC_Interventions!AT26&lt;&gt;"",Ofwat_PC_Interventions!AT26,IF(Company_PC_inputs!AT26&lt;&gt;"",Company_PC_inputs!AT26,""))</f>
        <v/>
      </c>
      <c r="AU26" s="490" t="str">
        <f>IF(Ofwat_PC_Interventions!AU26&lt;&gt;"",Ofwat_PC_Interventions!AU26,IF(Company_PC_inputs!AU26&lt;&gt;"",Company_PC_inputs!AU26,""))</f>
        <v/>
      </c>
      <c r="AV26" s="490" t="str">
        <f>IF(Ofwat_PC_Interventions!AV26&lt;&gt;"",Ofwat_PC_Interventions!AV26,IF(Company_PC_inputs!AV26&lt;&gt;"",Company_PC_inputs!AV26,""))</f>
        <v/>
      </c>
      <c r="AW26" s="490" t="str">
        <f>IF(Ofwat_PC_Interventions!AW26&lt;&gt;"",Ofwat_PC_Interventions!AW26,IF(Company_PC_inputs!AW26&lt;&gt;"",Company_PC_inputs!AW26,""))</f>
        <v/>
      </c>
      <c r="AX26" s="490" t="str">
        <f>IF(Ofwat_PC_Interventions!AX26&lt;&gt;"",Ofwat_PC_Interventions!AX26,IF(Company_PC_inputs!AX26&lt;&gt;"",Company_PC_inputs!AX26,""))</f>
        <v/>
      </c>
      <c r="AY26" s="490" t="str">
        <f>IF(Ofwat_PC_Interventions!AY26&lt;&gt;"",Ofwat_PC_Interventions!AY26,IF(Company_PC_inputs!AY26&lt;&gt;"",Company_PC_inputs!AY26,""))</f>
        <v/>
      </c>
      <c r="AZ26" s="490" t="str">
        <f>IF(Ofwat_PC_Interventions!AZ26&lt;&gt;"",Ofwat_PC_Interventions!AZ26,IF(Company_PC_inputs!AZ26&lt;&gt;"",Company_PC_inputs!AZ26,""))</f>
        <v/>
      </c>
      <c r="BA26" s="490" t="str">
        <f>IF(Ofwat_PC_Interventions!BA26&lt;&gt;"",Ofwat_PC_Interventions!BA26,IF(Company_PC_inputs!BA26&lt;&gt;"",Company_PC_inputs!BA26,""))</f>
        <v/>
      </c>
      <c r="BB26" s="490" t="str">
        <f>IF(Ofwat_PC_Interventions!BB26&lt;&gt;"",Ofwat_PC_Interventions!BB26,IF(Company_PC_inputs!BB26&lt;&gt;"",Company_PC_inputs!BB26,""))</f>
        <v/>
      </c>
      <c r="BC26" s="491" t="str">
        <f>IF(Ofwat_PC_Interventions!BC26&lt;&gt;"",Ofwat_PC_Interventions!BC26,IF(Company_PC_inputs!BC26&lt;&gt;"",Company_PC_inputs!BC26,""))</f>
        <v/>
      </c>
      <c r="BD26" s="490" t="str">
        <f>IF(Ofwat_PC_Interventions!BD26&lt;&gt;"",Ofwat_PC_Interventions!BD26,IF(Company_PC_inputs!BD26&lt;&gt;"",Company_PC_inputs!BD26,""))</f>
        <v/>
      </c>
      <c r="BE26" s="490" t="str">
        <f>IF(Ofwat_PC_Interventions!BE26&lt;&gt;"",Ofwat_PC_Interventions!BE26,IF(Company_PC_inputs!BE26&lt;&gt;"",Company_PC_inputs!BE26,""))</f>
        <v/>
      </c>
      <c r="BF26" s="490" t="str">
        <f>IF(Ofwat_PC_Interventions!BF26&lt;&gt;"",Ofwat_PC_Interventions!BF26,IF(Company_PC_inputs!BF26&lt;&gt;"",Company_PC_inputs!BF26,""))</f>
        <v/>
      </c>
      <c r="BG26" s="490" t="str">
        <f>IF(Ofwat_PC_Interventions!BG26&lt;&gt;"",Ofwat_PC_Interventions!BG26,IF(Company_PC_inputs!BG26&lt;&gt;"",Company_PC_inputs!BG26,""))</f>
        <v/>
      </c>
      <c r="BH26" s="490" t="str">
        <f>IF(Ofwat_PC_Interventions!BH26&lt;&gt;"",Ofwat_PC_Interventions!BH26,IF(Company_PC_inputs!BH26&lt;&gt;"",Company_PC_inputs!BH26,""))</f>
        <v/>
      </c>
      <c r="BI26" s="490" t="str">
        <f>IF(Ofwat_PC_Interventions!BI26&lt;&gt;"",Ofwat_PC_Interventions!BI26,IF(Company_PC_inputs!BI26&lt;&gt;"",Company_PC_inputs!BI26,""))</f>
        <v/>
      </c>
      <c r="BJ26" s="490" t="str">
        <f>IF(Ofwat_PC_Interventions!BJ26&lt;&gt;"",Ofwat_PC_Interventions!BJ26,IF(Company_PC_inputs!BJ26&lt;&gt;"",Company_PC_inputs!BJ26,""))</f>
        <v/>
      </c>
      <c r="BK26" s="490" t="str">
        <f>IF(Ofwat_PC_Interventions!BK26&lt;&gt;"",Ofwat_PC_Interventions!BK26,IF(Company_PC_inputs!BK26&lt;&gt;"",Company_PC_inputs!BK26,""))</f>
        <v/>
      </c>
      <c r="BL26" s="490" t="str">
        <f>IF(Ofwat_PC_Interventions!BL26&lt;&gt;"",Ofwat_PC_Interventions!BL26,IF(Company_PC_inputs!BL26&lt;&gt;"",Company_PC_inputs!BL26,""))</f>
        <v/>
      </c>
      <c r="BM26" s="490" t="str">
        <f>IF(Ofwat_PC_Interventions!BM26&lt;&gt;"",Ofwat_PC_Interventions!BM26,IF(Company_PC_inputs!BM26&lt;&gt;"",Company_PC_inputs!BM26,""))</f>
        <v/>
      </c>
      <c r="BN26" s="490" t="str">
        <f>IF(Ofwat_PC_Interventions!BN26&lt;&gt;"",Ofwat_PC_Interventions!BN26,IF(Company_PC_inputs!BN26&lt;&gt;"",Company_PC_inputs!BN26,""))</f>
        <v/>
      </c>
      <c r="BO26" s="490" t="str">
        <f>IF(Ofwat_PC_Interventions!BO26&lt;&gt;"",Ofwat_PC_Interventions!BO26,IF(Company_PC_inputs!BO26&lt;&gt;"",Company_PC_inputs!BO26,""))</f>
        <v/>
      </c>
      <c r="BP26" s="490" t="str">
        <f>IF(Ofwat_PC_Interventions!BP26&lt;&gt;"",Ofwat_PC_Interventions!BP26,IF(Company_PC_inputs!BP26&lt;&gt;"",Company_PC_inputs!BP26,""))</f>
        <v/>
      </c>
      <c r="BQ26" s="490" t="str">
        <f>IF(Ofwat_PC_Interventions!BQ26&lt;&gt;"",Ofwat_PC_Interventions!BQ26,IF(Company_PC_inputs!BQ26&lt;&gt;"",Company_PC_inputs!BQ26,""))</f>
        <v/>
      </c>
      <c r="BR26" s="490" t="str">
        <f>IF(Ofwat_PC_Interventions!BR26&lt;&gt;"",Ofwat_PC_Interventions!BR26,IF(Company_PC_inputs!BR26&lt;&gt;"",Company_PC_inputs!BR26,""))</f>
        <v/>
      </c>
      <c r="BS26" s="490" t="str">
        <f>IF(Ofwat_PC_Interventions!BS26&lt;&gt;"",Ofwat_PC_Interventions!BS26,IF(Company_PC_inputs!BS26&lt;&gt;"",Company_PC_inputs!BS26,""))</f>
        <v/>
      </c>
    </row>
    <row r="27" spans="1:71" s="202" customFormat="1" ht="13.15">
      <c r="A27" s="453"/>
      <c r="B27" s="453"/>
      <c r="C27" s="453"/>
      <c r="D27" s="453"/>
      <c r="E27" s="453" t="s">
        <v>1171</v>
      </c>
      <c r="F27" s="453"/>
      <c r="G27" s="453" t="str">
        <f>InpCompany!$F$11</f>
        <v>£m (2017-18 prices)</v>
      </c>
      <c r="H27" s="453"/>
      <c r="I27" s="453"/>
      <c r="J27" s="490" t="str">
        <f>IF(Ofwat_PC_Interventions!J27&lt;&gt;"",Ofwat_PC_Interventions!J27,IF(Company_PC_inputs!J27&lt;&gt;"",Company_PC_inputs!J27,""))</f>
        <v/>
      </c>
      <c r="K27" s="490" t="str">
        <f>IF(Ofwat_PC_Interventions!K27&lt;&gt;"",Ofwat_PC_Interventions!K27,IF(Company_PC_inputs!K27&lt;&gt;"",Company_PC_inputs!K27,""))</f>
        <v/>
      </c>
      <c r="L27" s="490" t="str">
        <f>IF(Ofwat_PC_Interventions!L27&lt;&gt;"",Ofwat_PC_Interventions!L27,IF(Company_PC_inputs!L27&lt;&gt;"",Company_PC_inputs!L27,""))</f>
        <v/>
      </c>
      <c r="M27" s="490" t="str">
        <f>IF(Ofwat_PC_Interventions!M27&lt;&gt;"",Ofwat_PC_Interventions!M27,IF(Company_PC_inputs!M27&lt;&gt;"",Company_PC_inputs!M27,""))</f>
        <v/>
      </c>
      <c r="N27" s="490">
        <f>IF(Ofwat_PC_Interventions!N27&lt;&gt;"",Ofwat_PC_Interventions!N27,IF(Company_PC_inputs!N27&lt;&gt;"",Company_PC_inputs!N27,""))</f>
        <v>0</v>
      </c>
      <c r="O27" s="490" t="str">
        <f>IF(Ofwat_PC_Interventions!O27&lt;&gt;"",Ofwat_PC_Interventions!O27,IF(Company_PC_inputs!O27&lt;&gt;"",Company_PC_inputs!O27,""))</f>
        <v/>
      </c>
      <c r="P27" s="490" t="str">
        <f>IF(Ofwat_PC_Interventions!P27&lt;&gt;"",Ofwat_PC_Interventions!P27,IF(Company_PC_inputs!P27&lt;&gt;"",Company_PC_inputs!P27,""))</f>
        <v/>
      </c>
      <c r="Q27" s="491" t="str">
        <f>IF(Ofwat_PC_Interventions!Q27&lt;&gt;"",Ofwat_PC_Interventions!Q27,IF(Company_PC_inputs!Q27&lt;&gt;"",Company_PC_inputs!Q27,""))</f>
        <v/>
      </c>
      <c r="R27" s="490" t="str">
        <f>IF(Ofwat_PC_Interventions!R27&lt;&gt;"",Ofwat_PC_Interventions!R27,IF(Company_PC_inputs!R27&lt;&gt;"",Company_PC_inputs!R27,""))</f>
        <v/>
      </c>
      <c r="S27" s="490" t="str">
        <f>IF(Ofwat_PC_Interventions!S27&lt;&gt;"",Ofwat_PC_Interventions!S27,IF(Company_PC_inputs!S27&lt;&gt;"",Company_PC_inputs!S27,""))</f>
        <v/>
      </c>
      <c r="T27" s="490" t="str">
        <f>IF(Ofwat_PC_Interventions!T27&lt;&gt;"",Ofwat_PC_Interventions!T27,IF(Company_PC_inputs!T27&lt;&gt;"",Company_PC_inputs!T27,""))</f>
        <v/>
      </c>
      <c r="U27" s="490" t="str">
        <f>IF(Ofwat_PC_Interventions!U27&lt;&gt;"",Ofwat_PC_Interventions!U27,IF(Company_PC_inputs!U27&lt;&gt;"",Company_PC_inputs!U27,""))</f>
        <v/>
      </c>
      <c r="V27" s="490" t="str">
        <f>IF(Ofwat_PC_Interventions!V27&lt;&gt;"",Ofwat_PC_Interventions!V27,IF(Company_PC_inputs!V27&lt;&gt;"",Company_PC_inputs!V27,""))</f>
        <v/>
      </c>
      <c r="W27" s="490" t="str">
        <f>IF(Ofwat_PC_Interventions!W27&lt;&gt;"",Ofwat_PC_Interventions!W27,IF(Company_PC_inputs!W27&lt;&gt;"",Company_PC_inputs!W27,""))</f>
        <v/>
      </c>
      <c r="X27" s="490" t="str">
        <f>IF(Ofwat_PC_Interventions!X27&lt;&gt;"",Ofwat_PC_Interventions!X27,IF(Company_PC_inputs!X27&lt;&gt;"",Company_PC_inputs!X27,""))</f>
        <v/>
      </c>
      <c r="Y27" s="490" t="str">
        <f>IF(Ofwat_PC_Interventions!Y27&lt;&gt;"",Ofwat_PC_Interventions!Y27,IF(Company_PC_inputs!Y27&lt;&gt;"",Company_PC_inputs!Y27,""))</f>
        <v/>
      </c>
      <c r="Z27" s="490" t="str">
        <f>IF(Ofwat_PC_Interventions!Z27&lt;&gt;"",Ofwat_PC_Interventions!Z27,IF(Company_PC_inputs!Z27&lt;&gt;"",Company_PC_inputs!Z27,""))</f>
        <v/>
      </c>
      <c r="AA27" s="490" t="str">
        <f>IF(Ofwat_PC_Interventions!AA27&lt;&gt;"",Ofwat_PC_Interventions!AA27,IF(Company_PC_inputs!AA27&lt;&gt;"",Company_PC_inputs!AA27,""))</f>
        <v/>
      </c>
      <c r="AB27" s="490" t="str">
        <f>IF(Ofwat_PC_Interventions!AB27&lt;&gt;"",Ofwat_PC_Interventions!AB27,IF(Company_PC_inputs!AB27&lt;&gt;"",Company_PC_inputs!AB27,""))</f>
        <v/>
      </c>
      <c r="AC27" s="490" t="str">
        <f>IF(Ofwat_PC_Interventions!AC27&lt;&gt;"",Ofwat_PC_Interventions!AC27,IF(Company_PC_inputs!AC27&lt;&gt;"",Company_PC_inputs!AC27,""))</f>
        <v/>
      </c>
      <c r="AD27" s="490" t="str">
        <f>IF(Ofwat_PC_Interventions!AD27&lt;&gt;"",Ofwat_PC_Interventions!AD27,IF(Company_PC_inputs!AD27&lt;&gt;"",Company_PC_inputs!AD27,""))</f>
        <v/>
      </c>
      <c r="AE27" s="490" t="str">
        <f>IF(Ofwat_PC_Interventions!AE27&lt;&gt;"",Ofwat_PC_Interventions!AE27,IF(Company_PC_inputs!AE27&lt;&gt;"",Company_PC_inputs!AE27,""))</f>
        <v/>
      </c>
      <c r="AF27" s="490" t="str">
        <f>IF(Ofwat_PC_Interventions!AF27&lt;&gt;"",Ofwat_PC_Interventions!AF27,IF(Company_PC_inputs!AF27&lt;&gt;"",Company_PC_inputs!AF27,""))</f>
        <v/>
      </c>
      <c r="AG27" s="490" t="str">
        <f>IF(Ofwat_PC_Interventions!AG27&lt;&gt;"",Ofwat_PC_Interventions!AG27,IF(Company_PC_inputs!AG27&lt;&gt;"",Company_PC_inputs!AG27,""))</f>
        <v/>
      </c>
      <c r="AH27" s="490" t="str">
        <f>IF(Ofwat_PC_Interventions!AH27&lt;&gt;"",Ofwat_PC_Interventions!AH27,IF(Company_PC_inputs!AH27&lt;&gt;"",Company_PC_inputs!AH27,""))</f>
        <v/>
      </c>
      <c r="AI27" s="490" t="str">
        <f>IF(Ofwat_PC_Interventions!AI27&lt;&gt;"",Ofwat_PC_Interventions!AI27,IF(Company_PC_inputs!AI27&lt;&gt;"",Company_PC_inputs!AI27,""))</f>
        <v/>
      </c>
      <c r="AJ27" s="490" t="str">
        <f>IF(Ofwat_PC_Interventions!AJ27&lt;&gt;"",Ofwat_PC_Interventions!AJ27,IF(Company_PC_inputs!AJ27&lt;&gt;"",Company_PC_inputs!AJ27,""))</f>
        <v/>
      </c>
      <c r="AK27" s="491" t="str">
        <f>IF(Ofwat_PC_Interventions!AK27&lt;&gt;"",Ofwat_PC_Interventions!AK27,IF(Company_PC_inputs!AK27&lt;&gt;"",Company_PC_inputs!AK27,""))</f>
        <v/>
      </c>
      <c r="AL27" s="490" t="str">
        <f>IF(Ofwat_PC_Interventions!AL27&lt;&gt;"",Ofwat_PC_Interventions!AL27,IF(Company_PC_inputs!AL27&lt;&gt;"",Company_PC_inputs!AL27,""))</f>
        <v/>
      </c>
      <c r="AM27" s="490" t="str">
        <f>IF(Ofwat_PC_Interventions!AM27&lt;&gt;"",Ofwat_PC_Interventions!AM27,IF(Company_PC_inputs!AM27&lt;&gt;"",Company_PC_inputs!AM27,""))</f>
        <v/>
      </c>
      <c r="AN27" s="490" t="str">
        <f>IF(Ofwat_PC_Interventions!AN27&lt;&gt;"",Ofwat_PC_Interventions!AN27,IF(Company_PC_inputs!AN27&lt;&gt;"",Company_PC_inputs!AN27,""))</f>
        <v/>
      </c>
      <c r="AO27" s="491" t="str">
        <f>IF(Ofwat_PC_Interventions!AO27&lt;&gt;"",Ofwat_PC_Interventions!AO27,IF(Company_PC_inputs!AO27&lt;&gt;"",Company_PC_inputs!AO27,""))</f>
        <v/>
      </c>
      <c r="AP27" s="490" t="str">
        <f>IF(Ofwat_PC_Interventions!AP27&lt;&gt;"",Ofwat_PC_Interventions!AP27,IF(Company_PC_inputs!AP27&lt;&gt;"",Company_PC_inputs!AP27,""))</f>
        <v/>
      </c>
      <c r="AQ27" s="490" t="str">
        <f>IF(Ofwat_PC_Interventions!AQ27&lt;&gt;"",Ofwat_PC_Interventions!AQ27,IF(Company_PC_inputs!AQ27&lt;&gt;"",Company_PC_inputs!AQ27,""))</f>
        <v/>
      </c>
      <c r="AR27" s="490" t="str">
        <f>IF(Ofwat_PC_Interventions!AR27&lt;&gt;"",Ofwat_PC_Interventions!AR27,IF(Company_PC_inputs!AR27&lt;&gt;"",Company_PC_inputs!AR27,""))</f>
        <v/>
      </c>
      <c r="AS27" s="490" t="str">
        <f>IF(Ofwat_PC_Interventions!AS27&lt;&gt;"",Ofwat_PC_Interventions!AS27,IF(Company_PC_inputs!AS27&lt;&gt;"",Company_PC_inputs!AS27,""))</f>
        <v/>
      </c>
      <c r="AT27" s="490" t="str">
        <f>IF(Ofwat_PC_Interventions!AT27&lt;&gt;"",Ofwat_PC_Interventions!AT27,IF(Company_PC_inputs!AT27&lt;&gt;"",Company_PC_inputs!AT27,""))</f>
        <v/>
      </c>
      <c r="AU27" s="490" t="str">
        <f>IF(Ofwat_PC_Interventions!AU27&lt;&gt;"",Ofwat_PC_Interventions!AU27,IF(Company_PC_inputs!AU27&lt;&gt;"",Company_PC_inputs!AU27,""))</f>
        <v/>
      </c>
      <c r="AV27" s="490" t="str">
        <f>IF(Ofwat_PC_Interventions!AV27&lt;&gt;"",Ofwat_PC_Interventions!AV27,IF(Company_PC_inputs!AV27&lt;&gt;"",Company_PC_inputs!AV27,""))</f>
        <v/>
      </c>
      <c r="AW27" s="490" t="str">
        <f>IF(Ofwat_PC_Interventions!AW27&lt;&gt;"",Ofwat_PC_Interventions!AW27,IF(Company_PC_inputs!AW27&lt;&gt;"",Company_PC_inputs!AW27,""))</f>
        <v/>
      </c>
      <c r="AX27" s="490" t="str">
        <f>IF(Ofwat_PC_Interventions!AX27&lt;&gt;"",Ofwat_PC_Interventions!AX27,IF(Company_PC_inputs!AX27&lt;&gt;"",Company_PC_inputs!AX27,""))</f>
        <v/>
      </c>
      <c r="AY27" s="490" t="str">
        <f>IF(Ofwat_PC_Interventions!AY27&lt;&gt;"",Ofwat_PC_Interventions!AY27,IF(Company_PC_inputs!AY27&lt;&gt;"",Company_PC_inputs!AY27,""))</f>
        <v/>
      </c>
      <c r="AZ27" s="490" t="str">
        <f>IF(Ofwat_PC_Interventions!AZ27&lt;&gt;"",Ofwat_PC_Interventions!AZ27,IF(Company_PC_inputs!AZ27&lt;&gt;"",Company_PC_inputs!AZ27,""))</f>
        <v/>
      </c>
      <c r="BA27" s="490" t="str">
        <f>IF(Ofwat_PC_Interventions!BA27&lt;&gt;"",Ofwat_PC_Interventions!BA27,IF(Company_PC_inputs!BA27&lt;&gt;"",Company_PC_inputs!BA27,""))</f>
        <v/>
      </c>
      <c r="BB27" s="490" t="str">
        <f>IF(Ofwat_PC_Interventions!BB27&lt;&gt;"",Ofwat_PC_Interventions!BB27,IF(Company_PC_inputs!BB27&lt;&gt;"",Company_PC_inputs!BB27,""))</f>
        <v/>
      </c>
      <c r="BC27" s="491" t="str">
        <f>IF(Ofwat_PC_Interventions!BC27&lt;&gt;"",Ofwat_PC_Interventions!BC27,IF(Company_PC_inputs!BC27&lt;&gt;"",Company_PC_inputs!BC27,""))</f>
        <v/>
      </c>
      <c r="BD27" s="490" t="str">
        <f>IF(Ofwat_PC_Interventions!BD27&lt;&gt;"",Ofwat_PC_Interventions!BD27,IF(Company_PC_inputs!BD27&lt;&gt;"",Company_PC_inputs!BD27,""))</f>
        <v/>
      </c>
      <c r="BE27" s="490" t="str">
        <f>IF(Ofwat_PC_Interventions!BE27&lt;&gt;"",Ofwat_PC_Interventions!BE27,IF(Company_PC_inputs!BE27&lt;&gt;"",Company_PC_inputs!BE27,""))</f>
        <v/>
      </c>
      <c r="BF27" s="490" t="str">
        <f>IF(Ofwat_PC_Interventions!BF27&lt;&gt;"",Ofwat_PC_Interventions!BF27,IF(Company_PC_inputs!BF27&lt;&gt;"",Company_PC_inputs!BF27,""))</f>
        <v/>
      </c>
      <c r="BG27" s="490" t="str">
        <f>IF(Ofwat_PC_Interventions!BG27&lt;&gt;"",Ofwat_PC_Interventions!BG27,IF(Company_PC_inputs!BG27&lt;&gt;"",Company_PC_inputs!BG27,""))</f>
        <v/>
      </c>
      <c r="BH27" s="490" t="str">
        <f>IF(Ofwat_PC_Interventions!BH27&lt;&gt;"",Ofwat_PC_Interventions!BH27,IF(Company_PC_inputs!BH27&lt;&gt;"",Company_PC_inputs!BH27,""))</f>
        <v/>
      </c>
      <c r="BI27" s="490" t="str">
        <f>IF(Ofwat_PC_Interventions!BI27&lt;&gt;"",Ofwat_PC_Interventions!BI27,IF(Company_PC_inputs!BI27&lt;&gt;"",Company_PC_inputs!BI27,""))</f>
        <v/>
      </c>
      <c r="BJ27" s="490" t="str">
        <f>IF(Ofwat_PC_Interventions!BJ27&lt;&gt;"",Ofwat_PC_Interventions!BJ27,IF(Company_PC_inputs!BJ27&lt;&gt;"",Company_PC_inputs!BJ27,""))</f>
        <v/>
      </c>
      <c r="BK27" s="490" t="str">
        <f>IF(Ofwat_PC_Interventions!BK27&lt;&gt;"",Ofwat_PC_Interventions!BK27,IF(Company_PC_inputs!BK27&lt;&gt;"",Company_PC_inputs!BK27,""))</f>
        <v/>
      </c>
      <c r="BL27" s="490" t="str">
        <f>IF(Ofwat_PC_Interventions!BL27&lt;&gt;"",Ofwat_PC_Interventions!BL27,IF(Company_PC_inputs!BL27&lt;&gt;"",Company_PC_inputs!BL27,""))</f>
        <v/>
      </c>
      <c r="BM27" s="490" t="str">
        <f>IF(Ofwat_PC_Interventions!BM27&lt;&gt;"",Ofwat_PC_Interventions!BM27,IF(Company_PC_inputs!BM27&lt;&gt;"",Company_PC_inputs!BM27,""))</f>
        <v/>
      </c>
      <c r="BN27" s="490" t="str">
        <f>IF(Ofwat_PC_Interventions!BN27&lt;&gt;"",Ofwat_PC_Interventions!BN27,IF(Company_PC_inputs!BN27&lt;&gt;"",Company_PC_inputs!BN27,""))</f>
        <v/>
      </c>
      <c r="BO27" s="490" t="str">
        <f>IF(Ofwat_PC_Interventions!BO27&lt;&gt;"",Ofwat_PC_Interventions!BO27,IF(Company_PC_inputs!BO27&lt;&gt;"",Company_PC_inputs!BO27,""))</f>
        <v/>
      </c>
      <c r="BP27" s="490" t="str">
        <f>IF(Ofwat_PC_Interventions!BP27&lt;&gt;"",Ofwat_PC_Interventions!BP27,IF(Company_PC_inputs!BP27&lt;&gt;"",Company_PC_inputs!BP27,""))</f>
        <v/>
      </c>
      <c r="BQ27" s="490" t="str">
        <f>IF(Ofwat_PC_Interventions!BQ27&lt;&gt;"",Ofwat_PC_Interventions!BQ27,IF(Company_PC_inputs!BQ27&lt;&gt;"",Company_PC_inputs!BQ27,""))</f>
        <v/>
      </c>
      <c r="BR27" s="490" t="str">
        <f>IF(Ofwat_PC_Interventions!BR27&lt;&gt;"",Ofwat_PC_Interventions!BR27,IF(Company_PC_inputs!BR27&lt;&gt;"",Company_PC_inputs!BR27,""))</f>
        <v/>
      </c>
      <c r="BS27" s="490" t="str">
        <f>IF(Ofwat_PC_Interventions!BS27&lt;&gt;"",Ofwat_PC_Interventions!BS27,IF(Company_PC_inputs!BS27&lt;&gt;"",Company_PC_inputs!BS27,""))</f>
        <v/>
      </c>
    </row>
    <row r="28" spans="1:71" s="202" customFormat="1" ht="13.15">
      <c r="A28" s="453"/>
      <c r="B28" s="453"/>
      <c r="C28" s="453"/>
      <c r="D28" s="453"/>
      <c r="E28" s="453" t="s">
        <v>1172</v>
      </c>
      <c r="F28" s="453"/>
      <c r="G28" s="453" t="str">
        <f>InpCompany!$F$11</f>
        <v>£m (2017-18 prices)</v>
      </c>
      <c r="H28" s="453"/>
      <c r="I28" s="453"/>
      <c r="J28" s="490" t="str">
        <f>IF(Ofwat_PC_Interventions!J28&lt;&gt;"",Ofwat_PC_Interventions!J28,IF(Company_PC_inputs!J28&lt;&gt;"",Company_PC_inputs!J28,""))</f>
        <v/>
      </c>
      <c r="K28" s="490" t="str">
        <f>IF(Ofwat_PC_Interventions!K28&lt;&gt;"",Ofwat_PC_Interventions!K28,IF(Company_PC_inputs!K28&lt;&gt;"",Company_PC_inputs!K28,""))</f>
        <v/>
      </c>
      <c r="L28" s="490" t="str">
        <f>IF(Ofwat_PC_Interventions!L28&lt;&gt;"",Ofwat_PC_Interventions!L28,IF(Company_PC_inputs!L28&lt;&gt;"",Company_PC_inputs!L28,""))</f>
        <v/>
      </c>
      <c r="M28" s="490" t="str">
        <f>IF(Ofwat_PC_Interventions!M28&lt;&gt;"",Ofwat_PC_Interventions!M28,IF(Company_PC_inputs!M28&lt;&gt;"",Company_PC_inputs!M28,""))</f>
        <v/>
      </c>
      <c r="N28" s="490" t="str">
        <f>IF(Ofwat_PC_Interventions!N28&lt;&gt;"",Ofwat_PC_Interventions!N28,IF(Company_PC_inputs!N28&lt;&gt;"",Company_PC_inputs!N28,""))</f>
        <v/>
      </c>
      <c r="O28" s="490" t="str">
        <f>IF(Ofwat_PC_Interventions!O28&lt;&gt;"",Ofwat_PC_Interventions!O28,IF(Company_PC_inputs!O28&lt;&gt;"",Company_PC_inputs!O28,""))</f>
        <v/>
      </c>
      <c r="P28" s="490" t="str">
        <f>IF(Ofwat_PC_Interventions!P28&lt;&gt;"",Ofwat_PC_Interventions!P28,IF(Company_PC_inputs!P28&lt;&gt;"",Company_PC_inputs!P28,""))</f>
        <v/>
      </c>
      <c r="Q28" s="491" t="str">
        <f>IF(Ofwat_PC_Interventions!Q28&lt;&gt;"",Ofwat_PC_Interventions!Q28,IF(Company_PC_inputs!Q28&lt;&gt;"",Company_PC_inputs!Q28,""))</f>
        <v/>
      </c>
      <c r="R28" s="490" t="str">
        <f>IF(Ofwat_PC_Interventions!R28&lt;&gt;"",Ofwat_PC_Interventions!R28,IF(Company_PC_inputs!R28&lt;&gt;"",Company_PC_inputs!R28,""))</f>
        <v/>
      </c>
      <c r="S28" s="490" t="str">
        <f>IF(Ofwat_PC_Interventions!S28&lt;&gt;"",Ofwat_PC_Interventions!S28,IF(Company_PC_inputs!S28&lt;&gt;"",Company_PC_inputs!S28,""))</f>
        <v/>
      </c>
      <c r="T28" s="490" t="str">
        <f>IF(Ofwat_PC_Interventions!T28&lt;&gt;"",Ofwat_PC_Interventions!T28,IF(Company_PC_inputs!T28&lt;&gt;"",Company_PC_inputs!T28,""))</f>
        <v/>
      </c>
      <c r="U28" s="490" t="str">
        <f>IF(Ofwat_PC_Interventions!U28&lt;&gt;"",Ofwat_PC_Interventions!U28,IF(Company_PC_inputs!U28&lt;&gt;"",Company_PC_inputs!U28,""))</f>
        <v/>
      </c>
      <c r="V28" s="490" t="str">
        <f>IF(Ofwat_PC_Interventions!V28&lt;&gt;"",Ofwat_PC_Interventions!V28,IF(Company_PC_inputs!V28&lt;&gt;"",Company_PC_inputs!V28,""))</f>
        <v/>
      </c>
      <c r="W28" s="490" t="str">
        <f>IF(Ofwat_PC_Interventions!W28&lt;&gt;"",Ofwat_PC_Interventions!W28,IF(Company_PC_inputs!W28&lt;&gt;"",Company_PC_inputs!W28,""))</f>
        <v/>
      </c>
      <c r="X28" s="490" t="str">
        <f>IF(Ofwat_PC_Interventions!X28&lt;&gt;"",Ofwat_PC_Interventions!X28,IF(Company_PC_inputs!X28&lt;&gt;"",Company_PC_inputs!X28,""))</f>
        <v/>
      </c>
      <c r="Y28" s="490" t="str">
        <f>IF(Ofwat_PC_Interventions!Y28&lt;&gt;"",Ofwat_PC_Interventions!Y28,IF(Company_PC_inputs!Y28&lt;&gt;"",Company_PC_inputs!Y28,""))</f>
        <v/>
      </c>
      <c r="Z28" s="490" t="str">
        <f>IF(Ofwat_PC_Interventions!Z28&lt;&gt;"",Ofwat_PC_Interventions!Z28,IF(Company_PC_inputs!Z28&lt;&gt;"",Company_PC_inputs!Z28,""))</f>
        <v/>
      </c>
      <c r="AA28" s="490" t="str">
        <f>IF(Ofwat_PC_Interventions!AA28&lt;&gt;"",Ofwat_PC_Interventions!AA28,IF(Company_PC_inputs!AA28&lt;&gt;"",Company_PC_inputs!AA28,""))</f>
        <v/>
      </c>
      <c r="AB28" s="490" t="str">
        <f>IF(Ofwat_PC_Interventions!AB28&lt;&gt;"",Ofwat_PC_Interventions!AB28,IF(Company_PC_inputs!AB28&lt;&gt;"",Company_PC_inputs!AB28,""))</f>
        <v/>
      </c>
      <c r="AC28" s="490" t="str">
        <f>IF(Ofwat_PC_Interventions!AC28&lt;&gt;"",Ofwat_PC_Interventions!AC28,IF(Company_PC_inputs!AC28&lt;&gt;"",Company_PC_inputs!AC28,""))</f>
        <v/>
      </c>
      <c r="AD28" s="490" t="str">
        <f>IF(Ofwat_PC_Interventions!AD28&lt;&gt;"",Ofwat_PC_Interventions!AD28,IF(Company_PC_inputs!AD28&lt;&gt;"",Company_PC_inputs!AD28,""))</f>
        <v/>
      </c>
      <c r="AE28" s="490" t="str">
        <f>IF(Ofwat_PC_Interventions!AE28&lt;&gt;"",Ofwat_PC_Interventions!AE28,IF(Company_PC_inputs!AE28&lt;&gt;"",Company_PC_inputs!AE28,""))</f>
        <v/>
      </c>
      <c r="AF28" s="490" t="str">
        <f>IF(Ofwat_PC_Interventions!AF28&lt;&gt;"",Ofwat_PC_Interventions!AF28,IF(Company_PC_inputs!AF28&lt;&gt;"",Company_PC_inputs!AF28,""))</f>
        <v/>
      </c>
      <c r="AG28" s="490" t="str">
        <f>IF(Ofwat_PC_Interventions!AG28&lt;&gt;"",Ofwat_PC_Interventions!AG28,IF(Company_PC_inputs!AG28&lt;&gt;"",Company_PC_inputs!AG28,""))</f>
        <v/>
      </c>
      <c r="AH28" s="490" t="str">
        <f>IF(Ofwat_PC_Interventions!AH28&lt;&gt;"",Ofwat_PC_Interventions!AH28,IF(Company_PC_inputs!AH28&lt;&gt;"",Company_PC_inputs!AH28,""))</f>
        <v/>
      </c>
      <c r="AI28" s="490" t="str">
        <f>IF(Ofwat_PC_Interventions!AI28&lt;&gt;"",Ofwat_PC_Interventions!AI28,IF(Company_PC_inputs!AI28&lt;&gt;"",Company_PC_inputs!AI28,""))</f>
        <v/>
      </c>
      <c r="AJ28" s="490" t="str">
        <f>IF(Ofwat_PC_Interventions!AJ28&lt;&gt;"",Ofwat_PC_Interventions!AJ28,IF(Company_PC_inputs!AJ28&lt;&gt;"",Company_PC_inputs!AJ28,""))</f>
        <v/>
      </c>
      <c r="AK28" s="491" t="str">
        <f>IF(Ofwat_PC_Interventions!AK28&lt;&gt;"",Ofwat_PC_Interventions!AK28,IF(Company_PC_inputs!AK28&lt;&gt;"",Company_PC_inputs!AK28,""))</f>
        <v/>
      </c>
      <c r="AL28" s="490" t="str">
        <f>IF(Ofwat_PC_Interventions!AL28&lt;&gt;"",Ofwat_PC_Interventions!AL28,IF(Company_PC_inputs!AL28&lt;&gt;"",Company_PC_inputs!AL28,""))</f>
        <v/>
      </c>
      <c r="AM28" s="490" t="str">
        <f>IF(Ofwat_PC_Interventions!AM28&lt;&gt;"",Ofwat_PC_Interventions!AM28,IF(Company_PC_inputs!AM28&lt;&gt;"",Company_PC_inputs!AM28,""))</f>
        <v/>
      </c>
      <c r="AN28" s="490" t="str">
        <f>IF(Ofwat_PC_Interventions!AN28&lt;&gt;"",Ofwat_PC_Interventions!AN28,IF(Company_PC_inputs!AN28&lt;&gt;"",Company_PC_inputs!AN28,""))</f>
        <v/>
      </c>
      <c r="AO28" s="491" t="str">
        <f>IF(Ofwat_PC_Interventions!AO28&lt;&gt;"",Ofwat_PC_Interventions!AO28,IF(Company_PC_inputs!AO28&lt;&gt;"",Company_PC_inputs!AO28,""))</f>
        <v/>
      </c>
      <c r="AP28" s="490" t="str">
        <f>IF(Ofwat_PC_Interventions!AP28&lt;&gt;"",Ofwat_PC_Interventions!AP28,IF(Company_PC_inputs!AP28&lt;&gt;"",Company_PC_inputs!AP28,""))</f>
        <v/>
      </c>
      <c r="AQ28" s="490" t="str">
        <f>IF(Ofwat_PC_Interventions!AQ28&lt;&gt;"",Ofwat_PC_Interventions!AQ28,IF(Company_PC_inputs!AQ28&lt;&gt;"",Company_PC_inputs!AQ28,""))</f>
        <v/>
      </c>
      <c r="AR28" s="490" t="str">
        <f>IF(Ofwat_PC_Interventions!AR28&lt;&gt;"",Ofwat_PC_Interventions!AR28,IF(Company_PC_inputs!AR28&lt;&gt;"",Company_PC_inputs!AR28,""))</f>
        <v/>
      </c>
      <c r="AS28" s="490" t="str">
        <f>IF(Ofwat_PC_Interventions!AS28&lt;&gt;"",Ofwat_PC_Interventions!AS28,IF(Company_PC_inputs!AS28&lt;&gt;"",Company_PC_inputs!AS28,""))</f>
        <v/>
      </c>
      <c r="AT28" s="490" t="str">
        <f>IF(Ofwat_PC_Interventions!AT28&lt;&gt;"",Ofwat_PC_Interventions!AT28,IF(Company_PC_inputs!AT28&lt;&gt;"",Company_PC_inputs!AT28,""))</f>
        <v/>
      </c>
      <c r="AU28" s="490" t="str">
        <f>IF(Ofwat_PC_Interventions!AU28&lt;&gt;"",Ofwat_PC_Interventions!AU28,IF(Company_PC_inputs!AU28&lt;&gt;"",Company_PC_inputs!AU28,""))</f>
        <v/>
      </c>
      <c r="AV28" s="490" t="str">
        <f>IF(Ofwat_PC_Interventions!AV28&lt;&gt;"",Ofwat_PC_Interventions!AV28,IF(Company_PC_inputs!AV28&lt;&gt;"",Company_PC_inputs!AV28,""))</f>
        <v/>
      </c>
      <c r="AW28" s="490" t="str">
        <f>IF(Ofwat_PC_Interventions!AW28&lt;&gt;"",Ofwat_PC_Interventions!AW28,IF(Company_PC_inputs!AW28&lt;&gt;"",Company_PC_inputs!AW28,""))</f>
        <v/>
      </c>
      <c r="AX28" s="490" t="str">
        <f>IF(Ofwat_PC_Interventions!AX28&lt;&gt;"",Ofwat_PC_Interventions!AX28,IF(Company_PC_inputs!AX28&lt;&gt;"",Company_PC_inputs!AX28,""))</f>
        <v/>
      </c>
      <c r="AY28" s="490" t="str">
        <f>IF(Ofwat_PC_Interventions!AY28&lt;&gt;"",Ofwat_PC_Interventions!AY28,IF(Company_PC_inputs!AY28&lt;&gt;"",Company_PC_inputs!AY28,""))</f>
        <v/>
      </c>
      <c r="AZ28" s="490" t="str">
        <f>IF(Ofwat_PC_Interventions!AZ28&lt;&gt;"",Ofwat_PC_Interventions!AZ28,IF(Company_PC_inputs!AZ28&lt;&gt;"",Company_PC_inputs!AZ28,""))</f>
        <v/>
      </c>
      <c r="BA28" s="490" t="str">
        <f>IF(Ofwat_PC_Interventions!BA28&lt;&gt;"",Ofwat_PC_Interventions!BA28,IF(Company_PC_inputs!BA28&lt;&gt;"",Company_PC_inputs!BA28,""))</f>
        <v/>
      </c>
      <c r="BB28" s="490" t="str">
        <f>IF(Ofwat_PC_Interventions!BB28&lt;&gt;"",Ofwat_PC_Interventions!BB28,IF(Company_PC_inputs!BB28&lt;&gt;"",Company_PC_inputs!BB28,""))</f>
        <v/>
      </c>
      <c r="BC28" s="491" t="str">
        <f>IF(Ofwat_PC_Interventions!BC28&lt;&gt;"",Ofwat_PC_Interventions!BC28,IF(Company_PC_inputs!BC28&lt;&gt;"",Company_PC_inputs!BC28,""))</f>
        <v/>
      </c>
      <c r="BD28" s="490" t="str">
        <f>IF(Ofwat_PC_Interventions!BD28&lt;&gt;"",Ofwat_PC_Interventions!BD28,IF(Company_PC_inputs!BD28&lt;&gt;"",Company_PC_inputs!BD28,""))</f>
        <v/>
      </c>
      <c r="BE28" s="490" t="str">
        <f>IF(Ofwat_PC_Interventions!BE28&lt;&gt;"",Ofwat_PC_Interventions!BE28,IF(Company_PC_inputs!BE28&lt;&gt;"",Company_PC_inputs!BE28,""))</f>
        <v/>
      </c>
      <c r="BF28" s="490" t="str">
        <f>IF(Ofwat_PC_Interventions!BF28&lt;&gt;"",Ofwat_PC_Interventions!BF28,IF(Company_PC_inputs!BF28&lt;&gt;"",Company_PC_inputs!BF28,""))</f>
        <v/>
      </c>
      <c r="BG28" s="490" t="str">
        <f>IF(Ofwat_PC_Interventions!BG28&lt;&gt;"",Ofwat_PC_Interventions!BG28,IF(Company_PC_inputs!BG28&lt;&gt;"",Company_PC_inputs!BG28,""))</f>
        <v/>
      </c>
      <c r="BH28" s="490" t="str">
        <f>IF(Ofwat_PC_Interventions!BH28&lt;&gt;"",Ofwat_PC_Interventions!BH28,IF(Company_PC_inputs!BH28&lt;&gt;"",Company_PC_inputs!BH28,""))</f>
        <v/>
      </c>
      <c r="BI28" s="490" t="str">
        <f>IF(Ofwat_PC_Interventions!BI28&lt;&gt;"",Ofwat_PC_Interventions!BI28,IF(Company_PC_inputs!BI28&lt;&gt;"",Company_PC_inputs!BI28,""))</f>
        <v/>
      </c>
      <c r="BJ28" s="490" t="str">
        <f>IF(Ofwat_PC_Interventions!BJ28&lt;&gt;"",Ofwat_PC_Interventions!BJ28,IF(Company_PC_inputs!BJ28&lt;&gt;"",Company_PC_inputs!BJ28,""))</f>
        <v/>
      </c>
      <c r="BK28" s="490" t="str">
        <f>IF(Ofwat_PC_Interventions!BK28&lt;&gt;"",Ofwat_PC_Interventions!BK28,IF(Company_PC_inputs!BK28&lt;&gt;"",Company_PC_inputs!BK28,""))</f>
        <v/>
      </c>
      <c r="BL28" s="490" t="str">
        <f>IF(Ofwat_PC_Interventions!BL28&lt;&gt;"",Ofwat_PC_Interventions!BL28,IF(Company_PC_inputs!BL28&lt;&gt;"",Company_PC_inputs!BL28,""))</f>
        <v/>
      </c>
      <c r="BM28" s="490" t="str">
        <f>IF(Ofwat_PC_Interventions!BM28&lt;&gt;"",Ofwat_PC_Interventions!BM28,IF(Company_PC_inputs!BM28&lt;&gt;"",Company_PC_inputs!BM28,""))</f>
        <v/>
      </c>
      <c r="BN28" s="490" t="str">
        <f>IF(Ofwat_PC_Interventions!BN28&lt;&gt;"",Ofwat_PC_Interventions!BN28,IF(Company_PC_inputs!BN28&lt;&gt;"",Company_PC_inputs!BN28,""))</f>
        <v/>
      </c>
      <c r="BO28" s="490" t="str">
        <f>IF(Ofwat_PC_Interventions!BO28&lt;&gt;"",Ofwat_PC_Interventions!BO28,IF(Company_PC_inputs!BO28&lt;&gt;"",Company_PC_inputs!BO28,""))</f>
        <v/>
      </c>
      <c r="BP28" s="490" t="str">
        <f>IF(Ofwat_PC_Interventions!BP28&lt;&gt;"",Ofwat_PC_Interventions!BP28,IF(Company_PC_inputs!BP28&lt;&gt;"",Company_PC_inputs!BP28,""))</f>
        <v/>
      </c>
      <c r="BQ28" s="490" t="str">
        <f>IF(Ofwat_PC_Interventions!BQ28&lt;&gt;"",Ofwat_PC_Interventions!BQ28,IF(Company_PC_inputs!BQ28&lt;&gt;"",Company_PC_inputs!BQ28,""))</f>
        <v/>
      </c>
      <c r="BR28" s="490" t="str">
        <f>IF(Ofwat_PC_Interventions!BR28&lt;&gt;"",Ofwat_PC_Interventions!BR28,IF(Company_PC_inputs!BR28&lt;&gt;"",Company_PC_inputs!BR28,""))</f>
        <v/>
      </c>
      <c r="BS28" s="490" t="str">
        <f>IF(Ofwat_PC_Interventions!BS28&lt;&gt;"",Ofwat_PC_Interventions!BS28,IF(Company_PC_inputs!BS28&lt;&gt;"",Company_PC_inputs!BS28,""))</f>
        <v/>
      </c>
    </row>
    <row r="29" spans="1:71" s="202" customFormat="1" ht="13.15">
      <c r="A29" s="453"/>
      <c r="B29" s="453"/>
      <c r="C29" s="453"/>
      <c r="D29" s="453"/>
      <c r="E29" s="453" t="s">
        <v>1173</v>
      </c>
      <c r="F29" s="453"/>
      <c r="G29" s="453" t="str">
        <f>InpCompany!$F$11</f>
        <v>£m (2017-18 prices)</v>
      </c>
      <c r="H29" s="453"/>
      <c r="I29" s="453"/>
      <c r="J29" s="490" t="str">
        <f>IF(Ofwat_PC_Interventions!J29&lt;&gt;"",Ofwat_PC_Interventions!J29,IF(Company_PC_inputs!J29&lt;&gt;"",Company_PC_inputs!J29,""))</f>
        <v/>
      </c>
      <c r="K29" s="490" t="str">
        <f>IF(Ofwat_PC_Interventions!K29&lt;&gt;"",Ofwat_PC_Interventions!K29,IF(Company_PC_inputs!K29&lt;&gt;"",Company_PC_inputs!K29,""))</f>
        <v/>
      </c>
      <c r="L29" s="490" t="str">
        <f>IF(Ofwat_PC_Interventions!L29&lt;&gt;"",Ofwat_PC_Interventions!L29,IF(Company_PC_inputs!L29&lt;&gt;"",Company_PC_inputs!L29,""))</f>
        <v/>
      </c>
      <c r="M29" s="490" t="str">
        <f>IF(Ofwat_PC_Interventions!M29&lt;&gt;"",Ofwat_PC_Interventions!M29,IF(Company_PC_inputs!M29&lt;&gt;"",Company_PC_inputs!M29,""))</f>
        <v/>
      </c>
      <c r="N29" s="490" t="str">
        <f>IF(Ofwat_PC_Interventions!N29&lt;&gt;"",Ofwat_PC_Interventions!N29,IF(Company_PC_inputs!N29&lt;&gt;"",Company_PC_inputs!N29,""))</f>
        <v/>
      </c>
      <c r="O29" s="490" t="str">
        <f>IF(Ofwat_PC_Interventions!O29&lt;&gt;"",Ofwat_PC_Interventions!O29,IF(Company_PC_inputs!O29&lt;&gt;"",Company_PC_inputs!O29,""))</f>
        <v/>
      </c>
      <c r="P29" s="490" t="str">
        <f>IF(Ofwat_PC_Interventions!P29&lt;&gt;"",Ofwat_PC_Interventions!P29,IF(Company_PC_inputs!P29&lt;&gt;"",Company_PC_inputs!P29,""))</f>
        <v/>
      </c>
      <c r="Q29" s="491" t="str">
        <f>IF(Ofwat_PC_Interventions!Q29&lt;&gt;"",Ofwat_PC_Interventions!Q29,IF(Company_PC_inputs!Q29&lt;&gt;"",Company_PC_inputs!Q29,""))</f>
        <v/>
      </c>
      <c r="R29" s="490" t="str">
        <f>IF(Ofwat_PC_Interventions!R29&lt;&gt;"",Ofwat_PC_Interventions!R29,IF(Company_PC_inputs!R29&lt;&gt;"",Company_PC_inputs!R29,""))</f>
        <v/>
      </c>
      <c r="S29" s="490" t="str">
        <f>IF(Ofwat_PC_Interventions!S29&lt;&gt;"",Ofwat_PC_Interventions!S29,IF(Company_PC_inputs!S29&lt;&gt;"",Company_PC_inputs!S29,""))</f>
        <v/>
      </c>
      <c r="T29" s="490" t="str">
        <f>IF(Ofwat_PC_Interventions!T29&lt;&gt;"",Ofwat_PC_Interventions!T29,IF(Company_PC_inputs!T29&lt;&gt;"",Company_PC_inputs!T29,""))</f>
        <v/>
      </c>
      <c r="U29" s="490" t="str">
        <f>IF(Ofwat_PC_Interventions!U29&lt;&gt;"",Ofwat_PC_Interventions!U29,IF(Company_PC_inputs!U29&lt;&gt;"",Company_PC_inputs!U29,""))</f>
        <v/>
      </c>
      <c r="V29" s="490" t="str">
        <f>IF(Ofwat_PC_Interventions!V29&lt;&gt;"",Ofwat_PC_Interventions!V29,IF(Company_PC_inputs!V29&lt;&gt;"",Company_PC_inputs!V29,""))</f>
        <v/>
      </c>
      <c r="W29" s="490" t="str">
        <f>IF(Ofwat_PC_Interventions!W29&lt;&gt;"",Ofwat_PC_Interventions!W29,IF(Company_PC_inputs!W29&lt;&gt;"",Company_PC_inputs!W29,""))</f>
        <v/>
      </c>
      <c r="X29" s="490" t="str">
        <f>IF(Ofwat_PC_Interventions!X29&lt;&gt;"",Ofwat_PC_Interventions!X29,IF(Company_PC_inputs!X29&lt;&gt;"",Company_PC_inputs!X29,""))</f>
        <v/>
      </c>
      <c r="Y29" s="490" t="str">
        <f>IF(Ofwat_PC_Interventions!Y29&lt;&gt;"",Ofwat_PC_Interventions!Y29,IF(Company_PC_inputs!Y29&lt;&gt;"",Company_PC_inputs!Y29,""))</f>
        <v/>
      </c>
      <c r="Z29" s="490" t="str">
        <f>IF(Ofwat_PC_Interventions!Z29&lt;&gt;"",Ofwat_PC_Interventions!Z29,IF(Company_PC_inputs!Z29&lt;&gt;"",Company_PC_inputs!Z29,""))</f>
        <v/>
      </c>
      <c r="AA29" s="490" t="str">
        <f>IF(Ofwat_PC_Interventions!AA29&lt;&gt;"",Ofwat_PC_Interventions!AA29,IF(Company_PC_inputs!AA29&lt;&gt;"",Company_PC_inputs!AA29,""))</f>
        <v/>
      </c>
      <c r="AB29" s="490" t="str">
        <f>IF(Ofwat_PC_Interventions!AB29&lt;&gt;"",Ofwat_PC_Interventions!AB29,IF(Company_PC_inputs!AB29&lt;&gt;"",Company_PC_inputs!AB29,""))</f>
        <v/>
      </c>
      <c r="AC29" s="490" t="str">
        <f>IF(Ofwat_PC_Interventions!AC29&lt;&gt;"",Ofwat_PC_Interventions!AC29,IF(Company_PC_inputs!AC29&lt;&gt;"",Company_PC_inputs!AC29,""))</f>
        <v/>
      </c>
      <c r="AD29" s="490" t="str">
        <f>IF(Ofwat_PC_Interventions!AD29&lt;&gt;"",Ofwat_PC_Interventions!AD29,IF(Company_PC_inputs!AD29&lt;&gt;"",Company_PC_inputs!AD29,""))</f>
        <v/>
      </c>
      <c r="AE29" s="490" t="str">
        <f>IF(Ofwat_PC_Interventions!AE29&lt;&gt;"",Ofwat_PC_Interventions!AE29,IF(Company_PC_inputs!AE29&lt;&gt;"",Company_PC_inputs!AE29,""))</f>
        <v/>
      </c>
      <c r="AF29" s="490" t="str">
        <f>IF(Ofwat_PC_Interventions!AF29&lt;&gt;"",Ofwat_PC_Interventions!AF29,IF(Company_PC_inputs!AF29&lt;&gt;"",Company_PC_inputs!AF29,""))</f>
        <v/>
      </c>
      <c r="AG29" s="490" t="str">
        <f>IF(Ofwat_PC_Interventions!AG29&lt;&gt;"",Ofwat_PC_Interventions!AG29,IF(Company_PC_inputs!AG29&lt;&gt;"",Company_PC_inputs!AG29,""))</f>
        <v/>
      </c>
      <c r="AH29" s="490" t="str">
        <f>IF(Ofwat_PC_Interventions!AH29&lt;&gt;"",Ofwat_PC_Interventions!AH29,IF(Company_PC_inputs!AH29&lt;&gt;"",Company_PC_inputs!AH29,""))</f>
        <v/>
      </c>
      <c r="AI29" s="490" t="str">
        <f>IF(Ofwat_PC_Interventions!AI29&lt;&gt;"",Ofwat_PC_Interventions!AI29,IF(Company_PC_inputs!AI29&lt;&gt;"",Company_PC_inputs!AI29,""))</f>
        <v/>
      </c>
      <c r="AJ29" s="490" t="str">
        <f>IF(Ofwat_PC_Interventions!AJ29&lt;&gt;"",Ofwat_PC_Interventions!AJ29,IF(Company_PC_inputs!AJ29&lt;&gt;"",Company_PC_inputs!AJ29,""))</f>
        <v/>
      </c>
      <c r="AK29" s="491" t="str">
        <f>IF(Ofwat_PC_Interventions!AK29&lt;&gt;"",Ofwat_PC_Interventions!AK29,IF(Company_PC_inputs!AK29&lt;&gt;"",Company_PC_inputs!AK29,""))</f>
        <v/>
      </c>
      <c r="AL29" s="490" t="str">
        <f>IF(Ofwat_PC_Interventions!AL29&lt;&gt;"",Ofwat_PC_Interventions!AL29,IF(Company_PC_inputs!AL29&lt;&gt;"",Company_PC_inputs!AL29,""))</f>
        <v/>
      </c>
      <c r="AM29" s="490" t="str">
        <f>IF(Ofwat_PC_Interventions!AM29&lt;&gt;"",Ofwat_PC_Interventions!AM29,IF(Company_PC_inputs!AM29&lt;&gt;"",Company_PC_inputs!AM29,""))</f>
        <v/>
      </c>
      <c r="AN29" s="490" t="str">
        <f>IF(Ofwat_PC_Interventions!AN29&lt;&gt;"",Ofwat_PC_Interventions!AN29,IF(Company_PC_inputs!AN29&lt;&gt;"",Company_PC_inputs!AN29,""))</f>
        <v/>
      </c>
      <c r="AO29" s="491" t="str">
        <f>IF(Ofwat_PC_Interventions!AO29&lt;&gt;"",Ofwat_PC_Interventions!AO29,IF(Company_PC_inputs!AO29&lt;&gt;"",Company_PC_inputs!AO29,""))</f>
        <v/>
      </c>
      <c r="AP29" s="490" t="str">
        <f>IF(Ofwat_PC_Interventions!AP29&lt;&gt;"",Ofwat_PC_Interventions!AP29,IF(Company_PC_inputs!AP29&lt;&gt;"",Company_PC_inputs!AP29,""))</f>
        <v/>
      </c>
      <c r="AQ29" s="490" t="str">
        <f>IF(Ofwat_PC_Interventions!AQ29&lt;&gt;"",Ofwat_PC_Interventions!AQ29,IF(Company_PC_inputs!AQ29&lt;&gt;"",Company_PC_inputs!AQ29,""))</f>
        <v/>
      </c>
      <c r="AR29" s="490" t="str">
        <f>IF(Ofwat_PC_Interventions!AR29&lt;&gt;"",Ofwat_PC_Interventions!AR29,IF(Company_PC_inputs!AR29&lt;&gt;"",Company_PC_inputs!AR29,""))</f>
        <v/>
      </c>
      <c r="AS29" s="490" t="str">
        <f>IF(Ofwat_PC_Interventions!AS29&lt;&gt;"",Ofwat_PC_Interventions!AS29,IF(Company_PC_inputs!AS29&lt;&gt;"",Company_PC_inputs!AS29,""))</f>
        <v/>
      </c>
      <c r="AT29" s="490" t="str">
        <f>IF(Ofwat_PC_Interventions!AT29&lt;&gt;"",Ofwat_PC_Interventions!AT29,IF(Company_PC_inputs!AT29&lt;&gt;"",Company_PC_inputs!AT29,""))</f>
        <v/>
      </c>
      <c r="AU29" s="490" t="str">
        <f>IF(Ofwat_PC_Interventions!AU29&lt;&gt;"",Ofwat_PC_Interventions!AU29,IF(Company_PC_inputs!AU29&lt;&gt;"",Company_PC_inputs!AU29,""))</f>
        <v/>
      </c>
      <c r="AV29" s="490" t="str">
        <f>IF(Ofwat_PC_Interventions!AV29&lt;&gt;"",Ofwat_PC_Interventions!AV29,IF(Company_PC_inputs!AV29&lt;&gt;"",Company_PC_inputs!AV29,""))</f>
        <v/>
      </c>
      <c r="AW29" s="490" t="str">
        <f>IF(Ofwat_PC_Interventions!AW29&lt;&gt;"",Ofwat_PC_Interventions!AW29,IF(Company_PC_inputs!AW29&lt;&gt;"",Company_PC_inputs!AW29,""))</f>
        <v/>
      </c>
      <c r="AX29" s="490" t="str">
        <f>IF(Ofwat_PC_Interventions!AX29&lt;&gt;"",Ofwat_PC_Interventions!AX29,IF(Company_PC_inputs!AX29&lt;&gt;"",Company_PC_inputs!AX29,""))</f>
        <v/>
      </c>
      <c r="AY29" s="490" t="str">
        <f>IF(Ofwat_PC_Interventions!AY29&lt;&gt;"",Ofwat_PC_Interventions!AY29,IF(Company_PC_inputs!AY29&lt;&gt;"",Company_PC_inputs!AY29,""))</f>
        <v/>
      </c>
      <c r="AZ29" s="490" t="str">
        <f>IF(Ofwat_PC_Interventions!AZ29&lt;&gt;"",Ofwat_PC_Interventions!AZ29,IF(Company_PC_inputs!AZ29&lt;&gt;"",Company_PC_inputs!AZ29,""))</f>
        <v/>
      </c>
      <c r="BA29" s="490" t="str">
        <f>IF(Ofwat_PC_Interventions!BA29&lt;&gt;"",Ofwat_PC_Interventions!BA29,IF(Company_PC_inputs!BA29&lt;&gt;"",Company_PC_inputs!BA29,""))</f>
        <v/>
      </c>
      <c r="BB29" s="490" t="str">
        <f>IF(Ofwat_PC_Interventions!BB29&lt;&gt;"",Ofwat_PC_Interventions!BB29,IF(Company_PC_inputs!BB29&lt;&gt;"",Company_PC_inputs!BB29,""))</f>
        <v/>
      </c>
      <c r="BC29" s="491" t="str">
        <f>IF(Ofwat_PC_Interventions!BC29&lt;&gt;"",Ofwat_PC_Interventions!BC29,IF(Company_PC_inputs!BC29&lt;&gt;"",Company_PC_inputs!BC29,""))</f>
        <v/>
      </c>
      <c r="BD29" s="490" t="str">
        <f>IF(Ofwat_PC_Interventions!BD29&lt;&gt;"",Ofwat_PC_Interventions!BD29,IF(Company_PC_inputs!BD29&lt;&gt;"",Company_PC_inputs!BD29,""))</f>
        <v/>
      </c>
      <c r="BE29" s="490" t="str">
        <f>IF(Ofwat_PC_Interventions!BE29&lt;&gt;"",Ofwat_PC_Interventions!BE29,IF(Company_PC_inputs!BE29&lt;&gt;"",Company_PC_inputs!BE29,""))</f>
        <v/>
      </c>
      <c r="BF29" s="490" t="str">
        <f>IF(Ofwat_PC_Interventions!BF29&lt;&gt;"",Ofwat_PC_Interventions!BF29,IF(Company_PC_inputs!BF29&lt;&gt;"",Company_PC_inputs!BF29,""))</f>
        <v/>
      </c>
      <c r="BG29" s="490" t="str">
        <f>IF(Ofwat_PC_Interventions!BG29&lt;&gt;"",Ofwat_PC_Interventions!BG29,IF(Company_PC_inputs!BG29&lt;&gt;"",Company_PC_inputs!BG29,""))</f>
        <v/>
      </c>
      <c r="BH29" s="490" t="str">
        <f>IF(Ofwat_PC_Interventions!BH29&lt;&gt;"",Ofwat_PC_Interventions!BH29,IF(Company_PC_inputs!BH29&lt;&gt;"",Company_PC_inputs!BH29,""))</f>
        <v/>
      </c>
      <c r="BI29" s="490" t="str">
        <f>IF(Ofwat_PC_Interventions!BI29&lt;&gt;"",Ofwat_PC_Interventions!BI29,IF(Company_PC_inputs!BI29&lt;&gt;"",Company_PC_inputs!BI29,""))</f>
        <v/>
      </c>
      <c r="BJ29" s="490" t="str">
        <f>IF(Ofwat_PC_Interventions!BJ29&lt;&gt;"",Ofwat_PC_Interventions!BJ29,IF(Company_PC_inputs!BJ29&lt;&gt;"",Company_PC_inputs!BJ29,""))</f>
        <v/>
      </c>
      <c r="BK29" s="490" t="str">
        <f>IF(Ofwat_PC_Interventions!BK29&lt;&gt;"",Ofwat_PC_Interventions!BK29,IF(Company_PC_inputs!BK29&lt;&gt;"",Company_PC_inputs!BK29,""))</f>
        <v/>
      </c>
      <c r="BL29" s="490" t="str">
        <f>IF(Ofwat_PC_Interventions!BL29&lt;&gt;"",Ofwat_PC_Interventions!BL29,IF(Company_PC_inputs!BL29&lt;&gt;"",Company_PC_inputs!BL29,""))</f>
        <v/>
      </c>
      <c r="BM29" s="490" t="str">
        <f>IF(Ofwat_PC_Interventions!BM29&lt;&gt;"",Ofwat_PC_Interventions!BM29,IF(Company_PC_inputs!BM29&lt;&gt;"",Company_PC_inputs!BM29,""))</f>
        <v/>
      </c>
      <c r="BN29" s="490" t="str">
        <f>IF(Ofwat_PC_Interventions!BN29&lt;&gt;"",Ofwat_PC_Interventions!BN29,IF(Company_PC_inputs!BN29&lt;&gt;"",Company_PC_inputs!BN29,""))</f>
        <v/>
      </c>
      <c r="BO29" s="490" t="str">
        <f>IF(Ofwat_PC_Interventions!BO29&lt;&gt;"",Ofwat_PC_Interventions!BO29,IF(Company_PC_inputs!BO29&lt;&gt;"",Company_PC_inputs!BO29,""))</f>
        <v/>
      </c>
      <c r="BP29" s="490" t="str">
        <f>IF(Ofwat_PC_Interventions!BP29&lt;&gt;"",Ofwat_PC_Interventions!BP29,IF(Company_PC_inputs!BP29&lt;&gt;"",Company_PC_inputs!BP29,""))</f>
        <v/>
      </c>
      <c r="BQ29" s="490" t="str">
        <f>IF(Ofwat_PC_Interventions!BQ29&lt;&gt;"",Ofwat_PC_Interventions!BQ29,IF(Company_PC_inputs!BQ29&lt;&gt;"",Company_PC_inputs!BQ29,""))</f>
        <v/>
      </c>
      <c r="BR29" s="490" t="str">
        <f>IF(Ofwat_PC_Interventions!BR29&lt;&gt;"",Ofwat_PC_Interventions!BR29,IF(Company_PC_inputs!BR29&lt;&gt;"",Company_PC_inputs!BR29,""))</f>
        <v/>
      </c>
      <c r="BS29" s="490" t="str">
        <f>IF(Ofwat_PC_Interventions!BS29&lt;&gt;"",Ofwat_PC_Interventions!BS29,IF(Company_PC_inputs!BS29&lt;&gt;"",Company_PC_inputs!BS29,""))</f>
        <v/>
      </c>
    </row>
    <row r="30" spans="1:71" s="202" customFormat="1" ht="13.15">
      <c r="A30" s="453"/>
      <c r="B30" s="453"/>
      <c r="C30" s="453"/>
      <c r="D30" s="453"/>
      <c r="E30" s="453"/>
      <c r="F30" s="453"/>
      <c r="G30" s="453"/>
      <c r="H30" s="453"/>
      <c r="I30" s="453"/>
      <c r="J30" s="494" t="str">
        <f>IF(Ofwat_PC_Interventions!J30&lt;&gt;"",Ofwat_PC_Interventions!J30,IF(Company_PC_inputs!J30&lt;&gt;"",Company_PC_inputs!J30,""))</f>
        <v/>
      </c>
      <c r="K30" s="494" t="str">
        <f>IF(Ofwat_PC_Interventions!K30&lt;&gt;"",Ofwat_PC_Interventions!K30,IF(Company_PC_inputs!K30&lt;&gt;"",Company_PC_inputs!K30,""))</f>
        <v/>
      </c>
      <c r="L30" s="494" t="str">
        <f>IF(Ofwat_PC_Interventions!L30&lt;&gt;"",Ofwat_PC_Interventions!L30,IF(Company_PC_inputs!L30&lt;&gt;"",Company_PC_inputs!L30,""))</f>
        <v/>
      </c>
      <c r="M30" s="494" t="str">
        <f>IF(Ofwat_PC_Interventions!M30&lt;&gt;"",Ofwat_PC_Interventions!M30,IF(Company_PC_inputs!M30&lt;&gt;"",Company_PC_inputs!M30,""))</f>
        <v/>
      </c>
      <c r="N30" s="494" t="str">
        <f>IF(Ofwat_PC_Interventions!N30&lt;&gt;"",Ofwat_PC_Interventions!N30,IF(Company_PC_inputs!N30&lt;&gt;"",Company_PC_inputs!N30,""))</f>
        <v/>
      </c>
      <c r="O30" s="494" t="str">
        <f>IF(Ofwat_PC_Interventions!O30&lt;&gt;"",Ofwat_PC_Interventions!O30,IF(Company_PC_inputs!O30&lt;&gt;"",Company_PC_inputs!O30,""))</f>
        <v/>
      </c>
      <c r="P30" s="494" t="str">
        <f>IF(Ofwat_PC_Interventions!P30&lt;&gt;"",Ofwat_PC_Interventions!P30,IF(Company_PC_inputs!P30&lt;&gt;"",Company_PC_inputs!P30,""))</f>
        <v/>
      </c>
      <c r="Q30" s="496" t="str">
        <f>IF(Ofwat_PC_Interventions!Q30&lt;&gt;"",Ofwat_PC_Interventions!Q30,IF(Company_PC_inputs!Q30&lt;&gt;"",Company_PC_inputs!Q30,""))</f>
        <v/>
      </c>
      <c r="R30" s="494" t="str">
        <f>IF(Ofwat_PC_Interventions!R30&lt;&gt;"",Ofwat_PC_Interventions!R30,IF(Company_PC_inputs!R30&lt;&gt;"",Company_PC_inputs!R30,""))</f>
        <v/>
      </c>
      <c r="S30" s="494" t="str">
        <f>IF(Ofwat_PC_Interventions!S30&lt;&gt;"",Ofwat_PC_Interventions!S30,IF(Company_PC_inputs!S30&lt;&gt;"",Company_PC_inputs!S30,""))</f>
        <v/>
      </c>
      <c r="T30" s="494" t="str">
        <f>IF(Ofwat_PC_Interventions!T30&lt;&gt;"",Ofwat_PC_Interventions!T30,IF(Company_PC_inputs!T30&lt;&gt;"",Company_PC_inputs!T30,""))</f>
        <v/>
      </c>
      <c r="U30" s="494" t="str">
        <f>IF(Ofwat_PC_Interventions!U30&lt;&gt;"",Ofwat_PC_Interventions!U30,IF(Company_PC_inputs!U30&lt;&gt;"",Company_PC_inputs!U30,""))</f>
        <v/>
      </c>
      <c r="V30" s="494" t="str">
        <f>IF(Ofwat_PC_Interventions!V30&lt;&gt;"",Ofwat_PC_Interventions!V30,IF(Company_PC_inputs!V30&lt;&gt;"",Company_PC_inputs!V30,""))</f>
        <v/>
      </c>
      <c r="W30" s="494" t="str">
        <f>IF(Ofwat_PC_Interventions!W30&lt;&gt;"",Ofwat_PC_Interventions!W30,IF(Company_PC_inputs!W30&lt;&gt;"",Company_PC_inputs!W30,""))</f>
        <v/>
      </c>
      <c r="X30" s="494" t="str">
        <f>IF(Ofwat_PC_Interventions!X30&lt;&gt;"",Ofwat_PC_Interventions!X30,IF(Company_PC_inputs!X30&lt;&gt;"",Company_PC_inputs!X30,""))</f>
        <v/>
      </c>
      <c r="Y30" s="494" t="str">
        <f>IF(Ofwat_PC_Interventions!Y30&lt;&gt;"",Ofwat_PC_Interventions!Y30,IF(Company_PC_inputs!Y30&lt;&gt;"",Company_PC_inputs!Y30,""))</f>
        <v/>
      </c>
      <c r="Z30" s="494" t="str">
        <f>IF(Ofwat_PC_Interventions!Z30&lt;&gt;"",Ofwat_PC_Interventions!Z30,IF(Company_PC_inputs!Z30&lt;&gt;"",Company_PC_inputs!Z30,""))</f>
        <v/>
      </c>
      <c r="AA30" s="494" t="str">
        <f>IF(Ofwat_PC_Interventions!AA30&lt;&gt;"",Ofwat_PC_Interventions!AA30,IF(Company_PC_inputs!AA30&lt;&gt;"",Company_PC_inputs!AA30,""))</f>
        <v/>
      </c>
      <c r="AB30" s="494" t="str">
        <f>IF(Ofwat_PC_Interventions!AB30&lt;&gt;"",Ofwat_PC_Interventions!AB30,IF(Company_PC_inputs!AB30&lt;&gt;"",Company_PC_inputs!AB30,""))</f>
        <v/>
      </c>
      <c r="AC30" s="494" t="str">
        <f>IF(Ofwat_PC_Interventions!AC30&lt;&gt;"",Ofwat_PC_Interventions!AC30,IF(Company_PC_inputs!AC30&lt;&gt;"",Company_PC_inputs!AC30,""))</f>
        <v/>
      </c>
      <c r="AD30" s="494" t="str">
        <f>IF(Ofwat_PC_Interventions!AD30&lt;&gt;"",Ofwat_PC_Interventions!AD30,IF(Company_PC_inputs!AD30&lt;&gt;"",Company_PC_inputs!AD30,""))</f>
        <v/>
      </c>
      <c r="AE30" s="494" t="str">
        <f>IF(Ofwat_PC_Interventions!AE30&lt;&gt;"",Ofwat_PC_Interventions!AE30,IF(Company_PC_inputs!AE30&lt;&gt;"",Company_PC_inputs!AE30,""))</f>
        <v/>
      </c>
      <c r="AF30" s="494" t="str">
        <f>IF(Ofwat_PC_Interventions!AF30&lt;&gt;"",Ofwat_PC_Interventions!AF30,IF(Company_PC_inputs!AF30&lt;&gt;"",Company_PC_inputs!AF30,""))</f>
        <v/>
      </c>
      <c r="AG30" s="494" t="str">
        <f>IF(Ofwat_PC_Interventions!AG30&lt;&gt;"",Ofwat_PC_Interventions!AG30,IF(Company_PC_inputs!AG30&lt;&gt;"",Company_PC_inputs!AG30,""))</f>
        <v/>
      </c>
      <c r="AH30" s="494" t="str">
        <f>IF(Ofwat_PC_Interventions!AH30&lt;&gt;"",Ofwat_PC_Interventions!AH30,IF(Company_PC_inputs!AH30&lt;&gt;"",Company_PC_inputs!AH30,""))</f>
        <v/>
      </c>
      <c r="AI30" s="494" t="str">
        <f>IF(Ofwat_PC_Interventions!AI30&lt;&gt;"",Ofwat_PC_Interventions!AI30,IF(Company_PC_inputs!AI30&lt;&gt;"",Company_PC_inputs!AI30,""))</f>
        <v/>
      </c>
      <c r="AJ30" s="494" t="str">
        <f>IF(Ofwat_PC_Interventions!AJ30&lt;&gt;"",Ofwat_PC_Interventions!AJ30,IF(Company_PC_inputs!AJ30&lt;&gt;"",Company_PC_inputs!AJ30,""))</f>
        <v/>
      </c>
      <c r="AK30" s="496" t="str">
        <f>IF(Ofwat_PC_Interventions!AK30&lt;&gt;"",Ofwat_PC_Interventions!AK30,IF(Company_PC_inputs!AK30&lt;&gt;"",Company_PC_inputs!AK30,""))</f>
        <v/>
      </c>
      <c r="AL30" s="494" t="str">
        <f>IF(Ofwat_PC_Interventions!AL30&lt;&gt;"",Ofwat_PC_Interventions!AL30,IF(Company_PC_inputs!AL30&lt;&gt;"",Company_PC_inputs!AL30,""))</f>
        <v/>
      </c>
      <c r="AM30" s="494" t="str">
        <f>IF(Ofwat_PC_Interventions!AM30&lt;&gt;"",Ofwat_PC_Interventions!AM30,IF(Company_PC_inputs!AM30&lt;&gt;"",Company_PC_inputs!AM30,""))</f>
        <v/>
      </c>
      <c r="AN30" s="494" t="str">
        <f>IF(Ofwat_PC_Interventions!AN30&lt;&gt;"",Ofwat_PC_Interventions!AN30,IF(Company_PC_inputs!AN30&lt;&gt;"",Company_PC_inputs!AN30,""))</f>
        <v/>
      </c>
      <c r="AO30" s="496" t="str">
        <f>IF(Ofwat_PC_Interventions!AO30&lt;&gt;"",Ofwat_PC_Interventions!AO30,IF(Company_PC_inputs!AO30&lt;&gt;"",Company_PC_inputs!AO30,""))</f>
        <v/>
      </c>
      <c r="AP30" s="494" t="str">
        <f>IF(Ofwat_PC_Interventions!AP30&lt;&gt;"",Ofwat_PC_Interventions!AP30,IF(Company_PC_inputs!AP30&lt;&gt;"",Company_PC_inputs!AP30,""))</f>
        <v/>
      </c>
      <c r="AQ30" s="494" t="str">
        <f>IF(Ofwat_PC_Interventions!AQ30&lt;&gt;"",Ofwat_PC_Interventions!AQ30,IF(Company_PC_inputs!AQ30&lt;&gt;"",Company_PC_inputs!AQ30,""))</f>
        <v/>
      </c>
      <c r="AR30" s="494" t="str">
        <f>IF(Ofwat_PC_Interventions!AR30&lt;&gt;"",Ofwat_PC_Interventions!AR30,IF(Company_PC_inputs!AR30&lt;&gt;"",Company_PC_inputs!AR30,""))</f>
        <v/>
      </c>
      <c r="AS30" s="494" t="str">
        <f>IF(Ofwat_PC_Interventions!AS30&lt;&gt;"",Ofwat_PC_Interventions!AS30,IF(Company_PC_inputs!AS30&lt;&gt;"",Company_PC_inputs!AS30,""))</f>
        <v/>
      </c>
      <c r="AT30" s="494" t="str">
        <f>IF(Ofwat_PC_Interventions!AT30&lt;&gt;"",Ofwat_PC_Interventions!AT30,IF(Company_PC_inputs!AT30&lt;&gt;"",Company_PC_inputs!AT30,""))</f>
        <v/>
      </c>
      <c r="AU30" s="494" t="str">
        <f>IF(Ofwat_PC_Interventions!AU30&lt;&gt;"",Ofwat_PC_Interventions!AU30,IF(Company_PC_inputs!AU30&lt;&gt;"",Company_PC_inputs!AU30,""))</f>
        <v/>
      </c>
      <c r="AV30" s="494" t="str">
        <f>IF(Ofwat_PC_Interventions!AV30&lt;&gt;"",Ofwat_PC_Interventions!AV30,IF(Company_PC_inputs!AV30&lt;&gt;"",Company_PC_inputs!AV30,""))</f>
        <v/>
      </c>
      <c r="AW30" s="494" t="str">
        <f>IF(Ofwat_PC_Interventions!AW30&lt;&gt;"",Ofwat_PC_Interventions!AW30,IF(Company_PC_inputs!AW30&lt;&gt;"",Company_PC_inputs!AW30,""))</f>
        <v/>
      </c>
      <c r="AX30" s="494" t="str">
        <f>IF(Ofwat_PC_Interventions!AX30&lt;&gt;"",Ofwat_PC_Interventions!AX30,IF(Company_PC_inputs!AX30&lt;&gt;"",Company_PC_inputs!AX30,""))</f>
        <v/>
      </c>
      <c r="AY30" s="494" t="str">
        <f>IF(Ofwat_PC_Interventions!AY30&lt;&gt;"",Ofwat_PC_Interventions!AY30,IF(Company_PC_inputs!AY30&lt;&gt;"",Company_PC_inputs!AY30,""))</f>
        <v/>
      </c>
      <c r="AZ30" s="494" t="str">
        <f>IF(Ofwat_PC_Interventions!AZ30&lt;&gt;"",Ofwat_PC_Interventions!AZ30,IF(Company_PC_inputs!AZ30&lt;&gt;"",Company_PC_inputs!AZ30,""))</f>
        <v/>
      </c>
      <c r="BA30" s="494" t="str">
        <f>IF(Ofwat_PC_Interventions!BA30&lt;&gt;"",Ofwat_PC_Interventions!BA30,IF(Company_PC_inputs!BA30&lt;&gt;"",Company_PC_inputs!BA30,""))</f>
        <v/>
      </c>
      <c r="BB30" s="494" t="str">
        <f>IF(Ofwat_PC_Interventions!BB30&lt;&gt;"",Ofwat_PC_Interventions!BB30,IF(Company_PC_inputs!BB30&lt;&gt;"",Company_PC_inputs!BB30,""))</f>
        <v/>
      </c>
      <c r="BC30" s="496" t="str">
        <f>IF(Ofwat_PC_Interventions!BC30&lt;&gt;"",Ofwat_PC_Interventions!BC30,IF(Company_PC_inputs!BC30&lt;&gt;"",Company_PC_inputs!BC30,""))</f>
        <v/>
      </c>
      <c r="BD30" s="494" t="str">
        <f>IF(Ofwat_PC_Interventions!BD30&lt;&gt;"",Ofwat_PC_Interventions!BD30,IF(Company_PC_inputs!BD30&lt;&gt;"",Company_PC_inputs!BD30,""))</f>
        <v/>
      </c>
      <c r="BE30" s="494" t="str">
        <f>IF(Ofwat_PC_Interventions!BE30&lt;&gt;"",Ofwat_PC_Interventions!BE30,IF(Company_PC_inputs!BE30&lt;&gt;"",Company_PC_inputs!BE30,""))</f>
        <v/>
      </c>
      <c r="BF30" s="494" t="str">
        <f>IF(Ofwat_PC_Interventions!BF30&lt;&gt;"",Ofwat_PC_Interventions!BF30,IF(Company_PC_inputs!BF30&lt;&gt;"",Company_PC_inputs!BF30,""))</f>
        <v/>
      </c>
      <c r="BG30" s="494" t="str">
        <f>IF(Ofwat_PC_Interventions!BG30&lt;&gt;"",Ofwat_PC_Interventions!BG30,IF(Company_PC_inputs!BG30&lt;&gt;"",Company_PC_inputs!BG30,""))</f>
        <v/>
      </c>
      <c r="BH30" s="494" t="str">
        <f>IF(Ofwat_PC_Interventions!BH30&lt;&gt;"",Ofwat_PC_Interventions!BH30,IF(Company_PC_inputs!BH30&lt;&gt;"",Company_PC_inputs!BH30,""))</f>
        <v/>
      </c>
      <c r="BI30" s="494" t="str">
        <f>IF(Ofwat_PC_Interventions!BI30&lt;&gt;"",Ofwat_PC_Interventions!BI30,IF(Company_PC_inputs!BI30&lt;&gt;"",Company_PC_inputs!BI30,""))</f>
        <v/>
      </c>
      <c r="BJ30" s="494" t="str">
        <f>IF(Ofwat_PC_Interventions!BJ30&lt;&gt;"",Ofwat_PC_Interventions!BJ30,IF(Company_PC_inputs!BJ30&lt;&gt;"",Company_PC_inputs!BJ30,""))</f>
        <v/>
      </c>
      <c r="BK30" s="494" t="str">
        <f>IF(Ofwat_PC_Interventions!BK30&lt;&gt;"",Ofwat_PC_Interventions!BK30,IF(Company_PC_inputs!BK30&lt;&gt;"",Company_PC_inputs!BK30,""))</f>
        <v/>
      </c>
      <c r="BL30" s="494" t="str">
        <f>IF(Ofwat_PC_Interventions!BL30&lt;&gt;"",Ofwat_PC_Interventions!BL30,IF(Company_PC_inputs!BL30&lt;&gt;"",Company_PC_inputs!BL30,""))</f>
        <v/>
      </c>
      <c r="BM30" s="494" t="str">
        <f>IF(Ofwat_PC_Interventions!BM30&lt;&gt;"",Ofwat_PC_Interventions!BM30,IF(Company_PC_inputs!BM30&lt;&gt;"",Company_PC_inputs!BM30,""))</f>
        <v/>
      </c>
      <c r="BN30" s="494" t="str">
        <f>IF(Ofwat_PC_Interventions!BN30&lt;&gt;"",Ofwat_PC_Interventions!BN30,IF(Company_PC_inputs!BN30&lt;&gt;"",Company_PC_inputs!BN30,""))</f>
        <v/>
      </c>
      <c r="BO30" s="494" t="str">
        <f>IF(Ofwat_PC_Interventions!BO30&lt;&gt;"",Ofwat_PC_Interventions!BO30,IF(Company_PC_inputs!BO30&lt;&gt;"",Company_PC_inputs!BO30,""))</f>
        <v/>
      </c>
      <c r="BP30" s="494" t="str">
        <f>IF(Ofwat_PC_Interventions!BP30&lt;&gt;"",Ofwat_PC_Interventions!BP30,IF(Company_PC_inputs!BP30&lt;&gt;"",Company_PC_inputs!BP30,""))</f>
        <v/>
      </c>
      <c r="BQ30" s="494" t="str">
        <f>IF(Ofwat_PC_Interventions!BQ30&lt;&gt;"",Ofwat_PC_Interventions!BQ30,IF(Company_PC_inputs!BQ30&lt;&gt;"",Company_PC_inputs!BQ30,""))</f>
        <v/>
      </c>
      <c r="BR30" s="494" t="str">
        <f>IF(Ofwat_PC_Interventions!BR30&lt;&gt;"",Ofwat_PC_Interventions!BR30,IF(Company_PC_inputs!BR30&lt;&gt;"",Company_PC_inputs!BR30,""))</f>
        <v/>
      </c>
      <c r="BS30" s="494" t="str">
        <f>IF(Ofwat_PC_Interventions!BS30&lt;&gt;"",Ofwat_PC_Interventions!BS30,IF(Company_PC_inputs!BS30&lt;&gt;"",Company_PC_inputs!BS30,""))</f>
        <v/>
      </c>
    </row>
    <row r="31" spans="1:71" s="202" customFormat="1" ht="13.15">
      <c r="A31" s="453"/>
      <c r="B31" s="453"/>
      <c r="C31" s="453"/>
      <c r="D31" s="453"/>
      <c r="E31" s="453" t="s">
        <v>1158</v>
      </c>
      <c r="F31" s="453"/>
      <c r="G31" s="453" t="s">
        <v>114</v>
      </c>
      <c r="H31" s="453"/>
      <c r="I31" s="453"/>
      <c r="J31" s="490" t="str">
        <f>IF(Ofwat_PC_Interventions!J31&lt;&gt;"",Ofwat_PC_Interventions!J31,IF(Company_PC_inputs!J31&lt;&gt;"",Company_PC_inputs!J31,""))</f>
        <v>number</v>
      </c>
      <c r="K31" s="490" t="str">
        <f>IF(Ofwat_PC_Interventions!K31&lt;&gt;"",Ofwat_PC_Interventions!K31,IF(Company_PC_inputs!K31&lt;&gt;"",Company_PC_inputs!K31,""))</f>
        <v>hh:mm:ss</v>
      </c>
      <c r="L31" s="490" t="str">
        <f>IF(Ofwat_PC_Interventions!L31&lt;&gt;"",Ofwat_PC_Interventions!L31,IF(Company_PC_inputs!L31&lt;&gt;"",Company_PC_inputs!L31,""))</f>
        <v>%</v>
      </c>
      <c r="M31" s="490" t="str">
        <f>IF(Ofwat_PC_Interventions!M31&lt;&gt;"",Ofwat_PC_Interventions!M31,IF(Company_PC_inputs!M31&lt;&gt;"",Company_PC_inputs!M31,""))</f>
        <v/>
      </c>
      <c r="N31" s="490" t="str">
        <f>IF(Ofwat_PC_Interventions!N31&lt;&gt;"",Ofwat_PC_Interventions!N31,IF(Company_PC_inputs!N31&lt;&gt;"",Company_PC_inputs!N31,""))</f>
        <v xml:space="preserve">% </v>
      </c>
      <c r="O31" s="490" t="str">
        <f>IF(Ofwat_PC_Interventions!O31&lt;&gt;"",Ofwat_PC_Interventions!O31,IF(Company_PC_inputs!O31&lt;&gt;"",Company_PC_inputs!O31,""))</f>
        <v/>
      </c>
      <c r="P31" s="490" t="str">
        <f>IF(Ofwat_PC_Interventions!P31&lt;&gt;"",Ofwat_PC_Interventions!P31,IF(Company_PC_inputs!P31&lt;&gt;"",Company_PC_inputs!P31,""))</f>
        <v>number</v>
      </c>
      <c r="Q31" s="491" t="str">
        <f>IF(Ofwat_PC_Interventions!Q31&lt;&gt;"",Ofwat_PC_Interventions!Q31,IF(Company_PC_inputs!Q31&lt;&gt;"",Company_PC_inputs!Q31,""))</f>
        <v>%</v>
      </c>
      <c r="R31" s="490" t="str">
        <f>IF(Ofwat_PC_Interventions!R31&lt;&gt;"",Ofwat_PC_Interventions!R31,IF(Company_PC_inputs!R31&lt;&gt;"",Company_PC_inputs!R31,""))</f>
        <v>nr</v>
      </c>
      <c r="S31" s="490" t="str">
        <f>IF(Ofwat_PC_Interventions!S31&lt;&gt;"",Ofwat_PC_Interventions!S31,IF(Company_PC_inputs!S31&lt;&gt;"",Company_PC_inputs!S31,""))</f>
        <v>nr</v>
      </c>
      <c r="T31" s="490" t="str">
        <f>IF(Ofwat_PC_Interventions!T31&lt;&gt;"",Ofwat_PC_Interventions!T31,IF(Company_PC_inputs!T31&lt;&gt;"",Company_PC_inputs!T31,""))</f>
        <v>nr</v>
      </c>
      <c r="U31" s="490" t="str">
        <f>IF(Ofwat_PC_Interventions!U31&lt;&gt;"",Ofwat_PC_Interventions!U31,IF(Company_PC_inputs!U31&lt;&gt;"",Company_PC_inputs!U31,""))</f>
        <v>nr</v>
      </c>
      <c r="V31" s="490" t="str">
        <f>IF(Ofwat_PC_Interventions!V31&lt;&gt;"",Ofwat_PC_Interventions!V31,IF(Company_PC_inputs!V31&lt;&gt;"",Company_PC_inputs!V31,""))</f>
        <v>%</v>
      </c>
      <c r="W31" s="490" t="str">
        <f>IF(Ofwat_PC_Interventions!W31&lt;&gt;"",Ofwat_PC_Interventions!W31,IF(Company_PC_inputs!W31&lt;&gt;"",Company_PC_inputs!W31,""))</f>
        <v>nr</v>
      </c>
      <c r="X31" s="490" t="str">
        <f>IF(Ofwat_PC_Interventions!X31&lt;&gt;"",Ofwat_PC_Interventions!X31,IF(Company_PC_inputs!X31&lt;&gt;"",Company_PC_inputs!X31,""))</f>
        <v>nr</v>
      </c>
      <c r="Y31" s="490" t="str">
        <f>IF(Ofwat_PC_Interventions!Y31&lt;&gt;"",Ofwat_PC_Interventions!Y31,IF(Company_PC_inputs!Y31&lt;&gt;"",Company_PC_inputs!Y31,""))</f>
        <v>months</v>
      </c>
      <c r="Z31" s="490" t="str">
        <f>IF(Ofwat_PC_Interventions!Z31&lt;&gt;"",Ofwat_PC_Interventions!Z31,IF(Company_PC_inputs!Z31&lt;&gt;"",Company_PC_inputs!Z31,""))</f>
        <v>%</v>
      </c>
      <c r="AA31" s="490" t="str">
        <f>IF(Ofwat_PC_Interventions!AA31&lt;&gt;"",Ofwat_PC_Interventions!AA31,IF(Company_PC_inputs!AA31&lt;&gt;"",Company_PC_inputs!AA31,""))</f>
        <v/>
      </c>
      <c r="AB31" s="490" t="str">
        <f>IF(Ofwat_PC_Interventions!AB31&lt;&gt;"",Ofwat_PC_Interventions!AB31,IF(Company_PC_inputs!AB31&lt;&gt;"",Company_PC_inputs!AB31,""))</f>
        <v/>
      </c>
      <c r="AC31" s="490" t="str">
        <f>IF(Ofwat_PC_Interventions!AC31&lt;&gt;"",Ofwat_PC_Interventions!AC31,IF(Company_PC_inputs!AC31&lt;&gt;"",Company_PC_inputs!AC31,""))</f>
        <v/>
      </c>
      <c r="AD31" s="490" t="str">
        <f>IF(Ofwat_PC_Interventions!AD31&lt;&gt;"",Ofwat_PC_Interventions!AD31,IF(Company_PC_inputs!AD31&lt;&gt;"",Company_PC_inputs!AD31,""))</f>
        <v/>
      </c>
      <c r="AE31" s="490" t="str">
        <f>IF(Ofwat_PC_Interventions!AE31&lt;&gt;"",Ofwat_PC_Interventions!AE31,IF(Company_PC_inputs!AE31&lt;&gt;"",Company_PC_inputs!AE31,""))</f>
        <v/>
      </c>
      <c r="AF31" s="490" t="str">
        <f>IF(Ofwat_PC_Interventions!AF31&lt;&gt;"",Ofwat_PC_Interventions!AF31,IF(Company_PC_inputs!AF31&lt;&gt;"",Company_PC_inputs!AF31,""))</f>
        <v/>
      </c>
      <c r="AG31" s="490" t="str">
        <f>IF(Ofwat_PC_Interventions!AG31&lt;&gt;"",Ofwat_PC_Interventions!AG31,IF(Company_PC_inputs!AG31&lt;&gt;"",Company_PC_inputs!AG31,""))</f>
        <v/>
      </c>
      <c r="AH31" s="490" t="str">
        <f>IF(Ofwat_PC_Interventions!AH31&lt;&gt;"",Ofwat_PC_Interventions!AH31,IF(Company_PC_inputs!AH31&lt;&gt;"",Company_PC_inputs!AH31,""))</f>
        <v/>
      </c>
      <c r="AI31" s="490" t="str">
        <f>IF(Ofwat_PC_Interventions!AI31&lt;&gt;"",Ofwat_PC_Interventions!AI31,IF(Company_PC_inputs!AI31&lt;&gt;"",Company_PC_inputs!AI31,""))</f>
        <v/>
      </c>
      <c r="AJ31" s="490" t="str">
        <f>IF(Ofwat_PC_Interventions!AJ31&lt;&gt;"",Ofwat_PC_Interventions!AJ31,IF(Company_PC_inputs!AJ31&lt;&gt;"",Company_PC_inputs!AJ31,""))</f>
        <v/>
      </c>
      <c r="AK31" s="491" t="str">
        <f>IF(Ofwat_PC_Interventions!AK31&lt;&gt;"",Ofwat_PC_Interventions!AK31,IF(Company_PC_inputs!AK31&lt;&gt;"",Company_PC_inputs!AK31,""))</f>
        <v/>
      </c>
      <c r="AL31" s="490" t="str">
        <f>IF(Ofwat_PC_Interventions!AL31&lt;&gt;"",Ofwat_PC_Interventions!AL31,IF(Company_PC_inputs!AL31&lt;&gt;"",Company_PC_inputs!AL31,""))</f>
        <v>number</v>
      </c>
      <c r="AM31" s="490" t="str">
        <f>IF(Ofwat_PC_Interventions!AM31&lt;&gt;"",Ofwat_PC_Interventions!AM31,IF(Company_PC_inputs!AM31&lt;&gt;"",Company_PC_inputs!AM31,""))</f>
        <v>number</v>
      </c>
      <c r="AN31" s="490" t="str">
        <f>IF(Ofwat_PC_Interventions!AN31&lt;&gt;"",Ofwat_PC_Interventions!AN31,IF(Company_PC_inputs!AN31&lt;&gt;"",Company_PC_inputs!AN31,""))</f>
        <v>number</v>
      </c>
      <c r="AO31" s="491" t="str">
        <f>IF(Ofwat_PC_Interventions!AO31&lt;&gt;"",Ofwat_PC_Interventions!AO31,IF(Company_PC_inputs!AO31&lt;&gt;"",Company_PC_inputs!AO31,""))</f>
        <v>%</v>
      </c>
      <c r="AP31" s="490" t="str">
        <f>IF(Ofwat_PC_Interventions!AP31&lt;&gt;"",Ofwat_PC_Interventions!AP31,IF(Company_PC_inputs!AP31&lt;&gt;"",Company_PC_inputs!AP31,""))</f>
        <v>nr</v>
      </c>
      <c r="AQ31" s="490" t="str">
        <f>IF(Ofwat_PC_Interventions!AQ31&lt;&gt;"",Ofwat_PC_Interventions!AQ31,IF(Company_PC_inputs!AQ31&lt;&gt;"",Company_PC_inputs!AQ31,""))</f>
        <v>%</v>
      </c>
      <c r="AR31" s="490" t="str">
        <f>IF(Ofwat_PC_Interventions!AR31&lt;&gt;"",Ofwat_PC_Interventions!AR31,IF(Company_PC_inputs!AR31&lt;&gt;"",Company_PC_inputs!AR31,""))</f>
        <v>%</v>
      </c>
      <c r="AS31" s="490" t="str">
        <f>IF(Ofwat_PC_Interventions!AS31&lt;&gt;"",Ofwat_PC_Interventions!AS31,IF(Company_PC_inputs!AS31&lt;&gt;"",Company_PC_inputs!AS31,""))</f>
        <v>nr</v>
      </c>
      <c r="AT31" s="490" t="str">
        <f>IF(Ofwat_PC_Interventions!AT31&lt;&gt;"",Ofwat_PC_Interventions!AT31,IF(Company_PC_inputs!AT31&lt;&gt;"",Company_PC_inputs!AT31,""))</f>
        <v>nr</v>
      </c>
      <c r="AU31" s="490" t="str">
        <f>IF(Ofwat_PC_Interventions!AU31&lt;&gt;"",Ofwat_PC_Interventions!AU31,IF(Company_PC_inputs!AU31&lt;&gt;"",Company_PC_inputs!AU31,""))</f>
        <v>nr</v>
      </c>
      <c r="AV31" s="490" t="str">
        <f>IF(Ofwat_PC_Interventions!AV31&lt;&gt;"",Ofwat_PC_Interventions!AV31,IF(Company_PC_inputs!AV31&lt;&gt;"",Company_PC_inputs!AV31,""))</f>
        <v>nr</v>
      </c>
      <c r="AW31" s="490" t="str">
        <f>IF(Ofwat_PC_Interventions!AW31&lt;&gt;"",Ofwat_PC_Interventions!AW31,IF(Company_PC_inputs!AW31&lt;&gt;"",Company_PC_inputs!AW31,""))</f>
        <v>m3</v>
      </c>
      <c r="AX31" s="490" t="str">
        <f>IF(Ofwat_PC_Interventions!AX31&lt;&gt;"",Ofwat_PC_Interventions!AX31,IF(Company_PC_inputs!AX31&lt;&gt;"",Company_PC_inputs!AX31,""))</f>
        <v>nr</v>
      </c>
      <c r="AY31" s="490" t="str">
        <f>IF(Ofwat_PC_Interventions!AY31&lt;&gt;"",Ofwat_PC_Interventions!AY31,IF(Company_PC_inputs!AY31&lt;&gt;"",Company_PC_inputs!AY31,""))</f>
        <v>months</v>
      </c>
      <c r="AZ31" s="490" t="str">
        <f>IF(Ofwat_PC_Interventions!AZ31&lt;&gt;"",Ofwat_PC_Interventions!AZ31,IF(Company_PC_inputs!AZ31&lt;&gt;"",Company_PC_inputs!AZ31,""))</f>
        <v/>
      </c>
      <c r="BA31" s="490" t="str">
        <f>IF(Ofwat_PC_Interventions!BA31&lt;&gt;"",Ofwat_PC_Interventions!BA31,IF(Company_PC_inputs!BA31&lt;&gt;"",Company_PC_inputs!BA31,""))</f>
        <v/>
      </c>
      <c r="BB31" s="490" t="str">
        <f>IF(Ofwat_PC_Interventions!BB31&lt;&gt;"",Ofwat_PC_Interventions!BB31,IF(Company_PC_inputs!BB31&lt;&gt;"",Company_PC_inputs!BB31,""))</f>
        <v/>
      </c>
      <c r="BC31" s="491" t="str">
        <f>IF(Ofwat_PC_Interventions!BC31&lt;&gt;"",Ofwat_PC_Interventions!BC31,IF(Company_PC_inputs!BC31&lt;&gt;"",Company_PC_inputs!BC31,""))</f>
        <v/>
      </c>
      <c r="BD31" s="490" t="str">
        <f>IF(Ofwat_PC_Interventions!BD31&lt;&gt;"",Ofwat_PC_Interventions!BD31,IF(Company_PC_inputs!BD31&lt;&gt;"",Company_PC_inputs!BD31,""))</f>
        <v/>
      </c>
      <c r="BE31" s="490" t="str">
        <f>IF(Ofwat_PC_Interventions!BE31&lt;&gt;"",Ofwat_PC_Interventions!BE31,IF(Company_PC_inputs!BE31&lt;&gt;"",Company_PC_inputs!BE31,""))</f>
        <v/>
      </c>
      <c r="BF31" s="490" t="str">
        <f>IF(Ofwat_PC_Interventions!BF31&lt;&gt;"",Ofwat_PC_Interventions!BF31,IF(Company_PC_inputs!BF31&lt;&gt;"",Company_PC_inputs!BF31,""))</f>
        <v/>
      </c>
      <c r="BG31" s="490" t="str">
        <f>IF(Ofwat_PC_Interventions!BG31&lt;&gt;"",Ofwat_PC_Interventions!BG31,IF(Company_PC_inputs!BG31&lt;&gt;"",Company_PC_inputs!BG31,""))</f>
        <v/>
      </c>
      <c r="BH31" s="490" t="str">
        <f>IF(Ofwat_PC_Interventions!BH31&lt;&gt;"",Ofwat_PC_Interventions!BH31,IF(Company_PC_inputs!BH31&lt;&gt;"",Company_PC_inputs!BH31,""))</f>
        <v/>
      </c>
      <c r="BI31" s="490" t="str">
        <f>IF(Ofwat_PC_Interventions!BI31&lt;&gt;"",Ofwat_PC_Interventions!BI31,IF(Company_PC_inputs!BI31&lt;&gt;"",Company_PC_inputs!BI31,""))</f>
        <v/>
      </c>
      <c r="BJ31" s="490" t="str">
        <f>IF(Ofwat_PC_Interventions!BJ31&lt;&gt;"",Ofwat_PC_Interventions!BJ31,IF(Company_PC_inputs!BJ31&lt;&gt;"",Company_PC_inputs!BJ31,""))</f>
        <v/>
      </c>
      <c r="BK31" s="490" t="str">
        <f>IF(Ofwat_PC_Interventions!BK31&lt;&gt;"",Ofwat_PC_Interventions!BK31,IF(Company_PC_inputs!BK31&lt;&gt;"",Company_PC_inputs!BK31,""))</f>
        <v/>
      </c>
      <c r="BL31" s="490" t="str">
        <f>IF(Ofwat_PC_Interventions!BL31&lt;&gt;"",Ofwat_PC_Interventions!BL31,IF(Company_PC_inputs!BL31&lt;&gt;"",Company_PC_inputs!BL31,""))</f>
        <v/>
      </c>
      <c r="BM31" s="490" t="str">
        <f>IF(Ofwat_PC_Interventions!BM31&lt;&gt;"",Ofwat_PC_Interventions!BM31,IF(Company_PC_inputs!BM31&lt;&gt;"",Company_PC_inputs!BM31,""))</f>
        <v/>
      </c>
      <c r="BN31" s="490" t="str">
        <f>IF(Ofwat_PC_Interventions!BN31&lt;&gt;"",Ofwat_PC_Interventions!BN31,IF(Company_PC_inputs!BN31&lt;&gt;"",Company_PC_inputs!BN31,""))</f>
        <v/>
      </c>
      <c r="BO31" s="490" t="str">
        <f>IF(Ofwat_PC_Interventions!BO31&lt;&gt;"",Ofwat_PC_Interventions!BO31,IF(Company_PC_inputs!BO31&lt;&gt;"",Company_PC_inputs!BO31,""))</f>
        <v/>
      </c>
      <c r="BP31" s="490" t="str">
        <f>IF(Ofwat_PC_Interventions!BP31&lt;&gt;"",Ofwat_PC_Interventions!BP31,IF(Company_PC_inputs!BP31&lt;&gt;"",Company_PC_inputs!BP31,""))</f>
        <v/>
      </c>
      <c r="BQ31" s="490" t="str">
        <f>IF(Ofwat_PC_Interventions!BQ31&lt;&gt;"",Ofwat_PC_Interventions!BQ31,IF(Company_PC_inputs!BQ31&lt;&gt;"",Company_PC_inputs!BQ31,""))</f>
        <v/>
      </c>
      <c r="BR31" s="490" t="str">
        <f>IF(Ofwat_PC_Interventions!BR31&lt;&gt;"",Ofwat_PC_Interventions!BR31,IF(Company_PC_inputs!BR31&lt;&gt;"",Company_PC_inputs!BR31,""))</f>
        <v/>
      </c>
      <c r="BS31" s="490" t="str">
        <f>IF(Ofwat_PC_Interventions!BS31&lt;&gt;"",Ofwat_PC_Interventions!BS31,IF(Company_PC_inputs!BS31&lt;&gt;"",Company_PC_inputs!BS31,""))</f>
        <v/>
      </c>
    </row>
    <row r="32" spans="1:71" s="202" customFormat="1" ht="13.15">
      <c r="A32" s="510"/>
      <c r="B32" s="510"/>
      <c r="C32" s="510"/>
      <c r="D32" s="510"/>
      <c r="E32" s="510"/>
      <c r="F32" s="510"/>
      <c r="G32" s="510"/>
      <c r="H32" s="510"/>
      <c r="I32" s="510"/>
      <c r="J32" s="494" t="str">
        <f>IF(Ofwat_PC_Interventions!J32&lt;&gt;"",Ofwat_PC_Interventions!J32,IF(Company_PC_inputs!J32&lt;&gt;"",Company_PC_inputs!J32,""))</f>
        <v/>
      </c>
      <c r="K32" s="494" t="str">
        <f>IF(Ofwat_PC_Interventions!K32&lt;&gt;"",Ofwat_PC_Interventions!K32,IF(Company_PC_inputs!K32&lt;&gt;"",Company_PC_inputs!K32,""))</f>
        <v/>
      </c>
      <c r="L32" s="494" t="str">
        <f>IF(Ofwat_PC_Interventions!L32&lt;&gt;"",Ofwat_PC_Interventions!L32,IF(Company_PC_inputs!L32&lt;&gt;"",Company_PC_inputs!L32,""))</f>
        <v/>
      </c>
      <c r="M32" s="494" t="str">
        <f>IF(Ofwat_PC_Interventions!M32&lt;&gt;"",Ofwat_PC_Interventions!M32,IF(Company_PC_inputs!M32&lt;&gt;"",Company_PC_inputs!M32,""))</f>
        <v/>
      </c>
      <c r="N32" s="494" t="str">
        <f>IF(Ofwat_PC_Interventions!N32&lt;&gt;"",Ofwat_PC_Interventions!N32,IF(Company_PC_inputs!N32&lt;&gt;"",Company_PC_inputs!N32,""))</f>
        <v/>
      </c>
      <c r="O32" s="494" t="str">
        <f>IF(Ofwat_PC_Interventions!O32&lt;&gt;"",Ofwat_PC_Interventions!O32,IF(Company_PC_inputs!O32&lt;&gt;"",Company_PC_inputs!O32,""))</f>
        <v/>
      </c>
      <c r="P32" s="494" t="str">
        <f>IF(Ofwat_PC_Interventions!P32&lt;&gt;"",Ofwat_PC_Interventions!P32,IF(Company_PC_inputs!P32&lt;&gt;"",Company_PC_inputs!P32,""))</f>
        <v/>
      </c>
      <c r="Q32" s="496" t="str">
        <f>IF(Ofwat_PC_Interventions!Q32&lt;&gt;"",Ofwat_PC_Interventions!Q32,IF(Company_PC_inputs!Q32&lt;&gt;"",Company_PC_inputs!Q32,""))</f>
        <v/>
      </c>
      <c r="R32" s="494" t="str">
        <f>IF(Ofwat_PC_Interventions!R32&lt;&gt;"",Ofwat_PC_Interventions!R32,IF(Company_PC_inputs!R32&lt;&gt;"",Company_PC_inputs!R32,""))</f>
        <v/>
      </c>
      <c r="S32" s="494" t="str">
        <f>IF(Ofwat_PC_Interventions!S32&lt;&gt;"",Ofwat_PC_Interventions!S32,IF(Company_PC_inputs!S32&lt;&gt;"",Company_PC_inputs!S32,""))</f>
        <v/>
      </c>
      <c r="T32" s="494" t="str">
        <f>IF(Ofwat_PC_Interventions!T32&lt;&gt;"",Ofwat_PC_Interventions!T32,IF(Company_PC_inputs!T32&lt;&gt;"",Company_PC_inputs!T32,""))</f>
        <v/>
      </c>
      <c r="U32" s="494" t="str">
        <f>IF(Ofwat_PC_Interventions!U32&lt;&gt;"",Ofwat_PC_Interventions!U32,IF(Company_PC_inputs!U32&lt;&gt;"",Company_PC_inputs!U32,""))</f>
        <v/>
      </c>
      <c r="V32" s="494" t="str">
        <f>IF(Ofwat_PC_Interventions!V32&lt;&gt;"",Ofwat_PC_Interventions!V32,IF(Company_PC_inputs!V32&lt;&gt;"",Company_PC_inputs!V32,""))</f>
        <v/>
      </c>
      <c r="W32" s="494" t="str">
        <f>IF(Ofwat_PC_Interventions!W32&lt;&gt;"",Ofwat_PC_Interventions!W32,IF(Company_PC_inputs!W32&lt;&gt;"",Company_PC_inputs!W32,""))</f>
        <v/>
      </c>
      <c r="X32" s="494" t="str">
        <f>IF(Ofwat_PC_Interventions!X32&lt;&gt;"",Ofwat_PC_Interventions!X32,IF(Company_PC_inputs!X32&lt;&gt;"",Company_PC_inputs!X32,""))</f>
        <v/>
      </c>
      <c r="Y32" s="494" t="str">
        <f>IF(Ofwat_PC_Interventions!Y32&lt;&gt;"",Ofwat_PC_Interventions!Y32,IF(Company_PC_inputs!Y32&lt;&gt;"",Company_PC_inputs!Y32,""))</f>
        <v/>
      </c>
      <c r="Z32" s="494" t="str">
        <f>IF(Ofwat_PC_Interventions!Z32&lt;&gt;"",Ofwat_PC_Interventions!Z32,IF(Company_PC_inputs!Z32&lt;&gt;"",Company_PC_inputs!Z32,""))</f>
        <v/>
      </c>
      <c r="AA32" s="494" t="str">
        <f>IF(Ofwat_PC_Interventions!AA32&lt;&gt;"",Ofwat_PC_Interventions!AA32,IF(Company_PC_inputs!AA32&lt;&gt;"",Company_PC_inputs!AA32,""))</f>
        <v/>
      </c>
      <c r="AB32" s="494" t="str">
        <f>IF(Ofwat_PC_Interventions!AB32&lt;&gt;"",Ofwat_PC_Interventions!AB32,IF(Company_PC_inputs!AB32&lt;&gt;"",Company_PC_inputs!AB32,""))</f>
        <v/>
      </c>
      <c r="AC32" s="494" t="str">
        <f>IF(Ofwat_PC_Interventions!AC32&lt;&gt;"",Ofwat_PC_Interventions!AC32,IF(Company_PC_inputs!AC32&lt;&gt;"",Company_PC_inputs!AC32,""))</f>
        <v/>
      </c>
      <c r="AD32" s="494" t="str">
        <f>IF(Ofwat_PC_Interventions!AD32&lt;&gt;"",Ofwat_PC_Interventions!AD32,IF(Company_PC_inputs!AD32&lt;&gt;"",Company_PC_inputs!AD32,""))</f>
        <v/>
      </c>
      <c r="AE32" s="494" t="str">
        <f>IF(Ofwat_PC_Interventions!AE32&lt;&gt;"",Ofwat_PC_Interventions!AE32,IF(Company_PC_inputs!AE32&lt;&gt;"",Company_PC_inputs!AE32,""))</f>
        <v/>
      </c>
      <c r="AF32" s="494" t="str">
        <f>IF(Ofwat_PC_Interventions!AF32&lt;&gt;"",Ofwat_PC_Interventions!AF32,IF(Company_PC_inputs!AF32&lt;&gt;"",Company_PC_inputs!AF32,""))</f>
        <v/>
      </c>
      <c r="AG32" s="494" t="str">
        <f>IF(Ofwat_PC_Interventions!AG32&lt;&gt;"",Ofwat_PC_Interventions!AG32,IF(Company_PC_inputs!AG32&lt;&gt;"",Company_PC_inputs!AG32,""))</f>
        <v/>
      </c>
      <c r="AH32" s="494" t="str">
        <f>IF(Ofwat_PC_Interventions!AH32&lt;&gt;"",Ofwat_PC_Interventions!AH32,IF(Company_PC_inputs!AH32&lt;&gt;"",Company_PC_inputs!AH32,""))</f>
        <v/>
      </c>
      <c r="AI32" s="494" t="str">
        <f>IF(Ofwat_PC_Interventions!AI32&lt;&gt;"",Ofwat_PC_Interventions!AI32,IF(Company_PC_inputs!AI32&lt;&gt;"",Company_PC_inputs!AI32,""))</f>
        <v/>
      </c>
      <c r="AJ32" s="494" t="str">
        <f>IF(Ofwat_PC_Interventions!AJ32&lt;&gt;"",Ofwat_PC_Interventions!AJ32,IF(Company_PC_inputs!AJ32&lt;&gt;"",Company_PC_inputs!AJ32,""))</f>
        <v/>
      </c>
      <c r="AK32" s="496" t="str">
        <f>IF(Ofwat_PC_Interventions!AK32&lt;&gt;"",Ofwat_PC_Interventions!AK32,IF(Company_PC_inputs!AK32&lt;&gt;"",Company_PC_inputs!AK32,""))</f>
        <v/>
      </c>
      <c r="AL32" s="494" t="str">
        <f>IF(Ofwat_PC_Interventions!AL32&lt;&gt;"",Ofwat_PC_Interventions!AL32,IF(Company_PC_inputs!AL32&lt;&gt;"",Company_PC_inputs!AL32,""))</f>
        <v/>
      </c>
      <c r="AM32" s="494" t="str">
        <f>IF(Ofwat_PC_Interventions!AM32&lt;&gt;"",Ofwat_PC_Interventions!AM32,IF(Company_PC_inputs!AM32&lt;&gt;"",Company_PC_inputs!AM32,""))</f>
        <v/>
      </c>
      <c r="AN32" s="494" t="str">
        <f>IF(Ofwat_PC_Interventions!AN32&lt;&gt;"",Ofwat_PC_Interventions!AN32,IF(Company_PC_inputs!AN32&lt;&gt;"",Company_PC_inputs!AN32,""))</f>
        <v/>
      </c>
      <c r="AO32" s="496" t="str">
        <f>IF(Ofwat_PC_Interventions!AO32&lt;&gt;"",Ofwat_PC_Interventions!AO32,IF(Company_PC_inputs!AO32&lt;&gt;"",Company_PC_inputs!AO32,""))</f>
        <v/>
      </c>
      <c r="AP32" s="494" t="str">
        <f>IF(Ofwat_PC_Interventions!AP32&lt;&gt;"",Ofwat_PC_Interventions!AP32,IF(Company_PC_inputs!AP32&lt;&gt;"",Company_PC_inputs!AP32,""))</f>
        <v/>
      </c>
      <c r="AQ32" s="494" t="str">
        <f>IF(Ofwat_PC_Interventions!AQ32&lt;&gt;"",Ofwat_PC_Interventions!AQ32,IF(Company_PC_inputs!AQ32&lt;&gt;"",Company_PC_inputs!AQ32,""))</f>
        <v/>
      </c>
      <c r="AR32" s="494" t="str">
        <f>IF(Ofwat_PC_Interventions!AR32&lt;&gt;"",Ofwat_PC_Interventions!AR32,IF(Company_PC_inputs!AR32&lt;&gt;"",Company_PC_inputs!AR32,""))</f>
        <v/>
      </c>
      <c r="AS32" s="494" t="str">
        <f>IF(Ofwat_PC_Interventions!AS32&lt;&gt;"",Ofwat_PC_Interventions!AS32,IF(Company_PC_inputs!AS32&lt;&gt;"",Company_PC_inputs!AS32,""))</f>
        <v/>
      </c>
      <c r="AT32" s="494" t="str">
        <f>IF(Ofwat_PC_Interventions!AT32&lt;&gt;"",Ofwat_PC_Interventions!AT32,IF(Company_PC_inputs!AT32&lt;&gt;"",Company_PC_inputs!AT32,""))</f>
        <v/>
      </c>
      <c r="AU32" s="494" t="str">
        <f>IF(Ofwat_PC_Interventions!AU32&lt;&gt;"",Ofwat_PC_Interventions!AU32,IF(Company_PC_inputs!AU32&lt;&gt;"",Company_PC_inputs!AU32,""))</f>
        <v/>
      </c>
      <c r="AV32" s="494" t="str">
        <f>IF(Ofwat_PC_Interventions!AV32&lt;&gt;"",Ofwat_PC_Interventions!AV32,IF(Company_PC_inputs!AV32&lt;&gt;"",Company_PC_inputs!AV32,""))</f>
        <v/>
      </c>
      <c r="AW32" s="494" t="str">
        <f>IF(Ofwat_PC_Interventions!AW32&lt;&gt;"",Ofwat_PC_Interventions!AW32,IF(Company_PC_inputs!AW32&lt;&gt;"",Company_PC_inputs!AW32,""))</f>
        <v/>
      </c>
      <c r="AX32" s="494" t="str">
        <f>IF(Ofwat_PC_Interventions!AX32&lt;&gt;"",Ofwat_PC_Interventions!AX32,IF(Company_PC_inputs!AX32&lt;&gt;"",Company_PC_inputs!AX32,""))</f>
        <v/>
      </c>
      <c r="AY32" s="494" t="str">
        <f>IF(Ofwat_PC_Interventions!AY32&lt;&gt;"",Ofwat_PC_Interventions!AY32,IF(Company_PC_inputs!AY32&lt;&gt;"",Company_PC_inputs!AY32,""))</f>
        <v/>
      </c>
      <c r="AZ32" s="494" t="str">
        <f>IF(Ofwat_PC_Interventions!AZ32&lt;&gt;"",Ofwat_PC_Interventions!AZ32,IF(Company_PC_inputs!AZ32&lt;&gt;"",Company_PC_inputs!AZ32,""))</f>
        <v/>
      </c>
      <c r="BA32" s="494" t="str">
        <f>IF(Ofwat_PC_Interventions!BA32&lt;&gt;"",Ofwat_PC_Interventions!BA32,IF(Company_PC_inputs!BA32&lt;&gt;"",Company_PC_inputs!BA32,""))</f>
        <v/>
      </c>
      <c r="BB32" s="494" t="str">
        <f>IF(Ofwat_PC_Interventions!BB32&lt;&gt;"",Ofwat_PC_Interventions!BB32,IF(Company_PC_inputs!BB32&lt;&gt;"",Company_PC_inputs!BB32,""))</f>
        <v/>
      </c>
      <c r="BC32" s="496" t="str">
        <f>IF(Ofwat_PC_Interventions!BC32&lt;&gt;"",Ofwat_PC_Interventions!BC32,IF(Company_PC_inputs!BC32&lt;&gt;"",Company_PC_inputs!BC32,""))</f>
        <v/>
      </c>
      <c r="BD32" s="494" t="str">
        <f>IF(Ofwat_PC_Interventions!BD32&lt;&gt;"",Ofwat_PC_Interventions!BD32,IF(Company_PC_inputs!BD32&lt;&gt;"",Company_PC_inputs!BD32,""))</f>
        <v/>
      </c>
      <c r="BE32" s="494" t="str">
        <f>IF(Ofwat_PC_Interventions!BE32&lt;&gt;"",Ofwat_PC_Interventions!BE32,IF(Company_PC_inputs!BE32&lt;&gt;"",Company_PC_inputs!BE32,""))</f>
        <v/>
      </c>
      <c r="BF32" s="494" t="str">
        <f>IF(Ofwat_PC_Interventions!BF32&lt;&gt;"",Ofwat_PC_Interventions!BF32,IF(Company_PC_inputs!BF32&lt;&gt;"",Company_PC_inputs!BF32,""))</f>
        <v/>
      </c>
      <c r="BG32" s="494" t="str">
        <f>IF(Ofwat_PC_Interventions!BG32&lt;&gt;"",Ofwat_PC_Interventions!BG32,IF(Company_PC_inputs!BG32&lt;&gt;"",Company_PC_inputs!BG32,""))</f>
        <v/>
      </c>
      <c r="BH32" s="494" t="str">
        <f>IF(Ofwat_PC_Interventions!BH32&lt;&gt;"",Ofwat_PC_Interventions!BH32,IF(Company_PC_inputs!BH32&lt;&gt;"",Company_PC_inputs!BH32,""))</f>
        <v/>
      </c>
      <c r="BI32" s="494" t="str">
        <f>IF(Ofwat_PC_Interventions!BI32&lt;&gt;"",Ofwat_PC_Interventions!BI32,IF(Company_PC_inputs!BI32&lt;&gt;"",Company_PC_inputs!BI32,""))</f>
        <v/>
      </c>
      <c r="BJ32" s="494" t="str">
        <f>IF(Ofwat_PC_Interventions!BJ32&lt;&gt;"",Ofwat_PC_Interventions!BJ32,IF(Company_PC_inputs!BJ32&lt;&gt;"",Company_PC_inputs!BJ32,""))</f>
        <v/>
      </c>
      <c r="BK32" s="494" t="str">
        <f>IF(Ofwat_PC_Interventions!BK32&lt;&gt;"",Ofwat_PC_Interventions!BK32,IF(Company_PC_inputs!BK32&lt;&gt;"",Company_PC_inputs!BK32,""))</f>
        <v/>
      </c>
      <c r="BL32" s="494" t="str">
        <f>IF(Ofwat_PC_Interventions!BL32&lt;&gt;"",Ofwat_PC_Interventions!BL32,IF(Company_PC_inputs!BL32&lt;&gt;"",Company_PC_inputs!BL32,""))</f>
        <v/>
      </c>
      <c r="BM32" s="494" t="str">
        <f>IF(Ofwat_PC_Interventions!BM32&lt;&gt;"",Ofwat_PC_Interventions!BM32,IF(Company_PC_inputs!BM32&lt;&gt;"",Company_PC_inputs!BM32,""))</f>
        <v/>
      </c>
      <c r="BN32" s="494" t="str">
        <f>IF(Ofwat_PC_Interventions!BN32&lt;&gt;"",Ofwat_PC_Interventions!BN32,IF(Company_PC_inputs!BN32&lt;&gt;"",Company_PC_inputs!BN32,""))</f>
        <v/>
      </c>
      <c r="BO32" s="494" t="str">
        <f>IF(Ofwat_PC_Interventions!BO32&lt;&gt;"",Ofwat_PC_Interventions!BO32,IF(Company_PC_inputs!BO32&lt;&gt;"",Company_PC_inputs!BO32,""))</f>
        <v/>
      </c>
      <c r="BP32" s="494" t="str">
        <f>IF(Ofwat_PC_Interventions!BP32&lt;&gt;"",Ofwat_PC_Interventions!BP32,IF(Company_PC_inputs!BP32&lt;&gt;"",Company_PC_inputs!BP32,""))</f>
        <v/>
      </c>
      <c r="BQ32" s="494" t="str">
        <f>IF(Ofwat_PC_Interventions!BQ32&lt;&gt;"",Ofwat_PC_Interventions!BQ32,IF(Company_PC_inputs!BQ32&lt;&gt;"",Company_PC_inputs!BQ32,""))</f>
        <v/>
      </c>
      <c r="BR32" s="494" t="str">
        <f>IF(Ofwat_PC_Interventions!BR32&lt;&gt;"",Ofwat_PC_Interventions!BR32,IF(Company_PC_inputs!BR32&lt;&gt;"",Company_PC_inputs!BR32,""))</f>
        <v/>
      </c>
      <c r="BS32" s="494" t="str">
        <f>IF(Ofwat_PC_Interventions!BS32&lt;&gt;"",Ofwat_PC_Interventions!BS32,IF(Company_PC_inputs!BS32&lt;&gt;"",Company_PC_inputs!BS32,""))</f>
        <v/>
      </c>
    </row>
    <row r="33" spans="1:71" s="202" customFormat="1" ht="13.15">
      <c r="A33" s="453"/>
      <c r="B33" s="453"/>
      <c r="C33" s="453"/>
      <c r="D33" s="453"/>
      <c r="E33" s="453" t="s">
        <v>988</v>
      </c>
      <c r="F33" s="453"/>
      <c r="G33" s="453" t="s">
        <v>1137</v>
      </c>
      <c r="H33" s="453"/>
      <c r="I33" s="453"/>
      <c r="J33" s="494" t="str">
        <f>IF(Ofwat_PC_Interventions!J33&lt;&gt;"",Ofwat_PC_Interventions!J33,IF(Company_PC_inputs!J33&lt;&gt;"",Company_PC_inputs!J33,""))</f>
        <v>Revenue</v>
      </c>
      <c r="K33" s="494" t="str">
        <f>IF(Ofwat_PC_Interventions!K33&lt;&gt;"",Ofwat_PC_Interventions!K33,IF(Company_PC_inputs!K33&lt;&gt;"",Company_PC_inputs!K33,""))</f>
        <v>Revenue</v>
      </c>
      <c r="L33" s="494" t="str">
        <f>IF(Ofwat_PC_Interventions!L33&lt;&gt;"",Ofwat_PC_Interventions!L33,IF(Company_PC_inputs!L33&lt;&gt;"",Company_PC_inputs!L33,""))</f>
        <v>Revenue</v>
      </c>
      <c r="M33" s="494" t="str">
        <f>IF(Ofwat_PC_Interventions!M33&lt;&gt;"",Ofwat_PC_Interventions!M33,IF(Company_PC_inputs!M33&lt;&gt;"",Company_PC_inputs!M33,""))</f>
        <v/>
      </c>
      <c r="N33" s="494" t="str">
        <f>IF(Ofwat_PC_Interventions!N33&lt;&gt;"",Ofwat_PC_Interventions!N33,IF(Company_PC_inputs!N33&lt;&gt;"",Company_PC_inputs!N33,""))</f>
        <v>Revenue</v>
      </c>
      <c r="O33" s="494" t="str">
        <f>IF(Ofwat_PC_Interventions!O33&lt;&gt;"",Ofwat_PC_Interventions!O33,IF(Company_PC_inputs!O33&lt;&gt;"",Company_PC_inputs!O33,""))</f>
        <v/>
      </c>
      <c r="P33" s="494" t="str">
        <f>IF(Ofwat_PC_Interventions!P33&lt;&gt;"",Ofwat_PC_Interventions!P33,IF(Company_PC_inputs!P33&lt;&gt;"",Company_PC_inputs!P33,""))</f>
        <v>Revenue</v>
      </c>
      <c r="Q33" s="496" t="str">
        <f>IF(Ofwat_PC_Interventions!Q33&lt;&gt;"",Ofwat_PC_Interventions!Q33,IF(Company_PC_inputs!Q33&lt;&gt;"",Company_PC_inputs!Q33,""))</f>
        <v>Revenue</v>
      </c>
      <c r="R33" s="494" t="str">
        <f>IF(Ofwat_PC_Interventions!R33&lt;&gt;"",Ofwat_PC_Interventions!R33,IF(Company_PC_inputs!R33&lt;&gt;"",Company_PC_inputs!R33,""))</f>
        <v>Revenue</v>
      </c>
      <c r="S33" s="494" t="str">
        <f>IF(Ofwat_PC_Interventions!S33&lt;&gt;"",Ofwat_PC_Interventions!S33,IF(Company_PC_inputs!S33&lt;&gt;"",Company_PC_inputs!S33,""))</f>
        <v>Revenue</v>
      </c>
      <c r="T33" s="494" t="str">
        <f>IF(Ofwat_PC_Interventions!T33&lt;&gt;"",Ofwat_PC_Interventions!T33,IF(Company_PC_inputs!T33&lt;&gt;"",Company_PC_inputs!T33,""))</f>
        <v>Revenue</v>
      </c>
      <c r="U33" s="494" t="str">
        <f>IF(Ofwat_PC_Interventions!U33&lt;&gt;"",Ofwat_PC_Interventions!U33,IF(Company_PC_inputs!U33&lt;&gt;"",Company_PC_inputs!U33,""))</f>
        <v>Revenue</v>
      </c>
      <c r="V33" s="494" t="str">
        <f>IF(Ofwat_PC_Interventions!V33&lt;&gt;"",Ofwat_PC_Interventions!V33,IF(Company_PC_inputs!V33&lt;&gt;"",Company_PC_inputs!V33,""))</f>
        <v>Revenue</v>
      </c>
      <c r="W33" s="494" t="str">
        <f>IF(Ofwat_PC_Interventions!W33&lt;&gt;"",Ofwat_PC_Interventions!W33,IF(Company_PC_inputs!W33&lt;&gt;"",Company_PC_inputs!W33,""))</f>
        <v>Revenue</v>
      </c>
      <c r="X33" s="494" t="str">
        <f>IF(Ofwat_PC_Interventions!X33&lt;&gt;"",Ofwat_PC_Interventions!X33,IF(Company_PC_inputs!X33&lt;&gt;"",Company_PC_inputs!X33,""))</f>
        <v>Revenue</v>
      </c>
      <c r="Y33" s="494" t="str">
        <f>IF(Ofwat_PC_Interventions!Y33&lt;&gt;"",Ofwat_PC_Interventions!Y33,IF(Company_PC_inputs!Y33&lt;&gt;"",Company_PC_inputs!Y33,""))</f>
        <v>Revenue</v>
      </c>
      <c r="Z33" s="494" t="str">
        <f>IF(Ofwat_PC_Interventions!Z33&lt;&gt;"",Ofwat_PC_Interventions!Z33,IF(Company_PC_inputs!Z33&lt;&gt;"",Company_PC_inputs!Z33,""))</f>
        <v>Revenue</v>
      </c>
      <c r="AA33" s="494" t="str">
        <f>IF(Ofwat_PC_Interventions!AA33&lt;&gt;"",Ofwat_PC_Interventions!AA33,IF(Company_PC_inputs!AA33&lt;&gt;"",Company_PC_inputs!AA33,""))</f>
        <v/>
      </c>
      <c r="AB33" s="494" t="str">
        <f>IF(Ofwat_PC_Interventions!AB33&lt;&gt;"",Ofwat_PC_Interventions!AB33,IF(Company_PC_inputs!AB33&lt;&gt;"",Company_PC_inputs!AB33,""))</f>
        <v/>
      </c>
      <c r="AC33" s="494" t="str">
        <f>IF(Ofwat_PC_Interventions!AC33&lt;&gt;"",Ofwat_PC_Interventions!AC33,IF(Company_PC_inputs!AC33&lt;&gt;"",Company_PC_inputs!AC33,""))</f>
        <v/>
      </c>
      <c r="AD33" s="494" t="str">
        <f>IF(Ofwat_PC_Interventions!AD33&lt;&gt;"",Ofwat_PC_Interventions!AD33,IF(Company_PC_inputs!AD33&lt;&gt;"",Company_PC_inputs!AD33,""))</f>
        <v/>
      </c>
      <c r="AE33" s="494" t="str">
        <f>IF(Ofwat_PC_Interventions!AE33&lt;&gt;"",Ofwat_PC_Interventions!AE33,IF(Company_PC_inputs!AE33&lt;&gt;"",Company_PC_inputs!AE33,""))</f>
        <v/>
      </c>
      <c r="AF33" s="494" t="str">
        <f>IF(Ofwat_PC_Interventions!AF33&lt;&gt;"",Ofwat_PC_Interventions!AF33,IF(Company_PC_inputs!AF33&lt;&gt;"",Company_PC_inputs!AF33,""))</f>
        <v/>
      </c>
      <c r="AG33" s="494" t="str">
        <f>IF(Ofwat_PC_Interventions!AG33&lt;&gt;"",Ofwat_PC_Interventions!AG33,IF(Company_PC_inputs!AG33&lt;&gt;"",Company_PC_inputs!AG33,""))</f>
        <v/>
      </c>
      <c r="AH33" s="494" t="str">
        <f>IF(Ofwat_PC_Interventions!AH33&lt;&gt;"",Ofwat_PC_Interventions!AH33,IF(Company_PC_inputs!AH33&lt;&gt;"",Company_PC_inputs!AH33,""))</f>
        <v/>
      </c>
      <c r="AI33" s="494" t="str">
        <f>IF(Ofwat_PC_Interventions!AI33&lt;&gt;"",Ofwat_PC_Interventions!AI33,IF(Company_PC_inputs!AI33&lt;&gt;"",Company_PC_inputs!AI33,""))</f>
        <v/>
      </c>
      <c r="AJ33" s="494" t="str">
        <f>IF(Ofwat_PC_Interventions!AJ33&lt;&gt;"",Ofwat_PC_Interventions!AJ33,IF(Company_PC_inputs!AJ33&lt;&gt;"",Company_PC_inputs!AJ33,""))</f>
        <v/>
      </c>
      <c r="AK33" s="496" t="str">
        <f>IF(Ofwat_PC_Interventions!AK33&lt;&gt;"",Ofwat_PC_Interventions!AK33,IF(Company_PC_inputs!AK33&lt;&gt;"",Company_PC_inputs!AK33,""))</f>
        <v/>
      </c>
      <c r="AL33" s="494" t="str">
        <f>IF(Ofwat_PC_Interventions!AL33&lt;&gt;"",Ofwat_PC_Interventions!AL33,IF(Company_PC_inputs!AL33&lt;&gt;"",Company_PC_inputs!AL33,""))</f>
        <v>Revenue</v>
      </c>
      <c r="AM33" s="494" t="str">
        <f>IF(Ofwat_PC_Interventions!AM33&lt;&gt;"",Ofwat_PC_Interventions!AM33,IF(Company_PC_inputs!AM33&lt;&gt;"",Company_PC_inputs!AM33,""))</f>
        <v>Revenue</v>
      </c>
      <c r="AN33" s="494" t="str">
        <f>IF(Ofwat_PC_Interventions!AN33&lt;&gt;"",Ofwat_PC_Interventions!AN33,IF(Company_PC_inputs!AN33&lt;&gt;"",Company_PC_inputs!AN33,""))</f>
        <v>Revenue</v>
      </c>
      <c r="AO33" s="496" t="str">
        <f>IF(Ofwat_PC_Interventions!AO33&lt;&gt;"",Ofwat_PC_Interventions!AO33,IF(Company_PC_inputs!AO33&lt;&gt;"",Company_PC_inputs!AO33,""))</f>
        <v>Revenue</v>
      </c>
      <c r="AP33" s="494" t="str">
        <f>IF(Ofwat_PC_Interventions!AP33&lt;&gt;"",Ofwat_PC_Interventions!AP33,IF(Company_PC_inputs!AP33&lt;&gt;"",Company_PC_inputs!AP33,""))</f>
        <v>Revenue</v>
      </c>
      <c r="AQ33" s="494" t="str">
        <f>IF(Ofwat_PC_Interventions!AQ33&lt;&gt;"",Ofwat_PC_Interventions!AQ33,IF(Company_PC_inputs!AQ33&lt;&gt;"",Company_PC_inputs!AQ33,""))</f>
        <v>Revenue</v>
      </c>
      <c r="AR33" s="494" t="str">
        <f>IF(Ofwat_PC_Interventions!AR33&lt;&gt;"",Ofwat_PC_Interventions!AR33,IF(Company_PC_inputs!AR33&lt;&gt;"",Company_PC_inputs!AR33,""))</f>
        <v>Revenue</v>
      </c>
      <c r="AS33" s="494" t="str">
        <f>IF(Ofwat_PC_Interventions!AS33&lt;&gt;"",Ofwat_PC_Interventions!AS33,IF(Company_PC_inputs!AS33&lt;&gt;"",Company_PC_inputs!AS33,""))</f>
        <v>Revenue</v>
      </c>
      <c r="AT33" s="494" t="str">
        <f>IF(Ofwat_PC_Interventions!AT33&lt;&gt;"",Ofwat_PC_Interventions!AT33,IF(Company_PC_inputs!AT33&lt;&gt;"",Company_PC_inputs!AT33,""))</f>
        <v>Revenue</v>
      </c>
      <c r="AU33" s="494" t="str">
        <f>IF(Ofwat_PC_Interventions!AU33&lt;&gt;"",Ofwat_PC_Interventions!AU33,IF(Company_PC_inputs!AU33&lt;&gt;"",Company_PC_inputs!AU33,""))</f>
        <v>Revenue</v>
      </c>
      <c r="AV33" s="494" t="str">
        <f>IF(Ofwat_PC_Interventions!AV33&lt;&gt;"",Ofwat_PC_Interventions!AV33,IF(Company_PC_inputs!AV33&lt;&gt;"",Company_PC_inputs!AV33,""))</f>
        <v>Revenue</v>
      </c>
      <c r="AW33" s="494" t="str">
        <f>IF(Ofwat_PC_Interventions!AW33&lt;&gt;"",Ofwat_PC_Interventions!AW33,IF(Company_PC_inputs!AW33&lt;&gt;"",Company_PC_inputs!AW33,""))</f>
        <v>Revenue</v>
      </c>
      <c r="AX33" s="494" t="str">
        <f>IF(Ofwat_PC_Interventions!AX33&lt;&gt;"",Ofwat_PC_Interventions!AX33,IF(Company_PC_inputs!AX33&lt;&gt;"",Company_PC_inputs!AX33,""))</f>
        <v>Revenue</v>
      </c>
      <c r="AY33" s="494" t="str">
        <f>IF(Ofwat_PC_Interventions!AY33&lt;&gt;"",Ofwat_PC_Interventions!AY33,IF(Company_PC_inputs!AY33&lt;&gt;"",Company_PC_inputs!AY33,""))</f>
        <v>Revenue</v>
      </c>
      <c r="AZ33" s="494" t="str">
        <f>IF(Ofwat_PC_Interventions!AZ33&lt;&gt;"",Ofwat_PC_Interventions!AZ33,IF(Company_PC_inputs!AZ33&lt;&gt;"",Company_PC_inputs!AZ33,""))</f>
        <v/>
      </c>
      <c r="BA33" s="494" t="str">
        <f>IF(Ofwat_PC_Interventions!BA33&lt;&gt;"",Ofwat_PC_Interventions!BA33,IF(Company_PC_inputs!BA33&lt;&gt;"",Company_PC_inputs!BA33,""))</f>
        <v/>
      </c>
      <c r="BB33" s="494" t="str">
        <f>IF(Ofwat_PC_Interventions!BB33&lt;&gt;"",Ofwat_PC_Interventions!BB33,IF(Company_PC_inputs!BB33&lt;&gt;"",Company_PC_inputs!BB33,""))</f>
        <v/>
      </c>
      <c r="BC33" s="496" t="str">
        <f>IF(Ofwat_PC_Interventions!BC33&lt;&gt;"",Ofwat_PC_Interventions!BC33,IF(Company_PC_inputs!BC33&lt;&gt;"",Company_PC_inputs!BC33,""))</f>
        <v/>
      </c>
      <c r="BD33" s="494" t="str">
        <f>IF(Ofwat_PC_Interventions!BD33&lt;&gt;"",Ofwat_PC_Interventions!BD33,IF(Company_PC_inputs!BD33&lt;&gt;"",Company_PC_inputs!BD33,""))</f>
        <v/>
      </c>
      <c r="BE33" s="494" t="str">
        <f>IF(Ofwat_PC_Interventions!BE33&lt;&gt;"",Ofwat_PC_Interventions!BE33,IF(Company_PC_inputs!BE33&lt;&gt;"",Company_PC_inputs!BE33,""))</f>
        <v/>
      </c>
      <c r="BF33" s="494" t="str">
        <f>IF(Ofwat_PC_Interventions!BF33&lt;&gt;"",Ofwat_PC_Interventions!BF33,IF(Company_PC_inputs!BF33&lt;&gt;"",Company_PC_inputs!BF33,""))</f>
        <v/>
      </c>
      <c r="BG33" s="494" t="str">
        <f>IF(Ofwat_PC_Interventions!BG33&lt;&gt;"",Ofwat_PC_Interventions!BG33,IF(Company_PC_inputs!BG33&lt;&gt;"",Company_PC_inputs!BG33,""))</f>
        <v/>
      </c>
      <c r="BH33" s="494" t="str">
        <f>IF(Ofwat_PC_Interventions!BH33&lt;&gt;"",Ofwat_PC_Interventions!BH33,IF(Company_PC_inputs!BH33&lt;&gt;"",Company_PC_inputs!BH33,""))</f>
        <v/>
      </c>
      <c r="BI33" s="494" t="str">
        <f>IF(Ofwat_PC_Interventions!BI33&lt;&gt;"",Ofwat_PC_Interventions!BI33,IF(Company_PC_inputs!BI33&lt;&gt;"",Company_PC_inputs!BI33,""))</f>
        <v/>
      </c>
      <c r="BJ33" s="494" t="str">
        <f>IF(Ofwat_PC_Interventions!BJ33&lt;&gt;"",Ofwat_PC_Interventions!BJ33,IF(Company_PC_inputs!BJ33&lt;&gt;"",Company_PC_inputs!BJ33,""))</f>
        <v/>
      </c>
      <c r="BK33" s="494" t="str">
        <f>IF(Ofwat_PC_Interventions!BK33&lt;&gt;"",Ofwat_PC_Interventions!BK33,IF(Company_PC_inputs!BK33&lt;&gt;"",Company_PC_inputs!BK33,""))</f>
        <v/>
      </c>
      <c r="BL33" s="494" t="str">
        <f>IF(Ofwat_PC_Interventions!BL33&lt;&gt;"",Ofwat_PC_Interventions!BL33,IF(Company_PC_inputs!BL33&lt;&gt;"",Company_PC_inputs!BL33,""))</f>
        <v/>
      </c>
      <c r="BM33" s="494" t="str">
        <f>IF(Ofwat_PC_Interventions!BM33&lt;&gt;"",Ofwat_PC_Interventions!BM33,IF(Company_PC_inputs!BM33&lt;&gt;"",Company_PC_inputs!BM33,""))</f>
        <v/>
      </c>
      <c r="BN33" s="494" t="str">
        <f>IF(Ofwat_PC_Interventions!BN33&lt;&gt;"",Ofwat_PC_Interventions!BN33,IF(Company_PC_inputs!BN33&lt;&gt;"",Company_PC_inputs!BN33,""))</f>
        <v/>
      </c>
      <c r="BO33" s="494" t="str">
        <f>IF(Ofwat_PC_Interventions!BO33&lt;&gt;"",Ofwat_PC_Interventions!BO33,IF(Company_PC_inputs!BO33&lt;&gt;"",Company_PC_inputs!BO33,""))</f>
        <v/>
      </c>
      <c r="BP33" s="494" t="str">
        <f>IF(Ofwat_PC_Interventions!BP33&lt;&gt;"",Ofwat_PC_Interventions!BP33,IF(Company_PC_inputs!BP33&lt;&gt;"",Company_PC_inputs!BP33,""))</f>
        <v/>
      </c>
      <c r="BQ33" s="494" t="str">
        <f>IF(Ofwat_PC_Interventions!BQ33&lt;&gt;"",Ofwat_PC_Interventions!BQ33,IF(Company_PC_inputs!BQ33&lt;&gt;"",Company_PC_inputs!BQ33,""))</f>
        <v/>
      </c>
      <c r="BR33" s="494" t="str">
        <f>IF(Ofwat_PC_Interventions!BR33&lt;&gt;"",Ofwat_PC_Interventions!BR33,IF(Company_PC_inputs!BR33&lt;&gt;"",Company_PC_inputs!BR33,""))</f>
        <v/>
      </c>
      <c r="BS33" s="494" t="str">
        <f>IF(Ofwat_PC_Interventions!BS33&lt;&gt;"",Ofwat_PC_Interventions!BS33,IF(Company_PC_inputs!BS33&lt;&gt;"",Company_PC_inputs!BS33,""))</f>
        <v/>
      </c>
    </row>
    <row r="34" spans="1:71" s="202" customFormat="1" ht="13.15">
      <c r="A34" s="453"/>
      <c r="B34" s="453"/>
      <c r="C34" s="453"/>
      <c r="D34" s="453"/>
      <c r="E34" s="453" t="s">
        <v>989</v>
      </c>
      <c r="F34" s="453"/>
      <c r="G34" s="453" t="s">
        <v>1137</v>
      </c>
      <c r="H34" s="453"/>
      <c r="I34" s="453"/>
      <c r="J34" s="494" t="str">
        <f>IF(Ofwat_PC_Interventions!J34&lt;&gt;"",Ofwat_PC_Interventions!J34,IF(Company_PC_inputs!J34&lt;&gt;"",Company_PC_inputs!J34,""))</f>
        <v>In-period</v>
      </c>
      <c r="K34" s="494" t="str">
        <f>IF(Ofwat_PC_Interventions!K34&lt;&gt;"",Ofwat_PC_Interventions!K34,IF(Company_PC_inputs!K34&lt;&gt;"",Company_PC_inputs!K34,""))</f>
        <v>In-period</v>
      </c>
      <c r="L34" s="494" t="str">
        <f>IF(Ofwat_PC_Interventions!L34&lt;&gt;"",Ofwat_PC_Interventions!L34,IF(Company_PC_inputs!L34&lt;&gt;"",Company_PC_inputs!L34,""))</f>
        <v>In-period</v>
      </c>
      <c r="M34" s="494" t="str">
        <f>IF(Ofwat_PC_Interventions!M34&lt;&gt;"",Ofwat_PC_Interventions!M34,IF(Company_PC_inputs!M34&lt;&gt;"",Company_PC_inputs!M34,""))</f>
        <v/>
      </c>
      <c r="N34" s="494" t="str">
        <f>IF(Ofwat_PC_Interventions!N34&lt;&gt;"",Ofwat_PC_Interventions!N34,IF(Company_PC_inputs!N34&lt;&gt;"",Company_PC_inputs!N34,""))</f>
        <v>End of period</v>
      </c>
      <c r="O34" s="494" t="str">
        <f>IF(Ofwat_PC_Interventions!O34&lt;&gt;"",Ofwat_PC_Interventions!O34,IF(Company_PC_inputs!O34&lt;&gt;"",Company_PC_inputs!O34,""))</f>
        <v/>
      </c>
      <c r="P34" s="494" t="str">
        <f>IF(Ofwat_PC_Interventions!P34&lt;&gt;"",Ofwat_PC_Interventions!P34,IF(Company_PC_inputs!P34&lt;&gt;"",Company_PC_inputs!P34,""))</f>
        <v>In-period</v>
      </c>
      <c r="Q34" s="496" t="str">
        <f>IF(Ofwat_PC_Interventions!Q34&lt;&gt;"",Ofwat_PC_Interventions!Q34,IF(Company_PC_inputs!Q34&lt;&gt;"",Company_PC_inputs!Q34,""))</f>
        <v>In-period</v>
      </c>
      <c r="R34" s="494" t="str">
        <f>IF(Ofwat_PC_Interventions!R34&lt;&gt;"",Ofwat_PC_Interventions!R34,IF(Company_PC_inputs!R34&lt;&gt;"",Company_PC_inputs!R34,""))</f>
        <v>In-period</v>
      </c>
      <c r="S34" s="494" t="str">
        <f>IF(Ofwat_PC_Interventions!S34&lt;&gt;"",Ofwat_PC_Interventions!S34,IF(Company_PC_inputs!S34&lt;&gt;"",Company_PC_inputs!S34,""))</f>
        <v>In-period</v>
      </c>
      <c r="T34" s="494" t="str">
        <f>IF(Ofwat_PC_Interventions!T34&lt;&gt;"",Ofwat_PC_Interventions!T34,IF(Company_PC_inputs!T34&lt;&gt;"",Company_PC_inputs!T34,""))</f>
        <v>In-period</v>
      </c>
      <c r="U34" s="494" t="str">
        <f>IF(Ofwat_PC_Interventions!U34&lt;&gt;"",Ofwat_PC_Interventions!U34,IF(Company_PC_inputs!U34&lt;&gt;"",Company_PC_inputs!U34,""))</f>
        <v>In-period</v>
      </c>
      <c r="V34" s="494" t="str">
        <f>IF(Ofwat_PC_Interventions!V34&lt;&gt;"",Ofwat_PC_Interventions!V34,IF(Company_PC_inputs!V34&lt;&gt;"",Company_PC_inputs!V34,""))</f>
        <v>In-period</v>
      </c>
      <c r="W34" s="494" t="str">
        <f>IF(Ofwat_PC_Interventions!W34&lt;&gt;"",Ofwat_PC_Interventions!W34,IF(Company_PC_inputs!W34&lt;&gt;"",Company_PC_inputs!W34,""))</f>
        <v>In-period</v>
      </c>
      <c r="X34" s="494" t="str">
        <f>IF(Ofwat_PC_Interventions!X34&lt;&gt;"",Ofwat_PC_Interventions!X34,IF(Company_PC_inputs!X34&lt;&gt;"",Company_PC_inputs!X34,""))</f>
        <v>In-period</v>
      </c>
      <c r="Y34" s="494" t="str">
        <f>IF(Ofwat_PC_Interventions!Y34&lt;&gt;"",Ofwat_PC_Interventions!Y34,IF(Company_PC_inputs!Y34&lt;&gt;"",Company_PC_inputs!Y34,""))</f>
        <v>End of period</v>
      </c>
      <c r="Z34" s="494" t="str">
        <f>IF(Ofwat_PC_Interventions!Z34&lt;&gt;"",Ofwat_PC_Interventions!Z34,IF(Company_PC_inputs!Z34&lt;&gt;"",Company_PC_inputs!Z34,""))</f>
        <v>In-period</v>
      </c>
      <c r="AA34" s="494" t="str">
        <f>IF(Ofwat_PC_Interventions!AA34&lt;&gt;"",Ofwat_PC_Interventions!AA34,IF(Company_PC_inputs!AA34&lt;&gt;"",Company_PC_inputs!AA34,""))</f>
        <v/>
      </c>
      <c r="AB34" s="494" t="str">
        <f>IF(Ofwat_PC_Interventions!AB34&lt;&gt;"",Ofwat_PC_Interventions!AB34,IF(Company_PC_inputs!AB34&lt;&gt;"",Company_PC_inputs!AB34,""))</f>
        <v/>
      </c>
      <c r="AC34" s="494" t="str">
        <f>IF(Ofwat_PC_Interventions!AC34&lt;&gt;"",Ofwat_PC_Interventions!AC34,IF(Company_PC_inputs!AC34&lt;&gt;"",Company_PC_inputs!AC34,""))</f>
        <v/>
      </c>
      <c r="AD34" s="494" t="str">
        <f>IF(Ofwat_PC_Interventions!AD34&lt;&gt;"",Ofwat_PC_Interventions!AD34,IF(Company_PC_inputs!AD34&lt;&gt;"",Company_PC_inputs!AD34,""))</f>
        <v/>
      </c>
      <c r="AE34" s="494" t="str">
        <f>IF(Ofwat_PC_Interventions!AE34&lt;&gt;"",Ofwat_PC_Interventions!AE34,IF(Company_PC_inputs!AE34&lt;&gt;"",Company_PC_inputs!AE34,""))</f>
        <v/>
      </c>
      <c r="AF34" s="494" t="str">
        <f>IF(Ofwat_PC_Interventions!AF34&lt;&gt;"",Ofwat_PC_Interventions!AF34,IF(Company_PC_inputs!AF34&lt;&gt;"",Company_PC_inputs!AF34,""))</f>
        <v/>
      </c>
      <c r="AG34" s="494" t="str">
        <f>IF(Ofwat_PC_Interventions!AG34&lt;&gt;"",Ofwat_PC_Interventions!AG34,IF(Company_PC_inputs!AG34&lt;&gt;"",Company_PC_inputs!AG34,""))</f>
        <v/>
      </c>
      <c r="AH34" s="494" t="str">
        <f>IF(Ofwat_PC_Interventions!AH34&lt;&gt;"",Ofwat_PC_Interventions!AH34,IF(Company_PC_inputs!AH34&lt;&gt;"",Company_PC_inputs!AH34,""))</f>
        <v/>
      </c>
      <c r="AI34" s="494" t="str">
        <f>IF(Ofwat_PC_Interventions!AI34&lt;&gt;"",Ofwat_PC_Interventions!AI34,IF(Company_PC_inputs!AI34&lt;&gt;"",Company_PC_inputs!AI34,""))</f>
        <v/>
      </c>
      <c r="AJ34" s="494" t="str">
        <f>IF(Ofwat_PC_Interventions!AJ34&lt;&gt;"",Ofwat_PC_Interventions!AJ34,IF(Company_PC_inputs!AJ34&lt;&gt;"",Company_PC_inputs!AJ34,""))</f>
        <v/>
      </c>
      <c r="AK34" s="496" t="str">
        <f>IF(Ofwat_PC_Interventions!AK34&lt;&gt;"",Ofwat_PC_Interventions!AK34,IF(Company_PC_inputs!AK34&lt;&gt;"",Company_PC_inputs!AK34,""))</f>
        <v/>
      </c>
      <c r="AL34" s="494" t="str">
        <f>IF(Ofwat_PC_Interventions!AL34&lt;&gt;"",Ofwat_PC_Interventions!AL34,IF(Company_PC_inputs!AL34&lt;&gt;"",Company_PC_inputs!AL34,""))</f>
        <v>In-period</v>
      </c>
      <c r="AM34" s="494" t="str">
        <f>IF(Ofwat_PC_Interventions!AM34&lt;&gt;"",Ofwat_PC_Interventions!AM34,IF(Company_PC_inputs!AM34&lt;&gt;"",Company_PC_inputs!AM34,""))</f>
        <v>In-period</v>
      </c>
      <c r="AN34" s="494" t="str">
        <f>IF(Ofwat_PC_Interventions!AN34&lt;&gt;"",Ofwat_PC_Interventions!AN34,IF(Company_PC_inputs!AN34&lt;&gt;"",Company_PC_inputs!AN34,""))</f>
        <v>In-period</v>
      </c>
      <c r="AO34" s="496" t="str">
        <f>IF(Ofwat_PC_Interventions!AO34&lt;&gt;"",Ofwat_PC_Interventions!AO34,IF(Company_PC_inputs!AO34&lt;&gt;"",Company_PC_inputs!AO34,""))</f>
        <v>In-period</v>
      </c>
      <c r="AP34" s="494" t="str">
        <f>IF(Ofwat_PC_Interventions!AP34&lt;&gt;"",Ofwat_PC_Interventions!AP34,IF(Company_PC_inputs!AP34&lt;&gt;"",Company_PC_inputs!AP34,""))</f>
        <v>In-period</v>
      </c>
      <c r="AQ34" s="494" t="str">
        <f>IF(Ofwat_PC_Interventions!AQ34&lt;&gt;"",Ofwat_PC_Interventions!AQ34,IF(Company_PC_inputs!AQ34&lt;&gt;"",Company_PC_inputs!AQ34,""))</f>
        <v>In-period</v>
      </c>
      <c r="AR34" s="494" t="str">
        <f>IF(Ofwat_PC_Interventions!AR34&lt;&gt;"",Ofwat_PC_Interventions!AR34,IF(Company_PC_inputs!AR34&lt;&gt;"",Company_PC_inputs!AR34,""))</f>
        <v>In-period</v>
      </c>
      <c r="AS34" s="494" t="str">
        <f>IF(Ofwat_PC_Interventions!AS34&lt;&gt;"",Ofwat_PC_Interventions!AS34,IF(Company_PC_inputs!AS34&lt;&gt;"",Company_PC_inputs!AS34,""))</f>
        <v>In-period</v>
      </c>
      <c r="AT34" s="494" t="str">
        <f>IF(Ofwat_PC_Interventions!AT34&lt;&gt;"",Ofwat_PC_Interventions!AT34,IF(Company_PC_inputs!AT34&lt;&gt;"",Company_PC_inputs!AT34,""))</f>
        <v>In-period</v>
      </c>
      <c r="AU34" s="494" t="str">
        <f>IF(Ofwat_PC_Interventions!AU34&lt;&gt;"",Ofwat_PC_Interventions!AU34,IF(Company_PC_inputs!AU34&lt;&gt;"",Company_PC_inputs!AU34,""))</f>
        <v>In-period</v>
      </c>
      <c r="AV34" s="494" t="str">
        <f>IF(Ofwat_PC_Interventions!AV34&lt;&gt;"",Ofwat_PC_Interventions!AV34,IF(Company_PC_inputs!AV34&lt;&gt;"",Company_PC_inputs!AV34,""))</f>
        <v>In-period</v>
      </c>
      <c r="AW34" s="494" t="str">
        <f>IF(Ofwat_PC_Interventions!AW34&lt;&gt;"",Ofwat_PC_Interventions!AW34,IF(Company_PC_inputs!AW34&lt;&gt;"",Company_PC_inputs!AW34,""))</f>
        <v>In-period</v>
      </c>
      <c r="AX34" s="494" t="str">
        <f>IF(Ofwat_PC_Interventions!AX34&lt;&gt;"",Ofwat_PC_Interventions!AX34,IF(Company_PC_inputs!AX34&lt;&gt;"",Company_PC_inputs!AX34,""))</f>
        <v>In-period</v>
      </c>
      <c r="AY34" s="494" t="str">
        <f>IF(Ofwat_PC_Interventions!AY34&lt;&gt;"",Ofwat_PC_Interventions!AY34,IF(Company_PC_inputs!AY34&lt;&gt;"",Company_PC_inputs!AY34,""))</f>
        <v>End of period</v>
      </c>
      <c r="AZ34" s="494" t="str">
        <f>IF(Ofwat_PC_Interventions!AZ34&lt;&gt;"",Ofwat_PC_Interventions!AZ34,IF(Company_PC_inputs!AZ34&lt;&gt;"",Company_PC_inputs!AZ34,""))</f>
        <v/>
      </c>
      <c r="BA34" s="494" t="str">
        <f>IF(Ofwat_PC_Interventions!BA34&lt;&gt;"",Ofwat_PC_Interventions!BA34,IF(Company_PC_inputs!BA34&lt;&gt;"",Company_PC_inputs!BA34,""))</f>
        <v/>
      </c>
      <c r="BB34" s="494" t="str">
        <f>IF(Ofwat_PC_Interventions!BB34&lt;&gt;"",Ofwat_PC_Interventions!BB34,IF(Company_PC_inputs!BB34&lt;&gt;"",Company_PC_inputs!BB34,""))</f>
        <v/>
      </c>
      <c r="BC34" s="496" t="str">
        <f>IF(Ofwat_PC_Interventions!BC34&lt;&gt;"",Ofwat_PC_Interventions!BC34,IF(Company_PC_inputs!BC34&lt;&gt;"",Company_PC_inputs!BC34,""))</f>
        <v/>
      </c>
      <c r="BD34" s="494" t="str">
        <f>IF(Ofwat_PC_Interventions!BD34&lt;&gt;"",Ofwat_PC_Interventions!BD34,IF(Company_PC_inputs!BD34&lt;&gt;"",Company_PC_inputs!BD34,""))</f>
        <v/>
      </c>
      <c r="BE34" s="494" t="str">
        <f>IF(Ofwat_PC_Interventions!BE34&lt;&gt;"",Ofwat_PC_Interventions!BE34,IF(Company_PC_inputs!BE34&lt;&gt;"",Company_PC_inputs!BE34,""))</f>
        <v/>
      </c>
      <c r="BF34" s="494" t="str">
        <f>IF(Ofwat_PC_Interventions!BF34&lt;&gt;"",Ofwat_PC_Interventions!BF34,IF(Company_PC_inputs!BF34&lt;&gt;"",Company_PC_inputs!BF34,""))</f>
        <v/>
      </c>
      <c r="BG34" s="494" t="str">
        <f>IF(Ofwat_PC_Interventions!BG34&lt;&gt;"",Ofwat_PC_Interventions!BG34,IF(Company_PC_inputs!BG34&lt;&gt;"",Company_PC_inputs!BG34,""))</f>
        <v/>
      </c>
      <c r="BH34" s="494" t="str">
        <f>IF(Ofwat_PC_Interventions!BH34&lt;&gt;"",Ofwat_PC_Interventions!BH34,IF(Company_PC_inputs!BH34&lt;&gt;"",Company_PC_inputs!BH34,""))</f>
        <v/>
      </c>
      <c r="BI34" s="494" t="str">
        <f>IF(Ofwat_PC_Interventions!BI34&lt;&gt;"",Ofwat_PC_Interventions!BI34,IF(Company_PC_inputs!BI34&lt;&gt;"",Company_PC_inputs!BI34,""))</f>
        <v/>
      </c>
      <c r="BJ34" s="494" t="str">
        <f>IF(Ofwat_PC_Interventions!BJ34&lt;&gt;"",Ofwat_PC_Interventions!BJ34,IF(Company_PC_inputs!BJ34&lt;&gt;"",Company_PC_inputs!BJ34,""))</f>
        <v/>
      </c>
      <c r="BK34" s="494" t="str">
        <f>IF(Ofwat_PC_Interventions!BK34&lt;&gt;"",Ofwat_PC_Interventions!BK34,IF(Company_PC_inputs!BK34&lt;&gt;"",Company_PC_inputs!BK34,""))</f>
        <v/>
      </c>
      <c r="BL34" s="494" t="str">
        <f>IF(Ofwat_PC_Interventions!BL34&lt;&gt;"",Ofwat_PC_Interventions!BL34,IF(Company_PC_inputs!BL34&lt;&gt;"",Company_PC_inputs!BL34,""))</f>
        <v/>
      </c>
      <c r="BM34" s="494" t="str">
        <f>IF(Ofwat_PC_Interventions!BM34&lt;&gt;"",Ofwat_PC_Interventions!BM34,IF(Company_PC_inputs!BM34&lt;&gt;"",Company_PC_inputs!BM34,""))</f>
        <v/>
      </c>
      <c r="BN34" s="494" t="str">
        <f>IF(Ofwat_PC_Interventions!BN34&lt;&gt;"",Ofwat_PC_Interventions!BN34,IF(Company_PC_inputs!BN34&lt;&gt;"",Company_PC_inputs!BN34,""))</f>
        <v/>
      </c>
      <c r="BO34" s="494" t="str">
        <f>IF(Ofwat_PC_Interventions!BO34&lt;&gt;"",Ofwat_PC_Interventions!BO34,IF(Company_PC_inputs!BO34&lt;&gt;"",Company_PC_inputs!BO34,""))</f>
        <v/>
      </c>
      <c r="BP34" s="494" t="str">
        <f>IF(Ofwat_PC_Interventions!BP34&lt;&gt;"",Ofwat_PC_Interventions!BP34,IF(Company_PC_inputs!BP34&lt;&gt;"",Company_PC_inputs!BP34,""))</f>
        <v/>
      </c>
      <c r="BQ34" s="494" t="str">
        <f>IF(Ofwat_PC_Interventions!BQ34&lt;&gt;"",Ofwat_PC_Interventions!BQ34,IF(Company_PC_inputs!BQ34&lt;&gt;"",Company_PC_inputs!BQ34,""))</f>
        <v/>
      </c>
      <c r="BR34" s="494" t="str">
        <f>IF(Ofwat_PC_Interventions!BR34&lt;&gt;"",Ofwat_PC_Interventions!BR34,IF(Company_PC_inputs!BR34&lt;&gt;"",Company_PC_inputs!BR34,""))</f>
        <v/>
      </c>
      <c r="BS34" s="494" t="str">
        <f>IF(Ofwat_PC_Interventions!BS34&lt;&gt;"",Ofwat_PC_Interventions!BS34,IF(Company_PC_inputs!BS34&lt;&gt;"",Company_PC_inputs!BS34,""))</f>
        <v/>
      </c>
    </row>
    <row r="35" spans="1:71" s="202" customFormat="1" ht="13.15">
      <c r="A35" s="453"/>
      <c r="B35" s="453"/>
      <c r="C35" s="453"/>
      <c r="D35" s="453"/>
      <c r="E35" s="453"/>
      <c r="F35" s="453"/>
      <c r="G35" s="453"/>
      <c r="H35" s="453"/>
      <c r="I35" s="453"/>
      <c r="J35" s="490" t="str">
        <f>IF(Ofwat_PC_Interventions!J35&lt;&gt;"",Ofwat_PC_Interventions!J35,IF(Company_PC_inputs!J35&lt;&gt;"",Company_PC_inputs!J35,""))</f>
        <v/>
      </c>
      <c r="K35" s="490" t="str">
        <f>IF(Ofwat_PC_Interventions!K35&lt;&gt;"",Ofwat_PC_Interventions!K35,IF(Company_PC_inputs!K35&lt;&gt;"",Company_PC_inputs!K35,""))</f>
        <v/>
      </c>
      <c r="L35" s="490" t="str">
        <f>IF(Ofwat_PC_Interventions!L35&lt;&gt;"",Ofwat_PC_Interventions!L35,IF(Company_PC_inputs!L35&lt;&gt;"",Company_PC_inputs!L35,""))</f>
        <v/>
      </c>
      <c r="M35" s="490" t="str">
        <f>IF(Ofwat_PC_Interventions!M35&lt;&gt;"",Ofwat_PC_Interventions!M35,IF(Company_PC_inputs!M35&lt;&gt;"",Company_PC_inputs!M35,""))</f>
        <v/>
      </c>
      <c r="N35" s="490" t="str">
        <f>IF(Ofwat_PC_Interventions!N35&lt;&gt;"",Ofwat_PC_Interventions!N35,IF(Company_PC_inputs!N35&lt;&gt;"",Company_PC_inputs!N35,""))</f>
        <v/>
      </c>
      <c r="O35" s="490" t="str">
        <f>IF(Ofwat_PC_Interventions!O35&lt;&gt;"",Ofwat_PC_Interventions!O35,IF(Company_PC_inputs!O35&lt;&gt;"",Company_PC_inputs!O35,""))</f>
        <v/>
      </c>
      <c r="P35" s="490" t="str">
        <f>IF(Ofwat_PC_Interventions!P35&lt;&gt;"",Ofwat_PC_Interventions!P35,IF(Company_PC_inputs!P35&lt;&gt;"",Company_PC_inputs!P35,""))</f>
        <v/>
      </c>
      <c r="Q35" s="491" t="str">
        <f>IF(Ofwat_PC_Interventions!Q35&lt;&gt;"",Ofwat_PC_Interventions!Q35,IF(Company_PC_inputs!Q35&lt;&gt;"",Company_PC_inputs!Q35,""))</f>
        <v/>
      </c>
      <c r="R35" s="490" t="str">
        <f>IF(Ofwat_PC_Interventions!R35&lt;&gt;"",Ofwat_PC_Interventions!R35,IF(Company_PC_inputs!R35&lt;&gt;"",Company_PC_inputs!R35,""))</f>
        <v/>
      </c>
      <c r="S35" s="490" t="str">
        <f>IF(Ofwat_PC_Interventions!S35&lt;&gt;"",Ofwat_PC_Interventions!S35,IF(Company_PC_inputs!S35&lt;&gt;"",Company_PC_inputs!S35,""))</f>
        <v/>
      </c>
      <c r="T35" s="490" t="str">
        <f>IF(Ofwat_PC_Interventions!T35&lt;&gt;"",Ofwat_PC_Interventions!T35,IF(Company_PC_inputs!T35&lt;&gt;"",Company_PC_inputs!T35,""))</f>
        <v/>
      </c>
      <c r="U35" s="490" t="str">
        <f>IF(Ofwat_PC_Interventions!U35&lt;&gt;"",Ofwat_PC_Interventions!U35,IF(Company_PC_inputs!U35&lt;&gt;"",Company_PC_inputs!U35,""))</f>
        <v/>
      </c>
      <c r="V35" s="490" t="str">
        <f>IF(Ofwat_PC_Interventions!V35&lt;&gt;"",Ofwat_PC_Interventions!V35,IF(Company_PC_inputs!V35&lt;&gt;"",Company_PC_inputs!V35,""))</f>
        <v/>
      </c>
      <c r="W35" s="490" t="str">
        <f>IF(Ofwat_PC_Interventions!W35&lt;&gt;"",Ofwat_PC_Interventions!W35,IF(Company_PC_inputs!W35&lt;&gt;"",Company_PC_inputs!W35,""))</f>
        <v/>
      </c>
      <c r="X35" s="490" t="str">
        <f>IF(Ofwat_PC_Interventions!X35&lt;&gt;"",Ofwat_PC_Interventions!X35,IF(Company_PC_inputs!X35&lt;&gt;"",Company_PC_inputs!X35,""))</f>
        <v/>
      </c>
      <c r="Y35" s="490" t="str">
        <f>IF(Ofwat_PC_Interventions!Y35&lt;&gt;"",Ofwat_PC_Interventions!Y35,IF(Company_PC_inputs!Y35&lt;&gt;"",Company_PC_inputs!Y35,""))</f>
        <v/>
      </c>
      <c r="Z35" s="490" t="str">
        <f>IF(Ofwat_PC_Interventions!Z35&lt;&gt;"",Ofwat_PC_Interventions!Z35,IF(Company_PC_inputs!Z35&lt;&gt;"",Company_PC_inputs!Z35,""))</f>
        <v/>
      </c>
      <c r="AA35" s="490" t="str">
        <f>IF(Ofwat_PC_Interventions!AA35&lt;&gt;"",Ofwat_PC_Interventions!AA35,IF(Company_PC_inputs!AA35&lt;&gt;"",Company_PC_inputs!AA35,""))</f>
        <v/>
      </c>
      <c r="AB35" s="490" t="str">
        <f>IF(Ofwat_PC_Interventions!AB35&lt;&gt;"",Ofwat_PC_Interventions!AB35,IF(Company_PC_inputs!AB35&lt;&gt;"",Company_PC_inputs!AB35,""))</f>
        <v/>
      </c>
      <c r="AC35" s="490" t="str">
        <f>IF(Ofwat_PC_Interventions!AC35&lt;&gt;"",Ofwat_PC_Interventions!AC35,IF(Company_PC_inputs!AC35&lt;&gt;"",Company_PC_inputs!AC35,""))</f>
        <v/>
      </c>
      <c r="AD35" s="490" t="str">
        <f>IF(Ofwat_PC_Interventions!AD35&lt;&gt;"",Ofwat_PC_Interventions!AD35,IF(Company_PC_inputs!AD35&lt;&gt;"",Company_PC_inputs!AD35,""))</f>
        <v/>
      </c>
      <c r="AE35" s="490" t="str">
        <f>IF(Ofwat_PC_Interventions!AE35&lt;&gt;"",Ofwat_PC_Interventions!AE35,IF(Company_PC_inputs!AE35&lt;&gt;"",Company_PC_inputs!AE35,""))</f>
        <v/>
      </c>
      <c r="AF35" s="490" t="str">
        <f>IF(Ofwat_PC_Interventions!AF35&lt;&gt;"",Ofwat_PC_Interventions!AF35,IF(Company_PC_inputs!AF35&lt;&gt;"",Company_PC_inputs!AF35,""))</f>
        <v/>
      </c>
      <c r="AG35" s="490" t="str">
        <f>IF(Ofwat_PC_Interventions!AG35&lt;&gt;"",Ofwat_PC_Interventions!AG35,IF(Company_PC_inputs!AG35&lt;&gt;"",Company_PC_inputs!AG35,""))</f>
        <v/>
      </c>
      <c r="AH35" s="490" t="str">
        <f>IF(Ofwat_PC_Interventions!AH35&lt;&gt;"",Ofwat_PC_Interventions!AH35,IF(Company_PC_inputs!AH35&lt;&gt;"",Company_PC_inputs!AH35,""))</f>
        <v/>
      </c>
      <c r="AI35" s="490" t="str">
        <f>IF(Ofwat_PC_Interventions!AI35&lt;&gt;"",Ofwat_PC_Interventions!AI35,IF(Company_PC_inputs!AI35&lt;&gt;"",Company_PC_inputs!AI35,""))</f>
        <v/>
      </c>
      <c r="AJ35" s="490" t="str">
        <f>IF(Ofwat_PC_Interventions!AJ35&lt;&gt;"",Ofwat_PC_Interventions!AJ35,IF(Company_PC_inputs!AJ35&lt;&gt;"",Company_PC_inputs!AJ35,""))</f>
        <v/>
      </c>
      <c r="AK35" s="491" t="str">
        <f>IF(Ofwat_PC_Interventions!AK35&lt;&gt;"",Ofwat_PC_Interventions!AK35,IF(Company_PC_inputs!AK35&lt;&gt;"",Company_PC_inputs!AK35,""))</f>
        <v/>
      </c>
      <c r="AL35" s="490" t="str">
        <f>IF(Ofwat_PC_Interventions!AL35&lt;&gt;"",Ofwat_PC_Interventions!AL35,IF(Company_PC_inputs!AL35&lt;&gt;"",Company_PC_inputs!AL35,""))</f>
        <v/>
      </c>
      <c r="AM35" s="490" t="str">
        <f>IF(Ofwat_PC_Interventions!AM35&lt;&gt;"",Ofwat_PC_Interventions!AM35,IF(Company_PC_inputs!AM35&lt;&gt;"",Company_PC_inputs!AM35,""))</f>
        <v/>
      </c>
      <c r="AN35" s="490" t="str">
        <f>IF(Ofwat_PC_Interventions!AN35&lt;&gt;"",Ofwat_PC_Interventions!AN35,IF(Company_PC_inputs!AN35&lt;&gt;"",Company_PC_inputs!AN35,""))</f>
        <v/>
      </c>
      <c r="AO35" s="491" t="str">
        <f>IF(Ofwat_PC_Interventions!AO35&lt;&gt;"",Ofwat_PC_Interventions!AO35,IF(Company_PC_inputs!AO35&lt;&gt;"",Company_PC_inputs!AO35,""))</f>
        <v/>
      </c>
      <c r="AP35" s="490" t="str">
        <f>IF(Ofwat_PC_Interventions!AP35&lt;&gt;"",Ofwat_PC_Interventions!AP35,IF(Company_PC_inputs!AP35&lt;&gt;"",Company_PC_inputs!AP35,""))</f>
        <v/>
      </c>
      <c r="AQ35" s="490" t="str">
        <f>IF(Ofwat_PC_Interventions!AQ35&lt;&gt;"",Ofwat_PC_Interventions!AQ35,IF(Company_PC_inputs!AQ35&lt;&gt;"",Company_PC_inputs!AQ35,""))</f>
        <v/>
      </c>
      <c r="AR35" s="490" t="str">
        <f>IF(Ofwat_PC_Interventions!AR35&lt;&gt;"",Ofwat_PC_Interventions!AR35,IF(Company_PC_inputs!AR35&lt;&gt;"",Company_PC_inputs!AR35,""))</f>
        <v/>
      </c>
      <c r="AS35" s="490" t="str">
        <f>IF(Ofwat_PC_Interventions!AS35&lt;&gt;"",Ofwat_PC_Interventions!AS35,IF(Company_PC_inputs!AS35&lt;&gt;"",Company_PC_inputs!AS35,""))</f>
        <v/>
      </c>
      <c r="AT35" s="490" t="str">
        <f>IF(Ofwat_PC_Interventions!AT35&lt;&gt;"",Ofwat_PC_Interventions!AT35,IF(Company_PC_inputs!AT35&lt;&gt;"",Company_PC_inputs!AT35,""))</f>
        <v/>
      </c>
      <c r="AU35" s="490" t="str">
        <f>IF(Ofwat_PC_Interventions!AU35&lt;&gt;"",Ofwat_PC_Interventions!AU35,IF(Company_PC_inputs!AU35&lt;&gt;"",Company_PC_inputs!AU35,""))</f>
        <v/>
      </c>
      <c r="AV35" s="490" t="str">
        <f>IF(Ofwat_PC_Interventions!AV35&lt;&gt;"",Ofwat_PC_Interventions!AV35,IF(Company_PC_inputs!AV35&lt;&gt;"",Company_PC_inputs!AV35,""))</f>
        <v/>
      </c>
      <c r="AW35" s="490" t="str">
        <f>IF(Ofwat_PC_Interventions!AW35&lt;&gt;"",Ofwat_PC_Interventions!AW35,IF(Company_PC_inputs!AW35&lt;&gt;"",Company_PC_inputs!AW35,""))</f>
        <v/>
      </c>
      <c r="AX35" s="490" t="str">
        <f>IF(Ofwat_PC_Interventions!AX35&lt;&gt;"",Ofwat_PC_Interventions!AX35,IF(Company_PC_inputs!AX35&lt;&gt;"",Company_PC_inputs!AX35,""))</f>
        <v/>
      </c>
      <c r="AY35" s="490" t="str">
        <f>IF(Ofwat_PC_Interventions!AY35&lt;&gt;"",Ofwat_PC_Interventions!AY35,IF(Company_PC_inputs!AY35&lt;&gt;"",Company_PC_inputs!AY35,""))</f>
        <v/>
      </c>
      <c r="AZ35" s="490" t="str">
        <f>IF(Ofwat_PC_Interventions!AZ35&lt;&gt;"",Ofwat_PC_Interventions!AZ35,IF(Company_PC_inputs!AZ35&lt;&gt;"",Company_PC_inputs!AZ35,""))</f>
        <v/>
      </c>
      <c r="BA35" s="490" t="str">
        <f>IF(Ofwat_PC_Interventions!BA35&lt;&gt;"",Ofwat_PC_Interventions!BA35,IF(Company_PC_inputs!BA35&lt;&gt;"",Company_PC_inputs!BA35,""))</f>
        <v/>
      </c>
      <c r="BB35" s="490" t="str">
        <f>IF(Ofwat_PC_Interventions!BB35&lt;&gt;"",Ofwat_PC_Interventions!BB35,IF(Company_PC_inputs!BB35&lt;&gt;"",Company_PC_inputs!BB35,""))</f>
        <v/>
      </c>
      <c r="BC35" s="491" t="str">
        <f>IF(Ofwat_PC_Interventions!BC35&lt;&gt;"",Ofwat_PC_Interventions!BC35,IF(Company_PC_inputs!BC35&lt;&gt;"",Company_PC_inputs!BC35,""))</f>
        <v/>
      </c>
      <c r="BD35" s="490" t="str">
        <f>IF(Ofwat_PC_Interventions!BD35&lt;&gt;"",Ofwat_PC_Interventions!BD35,IF(Company_PC_inputs!BD35&lt;&gt;"",Company_PC_inputs!BD35,""))</f>
        <v/>
      </c>
      <c r="BE35" s="490" t="str">
        <f>IF(Ofwat_PC_Interventions!BE35&lt;&gt;"",Ofwat_PC_Interventions!BE35,IF(Company_PC_inputs!BE35&lt;&gt;"",Company_PC_inputs!BE35,""))</f>
        <v/>
      </c>
      <c r="BF35" s="490" t="str">
        <f>IF(Ofwat_PC_Interventions!BF35&lt;&gt;"",Ofwat_PC_Interventions!BF35,IF(Company_PC_inputs!BF35&lt;&gt;"",Company_PC_inputs!BF35,""))</f>
        <v/>
      </c>
      <c r="BG35" s="490" t="str">
        <f>IF(Ofwat_PC_Interventions!BG35&lt;&gt;"",Ofwat_PC_Interventions!BG35,IF(Company_PC_inputs!BG35&lt;&gt;"",Company_PC_inputs!BG35,""))</f>
        <v/>
      </c>
      <c r="BH35" s="490" t="str">
        <f>IF(Ofwat_PC_Interventions!BH35&lt;&gt;"",Ofwat_PC_Interventions!BH35,IF(Company_PC_inputs!BH35&lt;&gt;"",Company_PC_inputs!BH35,""))</f>
        <v/>
      </c>
      <c r="BI35" s="490" t="str">
        <f>IF(Ofwat_PC_Interventions!BI35&lt;&gt;"",Ofwat_PC_Interventions!BI35,IF(Company_PC_inputs!BI35&lt;&gt;"",Company_PC_inputs!BI35,""))</f>
        <v/>
      </c>
      <c r="BJ35" s="490" t="str">
        <f>IF(Ofwat_PC_Interventions!BJ35&lt;&gt;"",Ofwat_PC_Interventions!BJ35,IF(Company_PC_inputs!BJ35&lt;&gt;"",Company_PC_inputs!BJ35,""))</f>
        <v/>
      </c>
      <c r="BK35" s="490" t="str">
        <f>IF(Ofwat_PC_Interventions!BK35&lt;&gt;"",Ofwat_PC_Interventions!BK35,IF(Company_PC_inputs!BK35&lt;&gt;"",Company_PC_inputs!BK35,""))</f>
        <v/>
      </c>
      <c r="BL35" s="490" t="str">
        <f>IF(Ofwat_PC_Interventions!BL35&lt;&gt;"",Ofwat_PC_Interventions!BL35,IF(Company_PC_inputs!BL35&lt;&gt;"",Company_PC_inputs!BL35,""))</f>
        <v/>
      </c>
      <c r="BM35" s="490" t="str">
        <f>IF(Ofwat_PC_Interventions!BM35&lt;&gt;"",Ofwat_PC_Interventions!BM35,IF(Company_PC_inputs!BM35&lt;&gt;"",Company_PC_inputs!BM35,""))</f>
        <v/>
      </c>
      <c r="BN35" s="490" t="str">
        <f>IF(Ofwat_PC_Interventions!BN35&lt;&gt;"",Ofwat_PC_Interventions!BN35,IF(Company_PC_inputs!BN35&lt;&gt;"",Company_PC_inputs!BN35,""))</f>
        <v/>
      </c>
      <c r="BO35" s="490" t="str">
        <f>IF(Ofwat_PC_Interventions!BO35&lt;&gt;"",Ofwat_PC_Interventions!BO35,IF(Company_PC_inputs!BO35&lt;&gt;"",Company_PC_inputs!BO35,""))</f>
        <v/>
      </c>
      <c r="BP35" s="490" t="str">
        <f>IF(Ofwat_PC_Interventions!BP35&lt;&gt;"",Ofwat_PC_Interventions!BP35,IF(Company_PC_inputs!BP35&lt;&gt;"",Company_PC_inputs!BP35,""))</f>
        <v/>
      </c>
      <c r="BQ35" s="490" t="str">
        <f>IF(Ofwat_PC_Interventions!BQ35&lt;&gt;"",Ofwat_PC_Interventions!BQ35,IF(Company_PC_inputs!BQ35&lt;&gt;"",Company_PC_inputs!BQ35,""))</f>
        <v/>
      </c>
      <c r="BR35" s="490" t="str">
        <f>IF(Ofwat_PC_Interventions!BR35&lt;&gt;"",Ofwat_PC_Interventions!BR35,IF(Company_PC_inputs!BR35&lt;&gt;"",Company_PC_inputs!BR35,""))</f>
        <v/>
      </c>
      <c r="BS35" s="490" t="str">
        <f>IF(Ofwat_PC_Interventions!BS35&lt;&gt;"",Ofwat_PC_Interventions!BS35,IF(Company_PC_inputs!BS35&lt;&gt;"",Company_PC_inputs!BS35,""))</f>
        <v/>
      </c>
    </row>
    <row r="36" spans="1:71" s="202" customFormat="1" ht="13.15">
      <c r="A36" s="453"/>
      <c r="B36" s="453"/>
      <c r="C36" s="453"/>
      <c r="D36" s="453"/>
      <c r="E36" s="453" t="s">
        <v>1174</v>
      </c>
      <c r="F36" s="453"/>
      <c r="G36" s="453" t="s">
        <v>418</v>
      </c>
      <c r="H36" s="453"/>
      <c r="I36" s="453"/>
      <c r="J36" s="494" t="b">
        <f>IF(Ofwat_PC_Interventions!J36&lt;&gt;"",Ofwat_PC_Interventions!J36,IF(Company_PC_inputs!J36&lt;&gt;"",Company_PC_inputs!J36,""))</f>
        <v>1</v>
      </c>
      <c r="K36" s="494" t="b">
        <f>IF(Ofwat_PC_Interventions!K36&lt;&gt;"",Ofwat_PC_Interventions!K36,IF(Company_PC_inputs!K36&lt;&gt;"",Company_PC_inputs!K36,""))</f>
        <v>1</v>
      </c>
      <c r="L36" s="494" t="b">
        <f>IF(Ofwat_PC_Interventions!L36&lt;&gt;"",Ofwat_PC_Interventions!L36,IF(Company_PC_inputs!L36&lt;&gt;"",Company_PC_inputs!L36,""))</f>
        <v>1</v>
      </c>
      <c r="M36" s="494" t="b">
        <f>IF(Ofwat_PC_Interventions!M36&lt;&gt;"",Ofwat_PC_Interventions!M36,IF(Company_PC_inputs!M36&lt;&gt;"",Company_PC_inputs!M36,""))</f>
        <v>1</v>
      </c>
      <c r="N36" s="494" t="b">
        <f>IF(Ofwat_PC_Interventions!N36&lt;&gt;"",Ofwat_PC_Interventions!N36,IF(Company_PC_inputs!N36&lt;&gt;"",Company_PC_inputs!N36,""))</f>
        <v>1</v>
      </c>
      <c r="O36" s="494" t="b">
        <f>IF(Ofwat_PC_Interventions!O36&lt;&gt;"",Ofwat_PC_Interventions!O36,IF(Company_PC_inputs!O36&lt;&gt;"",Company_PC_inputs!O36,""))</f>
        <v>1</v>
      </c>
      <c r="P36" s="494" t="b">
        <f>IF(Ofwat_PC_Interventions!P36&lt;&gt;"",Ofwat_PC_Interventions!P36,IF(Company_PC_inputs!P36&lt;&gt;"",Company_PC_inputs!P36,""))</f>
        <v>1</v>
      </c>
      <c r="Q36" s="496" t="b">
        <f>IF(Ofwat_PC_Interventions!Q36&lt;&gt;"",Ofwat_PC_Interventions!Q36,IF(Company_PC_inputs!Q36&lt;&gt;"",Company_PC_inputs!Q36,""))</f>
        <v>1</v>
      </c>
      <c r="R36" s="494" t="b">
        <f>IF(Ofwat_PC_Interventions!R36&lt;&gt;"",Ofwat_PC_Interventions!R36,IF(Company_PC_inputs!R36&lt;&gt;"",Company_PC_inputs!R36,""))</f>
        <v>1</v>
      </c>
      <c r="S36" s="494" t="b">
        <f>IF(Ofwat_PC_Interventions!S36&lt;&gt;"",Ofwat_PC_Interventions!S36,IF(Company_PC_inputs!S36&lt;&gt;"",Company_PC_inputs!S36,""))</f>
        <v>1</v>
      </c>
      <c r="T36" s="494" t="b">
        <f>IF(Ofwat_PC_Interventions!T36&lt;&gt;"",Ofwat_PC_Interventions!T36,IF(Company_PC_inputs!T36&lt;&gt;"",Company_PC_inputs!T36,""))</f>
        <v>1</v>
      </c>
      <c r="U36" s="494" t="b">
        <f>IF(Ofwat_PC_Interventions!U36&lt;&gt;"",Ofwat_PC_Interventions!U36,IF(Company_PC_inputs!U36&lt;&gt;"",Company_PC_inputs!U36,""))</f>
        <v>1</v>
      </c>
      <c r="V36" s="494" t="b">
        <f>IF(Ofwat_PC_Interventions!V36&lt;&gt;"",Ofwat_PC_Interventions!V36,IF(Company_PC_inputs!V36&lt;&gt;"",Company_PC_inputs!V36,""))</f>
        <v>1</v>
      </c>
      <c r="W36" s="494" t="b">
        <f>IF(Ofwat_PC_Interventions!W36&lt;&gt;"",Ofwat_PC_Interventions!W36,IF(Company_PC_inputs!W36&lt;&gt;"",Company_PC_inputs!W36,""))</f>
        <v>1</v>
      </c>
      <c r="X36" s="494" t="b">
        <f>IF(Ofwat_PC_Interventions!X36&lt;&gt;"",Ofwat_PC_Interventions!X36,IF(Company_PC_inputs!X36&lt;&gt;"",Company_PC_inputs!X36,""))</f>
        <v>1</v>
      </c>
      <c r="Y36" s="494" t="b">
        <f>IF(Ofwat_PC_Interventions!Y36&lt;&gt;"",Ofwat_PC_Interventions!Y36,IF(Company_PC_inputs!Y36&lt;&gt;"",Company_PC_inputs!Y36,""))</f>
        <v>0</v>
      </c>
      <c r="Z36" s="494" t="b">
        <f>IF(Ofwat_PC_Interventions!Z36&lt;&gt;"",Ofwat_PC_Interventions!Z36,IF(Company_PC_inputs!Z36&lt;&gt;"",Company_PC_inputs!Z36,""))</f>
        <v>1</v>
      </c>
      <c r="AA36" s="494" t="b">
        <f>IF(Ofwat_PC_Interventions!AA36&lt;&gt;"",Ofwat_PC_Interventions!AA36,IF(Company_PC_inputs!AA36&lt;&gt;"",Company_PC_inputs!AA36,""))</f>
        <v>1</v>
      </c>
      <c r="AB36" s="494" t="b">
        <f>IF(Ofwat_PC_Interventions!AB36&lt;&gt;"",Ofwat_PC_Interventions!AB36,IF(Company_PC_inputs!AB36&lt;&gt;"",Company_PC_inputs!AB36,""))</f>
        <v>1</v>
      </c>
      <c r="AC36" s="494" t="b">
        <f>IF(Ofwat_PC_Interventions!AC36&lt;&gt;"",Ofwat_PC_Interventions!AC36,IF(Company_PC_inputs!AC36&lt;&gt;"",Company_PC_inputs!AC36,""))</f>
        <v>1</v>
      </c>
      <c r="AD36" s="494" t="b">
        <f>IF(Ofwat_PC_Interventions!AD36&lt;&gt;"",Ofwat_PC_Interventions!AD36,IF(Company_PC_inputs!AD36&lt;&gt;"",Company_PC_inputs!AD36,""))</f>
        <v>1</v>
      </c>
      <c r="AE36" s="494" t="b">
        <f>IF(Ofwat_PC_Interventions!AE36&lt;&gt;"",Ofwat_PC_Interventions!AE36,IF(Company_PC_inputs!AE36&lt;&gt;"",Company_PC_inputs!AE36,""))</f>
        <v>1</v>
      </c>
      <c r="AF36" s="494" t="b">
        <f>IF(Ofwat_PC_Interventions!AF36&lt;&gt;"",Ofwat_PC_Interventions!AF36,IF(Company_PC_inputs!AF36&lt;&gt;"",Company_PC_inputs!AF36,""))</f>
        <v>1</v>
      </c>
      <c r="AG36" s="494" t="b">
        <f>IF(Ofwat_PC_Interventions!AG36&lt;&gt;"",Ofwat_PC_Interventions!AG36,IF(Company_PC_inputs!AG36&lt;&gt;"",Company_PC_inputs!AG36,""))</f>
        <v>1</v>
      </c>
      <c r="AH36" s="494" t="b">
        <f>IF(Ofwat_PC_Interventions!AH36&lt;&gt;"",Ofwat_PC_Interventions!AH36,IF(Company_PC_inputs!AH36&lt;&gt;"",Company_PC_inputs!AH36,""))</f>
        <v>1</v>
      </c>
      <c r="AI36" s="494" t="b">
        <f>IF(Ofwat_PC_Interventions!AI36&lt;&gt;"",Ofwat_PC_Interventions!AI36,IF(Company_PC_inputs!AI36&lt;&gt;"",Company_PC_inputs!AI36,""))</f>
        <v>1</v>
      </c>
      <c r="AJ36" s="494" t="b">
        <f>IF(Ofwat_PC_Interventions!AJ36&lt;&gt;"",Ofwat_PC_Interventions!AJ36,IF(Company_PC_inputs!AJ36&lt;&gt;"",Company_PC_inputs!AJ36,""))</f>
        <v>1</v>
      </c>
      <c r="AK36" s="496" t="b">
        <f>IF(Ofwat_PC_Interventions!AK36&lt;&gt;"",Ofwat_PC_Interventions!AK36,IF(Company_PC_inputs!AK36&lt;&gt;"",Company_PC_inputs!AK36,""))</f>
        <v>1</v>
      </c>
      <c r="AL36" s="494" t="b">
        <f>IF(Ofwat_PC_Interventions!AL36&lt;&gt;"",Ofwat_PC_Interventions!AL36,IF(Company_PC_inputs!AL36&lt;&gt;"",Company_PC_inputs!AL36,""))</f>
        <v>1</v>
      </c>
      <c r="AM36" s="494" t="b">
        <f>IF(Ofwat_PC_Interventions!AM36&lt;&gt;"",Ofwat_PC_Interventions!AM36,IF(Company_PC_inputs!AM36&lt;&gt;"",Company_PC_inputs!AM36,""))</f>
        <v>1</v>
      </c>
      <c r="AN36" s="494" t="b">
        <f>IF(Ofwat_PC_Interventions!AN36&lt;&gt;"",Ofwat_PC_Interventions!AN36,IF(Company_PC_inputs!AN36&lt;&gt;"",Company_PC_inputs!AN36,""))</f>
        <v>1</v>
      </c>
      <c r="AO36" s="496" t="b">
        <f>IF(Ofwat_PC_Interventions!AO36&lt;&gt;"",Ofwat_PC_Interventions!AO36,IF(Company_PC_inputs!AO36&lt;&gt;"",Company_PC_inputs!AO36,""))</f>
        <v>1</v>
      </c>
      <c r="AP36" s="494" t="b">
        <f>IF(Ofwat_PC_Interventions!AP36&lt;&gt;"",Ofwat_PC_Interventions!AP36,IF(Company_PC_inputs!AP36&lt;&gt;"",Company_PC_inputs!AP36,""))</f>
        <v>1</v>
      </c>
      <c r="AQ36" s="494" t="b">
        <f>IF(Ofwat_PC_Interventions!AQ36&lt;&gt;"",Ofwat_PC_Interventions!AQ36,IF(Company_PC_inputs!AQ36&lt;&gt;"",Company_PC_inputs!AQ36,""))</f>
        <v>1</v>
      </c>
      <c r="AR36" s="494" t="b">
        <f>IF(Ofwat_PC_Interventions!AR36&lt;&gt;"",Ofwat_PC_Interventions!AR36,IF(Company_PC_inputs!AR36&lt;&gt;"",Company_PC_inputs!AR36,""))</f>
        <v>1</v>
      </c>
      <c r="AS36" s="494" t="b">
        <f>IF(Ofwat_PC_Interventions!AS36&lt;&gt;"",Ofwat_PC_Interventions!AS36,IF(Company_PC_inputs!AS36&lt;&gt;"",Company_PC_inputs!AS36,""))</f>
        <v>1</v>
      </c>
      <c r="AT36" s="494" t="b">
        <f>IF(Ofwat_PC_Interventions!AT36&lt;&gt;"",Ofwat_PC_Interventions!AT36,IF(Company_PC_inputs!AT36&lt;&gt;"",Company_PC_inputs!AT36,""))</f>
        <v>1</v>
      </c>
      <c r="AU36" s="494" t="b">
        <f>IF(Ofwat_PC_Interventions!AU36&lt;&gt;"",Ofwat_PC_Interventions!AU36,IF(Company_PC_inputs!AU36&lt;&gt;"",Company_PC_inputs!AU36,""))</f>
        <v>0</v>
      </c>
      <c r="AV36" s="494" t="b">
        <f>IF(Ofwat_PC_Interventions!AV36&lt;&gt;"",Ofwat_PC_Interventions!AV36,IF(Company_PC_inputs!AV36&lt;&gt;"",Company_PC_inputs!AV36,""))</f>
        <v>0</v>
      </c>
      <c r="AW36" s="494" t="b">
        <f>IF(Ofwat_PC_Interventions!AW36&lt;&gt;"",Ofwat_PC_Interventions!AW36,IF(Company_PC_inputs!AW36&lt;&gt;"",Company_PC_inputs!AW36,""))</f>
        <v>1</v>
      </c>
      <c r="AX36" s="494" t="b">
        <f>IF(Ofwat_PC_Interventions!AX36&lt;&gt;"",Ofwat_PC_Interventions!AX36,IF(Company_PC_inputs!AX36&lt;&gt;"",Company_PC_inputs!AX36,""))</f>
        <v>1</v>
      </c>
      <c r="AY36" s="494" t="b">
        <f>IF(Ofwat_PC_Interventions!AY36&lt;&gt;"",Ofwat_PC_Interventions!AY36,IF(Company_PC_inputs!AY36&lt;&gt;"",Company_PC_inputs!AY36,""))</f>
        <v>1</v>
      </c>
      <c r="AZ36" s="494" t="b">
        <f>IF(Ofwat_PC_Interventions!AZ36&lt;&gt;"",Ofwat_PC_Interventions!AZ36,IF(Company_PC_inputs!AZ36&lt;&gt;"",Company_PC_inputs!AZ36,""))</f>
        <v>1</v>
      </c>
      <c r="BA36" s="494" t="b">
        <f>IF(Ofwat_PC_Interventions!BA36&lt;&gt;"",Ofwat_PC_Interventions!BA36,IF(Company_PC_inputs!BA36&lt;&gt;"",Company_PC_inputs!BA36,""))</f>
        <v>1</v>
      </c>
      <c r="BB36" s="494" t="b">
        <f>IF(Ofwat_PC_Interventions!BB36&lt;&gt;"",Ofwat_PC_Interventions!BB36,IF(Company_PC_inputs!BB36&lt;&gt;"",Company_PC_inputs!BB36,""))</f>
        <v>1</v>
      </c>
      <c r="BC36" s="496" t="b">
        <f>IF(Ofwat_PC_Interventions!BC36&lt;&gt;"",Ofwat_PC_Interventions!BC36,IF(Company_PC_inputs!BC36&lt;&gt;"",Company_PC_inputs!BC36,""))</f>
        <v>1</v>
      </c>
      <c r="BD36" s="494" t="b">
        <f>IF(Ofwat_PC_Interventions!BD36&lt;&gt;"",Ofwat_PC_Interventions!BD36,IF(Company_PC_inputs!BD36&lt;&gt;"",Company_PC_inputs!BD36,""))</f>
        <v>0</v>
      </c>
      <c r="BE36" s="494" t="b">
        <f>IF(Ofwat_PC_Interventions!BE36&lt;&gt;"",Ofwat_PC_Interventions!BE36,IF(Company_PC_inputs!BE36&lt;&gt;"",Company_PC_inputs!BE36,""))</f>
        <v>0</v>
      </c>
      <c r="BF36" s="494" t="b">
        <f>IF(Ofwat_PC_Interventions!BF36&lt;&gt;"",Ofwat_PC_Interventions!BF36,IF(Company_PC_inputs!BF36&lt;&gt;"",Company_PC_inputs!BF36,""))</f>
        <v>0</v>
      </c>
      <c r="BG36" s="494" t="b">
        <f>IF(Ofwat_PC_Interventions!BG36&lt;&gt;"",Ofwat_PC_Interventions!BG36,IF(Company_PC_inputs!BG36&lt;&gt;"",Company_PC_inputs!BG36,""))</f>
        <v>0</v>
      </c>
      <c r="BH36" s="494" t="b">
        <f>IF(Ofwat_PC_Interventions!BH36&lt;&gt;"",Ofwat_PC_Interventions!BH36,IF(Company_PC_inputs!BH36&lt;&gt;"",Company_PC_inputs!BH36,""))</f>
        <v>0</v>
      </c>
      <c r="BI36" s="494" t="b">
        <f>IF(Ofwat_PC_Interventions!BI36&lt;&gt;"",Ofwat_PC_Interventions!BI36,IF(Company_PC_inputs!BI36&lt;&gt;"",Company_PC_inputs!BI36,""))</f>
        <v>0</v>
      </c>
      <c r="BJ36" s="494" t="b">
        <f>IF(Ofwat_PC_Interventions!BJ36&lt;&gt;"",Ofwat_PC_Interventions!BJ36,IF(Company_PC_inputs!BJ36&lt;&gt;"",Company_PC_inputs!BJ36,""))</f>
        <v>0</v>
      </c>
      <c r="BK36" s="494" t="b">
        <f>IF(Ofwat_PC_Interventions!BK36&lt;&gt;"",Ofwat_PC_Interventions!BK36,IF(Company_PC_inputs!BK36&lt;&gt;"",Company_PC_inputs!BK36,""))</f>
        <v>0</v>
      </c>
      <c r="BL36" s="494" t="b">
        <f>IF(Ofwat_PC_Interventions!BL36&lt;&gt;"",Ofwat_PC_Interventions!BL36,IF(Company_PC_inputs!BL36&lt;&gt;"",Company_PC_inputs!BL36,""))</f>
        <v>0</v>
      </c>
      <c r="BM36" s="494" t="b">
        <f>IF(Ofwat_PC_Interventions!BM36&lt;&gt;"",Ofwat_PC_Interventions!BM36,IF(Company_PC_inputs!BM36&lt;&gt;"",Company_PC_inputs!BM36,""))</f>
        <v>0</v>
      </c>
      <c r="BN36" s="494" t="b">
        <f>IF(Ofwat_PC_Interventions!BN36&lt;&gt;"",Ofwat_PC_Interventions!BN36,IF(Company_PC_inputs!BN36&lt;&gt;"",Company_PC_inputs!BN36,""))</f>
        <v>0</v>
      </c>
      <c r="BO36" s="494" t="b">
        <f>IF(Ofwat_PC_Interventions!BO36&lt;&gt;"",Ofwat_PC_Interventions!BO36,IF(Company_PC_inputs!BO36&lt;&gt;"",Company_PC_inputs!BO36,""))</f>
        <v>0</v>
      </c>
      <c r="BP36" s="494" t="b">
        <f>IF(Ofwat_PC_Interventions!BP36&lt;&gt;"",Ofwat_PC_Interventions!BP36,IF(Company_PC_inputs!BP36&lt;&gt;"",Company_PC_inputs!BP36,""))</f>
        <v>0</v>
      </c>
      <c r="BQ36" s="494" t="b">
        <f>IF(Ofwat_PC_Interventions!BQ36&lt;&gt;"",Ofwat_PC_Interventions!BQ36,IF(Company_PC_inputs!BQ36&lt;&gt;"",Company_PC_inputs!BQ36,""))</f>
        <v>0</v>
      </c>
      <c r="BR36" s="494" t="b">
        <f>IF(Ofwat_PC_Interventions!BR36&lt;&gt;"",Ofwat_PC_Interventions!BR36,IF(Company_PC_inputs!BR36&lt;&gt;"",Company_PC_inputs!BR36,""))</f>
        <v>0</v>
      </c>
      <c r="BS36" s="494" t="b">
        <f>IF(Ofwat_PC_Interventions!BS36&lt;&gt;"",Ofwat_PC_Interventions!BS36,IF(Company_PC_inputs!BS36&lt;&gt;"",Company_PC_inputs!BS36,""))</f>
        <v>0</v>
      </c>
    </row>
    <row r="37" spans="1:71" s="202" customFormat="1" ht="13.15">
      <c r="A37" s="453"/>
      <c r="B37" s="453"/>
      <c r="C37" s="453"/>
      <c r="D37" s="453"/>
      <c r="E37" s="453"/>
      <c r="F37" s="453"/>
      <c r="G37" s="453"/>
      <c r="H37" s="453"/>
      <c r="I37" s="453"/>
      <c r="J37" s="490" t="str">
        <f>IF(Ofwat_PC_Interventions!J37&lt;&gt;"",Ofwat_PC_Interventions!J37,IF(Company_PC_inputs!J37&lt;&gt;"",Company_PC_inputs!J37,""))</f>
        <v/>
      </c>
      <c r="K37" s="490" t="str">
        <f>IF(Ofwat_PC_Interventions!K37&lt;&gt;"",Ofwat_PC_Interventions!K37,IF(Company_PC_inputs!K37&lt;&gt;"",Company_PC_inputs!K37,""))</f>
        <v/>
      </c>
      <c r="L37" s="490" t="str">
        <f>IF(Ofwat_PC_Interventions!L37&lt;&gt;"",Ofwat_PC_Interventions!L37,IF(Company_PC_inputs!L37&lt;&gt;"",Company_PC_inputs!L37,""))</f>
        <v/>
      </c>
      <c r="M37" s="490" t="str">
        <f>IF(Ofwat_PC_Interventions!M37&lt;&gt;"",Ofwat_PC_Interventions!M37,IF(Company_PC_inputs!M37&lt;&gt;"",Company_PC_inputs!M37,""))</f>
        <v/>
      </c>
      <c r="N37" s="490" t="str">
        <f>IF(Ofwat_PC_Interventions!N37&lt;&gt;"",Ofwat_PC_Interventions!N37,IF(Company_PC_inputs!N37&lt;&gt;"",Company_PC_inputs!N37,""))</f>
        <v/>
      </c>
      <c r="O37" s="490" t="str">
        <f>IF(Ofwat_PC_Interventions!O37&lt;&gt;"",Ofwat_PC_Interventions!O37,IF(Company_PC_inputs!O37&lt;&gt;"",Company_PC_inputs!O37,""))</f>
        <v/>
      </c>
      <c r="P37" s="490" t="str">
        <f>IF(Ofwat_PC_Interventions!P37&lt;&gt;"",Ofwat_PC_Interventions!P37,IF(Company_PC_inputs!P37&lt;&gt;"",Company_PC_inputs!P37,""))</f>
        <v/>
      </c>
      <c r="Q37" s="491" t="str">
        <f>IF(Ofwat_PC_Interventions!Q37&lt;&gt;"",Ofwat_PC_Interventions!Q37,IF(Company_PC_inputs!Q37&lt;&gt;"",Company_PC_inputs!Q37,""))</f>
        <v/>
      </c>
      <c r="R37" s="490" t="str">
        <f>IF(Ofwat_PC_Interventions!R37&lt;&gt;"",Ofwat_PC_Interventions!R37,IF(Company_PC_inputs!R37&lt;&gt;"",Company_PC_inputs!R37,""))</f>
        <v/>
      </c>
      <c r="S37" s="490" t="str">
        <f>IF(Ofwat_PC_Interventions!S37&lt;&gt;"",Ofwat_PC_Interventions!S37,IF(Company_PC_inputs!S37&lt;&gt;"",Company_PC_inputs!S37,""))</f>
        <v/>
      </c>
      <c r="T37" s="490" t="str">
        <f>IF(Ofwat_PC_Interventions!T37&lt;&gt;"",Ofwat_PC_Interventions!T37,IF(Company_PC_inputs!T37&lt;&gt;"",Company_PC_inputs!T37,""))</f>
        <v/>
      </c>
      <c r="U37" s="490" t="str">
        <f>IF(Ofwat_PC_Interventions!U37&lt;&gt;"",Ofwat_PC_Interventions!U37,IF(Company_PC_inputs!U37&lt;&gt;"",Company_PC_inputs!U37,""))</f>
        <v/>
      </c>
      <c r="V37" s="490" t="str">
        <f>IF(Ofwat_PC_Interventions!V37&lt;&gt;"",Ofwat_PC_Interventions!V37,IF(Company_PC_inputs!V37&lt;&gt;"",Company_PC_inputs!V37,""))</f>
        <v/>
      </c>
      <c r="W37" s="490" t="str">
        <f>IF(Ofwat_PC_Interventions!W37&lt;&gt;"",Ofwat_PC_Interventions!W37,IF(Company_PC_inputs!W37&lt;&gt;"",Company_PC_inputs!W37,""))</f>
        <v/>
      </c>
      <c r="X37" s="490" t="str">
        <f>IF(Ofwat_PC_Interventions!X37&lt;&gt;"",Ofwat_PC_Interventions!X37,IF(Company_PC_inputs!X37&lt;&gt;"",Company_PC_inputs!X37,""))</f>
        <v/>
      </c>
      <c r="Y37" s="490" t="str">
        <f>IF(Ofwat_PC_Interventions!Y37&lt;&gt;"",Ofwat_PC_Interventions!Y37,IF(Company_PC_inputs!Y37&lt;&gt;"",Company_PC_inputs!Y37,""))</f>
        <v/>
      </c>
      <c r="Z37" s="490" t="str">
        <f>IF(Ofwat_PC_Interventions!Z37&lt;&gt;"",Ofwat_PC_Interventions!Z37,IF(Company_PC_inputs!Z37&lt;&gt;"",Company_PC_inputs!Z37,""))</f>
        <v/>
      </c>
      <c r="AA37" s="490" t="str">
        <f>IF(Ofwat_PC_Interventions!AA37&lt;&gt;"",Ofwat_PC_Interventions!AA37,IF(Company_PC_inputs!AA37&lt;&gt;"",Company_PC_inputs!AA37,""))</f>
        <v/>
      </c>
      <c r="AB37" s="490" t="str">
        <f>IF(Ofwat_PC_Interventions!AB37&lt;&gt;"",Ofwat_PC_Interventions!AB37,IF(Company_PC_inputs!AB37&lt;&gt;"",Company_PC_inputs!AB37,""))</f>
        <v/>
      </c>
      <c r="AC37" s="490" t="str">
        <f>IF(Ofwat_PC_Interventions!AC37&lt;&gt;"",Ofwat_PC_Interventions!AC37,IF(Company_PC_inputs!AC37&lt;&gt;"",Company_PC_inputs!AC37,""))</f>
        <v/>
      </c>
      <c r="AD37" s="490" t="str">
        <f>IF(Ofwat_PC_Interventions!AD37&lt;&gt;"",Ofwat_PC_Interventions!AD37,IF(Company_PC_inputs!AD37&lt;&gt;"",Company_PC_inputs!AD37,""))</f>
        <v/>
      </c>
      <c r="AE37" s="490" t="str">
        <f>IF(Ofwat_PC_Interventions!AE37&lt;&gt;"",Ofwat_PC_Interventions!AE37,IF(Company_PC_inputs!AE37&lt;&gt;"",Company_PC_inputs!AE37,""))</f>
        <v/>
      </c>
      <c r="AF37" s="490" t="str">
        <f>IF(Ofwat_PC_Interventions!AF37&lt;&gt;"",Ofwat_PC_Interventions!AF37,IF(Company_PC_inputs!AF37&lt;&gt;"",Company_PC_inputs!AF37,""))</f>
        <v/>
      </c>
      <c r="AG37" s="490" t="str">
        <f>IF(Ofwat_PC_Interventions!AG37&lt;&gt;"",Ofwat_PC_Interventions!AG37,IF(Company_PC_inputs!AG37&lt;&gt;"",Company_PC_inputs!AG37,""))</f>
        <v/>
      </c>
      <c r="AH37" s="490" t="str">
        <f>IF(Ofwat_PC_Interventions!AH37&lt;&gt;"",Ofwat_PC_Interventions!AH37,IF(Company_PC_inputs!AH37&lt;&gt;"",Company_PC_inputs!AH37,""))</f>
        <v/>
      </c>
      <c r="AI37" s="490" t="str">
        <f>IF(Ofwat_PC_Interventions!AI37&lt;&gt;"",Ofwat_PC_Interventions!AI37,IF(Company_PC_inputs!AI37&lt;&gt;"",Company_PC_inputs!AI37,""))</f>
        <v/>
      </c>
      <c r="AJ37" s="490" t="str">
        <f>IF(Ofwat_PC_Interventions!AJ37&lt;&gt;"",Ofwat_PC_Interventions!AJ37,IF(Company_PC_inputs!AJ37&lt;&gt;"",Company_PC_inputs!AJ37,""))</f>
        <v/>
      </c>
      <c r="AK37" s="491" t="str">
        <f>IF(Ofwat_PC_Interventions!AK37&lt;&gt;"",Ofwat_PC_Interventions!AK37,IF(Company_PC_inputs!AK37&lt;&gt;"",Company_PC_inputs!AK37,""))</f>
        <v/>
      </c>
      <c r="AL37" s="490" t="str">
        <f>IF(Ofwat_PC_Interventions!AL37&lt;&gt;"",Ofwat_PC_Interventions!AL37,IF(Company_PC_inputs!AL37&lt;&gt;"",Company_PC_inputs!AL37,""))</f>
        <v/>
      </c>
      <c r="AM37" s="490" t="str">
        <f>IF(Ofwat_PC_Interventions!AM37&lt;&gt;"",Ofwat_PC_Interventions!AM37,IF(Company_PC_inputs!AM37&lt;&gt;"",Company_PC_inputs!AM37,""))</f>
        <v/>
      </c>
      <c r="AN37" s="490" t="str">
        <f>IF(Ofwat_PC_Interventions!AN37&lt;&gt;"",Ofwat_PC_Interventions!AN37,IF(Company_PC_inputs!AN37&lt;&gt;"",Company_PC_inputs!AN37,""))</f>
        <v/>
      </c>
      <c r="AO37" s="491" t="str">
        <f>IF(Ofwat_PC_Interventions!AO37&lt;&gt;"",Ofwat_PC_Interventions!AO37,IF(Company_PC_inputs!AO37&lt;&gt;"",Company_PC_inputs!AO37,""))</f>
        <v/>
      </c>
      <c r="AP37" s="490" t="str">
        <f>IF(Ofwat_PC_Interventions!AP37&lt;&gt;"",Ofwat_PC_Interventions!AP37,IF(Company_PC_inputs!AP37&lt;&gt;"",Company_PC_inputs!AP37,""))</f>
        <v/>
      </c>
      <c r="AQ37" s="490" t="str">
        <f>IF(Ofwat_PC_Interventions!AQ37&lt;&gt;"",Ofwat_PC_Interventions!AQ37,IF(Company_PC_inputs!AQ37&lt;&gt;"",Company_PC_inputs!AQ37,""))</f>
        <v/>
      </c>
      <c r="AR37" s="490" t="str">
        <f>IF(Ofwat_PC_Interventions!AR37&lt;&gt;"",Ofwat_PC_Interventions!AR37,IF(Company_PC_inputs!AR37&lt;&gt;"",Company_PC_inputs!AR37,""))</f>
        <v/>
      </c>
      <c r="AS37" s="490" t="str">
        <f>IF(Ofwat_PC_Interventions!AS37&lt;&gt;"",Ofwat_PC_Interventions!AS37,IF(Company_PC_inputs!AS37&lt;&gt;"",Company_PC_inputs!AS37,""))</f>
        <v/>
      </c>
      <c r="AT37" s="490" t="str">
        <f>IF(Ofwat_PC_Interventions!AT37&lt;&gt;"",Ofwat_PC_Interventions!AT37,IF(Company_PC_inputs!AT37&lt;&gt;"",Company_PC_inputs!AT37,""))</f>
        <v/>
      </c>
      <c r="AU37" s="490" t="str">
        <f>IF(Ofwat_PC_Interventions!AU37&lt;&gt;"",Ofwat_PC_Interventions!AU37,IF(Company_PC_inputs!AU37&lt;&gt;"",Company_PC_inputs!AU37,""))</f>
        <v/>
      </c>
      <c r="AV37" s="490" t="str">
        <f>IF(Ofwat_PC_Interventions!AV37&lt;&gt;"",Ofwat_PC_Interventions!AV37,IF(Company_PC_inputs!AV37&lt;&gt;"",Company_PC_inputs!AV37,""))</f>
        <v/>
      </c>
      <c r="AW37" s="490" t="str">
        <f>IF(Ofwat_PC_Interventions!AW37&lt;&gt;"",Ofwat_PC_Interventions!AW37,IF(Company_PC_inputs!AW37&lt;&gt;"",Company_PC_inputs!AW37,""))</f>
        <v/>
      </c>
      <c r="AX37" s="490" t="str">
        <f>IF(Ofwat_PC_Interventions!AX37&lt;&gt;"",Ofwat_PC_Interventions!AX37,IF(Company_PC_inputs!AX37&lt;&gt;"",Company_PC_inputs!AX37,""))</f>
        <v/>
      </c>
      <c r="AY37" s="490" t="str">
        <f>IF(Ofwat_PC_Interventions!AY37&lt;&gt;"",Ofwat_PC_Interventions!AY37,IF(Company_PC_inputs!AY37&lt;&gt;"",Company_PC_inputs!AY37,""))</f>
        <v/>
      </c>
      <c r="AZ37" s="490" t="str">
        <f>IF(Ofwat_PC_Interventions!AZ37&lt;&gt;"",Ofwat_PC_Interventions!AZ37,IF(Company_PC_inputs!AZ37&lt;&gt;"",Company_PC_inputs!AZ37,""))</f>
        <v/>
      </c>
      <c r="BA37" s="490" t="str">
        <f>IF(Ofwat_PC_Interventions!BA37&lt;&gt;"",Ofwat_PC_Interventions!BA37,IF(Company_PC_inputs!BA37&lt;&gt;"",Company_PC_inputs!BA37,""))</f>
        <v/>
      </c>
      <c r="BB37" s="490" t="str">
        <f>IF(Ofwat_PC_Interventions!BB37&lt;&gt;"",Ofwat_PC_Interventions!BB37,IF(Company_PC_inputs!BB37&lt;&gt;"",Company_PC_inputs!BB37,""))</f>
        <v/>
      </c>
      <c r="BC37" s="491" t="str">
        <f>IF(Ofwat_PC_Interventions!BC37&lt;&gt;"",Ofwat_PC_Interventions!BC37,IF(Company_PC_inputs!BC37&lt;&gt;"",Company_PC_inputs!BC37,""))</f>
        <v/>
      </c>
      <c r="BD37" s="490" t="str">
        <f>IF(Ofwat_PC_Interventions!BD37&lt;&gt;"",Ofwat_PC_Interventions!BD37,IF(Company_PC_inputs!BD37&lt;&gt;"",Company_PC_inputs!BD37,""))</f>
        <v/>
      </c>
      <c r="BE37" s="490" t="str">
        <f>IF(Ofwat_PC_Interventions!BE37&lt;&gt;"",Ofwat_PC_Interventions!BE37,IF(Company_PC_inputs!BE37&lt;&gt;"",Company_PC_inputs!BE37,""))</f>
        <v/>
      </c>
      <c r="BF37" s="490" t="str">
        <f>IF(Ofwat_PC_Interventions!BF37&lt;&gt;"",Ofwat_PC_Interventions!BF37,IF(Company_PC_inputs!BF37&lt;&gt;"",Company_PC_inputs!BF37,""))</f>
        <v/>
      </c>
      <c r="BG37" s="490" t="str">
        <f>IF(Ofwat_PC_Interventions!BG37&lt;&gt;"",Ofwat_PC_Interventions!BG37,IF(Company_PC_inputs!BG37&lt;&gt;"",Company_PC_inputs!BG37,""))</f>
        <v/>
      </c>
      <c r="BH37" s="490" t="str">
        <f>IF(Ofwat_PC_Interventions!BH37&lt;&gt;"",Ofwat_PC_Interventions!BH37,IF(Company_PC_inputs!BH37&lt;&gt;"",Company_PC_inputs!BH37,""))</f>
        <v/>
      </c>
      <c r="BI37" s="490" t="str">
        <f>IF(Ofwat_PC_Interventions!BI37&lt;&gt;"",Ofwat_PC_Interventions!BI37,IF(Company_PC_inputs!BI37&lt;&gt;"",Company_PC_inputs!BI37,""))</f>
        <v/>
      </c>
      <c r="BJ37" s="490" t="str">
        <f>IF(Ofwat_PC_Interventions!BJ37&lt;&gt;"",Ofwat_PC_Interventions!BJ37,IF(Company_PC_inputs!BJ37&lt;&gt;"",Company_PC_inputs!BJ37,""))</f>
        <v/>
      </c>
      <c r="BK37" s="490" t="str">
        <f>IF(Ofwat_PC_Interventions!BK37&lt;&gt;"",Ofwat_PC_Interventions!BK37,IF(Company_PC_inputs!BK37&lt;&gt;"",Company_PC_inputs!BK37,""))</f>
        <v/>
      </c>
      <c r="BL37" s="490" t="str">
        <f>IF(Ofwat_PC_Interventions!BL37&lt;&gt;"",Ofwat_PC_Interventions!BL37,IF(Company_PC_inputs!BL37&lt;&gt;"",Company_PC_inputs!BL37,""))</f>
        <v/>
      </c>
      <c r="BM37" s="490" t="str">
        <f>IF(Ofwat_PC_Interventions!BM37&lt;&gt;"",Ofwat_PC_Interventions!BM37,IF(Company_PC_inputs!BM37&lt;&gt;"",Company_PC_inputs!BM37,""))</f>
        <v/>
      </c>
      <c r="BN37" s="490" t="str">
        <f>IF(Ofwat_PC_Interventions!BN37&lt;&gt;"",Ofwat_PC_Interventions!BN37,IF(Company_PC_inputs!BN37&lt;&gt;"",Company_PC_inputs!BN37,""))</f>
        <v/>
      </c>
      <c r="BO37" s="490" t="str">
        <f>IF(Ofwat_PC_Interventions!BO37&lt;&gt;"",Ofwat_PC_Interventions!BO37,IF(Company_PC_inputs!BO37&lt;&gt;"",Company_PC_inputs!BO37,""))</f>
        <v/>
      </c>
      <c r="BP37" s="490" t="str">
        <f>IF(Ofwat_PC_Interventions!BP37&lt;&gt;"",Ofwat_PC_Interventions!BP37,IF(Company_PC_inputs!BP37&lt;&gt;"",Company_PC_inputs!BP37,""))</f>
        <v/>
      </c>
      <c r="BQ37" s="490" t="str">
        <f>IF(Ofwat_PC_Interventions!BQ37&lt;&gt;"",Ofwat_PC_Interventions!BQ37,IF(Company_PC_inputs!BQ37&lt;&gt;"",Company_PC_inputs!BQ37,""))</f>
        <v/>
      </c>
      <c r="BR37" s="490" t="str">
        <f>IF(Ofwat_PC_Interventions!BR37&lt;&gt;"",Ofwat_PC_Interventions!BR37,IF(Company_PC_inputs!BR37&lt;&gt;"",Company_PC_inputs!BR37,""))</f>
        <v/>
      </c>
      <c r="BS37" s="490" t="str">
        <f>IF(Ofwat_PC_Interventions!BS37&lt;&gt;"",Ofwat_PC_Interventions!BS37,IF(Company_PC_inputs!BS37&lt;&gt;"",Company_PC_inputs!BS37,""))</f>
        <v/>
      </c>
    </row>
    <row r="38" spans="1:71" s="202" customFormat="1" ht="13.15">
      <c r="A38" s="453"/>
      <c r="B38" s="453"/>
      <c r="C38" s="453"/>
      <c r="D38" s="453"/>
      <c r="E38" s="453" t="s">
        <v>1175</v>
      </c>
      <c r="F38" s="453"/>
      <c r="G38" s="453" t="s">
        <v>1176</v>
      </c>
      <c r="H38" s="453"/>
      <c r="I38" s="453"/>
      <c r="J38" s="494" t="str">
        <f>IF(Ofwat_PC_Interventions!J38&lt;&gt;"",Ofwat_PC_Interventions!J38,IF(Company_PC_inputs!J38&lt;&gt;"",Company_PC_inputs!J38,""))</f>
        <v>Down</v>
      </c>
      <c r="K38" s="494" t="str">
        <f>IF(Ofwat_PC_Interventions!K38&lt;&gt;"",Ofwat_PC_Interventions!K38,IF(Company_PC_inputs!K38&lt;&gt;"",Company_PC_inputs!K38,""))</f>
        <v>Down</v>
      </c>
      <c r="L38" s="494" t="str">
        <f>IF(Ofwat_PC_Interventions!L38&lt;&gt;"",Ofwat_PC_Interventions!L38,IF(Company_PC_inputs!L38&lt;&gt;"",Company_PC_inputs!L38,""))</f>
        <v>Up</v>
      </c>
      <c r="M38" s="494" t="str">
        <f>IF(Ofwat_PC_Interventions!M38&lt;&gt;"",Ofwat_PC_Interventions!M38,IF(Company_PC_inputs!M38&lt;&gt;"",Company_PC_inputs!M38,""))</f>
        <v/>
      </c>
      <c r="N38" s="494" t="str">
        <f>IF(Ofwat_PC_Interventions!N38&lt;&gt;"",Ofwat_PC_Interventions!N38,IF(Company_PC_inputs!N38&lt;&gt;"",Company_PC_inputs!N38,""))</f>
        <v>Up</v>
      </c>
      <c r="O38" s="494" t="str">
        <f>IF(Ofwat_PC_Interventions!O38&lt;&gt;"",Ofwat_PC_Interventions!O38,IF(Company_PC_inputs!O38&lt;&gt;"",Company_PC_inputs!O38,""))</f>
        <v/>
      </c>
      <c r="P38" s="494" t="str">
        <f>IF(Ofwat_PC_Interventions!P38&lt;&gt;"",Ofwat_PC_Interventions!P38,IF(Company_PC_inputs!P38&lt;&gt;"",Company_PC_inputs!P38,""))</f>
        <v>Down</v>
      </c>
      <c r="Q38" s="496" t="str">
        <f>IF(Ofwat_PC_Interventions!Q38&lt;&gt;"",Ofwat_PC_Interventions!Q38,IF(Company_PC_inputs!Q38&lt;&gt;"",Company_PC_inputs!Q38,""))</f>
        <v>Down</v>
      </c>
      <c r="R38" s="494" t="str">
        <f>IF(Ofwat_PC_Interventions!R38&lt;&gt;"",Ofwat_PC_Interventions!R38,IF(Company_PC_inputs!R38&lt;&gt;"",Company_PC_inputs!R38,""))</f>
        <v>Down</v>
      </c>
      <c r="S38" s="494" t="str">
        <f>IF(Ofwat_PC_Interventions!S38&lt;&gt;"",Ofwat_PC_Interventions!S38,IF(Company_PC_inputs!S38&lt;&gt;"",Company_PC_inputs!S38,""))</f>
        <v>Down</v>
      </c>
      <c r="T38" s="494" t="str">
        <f>IF(Ofwat_PC_Interventions!T38&lt;&gt;"",Ofwat_PC_Interventions!T38,IF(Company_PC_inputs!T38&lt;&gt;"",Company_PC_inputs!T38,""))</f>
        <v>Down</v>
      </c>
      <c r="U38" s="494" t="str">
        <f>IF(Ofwat_PC_Interventions!U38&lt;&gt;"",Ofwat_PC_Interventions!U38,IF(Company_PC_inputs!U38&lt;&gt;"",Company_PC_inputs!U38,""))</f>
        <v>Up</v>
      </c>
      <c r="V38" s="494" t="str">
        <f>IF(Ofwat_PC_Interventions!V38&lt;&gt;"",Ofwat_PC_Interventions!V38,IF(Company_PC_inputs!V38&lt;&gt;"",Company_PC_inputs!V38,""))</f>
        <v>Down</v>
      </c>
      <c r="W38" s="494" t="str">
        <f>IF(Ofwat_PC_Interventions!W38&lt;&gt;"",Ofwat_PC_Interventions!W38,IF(Company_PC_inputs!W38&lt;&gt;"",Company_PC_inputs!W38,""))</f>
        <v>Up</v>
      </c>
      <c r="X38" s="494" t="str">
        <f>IF(Ofwat_PC_Interventions!X38&lt;&gt;"",Ofwat_PC_Interventions!X38,IF(Company_PC_inputs!X38&lt;&gt;"",Company_PC_inputs!X38,""))</f>
        <v>Down</v>
      </c>
      <c r="Y38" s="494" t="str">
        <f>IF(Ofwat_PC_Interventions!Y38&lt;&gt;"",Ofwat_PC_Interventions!Y38,IF(Company_PC_inputs!Y38&lt;&gt;"",Company_PC_inputs!Y38,""))</f>
        <v>Down</v>
      </c>
      <c r="Z38" s="494" t="str">
        <f>IF(Ofwat_PC_Interventions!Z38&lt;&gt;"",Ofwat_PC_Interventions!Z38,IF(Company_PC_inputs!Z38&lt;&gt;"",Company_PC_inputs!Z38,""))</f>
        <v>Up</v>
      </c>
      <c r="AA38" s="494" t="str">
        <f>IF(Ofwat_PC_Interventions!AA38&lt;&gt;"",Ofwat_PC_Interventions!AA38,IF(Company_PC_inputs!AA38&lt;&gt;"",Company_PC_inputs!AA38,""))</f>
        <v/>
      </c>
      <c r="AB38" s="494" t="str">
        <f>IF(Ofwat_PC_Interventions!AB38&lt;&gt;"",Ofwat_PC_Interventions!AB38,IF(Company_PC_inputs!AB38&lt;&gt;"",Company_PC_inputs!AB38,""))</f>
        <v/>
      </c>
      <c r="AC38" s="494" t="str">
        <f>IF(Ofwat_PC_Interventions!AC38&lt;&gt;"",Ofwat_PC_Interventions!AC38,IF(Company_PC_inputs!AC38&lt;&gt;"",Company_PC_inputs!AC38,""))</f>
        <v/>
      </c>
      <c r="AD38" s="494" t="str">
        <f>IF(Ofwat_PC_Interventions!AD38&lt;&gt;"",Ofwat_PC_Interventions!AD38,IF(Company_PC_inputs!AD38&lt;&gt;"",Company_PC_inputs!AD38,""))</f>
        <v/>
      </c>
      <c r="AE38" s="494" t="str">
        <f>IF(Ofwat_PC_Interventions!AE38&lt;&gt;"",Ofwat_PC_Interventions!AE38,IF(Company_PC_inputs!AE38&lt;&gt;"",Company_PC_inputs!AE38,""))</f>
        <v/>
      </c>
      <c r="AF38" s="494" t="str">
        <f>IF(Ofwat_PC_Interventions!AF38&lt;&gt;"",Ofwat_PC_Interventions!AF38,IF(Company_PC_inputs!AF38&lt;&gt;"",Company_PC_inputs!AF38,""))</f>
        <v/>
      </c>
      <c r="AG38" s="494" t="str">
        <f>IF(Ofwat_PC_Interventions!AG38&lt;&gt;"",Ofwat_PC_Interventions!AG38,IF(Company_PC_inputs!AG38&lt;&gt;"",Company_PC_inputs!AG38,""))</f>
        <v/>
      </c>
      <c r="AH38" s="494" t="str">
        <f>IF(Ofwat_PC_Interventions!AH38&lt;&gt;"",Ofwat_PC_Interventions!AH38,IF(Company_PC_inputs!AH38&lt;&gt;"",Company_PC_inputs!AH38,""))</f>
        <v/>
      </c>
      <c r="AI38" s="494" t="str">
        <f>IF(Ofwat_PC_Interventions!AI38&lt;&gt;"",Ofwat_PC_Interventions!AI38,IF(Company_PC_inputs!AI38&lt;&gt;"",Company_PC_inputs!AI38,""))</f>
        <v/>
      </c>
      <c r="AJ38" s="494" t="str">
        <f>IF(Ofwat_PC_Interventions!AJ38&lt;&gt;"",Ofwat_PC_Interventions!AJ38,IF(Company_PC_inputs!AJ38&lt;&gt;"",Company_PC_inputs!AJ38,""))</f>
        <v/>
      </c>
      <c r="AK38" s="496" t="str">
        <f>IF(Ofwat_PC_Interventions!AK38&lt;&gt;"",Ofwat_PC_Interventions!AK38,IF(Company_PC_inputs!AK38&lt;&gt;"",Company_PC_inputs!AK38,""))</f>
        <v/>
      </c>
      <c r="AL38" s="494" t="str">
        <f>IF(Ofwat_PC_Interventions!AL38&lt;&gt;"",Ofwat_PC_Interventions!AL38,IF(Company_PC_inputs!AL38&lt;&gt;"",Company_PC_inputs!AL38,""))</f>
        <v>Down</v>
      </c>
      <c r="AM38" s="494" t="str">
        <f>IF(Ofwat_PC_Interventions!AM38&lt;&gt;"",Ofwat_PC_Interventions!AM38,IF(Company_PC_inputs!AM38&lt;&gt;"",Company_PC_inputs!AM38,""))</f>
        <v>Down</v>
      </c>
      <c r="AN38" s="494" t="str">
        <f>IF(Ofwat_PC_Interventions!AN38&lt;&gt;"",Ofwat_PC_Interventions!AN38,IF(Company_PC_inputs!AN38&lt;&gt;"",Company_PC_inputs!AN38,""))</f>
        <v>Down</v>
      </c>
      <c r="AO38" s="496" t="str">
        <f>IF(Ofwat_PC_Interventions!AO38&lt;&gt;"",Ofwat_PC_Interventions!AO38,IF(Company_PC_inputs!AO38&lt;&gt;"",Company_PC_inputs!AO38,""))</f>
        <v>Up</v>
      </c>
      <c r="AP38" s="494" t="str">
        <f>IF(Ofwat_PC_Interventions!AP38&lt;&gt;"",Ofwat_PC_Interventions!AP38,IF(Company_PC_inputs!AP38&lt;&gt;"",Company_PC_inputs!AP38,""))</f>
        <v>Up</v>
      </c>
      <c r="AQ38" s="494" t="str">
        <f>IF(Ofwat_PC_Interventions!AQ38&lt;&gt;"",Ofwat_PC_Interventions!AQ38,IF(Company_PC_inputs!AQ38&lt;&gt;"",Company_PC_inputs!AQ38,""))</f>
        <v>Up</v>
      </c>
      <c r="AR38" s="494" t="str">
        <f>IF(Ofwat_PC_Interventions!AR38&lt;&gt;"",Ofwat_PC_Interventions!AR38,IF(Company_PC_inputs!AR38&lt;&gt;"",Company_PC_inputs!AR38,""))</f>
        <v>Up</v>
      </c>
      <c r="AS38" s="494" t="str">
        <f>IF(Ofwat_PC_Interventions!AS38&lt;&gt;"",Ofwat_PC_Interventions!AS38,IF(Company_PC_inputs!AS38&lt;&gt;"",Company_PC_inputs!AS38,""))</f>
        <v>Up</v>
      </c>
      <c r="AT38" s="494" t="str">
        <f>IF(Ofwat_PC_Interventions!AT38&lt;&gt;"",Ofwat_PC_Interventions!AT38,IF(Company_PC_inputs!AT38&lt;&gt;"",Company_PC_inputs!AT38,""))</f>
        <v>Up</v>
      </c>
      <c r="AU38" s="494" t="str">
        <f>IF(Ofwat_PC_Interventions!AU38&lt;&gt;"",Ofwat_PC_Interventions!AU38,IF(Company_PC_inputs!AU38&lt;&gt;"",Company_PC_inputs!AU38,""))</f>
        <v>Up</v>
      </c>
      <c r="AV38" s="494" t="str">
        <f>IF(Ofwat_PC_Interventions!AV38&lt;&gt;"",Ofwat_PC_Interventions!AV38,IF(Company_PC_inputs!AV38&lt;&gt;"",Company_PC_inputs!AV38,""))</f>
        <v>Up</v>
      </c>
      <c r="AW38" s="494" t="str">
        <f>IF(Ofwat_PC_Interventions!AW38&lt;&gt;"",Ofwat_PC_Interventions!AW38,IF(Company_PC_inputs!AW38&lt;&gt;"",Company_PC_inputs!AW38,""))</f>
        <v>Up</v>
      </c>
      <c r="AX38" s="494" t="str">
        <f>IF(Ofwat_PC_Interventions!AX38&lt;&gt;"",Ofwat_PC_Interventions!AX38,IF(Company_PC_inputs!AX38&lt;&gt;"",Company_PC_inputs!AX38,""))</f>
        <v>Down</v>
      </c>
      <c r="AY38" s="494" t="str">
        <f>IF(Ofwat_PC_Interventions!AY38&lt;&gt;"",Ofwat_PC_Interventions!AY38,IF(Company_PC_inputs!AY38&lt;&gt;"",Company_PC_inputs!AY38,""))</f>
        <v>Up</v>
      </c>
      <c r="AZ38" s="494" t="str">
        <f>IF(Ofwat_PC_Interventions!AZ38&lt;&gt;"",Ofwat_PC_Interventions!AZ38,IF(Company_PC_inputs!AZ38&lt;&gt;"",Company_PC_inputs!AZ38,""))</f>
        <v/>
      </c>
      <c r="BA38" s="494" t="str">
        <f>IF(Ofwat_PC_Interventions!BA38&lt;&gt;"",Ofwat_PC_Interventions!BA38,IF(Company_PC_inputs!BA38&lt;&gt;"",Company_PC_inputs!BA38,""))</f>
        <v/>
      </c>
      <c r="BB38" s="494" t="str">
        <f>IF(Ofwat_PC_Interventions!BB38&lt;&gt;"",Ofwat_PC_Interventions!BB38,IF(Company_PC_inputs!BB38&lt;&gt;"",Company_PC_inputs!BB38,""))</f>
        <v/>
      </c>
      <c r="BC38" s="496" t="str">
        <f>IF(Ofwat_PC_Interventions!BC38&lt;&gt;"",Ofwat_PC_Interventions!BC38,IF(Company_PC_inputs!BC38&lt;&gt;"",Company_PC_inputs!BC38,""))</f>
        <v/>
      </c>
      <c r="BD38" s="494" t="str">
        <f>IF(Ofwat_PC_Interventions!BD38&lt;&gt;"",Ofwat_PC_Interventions!BD38,IF(Company_PC_inputs!BD38&lt;&gt;"",Company_PC_inputs!BD38,""))</f>
        <v/>
      </c>
      <c r="BE38" s="494" t="str">
        <f>IF(Ofwat_PC_Interventions!BE38&lt;&gt;"",Ofwat_PC_Interventions!BE38,IF(Company_PC_inputs!BE38&lt;&gt;"",Company_PC_inputs!BE38,""))</f>
        <v/>
      </c>
      <c r="BF38" s="494" t="str">
        <f>IF(Ofwat_PC_Interventions!BF38&lt;&gt;"",Ofwat_PC_Interventions!BF38,IF(Company_PC_inputs!BF38&lt;&gt;"",Company_PC_inputs!BF38,""))</f>
        <v/>
      </c>
      <c r="BG38" s="494" t="str">
        <f>IF(Ofwat_PC_Interventions!BG38&lt;&gt;"",Ofwat_PC_Interventions!BG38,IF(Company_PC_inputs!BG38&lt;&gt;"",Company_PC_inputs!BG38,""))</f>
        <v/>
      </c>
      <c r="BH38" s="494" t="str">
        <f>IF(Ofwat_PC_Interventions!BH38&lt;&gt;"",Ofwat_PC_Interventions!BH38,IF(Company_PC_inputs!BH38&lt;&gt;"",Company_PC_inputs!BH38,""))</f>
        <v/>
      </c>
      <c r="BI38" s="494" t="str">
        <f>IF(Ofwat_PC_Interventions!BI38&lt;&gt;"",Ofwat_PC_Interventions!BI38,IF(Company_PC_inputs!BI38&lt;&gt;"",Company_PC_inputs!BI38,""))</f>
        <v/>
      </c>
      <c r="BJ38" s="494" t="str">
        <f>IF(Ofwat_PC_Interventions!BJ38&lt;&gt;"",Ofwat_PC_Interventions!BJ38,IF(Company_PC_inputs!BJ38&lt;&gt;"",Company_PC_inputs!BJ38,""))</f>
        <v/>
      </c>
      <c r="BK38" s="494" t="str">
        <f>IF(Ofwat_PC_Interventions!BK38&lt;&gt;"",Ofwat_PC_Interventions!BK38,IF(Company_PC_inputs!BK38&lt;&gt;"",Company_PC_inputs!BK38,""))</f>
        <v/>
      </c>
      <c r="BL38" s="494" t="str">
        <f>IF(Ofwat_PC_Interventions!BL38&lt;&gt;"",Ofwat_PC_Interventions!BL38,IF(Company_PC_inputs!BL38&lt;&gt;"",Company_PC_inputs!BL38,""))</f>
        <v/>
      </c>
      <c r="BM38" s="494" t="str">
        <f>IF(Ofwat_PC_Interventions!BM38&lt;&gt;"",Ofwat_PC_Interventions!BM38,IF(Company_PC_inputs!BM38&lt;&gt;"",Company_PC_inputs!BM38,""))</f>
        <v/>
      </c>
      <c r="BN38" s="494" t="str">
        <f>IF(Ofwat_PC_Interventions!BN38&lt;&gt;"",Ofwat_PC_Interventions!BN38,IF(Company_PC_inputs!BN38&lt;&gt;"",Company_PC_inputs!BN38,""))</f>
        <v/>
      </c>
      <c r="BO38" s="494" t="str">
        <f>IF(Ofwat_PC_Interventions!BO38&lt;&gt;"",Ofwat_PC_Interventions!BO38,IF(Company_PC_inputs!BO38&lt;&gt;"",Company_PC_inputs!BO38,""))</f>
        <v/>
      </c>
      <c r="BP38" s="494" t="str">
        <f>IF(Ofwat_PC_Interventions!BP38&lt;&gt;"",Ofwat_PC_Interventions!BP38,IF(Company_PC_inputs!BP38&lt;&gt;"",Company_PC_inputs!BP38,""))</f>
        <v/>
      </c>
      <c r="BQ38" s="494" t="str">
        <f>IF(Ofwat_PC_Interventions!BQ38&lt;&gt;"",Ofwat_PC_Interventions!BQ38,IF(Company_PC_inputs!BQ38&lt;&gt;"",Company_PC_inputs!BQ38,""))</f>
        <v/>
      </c>
      <c r="BR38" s="494" t="str">
        <f>IF(Ofwat_PC_Interventions!BR38&lt;&gt;"",Ofwat_PC_Interventions!BR38,IF(Company_PC_inputs!BR38&lt;&gt;"",Company_PC_inputs!BR38,""))</f>
        <v/>
      </c>
      <c r="BS38" s="494" t="str">
        <f>IF(Ofwat_PC_Interventions!BS38&lt;&gt;"",Ofwat_PC_Interventions!BS38,IF(Company_PC_inputs!BS38&lt;&gt;"",Company_PC_inputs!BS38,""))</f>
        <v/>
      </c>
    </row>
    <row r="39" spans="1:71" s="202" customFormat="1" ht="13.15">
      <c r="A39" s="453"/>
      <c r="B39" s="453"/>
      <c r="C39" s="453"/>
      <c r="D39" s="453"/>
      <c r="E39" s="453"/>
      <c r="F39" s="453"/>
      <c r="G39" s="453"/>
      <c r="H39" s="453"/>
      <c r="I39" s="453"/>
      <c r="J39" s="490" t="str">
        <f>IF(Ofwat_PC_Interventions!J39&lt;&gt;"",Ofwat_PC_Interventions!J39,IF(Company_PC_inputs!J39&lt;&gt;"",Company_PC_inputs!J39,""))</f>
        <v/>
      </c>
      <c r="K39" s="490" t="str">
        <f>IF(Ofwat_PC_Interventions!K39&lt;&gt;"",Ofwat_PC_Interventions!K39,IF(Company_PC_inputs!K39&lt;&gt;"",Company_PC_inputs!K39,""))</f>
        <v/>
      </c>
      <c r="L39" s="490" t="str">
        <f>IF(Ofwat_PC_Interventions!L39&lt;&gt;"",Ofwat_PC_Interventions!L39,IF(Company_PC_inputs!L39&lt;&gt;"",Company_PC_inputs!L39,""))</f>
        <v/>
      </c>
      <c r="M39" s="490" t="str">
        <f>IF(Ofwat_PC_Interventions!M39&lt;&gt;"",Ofwat_PC_Interventions!M39,IF(Company_PC_inputs!M39&lt;&gt;"",Company_PC_inputs!M39,""))</f>
        <v/>
      </c>
      <c r="N39" s="490" t="str">
        <f>IF(Ofwat_PC_Interventions!N39&lt;&gt;"",Ofwat_PC_Interventions!N39,IF(Company_PC_inputs!N39&lt;&gt;"",Company_PC_inputs!N39,""))</f>
        <v/>
      </c>
      <c r="O39" s="490" t="str">
        <f>IF(Ofwat_PC_Interventions!O39&lt;&gt;"",Ofwat_PC_Interventions!O39,IF(Company_PC_inputs!O39&lt;&gt;"",Company_PC_inputs!O39,""))</f>
        <v/>
      </c>
      <c r="P39" s="490" t="str">
        <f>IF(Ofwat_PC_Interventions!P39&lt;&gt;"",Ofwat_PC_Interventions!P39,IF(Company_PC_inputs!P39&lt;&gt;"",Company_PC_inputs!P39,""))</f>
        <v/>
      </c>
      <c r="Q39" s="491" t="str">
        <f>IF(Ofwat_PC_Interventions!Q39&lt;&gt;"",Ofwat_PC_Interventions!Q39,IF(Company_PC_inputs!Q39&lt;&gt;"",Company_PC_inputs!Q39,""))</f>
        <v/>
      </c>
      <c r="R39" s="490" t="str">
        <f>IF(Ofwat_PC_Interventions!R39&lt;&gt;"",Ofwat_PC_Interventions!R39,IF(Company_PC_inputs!R39&lt;&gt;"",Company_PC_inputs!R39,""))</f>
        <v/>
      </c>
      <c r="S39" s="490" t="str">
        <f>IF(Ofwat_PC_Interventions!S39&lt;&gt;"",Ofwat_PC_Interventions!S39,IF(Company_PC_inputs!S39&lt;&gt;"",Company_PC_inputs!S39,""))</f>
        <v/>
      </c>
      <c r="T39" s="490" t="str">
        <f>IF(Ofwat_PC_Interventions!T39&lt;&gt;"",Ofwat_PC_Interventions!T39,IF(Company_PC_inputs!T39&lt;&gt;"",Company_PC_inputs!T39,""))</f>
        <v/>
      </c>
      <c r="U39" s="490" t="str">
        <f>IF(Ofwat_PC_Interventions!U39&lt;&gt;"",Ofwat_PC_Interventions!U39,IF(Company_PC_inputs!U39&lt;&gt;"",Company_PC_inputs!U39,""))</f>
        <v/>
      </c>
      <c r="V39" s="490" t="str">
        <f>IF(Ofwat_PC_Interventions!V39&lt;&gt;"",Ofwat_PC_Interventions!V39,IF(Company_PC_inputs!V39&lt;&gt;"",Company_PC_inputs!V39,""))</f>
        <v/>
      </c>
      <c r="W39" s="490" t="str">
        <f>IF(Ofwat_PC_Interventions!W39&lt;&gt;"",Ofwat_PC_Interventions!W39,IF(Company_PC_inputs!W39&lt;&gt;"",Company_PC_inputs!W39,""))</f>
        <v/>
      </c>
      <c r="X39" s="490" t="str">
        <f>IF(Ofwat_PC_Interventions!X39&lt;&gt;"",Ofwat_PC_Interventions!X39,IF(Company_PC_inputs!X39&lt;&gt;"",Company_PC_inputs!X39,""))</f>
        <v/>
      </c>
      <c r="Y39" s="490" t="str">
        <f>IF(Ofwat_PC_Interventions!Y39&lt;&gt;"",Ofwat_PC_Interventions!Y39,IF(Company_PC_inputs!Y39&lt;&gt;"",Company_PC_inputs!Y39,""))</f>
        <v/>
      </c>
      <c r="Z39" s="490" t="str">
        <f>IF(Ofwat_PC_Interventions!Z39&lt;&gt;"",Ofwat_PC_Interventions!Z39,IF(Company_PC_inputs!Z39&lt;&gt;"",Company_PC_inputs!Z39,""))</f>
        <v/>
      </c>
      <c r="AA39" s="490" t="str">
        <f>IF(Ofwat_PC_Interventions!AA39&lt;&gt;"",Ofwat_PC_Interventions!AA39,IF(Company_PC_inputs!AA39&lt;&gt;"",Company_PC_inputs!AA39,""))</f>
        <v/>
      </c>
      <c r="AB39" s="490" t="str">
        <f>IF(Ofwat_PC_Interventions!AB39&lt;&gt;"",Ofwat_PC_Interventions!AB39,IF(Company_PC_inputs!AB39&lt;&gt;"",Company_PC_inputs!AB39,""))</f>
        <v/>
      </c>
      <c r="AC39" s="490" t="str">
        <f>IF(Ofwat_PC_Interventions!AC39&lt;&gt;"",Ofwat_PC_Interventions!AC39,IF(Company_PC_inputs!AC39&lt;&gt;"",Company_PC_inputs!AC39,""))</f>
        <v/>
      </c>
      <c r="AD39" s="490" t="str">
        <f>IF(Ofwat_PC_Interventions!AD39&lt;&gt;"",Ofwat_PC_Interventions!AD39,IF(Company_PC_inputs!AD39&lt;&gt;"",Company_PC_inputs!AD39,""))</f>
        <v/>
      </c>
      <c r="AE39" s="490" t="str">
        <f>IF(Ofwat_PC_Interventions!AE39&lt;&gt;"",Ofwat_PC_Interventions!AE39,IF(Company_PC_inputs!AE39&lt;&gt;"",Company_PC_inputs!AE39,""))</f>
        <v/>
      </c>
      <c r="AF39" s="490" t="str">
        <f>IF(Ofwat_PC_Interventions!AF39&lt;&gt;"",Ofwat_PC_Interventions!AF39,IF(Company_PC_inputs!AF39&lt;&gt;"",Company_PC_inputs!AF39,""))</f>
        <v/>
      </c>
      <c r="AG39" s="490" t="str">
        <f>IF(Ofwat_PC_Interventions!AG39&lt;&gt;"",Ofwat_PC_Interventions!AG39,IF(Company_PC_inputs!AG39&lt;&gt;"",Company_PC_inputs!AG39,""))</f>
        <v/>
      </c>
      <c r="AH39" s="490" t="str">
        <f>IF(Ofwat_PC_Interventions!AH39&lt;&gt;"",Ofwat_PC_Interventions!AH39,IF(Company_PC_inputs!AH39&lt;&gt;"",Company_PC_inputs!AH39,""))</f>
        <v/>
      </c>
      <c r="AI39" s="490" t="str">
        <f>IF(Ofwat_PC_Interventions!AI39&lt;&gt;"",Ofwat_PC_Interventions!AI39,IF(Company_PC_inputs!AI39&lt;&gt;"",Company_PC_inputs!AI39,""))</f>
        <v/>
      </c>
      <c r="AJ39" s="490" t="str">
        <f>IF(Ofwat_PC_Interventions!AJ39&lt;&gt;"",Ofwat_PC_Interventions!AJ39,IF(Company_PC_inputs!AJ39&lt;&gt;"",Company_PC_inputs!AJ39,""))</f>
        <v/>
      </c>
      <c r="AK39" s="491" t="str">
        <f>IF(Ofwat_PC_Interventions!AK39&lt;&gt;"",Ofwat_PC_Interventions!AK39,IF(Company_PC_inputs!AK39&lt;&gt;"",Company_PC_inputs!AK39,""))</f>
        <v/>
      </c>
      <c r="AL39" s="490" t="str">
        <f>IF(Ofwat_PC_Interventions!AL39&lt;&gt;"",Ofwat_PC_Interventions!AL39,IF(Company_PC_inputs!AL39&lt;&gt;"",Company_PC_inputs!AL39,""))</f>
        <v/>
      </c>
      <c r="AM39" s="490" t="str">
        <f>IF(Ofwat_PC_Interventions!AM39&lt;&gt;"",Ofwat_PC_Interventions!AM39,IF(Company_PC_inputs!AM39&lt;&gt;"",Company_PC_inputs!AM39,""))</f>
        <v/>
      </c>
      <c r="AN39" s="490" t="str">
        <f>IF(Ofwat_PC_Interventions!AN39&lt;&gt;"",Ofwat_PC_Interventions!AN39,IF(Company_PC_inputs!AN39&lt;&gt;"",Company_PC_inputs!AN39,""))</f>
        <v/>
      </c>
      <c r="AO39" s="491" t="str">
        <f>IF(Ofwat_PC_Interventions!AO39&lt;&gt;"",Ofwat_PC_Interventions!AO39,IF(Company_PC_inputs!AO39&lt;&gt;"",Company_PC_inputs!AO39,""))</f>
        <v/>
      </c>
      <c r="AP39" s="490" t="str">
        <f>IF(Ofwat_PC_Interventions!AP39&lt;&gt;"",Ofwat_PC_Interventions!AP39,IF(Company_PC_inputs!AP39&lt;&gt;"",Company_PC_inputs!AP39,""))</f>
        <v/>
      </c>
      <c r="AQ39" s="490" t="str">
        <f>IF(Ofwat_PC_Interventions!AQ39&lt;&gt;"",Ofwat_PC_Interventions!AQ39,IF(Company_PC_inputs!AQ39&lt;&gt;"",Company_PC_inputs!AQ39,""))</f>
        <v/>
      </c>
      <c r="AR39" s="490" t="str">
        <f>IF(Ofwat_PC_Interventions!AR39&lt;&gt;"",Ofwat_PC_Interventions!AR39,IF(Company_PC_inputs!AR39&lt;&gt;"",Company_PC_inputs!AR39,""))</f>
        <v/>
      </c>
      <c r="AS39" s="490" t="str">
        <f>IF(Ofwat_PC_Interventions!AS39&lt;&gt;"",Ofwat_PC_Interventions!AS39,IF(Company_PC_inputs!AS39&lt;&gt;"",Company_PC_inputs!AS39,""))</f>
        <v/>
      </c>
      <c r="AT39" s="490" t="str">
        <f>IF(Ofwat_PC_Interventions!AT39&lt;&gt;"",Ofwat_PC_Interventions!AT39,IF(Company_PC_inputs!AT39&lt;&gt;"",Company_PC_inputs!AT39,""))</f>
        <v/>
      </c>
      <c r="AU39" s="490" t="str">
        <f>IF(Ofwat_PC_Interventions!AU39&lt;&gt;"",Ofwat_PC_Interventions!AU39,IF(Company_PC_inputs!AU39&lt;&gt;"",Company_PC_inputs!AU39,""))</f>
        <v/>
      </c>
      <c r="AV39" s="490" t="str">
        <f>IF(Ofwat_PC_Interventions!AV39&lt;&gt;"",Ofwat_PC_Interventions!AV39,IF(Company_PC_inputs!AV39&lt;&gt;"",Company_PC_inputs!AV39,""))</f>
        <v/>
      </c>
      <c r="AW39" s="490" t="str">
        <f>IF(Ofwat_PC_Interventions!AW39&lt;&gt;"",Ofwat_PC_Interventions!AW39,IF(Company_PC_inputs!AW39&lt;&gt;"",Company_PC_inputs!AW39,""))</f>
        <v/>
      </c>
      <c r="AX39" s="490" t="str">
        <f>IF(Ofwat_PC_Interventions!AX39&lt;&gt;"",Ofwat_PC_Interventions!AX39,IF(Company_PC_inputs!AX39&lt;&gt;"",Company_PC_inputs!AX39,""))</f>
        <v/>
      </c>
      <c r="AY39" s="490" t="str">
        <f>IF(Ofwat_PC_Interventions!AY39&lt;&gt;"",Ofwat_PC_Interventions!AY39,IF(Company_PC_inputs!AY39&lt;&gt;"",Company_PC_inputs!AY39,""))</f>
        <v/>
      </c>
      <c r="AZ39" s="490" t="str">
        <f>IF(Ofwat_PC_Interventions!AZ39&lt;&gt;"",Ofwat_PC_Interventions!AZ39,IF(Company_PC_inputs!AZ39&lt;&gt;"",Company_PC_inputs!AZ39,""))</f>
        <v/>
      </c>
      <c r="BA39" s="490" t="str">
        <f>IF(Ofwat_PC_Interventions!BA39&lt;&gt;"",Ofwat_PC_Interventions!BA39,IF(Company_PC_inputs!BA39&lt;&gt;"",Company_PC_inputs!BA39,""))</f>
        <v/>
      </c>
      <c r="BB39" s="490" t="str">
        <f>IF(Ofwat_PC_Interventions!BB39&lt;&gt;"",Ofwat_PC_Interventions!BB39,IF(Company_PC_inputs!BB39&lt;&gt;"",Company_PC_inputs!BB39,""))</f>
        <v/>
      </c>
      <c r="BC39" s="491" t="str">
        <f>IF(Ofwat_PC_Interventions!BC39&lt;&gt;"",Ofwat_PC_Interventions!BC39,IF(Company_PC_inputs!BC39&lt;&gt;"",Company_PC_inputs!BC39,""))</f>
        <v/>
      </c>
      <c r="BD39" s="490" t="str">
        <f>IF(Ofwat_PC_Interventions!BD39&lt;&gt;"",Ofwat_PC_Interventions!BD39,IF(Company_PC_inputs!BD39&lt;&gt;"",Company_PC_inputs!BD39,""))</f>
        <v/>
      </c>
      <c r="BE39" s="490" t="str">
        <f>IF(Ofwat_PC_Interventions!BE39&lt;&gt;"",Ofwat_PC_Interventions!BE39,IF(Company_PC_inputs!BE39&lt;&gt;"",Company_PC_inputs!BE39,""))</f>
        <v/>
      </c>
      <c r="BF39" s="490" t="str">
        <f>IF(Ofwat_PC_Interventions!BF39&lt;&gt;"",Ofwat_PC_Interventions!BF39,IF(Company_PC_inputs!BF39&lt;&gt;"",Company_PC_inputs!BF39,""))</f>
        <v/>
      </c>
      <c r="BG39" s="490" t="str">
        <f>IF(Ofwat_PC_Interventions!BG39&lt;&gt;"",Ofwat_PC_Interventions!BG39,IF(Company_PC_inputs!BG39&lt;&gt;"",Company_PC_inputs!BG39,""))</f>
        <v/>
      </c>
      <c r="BH39" s="490" t="str">
        <f>IF(Ofwat_PC_Interventions!BH39&lt;&gt;"",Ofwat_PC_Interventions!BH39,IF(Company_PC_inputs!BH39&lt;&gt;"",Company_PC_inputs!BH39,""))</f>
        <v/>
      </c>
      <c r="BI39" s="490" t="str">
        <f>IF(Ofwat_PC_Interventions!BI39&lt;&gt;"",Ofwat_PC_Interventions!BI39,IF(Company_PC_inputs!BI39&lt;&gt;"",Company_PC_inputs!BI39,""))</f>
        <v/>
      </c>
      <c r="BJ39" s="490" t="str">
        <f>IF(Ofwat_PC_Interventions!BJ39&lt;&gt;"",Ofwat_PC_Interventions!BJ39,IF(Company_PC_inputs!BJ39&lt;&gt;"",Company_PC_inputs!BJ39,""))</f>
        <v/>
      </c>
      <c r="BK39" s="490" t="str">
        <f>IF(Ofwat_PC_Interventions!BK39&lt;&gt;"",Ofwat_PC_Interventions!BK39,IF(Company_PC_inputs!BK39&lt;&gt;"",Company_PC_inputs!BK39,""))</f>
        <v/>
      </c>
      <c r="BL39" s="490" t="str">
        <f>IF(Ofwat_PC_Interventions!BL39&lt;&gt;"",Ofwat_PC_Interventions!BL39,IF(Company_PC_inputs!BL39&lt;&gt;"",Company_PC_inputs!BL39,""))</f>
        <v/>
      </c>
      <c r="BM39" s="490" t="str">
        <f>IF(Ofwat_PC_Interventions!BM39&lt;&gt;"",Ofwat_PC_Interventions!BM39,IF(Company_PC_inputs!BM39&lt;&gt;"",Company_PC_inputs!BM39,""))</f>
        <v/>
      </c>
      <c r="BN39" s="490" t="str">
        <f>IF(Ofwat_PC_Interventions!BN39&lt;&gt;"",Ofwat_PC_Interventions!BN39,IF(Company_PC_inputs!BN39&lt;&gt;"",Company_PC_inputs!BN39,""))</f>
        <v/>
      </c>
      <c r="BO39" s="490" t="str">
        <f>IF(Ofwat_PC_Interventions!BO39&lt;&gt;"",Ofwat_PC_Interventions!BO39,IF(Company_PC_inputs!BO39&lt;&gt;"",Company_PC_inputs!BO39,""))</f>
        <v/>
      </c>
      <c r="BP39" s="490" t="str">
        <f>IF(Ofwat_PC_Interventions!BP39&lt;&gt;"",Ofwat_PC_Interventions!BP39,IF(Company_PC_inputs!BP39&lt;&gt;"",Company_PC_inputs!BP39,""))</f>
        <v/>
      </c>
      <c r="BQ39" s="490" t="str">
        <f>IF(Ofwat_PC_Interventions!BQ39&lt;&gt;"",Ofwat_PC_Interventions!BQ39,IF(Company_PC_inputs!BQ39&lt;&gt;"",Company_PC_inputs!BQ39,""))</f>
        <v/>
      </c>
      <c r="BR39" s="490" t="str">
        <f>IF(Ofwat_PC_Interventions!BR39&lt;&gt;"",Ofwat_PC_Interventions!BR39,IF(Company_PC_inputs!BR39&lt;&gt;"",Company_PC_inputs!BR39,""))</f>
        <v/>
      </c>
      <c r="BS39" s="490" t="str">
        <f>IF(Ofwat_PC_Interventions!BS39&lt;&gt;"",Ofwat_PC_Interventions!BS39,IF(Company_PC_inputs!BS39&lt;&gt;"",Company_PC_inputs!BS39,""))</f>
        <v/>
      </c>
    </row>
    <row r="40" spans="1:71" s="202" customFormat="1" ht="13.15">
      <c r="A40" s="453"/>
      <c r="B40" s="453"/>
      <c r="C40" s="453"/>
      <c r="D40" s="453"/>
      <c r="E40" s="453" t="s">
        <v>115</v>
      </c>
      <c r="F40" s="453"/>
      <c r="G40" s="453" t="s">
        <v>396</v>
      </c>
      <c r="H40" s="453"/>
      <c r="I40" s="453"/>
      <c r="J40" s="494">
        <f>IF(Ofwat_PC_Interventions!J40&lt;&gt;"",Ofwat_PC_Interventions!J40,IF(Company_PC_inputs!J40&lt;&gt;"",Company_PC_inputs!J40,""))</f>
        <v>2</v>
      </c>
      <c r="K40" s="494">
        <f>IF(Ofwat_PC_Interventions!K40&lt;&gt;"",Ofwat_PC_Interventions!K40,IF(Company_PC_inputs!K40&lt;&gt;"",Company_PC_inputs!K40,""))</f>
        <v>0</v>
      </c>
      <c r="L40" s="494">
        <f>IF(Ofwat_PC_Interventions!L40&lt;&gt;"",Ofwat_PC_Interventions!L40,IF(Company_PC_inputs!L40&lt;&gt;"",Company_PC_inputs!L40,""))</f>
        <v>1</v>
      </c>
      <c r="M40" s="494" t="str">
        <f>IF(Ofwat_PC_Interventions!M40&lt;&gt;"",Ofwat_PC_Interventions!M40,IF(Company_PC_inputs!M40&lt;&gt;"",Company_PC_inputs!M40,""))</f>
        <v/>
      </c>
      <c r="N40" s="494">
        <f>IF(Ofwat_PC_Interventions!N40&lt;&gt;"",Ofwat_PC_Interventions!N40,IF(Company_PC_inputs!N40&lt;&gt;"",Company_PC_inputs!N40,""))</f>
        <v>1</v>
      </c>
      <c r="O40" s="494" t="str">
        <f>IF(Ofwat_PC_Interventions!O40&lt;&gt;"",Ofwat_PC_Interventions!O40,IF(Company_PC_inputs!O40&lt;&gt;"",Company_PC_inputs!O40,""))</f>
        <v/>
      </c>
      <c r="P40" s="494">
        <f>IF(Ofwat_PC_Interventions!P40&lt;&gt;"",Ofwat_PC_Interventions!P40,IF(Company_PC_inputs!P40&lt;&gt;"",Company_PC_inputs!P40,""))</f>
        <v>1</v>
      </c>
      <c r="Q40" s="496">
        <f>IF(Ofwat_PC_Interventions!Q40&lt;&gt;"",Ofwat_PC_Interventions!Q40,IF(Company_PC_inputs!Q40&lt;&gt;"",Company_PC_inputs!Q40,""))</f>
        <v>2</v>
      </c>
      <c r="R40" s="494">
        <f>IF(Ofwat_PC_Interventions!R40&lt;&gt;"",Ofwat_PC_Interventions!R40,IF(Company_PC_inputs!R40&lt;&gt;"",Company_PC_inputs!R40,""))</f>
        <v>2</v>
      </c>
      <c r="S40" s="494">
        <f>IF(Ofwat_PC_Interventions!S40&lt;&gt;"",Ofwat_PC_Interventions!S40,IF(Company_PC_inputs!S40&lt;&gt;"",Company_PC_inputs!S40,""))</f>
        <v>2</v>
      </c>
      <c r="T40" s="494">
        <f>IF(Ofwat_PC_Interventions!T40&lt;&gt;"",Ofwat_PC_Interventions!T40,IF(Company_PC_inputs!T40&lt;&gt;"",Company_PC_inputs!T40,""))</f>
        <v>0</v>
      </c>
      <c r="U40" s="494">
        <f>IF(Ofwat_PC_Interventions!U40&lt;&gt;"",Ofwat_PC_Interventions!U40,IF(Company_PC_inputs!U40&lt;&gt;"",Company_PC_inputs!U40,""))</f>
        <v>0</v>
      </c>
      <c r="V40" s="494">
        <f>IF(Ofwat_PC_Interventions!V40&lt;&gt;"",Ofwat_PC_Interventions!V40,IF(Company_PC_inputs!V40&lt;&gt;"",Company_PC_inputs!V40,""))</f>
        <v>2</v>
      </c>
      <c r="W40" s="494">
        <f>IF(Ofwat_PC_Interventions!W40&lt;&gt;"",Ofwat_PC_Interventions!W40,IF(Company_PC_inputs!W40&lt;&gt;"",Company_PC_inputs!W40,""))</f>
        <v>0</v>
      </c>
      <c r="X40" s="494">
        <f>IF(Ofwat_PC_Interventions!X40&lt;&gt;"",Ofwat_PC_Interventions!X40,IF(Company_PC_inputs!X40&lt;&gt;"",Company_PC_inputs!X40,""))</f>
        <v>0</v>
      </c>
      <c r="Y40" s="494">
        <f>IF(Ofwat_PC_Interventions!Y40&lt;&gt;"",Ofwat_PC_Interventions!Y40,IF(Company_PC_inputs!Y40&lt;&gt;"",Company_PC_inputs!Y40,""))</f>
        <v>0</v>
      </c>
      <c r="Z40" s="494">
        <f>IF(Ofwat_PC_Interventions!Z40&lt;&gt;"",Ofwat_PC_Interventions!Z40,IF(Company_PC_inputs!Z40&lt;&gt;"",Company_PC_inputs!Z40,""))</f>
        <v>1</v>
      </c>
      <c r="AA40" s="494" t="str">
        <f>IF(Ofwat_PC_Interventions!AA40&lt;&gt;"",Ofwat_PC_Interventions!AA40,IF(Company_PC_inputs!AA40&lt;&gt;"",Company_PC_inputs!AA40,""))</f>
        <v/>
      </c>
      <c r="AB40" s="494" t="str">
        <f>IF(Ofwat_PC_Interventions!AB40&lt;&gt;"",Ofwat_PC_Interventions!AB40,IF(Company_PC_inputs!AB40&lt;&gt;"",Company_PC_inputs!AB40,""))</f>
        <v/>
      </c>
      <c r="AC40" s="494" t="str">
        <f>IF(Ofwat_PC_Interventions!AC40&lt;&gt;"",Ofwat_PC_Interventions!AC40,IF(Company_PC_inputs!AC40&lt;&gt;"",Company_PC_inputs!AC40,""))</f>
        <v/>
      </c>
      <c r="AD40" s="494" t="str">
        <f>IF(Ofwat_PC_Interventions!AD40&lt;&gt;"",Ofwat_PC_Interventions!AD40,IF(Company_PC_inputs!AD40&lt;&gt;"",Company_PC_inputs!AD40,""))</f>
        <v/>
      </c>
      <c r="AE40" s="494" t="str">
        <f>IF(Ofwat_PC_Interventions!AE40&lt;&gt;"",Ofwat_PC_Interventions!AE40,IF(Company_PC_inputs!AE40&lt;&gt;"",Company_PC_inputs!AE40,""))</f>
        <v/>
      </c>
      <c r="AF40" s="494" t="str">
        <f>IF(Ofwat_PC_Interventions!AF40&lt;&gt;"",Ofwat_PC_Interventions!AF40,IF(Company_PC_inputs!AF40&lt;&gt;"",Company_PC_inputs!AF40,""))</f>
        <v/>
      </c>
      <c r="AG40" s="494" t="str">
        <f>IF(Ofwat_PC_Interventions!AG40&lt;&gt;"",Ofwat_PC_Interventions!AG40,IF(Company_PC_inputs!AG40&lt;&gt;"",Company_PC_inputs!AG40,""))</f>
        <v/>
      </c>
      <c r="AH40" s="494" t="str">
        <f>IF(Ofwat_PC_Interventions!AH40&lt;&gt;"",Ofwat_PC_Interventions!AH40,IF(Company_PC_inputs!AH40&lt;&gt;"",Company_PC_inputs!AH40,""))</f>
        <v/>
      </c>
      <c r="AI40" s="494" t="str">
        <f>IF(Ofwat_PC_Interventions!AI40&lt;&gt;"",Ofwat_PC_Interventions!AI40,IF(Company_PC_inputs!AI40&lt;&gt;"",Company_PC_inputs!AI40,""))</f>
        <v/>
      </c>
      <c r="AJ40" s="494" t="str">
        <f>IF(Ofwat_PC_Interventions!AJ40&lt;&gt;"",Ofwat_PC_Interventions!AJ40,IF(Company_PC_inputs!AJ40&lt;&gt;"",Company_PC_inputs!AJ40,""))</f>
        <v/>
      </c>
      <c r="AK40" s="496" t="str">
        <f>IF(Ofwat_PC_Interventions!AK40&lt;&gt;"",Ofwat_PC_Interventions!AK40,IF(Company_PC_inputs!AK40&lt;&gt;"",Company_PC_inputs!AK40,""))</f>
        <v/>
      </c>
      <c r="AL40" s="494">
        <f>IF(Ofwat_PC_Interventions!AL40&lt;&gt;"",Ofwat_PC_Interventions!AL40,IF(Company_PC_inputs!AL40&lt;&gt;"",Company_PC_inputs!AL40,""))</f>
        <v>2</v>
      </c>
      <c r="AM40" s="494">
        <f>IF(Ofwat_PC_Interventions!AM40&lt;&gt;"",Ofwat_PC_Interventions!AM40,IF(Company_PC_inputs!AM40&lt;&gt;"",Company_PC_inputs!AM40,""))</f>
        <v>2</v>
      </c>
      <c r="AN40" s="494">
        <f>IF(Ofwat_PC_Interventions!AN40&lt;&gt;"",Ofwat_PC_Interventions!AN40,IF(Company_PC_inputs!AN40&lt;&gt;"",Company_PC_inputs!AN40,""))</f>
        <v>2</v>
      </c>
      <c r="AO40" s="496">
        <f>IF(Ofwat_PC_Interventions!AO40&lt;&gt;"",Ofwat_PC_Interventions!AO40,IF(Company_PC_inputs!AO40&lt;&gt;"",Company_PC_inputs!AO40,""))</f>
        <v>2</v>
      </c>
      <c r="AP40" s="494">
        <f>IF(Ofwat_PC_Interventions!AP40&lt;&gt;"",Ofwat_PC_Interventions!AP40,IF(Company_PC_inputs!AP40&lt;&gt;"",Company_PC_inputs!AP40,""))</f>
        <v>0</v>
      </c>
      <c r="AQ40" s="494">
        <f>IF(Ofwat_PC_Interventions!AQ40&lt;&gt;"",Ofwat_PC_Interventions!AQ40,IF(Company_PC_inputs!AQ40&lt;&gt;"",Company_PC_inputs!AQ40,""))</f>
        <v>2</v>
      </c>
      <c r="AR40" s="494">
        <f>IF(Ofwat_PC_Interventions!AR40&lt;&gt;"",Ofwat_PC_Interventions!AR40,IF(Company_PC_inputs!AR40&lt;&gt;"",Company_PC_inputs!AR40,""))</f>
        <v>2</v>
      </c>
      <c r="AS40" s="494">
        <f>IF(Ofwat_PC_Interventions!AS40&lt;&gt;"",Ofwat_PC_Interventions!AS40,IF(Company_PC_inputs!AS40&lt;&gt;"",Company_PC_inputs!AS40,""))</f>
        <v>2</v>
      </c>
      <c r="AT40" s="494">
        <f>IF(Ofwat_PC_Interventions!AT40&lt;&gt;"",Ofwat_PC_Interventions!AT40,IF(Company_PC_inputs!AT40&lt;&gt;"",Company_PC_inputs!AT40,""))</f>
        <v>0</v>
      </c>
      <c r="AU40" s="494">
        <f>IF(Ofwat_PC_Interventions!AU40&lt;&gt;"",Ofwat_PC_Interventions!AU40,IF(Company_PC_inputs!AU40&lt;&gt;"",Company_PC_inputs!AU40,""))</f>
        <v>0</v>
      </c>
      <c r="AV40" s="494">
        <f>IF(Ofwat_PC_Interventions!AV40&lt;&gt;"",Ofwat_PC_Interventions!AV40,IF(Company_PC_inputs!AV40&lt;&gt;"",Company_PC_inputs!AV40,""))</f>
        <v>0</v>
      </c>
      <c r="AW40" s="494">
        <f>IF(Ofwat_PC_Interventions!AW40&lt;&gt;"",Ofwat_PC_Interventions!AW40,IF(Company_PC_inputs!AW40&lt;&gt;"",Company_PC_inputs!AW40,""))</f>
        <v>0</v>
      </c>
      <c r="AX40" s="494">
        <f>IF(Ofwat_PC_Interventions!AX40&lt;&gt;"",Ofwat_PC_Interventions!AX40,IF(Company_PC_inputs!AX40&lt;&gt;"",Company_PC_inputs!AX40,""))</f>
        <v>0</v>
      </c>
      <c r="AY40" s="494">
        <f>IF(Ofwat_PC_Interventions!AY40&lt;&gt;"",Ofwat_PC_Interventions!AY40,IF(Company_PC_inputs!AY40&lt;&gt;"",Company_PC_inputs!AY40,""))</f>
        <v>0</v>
      </c>
      <c r="AZ40" s="494" t="str">
        <f>IF(Ofwat_PC_Interventions!AZ40&lt;&gt;"",Ofwat_PC_Interventions!AZ40,IF(Company_PC_inputs!AZ40&lt;&gt;"",Company_PC_inputs!AZ40,""))</f>
        <v/>
      </c>
      <c r="BA40" s="494" t="str">
        <f>IF(Ofwat_PC_Interventions!BA40&lt;&gt;"",Ofwat_PC_Interventions!BA40,IF(Company_PC_inputs!BA40&lt;&gt;"",Company_PC_inputs!BA40,""))</f>
        <v/>
      </c>
      <c r="BB40" s="494" t="str">
        <f>IF(Ofwat_PC_Interventions!BB40&lt;&gt;"",Ofwat_PC_Interventions!BB40,IF(Company_PC_inputs!BB40&lt;&gt;"",Company_PC_inputs!BB40,""))</f>
        <v/>
      </c>
      <c r="BC40" s="496" t="str">
        <f>IF(Ofwat_PC_Interventions!BC40&lt;&gt;"",Ofwat_PC_Interventions!BC40,IF(Company_PC_inputs!BC40&lt;&gt;"",Company_PC_inputs!BC40,""))</f>
        <v/>
      </c>
      <c r="BD40" s="494" t="str">
        <f>IF(Ofwat_PC_Interventions!BD40&lt;&gt;"",Ofwat_PC_Interventions!BD40,IF(Company_PC_inputs!BD40&lt;&gt;"",Company_PC_inputs!BD40,""))</f>
        <v/>
      </c>
      <c r="BE40" s="494" t="str">
        <f>IF(Ofwat_PC_Interventions!BE40&lt;&gt;"",Ofwat_PC_Interventions!BE40,IF(Company_PC_inputs!BE40&lt;&gt;"",Company_PC_inputs!BE40,""))</f>
        <v/>
      </c>
      <c r="BF40" s="494" t="str">
        <f>IF(Ofwat_PC_Interventions!BF40&lt;&gt;"",Ofwat_PC_Interventions!BF40,IF(Company_PC_inputs!BF40&lt;&gt;"",Company_PC_inputs!BF40,""))</f>
        <v/>
      </c>
      <c r="BG40" s="494" t="str">
        <f>IF(Ofwat_PC_Interventions!BG40&lt;&gt;"",Ofwat_PC_Interventions!BG40,IF(Company_PC_inputs!BG40&lt;&gt;"",Company_PC_inputs!BG40,""))</f>
        <v/>
      </c>
      <c r="BH40" s="494" t="str">
        <f>IF(Ofwat_PC_Interventions!BH40&lt;&gt;"",Ofwat_PC_Interventions!BH40,IF(Company_PC_inputs!BH40&lt;&gt;"",Company_PC_inputs!BH40,""))</f>
        <v/>
      </c>
      <c r="BI40" s="494" t="str">
        <f>IF(Ofwat_PC_Interventions!BI40&lt;&gt;"",Ofwat_PC_Interventions!BI40,IF(Company_PC_inputs!BI40&lt;&gt;"",Company_PC_inputs!BI40,""))</f>
        <v/>
      </c>
      <c r="BJ40" s="494" t="str">
        <f>IF(Ofwat_PC_Interventions!BJ40&lt;&gt;"",Ofwat_PC_Interventions!BJ40,IF(Company_PC_inputs!BJ40&lt;&gt;"",Company_PC_inputs!BJ40,""))</f>
        <v/>
      </c>
      <c r="BK40" s="494" t="str">
        <f>IF(Ofwat_PC_Interventions!BK40&lt;&gt;"",Ofwat_PC_Interventions!BK40,IF(Company_PC_inputs!BK40&lt;&gt;"",Company_PC_inputs!BK40,""))</f>
        <v/>
      </c>
      <c r="BL40" s="494" t="str">
        <f>IF(Ofwat_PC_Interventions!BL40&lt;&gt;"",Ofwat_PC_Interventions!BL40,IF(Company_PC_inputs!BL40&lt;&gt;"",Company_PC_inputs!BL40,""))</f>
        <v/>
      </c>
      <c r="BM40" s="494" t="str">
        <f>IF(Ofwat_PC_Interventions!BM40&lt;&gt;"",Ofwat_PC_Interventions!BM40,IF(Company_PC_inputs!BM40&lt;&gt;"",Company_PC_inputs!BM40,""))</f>
        <v/>
      </c>
      <c r="BN40" s="494" t="str">
        <f>IF(Ofwat_PC_Interventions!BN40&lt;&gt;"",Ofwat_PC_Interventions!BN40,IF(Company_PC_inputs!BN40&lt;&gt;"",Company_PC_inputs!BN40,""))</f>
        <v/>
      </c>
      <c r="BO40" s="494" t="str">
        <f>IF(Ofwat_PC_Interventions!BO40&lt;&gt;"",Ofwat_PC_Interventions!BO40,IF(Company_PC_inputs!BO40&lt;&gt;"",Company_PC_inputs!BO40,""))</f>
        <v/>
      </c>
      <c r="BP40" s="494" t="str">
        <f>IF(Ofwat_PC_Interventions!BP40&lt;&gt;"",Ofwat_PC_Interventions!BP40,IF(Company_PC_inputs!BP40&lt;&gt;"",Company_PC_inputs!BP40,""))</f>
        <v/>
      </c>
      <c r="BQ40" s="494" t="str">
        <f>IF(Ofwat_PC_Interventions!BQ40&lt;&gt;"",Ofwat_PC_Interventions!BQ40,IF(Company_PC_inputs!BQ40&lt;&gt;"",Company_PC_inputs!BQ40,""))</f>
        <v/>
      </c>
      <c r="BR40" s="494" t="str">
        <f>IF(Ofwat_PC_Interventions!BR40&lt;&gt;"",Ofwat_PC_Interventions!BR40,IF(Company_PC_inputs!BR40&lt;&gt;"",Company_PC_inputs!BR40,""))</f>
        <v/>
      </c>
      <c r="BS40" s="494" t="str">
        <f>IF(Ofwat_PC_Interventions!BS40&lt;&gt;"",Ofwat_PC_Interventions!BS40,IF(Company_PC_inputs!BS40&lt;&gt;"",Company_PC_inputs!BS40,""))</f>
        <v/>
      </c>
    </row>
    <row r="41" spans="1:71" s="202" customFormat="1" ht="13.15">
      <c r="A41" s="453"/>
      <c r="B41" s="453"/>
      <c r="C41" s="453"/>
      <c r="D41" s="453"/>
      <c r="E41" s="453"/>
      <c r="F41" s="453"/>
      <c r="G41" s="453"/>
      <c r="H41" s="453"/>
      <c r="I41" s="453"/>
      <c r="J41" s="494" t="str">
        <f>IF(Ofwat_PC_Interventions!J41&lt;&gt;"",Ofwat_PC_Interventions!J41,IF(Company_PC_inputs!J41&lt;&gt;"",Company_PC_inputs!J41,""))</f>
        <v/>
      </c>
      <c r="K41" s="494" t="str">
        <f>IF(Ofwat_PC_Interventions!K41&lt;&gt;"",Ofwat_PC_Interventions!K41,IF(Company_PC_inputs!K41&lt;&gt;"",Company_PC_inputs!K41,""))</f>
        <v/>
      </c>
      <c r="L41" s="494" t="str">
        <f>IF(Ofwat_PC_Interventions!L41&lt;&gt;"",Ofwat_PC_Interventions!L41,IF(Company_PC_inputs!L41&lt;&gt;"",Company_PC_inputs!L41,""))</f>
        <v/>
      </c>
      <c r="M41" s="494" t="str">
        <f>IF(Ofwat_PC_Interventions!M41&lt;&gt;"",Ofwat_PC_Interventions!M41,IF(Company_PC_inputs!M41&lt;&gt;"",Company_PC_inputs!M41,""))</f>
        <v/>
      </c>
      <c r="N41" s="494" t="str">
        <f>IF(Ofwat_PC_Interventions!N41&lt;&gt;"",Ofwat_PC_Interventions!N41,IF(Company_PC_inputs!N41&lt;&gt;"",Company_PC_inputs!N41,""))</f>
        <v/>
      </c>
      <c r="O41" s="494" t="str">
        <f>IF(Ofwat_PC_Interventions!O41&lt;&gt;"",Ofwat_PC_Interventions!O41,IF(Company_PC_inputs!O41&lt;&gt;"",Company_PC_inputs!O41,""))</f>
        <v/>
      </c>
      <c r="P41" s="494" t="str">
        <f>IF(Ofwat_PC_Interventions!P41&lt;&gt;"",Ofwat_PC_Interventions!P41,IF(Company_PC_inputs!P41&lt;&gt;"",Company_PC_inputs!P41,""))</f>
        <v/>
      </c>
      <c r="Q41" s="496" t="str">
        <f>IF(Ofwat_PC_Interventions!Q41&lt;&gt;"",Ofwat_PC_Interventions!Q41,IF(Company_PC_inputs!Q41&lt;&gt;"",Company_PC_inputs!Q41,""))</f>
        <v/>
      </c>
      <c r="R41" s="494" t="str">
        <f>IF(Ofwat_PC_Interventions!R41&lt;&gt;"",Ofwat_PC_Interventions!R41,IF(Company_PC_inputs!R41&lt;&gt;"",Company_PC_inputs!R41,""))</f>
        <v/>
      </c>
      <c r="S41" s="494" t="str">
        <f>IF(Ofwat_PC_Interventions!S41&lt;&gt;"",Ofwat_PC_Interventions!S41,IF(Company_PC_inputs!S41&lt;&gt;"",Company_PC_inputs!S41,""))</f>
        <v/>
      </c>
      <c r="T41" s="494" t="str">
        <f>IF(Ofwat_PC_Interventions!T41&lt;&gt;"",Ofwat_PC_Interventions!T41,IF(Company_PC_inputs!T41&lt;&gt;"",Company_PC_inputs!T41,""))</f>
        <v/>
      </c>
      <c r="U41" s="494" t="str">
        <f>IF(Ofwat_PC_Interventions!U41&lt;&gt;"",Ofwat_PC_Interventions!U41,IF(Company_PC_inputs!U41&lt;&gt;"",Company_PC_inputs!U41,""))</f>
        <v/>
      </c>
      <c r="V41" s="494" t="str">
        <f>IF(Ofwat_PC_Interventions!V41&lt;&gt;"",Ofwat_PC_Interventions!V41,IF(Company_PC_inputs!V41&lt;&gt;"",Company_PC_inputs!V41,""))</f>
        <v/>
      </c>
      <c r="W41" s="494" t="str">
        <f>IF(Ofwat_PC_Interventions!W41&lt;&gt;"",Ofwat_PC_Interventions!W41,IF(Company_PC_inputs!W41&lt;&gt;"",Company_PC_inputs!W41,""))</f>
        <v/>
      </c>
      <c r="X41" s="494" t="str">
        <f>IF(Ofwat_PC_Interventions!X41&lt;&gt;"",Ofwat_PC_Interventions!X41,IF(Company_PC_inputs!X41&lt;&gt;"",Company_PC_inputs!X41,""))</f>
        <v/>
      </c>
      <c r="Y41" s="494" t="str">
        <f>IF(Ofwat_PC_Interventions!Y41&lt;&gt;"",Ofwat_PC_Interventions!Y41,IF(Company_PC_inputs!Y41&lt;&gt;"",Company_PC_inputs!Y41,""))</f>
        <v/>
      </c>
      <c r="Z41" s="494" t="str">
        <f>IF(Ofwat_PC_Interventions!Z41&lt;&gt;"",Ofwat_PC_Interventions!Z41,IF(Company_PC_inputs!Z41&lt;&gt;"",Company_PC_inputs!Z41,""))</f>
        <v/>
      </c>
      <c r="AA41" s="494" t="str">
        <f>IF(Ofwat_PC_Interventions!AA41&lt;&gt;"",Ofwat_PC_Interventions!AA41,IF(Company_PC_inputs!AA41&lt;&gt;"",Company_PC_inputs!AA41,""))</f>
        <v/>
      </c>
      <c r="AB41" s="494" t="str">
        <f>IF(Ofwat_PC_Interventions!AB41&lt;&gt;"",Ofwat_PC_Interventions!AB41,IF(Company_PC_inputs!AB41&lt;&gt;"",Company_PC_inputs!AB41,""))</f>
        <v/>
      </c>
      <c r="AC41" s="494" t="str">
        <f>IF(Ofwat_PC_Interventions!AC41&lt;&gt;"",Ofwat_PC_Interventions!AC41,IF(Company_PC_inputs!AC41&lt;&gt;"",Company_PC_inputs!AC41,""))</f>
        <v/>
      </c>
      <c r="AD41" s="494" t="str">
        <f>IF(Ofwat_PC_Interventions!AD41&lt;&gt;"",Ofwat_PC_Interventions!AD41,IF(Company_PC_inputs!AD41&lt;&gt;"",Company_PC_inputs!AD41,""))</f>
        <v/>
      </c>
      <c r="AE41" s="494" t="str">
        <f>IF(Ofwat_PC_Interventions!AE41&lt;&gt;"",Ofwat_PC_Interventions!AE41,IF(Company_PC_inputs!AE41&lt;&gt;"",Company_PC_inputs!AE41,""))</f>
        <v/>
      </c>
      <c r="AF41" s="494" t="str">
        <f>IF(Ofwat_PC_Interventions!AF41&lt;&gt;"",Ofwat_PC_Interventions!AF41,IF(Company_PC_inputs!AF41&lt;&gt;"",Company_PC_inputs!AF41,""))</f>
        <v/>
      </c>
      <c r="AG41" s="494" t="str">
        <f>IF(Ofwat_PC_Interventions!AG41&lt;&gt;"",Ofwat_PC_Interventions!AG41,IF(Company_PC_inputs!AG41&lt;&gt;"",Company_PC_inputs!AG41,""))</f>
        <v/>
      </c>
      <c r="AH41" s="494" t="str">
        <f>IF(Ofwat_PC_Interventions!AH41&lt;&gt;"",Ofwat_PC_Interventions!AH41,IF(Company_PC_inputs!AH41&lt;&gt;"",Company_PC_inputs!AH41,""))</f>
        <v/>
      </c>
      <c r="AI41" s="494" t="str">
        <f>IF(Ofwat_PC_Interventions!AI41&lt;&gt;"",Ofwat_PC_Interventions!AI41,IF(Company_PC_inputs!AI41&lt;&gt;"",Company_PC_inputs!AI41,""))</f>
        <v/>
      </c>
      <c r="AJ41" s="494" t="str">
        <f>IF(Ofwat_PC_Interventions!AJ41&lt;&gt;"",Ofwat_PC_Interventions!AJ41,IF(Company_PC_inputs!AJ41&lt;&gt;"",Company_PC_inputs!AJ41,""))</f>
        <v/>
      </c>
      <c r="AK41" s="496" t="str">
        <f>IF(Ofwat_PC_Interventions!AK41&lt;&gt;"",Ofwat_PC_Interventions!AK41,IF(Company_PC_inputs!AK41&lt;&gt;"",Company_PC_inputs!AK41,""))</f>
        <v/>
      </c>
      <c r="AL41" s="494" t="str">
        <f>IF(Ofwat_PC_Interventions!AL41&lt;&gt;"",Ofwat_PC_Interventions!AL41,IF(Company_PC_inputs!AL41&lt;&gt;"",Company_PC_inputs!AL41,""))</f>
        <v/>
      </c>
      <c r="AM41" s="494" t="str">
        <f>IF(Ofwat_PC_Interventions!AM41&lt;&gt;"",Ofwat_PC_Interventions!AM41,IF(Company_PC_inputs!AM41&lt;&gt;"",Company_PC_inputs!AM41,""))</f>
        <v/>
      </c>
      <c r="AN41" s="494" t="str">
        <f>IF(Ofwat_PC_Interventions!AN41&lt;&gt;"",Ofwat_PC_Interventions!AN41,IF(Company_PC_inputs!AN41&lt;&gt;"",Company_PC_inputs!AN41,""))</f>
        <v/>
      </c>
      <c r="AO41" s="496" t="str">
        <f>IF(Ofwat_PC_Interventions!AO41&lt;&gt;"",Ofwat_PC_Interventions!AO41,IF(Company_PC_inputs!AO41&lt;&gt;"",Company_PC_inputs!AO41,""))</f>
        <v/>
      </c>
      <c r="AP41" s="494" t="str">
        <f>IF(Ofwat_PC_Interventions!AP41&lt;&gt;"",Ofwat_PC_Interventions!AP41,IF(Company_PC_inputs!AP41&lt;&gt;"",Company_PC_inputs!AP41,""))</f>
        <v/>
      </c>
      <c r="AQ41" s="494" t="str">
        <f>IF(Ofwat_PC_Interventions!AQ41&lt;&gt;"",Ofwat_PC_Interventions!AQ41,IF(Company_PC_inputs!AQ41&lt;&gt;"",Company_PC_inputs!AQ41,""))</f>
        <v/>
      </c>
      <c r="AR41" s="494" t="str">
        <f>IF(Ofwat_PC_Interventions!AR41&lt;&gt;"",Ofwat_PC_Interventions!AR41,IF(Company_PC_inputs!AR41&lt;&gt;"",Company_PC_inputs!AR41,""))</f>
        <v/>
      </c>
      <c r="AS41" s="494" t="str">
        <f>IF(Ofwat_PC_Interventions!AS41&lt;&gt;"",Ofwat_PC_Interventions!AS41,IF(Company_PC_inputs!AS41&lt;&gt;"",Company_PC_inputs!AS41,""))</f>
        <v/>
      </c>
      <c r="AT41" s="494" t="str">
        <f>IF(Ofwat_PC_Interventions!AT41&lt;&gt;"",Ofwat_PC_Interventions!AT41,IF(Company_PC_inputs!AT41&lt;&gt;"",Company_PC_inputs!AT41,""))</f>
        <v/>
      </c>
      <c r="AU41" s="494" t="str">
        <f>IF(Ofwat_PC_Interventions!AU41&lt;&gt;"",Ofwat_PC_Interventions!AU41,IF(Company_PC_inputs!AU41&lt;&gt;"",Company_PC_inputs!AU41,""))</f>
        <v/>
      </c>
      <c r="AV41" s="494" t="str">
        <f>IF(Ofwat_PC_Interventions!AV41&lt;&gt;"",Ofwat_PC_Interventions!AV41,IF(Company_PC_inputs!AV41&lt;&gt;"",Company_PC_inputs!AV41,""))</f>
        <v/>
      </c>
      <c r="AW41" s="494" t="str">
        <f>IF(Ofwat_PC_Interventions!AW41&lt;&gt;"",Ofwat_PC_Interventions!AW41,IF(Company_PC_inputs!AW41&lt;&gt;"",Company_PC_inputs!AW41,""))</f>
        <v/>
      </c>
      <c r="AX41" s="494" t="str">
        <f>IF(Ofwat_PC_Interventions!AX41&lt;&gt;"",Ofwat_PC_Interventions!AX41,IF(Company_PC_inputs!AX41&lt;&gt;"",Company_PC_inputs!AX41,""))</f>
        <v/>
      </c>
      <c r="AY41" s="494" t="str">
        <f>IF(Ofwat_PC_Interventions!AY41&lt;&gt;"",Ofwat_PC_Interventions!AY41,IF(Company_PC_inputs!AY41&lt;&gt;"",Company_PC_inputs!AY41,""))</f>
        <v/>
      </c>
      <c r="AZ41" s="494" t="str">
        <f>IF(Ofwat_PC_Interventions!AZ41&lt;&gt;"",Ofwat_PC_Interventions!AZ41,IF(Company_PC_inputs!AZ41&lt;&gt;"",Company_PC_inputs!AZ41,""))</f>
        <v/>
      </c>
      <c r="BA41" s="494" t="str">
        <f>IF(Ofwat_PC_Interventions!BA41&lt;&gt;"",Ofwat_PC_Interventions!BA41,IF(Company_PC_inputs!BA41&lt;&gt;"",Company_PC_inputs!BA41,""))</f>
        <v/>
      </c>
      <c r="BB41" s="494" t="str">
        <f>IF(Ofwat_PC_Interventions!BB41&lt;&gt;"",Ofwat_PC_Interventions!BB41,IF(Company_PC_inputs!BB41&lt;&gt;"",Company_PC_inputs!BB41,""))</f>
        <v/>
      </c>
      <c r="BC41" s="496" t="str">
        <f>IF(Ofwat_PC_Interventions!BC41&lt;&gt;"",Ofwat_PC_Interventions!BC41,IF(Company_PC_inputs!BC41&lt;&gt;"",Company_PC_inputs!BC41,""))</f>
        <v/>
      </c>
      <c r="BD41" s="494" t="str">
        <f>IF(Ofwat_PC_Interventions!BD41&lt;&gt;"",Ofwat_PC_Interventions!BD41,IF(Company_PC_inputs!BD41&lt;&gt;"",Company_PC_inputs!BD41,""))</f>
        <v/>
      </c>
      <c r="BE41" s="494" t="str">
        <f>IF(Ofwat_PC_Interventions!BE41&lt;&gt;"",Ofwat_PC_Interventions!BE41,IF(Company_PC_inputs!BE41&lt;&gt;"",Company_PC_inputs!BE41,""))</f>
        <v/>
      </c>
      <c r="BF41" s="494" t="str">
        <f>IF(Ofwat_PC_Interventions!BF41&lt;&gt;"",Ofwat_PC_Interventions!BF41,IF(Company_PC_inputs!BF41&lt;&gt;"",Company_PC_inputs!BF41,""))</f>
        <v/>
      </c>
      <c r="BG41" s="494" t="str">
        <f>IF(Ofwat_PC_Interventions!BG41&lt;&gt;"",Ofwat_PC_Interventions!BG41,IF(Company_PC_inputs!BG41&lt;&gt;"",Company_PC_inputs!BG41,""))</f>
        <v/>
      </c>
      <c r="BH41" s="494" t="str">
        <f>IF(Ofwat_PC_Interventions!BH41&lt;&gt;"",Ofwat_PC_Interventions!BH41,IF(Company_PC_inputs!BH41&lt;&gt;"",Company_PC_inputs!BH41,""))</f>
        <v/>
      </c>
      <c r="BI41" s="494" t="str">
        <f>IF(Ofwat_PC_Interventions!BI41&lt;&gt;"",Ofwat_PC_Interventions!BI41,IF(Company_PC_inputs!BI41&lt;&gt;"",Company_PC_inputs!BI41,""))</f>
        <v/>
      </c>
      <c r="BJ41" s="494" t="str">
        <f>IF(Ofwat_PC_Interventions!BJ41&lt;&gt;"",Ofwat_PC_Interventions!BJ41,IF(Company_PC_inputs!BJ41&lt;&gt;"",Company_PC_inputs!BJ41,""))</f>
        <v/>
      </c>
      <c r="BK41" s="494" t="str">
        <f>IF(Ofwat_PC_Interventions!BK41&lt;&gt;"",Ofwat_PC_Interventions!BK41,IF(Company_PC_inputs!BK41&lt;&gt;"",Company_PC_inputs!BK41,""))</f>
        <v/>
      </c>
      <c r="BL41" s="494" t="str">
        <f>IF(Ofwat_PC_Interventions!BL41&lt;&gt;"",Ofwat_PC_Interventions!BL41,IF(Company_PC_inputs!BL41&lt;&gt;"",Company_PC_inputs!BL41,""))</f>
        <v/>
      </c>
      <c r="BM41" s="494" t="str">
        <f>IF(Ofwat_PC_Interventions!BM41&lt;&gt;"",Ofwat_PC_Interventions!BM41,IF(Company_PC_inputs!BM41&lt;&gt;"",Company_PC_inputs!BM41,""))</f>
        <v/>
      </c>
      <c r="BN41" s="494" t="str">
        <f>IF(Ofwat_PC_Interventions!BN41&lt;&gt;"",Ofwat_PC_Interventions!BN41,IF(Company_PC_inputs!BN41&lt;&gt;"",Company_PC_inputs!BN41,""))</f>
        <v/>
      </c>
      <c r="BO41" s="494" t="str">
        <f>IF(Ofwat_PC_Interventions!BO41&lt;&gt;"",Ofwat_PC_Interventions!BO41,IF(Company_PC_inputs!BO41&lt;&gt;"",Company_PC_inputs!BO41,""))</f>
        <v/>
      </c>
      <c r="BP41" s="494" t="str">
        <f>IF(Ofwat_PC_Interventions!BP41&lt;&gt;"",Ofwat_PC_Interventions!BP41,IF(Company_PC_inputs!BP41&lt;&gt;"",Company_PC_inputs!BP41,""))</f>
        <v/>
      </c>
      <c r="BQ41" s="494" t="str">
        <f>IF(Ofwat_PC_Interventions!BQ41&lt;&gt;"",Ofwat_PC_Interventions!BQ41,IF(Company_PC_inputs!BQ41&lt;&gt;"",Company_PC_inputs!BQ41,""))</f>
        <v/>
      </c>
      <c r="BR41" s="494" t="str">
        <f>IF(Ofwat_PC_Interventions!BR41&lt;&gt;"",Ofwat_PC_Interventions!BR41,IF(Company_PC_inputs!BR41&lt;&gt;"",Company_PC_inputs!BR41,""))</f>
        <v/>
      </c>
      <c r="BS41" s="494" t="str">
        <f>IF(Ofwat_PC_Interventions!BS41&lt;&gt;"",Ofwat_PC_Interventions!BS41,IF(Company_PC_inputs!BS41&lt;&gt;"",Company_PC_inputs!BS41,""))</f>
        <v/>
      </c>
    </row>
    <row r="42" spans="1:71" s="202" customFormat="1" ht="13.15">
      <c r="A42" s="453"/>
      <c r="B42" s="453"/>
      <c r="C42" s="453"/>
      <c r="D42" s="463" t="s">
        <v>1177</v>
      </c>
      <c r="E42" s="453"/>
      <c r="F42" s="453"/>
      <c r="G42" s="453"/>
      <c r="H42" s="453"/>
      <c r="I42" s="453"/>
      <c r="J42" s="490" t="str">
        <f>IF(Ofwat_PC_Interventions!J42&lt;&gt;"",Ofwat_PC_Interventions!J42,IF(Company_PC_inputs!J42&lt;&gt;"",Company_PC_inputs!J42,""))</f>
        <v/>
      </c>
      <c r="K42" s="490" t="str">
        <f>IF(Ofwat_PC_Interventions!K42&lt;&gt;"",Ofwat_PC_Interventions!K42,IF(Company_PC_inputs!K42&lt;&gt;"",Company_PC_inputs!K42,""))</f>
        <v/>
      </c>
      <c r="L42" s="490" t="str">
        <f>IF(Ofwat_PC_Interventions!L42&lt;&gt;"",Ofwat_PC_Interventions!L42,IF(Company_PC_inputs!L42&lt;&gt;"",Company_PC_inputs!L42,""))</f>
        <v/>
      </c>
      <c r="M42" s="490" t="str">
        <f>IF(Ofwat_PC_Interventions!M42&lt;&gt;"",Ofwat_PC_Interventions!M42,IF(Company_PC_inputs!M42&lt;&gt;"",Company_PC_inputs!M42,""))</f>
        <v/>
      </c>
      <c r="N42" s="490" t="str">
        <f>IF(Ofwat_PC_Interventions!N42&lt;&gt;"",Ofwat_PC_Interventions!N42,IF(Company_PC_inputs!N42&lt;&gt;"",Company_PC_inputs!N42,""))</f>
        <v/>
      </c>
      <c r="O42" s="490" t="str">
        <f>IF(Ofwat_PC_Interventions!O42&lt;&gt;"",Ofwat_PC_Interventions!O42,IF(Company_PC_inputs!O42&lt;&gt;"",Company_PC_inputs!O42,""))</f>
        <v/>
      </c>
      <c r="P42" s="490" t="str">
        <f>IF(Ofwat_PC_Interventions!P42&lt;&gt;"",Ofwat_PC_Interventions!P42,IF(Company_PC_inputs!P42&lt;&gt;"",Company_PC_inputs!P42,""))</f>
        <v/>
      </c>
      <c r="Q42" s="491" t="str">
        <f>IF(Ofwat_PC_Interventions!Q42&lt;&gt;"",Ofwat_PC_Interventions!Q42,IF(Company_PC_inputs!Q42&lt;&gt;"",Company_PC_inputs!Q42,""))</f>
        <v/>
      </c>
      <c r="R42" s="490" t="str">
        <f>IF(Ofwat_PC_Interventions!R42&lt;&gt;"",Ofwat_PC_Interventions!R42,IF(Company_PC_inputs!R42&lt;&gt;"",Company_PC_inputs!R42,""))</f>
        <v/>
      </c>
      <c r="S42" s="490" t="str">
        <f>IF(Ofwat_PC_Interventions!S42&lt;&gt;"",Ofwat_PC_Interventions!S42,IF(Company_PC_inputs!S42&lt;&gt;"",Company_PC_inputs!S42,""))</f>
        <v/>
      </c>
      <c r="T42" s="490" t="str">
        <f>IF(Ofwat_PC_Interventions!T42&lt;&gt;"",Ofwat_PC_Interventions!T42,IF(Company_PC_inputs!T42&lt;&gt;"",Company_PC_inputs!T42,""))</f>
        <v/>
      </c>
      <c r="U42" s="490" t="str">
        <f>IF(Ofwat_PC_Interventions!U42&lt;&gt;"",Ofwat_PC_Interventions!U42,IF(Company_PC_inputs!U42&lt;&gt;"",Company_PC_inputs!U42,""))</f>
        <v/>
      </c>
      <c r="V42" s="490" t="str">
        <f>IF(Ofwat_PC_Interventions!V42&lt;&gt;"",Ofwat_PC_Interventions!V42,IF(Company_PC_inputs!V42&lt;&gt;"",Company_PC_inputs!V42,""))</f>
        <v/>
      </c>
      <c r="W42" s="490" t="str">
        <f>IF(Ofwat_PC_Interventions!W42&lt;&gt;"",Ofwat_PC_Interventions!W42,IF(Company_PC_inputs!W42&lt;&gt;"",Company_PC_inputs!W42,""))</f>
        <v/>
      </c>
      <c r="X42" s="490" t="str">
        <f>IF(Ofwat_PC_Interventions!X42&lt;&gt;"",Ofwat_PC_Interventions!X42,IF(Company_PC_inputs!X42&lt;&gt;"",Company_PC_inputs!X42,""))</f>
        <v/>
      </c>
      <c r="Y42" s="490" t="str">
        <f>IF(Ofwat_PC_Interventions!Y42&lt;&gt;"",Ofwat_PC_Interventions!Y42,IF(Company_PC_inputs!Y42&lt;&gt;"",Company_PC_inputs!Y42,""))</f>
        <v/>
      </c>
      <c r="Z42" s="490" t="str">
        <f>IF(Ofwat_PC_Interventions!Z42&lt;&gt;"",Ofwat_PC_Interventions!Z42,IF(Company_PC_inputs!Z42&lt;&gt;"",Company_PC_inputs!Z42,""))</f>
        <v/>
      </c>
      <c r="AA42" s="490" t="str">
        <f>IF(Ofwat_PC_Interventions!AA42&lt;&gt;"",Ofwat_PC_Interventions!AA42,IF(Company_PC_inputs!AA42&lt;&gt;"",Company_PC_inputs!AA42,""))</f>
        <v/>
      </c>
      <c r="AB42" s="490" t="str">
        <f>IF(Ofwat_PC_Interventions!AB42&lt;&gt;"",Ofwat_PC_Interventions!AB42,IF(Company_PC_inputs!AB42&lt;&gt;"",Company_PC_inputs!AB42,""))</f>
        <v/>
      </c>
      <c r="AC42" s="490" t="str">
        <f>IF(Ofwat_PC_Interventions!AC42&lt;&gt;"",Ofwat_PC_Interventions!AC42,IF(Company_PC_inputs!AC42&lt;&gt;"",Company_PC_inputs!AC42,""))</f>
        <v/>
      </c>
      <c r="AD42" s="490" t="str">
        <f>IF(Ofwat_PC_Interventions!AD42&lt;&gt;"",Ofwat_PC_Interventions!AD42,IF(Company_PC_inputs!AD42&lt;&gt;"",Company_PC_inputs!AD42,""))</f>
        <v/>
      </c>
      <c r="AE42" s="490" t="str">
        <f>IF(Ofwat_PC_Interventions!AE42&lt;&gt;"",Ofwat_PC_Interventions!AE42,IF(Company_PC_inputs!AE42&lt;&gt;"",Company_PC_inputs!AE42,""))</f>
        <v/>
      </c>
      <c r="AF42" s="490" t="str">
        <f>IF(Ofwat_PC_Interventions!AF42&lt;&gt;"",Ofwat_PC_Interventions!AF42,IF(Company_PC_inputs!AF42&lt;&gt;"",Company_PC_inputs!AF42,""))</f>
        <v/>
      </c>
      <c r="AG42" s="490" t="str">
        <f>IF(Ofwat_PC_Interventions!AG42&lt;&gt;"",Ofwat_PC_Interventions!AG42,IF(Company_PC_inputs!AG42&lt;&gt;"",Company_PC_inputs!AG42,""))</f>
        <v/>
      </c>
      <c r="AH42" s="490" t="str">
        <f>IF(Ofwat_PC_Interventions!AH42&lt;&gt;"",Ofwat_PC_Interventions!AH42,IF(Company_PC_inputs!AH42&lt;&gt;"",Company_PC_inputs!AH42,""))</f>
        <v/>
      </c>
      <c r="AI42" s="490" t="str">
        <f>IF(Ofwat_PC_Interventions!AI42&lt;&gt;"",Ofwat_PC_Interventions!AI42,IF(Company_PC_inputs!AI42&lt;&gt;"",Company_PC_inputs!AI42,""))</f>
        <v/>
      </c>
      <c r="AJ42" s="490" t="str">
        <f>IF(Ofwat_PC_Interventions!AJ42&lt;&gt;"",Ofwat_PC_Interventions!AJ42,IF(Company_PC_inputs!AJ42&lt;&gt;"",Company_PC_inputs!AJ42,""))</f>
        <v/>
      </c>
      <c r="AK42" s="491" t="str">
        <f>IF(Ofwat_PC_Interventions!AK42&lt;&gt;"",Ofwat_PC_Interventions!AK42,IF(Company_PC_inputs!AK42&lt;&gt;"",Company_PC_inputs!AK42,""))</f>
        <v/>
      </c>
      <c r="AL42" s="490" t="str">
        <f>IF(Ofwat_PC_Interventions!AL42&lt;&gt;"",Ofwat_PC_Interventions!AL42,IF(Company_PC_inputs!AL42&lt;&gt;"",Company_PC_inputs!AL42,""))</f>
        <v/>
      </c>
      <c r="AM42" s="490" t="str">
        <f>IF(Ofwat_PC_Interventions!AM42&lt;&gt;"",Ofwat_PC_Interventions!AM42,IF(Company_PC_inputs!AM42&lt;&gt;"",Company_PC_inputs!AM42,""))</f>
        <v/>
      </c>
      <c r="AN42" s="490" t="str">
        <f>IF(Ofwat_PC_Interventions!AN42&lt;&gt;"",Ofwat_PC_Interventions!AN42,IF(Company_PC_inputs!AN42&lt;&gt;"",Company_PC_inputs!AN42,""))</f>
        <v/>
      </c>
      <c r="AO42" s="491" t="str">
        <f>IF(Ofwat_PC_Interventions!AO42&lt;&gt;"",Ofwat_PC_Interventions!AO42,IF(Company_PC_inputs!AO42&lt;&gt;"",Company_PC_inputs!AO42,""))</f>
        <v/>
      </c>
      <c r="AP42" s="490" t="str">
        <f>IF(Ofwat_PC_Interventions!AP42&lt;&gt;"",Ofwat_PC_Interventions!AP42,IF(Company_PC_inputs!AP42&lt;&gt;"",Company_PC_inputs!AP42,""))</f>
        <v/>
      </c>
      <c r="AQ42" s="490" t="str">
        <f>IF(Ofwat_PC_Interventions!AQ42&lt;&gt;"",Ofwat_PC_Interventions!AQ42,IF(Company_PC_inputs!AQ42&lt;&gt;"",Company_PC_inputs!AQ42,""))</f>
        <v/>
      </c>
      <c r="AR42" s="490" t="str">
        <f>IF(Ofwat_PC_Interventions!AR42&lt;&gt;"",Ofwat_PC_Interventions!AR42,IF(Company_PC_inputs!AR42&lt;&gt;"",Company_PC_inputs!AR42,""))</f>
        <v/>
      </c>
      <c r="AS42" s="490" t="str">
        <f>IF(Ofwat_PC_Interventions!AS42&lt;&gt;"",Ofwat_PC_Interventions!AS42,IF(Company_PC_inputs!AS42&lt;&gt;"",Company_PC_inputs!AS42,""))</f>
        <v/>
      </c>
      <c r="AT42" s="490" t="str">
        <f>IF(Ofwat_PC_Interventions!AT42&lt;&gt;"",Ofwat_PC_Interventions!AT42,IF(Company_PC_inputs!AT42&lt;&gt;"",Company_PC_inputs!AT42,""))</f>
        <v/>
      </c>
      <c r="AU42" s="490" t="str">
        <f>IF(Ofwat_PC_Interventions!AU42&lt;&gt;"",Ofwat_PC_Interventions!AU42,IF(Company_PC_inputs!AU42&lt;&gt;"",Company_PC_inputs!AU42,""))</f>
        <v/>
      </c>
      <c r="AV42" s="490" t="str">
        <f>IF(Ofwat_PC_Interventions!AV42&lt;&gt;"",Ofwat_PC_Interventions!AV42,IF(Company_PC_inputs!AV42&lt;&gt;"",Company_PC_inputs!AV42,""))</f>
        <v/>
      </c>
      <c r="AW42" s="490" t="str">
        <f>IF(Ofwat_PC_Interventions!AW42&lt;&gt;"",Ofwat_PC_Interventions!AW42,IF(Company_PC_inputs!AW42&lt;&gt;"",Company_PC_inputs!AW42,""))</f>
        <v/>
      </c>
      <c r="AX42" s="490" t="str">
        <f>IF(Ofwat_PC_Interventions!AX42&lt;&gt;"",Ofwat_PC_Interventions!AX42,IF(Company_PC_inputs!AX42&lt;&gt;"",Company_PC_inputs!AX42,""))</f>
        <v/>
      </c>
      <c r="AY42" s="490" t="str">
        <f>IF(Ofwat_PC_Interventions!AY42&lt;&gt;"",Ofwat_PC_Interventions!AY42,IF(Company_PC_inputs!AY42&lt;&gt;"",Company_PC_inputs!AY42,""))</f>
        <v/>
      </c>
      <c r="AZ42" s="490" t="str">
        <f>IF(Ofwat_PC_Interventions!AZ42&lt;&gt;"",Ofwat_PC_Interventions!AZ42,IF(Company_PC_inputs!AZ42&lt;&gt;"",Company_PC_inputs!AZ42,""))</f>
        <v/>
      </c>
      <c r="BA42" s="490" t="str">
        <f>IF(Ofwat_PC_Interventions!BA42&lt;&gt;"",Ofwat_PC_Interventions!BA42,IF(Company_PC_inputs!BA42&lt;&gt;"",Company_PC_inputs!BA42,""))</f>
        <v/>
      </c>
      <c r="BB42" s="490" t="str">
        <f>IF(Ofwat_PC_Interventions!BB42&lt;&gt;"",Ofwat_PC_Interventions!BB42,IF(Company_PC_inputs!BB42&lt;&gt;"",Company_PC_inputs!BB42,""))</f>
        <v/>
      </c>
      <c r="BC42" s="491" t="str">
        <f>IF(Ofwat_PC_Interventions!BC42&lt;&gt;"",Ofwat_PC_Interventions!BC42,IF(Company_PC_inputs!BC42&lt;&gt;"",Company_PC_inputs!BC42,""))</f>
        <v/>
      </c>
      <c r="BD42" s="490" t="str">
        <f>IF(Ofwat_PC_Interventions!BD42&lt;&gt;"",Ofwat_PC_Interventions!BD42,IF(Company_PC_inputs!BD42&lt;&gt;"",Company_PC_inputs!BD42,""))</f>
        <v/>
      </c>
      <c r="BE42" s="490" t="str">
        <f>IF(Ofwat_PC_Interventions!BE42&lt;&gt;"",Ofwat_PC_Interventions!BE42,IF(Company_PC_inputs!BE42&lt;&gt;"",Company_PC_inputs!BE42,""))</f>
        <v/>
      </c>
      <c r="BF42" s="490" t="str">
        <f>IF(Ofwat_PC_Interventions!BF42&lt;&gt;"",Ofwat_PC_Interventions!BF42,IF(Company_PC_inputs!BF42&lt;&gt;"",Company_PC_inputs!BF42,""))</f>
        <v/>
      </c>
      <c r="BG42" s="490" t="str">
        <f>IF(Ofwat_PC_Interventions!BG42&lt;&gt;"",Ofwat_PC_Interventions!BG42,IF(Company_PC_inputs!BG42&lt;&gt;"",Company_PC_inputs!BG42,""))</f>
        <v/>
      </c>
      <c r="BH42" s="490" t="str">
        <f>IF(Ofwat_PC_Interventions!BH42&lt;&gt;"",Ofwat_PC_Interventions!BH42,IF(Company_PC_inputs!BH42&lt;&gt;"",Company_PC_inputs!BH42,""))</f>
        <v/>
      </c>
      <c r="BI42" s="490" t="str">
        <f>IF(Ofwat_PC_Interventions!BI42&lt;&gt;"",Ofwat_PC_Interventions!BI42,IF(Company_PC_inputs!BI42&lt;&gt;"",Company_PC_inputs!BI42,""))</f>
        <v/>
      </c>
      <c r="BJ42" s="490" t="str">
        <f>IF(Ofwat_PC_Interventions!BJ42&lt;&gt;"",Ofwat_PC_Interventions!BJ42,IF(Company_PC_inputs!BJ42&lt;&gt;"",Company_PC_inputs!BJ42,""))</f>
        <v/>
      </c>
      <c r="BK42" s="490" t="str">
        <f>IF(Ofwat_PC_Interventions!BK42&lt;&gt;"",Ofwat_PC_Interventions!BK42,IF(Company_PC_inputs!BK42&lt;&gt;"",Company_PC_inputs!BK42,""))</f>
        <v/>
      </c>
      <c r="BL42" s="490" t="str">
        <f>IF(Ofwat_PC_Interventions!BL42&lt;&gt;"",Ofwat_PC_Interventions!BL42,IF(Company_PC_inputs!BL42&lt;&gt;"",Company_PC_inputs!BL42,""))</f>
        <v/>
      </c>
      <c r="BM42" s="490" t="str">
        <f>IF(Ofwat_PC_Interventions!BM42&lt;&gt;"",Ofwat_PC_Interventions!BM42,IF(Company_PC_inputs!BM42&lt;&gt;"",Company_PC_inputs!BM42,""))</f>
        <v/>
      </c>
      <c r="BN42" s="490" t="str">
        <f>IF(Ofwat_PC_Interventions!BN42&lt;&gt;"",Ofwat_PC_Interventions!BN42,IF(Company_PC_inputs!BN42&lt;&gt;"",Company_PC_inputs!BN42,""))</f>
        <v/>
      </c>
      <c r="BO42" s="490" t="str">
        <f>IF(Ofwat_PC_Interventions!BO42&lt;&gt;"",Ofwat_PC_Interventions!BO42,IF(Company_PC_inputs!BO42&lt;&gt;"",Company_PC_inputs!BO42,""))</f>
        <v/>
      </c>
      <c r="BP42" s="490" t="str">
        <f>IF(Ofwat_PC_Interventions!BP42&lt;&gt;"",Ofwat_PC_Interventions!BP42,IF(Company_PC_inputs!BP42&lt;&gt;"",Company_PC_inputs!BP42,""))</f>
        <v/>
      </c>
      <c r="BQ42" s="490" t="str">
        <f>IF(Ofwat_PC_Interventions!BQ42&lt;&gt;"",Ofwat_PC_Interventions!BQ42,IF(Company_PC_inputs!BQ42&lt;&gt;"",Company_PC_inputs!BQ42,""))</f>
        <v/>
      </c>
      <c r="BR42" s="490" t="str">
        <f>IF(Ofwat_PC_Interventions!BR42&lt;&gt;"",Ofwat_PC_Interventions!BR42,IF(Company_PC_inputs!BR42&lt;&gt;"",Company_PC_inputs!BR42,""))</f>
        <v/>
      </c>
      <c r="BS42" s="490" t="str">
        <f>IF(Ofwat_PC_Interventions!BS42&lt;&gt;"",Ofwat_PC_Interventions!BS42,IF(Company_PC_inputs!BS42&lt;&gt;"",Company_PC_inputs!BS42,""))</f>
        <v/>
      </c>
    </row>
    <row r="43" spans="1:71" s="202" customFormat="1" ht="13.15">
      <c r="A43" s="453"/>
      <c r="B43" s="453"/>
      <c r="C43" s="453"/>
      <c r="D43" s="453"/>
      <c r="E43" s="453" t="s">
        <v>994</v>
      </c>
      <c r="F43" s="453"/>
      <c r="G43" s="453" t="s">
        <v>1158</v>
      </c>
      <c r="H43" s="453"/>
      <c r="I43" s="453"/>
      <c r="J43" s="490" t="str">
        <f>IF(Ofwat_PC_Interventions!J43&lt;&gt;"",Ofwat_PC_Interventions!J43,IF(Company_PC_inputs!J43&lt;&gt;"",Company_PC_inputs!J43,""))</f>
        <v/>
      </c>
      <c r="K43" s="490">
        <f>IF(Ofwat_PC_Interventions!K43&lt;&gt;"",Ofwat_PC_Interventions!K43,IF(Company_PC_inputs!K43&lt;&gt;"",Company_PC_inputs!K43,""))</f>
        <v>1.6550925925925928E-3</v>
      </c>
      <c r="L43" s="490">
        <f>IF(Ofwat_PC_Interventions!L43&lt;&gt;"",Ofwat_PC_Interventions!L43,IF(Company_PC_inputs!L43&lt;&gt;"",Company_PC_inputs!L43,""))</f>
        <v>20.7</v>
      </c>
      <c r="M43" s="490" t="str">
        <f>IF(Ofwat_PC_Interventions!M43&lt;&gt;"",Ofwat_PC_Interventions!M43,IF(Company_PC_inputs!M43&lt;&gt;"",Company_PC_inputs!M43,""))</f>
        <v/>
      </c>
      <c r="N43" s="490">
        <f>IF(Ofwat_PC_Interventions!N43&lt;&gt;"",Ofwat_PC_Interventions!N43,IF(Company_PC_inputs!N43&lt;&gt;"",Company_PC_inputs!N43,""))</f>
        <v>7.5</v>
      </c>
      <c r="O43" s="490" t="str">
        <f>IF(Ofwat_PC_Interventions!O43&lt;&gt;"",Ofwat_PC_Interventions!O43,IF(Company_PC_inputs!O43&lt;&gt;"",Company_PC_inputs!O43,""))</f>
        <v/>
      </c>
      <c r="P43" s="490">
        <f>IF(Ofwat_PC_Interventions!P43&lt;&gt;"",Ofwat_PC_Interventions!P43,IF(Company_PC_inputs!P43&lt;&gt;"",Company_PC_inputs!P43,""))</f>
        <v>75</v>
      </c>
      <c r="Q43" s="491" t="str">
        <f>IF(Ofwat_PC_Interventions!Q43&lt;&gt;"",Ofwat_PC_Interventions!Q43,IF(Company_PC_inputs!Q43&lt;&gt;"",Company_PC_inputs!Q43,""))</f>
        <v/>
      </c>
      <c r="R43" s="490" t="str">
        <f>IF(Ofwat_PC_Interventions!R43&lt;&gt;"",Ofwat_PC_Interventions!R43,IF(Company_PC_inputs!R43&lt;&gt;"",Company_PC_inputs!R43,""))</f>
        <v/>
      </c>
      <c r="S43" s="490">
        <f>IF(Ofwat_PC_Interventions!S43&lt;&gt;"",Ofwat_PC_Interventions!S43,IF(Company_PC_inputs!S43&lt;&gt;"",Company_PC_inputs!S43,""))</f>
        <v>0.16</v>
      </c>
      <c r="T43" s="490">
        <f>IF(Ofwat_PC_Interventions!T43&lt;&gt;"",Ofwat_PC_Interventions!T43,IF(Company_PC_inputs!T43&lt;&gt;"",Company_PC_inputs!T43,""))</f>
        <v>-16</v>
      </c>
      <c r="U43" s="490">
        <f>IF(Ofwat_PC_Interventions!U43&lt;&gt;"",Ofwat_PC_Interventions!U43,IF(Company_PC_inputs!U43&lt;&gt;"",Company_PC_inputs!U43,""))</f>
        <v>17644</v>
      </c>
      <c r="V43" s="490">
        <f>IF(Ofwat_PC_Interventions!V43&lt;&gt;"",Ofwat_PC_Interventions!V43,IF(Company_PC_inputs!V43&lt;&gt;"",Company_PC_inputs!V43,""))</f>
        <v>1.62</v>
      </c>
      <c r="W43" s="490">
        <f>IF(Ofwat_PC_Interventions!W43&lt;&gt;"",Ofwat_PC_Interventions!W43,IF(Company_PC_inputs!W43&lt;&gt;"",Company_PC_inputs!W43,""))</f>
        <v>2158</v>
      </c>
      <c r="X43" s="490" t="str">
        <f>IF(Ofwat_PC_Interventions!X43&lt;&gt;"",Ofwat_PC_Interventions!X43,IF(Company_PC_inputs!X43&lt;&gt;"",Company_PC_inputs!X43,""))</f>
        <v/>
      </c>
      <c r="Y43" s="490" t="str">
        <f>IF(Ofwat_PC_Interventions!Y43&lt;&gt;"",Ofwat_PC_Interventions!Y43,IF(Company_PC_inputs!Y43&lt;&gt;"",Company_PC_inputs!Y43,""))</f>
        <v/>
      </c>
      <c r="Z43" s="490" t="str">
        <f>IF(Ofwat_PC_Interventions!Z43&lt;&gt;"",Ofwat_PC_Interventions!Z43,IF(Company_PC_inputs!Z43&lt;&gt;"",Company_PC_inputs!Z43,""))</f>
        <v/>
      </c>
      <c r="AA43" s="490" t="str">
        <f>IF(Ofwat_PC_Interventions!AA43&lt;&gt;"",Ofwat_PC_Interventions!AA43,IF(Company_PC_inputs!AA43&lt;&gt;"",Company_PC_inputs!AA43,""))</f>
        <v/>
      </c>
      <c r="AB43" s="490" t="str">
        <f>IF(Ofwat_PC_Interventions!AB43&lt;&gt;"",Ofwat_PC_Interventions!AB43,IF(Company_PC_inputs!AB43&lt;&gt;"",Company_PC_inputs!AB43,""))</f>
        <v/>
      </c>
      <c r="AC43" s="490" t="str">
        <f>IF(Ofwat_PC_Interventions!AC43&lt;&gt;"",Ofwat_PC_Interventions!AC43,IF(Company_PC_inputs!AC43&lt;&gt;"",Company_PC_inputs!AC43,""))</f>
        <v/>
      </c>
      <c r="AD43" s="490" t="str">
        <f>IF(Ofwat_PC_Interventions!AD43&lt;&gt;"",Ofwat_PC_Interventions!AD43,IF(Company_PC_inputs!AD43&lt;&gt;"",Company_PC_inputs!AD43,""))</f>
        <v/>
      </c>
      <c r="AE43" s="490" t="str">
        <f>IF(Ofwat_PC_Interventions!AE43&lt;&gt;"",Ofwat_PC_Interventions!AE43,IF(Company_PC_inputs!AE43&lt;&gt;"",Company_PC_inputs!AE43,""))</f>
        <v/>
      </c>
      <c r="AF43" s="490" t="str">
        <f>IF(Ofwat_PC_Interventions!AF43&lt;&gt;"",Ofwat_PC_Interventions!AF43,IF(Company_PC_inputs!AF43&lt;&gt;"",Company_PC_inputs!AF43,""))</f>
        <v/>
      </c>
      <c r="AG43" s="490" t="str">
        <f>IF(Ofwat_PC_Interventions!AG43&lt;&gt;"",Ofwat_PC_Interventions!AG43,IF(Company_PC_inputs!AG43&lt;&gt;"",Company_PC_inputs!AG43,""))</f>
        <v/>
      </c>
      <c r="AH43" s="490" t="str">
        <f>IF(Ofwat_PC_Interventions!AH43&lt;&gt;"",Ofwat_PC_Interventions!AH43,IF(Company_PC_inputs!AH43&lt;&gt;"",Company_PC_inputs!AH43,""))</f>
        <v/>
      </c>
      <c r="AI43" s="490" t="str">
        <f>IF(Ofwat_PC_Interventions!AI43&lt;&gt;"",Ofwat_PC_Interventions!AI43,IF(Company_PC_inputs!AI43&lt;&gt;"",Company_PC_inputs!AI43,""))</f>
        <v/>
      </c>
      <c r="AJ43" s="490" t="str">
        <f>IF(Ofwat_PC_Interventions!AJ43&lt;&gt;"",Ofwat_PC_Interventions!AJ43,IF(Company_PC_inputs!AJ43&lt;&gt;"",Company_PC_inputs!AJ43,""))</f>
        <v/>
      </c>
      <c r="AK43" s="491" t="str">
        <f>IF(Ofwat_PC_Interventions!AK43&lt;&gt;"",Ofwat_PC_Interventions!AK43,IF(Company_PC_inputs!AK43&lt;&gt;"",Company_PC_inputs!AK43,""))</f>
        <v/>
      </c>
      <c r="AL43" s="490">
        <f>IF(Ofwat_PC_Interventions!AL43&lt;&gt;"",Ofwat_PC_Interventions!AL43,IF(Company_PC_inputs!AL43&lt;&gt;"",Company_PC_inputs!AL43,""))</f>
        <v>1.1399999999999999</v>
      </c>
      <c r="AM43" s="490">
        <f>IF(Ofwat_PC_Interventions!AM43&lt;&gt;"",Ofwat_PC_Interventions!AM43,IF(Company_PC_inputs!AM43&lt;&gt;"",Company_PC_inputs!AM43,""))</f>
        <v>16.47</v>
      </c>
      <c r="AN43" s="490" t="str">
        <f>IF(Ofwat_PC_Interventions!AN43&lt;&gt;"",Ofwat_PC_Interventions!AN43,IF(Company_PC_inputs!AN43&lt;&gt;"",Company_PC_inputs!AN43,""))</f>
        <v/>
      </c>
      <c r="AO43" s="491" t="str">
        <f>IF(Ofwat_PC_Interventions!AO43&lt;&gt;"",Ofwat_PC_Interventions!AO43,IF(Company_PC_inputs!AO43&lt;&gt;"",Company_PC_inputs!AO43,""))</f>
        <v/>
      </c>
      <c r="AP43" s="490">
        <f>IF(Ofwat_PC_Interventions!AP43&lt;&gt;"",Ofwat_PC_Interventions!AP43,IF(Company_PC_inputs!AP43&lt;&gt;"",Company_PC_inputs!AP43,""))</f>
        <v>5070</v>
      </c>
      <c r="AQ43" s="490">
        <f>IF(Ofwat_PC_Interventions!AQ43&lt;&gt;"",Ofwat_PC_Interventions!AQ43,IF(Company_PC_inputs!AQ43&lt;&gt;"",Company_PC_inputs!AQ43,""))</f>
        <v>27</v>
      </c>
      <c r="AR43" s="490" t="str">
        <f>IF(Ofwat_PC_Interventions!AR43&lt;&gt;"",Ofwat_PC_Interventions!AR43,IF(Company_PC_inputs!AR43&lt;&gt;"",Company_PC_inputs!AR43,""))</f>
        <v/>
      </c>
      <c r="AS43" s="490" t="str">
        <f>IF(Ofwat_PC_Interventions!AS43&lt;&gt;"",Ofwat_PC_Interventions!AS43,IF(Company_PC_inputs!AS43&lt;&gt;"",Company_PC_inputs!AS43,""))</f>
        <v/>
      </c>
      <c r="AT43" s="490" t="str">
        <f>IF(Ofwat_PC_Interventions!AT43&lt;&gt;"",Ofwat_PC_Interventions!AT43,IF(Company_PC_inputs!AT43&lt;&gt;"",Company_PC_inputs!AT43,""))</f>
        <v/>
      </c>
      <c r="AU43" s="490" t="str">
        <f>IF(Ofwat_PC_Interventions!AU43&lt;&gt;"",Ofwat_PC_Interventions!AU43,IF(Company_PC_inputs!AU43&lt;&gt;"",Company_PC_inputs!AU43,""))</f>
        <v/>
      </c>
      <c r="AV43" s="490" t="str">
        <f>IF(Ofwat_PC_Interventions!AV43&lt;&gt;"",Ofwat_PC_Interventions!AV43,IF(Company_PC_inputs!AV43&lt;&gt;"",Company_PC_inputs!AV43,""))</f>
        <v/>
      </c>
      <c r="AW43" s="490">
        <f>IF(Ofwat_PC_Interventions!AW43&lt;&gt;"",Ofwat_PC_Interventions!AW43,IF(Company_PC_inputs!AW43&lt;&gt;"",Company_PC_inputs!AW43,""))</f>
        <v>64835</v>
      </c>
      <c r="AX43" s="490">
        <f>IF(Ofwat_PC_Interventions!AX43&lt;&gt;"",Ofwat_PC_Interventions!AX43,IF(Company_PC_inputs!AX43&lt;&gt;"",Company_PC_inputs!AX43,""))</f>
        <v>3348</v>
      </c>
      <c r="AY43" s="490" t="str">
        <f>IF(Ofwat_PC_Interventions!AY43&lt;&gt;"",Ofwat_PC_Interventions!AY43,IF(Company_PC_inputs!AY43&lt;&gt;"",Company_PC_inputs!AY43,""))</f>
        <v/>
      </c>
      <c r="AZ43" s="490" t="str">
        <f>IF(Ofwat_PC_Interventions!AZ43&lt;&gt;"",Ofwat_PC_Interventions!AZ43,IF(Company_PC_inputs!AZ43&lt;&gt;"",Company_PC_inputs!AZ43,""))</f>
        <v/>
      </c>
      <c r="BA43" s="490" t="str">
        <f>IF(Ofwat_PC_Interventions!BA43&lt;&gt;"",Ofwat_PC_Interventions!BA43,IF(Company_PC_inputs!BA43&lt;&gt;"",Company_PC_inputs!BA43,""))</f>
        <v/>
      </c>
      <c r="BB43" s="490" t="str">
        <f>IF(Ofwat_PC_Interventions!BB43&lt;&gt;"",Ofwat_PC_Interventions!BB43,IF(Company_PC_inputs!BB43&lt;&gt;"",Company_PC_inputs!BB43,""))</f>
        <v/>
      </c>
      <c r="BC43" s="491" t="str">
        <f>IF(Ofwat_PC_Interventions!BC43&lt;&gt;"",Ofwat_PC_Interventions!BC43,IF(Company_PC_inputs!BC43&lt;&gt;"",Company_PC_inputs!BC43,""))</f>
        <v/>
      </c>
      <c r="BD43" s="490" t="str">
        <f>IF(Ofwat_PC_Interventions!BD43&lt;&gt;"",Ofwat_PC_Interventions!BD43,IF(Company_PC_inputs!BD43&lt;&gt;"",Company_PC_inputs!BD43,""))</f>
        <v/>
      </c>
      <c r="BE43" s="490" t="str">
        <f>IF(Ofwat_PC_Interventions!BE43&lt;&gt;"",Ofwat_PC_Interventions!BE43,IF(Company_PC_inputs!BE43&lt;&gt;"",Company_PC_inputs!BE43,""))</f>
        <v/>
      </c>
      <c r="BF43" s="490" t="str">
        <f>IF(Ofwat_PC_Interventions!BF43&lt;&gt;"",Ofwat_PC_Interventions!BF43,IF(Company_PC_inputs!BF43&lt;&gt;"",Company_PC_inputs!BF43,""))</f>
        <v/>
      </c>
      <c r="BG43" s="490" t="str">
        <f>IF(Ofwat_PC_Interventions!BG43&lt;&gt;"",Ofwat_PC_Interventions!BG43,IF(Company_PC_inputs!BG43&lt;&gt;"",Company_PC_inputs!BG43,""))</f>
        <v/>
      </c>
      <c r="BH43" s="490" t="str">
        <f>IF(Ofwat_PC_Interventions!BH43&lt;&gt;"",Ofwat_PC_Interventions!BH43,IF(Company_PC_inputs!BH43&lt;&gt;"",Company_PC_inputs!BH43,""))</f>
        <v/>
      </c>
      <c r="BI43" s="490" t="str">
        <f>IF(Ofwat_PC_Interventions!BI43&lt;&gt;"",Ofwat_PC_Interventions!BI43,IF(Company_PC_inputs!BI43&lt;&gt;"",Company_PC_inputs!BI43,""))</f>
        <v/>
      </c>
      <c r="BJ43" s="490" t="str">
        <f>IF(Ofwat_PC_Interventions!BJ43&lt;&gt;"",Ofwat_PC_Interventions!BJ43,IF(Company_PC_inputs!BJ43&lt;&gt;"",Company_PC_inputs!BJ43,""))</f>
        <v/>
      </c>
      <c r="BK43" s="490" t="str">
        <f>IF(Ofwat_PC_Interventions!BK43&lt;&gt;"",Ofwat_PC_Interventions!BK43,IF(Company_PC_inputs!BK43&lt;&gt;"",Company_PC_inputs!BK43,""))</f>
        <v/>
      </c>
      <c r="BL43" s="490" t="str">
        <f>IF(Ofwat_PC_Interventions!BL43&lt;&gt;"",Ofwat_PC_Interventions!BL43,IF(Company_PC_inputs!BL43&lt;&gt;"",Company_PC_inputs!BL43,""))</f>
        <v/>
      </c>
      <c r="BM43" s="490" t="str">
        <f>IF(Ofwat_PC_Interventions!BM43&lt;&gt;"",Ofwat_PC_Interventions!BM43,IF(Company_PC_inputs!BM43&lt;&gt;"",Company_PC_inputs!BM43,""))</f>
        <v/>
      </c>
      <c r="BN43" s="490" t="str">
        <f>IF(Ofwat_PC_Interventions!BN43&lt;&gt;"",Ofwat_PC_Interventions!BN43,IF(Company_PC_inputs!BN43&lt;&gt;"",Company_PC_inputs!BN43,""))</f>
        <v/>
      </c>
      <c r="BO43" s="490" t="str">
        <f>IF(Ofwat_PC_Interventions!BO43&lt;&gt;"",Ofwat_PC_Interventions!BO43,IF(Company_PC_inputs!BO43&lt;&gt;"",Company_PC_inputs!BO43,""))</f>
        <v/>
      </c>
      <c r="BP43" s="490" t="str">
        <f>IF(Ofwat_PC_Interventions!BP43&lt;&gt;"",Ofwat_PC_Interventions!BP43,IF(Company_PC_inputs!BP43&lt;&gt;"",Company_PC_inputs!BP43,""))</f>
        <v/>
      </c>
      <c r="BQ43" s="490" t="str">
        <f>IF(Ofwat_PC_Interventions!BQ43&lt;&gt;"",Ofwat_PC_Interventions!BQ43,IF(Company_PC_inputs!BQ43&lt;&gt;"",Company_PC_inputs!BQ43,""))</f>
        <v/>
      </c>
      <c r="BR43" s="490" t="str">
        <f>IF(Ofwat_PC_Interventions!BR43&lt;&gt;"",Ofwat_PC_Interventions!BR43,IF(Company_PC_inputs!BR43&lt;&gt;"",Company_PC_inputs!BR43,""))</f>
        <v/>
      </c>
      <c r="BS43" s="490" t="str">
        <f>IF(Ofwat_PC_Interventions!BS43&lt;&gt;"",Ofwat_PC_Interventions!BS43,IF(Company_PC_inputs!BS43&lt;&gt;"",Company_PC_inputs!BS43,""))</f>
        <v/>
      </c>
    </row>
    <row r="44" spans="1:71" s="202" customFormat="1" ht="13.15">
      <c r="A44" s="453"/>
      <c r="B44" s="453"/>
      <c r="C44" s="453"/>
      <c r="D44" s="453"/>
      <c r="E44" s="453" t="s">
        <v>995</v>
      </c>
      <c r="F44" s="453"/>
      <c r="G44" s="453" t="s">
        <v>1158</v>
      </c>
      <c r="H44" s="453"/>
      <c r="I44" s="453"/>
      <c r="J44" s="490" t="str">
        <f>IF(Ofwat_PC_Interventions!J44&lt;&gt;"",Ofwat_PC_Interventions!J44,IF(Company_PC_inputs!J44&lt;&gt;"",Company_PC_inputs!J44,""))</f>
        <v/>
      </c>
      <c r="K44" s="490" t="str">
        <f>IF(Ofwat_PC_Interventions!K44&lt;&gt;"",Ofwat_PC_Interventions!K44,IF(Company_PC_inputs!K44&lt;&gt;"",Company_PC_inputs!K44,""))</f>
        <v/>
      </c>
      <c r="L44" s="490" t="str">
        <f>IF(Ofwat_PC_Interventions!L44&lt;&gt;"",Ofwat_PC_Interventions!L44,IF(Company_PC_inputs!L44&lt;&gt;"",Company_PC_inputs!L44,""))</f>
        <v/>
      </c>
      <c r="M44" s="490" t="str">
        <f>IF(Ofwat_PC_Interventions!M44&lt;&gt;"",Ofwat_PC_Interventions!M44,IF(Company_PC_inputs!M44&lt;&gt;"",Company_PC_inputs!M44,""))</f>
        <v/>
      </c>
      <c r="N44" s="490" t="str">
        <f>IF(Ofwat_PC_Interventions!N44&lt;&gt;"",Ofwat_PC_Interventions!N44,IF(Company_PC_inputs!N44&lt;&gt;"",Company_PC_inputs!N44,""))</f>
        <v/>
      </c>
      <c r="O44" s="490" t="str">
        <f>IF(Ofwat_PC_Interventions!O44&lt;&gt;"",Ofwat_PC_Interventions!O44,IF(Company_PC_inputs!O44&lt;&gt;"",Company_PC_inputs!O44,""))</f>
        <v/>
      </c>
      <c r="P44" s="490" t="str">
        <f>IF(Ofwat_PC_Interventions!P44&lt;&gt;"",Ofwat_PC_Interventions!P44,IF(Company_PC_inputs!P44&lt;&gt;"",Company_PC_inputs!P44,""))</f>
        <v/>
      </c>
      <c r="Q44" s="491" t="str">
        <f>IF(Ofwat_PC_Interventions!Q44&lt;&gt;"",Ofwat_PC_Interventions!Q44,IF(Company_PC_inputs!Q44&lt;&gt;"",Company_PC_inputs!Q44,""))</f>
        <v/>
      </c>
      <c r="R44" s="490" t="str">
        <f>IF(Ofwat_PC_Interventions!R44&lt;&gt;"",Ofwat_PC_Interventions!R44,IF(Company_PC_inputs!R44&lt;&gt;"",Company_PC_inputs!R44,""))</f>
        <v/>
      </c>
      <c r="S44" s="490" t="str">
        <f>IF(Ofwat_PC_Interventions!S44&lt;&gt;"",Ofwat_PC_Interventions!S44,IF(Company_PC_inputs!S44&lt;&gt;"",Company_PC_inputs!S44,""))</f>
        <v/>
      </c>
      <c r="T44" s="490" t="str">
        <f>IF(Ofwat_PC_Interventions!T44&lt;&gt;"",Ofwat_PC_Interventions!T44,IF(Company_PC_inputs!T44&lt;&gt;"",Company_PC_inputs!T44,""))</f>
        <v/>
      </c>
      <c r="U44" s="490">
        <f>IF(Ofwat_PC_Interventions!U44&lt;&gt;"",Ofwat_PC_Interventions!U44,IF(Company_PC_inputs!U44&lt;&gt;"",Company_PC_inputs!U44,""))</f>
        <v>0</v>
      </c>
      <c r="V44" s="490" t="str">
        <f>IF(Ofwat_PC_Interventions!V44&lt;&gt;"",Ofwat_PC_Interventions!V44,IF(Company_PC_inputs!V44&lt;&gt;"",Company_PC_inputs!V44,""))</f>
        <v/>
      </c>
      <c r="W44" s="490" t="str">
        <f>IF(Ofwat_PC_Interventions!W44&lt;&gt;"",Ofwat_PC_Interventions!W44,IF(Company_PC_inputs!W44&lt;&gt;"",Company_PC_inputs!W44,""))</f>
        <v/>
      </c>
      <c r="X44" s="490" t="str">
        <f>IF(Ofwat_PC_Interventions!X44&lt;&gt;"",Ofwat_PC_Interventions!X44,IF(Company_PC_inputs!X44&lt;&gt;"",Company_PC_inputs!X44,""))</f>
        <v/>
      </c>
      <c r="Y44" s="490" t="str">
        <f>IF(Ofwat_PC_Interventions!Y44&lt;&gt;"",Ofwat_PC_Interventions!Y44,IF(Company_PC_inputs!Y44&lt;&gt;"",Company_PC_inputs!Y44,""))</f>
        <v/>
      </c>
      <c r="Z44" s="490" t="str">
        <f>IF(Ofwat_PC_Interventions!Z44&lt;&gt;"",Ofwat_PC_Interventions!Z44,IF(Company_PC_inputs!Z44&lt;&gt;"",Company_PC_inputs!Z44,""))</f>
        <v/>
      </c>
      <c r="AA44" s="490" t="str">
        <f>IF(Ofwat_PC_Interventions!AA44&lt;&gt;"",Ofwat_PC_Interventions!AA44,IF(Company_PC_inputs!AA44&lt;&gt;"",Company_PC_inputs!AA44,""))</f>
        <v/>
      </c>
      <c r="AB44" s="490" t="str">
        <f>IF(Ofwat_PC_Interventions!AB44&lt;&gt;"",Ofwat_PC_Interventions!AB44,IF(Company_PC_inputs!AB44&lt;&gt;"",Company_PC_inputs!AB44,""))</f>
        <v/>
      </c>
      <c r="AC44" s="490" t="str">
        <f>IF(Ofwat_PC_Interventions!AC44&lt;&gt;"",Ofwat_PC_Interventions!AC44,IF(Company_PC_inputs!AC44&lt;&gt;"",Company_PC_inputs!AC44,""))</f>
        <v/>
      </c>
      <c r="AD44" s="490" t="str">
        <f>IF(Ofwat_PC_Interventions!AD44&lt;&gt;"",Ofwat_PC_Interventions!AD44,IF(Company_PC_inputs!AD44&lt;&gt;"",Company_PC_inputs!AD44,""))</f>
        <v/>
      </c>
      <c r="AE44" s="490" t="str">
        <f>IF(Ofwat_PC_Interventions!AE44&lt;&gt;"",Ofwat_PC_Interventions!AE44,IF(Company_PC_inputs!AE44&lt;&gt;"",Company_PC_inputs!AE44,""))</f>
        <v/>
      </c>
      <c r="AF44" s="490" t="str">
        <f>IF(Ofwat_PC_Interventions!AF44&lt;&gt;"",Ofwat_PC_Interventions!AF44,IF(Company_PC_inputs!AF44&lt;&gt;"",Company_PC_inputs!AF44,""))</f>
        <v/>
      </c>
      <c r="AG44" s="490" t="str">
        <f>IF(Ofwat_PC_Interventions!AG44&lt;&gt;"",Ofwat_PC_Interventions!AG44,IF(Company_PC_inputs!AG44&lt;&gt;"",Company_PC_inputs!AG44,""))</f>
        <v/>
      </c>
      <c r="AH44" s="490" t="str">
        <f>IF(Ofwat_PC_Interventions!AH44&lt;&gt;"",Ofwat_PC_Interventions!AH44,IF(Company_PC_inputs!AH44&lt;&gt;"",Company_PC_inputs!AH44,""))</f>
        <v/>
      </c>
      <c r="AI44" s="490" t="str">
        <f>IF(Ofwat_PC_Interventions!AI44&lt;&gt;"",Ofwat_PC_Interventions!AI44,IF(Company_PC_inputs!AI44&lt;&gt;"",Company_PC_inputs!AI44,""))</f>
        <v/>
      </c>
      <c r="AJ44" s="490" t="str">
        <f>IF(Ofwat_PC_Interventions!AJ44&lt;&gt;"",Ofwat_PC_Interventions!AJ44,IF(Company_PC_inputs!AJ44&lt;&gt;"",Company_PC_inputs!AJ44,""))</f>
        <v/>
      </c>
      <c r="AK44" s="491" t="str">
        <f>IF(Ofwat_PC_Interventions!AK44&lt;&gt;"",Ofwat_PC_Interventions!AK44,IF(Company_PC_inputs!AK44&lt;&gt;"",Company_PC_inputs!AK44,""))</f>
        <v/>
      </c>
      <c r="AL44" s="490" t="str">
        <f>IF(Ofwat_PC_Interventions!AL44&lt;&gt;"",Ofwat_PC_Interventions!AL44,IF(Company_PC_inputs!AL44&lt;&gt;"",Company_PC_inputs!AL44,""))</f>
        <v/>
      </c>
      <c r="AM44" s="490" t="str">
        <f>IF(Ofwat_PC_Interventions!AM44&lt;&gt;"",Ofwat_PC_Interventions!AM44,IF(Company_PC_inputs!AM44&lt;&gt;"",Company_PC_inputs!AM44,""))</f>
        <v/>
      </c>
      <c r="AN44" s="490" t="str">
        <f>IF(Ofwat_PC_Interventions!AN44&lt;&gt;"",Ofwat_PC_Interventions!AN44,IF(Company_PC_inputs!AN44&lt;&gt;"",Company_PC_inputs!AN44,""))</f>
        <v/>
      </c>
      <c r="AO44" s="491" t="str">
        <f>IF(Ofwat_PC_Interventions!AO44&lt;&gt;"",Ofwat_PC_Interventions!AO44,IF(Company_PC_inputs!AO44&lt;&gt;"",Company_PC_inputs!AO44,""))</f>
        <v/>
      </c>
      <c r="AP44" s="490">
        <f>IF(Ofwat_PC_Interventions!AP44&lt;&gt;"",Ofwat_PC_Interventions!AP44,IF(Company_PC_inputs!AP44&lt;&gt;"",Company_PC_inputs!AP44,""))</f>
        <v>0</v>
      </c>
      <c r="AQ44" s="490" t="str">
        <f>IF(Ofwat_PC_Interventions!AQ44&lt;&gt;"",Ofwat_PC_Interventions!AQ44,IF(Company_PC_inputs!AQ44&lt;&gt;"",Company_PC_inputs!AQ44,""))</f>
        <v/>
      </c>
      <c r="AR44" s="490" t="str">
        <f>IF(Ofwat_PC_Interventions!AR44&lt;&gt;"",Ofwat_PC_Interventions!AR44,IF(Company_PC_inputs!AR44&lt;&gt;"",Company_PC_inputs!AR44,""))</f>
        <v/>
      </c>
      <c r="AS44" s="490" t="str">
        <f>IF(Ofwat_PC_Interventions!AS44&lt;&gt;"",Ofwat_PC_Interventions!AS44,IF(Company_PC_inputs!AS44&lt;&gt;"",Company_PC_inputs!AS44,""))</f>
        <v/>
      </c>
      <c r="AT44" s="490" t="str">
        <f>IF(Ofwat_PC_Interventions!AT44&lt;&gt;"",Ofwat_PC_Interventions!AT44,IF(Company_PC_inputs!AT44&lt;&gt;"",Company_PC_inputs!AT44,""))</f>
        <v/>
      </c>
      <c r="AU44" s="490" t="str">
        <f>IF(Ofwat_PC_Interventions!AU44&lt;&gt;"",Ofwat_PC_Interventions!AU44,IF(Company_PC_inputs!AU44&lt;&gt;"",Company_PC_inputs!AU44,""))</f>
        <v/>
      </c>
      <c r="AV44" s="490" t="str">
        <f>IF(Ofwat_PC_Interventions!AV44&lt;&gt;"",Ofwat_PC_Interventions!AV44,IF(Company_PC_inputs!AV44&lt;&gt;"",Company_PC_inputs!AV44,""))</f>
        <v/>
      </c>
      <c r="AW44" s="490" t="str">
        <f>IF(Ofwat_PC_Interventions!AW44&lt;&gt;"",Ofwat_PC_Interventions!AW44,IF(Company_PC_inputs!AW44&lt;&gt;"",Company_PC_inputs!AW44,""))</f>
        <v/>
      </c>
      <c r="AX44" s="490" t="str">
        <f>IF(Ofwat_PC_Interventions!AX44&lt;&gt;"",Ofwat_PC_Interventions!AX44,IF(Company_PC_inputs!AX44&lt;&gt;"",Company_PC_inputs!AX44,""))</f>
        <v/>
      </c>
      <c r="AY44" s="490" t="str">
        <f>IF(Ofwat_PC_Interventions!AY44&lt;&gt;"",Ofwat_PC_Interventions!AY44,IF(Company_PC_inputs!AY44&lt;&gt;"",Company_PC_inputs!AY44,""))</f>
        <v/>
      </c>
      <c r="AZ44" s="490" t="str">
        <f>IF(Ofwat_PC_Interventions!AZ44&lt;&gt;"",Ofwat_PC_Interventions!AZ44,IF(Company_PC_inputs!AZ44&lt;&gt;"",Company_PC_inputs!AZ44,""))</f>
        <v/>
      </c>
      <c r="BA44" s="490" t="str">
        <f>IF(Ofwat_PC_Interventions!BA44&lt;&gt;"",Ofwat_PC_Interventions!BA44,IF(Company_PC_inputs!BA44&lt;&gt;"",Company_PC_inputs!BA44,""))</f>
        <v/>
      </c>
      <c r="BB44" s="490" t="str">
        <f>IF(Ofwat_PC_Interventions!BB44&lt;&gt;"",Ofwat_PC_Interventions!BB44,IF(Company_PC_inputs!BB44&lt;&gt;"",Company_PC_inputs!BB44,""))</f>
        <v/>
      </c>
      <c r="BC44" s="491" t="str">
        <f>IF(Ofwat_PC_Interventions!BC44&lt;&gt;"",Ofwat_PC_Interventions!BC44,IF(Company_PC_inputs!BC44&lt;&gt;"",Company_PC_inputs!BC44,""))</f>
        <v/>
      </c>
      <c r="BD44" s="490" t="str">
        <f>IF(Ofwat_PC_Interventions!BD44&lt;&gt;"",Ofwat_PC_Interventions!BD44,IF(Company_PC_inputs!BD44&lt;&gt;"",Company_PC_inputs!BD44,""))</f>
        <v/>
      </c>
      <c r="BE44" s="490" t="str">
        <f>IF(Ofwat_PC_Interventions!BE44&lt;&gt;"",Ofwat_PC_Interventions!BE44,IF(Company_PC_inputs!BE44&lt;&gt;"",Company_PC_inputs!BE44,""))</f>
        <v/>
      </c>
      <c r="BF44" s="490" t="str">
        <f>IF(Ofwat_PC_Interventions!BF44&lt;&gt;"",Ofwat_PC_Interventions!BF44,IF(Company_PC_inputs!BF44&lt;&gt;"",Company_PC_inputs!BF44,""))</f>
        <v/>
      </c>
      <c r="BG44" s="490" t="str">
        <f>IF(Ofwat_PC_Interventions!BG44&lt;&gt;"",Ofwat_PC_Interventions!BG44,IF(Company_PC_inputs!BG44&lt;&gt;"",Company_PC_inputs!BG44,""))</f>
        <v/>
      </c>
      <c r="BH44" s="490" t="str">
        <f>IF(Ofwat_PC_Interventions!BH44&lt;&gt;"",Ofwat_PC_Interventions!BH44,IF(Company_PC_inputs!BH44&lt;&gt;"",Company_PC_inputs!BH44,""))</f>
        <v/>
      </c>
      <c r="BI44" s="490" t="str">
        <f>IF(Ofwat_PC_Interventions!BI44&lt;&gt;"",Ofwat_PC_Interventions!BI44,IF(Company_PC_inputs!BI44&lt;&gt;"",Company_PC_inputs!BI44,""))</f>
        <v/>
      </c>
      <c r="BJ44" s="490" t="str">
        <f>IF(Ofwat_PC_Interventions!BJ44&lt;&gt;"",Ofwat_PC_Interventions!BJ44,IF(Company_PC_inputs!BJ44&lt;&gt;"",Company_PC_inputs!BJ44,""))</f>
        <v/>
      </c>
      <c r="BK44" s="490" t="str">
        <f>IF(Ofwat_PC_Interventions!BK44&lt;&gt;"",Ofwat_PC_Interventions!BK44,IF(Company_PC_inputs!BK44&lt;&gt;"",Company_PC_inputs!BK44,""))</f>
        <v/>
      </c>
      <c r="BL44" s="490" t="str">
        <f>IF(Ofwat_PC_Interventions!BL44&lt;&gt;"",Ofwat_PC_Interventions!BL44,IF(Company_PC_inputs!BL44&lt;&gt;"",Company_PC_inputs!BL44,""))</f>
        <v/>
      </c>
      <c r="BM44" s="490" t="str">
        <f>IF(Ofwat_PC_Interventions!BM44&lt;&gt;"",Ofwat_PC_Interventions!BM44,IF(Company_PC_inputs!BM44&lt;&gt;"",Company_PC_inputs!BM44,""))</f>
        <v/>
      </c>
      <c r="BN44" s="490" t="str">
        <f>IF(Ofwat_PC_Interventions!BN44&lt;&gt;"",Ofwat_PC_Interventions!BN44,IF(Company_PC_inputs!BN44&lt;&gt;"",Company_PC_inputs!BN44,""))</f>
        <v/>
      </c>
      <c r="BO44" s="490" t="str">
        <f>IF(Ofwat_PC_Interventions!BO44&lt;&gt;"",Ofwat_PC_Interventions!BO44,IF(Company_PC_inputs!BO44&lt;&gt;"",Company_PC_inputs!BO44,""))</f>
        <v/>
      </c>
      <c r="BP44" s="490" t="str">
        <f>IF(Ofwat_PC_Interventions!BP44&lt;&gt;"",Ofwat_PC_Interventions!BP44,IF(Company_PC_inputs!BP44&lt;&gt;"",Company_PC_inputs!BP44,""))</f>
        <v/>
      </c>
      <c r="BQ44" s="490" t="str">
        <f>IF(Ofwat_PC_Interventions!BQ44&lt;&gt;"",Ofwat_PC_Interventions!BQ44,IF(Company_PC_inputs!BQ44&lt;&gt;"",Company_PC_inputs!BQ44,""))</f>
        <v/>
      </c>
      <c r="BR44" s="490" t="str">
        <f>IF(Ofwat_PC_Interventions!BR44&lt;&gt;"",Ofwat_PC_Interventions!BR44,IF(Company_PC_inputs!BR44&lt;&gt;"",Company_PC_inputs!BR44,""))</f>
        <v/>
      </c>
      <c r="BS44" s="490" t="str">
        <f>IF(Ofwat_PC_Interventions!BS44&lt;&gt;"",Ofwat_PC_Interventions!BS44,IF(Company_PC_inputs!BS44&lt;&gt;"",Company_PC_inputs!BS44,""))</f>
        <v/>
      </c>
    </row>
    <row r="45" spans="1:71" s="202" customFormat="1" ht="13.15">
      <c r="A45" s="453"/>
      <c r="B45" s="453"/>
      <c r="C45" s="453"/>
      <c r="D45" s="453"/>
      <c r="E45" s="453" t="s">
        <v>996</v>
      </c>
      <c r="F45" s="453"/>
      <c r="G45" s="453" t="s">
        <v>1158</v>
      </c>
      <c r="H45" s="453"/>
      <c r="I45" s="453"/>
      <c r="J45" s="490">
        <f>IF(Ofwat_PC_Interventions!J45&lt;&gt;"",Ofwat_PC_Interventions!J45,IF(Company_PC_inputs!J45&lt;&gt;"",Company_PC_inputs!J45,""))</f>
        <v>0</v>
      </c>
      <c r="K45" s="490">
        <f>IF(Ofwat_PC_Interventions!K45&lt;&gt;"",Ofwat_PC_Interventions!K45,IF(Company_PC_inputs!K45&lt;&gt;"",Company_PC_inputs!K45,""))</f>
        <v>3.7384259259259263E-3</v>
      </c>
      <c r="L45" s="490">
        <f>IF(Ofwat_PC_Interventions!L45&lt;&gt;"",Ofwat_PC_Interventions!L45,IF(Company_PC_inputs!L45&lt;&gt;"",Company_PC_inputs!L45,""))</f>
        <v>12</v>
      </c>
      <c r="M45" s="490" t="str">
        <f>IF(Ofwat_PC_Interventions!M45&lt;&gt;"",Ofwat_PC_Interventions!M45,IF(Company_PC_inputs!M45&lt;&gt;"",Company_PC_inputs!M45,""))</f>
        <v/>
      </c>
      <c r="N45" s="490">
        <f>IF(Ofwat_PC_Interventions!N45&lt;&gt;"",Ofwat_PC_Interventions!N45,IF(Company_PC_inputs!N45&lt;&gt;"",Company_PC_inputs!N45,""))</f>
        <v>6</v>
      </c>
      <c r="O45" s="490" t="str">
        <f>IF(Ofwat_PC_Interventions!O45&lt;&gt;"",Ofwat_PC_Interventions!O45,IF(Company_PC_inputs!O45&lt;&gt;"",Company_PC_inputs!O45,""))</f>
        <v/>
      </c>
      <c r="P45" s="490">
        <f>IF(Ofwat_PC_Interventions!P45&lt;&gt;"",Ofwat_PC_Interventions!P45,IF(Company_PC_inputs!P45&lt;&gt;"",Company_PC_inputs!P45,""))</f>
        <v>97.4</v>
      </c>
      <c r="Q45" s="491">
        <f>IF(Ofwat_PC_Interventions!Q45&lt;&gt;"",Ofwat_PC_Interventions!Q45,IF(Company_PC_inputs!Q45&lt;&gt;"",Company_PC_inputs!Q45,""))</f>
        <v>6.45</v>
      </c>
      <c r="R45" s="490">
        <f>IF(Ofwat_PC_Interventions!R45&lt;&gt;"",Ofwat_PC_Interventions!R45,IF(Company_PC_inputs!R45&lt;&gt;"",Company_PC_inputs!R45,""))</f>
        <v>0.55000000000000004</v>
      </c>
      <c r="S45" s="490">
        <f>IF(Ofwat_PC_Interventions!S45&lt;&gt;"",Ofwat_PC_Interventions!S45,IF(Company_PC_inputs!S45&lt;&gt;"",Company_PC_inputs!S45,""))</f>
        <v>0.22</v>
      </c>
      <c r="T45" s="490">
        <f>IF(Ofwat_PC_Interventions!T45&lt;&gt;"",Ofwat_PC_Interventions!T45,IF(Company_PC_inputs!T45&lt;&gt;"",Company_PC_inputs!T45,""))</f>
        <v>-15</v>
      </c>
      <c r="U45" s="490">
        <f>IF(Ofwat_PC_Interventions!U45&lt;&gt;"",Ofwat_PC_Interventions!U45,IF(Company_PC_inputs!U45&lt;&gt;"",Company_PC_inputs!U45,""))</f>
        <v>3529</v>
      </c>
      <c r="V45" s="490">
        <f>IF(Ofwat_PC_Interventions!V45&lt;&gt;"",Ofwat_PC_Interventions!V45,IF(Company_PC_inputs!V45&lt;&gt;"",Company_PC_inputs!V45,""))</f>
        <v>2.12</v>
      </c>
      <c r="W45" s="490">
        <f>IF(Ofwat_PC_Interventions!W45&lt;&gt;"",Ofwat_PC_Interventions!W45,IF(Company_PC_inputs!W45&lt;&gt;"",Company_PC_inputs!W45,""))</f>
        <v>43</v>
      </c>
      <c r="X45" s="490">
        <f>IF(Ofwat_PC_Interventions!X45&lt;&gt;"",Ofwat_PC_Interventions!X45,IF(Company_PC_inputs!X45&lt;&gt;"",Company_PC_inputs!X45,""))</f>
        <v>197</v>
      </c>
      <c r="Y45" s="490">
        <f>IF(Ofwat_PC_Interventions!Y45&lt;&gt;"",Ofwat_PC_Interventions!Y45,IF(Company_PC_inputs!Y45&lt;&gt;"",Company_PC_inputs!Y45,""))</f>
        <v>0</v>
      </c>
      <c r="Z45" s="490">
        <f>IF(Ofwat_PC_Interventions!Z45&lt;&gt;"",Ofwat_PC_Interventions!Z45,IF(Company_PC_inputs!Z45&lt;&gt;"",Company_PC_inputs!Z45,""))</f>
        <v>48.8</v>
      </c>
      <c r="AA45" s="490" t="str">
        <f>IF(Ofwat_PC_Interventions!AA45&lt;&gt;"",Ofwat_PC_Interventions!AA45,IF(Company_PC_inputs!AA45&lt;&gt;"",Company_PC_inputs!AA45,""))</f>
        <v/>
      </c>
      <c r="AB45" s="490" t="str">
        <f>IF(Ofwat_PC_Interventions!AB45&lt;&gt;"",Ofwat_PC_Interventions!AB45,IF(Company_PC_inputs!AB45&lt;&gt;"",Company_PC_inputs!AB45,""))</f>
        <v/>
      </c>
      <c r="AC45" s="490" t="str">
        <f>IF(Ofwat_PC_Interventions!AC45&lt;&gt;"",Ofwat_PC_Interventions!AC45,IF(Company_PC_inputs!AC45&lt;&gt;"",Company_PC_inputs!AC45,""))</f>
        <v/>
      </c>
      <c r="AD45" s="490" t="str">
        <f>IF(Ofwat_PC_Interventions!AD45&lt;&gt;"",Ofwat_PC_Interventions!AD45,IF(Company_PC_inputs!AD45&lt;&gt;"",Company_PC_inputs!AD45,""))</f>
        <v/>
      </c>
      <c r="AE45" s="490" t="str">
        <f>IF(Ofwat_PC_Interventions!AE45&lt;&gt;"",Ofwat_PC_Interventions!AE45,IF(Company_PC_inputs!AE45&lt;&gt;"",Company_PC_inputs!AE45,""))</f>
        <v/>
      </c>
      <c r="AF45" s="490" t="str">
        <f>IF(Ofwat_PC_Interventions!AF45&lt;&gt;"",Ofwat_PC_Interventions!AF45,IF(Company_PC_inputs!AF45&lt;&gt;"",Company_PC_inputs!AF45,""))</f>
        <v/>
      </c>
      <c r="AG45" s="490" t="str">
        <f>IF(Ofwat_PC_Interventions!AG45&lt;&gt;"",Ofwat_PC_Interventions!AG45,IF(Company_PC_inputs!AG45&lt;&gt;"",Company_PC_inputs!AG45,""))</f>
        <v/>
      </c>
      <c r="AH45" s="490" t="str">
        <f>IF(Ofwat_PC_Interventions!AH45&lt;&gt;"",Ofwat_PC_Interventions!AH45,IF(Company_PC_inputs!AH45&lt;&gt;"",Company_PC_inputs!AH45,""))</f>
        <v/>
      </c>
      <c r="AI45" s="490" t="str">
        <f>IF(Ofwat_PC_Interventions!AI45&lt;&gt;"",Ofwat_PC_Interventions!AI45,IF(Company_PC_inputs!AI45&lt;&gt;"",Company_PC_inputs!AI45,""))</f>
        <v/>
      </c>
      <c r="AJ45" s="490" t="str">
        <f>IF(Ofwat_PC_Interventions!AJ45&lt;&gt;"",Ofwat_PC_Interventions!AJ45,IF(Company_PC_inputs!AJ45&lt;&gt;"",Company_PC_inputs!AJ45,""))</f>
        <v/>
      </c>
      <c r="AK45" s="491" t="str">
        <f>IF(Ofwat_PC_Interventions!AK45&lt;&gt;"",Ofwat_PC_Interventions!AK45,IF(Company_PC_inputs!AK45&lt;&gt;"",Company_PC_inputs!AK45,""))</f>
        <v/>
      </c>
      <c r="AL45" s="490">
        <f>IF(Ofwat_PC_Interventions!AL45&lt;&gt;"",Ofwat_PC_Interventions!AL45,IF(Company_PC_inputs!AL45&lt;&gt;"",Company_PC_inputs!AL45,""))</f>
        <v>1.44</v>
      </c>
      <c r="AM45" s="490">
        <f>IF(Ofwat_PC_Interventions!AM45&lt;&gt;"",Ofwat_PC_Interventions!AM45,IF(Company_PC_inputs!AM45&lt;&gt;"",Company_PC_inputs!AM45,""))</f>
        <v>22.4</v>
      </c>
      <c r="AN45" s="490">
        <f>IF(Ofwat_PC_Interventions!AN45&lt;&gt;"",Ofwat_PC_Interventions!AN45,IF(Company_PC_inputs!AN45&lt;&gt;"",Company_PC_inputs!AN45,""))</f>
        <v>5.53</v>
      </c>
      <c r="AO45" s="491">
        <f>IF(Ofwat_PC_Interventions!AO45&lt;&gt;"",Ofwat_PC_Interventions!AO45,IF(Company_PC_inputs!AO45&lt;&gt;"",Company_PC_inputs!AO45,""))</f>
        <v>100</v>
      </c>
      <c r="AP45" s="490">
        <f>IF(Ofwat_PC_Interventions!AP45&lt;&gt;"",Ofwat_PC_Interventions!AP45,IF(Company_PC_inputs!AP45&lt;&gt;"",Company_PC_inputs!AP45,""))</f>
        <v>0</v>
      </c>
      <c r="AQ45" s="490">
        <f>IF(Ofwat_PC_Interventions!AQ45&lt;&gt;"",Ofwat_PC_Interventions!AQ45,IF(Company_PC_inputs!AQ45&lt;&gt;"",Company_PC_inputs!AQ45,""))</f>
        <v>24</v>
      </c>
      <c r="AR45" s="490">
        <f>IF(Ofwat_PC_Interventions!AR45&lt;&gt;"",Ofwat_PC_Interventions!AR45,IF(Company_PC_inputs!AR45&lt;&gt;"",Company_PC_inputs!AR45,""))</f>
        <v>100</v>
      </c>
      <c r="AS45" s="490">
        <f>IF(Ofwat_PC_Interventions!AS45&lt;&gt;"",Ofwat_PC_Interventions!AS45,IF(Company_PC_inputs!AS45&lt;&gt;"",Company_PC_inputs!AS45,""))</f>
        <v>102.7</v>
      </c>
      <c r="AT45" s="490">
        <f>IF(Ofwat_PC_Interventions!AT45&lt;&gt;"",Ofwat_PC_Interventions!AT45,IF(Company_PC_inputs!AT45&lt;&gt;"",Company_PC_inputs!AT45,""))</f>
        <v>57</v>
      </c>
      <c r="AU45" s="490">
        <f>IF(Ofwat_PC_Interventions!AU45&lt;&gt;"",Ofwat_PC_Interventions!AU45,IF(Company_PC_inputs!AU45&lt;&gt;"",Company_PC_inputs!AU45,""))</f>
        <v>2</v>
      </c>
      <c r="AV45" s="490">
        <f>IF(Ofwat_PC_Interventions!AV45&lt;&gt;"",Ofwat_PC_Interventions!AV45,IF(Company_PC_inputs!AV45&lt;&gt;"",Company_PC_inputs!AV45,""))</f>
        <v>1</v>
      </c>
      <c r="AW45" s="490">
        <f>IF(Ofwat_PC_Interventions!AW45&lt;&gt;"",Ofwat_PC_Interventions!AW45,IF(Company_PC_inputs!AW45&lt;&gt;"",Company_PC_inputs!AW45,""))</f>
        <v>39730</v>
      </c>
      <c r="AX45" s="490">
        <f>IF(Ofwat_PC_Interventions!AX45&lt;&gt;"",Ofwat_PC_Interventions!AX45,IF(Company_PC_inputs!AX45&lt;&gt;"",Company_PC_inputs!AX45,""))</f>
        <v>3702</v>
      </c>
      <c r="AY45" s="490">
        <f>IF(Ofwat_PC_Interventions!AY45&lt;&gt;"",Ofwat_PC_Interventions!AY45,IF(Company_PC_inputs!AY45&lt;&gt;"",Company_PC_inputs!AY45,""))</f>
        <v>0</v>
      </c>
      <c r="AZ45" s="490" t="str">
        <f>IF(Ofwat_PC_Interventions!AZ45&lt;&gt;"",Ofwat_PC_Interventions!AZ45,IF(Company_PC_inputs!AZ45&lt;&gt;"",Company_PC_inputs!AZ45,""))</f>
        <v/>
      </c>
      <c r="BA45" s="490" t="str">
        <f>IF(Ofwat_PC_Interventions!BA45&lt;&gt;"",Ofwat_PC_Interventions!BA45,IF(Company_PC_inputs!BA45&lt;&gt;"",Company_PC_inputs!BA45,""))</f>
        <v/>
      </c>
      <c r="BB45" s="490" t="str">
        <f>IF(Ofwat_PC_Interventions!BB45&lt;&gt;"",Ofwat_PC_Interventions!BB45,IF(Company_PC_inputs!BB45&lt;&gt;"",Company_PC_inputs!BB45,""))</f>
        <v/>
      </c>
      <c r="BC45" s="491" t="str">
        <f>IF(Ofwat_PC_Interventions!BC45&lt;&gt;"",Ofwat_PC_Interventions!BC45,IF(Company_PC_inputs!BC45&lt;&gt;"",Company_PC_inputs!BC45,""))</f>
        <v/>
      </c>
      <c r="BD45" s="490" t="str">
        <f>IF(Ofwat_PC_Interventions!BD45&lt;&gt;"",Ofwat_PC_Interventions!BD45,IF(Company_PC_inputs!BD45&lt;&gt;"",Company_PC_inputs!BD45,""))</f>
        <v/>
      </c>
      <c r="BE45" s="490" t="str">
        <f>IF(Ofwat_PC_Interventions!BE45&lt;&gt;"",Ofwat_PC_Interventions!BE45,IF(Company_PC_inputs!BE45&lt;&gt;"",Company_PC_inputs!BE45,""))</f>
        <v/>
      </c>
      <c r="BF45" s="490" t="str">
        <f>IF(Ofwat_PC_Interventions!BF45&lt;&gt;"",Ofwat_PC_Interventions!BF45,IF(Company_PC_inputs!BF45&lt;&gt;"",Company_PC_inputs!BF45,""))</f>
        <v/>
      </c>
      <c r="BG45" s="490" t="str">
        <f>IF(Ofwat_PC_Interventions!BG45&lt;&gt;"",Ofwat_PC_Interventions!BG45,IF(Company_PC_inputs!BG45&lt;&gt;"",Company_PC_inputs!BG45,""))</f>
        <v/>
      </c>
      <c r="BH45" s="490" t="str">
        <f>IF(Ofwat_PC_Interventions!BH45&lt;&gt;"",Ofwat_PC_Interventions!BH45,IF(Company_PC_inputs!BH45&lt;&gt;"",Company_PC_inputs!BH45,""))</f>
        <v/>
      </c>
      <c r="BI45" s="490" t="str">
        <f>IF(Ofwat_PC_Interventions!BI45&lt;&gt;"",Ofwat_PC_Interventions!BI45,IF(Company_PC_inputs!BI45&lt;&gt;"",Company_PC_inputs!BI45,""))</f>
        <v/>
      </c>
      <c r="BJ45" s="490" t="str">
        <f>IF(Ofwat_PC_Interventions!BJ45&lt;&gt;"",Ofwat_PC_Interventions!BJ45,IF(Company_PC_inputs!BJ45&lt;&gt;"",Company_PC_inputs!BJ45,""))</f>
        <v/>
      </c>
      <c r="BK45" s="490" t="str">
        <f>IF(Ofwat_PC_Interventions!BK45&lt;&gt;"",Ofwat_PC_Interventions!BK45,IF(Company_PC_inputs!BK45&lt;&gt;"",Company_PC_inputs!BK45,""))</f>
        <v/>
      </c>
      <c r="BL45" s="490" t="str">
        <f>IF(Ofwat_PC_Interventions!BL45&lt;&gt;"",Ofwat_PC_Interventions!BL45,IF(Company_PC_inputs!BL45&lt;&gt;"",Company_PC_inputs!BL45,""))</f>
        <v/>
      </c>
      <c r="BM45" s="490" t="str">
        <f>IF(Ofwat_PC_Interventions!BM45&lt;&gt;"",Ofwat_PC_Interventions!BM45,IF(Company_PC_inputs!BM45&lt;&gt;"",Company_PC_inputs!BM45,""))</f>
        <v/>
      </c>
      <c r="BN45" s="490" t="str">
        <f>IF(Ofwat_PC_Interventions!BN45&lt;&gt;"",Ofwat_PC_Interventions!BN45,IF(Company_PC_inputs!BN45&lt;&gt;"",Company_PC_inputs!BN45,""))</f>
        <v/>
      </c>
      <c r="BO45" s="490" t="str">
        <f>IF(Ofwat_PC_Interventions!BO45&lt;&gt;"",Ofwat_PC_Interventions!BO45,IF(Company_PC_inputs!BO45&lt;&gt;"",Company_PC_inputs!BO45,""))</f>
        <v/>
      </c>
      <c r="BP45" s="490" t="str">
        <f>IF(Ofwat_PC_Interventions!BP45&lt;&gt;"",Ofwat_PC_Interventions!BP45,IF(Company_PC_inputs!BP45&lt;&gt;"",Company_PC_inputs!BP45,""))</f>
        <v/>
      </c>
      <c r="BQ45" s="490" t="str">
        <f>IF(Ofwat_PC_Interventions!BQ45&lt;&gt;"",Ofwat_PC_Interventions!BQ45,IF(Company_PC_inputs!BQ45&lt;&gt;"",Company_PC_inputs!BQ45,""))</f>
        <v/>
      </c>
      <c r="BR45" s="490" t="str">
        <f>IF(Ofwat_PC_Interventions!BR45&lt;&gt;"",Ofwat_PC_Interventions!BR45,IF(Company_PC_inputs!BR45&lt;&gt;"",Company_PC_inputs!BR45,""))</f>
        <v/>
      </c>
      <c r="BS45" s="490" t="str">
        <f>IF(Ofwat_PC_Interventions!BS45&lt;&gt;"",Ofwat_PC_Interventions!BS45,IF(Company_PC_inputs!BS45&lt;&gt;"",Company_PC_inputs!BS45,""))</f>
        <v/>
      </c>
    </row>
    <row r="46" spans="1:71" s="202" customFormat="1" ht="13.15">
      <c r="A46" s="453"/>
      <c r="B46" s="453"/>
      <c r="C46" s="453"/>
      <c r="D46" s="453"/>
      <c r="E46" s="453" t="s">
        <v>997</v>
      </c>
      <c r="F46" s="453"/>
      <c r="G46" s="453" t="s">
        <v>1158</v>
      </c>
      <c r="H46" s="453"/>
      <c r="I46" s="453"/>
      <c r="J46" s="490">
        <f>IF(Ofwat_PC_Interventions!J46&lt;&gt;"",Ofwat_PC_Interventions!J46,IF(Company_PC_inputs!J46&lt;&gt;"",Company_PC_inputs!J46,""))</f>
        <v>2</v>
      </c>
      <c r="K46" s="490" t="str">
        <f>IF(Ofwat_PC_Interventions!K46&lt;&gt;"",Ofwat_PC_Interventions!K46,IF(Company_PC_inputs!K46&lt;&gt;"",Company_PC_inputs!K46,""))</f>
        <v/>
      </c>
      <c r="L46" s="490" t="str">
        <f>IF(Ofwat_PC_Interventions!L46&lt;&gt;"",Ofwat_PC_Interventions!L46,IF(Company_PC_inputs!L46&lt;&gt;"",Company_PC_inputs!L46,""))</f>
        <v/>
      </c>
      <c r="M46" s="490" t="str">
        <f>IF(Ofwat_PC_Interventions!M46&lt;&gt;"",Ofwat_PC_Interventions!M46,IF(Company_PC_inputs!M46&lt;&gt;"",Company_PC_inputs!M46,""))</f>
        <v/>
      </c>
      <c r="N46" s="490" t="str">
        <f>IF(Ofwat_PC_Interventions!N46&lt;&gt;"",Ofwat_PC_Interventions!N46,IF(Company_PC_inputs!N46&lt;&gt;"",Company_PC_inputs!N46,""))</f>
        <v/>
      </c>
      <c r="O46" s="490" t="str">
        <f>IF(Ofwat_PC_Interventions!O46&lt;&gt;"",Ofwat_PC_Interventions!O46,IF(Company_PC_inputs!O46&lt;&gt;"",Company_PC_inputs!O46,""))</f>
        <v/>
      </c>
      <c r="P46" s="490" t="str">
        <f>IF(Ofwat_PC_Interventions!P46&lt;&gt;"",Ofwat_PC_Interventions!P46,IF(Company_PC_inputs!P46&lt;&gt;"",Company_PC_inputs!P46,""))</f>
        <v/>
      </c>
      <c r="Q46" s="491" t="str">
        <f>IF(Ofwat_PC_Interventions!Q46&lt;&gt;"",Ofwat_PC_Interventions!Q46,IF(Company_PC_inputs!Q46&lt;&gt;"",Company_PC_inputs!Q46,""))</f>
        <v/>
      </c>
      <c r="R46" s="490" t="str">
        <f>IF(Ofwat_PC_Interventions!R46&lt;&gt;"",Ofwat_PC_Interventions!R46,IF(Company_PC_inputs!R46&lt;&gt;"",Company_PC_inputs!R46,""))</f>
        <v/>
      </c>
      <c r="S46" s="490" t="str">
        <f>IF(Ofwat_PC_Interventions!S46&lt;&gt;"",Ofwat_PC_Interventions!S46,IF(Company_PC_inputs!S46&lt;&gt;"",Company_PC_inputs!S46,""))</f>
        <v/>
      </c>
      <c r="T46" s="490" t="str">
        <f>IF(Ofwat_PC_Interventions!T46&lt;&gt;"",Ofwat_PC_Interventions!T46,IF(Company_PC_inputs!T46&lt;&gt;"",Company_PC_inputs!T46,""))</f>
        <v/>
      </c>
      <c r="U46" s="490" t="str">
        <f>IF(Ofwat_PC_Interventions!U46&lt;&gt;"",Ofwat_PC_Interventions!U46,IF(Company_PC_inputs!U46&lt;&gt;"",Company_PC_inputs!U46,""))</f>
        <v/>
      </c>
      <c r="V46" s="490" t="str">
        <f>IF(Ofwat_PC_Interventions!V46&lt;&gt;"",Ofwat_PC_Interventions!V46,IF(Company_PC_inputs!V46&lt;&gt;"",Company_PC_inputs!V46,""))</f>
        <v/>
      </c>
      <c r="W46" s="490" t="str">
        <f>IF(Ofwat_PC_Interventions!W46&lt;&gt;"",Ofwat_PC_Interventions!W46,IF(Company_PC_inputs!W46&lt;&gt;"",Company_PC_inputs!W46,""))</f>
        <v/>
      </c>
      <c r="X46" s="490" t="str">
        <f>IF(Ofwat_PC_Interventions!X46&lt;&gt;"",Ofwat_PC_Interventions!X46,IF(Company_PC_inputs!X46&lt;&gt;"",Company_PC_inputs!X46,""))</f>
        <v/>
      </c>
      <c r="Y46" s="490" t="str">
        <f>IF(Ofwat_PC_Interventions!Y46&lt;&gt;"",Ofwat_PC_Interventions!Y46,IF(Company_PC_inputs!Y46&lt;&gt;"",Company_PC_inputs!Y46,""))</f>
        <v/>
      </c>
      <c r="Z46" s="490" t="str">
        <f>IF(Ofwat_PC_Interventions!Z46&lt;&gt;"",Ofwat_PC_Interventions!Z46,IF(Company_PC_inputs!Z46&lt;&gt;"",Company_PC_inputs!Z46,""))</f>
        <v/>
      </c>
      <c r="AA46" s="490" t="str">
        <f>IF(Ofwat_PC_Interventions!AA46&lt;&gt;"",Ofwat_PC_Interventions!AA46,IF(Company_PC_inputs!AA46&lt;&gt;"",Company_PC_inputs!AA46,""))</f>
        <v/>
      </c>
      <c r="AB46" s="490" t="str">
        <f>IF(Ofwat_PC_Interventions!AB46&lt;&gt;"",Ofwat_PC_Interventions!AB46,IF(Company_PC_inputs!AB46&lt;&gt;"",Company_PC_inputs!AB46,""))</f>
        <v/>
      </c>
      <c r="AC46" s="490" t="str">
        <f>IF(Ofwat_PC_Interventions!AC46&lt;&gt;"",Ofwat_PC_Interventions!AC46,IF(Company_PC_inputs!AC46&lt;&gt;"",Company_PC_inputs!AC46,""))</f>
        <v/>
      </c>
      <c r="AD46" s="490" t="str">
        <f>IF(Ofwat_PC_Interventions!AD46&lt;&gt;"",Ofwat_PC_Interventions!AD46,IF(Company_PC_inputs!AD46&lt;&gt;"",Company_PC_inputs!AD46,""))</f>
        <v/>
      </c>
      <c r="AE46" s="490" t="str">
        <f>IF(Ofwat_PC_Interventions!AE46&lt;&gt;"",Ofwat_PC_Interventions!AE46,IF(Company_PC_inputs!AE46&lt;&gt;"",Company_PC_inputs!AE46,""))</f>
        <v/>
      </c>
      <c r="AF46" s="490" t="str">
        <f>IF(Ofwat_PC_Interventions!AF46&lt;&gt;"",Ofwat_PC_Interventions!AF46,IF(Company_PC_inputs!AF46&lt;&gt;"",Company_PC_inputs!AF46,""))</f>
        <v/>
      </c>
      <c r="AG46" s="490" t="str">
        <f>IF(Ofwat_PC_Interventions!AG46&lt;&gt;"",Ofwat_PC_Interventions!AG46,IF(Company_PC_inputs!AG46&lt;&gt;"",Company_PC_inputs!AG46,""))</f>
        <v/>
      </c>
      <c r="AH46" s="490" t="str">
        <f>IF(Ofwat_PC_Interventions!AH46&lt;&gt;"",Ofwat_PC_Interventions!AH46,IF(Company_PC_inputs!AH46&lt;&gt;"",Company_PC_inputs!AH46,""))</f>
        <v/>
      </c>
      <c r="AI46" s="490" t="str">
        <f>IF(Ofwat_PC_Interventions!AI46&lt;&gt;"",Ofwat_PC_Interventions!AI46,IF(Company_PC_inputs!AI46&lt;&gt;"",Company_PC_inputs!AI46,""))</f>
        <v/>
      </c>
      <c r="AJ46" s="490" t="str">
        <f>IF(Ofwat_PC_Interventions!AJ46&lt;&gt;"",Ofwat_PC_Interventions!AJ46,IF(Company_PC_inputs!AJ46&lt;&gt;"",Company_PC_inputs!AJ46,""))</f>
        <v/>
      </c>
      <c r="AK46" s="491" t="str">
        <f>IF(Ofwat_PC_Interventions!AK46&lt;&gt;"",Ofwat_PC_Interventions!AK46,IF(Company_PC_inputs!AK46&lt;&gt;"",Company_PC_inputs!AK46,""))</f>
        <v/>
      </c>
      <c r="AL46" s="490" t="str">
        <f>IF(Ofwat_PC_Interventions!AL46&lt;&gt;"",Ofwat_PC_Interventions!AL46,IF(Company_PC_inputs!AL46&lt;&gt;"",Company_PC_inputs!AL46,""))</f>
        <v/>
      </c>
      <c r="AM46" s="490" t="str">
        <f>IF(Ofwat_PC_Interventions!AM46&lt;&gt;"",Ofwat_PC_Interventions!AM46,IF(Company_PC_inputs!AM46&lt;&gt;"",Company_PC_inputs!AM46,""))</f>
        <v/>
      </c>
      <c r="AN46" s="490" t="str">
        <f>IF(Ofwat_PC_Interventions!AN46&lt;&gt;"",Ofwat_PC_Interventions!AN46,IF(Company_PC_inputs!AN46&lt;&gt;"",Company_PC_inputs!AN46,""))</f>
        <v/>
      </c>
      <c r="AO46" s="491">
        <f>IF(Ofwat_PC_Interventions!AO46&lt;&gt;"",Ofwat_PC_Interventions!AO46,IF(Company_PC_inputs!AO46&lt;&gt;"",Company_PC_inputs!AO46,""))</f>
        <v>99</v>
      </c>
      <c r="AP46" s="490" t="str">
        <f>IF(Ofwat_PC_Interventions!AP46&lt;&gt;"",Ofwat_PC_Interventions!AP46,IF(Company_PC_inputs!AP46&lt;&gt;"",Company_PC_inputs!AP46,""))</f>
        <v/>
      </c>
      <c r="AQ46" s="490" t="str">
        <f>IF(Ofwat_PC_Interventions!AQ46&lt;&gt;"",Ofwat_PC_Interventions!AQ46,IF(Company_PC_inputs!AQ46&lt;&gt;"",Company_PC_inputs!AQ46,""))</f>
        <v/>
      </c>
      <c r="AR46" s="490" t="str">
        <f>IF(Ofwat_PC_Interventions!AR46&lt;&gt;"",Ofwat_PC_Interventions!AR46,IF(Company_PC_inputs!AR46&lt;&gt;"",Company_PC_inputs!AR46,""))</f>
        <v/>
      </c>
      <c r="AS46" s="490" t="str">
        <f>IF(Ofwat_PC_Interventions!AS46&lt;&gt;"",Ofwat_PC_Interventions!AS46,IF(Company_PC_inputs!AS46&lt;&gt;"",Company_PC_inputs!AS46,""))</f>
        <v/>
      </c>
      <c r="AT46" s="490" t="str">
        <f>IF(Ofwat_PC_Interventions!AT46&lt;&gt;"",Ofwat_PC_Interventions!AT46,IF(Company_PC_inputs!AT46&lt;&gt;"",Company_PC_inputs!AT46,""))</f>
        <v/>
      </c>
      <c r="AU46" s="490" t="str">
        <f>IF(Ofwat_PC_Interventions!AU46&lt;&gt;"",Ofwat_PC_Interventions!AU46,IF(Company_PC_inputs!AU46&lt;&gt;"",Company_PC_inputs!AU46,""))</f>
        <v/>
      </c>
      <c r="AV46" s="490" t="str">
        <f>IF(Ofwat_PC_Interventions!AV46&lt;&gt;"",Ofwat_PC_Interventions!AV46,IF(Company_PC_inputs!AV46&lt;&gt;"",Company_PC_inputs!AV46,""))</f>
        <v/>
      </c>
      <c r="AW46" s="490" t="str">
        <f>IF(Ofwat_PC_Interventions!AW46&lt;&gt;"",Ofwat_PC_Interventions!AW46,IF(Company_PC_inputs!AW46&lt;&gt;"",Company_PC_inputs!AW46,""))</f>
        <v/>
      </c>
      <c r="AX46" s="490" t="str">
        <f>IF(Ofwat_PC_Interventions!AX46&lt;&gt;"",Ofwat_PC_Interventions!AX46,IF(Company_PC_inputs!AX46&lt;&gt;"",Company_PC_inputs!AX46,""))</f>
        <v/>
      </c>
      <c r="AY46" s="490" t="str">
        <f>IF(Ofwat_PC_Interventions!AY46&lt;&gt;"",Ofwat_PC_Interventions!AY46,IF(Company_PC_inputs!AY46&lt;&gt;"",Company_PC_inputs!AY46,""))</f>
        <v/>
      </c>
      <c r="AZ46" s="490" t="str">
        <f>IF(Ofwat_PC_Interventions!AZ46&lt;&gt;"",Ofwat_PC_Interventions!AZ46,IF(Company_PC_inputs!AZ46&lt;&gt;"",Company_PC_inputs!AZ46,""))</f>
        <v/>
      </c>
      <c r="BA46" s="490" t="str">
        <f>IF(Ofwat_PC_Interventions!BA46&lt;&gt;"",Ofwat_PC_Interventions!BA46,IF(Company_PC_inputs!BA46&lt;&gt;"",Company_PC_inputs!BA46,""))</f>
        <v/>
      </c>
      <c r="BB46" s="490" t="str">
        <f>IF(Ofwat_PC_Interventions!BB46&lt;&gt;"",Ofwat_PC_Interventions!BB46,IF(Company_PC_inputs!BB46&lt;&gt;"",Company_PC_inputs!BB46,""))</f>
        <v/>
      </c>
      <c r="BC46" s="491" t="str">
        <f>IF(Ofwat_PC_Interventions!BC46&lt;&gt;"",Ofwat_PC_Interventions!BC46,IF(Company_PC_inputs!BC46&lt;&gt;"",Company_PC_inputs!BC46,""))</f>
        <v/>
      </c>
      <c r="BD46" s="490" t="str">
        <f>IF(Ofwat_PC_Interventions!BD46&lt;&gt;"",Ofwat_PC_Interventions!BD46,IF(Company_PC_inputs!BD46&lt;&gt;"",Company_PC_inputs!BD46,""))</f>
        <v/>
      </c>
      <c r="BE46" s="490" t="str">
        <f>IF(Ofwat_PC_Interventions!BE46&lt;&gt;"",Ofwat_PC_Interventions!BE46,IF(Company_PC_inputs!BE46&lt;&gt;"",Company_PC_inputs!BE46,""))</f>
        <v/>
      </c>
      <c r="BF46" s="490" t="str">
        <f>IF(Ofwat_PC_Interventions!BF46&lt;&gt;"",Ofwat_PC_Interventions!BF46,IF(Company_PC_inputs!BF46&lt;&gt;"",Company_PC_inputs!BF46,""))</f>
        <v/>
      </c>
      <c r="BG46" s="490" t="str">
        <f>IF(Ofwat_PC_Interventions!BG46&lt;&gt;"",Ofwat_PC_Interventions!BG46,IF(Company_PC_inputs!BG46&lt;&gt;"",Company_PC_inputs!BG46,""))</f>
        <v/>
      </c>
      <c r="BH46" s="490" t="str">
        <f>IF(Ofwat_PC_Interventions!BH46&lt;&gt;"",Ofwat_PC_Interventions!BH46,IF(Company_PC_inputs!BH46&lt;&gt;"",Company_PC_inputs!BH46,""))</f>
        <v/>
      </c>
      <c r="BI46" s="490" t="str">
        <f>IF(Ofwat_PC_Interventions!BI46&lt;&gt;"",Ofwat_PC_Interventions!BI46,IF(Company_PC_inputs!BI46&lt;&gt;"",Company_PC_inputs!BI46,""))</f>
        <v/>
      </c>
      <c r="BJ46" s="490" t="str">
        <f>IF(Ofwat_PC_Interventions!BJ46&lt;&gt;"",Ofwat_PC_Interventions!BJ46,IF(Company_PC_inputs!BJ46&lt;&gt;"",Company_PC_inputs!BJ46,""))</f>
        <v/>
      </c>
      <c r="BK46" s="490" t="str">
        <f>IF(Ofwat_PC_Interventions!BK46&lt;&gt;"",Ofwat_PC_Interventions!BK46,IF(Company_PC_inputs!BK46&lt;&gt;"",Company_PC_inputs!BK46,""))</f>
        <v/>
      </c>
      <c r="BL46" s="490" t="str">
        <f>IF(Ofwat_PC_Interventions!BL46&lt;&gt;"",Ofwat_PC_Interventions!BL46,IF(Company_PC_inputs!BL46&lt;&gt;"",Company_PC_inputs!BL46,""))</f>
        <v/>
      </c>
      <c r="BM46" s="490" t="str">
        <f>IF(Ofwat_PC_Interventions!BM46&lt;&gt;"",Ofwat_PC_Interventions!BM46,IF(Company_PC_inputs!BM46&lt;&gt;"",Company_PC_inputs!BM46,""))</f>
        <v/>
      </c>
      <c r="BN46" s="490" t="str">
        <f>IF(Ofwat_PC_Interventions!BN46&lt;&gt;"",Ofwat_PC_Interventions!BN46,IF(Company_PC_inputs!BN46&lt;&gt;"",Company_PC_inputs!BN46,""))</f>
        <v/>
      </c>
      <c r="BO46" s="490" t="str">
        <f>IF(Ofwat_PC_Interventions!BO46&lt;&gt;"",Ofwat_PC_Interventions!BO46,IF(Company_PC_inputs!BO46&lt;&gt;"",Company_PC_inputs!BO46,""))</f>
        <v/>
      </c>
      <c r="BP46" s="490" t="str">
        <f>IF(Ofwat_PC_Interventions!BP46&lt;&gt;"",Ofwat_PC_Interventions!BP46,IF(Company_PC_inputs!BP46&lt;&gt;"",Company_PC_inputs!BP46,""))</f>
        <v/>
      </c>
      <c r="BQ46" s="490" t="str">
        <f>IF(Ofwat_PC_Interventions!BQ46&lt;&gt;"",Ofwat_PC_Interventions!BQ46,IF(Company_PC_inputs!BQ46&lt;&gt;"",Company_PC_inputs!BQ46,""))</f>
        <v/>
      </c>
      <c r="BR46" s="490" t="str">
        <f>IF(Ofwat_PC_Interventions!BR46&lt;&gt;"",Ofwat_PC_Interventions!BR46,IF(Company_PC_inputs!BR46&lt;&gt;"",Company_PC_inputs!BR46,""))</f>
        <v/>
      </c>
      <c r="BS46" s="490" t="str">
        <f>IF(Ofwat_PC_Interventions!BS46&lt;&gt;"",Ofwat_PC_Interventions!BS46,IF(Company_PC_inputs!BS46&lt;&gt;"",Company_PC_inputs!BS46,""))</f>
        <v/>
      </c>
    </row>
    <row r="47" spans="1:71" s="202" customFormat="1" ht="13.15">
      <c r="A47" s="453"/>
      <c r="B47" s="453"/>
      <c r="C47" s="453"/>
      <c r="D47" s="453"/>
      <c r="E47" s="453" t="s">
        <v>998</v>
      </c>
      <c r="F47" s="453"/>
      <c r="G47" s="453" t="s">
        <v>1158</v>
      </c>
      <c r="H47" s="453"/>
      <c r="I47" s="453"/>
      <c r="J47" s="490">
        <f>IF(Ofwat_PC_Interventions!J47&lt;&gt;"",Ofwat_PC_Interventions!J47,IF(Company_PC_inputs!J47&lt;&gt;"",Company_PC_inputs!J47,""))</f>
        <v>9.5</v>
      </c>
      <c r="K47" s="490">
        <f>IF(Ofwat_PC_Interventions!K47&lt;&gt;"",Ofwat_PC_Interventions!K47,IF(Company_PC_inputs!K47&lt;&gt;"",Company_PC_inputs!K47,""))</f>
        <v>1.5798611111111114E-2</v>
      </c>
      <c r="L47" s="490">
        <f>IF(Ofwat_PC_Interventions!L47&lt;&gt;"",Ofwat_PC_Interventions!L47,IF(Company_PC_inputs!L47&lt;&gt;"",Company_PC_inputs!L47,""))</f>
        <v>-5</v>
      </c>
      <c r="M47" s="490" t="str">
        <f>IF(Ofwat_PC_Interventions!M47&lt;&gt;"",Ofwat_PC_Interventions!M47,IF(Company_PC_inputs!M47&lt;&gt;"",Company_PC_inputs!M47,""))</f>
        <v/>
      </c>
      <c r="N47" s="490">
        <f>IF(Ofwat_PC_Interventions!N47&lt;&gt;"",Ofwat_PC_Interventions!N47,IF(Company_PC_inputs!N47&lt;&gt;"",Company_PC_inputs!N47,""))</f>
        <v>-16.7</v>
      </c>
      <c r="O47" s="490" t="str">
        <f>IF(Ofwat_PC_Interventions!O47&lt;&gt;"",Ofwat_PC_Interventions!O47,IF(Company_PC_inputs!O47&lt;&gt;"",Company_PC_inputs!O47,""))</f>
        <v/>
      </c>
      <c r="P47" s="490">
        <f>IF(Ofwat_PC_Interventions!P47&lt;&gt;"",Ofwat_PC_Interventions!P47,IF(Company_PC_inputs!P47&lt;&gt;"",Company_PC_inputs!P47,""))</f>
        <v>180.8</v>
      </c>
      <c r="Q47" s="491">
        <f>IF(Ofwat_PC_Interventions!Q47&lt;&gt;"",Ofwat_PC_Interventions!Q47,IF(Company_PC_inputs!Q47&lt;&gt;"",Company_PC_inputs!Q47,""))</f>
        <v>18.88</v>
      </c>
      <c r="R47" s="490" t="str">
        <f>IF(Ofwat_PC_Interventions!R47&lt;&gt;"",Ofwat_PC_Interventions!R47,IF(Company_PC_inputs!R47&lt;&gt;"",Company_PC_inputs!R47,""))</f>
        <v/>
      </c>
      <c r="S47" s="490" t="str">
        <f>IF(Ofwat_PC_Interventions!S47&lt;&gt;"",Ofwat_PC_Interventions!S47,IF(Company_PC_inputs!S47&lt;&gt;"",Company_PC_inputs!S47,""))</f>
        <v/>
      </c>
      <c r="T47" s="490">
        <f>IF(Ofwat_PC_Interventions!T47&lt;&gt;"",Ofwat_PC_Interventions!T47,IF(Company_PC_inputs!T47&lt;&gt;"",Company_PC_inputs!T47,""))</f>
        <v>-14</v>
      </c>
      <c r="U47" s="490" t="str">
        <f>IF(Ofwat_PC_Interventions!U47&lt;&gt;"",Ofwat_PC_Interventions!U47,IF(Company_PC_inputs!U47&lt;&gt;"",Company_PC_inputs!U47,""))</f>
        <v/>
      </c>
      <c r="V47" s="490">
        <f>IF(Ofwat_PC_Interventions!V47&lt;&gt;"",Ofwat_PC_Interventions!V47,IF(Company_PC_inputs!V47&lt;&gt;"",Company_PC_inputs!V47,""))</f>
        <v>2.62</v>
      </c>
      <c r="W47" s="490" t="str">
        <f>IF(Ofwat_PC_Interventions!W47&lt;&gt;"",Ofwat_PC_Interventions!W47,IF(Company_PC_inputs!W47&lt;&gt;"",Company_PC_inputs!W47,""))</f>
        <v/>
      </c>
      <c r="X47" s="490" t="str">
        <f>IF(Ofwat_PC_Interventions!X47&lt;&gt;"",Ofwat_PC_Interventions!X47,IF(Company_PC_inputs!X47&lt;&gt;"",Company_PC_inputs!X47,""))</f>
        <v/>
      </c>
      <c r="Y47" s="490" t="str">
        <f>IF(Ofwat_PC_Interventions!Y47&lt;&gt;"",Ofwat_PC_Interventions!Y47,IF(Company_PC_inputs!Y47&lt;&gt;"",Company_PC_inputs!Y47,""))</f>
        <v/>
      </c>
      <c r="Z47" s="490" t="str">
        <f>IF(Ofwat_PC_Interventions!Z47&lt;&gt;"",Ofwat_PC_Interventions!Z47,IF(Company_PC_inputs!Z47&lt;&gt;"",Company_PC_inputs!Z47,""))</f>
        <v/>
      </c>
      <c r="AA47" s="490" t="str">
        <f>IF(Ofwat_PC_Interventions!AA47&lt;&gt;"",Ofwat_PC_Interventions!AA47,IF(Company_PC_inputs!AA47&lt;&gt;"",Company_PC_inputs!AA47,""))</f>
        <v/>
      </c>
      <c r="AB47" s="490" t="str">
        <f>IF(Ofwat_PC_Interventions!AB47&lt;&gt;"",Ofwat_PC_Interventions!AB47,IF(Company_PC_inputs!AB47&lt;&gt;"",Company_PC_inputs!AB47,""))</f>
        <v/>
      </c>
      <c r="AC47" s="490" t="str">
        <f>IF(Ofwat_PC_Interventions!AC47&lt;&gt;"",Ofwat_PC_Interventions!AC47,IF(Company_PC_inputs!AC47&lt;&gt;"",Company_PC_inputs!AC47,""))</f>
        <v/>
      </c>
      <c r="AD47" s="490" t="str">
        <f>IF(Ofwat_PC_Interventions!AD47&lt;&gt;"",Ofwat_PC_Interventions!AD47,IF(Company_PC_inputs!AD47&lt;&gt;"",Company_PC_inputs!AD47,""))</f>
        <v/>
      </c>
      <c r="AE47" s="490" t="str">
        <f>IF(Ofwat_PC_Interventions!AE47&lt;&gt;"",Ofwat_PC_Interventions!AE47,IF(Company_PC_inputs!AE47&lt;&gt;"",Company_PC_inputs!AE47,""))</f>
        <v/>
      </c>
      <c r="AF47" s="490" t="str">
        <f>IF(Ofwat_PC_Interventions!AF47&lt;&gt;"",Ofwat_PC_Interventions!AF47,IF(Company_PC_inputs!AF47&lt;&gt;"",Company_PC_inputs!AF47,""))</f>
        <v/>
      </c>
      <c r="AG47" s="490" t="str">
        <f>IF(Ofwat_PC_Interventions!AG47&lt;&gt;"",Ofwat_PC_Interventions!AG47,IF(Company_PC_inputs!AG47&lt;&gt;"",Company_PC_inputs!AG47,""))</f>
        <v/>
      </c>
      <c r="AH47" s="490" t="str">
        <f>IF(Ofwat_PC_Interventions!AH47&lt;&gt;"",Ofwat_PC_Interventions!AH47,IF(Company_PC_inputs!AH47&lt;&gt;"",Company_PC_inputs!AH47,""))</f>
        <v/>
      </c>
      <c r="AI47" s="490" t="str">
        <f>IF(Ofwat_PC_Interventions!AI47&lt;&gt;"",Ofwat_PC_Interventions!AI47,IF(Company_PC_inputs!AI47&lt;&gt;"",Company_PC_inputs!AI47,""))</f>
        <v/>
      </c>
      <c r="AJ47" s="490" t="str">
        <f>IF(Ofwat_PC_Interventions!AJ47&lt;&gt;"",Ofwat_PC_Interventions!AJ47,IF(Company_PC_inputs!AJ47&lt;&gt;"",Company_PC_inputs!AJ47,""))</f>
        <v/>
      </c>
      <c r="AK47" s="491" t="str">
        <f>IF(Ofwat_PC_Interventions!AK47&lt;&gt;"",Ofwat_PC_Interventions!AK47,IF(Company_PC_inputs!AK47&lt;&gt;"",Company_PC_inputs!AK47,""))</f>
        <v/>
      </c>
      <c r="AL47" s="490">
        <f>IF(Ofwat_PC_Interventions!AL47&lt;&gt;"",Ofwat_PC_Interventions!AL47,IF(Company_PC_inputs!AL47&lt;&gt;"",Company_PC_inputs!AL47,""))</f>
        <v>3.35</v>
      </c>
      <c r="AM47" s="490">
        <f>IF(Ofwat_PC_Interventions!AM47&lt;&gt;"",Ofwat_PC_Interventions!AM47,IF(Company_PC_inputs!AM47&lt;&gt;"",Company_PC_inputs!AM47,""))</f>
        <v>49.01</v>
      </c>
      <c r="AN47" s="490" t="str">
        <f>IF(Ofwat_PC_Interventions!AN47&lt;&gt;"",Ofwat_PC_Interventions!AN47,IF(Company_PC_inputs!AN47&lt;&gt;"",Company_PC_inputs!AN47,""))</f>
        <v/>
      </c>
      <c r="AO47" s="491">
        <f>IF(Ofwat_PC_Interventions!AO47&lt;&gt;"",Ofwat_PC_Interventions!AO47,IF(Company_PC_inputs!AO47&lt;&gt;"",Company_PC_inputs!AO47,""))</f>
        <v>97</v>
      </c>
      <c r="AP47" s="490" t="str">
        <f>IF(Ofwat_PC_Interventions!AP47&lt;&gt;"",Ofwat_PC_Interventions!AP47,IF(Company_PC_inputs!AP47&lt;&gt;"",Company_PC_inputs!AP47,""))</f>
        <v/>
      </c>
      <c r="AQ47" s="490">
        <f>IF(Ofwat_PC_Interventions!AQ47&lt;&gt;"",Ofwat_PC_Interventions!AQ47,IF(Company_PC_inputs!AQ47&lt;&gt;"",Company_PC_inputs!AQ47,""))</f>
        <v>21</v>
      </c>
      <c r="AR47" s="490" t="str">
        <f>IF(Ofwat_PC_Interventions!AR47&lt;&gt;"",Ofwat_PC_Interventions!AR47,IF(Company_PC_inputs!AR47&lt;&gt;"",Company_PC_inputs!AR47,""))</f>
        <v/>
      </c>
      <c r="AS47" s="490" t="str">
        <f>IF(Ofwat_PC_Interventions!AS47&lt;&gt;"",Ofwat_PC_Interventions!AS47,IF(Company_PC_inputs!AS47&lt;&gt;"",Company_PC_inputs!AS47,""))</f>
        <v/>
      </c>
      <c r="AT47" s="490" t="str">
        <f>IF(Ofwat_PC_Interventions!AT47&lt;&gt;"",Ofwat_PC_Interventions!AT47,IF(Company_PC_inputs!AT47&lt;&gt;"",Company_PC_inputs!AT47,""))</f>
        <v/>
      </c>
      <c r="AU47" s="490" t="str">
        <f>IF(Ofwat_PC_Interventions!AU47&lt;&gt;"",Ofwat_PC_Interventions!AU47,IF(Company_PC_inputs!AU47&lt;&gt;"",Company_PC_inputs!AU47,""))</f>
        <v/>
      </c>
      <c r="AV47" s="490" t="str">
        <f>IF(Ofwat_PC_Interventions!AV47&lt;&gt;"",Ofwat_PC_Interventions!AV47,IF(Company_PC_inputs!AV47&lt;&gt;"",Company_PC_inputs!AV47,""))</f>
        <v/>
      </c>
      <c r="AW47" s="490">
        <f>IF(Ofwat_PC_Interventions!AW47&lt;&gt;"",Ofwat_PC_Interventions!AW47,IF(Company_PC_inputs!AW47&lt;&gt;"",Company_PC_inputs!AW47,""))</f>
        <v>14625</v>
      </c>
      <c r="AX47" s="490">
        <f>IF(Ofwat_PC_Interventions!AX47&lt;&gt;"",Ofwat_PC_Interventions!AX47,IF(Company_PC_inputs!AX47&lt;&gt;"",Company_PC_inputs!AX47,""))</f>
        <v>6618</v>
      </c>
      <c r="AY47" s="490" t="str">
        <f>IF(Ofwat_PC_Interventions!AY47&lt;&gt;"",Ofwat_PC_Interventions!AY47,IF(Company_PC_inputs!AY47&lt;&gt;"",Company_PC_inputs!AY47,""))</f>
        <v/>
      </c>
      <c r="AZ47" s="490" t="str">
        <f>IF(Ofwat_PC_Interventions!AZ47&lt;&gt;"",Ofwat_PC_Interventions!AZ47,IF(Company_PC_inputs!AZ47&lt;&gt;"",Company_PC_inputs!AZ47,""))</f>
        <v/>
      </c>
      <c r="BA47" s="490" t="str">
        <f>IF(Ofwat_PC_Interventions!BA47&lt;&gt;"",Ofwat_PC_Interventions!BA47,IF(Company_PC_inputs!BA47&lt;&gt;"",Company_PC_inputs!BA47,""))</f>
        <v/>
      </c>
      <c r="BB47" s="490" t="str">
        <f>IF(Ofwat_PC_Interventions!BB47&lt;&gt;"",Ofwat_PC_Interventions!BB47,IF(Company_PC_inputs!BB47&lt;&gt;"",Company_PC_inputs!BB47,""))</f>
        <v/>
      </c>
      <c r="BC47" s="491" t="str">
        <f>IF(Ofwat_PC_Interventions!BC47&lt;&gt;"",Ofwat_PC_Interventions!BC47,IF(Company_PC_inputs!BC47&lt;&gt;"",Company_PC_inputs!BC47,""))</f>
        <v/>
      </c>
      <c r="BD47" s="490" t="str">
        <f>IF(Ofwat_PC_Interventions!BD47&lt;&gt;"",Ofwat_PC_Interventions!BD47,IF(Company_PC_inputs!BD47&lt;&gt;"",Company_PC_inputs!BD47,""))</f>
        <v/>
      </c>
      <c r="BE47" s="490" t="str">
        <f>IF(Ofwat_PC_Interventions!BE47&lt;&gt;"",Ofwat_PC_Interventions!BE47,IF(Company_PC_inputs!BE47&lt;&gt;"",Company_PC_inputs!BE47,""))</f>
        <v/>
      </c>
      <c r="BF47" s="490" t="str">
        <f>IF(Ofwat_PC_Interventions!BF47&lt;&gt;"",Ofwat_PC_Interventions!BF47,IF(Company_PC_inputs!BF47&lt;&gt;"",Company_PC_inputs!BF47,""))</f>
        <v/>
      </c>
      <c r="BG47" s="490" t="str">
        <f>IF(Ofwat_PC_Interventions!BG47&lt;&gt;"",Ofwat_PC_Interventions!BG47,IF(Company_PC_inputs!BG47&lt;&gt;"",Company_PC_inputs!BG47,""))</f>
        <v/>
      </c>
      <c r="BH47" s="490" t="str">
        <f>IF(Ofwat_PC_Interventions!BH47&lt;&gt;"",Ofwat_PC_Interventions!BH47,IF(Company_PC_inputs!BH47&lt;&gt;"",Company_PC_inputs!BH47,""))</f>
        <v/>
      </c>
      <c r="BI47" s="490" t="str">
        <f>IF(Ofwat_PC_Interventions!BI47&lt;&gt;"",Ofwat_PC_Interventions!BI47,IF(Company_PC_inputs!BI47&lt;&gt;"",Company_PC_inputs!BI47,""))</f>
        <v/>
      </c>
      <c r="BJ47" s="490" t="str">
        <f>IF(Ofwat_PC_Interventions!BJ47&lt;&gt;"",Ofwat_PC_Interventions!BJ47,IF(Company_PC_inputs!BJ47&lt;&gt;"",Company_PC_inputs!BJ47,""))</f>
        <v/>
      </c>
      <c r="BK47" s="490" t="str">
        <f>IF(Ofwat_PC_Interventions!BK47&lt;&gt;"",Ofwat_PC_Interventions!BK47,IF(Company_PC_inputs!BK47&lt;&gt;"",Company_PC_inputs!BK47,""))</f>
        <v/>
      </c>
      <c r="BL47" s="490" t="str">
        <f>IF(Ofwat_PC_Interventions!BL47&lt;&gt;"",Ofwat_PC_Interventions!BL47,IF(Company_PC_inputs!BL47&lt;&gt;"",Company_PC_inputs!BL47,""))</f>
        <v/>
      </c>
      <c r="BM47" s="490" t="str">
        <f>IF(Ofwat_PC_Interventions!BM47&lt;&gt;"",Ofwat_PC_Interventions!BM47,IF(Company_PC_inputs!BM47&lt;&gt;"",Company_PC_inputs!BM47,""))</f>
        <v/>
      </c>
      <c r="BN47" s="490" t="str">
        <f>IF(Ofwat_PC_Interventions!BN47&lt;&gt;"",Ofwat_PC_Interventions!BN47,IF(Company_PC_inputs!BN47&lt;&gt;"",Company_PC_inputs!BN47,""))</f>
        <v/>
      </c>
      <c r="BO47" s="490" t="str">
        <f>IF(Ofwat_PC_Interventions!BO47&lt;&gt;"",Ofwat_PC_Interventions!BO47,IF(Company_PC_inputs!BO47&lt;&gt;"",Company_PC_inputs!BO47,""))</f>
        <v/>
      </c>
      <c r="BP47" s="490" t="str">
        <f>IF(Ofwat_PC_Interventions!BP47&lt;&gt;"",Ofwat_PC_Interventions!BP47,IF(Company_PC_inputs!BP47&lt;&gt;"",Company_PC_inputs!BP47,""))</f>
        <v/>
      </c>
      <c r="BQ47" s="490" t="str">
        <f>IF(Ofwat_PC_Interventions!BQ47&lt;&gt;"",Ofwat_PC_Interventions!BQ47,IF(Company_PC_inputs!BQ47&lt;&gt;"",Company_PC_inputs!BQ47,""))</f>
        <v/>
      </c>
      <c r="BR47" s="490" t="str">
        <f>IF(Ofwat_PC_Interventions!BR47&lt;&gt;"",Ofwat_PC_Interventions!BR47,IF(Company_PC_inputs!BR47&lt;&gt;"",Company_PC_inputs!BR47,""))</f>
        <v/>
      </c>
      <c r="BS47" s="490" t="str">
        <f>IF(Ofwat_PC_Interventions!BS47&lt;&gt;"",Ofwat_PC_Interventions!BS47,IF(Company_PC_inputs!BS47&lt;&gt;"",Company_PC_inputs!BS47,""))</f>
        <v/>
      </c>
    </row>
    <row r="48" spans="1:71" s="202" customFormat="1" ht="13.15">
      <c r="A48" s="453"/>
      <c r="B48" s="453"/>
      <c r="C48" s="453"/>
      <c r="D48" s="453"/>
      <c r="E48" s="453"/>
      <c r="F48" s="453"/>
      <c r="G48" s="453"/>
      <c r="H48" s="453"/>
      <c r="I48" s="453"/>
      <c r="J48" s="490" t="str">
        <f>IF(Ofwat_PC_Interventions!J48&lt;&gt;"",Ofwat_PC_Interventions!J48,IF(Company_PC_inputs!J48&lt;&gt;"",Company_PC_inputs!J48,""))</f>
        <v/>
      </c>
      <c r="K48" s="490" t="str">
        <f>IF(Ofwat_PC_Interventions!K48&lt;&gt;"",Ofwat_PC_Interventions!K48,IF(Company_PC_inputs!K48&lt;&gt;"",Company_PC_inputs!K48,""))</f>
        <v/>
      </c>
      <c r="L48" s="490" t="str">
        <f>IF(Ofwat_PC_Interventions!L48&lt;&gt;"",Ofwat_PC_Interventions!L48,IF(Company_PC_inputs!L48&lt;&gt;"",Company_PC_inputs!L48,""))</f>
        <v/>
      </c>
      <c r="M48" s="490" t="str">
        <f>IF(Ofwat_PC_Interventions!M48&lt;&gt;"",Ofwat_PC_Interventions!M48,IF(Company_PC_inputs!M48&lt;&gt;"",Company_PC_inputs!M48,""))</f>
        <v/>
      </c>
      <c r="N48" s="490" t="str">
        <f>IF(Ofwat_PC_Interventions!N48&lt;&gt;"",Ofwat_PC_Interventions!N48,IF(Company_PC_inputs!N48&lt;&gt;"",Company_PC_inputs!N48,""))</f>
        <v/>
      </c>
      <c r="O48" s="490" t="str">
        <f>IF(Ofwat_PC_Interventions!O48&lt;&gt;"",Ofwat_PC_Interventions!O48,IF(Company_PC_inputs!O48&lt;&gt;"",Company_PC_inputs!O48,""))</f>
        <v/>
      </c>
      <c r="P48" s="490" t="str">
        <f>IF(Ofwat_PC_Interventions!P48&lt;&gt;"",Ofwat_PC_Interventions!P48,IF(Company_PC_inputs!P48&lt;&gt;"",Company_PC_inputs!P48,""))</f>
        <v/>
      </c>
      <c r="Q48" s="491" t="str">
        <f>IF(Ofwat_PC_Interventions!Q48&lt;&gt;"",Ofwat_PC_Interventions!Q48,IF(Company_PC_inputs!Q48&lt;&gt;"",Company_PC_inputs!Q48,""))</f>
        <v/>
      </c>
      <c r="R48" s="490" t="str">
        <f>IF(Ofwat_PC_Interventions!R48&lt;&gt;"",Ofwat_PC_Interventions!R48,IF(Company_PC_inputs!R48&lt;&gt;"",Company_PC_inputs!R48,""))</f>
        <v/>
      </c>
      <c r="S48" s="490" t="str">
        <f>IF(Ofwat_PC_Interventions!S48&lt;&gt;"",Ofwat_PC_Interventions!S48,IF(Company_PC_inputs!S48&lt;&gt;"",Company_PC_inputs!S48,""))</f>
        <v/>
      </c>
      <c r="T48" s="490" t="str">
        <f>IF(Ofwat_PC_Interventions!T48&lt;&gt;"",Ofwat_PC_Interventions!T48,IF(Company_PC_inputs!T48&lt;&gt;"",Company_PC_inputs!T48,""))</f>
        <v/>
      </c>
      <c r="U48" s="490" t="str">
        <f>IF(Ofwat_PC_Interventions!U48&lt;&gt;"",Ofwat_PC_Interventions!U48,IF(Company_PC_inputs!U48&lt;&gt;"",Company_PC_inputs!U48,""))</f>
        <v/>
      </c>
      <c r="V48" s="490" t="str">
        <f>IF(Ofwat_PC_Interventions!V48&lt;&gt;"",Ofwat_PC_Interventions!V48,IF(Company_PC_inputs!V48&lt;&gt;"",Company_PC_inputs!V48,""))</f>
        <v/>
      </c>
      <c r="W48" s="490" t="str">
        <f>IF(Ofwat_PC_Interventions!W48&lt;&gt;"",Ofwat_PC_Interventions!W48,IF(Company_PC_inputs!W48&lt;&gt;"",Company_PC_inputs!W48,""))</f>
        <v/>
      </c>
      <c r="X48" s="490" t="str">
        <f>IF(Ofwat_PC_Interventions!X48&lt;&gt;"",Ofwat_PC_Interventions!X48,IF(Company_PC_inputs!X48&lt;&gt;"",Company_PC_inputs!X48,""))</f>
        <v/>
      </c>
      <c r="Y48" s="490" t="str">
        <f>IF(Ofwat_PC_Interventions!Y48&lt;&gt;"",Ofwat_PC_Interventions!Y48,IF(Company_PC_inputs!Y48&lt;&gt;"",Company_PC_inputs!Y48,""))</f>
        <v/>
      </c>
      <c r="Z48" s="490" t="str">
        <f>IF(Ofwat_PC_Interventions!Z48&lt;&gt;"",Ofwat_PC_Interventions!Z48,IF(Company_PC_inputs!Z48&lt;&gt;"",Company_PC_inputs!Z48,""))</f>
        <v/>
      </c>
      <c r="AA48" s="490" t="str">
        <f>IF(Ofwat_PC_Interventions!AA48&lt;&gt;"",Ofwat_PC_Interventions!AA48,IF(Company_PC_inputs!AA48&lt;&gt;"",Company_PC_inputs!AA48,""))</f>
        <v/>
      </c>
      <c r="AB48" s="490" t="str">
        <f>IF(Ofwat_PC_Interventions!AB48&lt;&gt;"",Ofwat_PC_Interventions!AB48,IF(Company_PC_inputs!AB48&lt;&gt;"",Company_PC_inputs!AB48,""))</f>
        <v/>
      </c>
      <c r="AC48" s="490" t="str">
        <f>IF(Ofwat_PC_Interventions!AC48&lt;&gt;"",Ofwat_PC_Interventions!AC48,IF(Company_PC_inputs!AC48&lt;&gt;"",Company_PC_inputs!AC48,""))</f>
        <v/>
      </c>
      <c r="AD48" s="490" t="str">
        <f>IF(Ofwat_PC_Interventions!AD48&lt;&gt;"",Ofwat_PC_Interventions!AD48,IF(Company_PC_inputs!AD48&lt;&gt;"",Company_PC_inputs!AD48,""))</f>
        <v/>
      </c>
      <c r="AE48" s="490" t="str">
        <f>IF(Ofwat_PC_Interventions!AE48&lt;&gt;"",Ofwat_PC_Interventions!AE48,IF(Company_PC_inputs!AE48&lt;&gt;"",Company_PC_inputs!AE48,""))</f>
        <v/>
      </c>
      <c r="AF48" s="490" t="str">
        <f>IF(Ofwat_PC_Interventions!AF48&lt;&gt;"",Ofwat_PC_Interventions!AF48,IF(Company_PC_inputs!AF48&lt;&gt;"",Company_PC_inputs!AF48,""))</f>
        <v/>
      </c>
      <c r="AG48" s="490" t="str">
        <f>IF(Ofwat_PC_Interventions!AG48&lt;&gt;"",Ofwat_PC_Interventions!AG48,IF(Company_PC_inputs!AG48&lt;&gt;"",Company_PC_inputs!AG48,""))</f>
        <v/>
      </c>
      <c r="AH48" s="490" t="str">
        <f>IF(Ofwat_PC_Interventions!AH48&lt;&gt;"",Ofwat_PC_Interventions!AH48,IF(Company_PC_inputs!AH48&lt;&gt;"",Company_PC_inputs!AH48,""))</f>
        <v/>
      </c>
      <c r="AI48" s="490" t="str">
        <f>IF(Ofwat_PC_Interventions!AI48&lt;&gt;"",Ofwat_PC_Interventions!AI48,IF(Company_PC_inputs!AI48&lt;&gt;"",Company_PC_inputs!AI48,""))</f>
        <v/>
      </c>
      <c r="AJ48" s="490" t="str">
        <f>IF(Ofwat_PC_Interventions!AJ48&lt;&gt;"",Ofwat_PC_Interventions!AJ48,IF(Company_PC_inputs!AJ48&lt;&gt;"",Company_PC_inputs!AJ48,""))</f>
        <v/>
      </c>
      <c r="AK48" s="491" t="str">
        <f>IF(Ofwat_PC_Interventions!AK48&lt;&gt;"",Ofwat_PC_Interventions!AK48,IF(Company_PC_inputs!AK48&lt;&gt;"",Company_PC_inputs!AK48,""))</f>
        <v/>
      </c>
      <c r="AL48" s="490" t="str">
        <f>IF(Ofwat_PC_Interventions!AL48&lt;&gt;"",Ofwat_PC_Interventions!AL48,IF(Company_PC_inputs!AL48&lt;&gt;"",Company_PC_inputs!AL48,""))</f>
        <v/>
      </c>
      <c r="AM48" s="490" t="str">
        <f>IF(Ofwat_PC_Interventions!AM48&lt;&gt;"",Ofwat_PC_Interventions!AM48,IF(Company_PC_inputs!AM48&lt;&gt;"",Company_PC_inputs!AM48,""))</f>
        <v/>
      </c>
      <c r="AN48" s="490" t="str">
        <f>IF(Ofwat_PC_Interventions!AN48&lt;&gt;"",Ofwat_PC_Interventions!AN48,IF(Company_PC_inputs!AN48&lt;&gt;"",Company_PC_inputs!AN48,""))</f>
        <v/>
      </c>
      <c r="AO48" s="491" t="str">
        <f>IF(Ofwat_PC_Interventions!AO48&lt;&gt;"",Ofwat_PC_Interventions!AO48,IF(Company_PC_inputs!AO48&lt;&gt;"",Company_PC_inputs!AO48,""))</f>
        <v/>
      </c>
      <c r="AP48" s="490" t="str">
        <f>IF(Ofwat_PC_Interventions!AP48&lt;&gt;"",Ofwat_PC_Interventions!AP48,IF(Company_PC_inputs!AP48&lt;&gt;"",Company_PC_inputs!AP48,""))</f>
        <v/>
      </c>
      <c r="AQ48" s="490" t="str">
        <f>IF(Ofwat_PC_Interventions!AQ48&lt;&gt;"",Ofwat_PC_Interventions!AQ48,IF(Company_PC_inputs!AQ48&lt;&gt;"",Company_PC_inputs!AQ48,""))</f>
        <v/>
      </c>
      <c r="AR48" s="490" t="str">
        <f>IF(Ofwat_PC_Interventions!AR48&lt;&gt;"",Ofwat_PC_Interventions!AR48,IF(Company_PC_inputs!AR48&lt;&gt;"",Company_PC_inputs!AR48,""))</f>
        <v/>
      </c>
      <c r="AS48" s="490" t="str">
        <f>IF(Ofwat_PC_Interventions!AS48&lt;&gt;"",Ofwat_PC_Interventions!AS48,IF(Company_PC_inputs!AS48&lt;&gt;"",Company_PC_inputs!AS48,""))</f>
        <v/>
      </c>
      <c r="AT48" s="490" t="str">
        <f>IF(Ofwat_PC_Interventions!AT48&lt;&gt;"",Ofwat_PC_Interventions!AT48,IF(Company_PC_inputs!AT48&lt;&gt;"",Company_PC_inputs!AT48,""))</f>
        <v/>
      </c>
      <c r="AU48" s="490" t="str">
        <f>IF(Ofwat_PC_Interventions!AU48&lt;&gt;"",Ofwat_PC_Interventions!AU48,IF(Company_PC_inputs!AU48&lt;&gt;"",Company_PC_inputs!AU48,""))</f>
        <v/>
      </c>
      <c r="AV48" s="490" t="str">
        <f>IF(Ofwat_PC_Interventions!AV48&lt;&gt;"",Ofwat_PC_Interventions!AV48,IF(Company_PC_inputs!AV48&lt;&gt;"",Company_PC_inputs!AV48,""))</f>
        <v/>
      </c>
      <c r="AW48" s="490" t="str">
        <f>IF(Ofwat_PC_Interventions!AW48&lt;&gt;"",Ofwat_PC_Interventions!AW48,IF(Company_PC_inputs!AW48&lt;&gt;"",Company_PC_inputs!AW48,""))</f>
        <v/>
      </c>
      <c r="AX48" s="490" t="str">
        <f>IF(Ofwat_PC_Interventions!AX48&lt;&gt;"",Ofwat_PC_Interventions!AX48,IF(Company_PC_inputs!AX48&lt;&gt;"",Company_PC_inputs!AX48,""))</f>
        <v/>
      </c>
      <c r="AY48" s="490" t="str">
        <f>IF(Ofwat_PC_Interventions!AY48&lt;&gt;"",Ofwat_PC_Interventions!AY48,IF(Company_PC_inputs!AY48&lt;&gt;"",Company_PC_inputs!AY48,""))</f>
        <v/>
      </c>
      <c r="AZ48" s="490" t="str">
        <f>IF(Ofwat_PC_Interventions!AZ48&lt;&gt;"",Ofwat_PC_Interventions!AZ48,IF(Company_PC_inputs!AZ48&lt;&gt;"",Company_PC_inputs!AZ48,""))</f>
        <v/>
      </c>
      <c r="BA48" s="490" t="str">
        <f>IF(Ofwat_PC_Interventions!BA48&lt;&gt;"",Ofwat_PC_Interventions!BA48,IF(Company_PC_inputs!BA48&lt;&gt;"",Company_PC_inputs!BA48,""))</f>
        <v/>
      </c>
      <c r="BB48" s="490" t="str">
        <f>IF(Ofwat_PC_Interventions!BB48&lt;&gt;"",Ofwat_PC_Interventions!BB48,IF(Company_PC_inputs!BB48&lt;&gt;"",Company_PC_inputs!BB48,""))</f>
        <v/>
      </c>
      <c r="BC48" s="491" t="str">
        <f>IF(Ofwat_PC_Interventions!BC48&lt;&gt;"",Ofwat_PC_Interventions!BC48,IF(Company_PC_inputs!BC48&lt;&gt;"",Company_PC_inputs!BC48,""))</f>
        <v/>
      </c>
      <c r="BD48" s="490" t="str">
        <f>IF(Ofwat_PC_Interventions!BD48&lt;&gt;"",Ofwat_PC_Interventions!BD48,IF(Company_PC_inputs!BD48&lt;&gt;"",Company_PC_inputs!BD48,""))</f>
        <v/>
      </c>
      <c r="BE48" s="490" t="str">
        <f>IF(Ofwat_PC_Interventions!BE48&lt;&gt;"",Ofwat_PC_Interventions!BE48,IF(Company_PC_inputs!BE48&lt;&gt;"",Company_PC_inputs!BE48,""))</f>
        <v/>
      </c>
      <c r="BF48" s="490" t="str">
        <f>IF(Ofwat_PC_Interventions!BF48&lt;&gt;"",Ofwat_PC_Interventions!BF48,IF(Company_PC_inputs!BF48&lt;&gt;"",Company_PC_inputs!BF48,""))</f>
        <v/>
      </c>
      <c r="BG48" s="490" t="str">
        <f>IF(Ofwat_PC_Interventions!BG48&lt;&gt;"",Ofwat_PC_Interventions!BG48,IF(Company_PC_inputs!BG48&lt;&gt;"",Company_PC_inputs!BG48,""))</f>
        <v/>
      </c>
      <c r="BH48" s="490" t="str">
        <f>IF(Ofwat_PC_Interventions!BH48&lt;&gt;"",Ofwat_PC_Interventions!BH48,IF(Company_PC_inputs!BH48&lt;&gt;"",Company_PC_inputs!BH48,""))</f>
        <v/>
      </c>
      <c r="BI48" s="490" t="str">
        <f>IF(Ofwat_PC_Interventions!BI48&lt;&gt;"",Ofwat_PC_Interventions!BI48,IF(Company_PC_inputs!BI48&lt;&gt;"",Company_PC_inputs!BI48,""))</f>
        <v/>
      </c>
      <c r="BJ48" s="490" t="str">
        <f>IF(Ofwat_PC_Interventions!BJ48&lt;&gt;"",Ofwat_PC_Interventions!BJ48,IF(Company_PC_inputs!BJ48&lt;&gt;"",Company_PC_inputs!BJ48,""))</f>
        <v/>
      </c>
      <c r="BK48" s="490" t="str">
        <f>IF(Ofwat_PC_Interventions!BK48&lt;&gt;"",Ofwat_PC_Interventions!BK48,IF(Company_PC_inputs!BK48&lt;&gt;"",Company_PC_inputs!BK48,""))</f>
        <v/>
      </c>
      <c r="BL48" s="490" t="str">
        <f>IF(Ofwat_PC_Interventions!BL48&lt;&gt;"",Ofwat_PC_Interventions!BL48,IF(Company_PC_inputs!BL48&lt;&gt;"",Company_PC_inputs!BL48,""))</f>
        <v/>
      </c>
      <c r="BM48" s="490" t="str">
        <f>IF(Ofwat_PC_Interventions!BM48&lt;&gt;"",Ofwat_PC_Interventions!BM48,IF(Company_PC_inputs!BM48&lt;&gt;"",Company_PC_inputs!BM48,""))</f>
        <v/>
      </c>
      <c r="BN48" s="490" t="str">
        <f>IF(Ofwat_PC_Interventions!BN48&lt;&gt;"",Ofwat_PC_Interventions!BN48,IF(Company_PC_inputs!BN48&lt;&gt;"",Company_PC_inputs!BN48,""))</f>
        <v/>
      </c>
      <c r="BO48" s="490" t="str">
        <f>IF(Ofwat_PC_Interventions!BO48&lt;&gt;"",Ofwat_PC_Interventions!BO48,IF(Company_PC_inputs!BO48&lt;&gt;"",Company_PC_inputs!BO48,""))</f>
        <v/>
      </c>
      <c r="BP48" s="490" t="str">
        <f>IF(Ofwat_PC_Interventions!BP48&lt;&gt;"",Ofwat_PC_Interventions!BP48,IF(Company_PC_inputs!BP48&lt;&gt;"",Company_PC_inputs!BP48,""))</f>
        <v/>
      </c>
      <c r="BQ48" s="490" t="str">
        <f>IF(Ofwat_PC_Interventions!BQ48&lt;&gt;"",Ofwat_PC_Interventions!BQ48,IF(Company_PC_inputs!BQ48&lt;&gt;"",Company_PC_inputs!BQ48,""))</f>
        <v/>
      </c>
      <c r="BR48" s="490" t="str">
        <f>IF(Ofwat_PC_Interventions!BR48&lt;&gt;"",Ofwat_PC_Interventions!BR48,IF(Company_PC_inputs!BR48&lt;&gt;"",Company_PC_inputs!BR48,""))</f>
        <v/>
      </c>
      <c r="BS48" s="490" t="str">
        <f>IF(Ofwat_PC_Interventions!BS48&lt;&gt;"",Ofwat_PC_Interventions!BS48,IF(Company_PC_inputs!BS48&lt;&gt;"",Company_PC_inputs!BS48,""))</f>
        <v/>
      </c>
    </row>
    <row r="49" spans="1:71" s="202" customFormat="1" ht="13.15">
      <c r="A49" s="453"/>
      <c r="B49" s="453"/>
      <c r="C49" s="453"/>
      <c r="D49" s="453"/>
      <c r="E49" s="453" t="s">
        <v>1178</v>
      </c>
      <c r="F49" s="453"/>
      <c r="G49" s="453" t="str">
        <f>"£m/unit ("&amp;InpCompany!$F$10&amp;" prices)"</f>
        <v>£m/unit (2017-18 prices)</v>
      </c>
      <c r="H49" s="453"/>
      <c r="I49" s="453"/>
      <c r="J49" s="576">
        <f>IF(Ofwat_PC_Interventions!J49&lt;&gt;"",Ofwat_PC_Interventions!J49,IF(Company_PC_inputs!J49&lt;&gt;"",Company_PC_inputs!J49,""))</f>
        <v>0</v>
      </c>
      <c r="K49" s="576">
        <f>IF(Ofwat_PC_Interventions!K49&lt;&gt;"",Ofwat_PC_Interventions!K49,IF(Company_PC_inputs!K49&lt;&gt;"",Company_PC_inputs!K49,""))</f>
        <v>0.24399999999999999</v>
      </c>
      <c r="L49" s="576">
        <f>IF(Ofwat_PC_Interventions!L49&lt;&gt;"",Ofwat_PC_Interventions!L49,IF(Company_PC_inputs!L49&lt;&gt;"",Company_PC_inputs!L49,""))</f>
        <v>0.13700000000000001</v>
      </c>
      <c r="M49" s="576" t="str">
        <f>IF(Ofwat_PC_Interventions!M49&lt;&gt;"",Ofwat_PC_Interventions!M49,IF(Company_PC_inputs!M49&lt;&gt;"",Company_PC_inputs!M49,""))</f>
        <v/>
      </c>
      <c r="N49" s="576">
        <f>IF(Ofwat_PC_Interventions!N49&lt;&gt;"",Ofwat_PC_Interventions!N49,IF(Company_PC_inputs!N49&lt;&gt;"",Company_PC_inputs!N49,""))</f>
        <v>7.0000000000000007E-2</v>
      </c>
      <c r="O49" s="576" t="str">
        <f>IF(Ofwat_PC_Interventions!O49&lt;&gt;"",Ofwat_PC_Interventions!O49,IF(Company_PC_inputs!O49&lt;&gt;"",Company_PC_inputs!O49,""))</f>
        <v/>
      </c>
      <c r="P49" s="576">
        <f>IF(Ofwat_PC_Interventions!P49&lt;&gt;"",Ofwat_PC_Interventions!P49,IF(Company_PC_inputs!P49&lt;&gt;"",Company_PC_inputs!P49,""))</f>
        <v>5.5E-2</v>
      </c>
      <c r="Q49" s="577" t="str">
        <f>IF(Ofwat_PC_Interventions!Q49&lt;&gt;"",Ofwat_PC_Interventions!Q49,IF(Company_PC_inputs!Q49&lt;&gt;"",Company_PC_inputs!Q49,""))</f>
        <v/>
      </c>
      <c r="R49" s="576">
        <f>IF(Ofwat_PC_Interventions!R49&lt;&gt;"",Ofwat_PC_Interventions!R49,IF(Company_PC_inputs!R49&lt;&gt;"",Company_PC_inputs!R49,""))</f>
        <v>3.85</v>
      </c>
      <c r="S49" s="576">
        <f>IF(Ofwat_PC_Interventions!S49&lt;&gt;"",Ofwat_PC_Interventions!S49,IF(Company_PC_inputs!S49&lt;&gt;"",Company_PC_inputs!S49,""))</f>
        <v>3.85</v>
      </c>
      <c r="T49" s="576">
        <f>IF(Ofwat_PC_Interventions!T49&lt;&gt;"",Ofwat_PC_Interventions!T49,IF(Company_PC_inputs!T49&lt;&gt;"",Company_PC_inputs!T49,""))</f>
        <v>0.51100000000000001</v>
      </c>
      <c r="U49" s="576">
        <f>IF(Ofwat_PC_Interventions!U49&lt;&gt;"",Ofwat_PC_Interventions!U49,IF(Company_PC_inputs!U49&lt;&gt;"",Company_PC_inputs!U49,""))</f>
        <v>3.63E-6</v>
      </c>
      <c r="V49" s="576">
        <f>IF(Ofwat_PC_Interventions!V49&lt;&gt;"",Ofwat_PC_Interventions!V49,IF(Company_PC_inputs!V49&lt;&gt;"",Company_PC_inputs!V49,""))</f>
        <v>1.2</v>
      </c>
      <c r="W49" s="576">
        <f>IF(Ofwat_PC_Interventions!W49&lt;&gt;"",Ofwat_PC_Interventions!W49,IF(Company_PC_inputs!W49&lt;&gt;"",Company_PC_inputs!W49,""))</f>
        <v>2.5000000000000001E-5</v>
      </c>
      <c r="X49" s="576" t="str">
        <f>IF(Ofwat_PC_Interventions!X49&lt;&gt;"",Ofwat_PC_Interventions!X49,IF(Company_PC_inputs!X49&lt;&gt;"",Company_PC_inputs!X49,""))</f>
        <v/>
      </c>
      <c r="Y49" s="576" t="str">
        <f>IF(Ofwat_PC_Interventions!Y49&lt;&gt;"",Ofwat_PC_Interventions!Y49,IF(Company_PC_inputs!Y49&lt;&gt;"",Company_PC_inputs!Y49,""))</f>
        <v/>
      </c>
      <c r="Z49" s="576" t="str">
        <f>IF(Ofwat_PC_Interventions!Z49&lt;&gt;"",Ofwat_PC_Interventions!Z49,IF(Company_PC_inputs!Z49&lt;&gt;"",Company_PC_inputs!Z49,""))</f>
        <v/>
      </c>
      <c r="AA49" s="576" t="str">
        <f>IF(Ofwat_PC_Interventions!AA49&lt;&gt;"",Ofwat_PC_Interventions!AA49,IF(Company_PC_inputs!AA49&lt;&gt;"",Company_PC_inputs!AA49,""))</f>
        <v/>
      </c>
      <c r="AB49" s="576" t="str">
        <f>IF(Ofwat_PC_Interventions!AB49&lt;&gt;"",Ofwat_PC_Interventions!AB49,IF(Company_PC_inputs!AB49&lt;&gt;"",Company_PC_inputs!AB49,""))</f>
        <v/>
      </c>
      <c r="AC49" s="576" t="str">
        <f>IF(Ofwat_PC_Interventions!AC49&lt;&gt;"",Ofwat_PC_Interventions!AC49,IF(Company_PC_inputs!AC49&lt;&gt;"",Company_PC_inputs!AC49,""))</f>
        <v/>
      </c>
      <c r="AD49" s="576" t="str">
        <f>IF(Ofwat_PC_Interventions!AD49&lt;&gt;"",Ofwat_PC_Interventions!AD49,IF(Company_PC_inputs!AD49&lt;&gt;"",Company_PC_inputs!AD49,""))</f>
        <v/>
      </c>
      <c r="AE49" s="576" t="str">
        <f>IF(Ofwat_PC_Interventions!AE49&lt;&gt;"",Ofwat_PC_Interventions!AE49,IF(Company_PC_inputs!AE49&lt;&gt;"",Company_PC_inputs!AE49,""))</f>
        <v/>
      </c>
      <c r="AF49" s="576" t="str">
        <f>IF(Ofwat_PC_Interventions!AF49&lt;&gt;"",Ofwat_PC_Interventions!AF49,IF(Company_PC_inputs!AF49&lt;&gt;"",Company_PC_inputs!AF49,""))</f>
        <v/>
      </c>
      <c r="AG49" s="576" t="str">
        <f>IF(Ofwat_PC_Interventions!AG49&lt;&gt;"",Ofwat_PC_Interventions!AG49,IF(Company_PC_inputs!AG49&lt;&gt;"",Company_PC_inputs!AG49,""))</f>
        <v/>
      </c>
      <c r="AH49" s="576" t="str">
        <f>IF(Ofwat_PC_Interventions!AH49&lt;&gt;"",Ofwat_PC_Interventions!AH49,IF(Company_PC_inputs!AH49&lt;&gt;"",Company_PC_inputs!AH49,""))</f>
        <v/>
      </c>
      <c r="AI49" s="576" t="str">
        <f>IF(Ofwat_PC_Interventions!AI49&lt;&gt;"",Ofwat_PC_Interventions!AI49,IF(Company_PC_inputs!AI49&lt;&gt;"",Company_PC_inputs!AI49,""))</f>
        <v/>
      </c>
      <c r="AJ49" s="576" t="str">
        <f>IF(Ofwat_PC_Interventions!AJ49&lt;&gt;"",Ofwat_PC_Interventions!AJ49,IF(Company_PC_inputs!AJ49&lt;&gt;"",Company_PC_inputs!AJ49,""))</f>
        <v/>
      </c>
      <c r="AK49" s="577" t="str">
        <f>IF(Ofwat_PC_Interventions!AK49&lt;&gt;"",Ofwat_PC_Interventions!AK49,IF(Company_PC_inputs!AK49&lt;&gt;"",Company_PC_inputs!AK49,""))</f>
        <v/>
      </c>
      <c r="AL49" s="576">
        <f>IF(Ofwat_PC_Interventions!AL49&lt;&gt;"",Ofwat_PC_Interventions!AL49,IF(Company_PC_inputs!AL49&lt;&gt;"",Company_PC_inputs!AL49,""))</f>
        <v>5.5570000000000004</v>
      </c>
      <c r="AM49" s="576">
        <f>IF(Ofwat_PC_Interventions!AM49&lt;&gt;"",Ofwat_PC_Interventions!AM49,IF(Company_PC_inputs!AM49&lt;&gt;"",Company_PC_inputs!AM49,""))</f>
        <v>0.27</v>
      </c>
      <c r="AN49" s="576" t="str">
        <f>IF(Ofwat_PC_Interventions!AN49&lt;&gt;"",Ofwat_PC_Interventions!AN49,IF(Company_PC_inputs!AN49&lt;&gt;"",Company_PC_inputs!AN49,""))</f>
        <v/>
      </c>
      <c r="AO49" s="577" t="str">
        <f>IF(Ofwat_PC_Interventions!AO49&lt;&gt;"",Ofwat_PC_Interventions!AO49,IF(Company_PC_inputs!AO49&lt;&gt;"",Company_PC_inputs!AO49,""))</f>
        <v/>
      </c>
      <c r="AP49" s="576">
        <f>IF(Ofwat_PC_Interventions!AP49&lt;&gt;"",Ofwat_PC_Interventions!AP49,IF(Company_PC_inputs!AP49&lt;&gt;"",Company_PC_inputs!AP49,""))</f>
        <v>3.2899999999999998E-6</v>
      </c>
      <c r="AQ49" s="576">
        <f>IF(Ofwat_PC_Interventions!AQ49&lt;&gt;"",Ofwat_PC_Interventions!AQ49,IF(Company_PC_inputs!AQ49&lt;&gt;"",Company_PC_inputs!AQ49,""))</f>
        <v>0.221</v>
      </c>
      <c r="AR49" s="576" t="str">
        <f>IF(Ofwat_PC_Interventions!AR49&lt;&gt;"",Ofwat_PC_Interventions!AR49,IF(Company_PC_inputs!AR49&lt;&gt;"",Company_PC_inputs!AR49,""))</f>
        <v/>
      </c>
      <c r="AS49" s="576" t="str">
        <f>IF(Ofwat_PC_Interventions!AS49&lt;&gt;"",Ofwat_PC_Interventions!AS49,IF(Company_PC_inputs!AS49&lt;&gt;"",Company_PC_inputs!AS49,""))</f>
        <v/>
      </c>
      <c r="AT49" s="576" t="str">
        <f>IF(Ofwat_PC_Interventions!AT49&lt;&gt;"",Ofwat_PC_Interventions!AT49,IF(Company_PC_inputs!AT49&lt;&gt;"",Company_PC_inputs!AT49,""))</f>
        <v/>
      </c>
      <c r="AU49" s="576">
        <f>IF(Ofwat_PC_Interventions!AU49&lt;&gt;"",Ofwat_PC_Interventions!AU49,IF(Company_PC_inputs!AU49&lt;&gt;"",Company_PC_inputs!AU49,""))</f>
        <v>1.1910000000000001</v>
      </c>
      <c r="AV49" s="576">
        <f>IF(Ofwat_PC_Interventions!AV49&lt;&gt;"",Ofwat_PC_Interventions!AV49,IF(Company_PC_inputs!AV49&lt;&gt;"",Company_PC_inputs!AV49,""))</f>
        <v>1.1910000000000001</v>
      </c>
      <c r="AW49" s="576">
        <f>IF(Ofwat_PC_Interventions!AW49&lt;&gt;"",Ofwat_PC_Interventions!AW49,IF(Company_PC_inputs!AW49&lt;&gt;"",Company_PC_inputs!AW49,""))</f>
        <v>2.08E-6</v>
      </c>
      <c r="AX49" s="576">
        <f>IF(Ofwat_PC_Interventions!AX49&lt;&gt;"",Ofwat_PC_Interventions!AX49,IF(Company_PC_inputs!AX49&lt;&gt;"",Company_PC_inputs!AX49,""))</f>
        <v>4.81E-3</v>
      </c>
      <c r="AY49" s="576" t="str">
        <f>IF(Ofwat_PC_Interventions!AY49&lt;&gt;"",Ofwat_PC_Interventions!AY49,IF(Company_PC_inputs!AY49&lt;&gt;"",Company_PC_inputs!AY49,""))</f>
        <v/>
      </c>
      <c r="AZ49" s="576" t="str">
        <f>IF(Ofwat_PC_Interventions!AZ49&lt;&gt;"",Ofwat_PC_Interventions!AZ49,IF(Company_PC_inputs!AZ49&lt;&gt;"",Company_PC_inputs!AZ49,""))</f>
        <v/>
      </c>
      <c r="BA49" s="576" t="str">
        <f>IF(Ofwat_PC_Interventions!BA49&lt;&gt;"",Ofwat_PC_Interventions!BA49,IF(Company_PC_inputs!BA49&lt;&gt;"",Company_PC_inputs!BA49,""))</f>
        <v/>
      </c>
      <c r="BB49" s="576" t="str">
        <f>IF(Ofwat_PC_Interventions!BB49&lt;&gt;"",Ofwat_PC_Interventions!BB49,IF(Company_PC_inputs!BB49&lt;&gt;"",Company_PC_inputs!BB49,""))</f>
        <v/>
      </c>
      <c r="BC49" s="577" t="str">
        <f>IF(Ofwat_PC_Interventions!BC49&lt;&gt;"",Ofwat_PC_Interventions!BC49,IF(Company_PC_inputs!BC49&lt;&gt;"",Company_PC_inputs!BC49,""))</f>
        <v/>
      </c>
      <c r="BD49" s="576" t="str">
        <f>IF(Ofwat_PC_Interventions!BD49&lt;&gt;"",Ofwat_PC_Interventions!BD49,IF(Company_PC_inputs!BD49&lt;&gt;"",Company_PC_inputs!BD49,""))</f>
        <v/>
      </c>
      <c r="BE49" s="576" t="str">
        <f>IF(Ofwat_PC_Interventions!BE49&lt;&gt;"",Ofwat_PC_Interventions!BE49,IF(Company_PC_inputs!BE49&lt;&gt;"",Company_PC_inputs!BE49,""))</f>
        <v/>
      </c>
      <c r="BF49" s="576" t="str">
        <f>IF(Ofwat_PC_Interventions!BF49&lt;&gt;"",Ofwat_PC_Interventions!BF49,IF(Company_PC_inputs!BF49&lt;&gt;"",Company_PC_inputs!BF49,""))</f>
        <v/>
      </c>
      <c r="BG49" s="576" t="str">
        <f>IF(Ofwat_PC_Interventions!BG49&lt;&gt;"",Ofwat_PC_Interventions!BG49,IF(Company_PC_inputs!BG49&lt;&gt;"",Company_PC_inputs!BG49,""))</f>
        <v/>
      </c>
      <c r="BH49" s="576" t="str">
        <f>IF(Ofwat_PC_Interventions!BH49&lt;&gt;"",Ofwat_PC_Interventions!BH49,IF(Company_PC_inputs!BH49&lt;&gt;"",Company_PC_inputs!BH49,""))</f>
        <v/>
      </c>
      <c r="BI49" s="576" t="str">
        <f>IF(Ofwat_PC_Interventions!BI49&lt;&gt;"",Ofwat_PC_Interventions!BI49,IF(Company_PC_inputs!BI49&lt;&gt;"",Company_PC_inputs!BI49,""))</f>
        <v/>
      </c>
      <c r="BJ49" s="576" t="str">
        <f>IF(Ofwat_PC_Interventions!BJ49&lt;&gt;"",Ofwat_PC_Interventions!BJ49,IF(Company_PC_inputs!BJ49&lt;&gt;"",Company_PC_inputs!BJ49,""))</f>
        <v/>
      </c>
      <c r="BK49" s="576" t="str">
        <f>IF(Ofwat_PC_Interventions!BK49&lt;&gt;"",Ofwat_PC_Interventions!BK49,IF(Company_PC_inputs!BK49&lt;&gt;"",Company_PC_inputs!BK49,""))</f>
        <v/>
      </c>
      <c r="BL49" s="576" t="str">
        <f>IF(Ofwat_PC_Interventions!BL49&lt;&gt;"",Ofwat_PC_Interventions!BL49,IF(Company_PC_inputs!BL49&lt;&gt;"",Company_PC_inputs!BL49,""))</f>
        <v/>
      </c>
      <c r="BM49" s="576" t="str">
        <f>IF(Ofwat_PC_Interventions!BM49&lt;&gt;"",Ofwat_PC_Interventions!BM49,IF(Company_PC_inputs!BM49&lt;&gt;"",Company_PC_inputs!BM49,""))</f>
        <v/>
      </c>
      <c r="BN49" s="576" t="str">
        <f>IF(Ofwat_PC_Interventions!BN49&lt;&gt;"",Ofwat_PC_Interventions!BN49,IF(Company_PC_inputs!BN49&lt;&gt;"",Company_PC_inputs!BN49,""))</f>
        <v/>
      </c>
      <c r="BO49" s="576" t="str">
        <f>IF(Ofwat_PC_Interventions!BO49&lt;&gt;"",Ofwat_PC_Interventions!BO49,IF(Company_PC_inputs!BO49&lt;&gt;"",Company_PC_inputs!BO49,""))</f>
        <v/>
      </c>
      <c r="BP49" s="576" t="str">
        <f>IF(Ofwat_PC_Interventions!BP49&lt;&gt;"",Ofwat_PC_Interventions!BP49,IF(Company_PC_inputs!BP49&lt;&gt;"",Company_PC_inputs!BP49,""))</f>
        <v/>
      </c>
      <c r="BQ49" s="576" t="str">
        <f>IF(Ofwat_PC_Interventions!BQ49&lt;&gt;"",Ofwat_PC_Interventions!BQ49,IF(Company_PC_inputs!BQ49&lt;&gt;"",Company_PC_inputs!BQ49,""))</f>
        <v/>
      </c>
      <c r="BR49" s="576" t="str">
        <f>IF(Ofwat_PC_Interventions!BR49&lt;&gt;"",Ofwat_PC_Interventions!BR49,IF(Company_PC_inputs!BR49&lt;&gt;"",Company_PC_inputs!BR49,""))</f>
        <v/>
      </c>
      <c r="BS49" s="576" t="str">
        <f>IF(Ofwat_PC_Interventions!BS49&lt;&gt;"",Ofwat_PC_Interventions!BS49,IF(Company_PC_inputs!BS49&lt;&gt;"",Company_PC_inputs!BS49,""))</f>
        <v/>
      </c>
    </row>
    <row r="50" spans="1:71" s="202" customFormat="1" ht="13.15">
      <c r="A50" s="453"/>
      <c r="B50" s="453"/>
      <c r="C50" s="453"/>
      <c r="D50" s="453"/>
      <c r="E50" s="453" t="s">
        <v>1179</v>
      </c>
      <c r="F50" s="453"/>
      <c r="G50" s="453" t="str">
        <f>"£m/unit ("&amp;InpCompany!$F$10&amp;" prices)"</f>
        <v>£m/unit (2017-18 prices)</v>
      </c>
      <c r="H50" s="453"/>
      <c r="I50" s="453"/>
      <c r="J50" s="576">
        <f>IF(Ofwat_PC_Interventions!J50&lt;&gt;"",Ofwat_PC_Interventions!J50,IF(Company_PC_inputs!J50&lt;&gt;"",Company_PC_inputs!J50,""))</f>
        <v>-0.628</v>
      </c>
      <c r="K50" s="576">
        <f>IF(Ofwat_PC_Interventions!K50&lt;&gt;"",Ofwat_PC_Interventions!K50,IF(Company_PC_inputs!K50&lt;&gt;"",Company_PC_inputs!K50,""))</f>
        <v>-0.24399999999999999</v>
      </c>
      <c r="L50" s="576">
        <f>IF(Ofwat_PC_Interventions!L50&lt;&gt;"",Ofwat_PC_Interventions!L50,IF(Company_PC_inputs!L50&lt;&gt;"",Company_PC_inputs!L50,""))</f>
        <v>-0.26500000000000001</v>
      </c>
      <c r="M50" s="576" t="str">
        <f>IF(Ofwat_PC_Interventions!M50&lt;&gt;"",Ofwat_PC_Interventions!M50,IF(Company_PC_inputs!M50&lt;&gt;"",Company_PC_inputs!M50,""))</f>
        <v/>
      </c>
      <c r="N50" s="576">
        <f>IF(Ofwat_PC_Interventions!N50&lt;&gt;"",Ofwat_PC_Interventions!N50,IF(Company_PC_inputs!N50&lt;&gt;"",Company_PC_inputs!N50,""))</f>
        <v>-0.17799999999999999</v>
      </c>
      <c r="O50" s="576" t="str">
        <f>IF(Ofwat_PC_Interventions!O50&lt;&gt;"",Ofwat_PC_Interventions!O50,IF(Company_PC_inputs!O50&lt;&gt;"",Company_PC_inputs!O50,""))</f>
        <v/>
      </c>
      <c r="P50" s="576">
        <f>IF(Ofwat_PC_Interventions!P50&lt;&gt;"",Ofwat_PC_Interventions!P50,IF(Company_PC_inputs!P50&lt;&gt;"",Company_PC_inputs!P50,""))</f>
        <v>-8.4000000000000005E-2</v>
      </c>
      <c r="Q50" s="577">
        <f>IF(Ofwat_PC_Interventions!Q50&lt;&gt;"",Ofwat_PC_Interventions!Q50,IF(Company_PC_inputs!Q50&lt;&gt;"",Company_PC_inputs!Q50,""))</f>
        <v>-0.89600000000000002</v>
      </c>
      <c r="R50" s="576">
        <f>IF(Ofwat_PC_Interventions!R50&lt;&gt;"",Ofwat_PC_Interventions!R50,IF(Company_PC_inputs!R50&lt;&gt;"",Company_PC_inputs!R50,""))</f>
        <v>-4.62</v>
      </c>
      <c r="S50" s="576">
        <f>IF(Ofwat_PC_Interventions!S50&lt;&gt;"",Ofwat_PC_Interventions!S50,IF(Company_PC_inputs!S50&lt;&gt;"",Company_PC_inputs!S50,""))</f>
        <v>-4.62</v>
      </c>
      <c r="T50" s="576">
        <f>IF(Ofwat_PC_Interventions!T50&lt;&gt;"",Ofwat_PC_Interventions!T50,IF(Company_PC_inputs!T50&lt;&gt;"",Company_PC_inputs!T50,""))</f>
        <v>-0.63400000000000001</v>
      </c>
      <c r="U50" s="576" t="str">
        <f>IF(Ofwat_PC_Interventions!U50&lt;&gt;"",Ofwat_PC_Interventions!U50,IF(Company_PC_inputs!U50&lt;&gt;"",Company_PC_inputs!U50,""))</f>
        <v/>
      </c>
      <c r="V50" s="576">
        <f>IF(Ofwat_PC_Interventions!V50&lt;&gt;"",Ofwat_PC_Interventions!V50,IF(Company_PC_inputs!V50&lt;&gt;"",Company_PC_inputs!V50,""))</f>
        <v>-1.2</v>
      </c>
      <c r="W50" s="576" t="str">
        <f>IF(Ofwat_PC_Interventions!W50&lt;&gt;"",Ofwat_PC_Interventions!W50,IF(Company_PC_inputs!W50&lt;&gt;"",Company_PC_inputs!W50,""))</f>
        <v/>
      </c>
      <c r="X50" s="576">
        <f>IF(Ofwat_PC_Interventions!X50&lt;&gt;"",Ofwat_PC_Interventions!X50,IF(Company_PC_inputs!X50&lt;&gt;"",Company_PC_inputs!X50,""))</f>
        <v>-1.73E-3</v>
      </c>
      <c r="Y50" s="576">
        <f>IF(Ofwat_PC_Interventions!Y50&lt;&gt;"",Ofwat_PC_Interventions!Y50,IF(Company_PC_inputs!Y50&lt;&gt;"",Company_PC_inputs!Y50,""))</f>
        <v>-0.70430000000000004</v>
      </c>
      <c r="Z50" s="576">
        <f>IF(Ofwat_PC_Interventions!Z50&lt;&gt;"",Ofwat_PC_Interventions!Z50,IF(Company_PC_inputs!Z50&lt;&gt;"",Company_PC_inputs!Z50,""))</f>
        <v>-6.6299999999999996E-3</v>
      </c>
      <c r="AA50" s="576" t="str">
        <f>IF(Ofwat_PC_Interventions!AA50&lt;&gt;"",Ofwat_PC_Interventions!AA50,IF(Company_PC_inputs!AA50&lt;&gt;"",Company_PC_inputs!AA50,""))</f>
        <v/>
      </c>
      <c r="AB50" s="576" t="str">
        <f>IF(Ofwat_PC_Interventions!AB50&lt;&gt;"",Ofwat_PC_Interventions!AB50,IF(Company_PC_inputs!AB50&lt;&gt;"",Company_PC_inputs!AB50,""))</f>
        <v/>
      </c>
      <c r="AC50" s="576" t="str">
        <f>IF(Ofwat_PC_Interventions!AC50&lt;&gt;"",Ofwat_PC_Interventions!AC50,IF(Company_PC_inputs!AC50&lt;&gt;"",Company_PC_inputs!AC50,""))</f>
        <v/>
      </c>
      <c r="AD50" s="576" t="str">
        <f>IF(Ofwat_PC_Interventions!AD50&lt;&gt;"",Ofwat_PC_Interventions!AD50,IF(Company_PC_inputs!AD50&lt;&gt;"",Company_PC_inputs!AD50,""))</f>
        <v/>
      </c>
      <c r="AE50" s="576" t="str">
        <f>IF(Ofwat_PC_Interventions!AE50&lt;&gt;"",Ofwat_PC_Interventions!AE50,IF(Company_PC_inputs!AE50&lt;&gt;"",Company_PC_inputs!AE50,""))</f>
        <v/>
      </c>
      <c r="AF50" s="576" t="str">
        <f>IF(Ofwat_PC_Interventions!AF50&lt;&gt;"",Ofwat_PC_Interventions!AF50,IF(Company_PC_inputs!AF50&lt;&gt;"",Company_PC_inputs!AF50,""))</f>
        <v/>
      </c>
      <c r="AG50" s="576" t="str">
        <f>IF(Ofwat_PC_Interventions!AG50&lt;&gt;"",Ofwat_PC_Interventions!AG50,IF(Company_PC_inputs!AG50&lt;&gt;"",Company_PC_inputs!AG50,""))</f>
        <v/>
      </c>
      <c r="AH50" s="576" t="str">
        <f>IF(Ofwat_PC_Interventions!AH50&lt;&gt;"",Ofwat_PC_Interventions!AH50,IF(Company_PC_inputs!AH50&lt;&gt;"",Company_PC_inputs!AH50,""))</f>
        <v/>
      </c>
      <c r="AI50" s="576" t="str">
        <f>IF(Ofwat_PC_Interventions!AI50&lt;&gt;"",Ofwat_PC_Interventions!AI50,IF(Company_PC_inputs!AI50&lt;&gt;"",Company_PC_inputs!AI50,""))</f>
        <v/>
      </c>
      <c r="AJ50" s="576" t="str">
        <f>IF(Ofwat_PC_Interventions!AJ50&lt;&gt;"",Ofwat_PC_Interventions!AJ50,IF(Company_PC_inputs!AJ50&lt;&gt;"",Company_PC_inputs!AJ50,""))</f>
        <v/>
      </c>
      <c r="AK50" s="577" t="str">
        <f>IF(Ofwat_PC_Interventions!AK50&lt;&gt;"",Ofwat_PC_Interventions!AK50,IF(Company_PC_inputs!AK50&lt;&gt;"",Company_PC_inputs!AK50,""))</f>
        <v/>
      </c>
      <c r="AL50" s="576">
        <f>IF(Ofwat_PC_Interventions!AL50&lt;&gt;"",Ofwat_PC_Interventions!AL50,IF(Company_PC_inputs!AL50&lt;&gt;"",Company_PC_inputs!AL50,""))</f>
        <v>-5.5570000000000004</v>
      </c>
      <c r="AM50" s="576">
        <f>IF(Ofwat_PC_Interventions!AM50&lt;&gt;"",Ofwat_PC_Interventions!AM50,IF(Company_PC_inputs!AM50&lt;&gt;"",Company_PC_inputs!AM50,""))</f>
        <v>-0.315</v>
      </c>
      <c r="AN50" s="576">
        <f>IF(Ofwat_PC_Interventions!AN50&lt;&gt;"",Ofwat_PC_Interventions!AN50,IF(Company_PC_inputs!AN50&lt;&gt;"",Company_PC_inputs!AN50,""))</f>
        <v>-1.843</v>
      </c>
      <c r="AO50" s="577">
        <f>IF(Ofwat_PC_Interventions!AO50&lt;&gt;"",Ofwat_PC_Interventions!AO50,IF(Company_PC_inputs!AO50&lt;&gt;"",Company_PC_inputs!AO50,""))</f>
        <v>-10</v>
      </c>
      <c r="AP50" s="576" t="str">
        <f>IF(Ofwat_PC_Interventions!AP50&lt;&gt;"",Ofwat_PC_Interventions!AP50,IF(Company_PC_inputs!AP50&lt;&gt;"",Company_PC_inputs!AP50,""))</f>
        <v/>
      </c>
      <c r="AQ50" s="576">
        <f>IF(Ofwat_PC_Interventions!AQ50&lt;&gt;"",Ofwat_PC_Interventions!AQ50,IF(Company_PC_inputs!AQ50&lt;&gt;"",Company_PC_inputs!AQ50,""))</f>
        <v>-0.442</v>
      </c>
      <c r="AR50" s="576">
        <f>IF(Ofwat_PC_Interventions!AR50&lt;&gt;"",Ofwat_PC_Interventions!AR50,IF(Company_PC_inputs!AR50&lt;&gt;"",Company_PC_inputs!AR50,""))</f>
        <v>-0.41699999999999998</v>
      </c>
      <c r="AS50" s="576">
        <f>IF(Ofwat_PC_Interventions!AS50&lt;&gt;"",Ofwat_PC_Interventions!AS50,IF(Company_PC_inputs!AS50&lt;&gt;"",Company_PC_inputs!AS50,""))</f>
        <v>-0.248</v>
      </c>
      <c r="AT50" s="576">
        <f>IF(Ofwat_PC_Interventions!AT50&lt;&gt;"",Ofwat_PC_Interventions!AT50,IF(Company_PC_inputs!AT50&lt;&gt;"",Company_PC_inputs!AT50,""))</f>
        <v>-0.45</v>
      </c>
      <c r="AU50" s="576">
        <f>IF(Ofwat_PC_Interventions!AU50&lt;&gt;"",Ofwat_PC_Interventions!AU50,IF(Company_PC_inputs!AU50&lt;&gt;"",Company_PC_inputs!AU50,""))</f>
        <v>-1.8520000000000001</v>
      </c>
      <c r="AV50" s="576">
        <f>IF(Ofwat_PC_Interventions!AV50&lt;&gt;"",Ofwat_PC_Interventions!AV50,IF(Company_PC_inputs!AV50&lt;&gt;"",Company_PC_inputs!AV50,""))</f>
        <v>-1.7</v>
      </c>
      <c r="AW50" s="576">
        <f>IF(Ofwat_PC_Interventions!AW50&lt;&gt;"",Ofwat_PC_Interventions!AW50,IF(Company_PC_inputs!AW50&lt;&gt;"",Company_PC_inputs!AW50,""))</f>
        <v>-2.08E-6</v>
      </c>
      <c r="AX50" s="576">
        <f>IF(Ofwat_PC_Interventions!AX50&lt;&gt;"",Ofwat_PC_Interventions!AX50,IF(Company_PC_inputs!AX50&lt;&gt;"",Company_PC_inputs!AX50,""))</f>
        <v>-7.2700000000000004E-3</v>
      </c>
      <c r="AY50" s="576">
        <f>IF(Ofwat_PC_Interventions!AY50&lt;&gt;"",Ofwat_PC_Interventions!AY50,IF(Company_PC_inputs!AY50&lt;&gt;"",Company_PC_inputs!AY50,""))</f>
        <v>-0.1807</v>
      </c>
      <c r="AZ50" s="576" t="str">
        <f>IF(Ofwat_PC_Interventions!AZ50&lt;&gt;"",Ofwat_PC_Interventions!AZ50,IF(Company_PC_inputs!AZ50&lt;&gt;"",Company_PC_inputs!AZ50,""))</f>
        <v/>
      </c>
      <c r="BA50" s="576" t="str">
        <f>IF(Ofwat_PC_Interventions!BA50&lt;&gt;"",Ofwat_PC_Interventions!BA50,IF(Company_PC_inputs!BA50&lt;&gt;"",Company_PC_inputs!BA50,""))</f>
        <v/>
      </c>
      <c r="BB50" s="576" t="str">
        <f>IF(Ofwat_PC_Interventions!BB50&lt;&gt;"",Ofwat_PC_Interventions!BB50,IF(Company_PC_inputs!BB50&lt;&gt;"",Company_PC_inputs!BB50,""))</f>
        <v/>
      </c>
      <c r="BC50" s="577" t="str">
        <f>IF(Ofwat_PC_Interventions!BC50&lt;&gt;"",Ofwat_PC_Interventions!BC50,IF(Company_PC_inputs!BC50&lt;&gt;"",Company_PC_inputs!BC50,""))</f>
        <v/>
      </c>
      <c r="BD50" s="576" t="str">
        <f>IF(Ofwat_PC_Interventions!BD50&lt;&gt;"",Ofwat_PC_Interventions!BD50,IF(Company_PC_inputs!BD50&lt;&gt;"",Company_PC_inputs!BD50,""))</f>
        <v/>
      </c>
      <c r="BE50" s="576" t="str">
        <f>IF(Ofwat_PC_Interventions!BE50&lt;&gt;"",Ofwat_PC_Interventions!BE50,IF(Company_PC_inputs!BE50&lt;&gt;"",Company_PC_inputs!BE50,""))</f>
        <v/>
      </c>
      <c r="BF50" s="576" t="str">
        <f>IF(Ofwat_PC_Interventions!BF50&lt;&gt;"",Ofwat_PC_Interventions!BF50,IF(Company_PC_inputs!BF50&lt;&gt;"",Company_PC_inputs!BF50,""))</f>
        <v/>
      </c>
      <c r="BG50" s="576" t="str">
        <f>IF(Ofwat_PC_Interventions!BG50&lt;&gt;"",Ofwat_PC_Interventions!BG50,IF(Company_PC_inputs!BG50&lt;&gt;"",Company_PC_inputs!BG50,""))</f>
        <v/>
      </c>
      <c r="BH50" s="576" t="str">
        <f>IF(Ofwat_PC_Interventions!BH50&lt;&gt;"",Ofwat_PC_Interventions!BH50,IF(Company_PC_inputs!BH50&lt;&gt;"",Company_PC_inputs!BH50,""))</f>
        <v/>
      </c>
      <c r="BI50" s="576" t="str">
        <f>IF(Ofwat_PC_Interventions!BI50&lt;&gt;"",Ofwat_PC_Interventions!BI50,IF(Company_PC_inputs!BI50&lt;&gt;"",Company_PC_inputs!BI50,""))</f>
        <v/>
      </c>
      <c r="BJ50" s="576" t="str">
        <f>IF(Ofwat_PC_Interventions!BJ50&lt;&gt;"",Ofwat_PC_Interventions!BJ50,IF(Company_PC_inputs!BJ50&lt;&gt;"",Company_PC_inputs!BJ50,""))</f>
        <v/>
      </c>
      <c r="BK50" s="576" t="str">
        <f>IF(Ofwat_PC_Interventions!BK50&lt;&gt;"",Ofwat_PC_Interventions!BK50,IF(Company_PC_inputs!BK50&lt;&gt;"",Company_PC_inputs!BK50,""))</f>
        <v/>
      </c>
      <c r="BL50" s="576" t="str">
        <f>IF(Ofwat_PC_Interventions!BL50&lt;&gt;"",Ofwat_PC_Interventions!BL50,IF(Company_PC_inputs!BL50&lt;&gt;"",Company_PC_inputs!BL50,""))</f>
        <v/>
      </c>
      <c r="BM50" s="576" t="str">
        <f>IF(Ofwat_PC_Interventions!BM50&lt;&gt;"",Ofwat_PC_Interventions!BM50,IF(Company_PC_inputs!BM50&lt;&gt;"",Company_PC_inputs!BM50,""))</f>
        <v/>
      </c>
      <c r="BN50" s="576" t="str">
        <f>IF(Ofwat_PC_Interventions!BN50&lt;&gt;"",Ofwat_PC_Interventions!BN50,IF(Company_PC_inputs!BN50&lt;&gt;"",Company_PC_inputs!BN50,""))</f>
        <v/>
      </c>
      <c r="BO50" s="576" t="str">
        <f>IF(Ofwat_PC_Interventions!BO50&lt;&gt;"",Ofwat_PC_Interventions!BO50,IF(Company_PC_inputs!BO50&lt;&gt;"",Company_PC_inputs!BO50,""))</f>
        <v/>
      </c>
      <c r="BP50" s="576" t="str">
        <f>IF(Ofwat_PC_Interventions!BP50&lt;&gt;"",Ofwat_PC_Interventions!BP50,IF(Company_PC_inputs!BP50&lt;&gt;"",Company_PC_inputs!BP50,""))</f>
        <v/>
      </c>
      <c r="BQ50" s="576" t="str">
        <f>IF(Ofwat_PC_Interventions!BQ50&lt;&gt;"",Ofwat_PC_Interventions!BQ50,IF(Company_PC_inputs!BQ50&lt;&gt;"",Company_PC_inputs!BQ50,""))</f>
        <v/>
      </c>
      <c r="BR50" s="576" t="str">
        <f>IF(Ofwat_PC_Interventions!BR50&lt;&gt;"",Ofwat_PC_Interventions!BR50,IF(Company_PC_inputs!BR50&lt;&gt;"",Company_PC_inputs!BR50,""))</f>
        <v/>
      </c>
      <c r="BS50" s="576" t="str">
        <f>IF(Ofwat_PC_Interventions!BS50&lt;&gt;"",Ofwat_PC_Interventions!BS50,IF(Company_PC_inputs!BS50&lt;&gt;"",Company_PC_inputs!BS50,""))</f>
        <v/>
      </c>
    </row>
    <row r="51" spans="1:71" s="202" customFormat="1" ht="13.15">
      <c r="A51" s="453"/>
      <c r="B51" s="453"/>
      <c r="C51" s="453"/>
      <c r="D51" s="453"/>
      <c r="E51" s="453"/>
      <c r="F51" s="453"/>
      <c r="G51" s="453"/>
      <c r="H51" s="453"/>
      <c r="I51" s="453"/>
      <c r="J51" s="521" t="str">
        <f>IF(Ofwat_PC_Interventions!J51&lt;&gt;"",Ofwat_PC_Interventions!J51,IF(Company_PC_inputs!J51&lt;&gt;"",Company_PC_inputs!J51,""))</f>
        <v/>
      </c>
      <c r="K51" s="521" t="str">
        <f>IF(Ofwat_PC_Interventions!K51&lt;&gt;"",Ofwat_PC_Interventions!K51,IF(Company_PC_inputs!K51&lt;&gt;"",Company_PC_inputs!K51,""))</f>
        <v/>
      </c>
      <c r="L51" s="521" t="str">
        <f>IF(Ofwat_PC_Interventions!L51&lt;&gt;"",Ofwat_PC_Interventions!L51,IF(Company_PC_inputs!L51&lt;&gt;"",Company_PC_inputs!L51,""))</f>
        <v/>
      </c>
      <c r="M51" s="521" t="str">
        <f>IF(Ofwat_PC_Interventions!M51&lt;&gt;"",Ofwat_PC_Interventions!M51,IF(Company_PC_inputs!M51&lt;&gt;"",Company_PC_inputs!M51,""))</f>
        <v/>
      </c>
      <c r="N51" s="521" t="str">
        <f>IF(Ofwat_PC_Interventions!N51&lt;&gt;"",Ofwat_PC_Interventions!N51,IF(Company_PC_inputs!N51&lt;&gt;"",Company_PC_inputs!N51,""))</f>
        <v/>
      </c>
      <c r="O51" s="521" t="str">
        <f>IF(Ofwat_PC_Interventions!O51&lt;&gt;"",Ofwat_PC_Interventions!O51,IF(Company_PC_inputs!O51&lt;&gt;"",Company_PC_inputs!O51,""))</f>
        <v/>
      </c>
      <c r="P51" s="521" t="str">
        <f>IF(Ofwat_PC_Interventions!P51&lt;&gt;"",Ofwat_PC_Interventions!P51,IF(Company_PC_inputs!P51&lt;&gt;"",Company_PC_inputs!P51,""))</f>
        <v/>
      </c>
      <c r="Q51" s="522" t="str">
        <f>IF(Ofwat_PC_Interventions!Q51&lt;&gt;"",Ofwat_PC_Interventions!Q51,IF(Company_PC_inputs!Q51&lt;&gt;"",Company_PC_inputs!Q51,""))</f>
        <v/>
      </c>
      <c r="R51" s="521" t="str">
        <f>IF(Ofwat_PC_Interventions!R51&lt;&gt;"",Ofwat_PC_Interventions!R51,IF(Company_PC_inputs!R51&lt;&gt;"",Company_PC_inputs!R51,""))</f>
        <v/>
      </c>
      <c r="S51" s="521" t="str">
        <f>IF(Ofwat_PC_Interventions!S51&lt;&gt;"",Ofwat_PC_Interventions!S51,IF(Company_PC_inputs!S51&lt;&gt;"",Company_PC_inputs!S51,""))</f>
        <v/>
      </c>
      <c r="T51" s="521" t="str">
        <f>IF(Ofwat_PC_Interventions!T51&lt;&gt;"",Ofwat_PC_Interventions!T51,IF(Company_PC_inputs!T51&lt;&gt;"",Company_PC_inputs!T51,""))</f>
        <v/>
      </c>
      <c r="U51" s="521" t="str">
        <f>IF(Ofwat_PC_Interventions!U51&lt;&gt;"",Ofwat_PC_Interventions!U51,IF(Company_PC_inputs!U51&lt;&gt;"",Company_PC_inputs!U51,""))</f>
        <v/>
      </c>
      <c r="V51" s="521" t="str">
        <f>IF(Ofwat_PC_Interventions!V51&lt;&gt;"",Ofwat_PC_Interventions!V51,IF(Company_PC_inputs!V51&lt;&gt;"",Company_PC_inputs!V51,""))</f>
        <v/>
      </c>
      <c r="W51" s="521" t="str">
        <f>IF(Ofwat_PC_Interventions!W51&lt;&gt;"",Ofwat_PC_Interventions!W51,IF(Company_PC_inputs!W51&lt;&gt;"",Company_PC_inputs!W51,""))</f>
        <v/>
      </c>
      <c r="X51" s="521" t="str">
        <f>IF(Ofwat_PC_Interventions!X51&lt;&gt;"",Ofwat_PC_Interventions!X51,IF(Company_PC_inputs!X51&lt;&gt;"",Company_PC_inputs!X51,""))</f>
        <v/>
      </c>
      <c r="Y51" s="521" t="str">
        <f>IF(Ofwat_PC_Interventions!Y51&lt;&gt;"",Ofwat_PC_Interventions!Y51,IF(Company_PC_inputs!Y51&lt;&gt;"",Company_PC_inputs!Y51,""))</f>
        <v/>
      </c>
      <c r="Z51" s="521" t="str">
        <f>IF(Ofwat_PC_Interventions!Z51&lt;&gt;"",Ofwat_PC_Interventions!Z51,IF(Company_PC_inputs!Z51&lt;&gt;"",Company_PC_inputs!Z51,""))</f>
        <v/>
      </c>
      <c r="AA51" s="521" t="str">
        <f>IF(Ofwat_PC_Interventions!AA51&lt;&gt;"",Ofwat_PC_Interventions!AA51,IF(Company_PC_inputs!AA51&lt;&gt;"",Company_PC_inputs!AA51,""))</f>
        <v/>
      </c>
      <c r="AB51" s="521" t="str">
        <f>IF(Ofwat_PC_Interventions!AB51&lt;&gt;"",Ofwat_PC_Interventions!AB51,IF(Company_PC_inputs!AB51&lt;&gt;"",Company_PC_inputs!AB51,""))</f>
        <v/>
      </c>
      <c r="AC51" s="521" t="str">
        <f>IF(Ofwat_PC_Interventions!AC51&lt;&gt;"",Ofwat_PC_Interventions!AC51,IF(Company_PC_inputs!AC51&lt;&gt;"",Company_PC_inputs!AC51,""))</f>
        <v/>
      </c>
      <c r="AD51" s="521" t="str">
        <f>IF(Ofwat_PC_Interventions!AD51&lt;&gt;"",Ofwat_PC_Interventions!AD51,IF(Company_PC_inputs!AD51&lt;&gt;"",Company_PC_inputs!AD51,""))</f>
        <v/>
      </c>
      <c r="AE51" s="521" t="str">
        <f>IF(Ofwat_PC_Interventions!AE51&lt;&gt;"",Ofwat_PC_Interventions!AE51,IF(Company_PC_inputs!AE51&lt;&gt;"",Company_PC_inputs!AE51,""))</f>
        <v/>
      </c>
      <c r="AF51" s="521" t="str">
        <f>IF(Ofwat_PC_Interventions!AF51&lt;&gt;"",Ofwat_PC_Interventions!AF51,IF(Company_PC_inputs!AF51&lt;&gt;"",Company_PC_inputs!AF51,""))</f>
        <v/>
      </c>
      <c r="AG51" s="521" t="str">
        <f>IF(Ofwat_PC_Interventions!AG51&lt;&gt;"",Ofwat_PC_Interventions!AG51,IF(Company_PC_inputs!AG51&lt;&gt;"",Company_PC_inputs!AG51,""))</f>
        <v/>
      </c>
      <c r="AH51" s="521" t="str">
        <f>IF(Ofwat_PC_Interventions!AH51&lt;&gt;"",Ofwat_PC_Interventions!AH51,IF(Company_PC_inputs!AH51&lt;&gt;"",Company_PC_inputs!AH51,""))</f>
        <v/>
      </c>
      <c r="AI51" s="521" t="str">
        <f>IF(Ofwat_PC_Interventions!AI51&lt;&gt;"",Ofwat_PC_Interventions!AI51,IF(Company_PC_inputs!AI51&lt;&gt;"",Company_PC_inputs!AI51,""))</f>
        <v/>
      </c>
      <c r="AJ51" s="521" t="str">
        <f>IF(Ofwat_PC_Interventions!AJ51&lt;&gt;"",Ofwat_PC_Interventions!AJ51,IF(Company_PC_inputs!AJ51&lt;&gt;"",Company_PC_inputs!AJ51,""))</f>
        <v/>
      </c>
      <c r="AK51" s="522" t="str">
        <f>IF(Ofwat_PC_Interventions!AK51&lt;&gt;"",Ofwat_PC_Interventions!AK51,IF(Company_PC_inputs!AK51&lt;&gt;"",Company_PC_inputs!AK51,""))</f>
        <v/>
      </c>
      <c r="AL51" s="521" t="str">
        <f>IF(Ofwat_PC_Interventions!AL51&lt;&gt;"",Ofwat_PC_Interventions!AL51,IF(Company_PC_inputs!AL51&lt;&gt;"",Company_PC_inputs!AL51,""))</f>
        <v/>
      </c>
      <c r="AM51" s="521" t="str">
        <f>IF(Ofwat_PC_Interventions!AM51&lt;&gt;"",Ofwat_PC_Interventions!AM51,IF(Company_PC_inputs!AM51&lt;&gt;"",Company_PC_inputs!AM51,""))</f>
        <v/>
      </c>
      <c r="AN51" s="521" t="str">
        <f>IF(Ofwat_PC_Interventions!AN51&lt;&gt;"",Ofwat_PC_Interventions!AN51,IF(Company_PC_inputs!AN51&lt;&gt;"",Company_PC_inputs!AN51,""))</f>
        <v/>
      </c>
      <c r="AO51" s="522" t="str">
        <f>IF(Ofwat_PC_Interventions!AO51&lt;&gt;"",Ofwat_PC_Interventions!AO51,IF(Company_PC_inputs!AO51&lt;&gt;"",Company_PC_inputs!AO51,""))</f>
        <v/>
      </c>
      <c r="AP51" s="521" t="str">
        <f>IF(Ofwat_PC_Interventions!AP51&lt;&gt;"",Ofwat_PC_Interventions!AP51,IF(Company_PC_inputs!AP51&lt;&gt;"",Company_PC_inputs!AP51,""))</f>
        <v/>
      </c>
      <c r="AQ51" s="521" t="str">
        <f>IF(Ofwat_PC_Interventions!AQ51&lt;&gt;"",Ofwat_PC_Interventions!AQ51,IF(Company_PC_inputs!AQ51&lt;&gt;"",Company_PC_inputs!AQ51,""))</f>
        <v/>
      </c>
      <c r="AR51" s="521" t="str">
        <f>IF(Ofwat_PC_Interventions!AR51&lt;&gt;"",Ofwat_PC_Interventions!AR51,IF(Company_PC_inputs!AR51&lt;&gt;"",Company_PC_inputs!AR51,""))</f>
        <v/>
      </c>
      <c r="AS51" s="521" t="str">
        <f>IF(Ofwat_PC_Interventions!AS51&lt;&gt;"",Ofwat_PC_Interventions!AS51,IF(Company_PC_inputs!AS51&lt;&gt;"",Company_PC_inputs!AS51,""))</f>
        <v/>
      </c>
      <c r="AT51" s="521" t="str">
        <f>IF(Ofwat_PC_Interventions!AT51&lt;&gt;"",Ofwat_PC_Interventions!AT51,IF(Company_PC_inputs!AT51&lt;&gt;"",Company_PC_inputs!AT51,""))</f>
        <v/>
      </c>
      <c r="AU51" s="521" t="str">
        <f>IF(Ofwat_PC_Interventions!AU51&lt;&gt;"",Ofwat_PC_Interventions!AU51,IF(Company_PC_inputs!AU51&lt;&gt;"",Company_PC_inputs!AU51,""))</f>
        <v/>
      </c>
      <c r="AV51" s="521" t="str">
        <f>IF(Ofwat_PC_Interventions!AV51&lt;&gt;"",Ofwat_PC_Interventions!AV51,IF(Company_PC_inputs!AV51&lt;&gt;"",Company_PC_inputs!AV51,""))</f>
        <v/>
      </c>
      <c r="AW51" s="521" t="str">
        <f>IF(Ofwat_PC_Interventions!AW51&lt;&gt;"",Ofwat_PC_Interventions!AW51,IF(Company_PC_inputs!AW51&lt;&gt;"",Company_PC_inputs!AW51,""))</f>
        <v/>
      </c>
      <c r="AX51" s="521" t="str">
        <f>IF(Ofwat_PC_Interventions!AX51&lt;&gt;"",Ofwat_PC_Interventions!AX51,IF(Company_PC_inputs!AX51&lt;&gt;"",Company_PC_inputs!AX51,""))</f>
        <v/>
      </c>
      <c r="AY51" s="521" t="str">
        <f>IF(Ofwat_PC_Interventions!AY51&lt;&gt;"",Ofwat_PC_Interventions!AY51,IF(Company_PC_inputs!AY51&lt;&gt;"",Company_PC_inputs!AY51,""))</f>
        <v/>
      </c>
      <c r="AZ51" s="521" t="str">
        <f>IF(Ofwat_PC_Interventions!AZ51&lt;&gt;"",Ofwat_PC_Interventions!AZ51,IF(Company_PC_inputs!AZ51&lt;&gt;"",Company_PC_inputs!AZ51,""))</f>
        <v/>
      </c>
      <c r="BA51" s="521" t="str">
        <f>IF(Ofwat_PC_Interventions!BA51&lt;&gt;"",Ofwat_PC_Interventions!BA51,IF(Company_PC_inputs!BA51&lt;&gt;"",Company_PC_inputs!BA51,""))</f>
        <v/>
      </c>
      <c r="BB51" s="521" t="str">
        <f>IF(Ofwat_PC_Interventions!BB51&lt;&gt;"",Ofwat_PC_Interventions!BB51,IF(Company_PC_inputs!BB51&lt;&gt;"",Company_PC_inputs!BB51,""))</f>
        <v/>
      </c>
      <c r="BC51" s="522" t="str">
        <f>IF(Ofwat_PC_Interventions!BC51&lt;&gt;"",Ofwat_PC_Interventions!BC51,IF(Company_PC_inputs!BC51&lt;&gt;"",Company_PC_inputs!BC51,""))</f>
        <v/>
      </c>
      <c r="BD51" s="521" t="str">
        <f>IF(Ofwat_PC_Interventions!BD51&lt;&gt;"",Ofwat_PC_Interventions!BD51,IF(Company_PC_inputs!BD51&lt;&gt;"",Company_PC_inputs!BD51,""))</f>
        <v/>
      </c>
      <c r="BE51" s="521" t="str">
        <f>IF(Ofwat_PC_Interventions!BE51&lt;&gt;"",Ofwat_PC_Interventions!BE51,IF(Company_PC_inputs!BE51&lt;&gt;"",Company_PC_inputs!BE51,""))</f>
        <v/>
      </c>
      <c r="BF51" s="521" t="str">
        <f>IF(Ofwat_PC_Interventions!BF51&lt;&gt;"",Ofwat_PC_Interventions!BF51,IF(Company_PC_inputs!BF51&lt;&gt;"",Company_PC_inputs!BF51,""))</f>
        <v/>
      </c>
      <c r="BG51" s="521" t="str">
        <f>IF(Ofwat_PC_Interventions!BG51&lt;&gt;"",Ofwat_PC_Interventions!BG51,IF(Company_PC_inputs!BG51&lt;&gt;"",Company_PC_inputs!BG51,""))</f>
        <v/>
      </c>
      <c r="BH51" s="521" t="str">
        <f>IF(Ofwat_PC_Interventions!BH51&lt;&gt;"",Ofwat_PC_Interventions!BH51,IF(Company_PC_inputs!BH51&lt;&gt;"",Company_PC_inputs!BH51,""))</f>
        <v/>
      </c>
      <c r="BI51" s="521" t="str">
        <f>IF(Ofwat_PC_Interventions!BI51&lt;&gt;"",Ofwat_PC_Interventions!BI51,IF(Company_PC_inputs!BI51&lt;&gt;"",Company_PC_inputs!BI51,""))</f>
        <v/>
      </c>
      <c r="BJ51" s="521" t="str">
        <f>IF(Ofwat_PC_Interventions!BJ51&lt;&gt;"",Ofwat_PC_Interventions!BJ51,IF(Company_PC_inputs!BJ51&lt;&gt;"",Company_PC_inputs!BJ51,""))</f>
        <v/>
      </c>
      <c r="BK51" s="521" t="str">
        <f>IF(Ofwat_PC_Interventions!BK51&lt;&gt;"",Ofwat_PC_Interventions!BK51,IF(Company_PC_inputs!BK51&lt;&gt;"",Company_PC_inputs!BK51,""))</f>
        <v/>
      </c>
      <c r="BL51" s="521" t="str">
        <f>IF(Ofwat_PC_Interventions!BL51&lt;&gt;"",Ofwat_PC_Interventions!BL51,IF(Company_PC_inputs!BL51&lt;&gt;"",Company_PC_inputs!BL51,""))</f>
        <v/>
      </c>
      <c r="BM51" s="521" t="str">
        <f>IF(Ofwat_PC_Interventions!BM51&lt;&gt;"",Ofwat_PC_Interventions!BM51,IF(Company_PC_inputs!BM51&lt;&gt;"",Company_PC_inputs!BM51,""))</f>
        <v/>
      </c>
      <c r="BN51" s="521" t="str">
        <f>IF(Ofwat_PC_Interventions!BN51&lt;&gt;"",Ofwat_PC_Interventions!BN51,IF(Company_PC_inputs!BN51&lt;&gt;"",Company_PC_inputs!BN51,""))</f>
        <v/>
      </c>
      <c r="BO51" s="521" t="str">
        <f>IF(Ofwat_PC_Interventions!BO51&lt;&gt;"",Ofwat_PC_Interventions!BO51,IF(Company_PC_inputs!BO51&lt;&gt;"",Company_PC_inputs!BO51,""))</f>
        <v/>
      </c>
      <c r="BP51" s="521" t="str">
        <f>IF(Ofwat_PC_Interventions!BP51&lt;&gt;"",Ofwat_PC_Interventions!BP51,IF(Company_PC_inputs!BP51&lt;&gt;"",Company_PC_inputs!BP51,""))</f>
        <v/>
      </c>
      <c r="BQ51" s="521" t="str">
        <f>IF(Ofwat_PC_Interventions!BQ51&lt;&gt;"",Ofwat_PC_Interventions!BQ51,IF(Company_PC_inputs!BQ51&lt;&gt;"",Company_PC_inputs!BQ51,""))</f>
        <v/>
      </c>
      <c r="BR51" s="521" t="str">
        <f>IF(Ofwat_PC_Interventions!BR51&lt;&gt;"",Ofwat_PC_Interventions!BR51,IF(Company_PC_inputs!BR51&lt;&gt;"",Company_PC_inputs!BR51,""))</f>
        <v/>
      </c>
      <c r="BS51" s="521" t="str">
        <f>IF(Ofwat_PC_Interventions!BS51&lt;&gt;"",Ofwat_PC_Interventions!BS51,IF(Company_PC_inputs!BS51&lt;&gt;"",Company_PC_inputs!BS51,""))</f>
        <v/>
      </c>
    </row>
    <row r="52" spans="1:71" s="202" customFormat="1" ht="13.15">
      <c r="A52" s="453"/>
      <c r="B52" s="453"/>
      <c r="C52" s="453"/>
      <c r="D52" s="463" t="s">
        <v>1180</v>
      </c>
      <c r="E52" s="453"/>
      <c r="F52" s="453"/>
      <c r="G52" s="453"/>
      <c r="H52" s="453"/>
      <c r="I52" s="453"/>
      <c r="J52" s="490" t="str">
        <f>IF(Ofwat_PC_Interventions!J52&lt;&gt;"",Ofwat_PC_Interventions!J52,IF(Company_PC_inputs!J52&lt;&gt;"",Company_PC_inputs!J52,""))</f>
        <v/>
      </c>
      <c r="K52" s="490" t="str">
        <f>IF(Ofwat_PC_Interventions!K52&lt;&gt;"",Ofwat_PC_Interventions!K52,IF(Company_PC_inputs!K52&lt;&gt;"",Company_PC_inputs!K52,""))</f>
        <v/>
      </c>
      <c r="L52" s="490" t="str">
        <f>IF(Ofwat_PC_Interventions!L52&lt;&gt;"",Ofwat_PC_Interventions!L52,IF(Company_PC_inputs!L52&lt;&gt;"",Company_PC_inputs!L52,""))</f>
        <v/>
      </c>
      <c r="M52" s="490" t="str">
        <f>IF(Ofwat_PC_Interventions!M52&lt;&gt;"",Ofwat_PC_Interventions!M52,IF(Company_PC_inputs!M52&lt;&gt;"",Company_PC_inputs!M52,""))</f>
        <v/>
      </c>
      <c r="N52" s="490" t="str">
        <f>IF(Ofwat_PC_Interventions!N52&lt;&gt;"",Ofwat_PC_Interventions!N52,IF(Company_PC_inputs!N52&lt;&gt;"",Company_PC_inputs!N52,""))</f>
        <v/>
      </c>
      <c r="O52" s="490" t="str">
        <f>IF(Ofwat_PC_Interventions!O52&lt;&gt;"",Ofwat_PC_Interventions!O52,IF(Company_PC_inputs!O52&lt;&gt;"",Company_PC_inputs!O52,""))</f>
        <v/>
      </c>
      <c r="P52" s="490" t="str">
        <f>IF(Ofwat_PC_Interventions!P52&lt;&gt;"",Ofwat_PC_Interventions!P52,IF(Company_PC_inputs!P52&lt;&gt;"",Company_PC_inputs!P52,""))</f>
        <v/>
      </c>
      <c r="Q52" s="491" t="str">
        <f>IF(Ofwat_PC_Interventions!Q52&lt;&gt;"",Ofwat_PC_Interventions!Q52,IF(Company_PC_inputs!Q52&lt;&gt;"",Company_PC_inputs!Q52,""))</f>
        <v/>
      </c>
      <c r="R52" s="490" t="str">
        <f>IF(Ofwat_PC_Interventions!R52&lt;&gt;"",Ofwat_PC_Interventions!R52,IF(Company_PC_inputs!R52&lt;&gt;"",Company_PC_inputs!R52,""))</f>
        <v/>
      </c>
      <c r="S52" s="490" t="str">
        <f>IF(Ofwat_PC_Interventions!S52&lt;&gt;"",Ofwat_PC_Interventions!S52,IF(Company_PC_inputs!S52&lt;&gt;"",Company_PC_inputs!S52,""))</f>
        <v/>
      </c>
      <c r="T52" s="490" t="str">
        <f>IF(Ofwat_PC_Interventions!T52&lt;&gt;"",Ofwat_PC_Interventions!T52,IF(Company_PC_inputs!T52&lt;&gt;"",Company_PC_inputs!T52,""))</f>
        <v/>
      </c>
      <c r="U52" s="490" t="str">
        <f>IF(Ofwat_PC_Interventions!U52&lt;&gt;"",Ofwat_PC_Interventions!U52,IF(Company_PC_inputs!U52&lt;&gt;"",Company_PC_inputs!U52,""))</f>
        <v/>
      </c>
      <c r="V52" s="490" t="str">
        <f>IF(Ofwat_PC_Interventions!V52&lt;&gt;"",Ofwat_PC_Interventions!V52,IF(Company_PC_inputs!V52&lt;&gt;"",Company_PC_inputs!V52,""))</f>
        <v/>
      </c>
      <c r="W52" s="490" t="str">
        <f>IF(Ofwat_PC_Interventions!W52&lt;&gt;"",Ofwat_PC_Interventions!W52,IF(Company_PC_inputs!W52&lt;&gt;"",Company_PC_inputs!W52,""))</f>
        <v/>
      </c>
      <c r="X52" s="490" t="str">
        <f>IF(Ofwat_PC_Interventions!X52&lt;&gt;"",Ofwat_PC_Interventions!X52,IF(Company_PC_inputs!X52&lt;&gt;"",Company_PC_inputs!X52,""))</f>
        <v/>
      </c>
      <c r="Y52" s="490" t="str">
        <f>IF(Ofwat_PC_Interventions!Y52&lt;&gt;"",Ofwat_PC_Interventions!Y52,IF(Company_PC_inputs!Y52&lt;&gt;"",Company_PC_inputs!Y52,""))</f>
        <v/>
      </c>
      <c r="Z52" s="490" t="str">
        <f>IF(Ofwat_PC_Interventions!Z52&lt;&gt;"",Ofwat_PC_Interventions!Z52,IF(Company_PC_inputs!Z52&lt;&gt;"",Company_PC_inputs!Z52,""))</f>
        <v/>
      </c>
      <c r="AA52" s="490" t="str">
        <f>IF(Ofwat_PC_Interventions!AA52&lt;&gt;"",Ofwat_PC_Interventions!AA52,IF(Company_PC_inputs!AA52&lt;&gt;"",Company_PC_inputs!AA52,""))</f>
        <v/>
      </c>
      <c r="AB52" s="490" t="str">
        <f>IF(Ofwat_PC_Interventions!AB52&lt;&gt;"",Ofwat_PC_Interventions!AB52,IF(Company_PC_inputs!AB52&lt;&gt;"",Company_PC_inputs!AB52,""))</f>
        <v/>
      </c>
      <c r="AC52" s="490" t="str">
        <f>IF(Ofwat_PC_Interventions!AC52&lt;&gt;"",Ofwat_PC_Interventions!AC52,IF(Company_PC_inputs!AC52&lt;&gt;"",Company_PC_inputs!AC52,""))</f>
        <v/>
      </c>
      <c r="AD52" s="490" t="str">
        <f>IF(Ofwat_PC_Interventions!AD52&lt;&gt;"",Ofwat_PC_Interventions!AD52,IF(Company_PC_inputs!AD52&lt;&gt;"",Company_PC_inputs!AD52,""))</f>
        <v/>
      </c>
      <c r="AE52" s="490" t="str">
        <f>IF(Ofwat_PC_Interventions!AE52&lt;&gt;"",Ofwat_PC_Interventions!AE52,IF(Company_PC_inputs!AE52&lt;&gt;"",Company_PC_inputs!AE52,""))</f>
        <v/>
      </c>
      <c r="AF52" s="490" t="str">
        <f>IF(Ofwat_PC_Interventions!AF52&lt;&gt;"",Ofwat_PC_Interventions!AF52,IF(Company_PC_inputs!AF52&lt;&gt;"",Company_PC_inputs!AF52,""))</f>
        <v/>
      </c>
      <c r="AG52" s="490" t="str">
        <f>IF(Ofwat_PC_Interventions!AG52&lt;&gt;"",Ofwat_PC_Interventions!AG52,IF(Company_PC_inputs!AG52&lt;&gt;"",Company_PC_inputs!AG52,""))</f>
        <v/>
      </c>
      <c r="AH52" s="490" t="str">
        <f>IF(Ofwat_PC_Interventions!AH52&lt;&gt;"",Ofwat_PC_Interventions!AH52,IF(Company_PC_inputs!AH52&lt;&gt;"",Company_PC_inputs!AH52,""))</f>
        <v/>
      </c>
      <c r="AI52" s="490" t="str">
        <f>IF(Ofwat_PC_Interventions!AI52&lt;&gt;"",Ofwat_PC_Interventions!AI52,IF(Company_PC_inputs!AI52&lt;&gt;"",Company_PC_inputs!AI52,""))</f>
        <v/>
      </c>
      <c r="AJ52" s="490" t="str">
        <f>IF(Ofwat_PC_Interventions!AJ52&lt;&gt;"",Ofwat_PC_Interventions!AJ52,IF(Company_PC_inputs!AJ52&lt;&gt;"",Company_PC_inputs!AJ52,""))</f>
        <v/>
      </c>
      <c r="AK52" s="491" t="str">
        <f>IF(Ofwat_PC_Interventions!AK52&lt;&gt;"",Ofwat_PC_Interventions!AK52,IF(Company_PC_inputs!AK52&lt;&gt;"",Company_PC_inputs!AK52,""))</f>
        <v/>
      </c>
      <c r="AL52" s="490" t="str">
        <f>IF(Ofwat_PC_Interventions!AL52&lt;&gt;"",Ofwat_PC_Interventions!AL52,IF(Company_PC_inputs!AL52&lt;&gt;"",Company_PC_inputs!AL52,""))</f>
        <v/>
      </c>
      <c r="AM52" s="490" t="str">
        <f>IF(Ofwat_PC_Interventions!AM52&lt;&gt;"",Ofwat_PC_Interventions!AM52,IF(Company_PC_inputs!AM52&lt;&gt;"",Company_PC_inputs!AM52,""))</f>
        <v/>
      </c>
      <c r="AN52" s="490" t="str">
        <f>IF(Ofwat_PC_Interventions!AN52&lt;&gt;"",Ofwat_PC_Interventions!AN52,IF(Company_PC_inputs!AN52&lt;&gt;"",Company_PC_inputs!AN52,""))</f>
        <v/>
      </c>
      <c r="AO52" s="491" t="str">
        <f>IF(Ofwat_PC_Interventions!AO52&lt;&gt;"",Ofwat_PC_Interventions!AO52,IF(Company_PC_inputs!AO52&lt;&gt;"",Company_PC_inputs!AO52,""))</f>
        <v/>
      </c>
      <c r="AP52" s="490" t="str">
        <f>IF(Ofwat_PC_Interventions!AP52&lt;&gt;"",Ofwat_PC_Interventions!AP52,IF(Company_PC_inputs!AP52&lt;&gt;"",Company_PC_inputs!AP52,""))</f>
        <v/>
      </c>
      <c r="AQ52" s="490" t="str">
        <f>IF(Ofwat_PC_Interventions!AQ52&lt;&gt;"",Ofwat_PC_Interventions!AQ52,IF(Company_PC_inputs!AQ52&lt;&gt;"",Company_PC_inputs!AQ52,""))</f>
        <v/>
      </c>
      <c r="AR52" s="490" t="str">
        <f>IF(Ofwat_PC_Interventions!AR52&lt;&gt;"",Ofwat_PC_Interventions!AR52,IF(Company_PC_inputs!AR52&lt;&gt;"",Company_PC_inputs!AR52,""))</f>
        <v/>
      </c>
      <c r="AS52" s="490" t="str">
        <f>IF(Ofwat_PC_Interventions!AS52&lt;&gt;"",Ofwat_PC_Interventions!AS52,IF(Company_PC_inputs!AS52&lt;&gt;"",Company_PC_inputs!AS52,""))</f>
        <v/>
      </c>
      <c r="AT52" s="490" t="str">
        <f>IF(Ofwat_PC_Interventions!AT52&lt;&gt;"",Ofwat_PC_Interventions!AT52,IF(Company_PC_inputs!AT52&lt;&gt;"",Company_PC_inputs!AT52,""))</f>
        <v/>
      </c>
      <c r="AU52" s="490" t="str">
        <f>IF(Ofwat_PC_Interventions!AU52&lt;&gt;"",Ofwat_PC_Interventions!AU52,IF(Company_PC_inputs!AU52&lt;&gt;"",Company_PC_inputs!AU52,""))</f>
        <v/>
      </c>
      <c r="AV52" s="490" t="str">
        <f>IF(Ofwat_PC_Interventions!AV52&lt;&gt;"",Ofwat_PC_Interventions!AV52,IF(Company_PC_inputs!AV52&lt;&gt;"",Company_PC_inputs!AV52,""))</f>
        <v/>
      </c>
      <c r="AW52" s="490" t="str">
        <f>IF(Ofwat_PC_Interventions!AW52&lt;&gt;"",Ofwat_PC_Interventions!AW52,IF(Company_PC_inputs!AW52&lt;&gt;"",Company_PC_inputs!AW52,""))</f>
        <v/>
      </c>
      <c r="AX52" s="490" t="str">
        <f>IF(Ofwat_PC_Interventions!AX52&lt;&gt;"",Ofwat_PC_Interventions!AX52,IF(Company_PC_inputs!AX52&lt;&gt;"",Company_PC_inputs!AX52,""))</f>
        <v/>
      </c>
      <c r="AY52" s="490" t="str">
        <f>IF(Ofwat_PC_Interventions!AY52&lt;&gt;"",Ofwat_PC_Interventions!AY52,IF(Company_PC_inputs!AY52&lt;&gt;"",Company_PC_inputs!AY52,""))</f>
        <v/>
      </c>
      <c r="AZ52" s="490" t="str">
        <f>IF(Ofwat_PC_Interventions!AZ52&lt;&gt;"",Ofwat_PC_Interventions!AZ52,IF(Company_PC_inputs!AZ52&lt;&gt;"",Company_PC_inputs!AZ52,""))</f>
        <v/>
      </c>
      <c r="BA52" s="490" t="str">
        <f>IF(Ofwat_PC_Interventions!BA52&lt;&gt;"",Ofwat_PC_Interventions!BA52,IF(Company_PC_inputs!BA52&lt;&gt;"",Company_PC_inputs!BA52,""))</f>
        <v/>
      </c>
      <c r="BB52" s="490" t="str">
        <f>IF(Ofwat_PC_Interventions!BB52&lt;&gt;"",Ofwat_PC_Interventions!BB52,IF(Company_PC_inputs!BB52&lt;&gt;"",Company_PC_inputs!BB52,""))</f>
        <v/>
      </c>
      <c r="BC52" s="491" t="str">
        <f>IF(Ofwat_PC_Interventions!BC52&lt;&gt;"",Ofwat_PC_Interventions!BC52,IF(Company_PC_inputs!BC52&lt;&gt;"",Company_PC_inputs!BC52,""))</f>
        <v/>
      </c>
      <c r="BD52" s="490" t="str">
        <f>IF(Ofwat_PC_Interventions!BD52&lt;&gt;"",Ofwat_PC_Interventions!BD52,IF(Company_PC_inputs!BD52&lt;&gt;"",Company_PC_inputs!BD52,""))</f>
        <v/>
      </c>
      <c r="BE52" s="490" t="str">
        <f>IF(Ofwat_PC_Interventions!BE52&lt;&gt;"",Ofwat_PC_Interventions!BE52,IF(Company_PC_inputs!BE52&lt;&gt;"",Company_PC_inputs!BE52,""))</f>
        <v/>
      </c>
      <c r="BF52" s="490" t="str">
        <f>IF(Ofwat_PC_Interventions!BF52&lt;&gt;"",Ofwat_PC_Interventions!BF52,IF(Company_PC_inputs!BF52&lt;&gt;"",Company_PC_inputs!BF52,""))</f>
        <v/>
      </c>
      <c r="BG52" s="490" t="str">
        <f>IF(Ofwat_PC_Interventions!BG52&lt;&gt;"",Ofwat_PC_Interventions!BG52,IF(Company_PC_inputs!BG52&lt;&gt;"",Company_PC_inputs!BG52,""))</f>
        <v/>
      </c>
      <c r="BH52" s="490" t="str">
        <f>IF(Ofwat_PC_Interventions!BH52&lt;&gt;"",Ofwat_PC_Interventions!BH52,IF(Company_PC_inputs!BH52&lt;&gt;"",Company_PC_inputs!BH52,""))</f>
        <v/>
      </c>
      <c r="BI52" s="490" t="str">
        <f>IF(Ofwat_PC_Interventions!BI52&lt;&gt;"",Ofwat_PC_Interventions!BI52,IF(Company_PC_inputs!BI52&lt;&gt;"",Company_PC_inputs!BI52,""))</f>
        <v/>
      </c>
      <c r="BJ52" s="490" t="str">
        <f>IF(Ofwat_PC_Interventions!BJ52&lt;&gt;"",Ofwat_PC_Interventions!BJ52,IF(Company_PC_inputs!BJ52&lt;&gt;"",Company_PC_inputs!BJ52,""))</f>
        <v/>
      </c>
      <c r="BK52" s="490" t="str">
        <f>IF(Ofwat_PC_Interventions!BK52&lt;&gt;"",Ofwat_PC_Interventions!BK52,IF(Company_PC_inputs!BK52&lt;&gt;"",Company_PC_inputs!BK52,""))</f>
        <v/>
      </c>
      <c r="BL52" s="490" t="str">
        <f>IF(Ofwat_PC_Interventions!BL52&lt;&gt;"",Ofwat_PC_Interventions!BL52,IF(Company_PC_inputs!BL52&lt;&gt;"",Company_PC_inputs!BL52,""))</f>
        <v/>
      </c>
      <c r="BM52" s="490" t="str">
        <f>IF(Ofwat_PC_Interventions!BM52&lt;&gt;"",Ofwat_PC_Interventions!BM52,IF(Company_PC_inputs!BM52&lt;&gt;"",Company_PC_inputs!BM52,""))</f>
        <v/>
      </c>
      <c r="BN52" s="490" t="str">
        <f>IF(Ofwat_PC_Interventions!BN52&lt;&gt;"",Ofwat_PC_Interventions!BN52,IF(Company_PC_inputs!BN52&lt;&gt;"",Company_PC_inputs!BN52,""))</f>
        <v/>
      </c>
      <c r="BO52" s="490" t="str">
        <f>IF(Ofwat_PC_Interventions!BO52&lt;&gt;"",Ofwat_PC_Interventions!BO52,IF(Company_PC_inputs!BO52&lt;&gt;"",Company_PC_inputs!BO52,""))</f>
        <v/>
      </c>
      <c r="BP52" s="490" t="str">
        <f>IF(Ofwat_PC_Interventions!BP52&lt;&gt;"",Ofwat_PC_Interventions!BP52,IF(Company_PC_inputs!BP52&lt;&gt;"",Company_PC_inputs!BP52,""))</f>
        <v/>
      </c>
      <c r="BQ52" s="490" t="str">
        <f>IF(Ofwat_PC_Interventions!BQ52&lt;&gt;"",Ofwat_PC_Interventions!BQ52,IF(Company_PC_inputs!BQ52&lt;&gt;"",Company_PC_inputs!BQ52,""))</f>
        <v/>
      </c>
      <c r="BR52" s="490" t="str">
        <f>IF(Ofwat_PC_Interventions!BR52&lt;&gt;"",Ofwat_PC_Interventions!BR52,IF(Company_PC_inputs!BR52&lt;&gt;"",Company_PC_inputs!BR52,""))</f>
        <v/>
      </c>
      <c r="BS52" s="490" t="str">
        <f>IF(Ofwat_PC_Interventions!BS52&lt;&gt;"",Ofwat_PC_Interventions!BS52,IF(Company_PC_inputs!BS52&lt;&gt;"",Company_PC_inputs!BS52,""))</f>
        <v/>
      </c>
    </row>
    <row r="53" spans="1:71" s="202" customFormat="1" ht="13.15">
      <c r="A53" s="453"/>
      <c r="B53" s="453"/>
      <c r="C53" s="453"/>
      <c r="D53" s="453"/>
      <c r="E53" s="453" t="s">
        <v>1181</v>
      </c>
      <c r="F53" s="453"/>
      <c r="G53" s="453" t="s">
        <v>418</v>
      </c>
      <c r="H53" s="453"/>
      <c r="I53" s="453"/>
      <c r="J53" s="494" t="b">
        <f>IF(Ofwat_PC_Interventions!J53&lt;&gt;"",Ofwat_PC_Interventions!J53,IF(Company_PC_inputs!J53&lt;&gt;"",Company_PC_inputs!J53,""))</f>
        <v>0</v>
      </c>
      <c r="K53" s="494" t="b">
        <f>IF(Ofwat_PC_Interventions!K53&lt;&gt;"",Ofwat_PC_Interventions!K53,IF(Company_PC_inputs!K53&lt;&gt;"",Company_PC_inputs!K53,""))</f>
        <v>0</v>
      </c>
      <c r="L53" s="494" t="b">
        <f>IF(Ofwat_PC_Interventions!L53&lt;&gt;"",Ofwat_PC_Interventions!L53,IF(Company_PC_inputs!L53&lt;&gt;"",Company_PC_inputs!L53,""))</f>
        <v>0</v>
      </c>
      <c r="M53" s="494" t="b">
        <f>IF(Ofwat_PC_Interventions!M53&lt;&gt;"",Ofwat_PC_Interventions!M53,IF(Company_PC_inputs!M53&lt;&gt;"",Company_PC_inputs!M53,""))</f>
        <v>0</v>
      </c>
      <c r="N53" s="494" t="b">
        <f>IF(Ofwat_PC_Interventions!N53&lt;&gt;"",Ofwat_PC_Interventions!N53,IF(Company_PC_inputs!N53&lt;&gt;"",Company_PC_inputs!N53,""))</f>
        <v>0</v>
      </c>
      <c r="O53" s="494" t="b">
        <f>IF(Ofwat_PC_Interventions!O53&lt;&gt;"",Ofwat_PC_Interventions!O53,IF(Company_PC_inputs!O53&lt;&gt;"",Company_PC_inputs!O53,""))</f>
        <v>0</v>
      </c>
      <c r="P53" s="494" t="b">
        <f>IF(Ofwat_PC_Interventions!P53&lt;&gt;"",Ofwat_PC_Interventions!P53,IF(Company_PC_inputs!P53&lt;&gt;"",Company_PC_inputs!P53,""))</f>
        <v>0</v>
      </c>
      <c r="Q53" s="496" t="b">
        <f>IF(Ofwat_PC_Interventions!Q53&lt;&gt;"",Ofwat_PC_Interventions!Q53,IF(Company_PC_inputs!Q53&lt;&gt;"",Company_PC_inputs!Q53,""))</f>
        <v>0</v>
      </c>
      <c r="R53" s="494" t="b">
        <f>IF(Ofwat_PC_Interventions!R53&lt;&gt;"",Ofwat_PC_Interventions!R53,IF(Company_PC_inputs!R53&lt;&gt;"",Company_PC_inputs!R53,""))</f>
        <v>0</v>
      </c>
      <c r="S53" s="494" t="b">
        <f>IF(Ofwat_PC_Interventions!S53&lt;&gt;"",Ofwat_PC_Interventions!S53,IF(Company_PC_inputs!S53&lt;&gt;"",Company_PC_inputs!S53,""))</f>
        <v>0</v>
      </c>
      <c r="T53" s="494" t="b">
        <f>IF(Ofwat_PC_Interventions!T53&lt;&gt;"",Ofwat_PC_Interventions!T53,IF(Company_PC_inputs!T53&lt;&gt;"",Company_PC_inputs!T53,""))</f>
        <v>0</v>
      </c>
      <c r="U53" s="494" t="b">
        <f>IF(Ofwat_PC_Interventions!U53&lt;&gt;"",Ofwat_PC_Interventions!U53,IF(Company_PC_inputs!U53&lt;&gt;"",Company_PC_inputs!U53,""))</f>
        <v>0</v>
      </c>
      <c r="V53" s="494" t="b">
        <f>IF(Ofwat_PC_Interventions!V53&lt;&gt;"",Ofwat_PC_Interventions!V53,IF(Company_PC_inputs!V53&lt;&gt;"",Company_PC_inputs!V53,""))</f>
        <v>0</v>
      </c>
      <c r="W53" s="494" t="b">
        <f>IF(Ofwat_PC_Interventions!W53&lt;&gt;"",Ofwat_PC_Interventions!W53,IF(Company_PC_inputs!W53&lt;&gt;"",Company_PC_inputs!W53,""))</f>
        <v>0</v>
      </c>
      <c r="X53" s="494" t="b">
        <f>IF(Ofwat_PC_Interventions!X53&lt;&gt;"",Ofwat_PC_Interventions!X53,IF(Company_PC_inputs!X53&lt;&gt;"",Company_PC_inputs!X53,""))</f>
        <v>0</v>
      </c>
      <c r="Y53" s="494" t="b">
        <f>IF(Ofwat_PC_Interventions!Y53&lt;&gt;"",Ofwat_PC_Interventions!Y53,IF(Company_PC_inputs!Y53&lt;&gt;"",Company_PC_inputs!Y53,""))</f>
        <v>0</v>
      </c>
      <c r="Z53" s="494" t="b">
        <f>IF(Ofwat_PC_Interventions!Z53&lt;&gt;"",Ofwat_PC_Interventions!Z53,IF(Company_PC_inputs!Z53&lt;&gt;"",Company_PC_inputs!Z53,""))</f>
        <v>0</v>
      </c>
      <c r="AA53" s="494" t="b">
        <f>IF(Ofwat_PC_Interventions!AA53&lt;&gt;"",Ofwat_PC_Interventions!AA53,IF(Company_PC_inputs!AA53&lt;&gt;"",Company_PC_inputs!AA53,""))</f>
        <v>0</v>
      </c>
      <c r="AB53" s="494" t="b">
        <f>IF(Ofwat_PC_Interventions!AB53&lt;&gt;"",Ofwat_PC_Interventions!AB53,IF(Company_PC_inputs!AB53&lt;&gt;"",Company_PC_inputs!AB53,""))</f>
        <v>0</v>
      </c>
      <c r="AC53" s="494" t="b">
        <f>IF(Ofwat_PC_Interventions!AC53&lt;&gt;"",Ofwat_PC_Interventions!AC53,IF(Company_PC_inputs!AC53&lt;&gt;"",Company_PC_inputs!AC53,""))</f>
        <v>0</v>
      </c>
      <c r="AD53" s="494" t="b">
        <f>IF(Ofwat_PC_Interventions!AD53&lt;&gt;"",Ofwat_PC_Interventions!AD53,IF(Company_PC_inputs!AD53&lt;&gt;"",Company_PC_inputs!AD53,""))</f>
        <v>0</v>
      </c>
      <c r="AE53" s="494" t="b">
        <f>IF(Ofwat_PC_Interventions!AE53&lt;&gt;"",Ofwat_PC_Interventions!AE53,IF(Company_PC_inputs!AE53&lt;&gt;"",Company_PC_inputs!AE53,""))</f>
        <v>0</v>
      </c>
      <c r="AF53" s="494" t="b">
        <f>IF(Ofwat_PC_Interventions!AF53&lt;&gt;"",Ofwat_PC_Interventions!AF53,IF(Company_PC_inputs!AF53&lt;&gt;"",Company_PC_inputs!AF53,""))</f>
        <v>0</v>
      </c>
      <c r="AG53" s="494" t="b">
        <f>IF(Ofwat_PC_Interventions!AG53&lt;&gt;"",Ofwat_PC_Interventions!AG53,IF(Company_PC_inputs!AG53&lt;&gt;"",Company_PC_inputs!AG53,""))</f>
        <v>0</v>
      </c>
      <c r="AH53" s="494" t="b">
        <f>IF(Ofwat_PC_Interventions!AH53&lt;&gt;"",Ofwat_PC_Interventions!AH53,IF(Company_PC_inputs!AH53&lt;&gt;"",Company_PC_inputs!AH53,""))</f>
        <v>0</v>
      </c>
      <c r="AI53" s="494" t="b">
        <f>IF(Ofwat_PC_Interventions!AI53&lt;&gt;"",Ofwat_PC_Interventions!AI53,IF(Company_PC_inputs!AI53&lt;&gt;"",Company_PC_inputs!AI53,""))</f>
        <v>0</v>
      </c>
      <c r="AJ53" s="494" t="b">
        <f>IF(Ofwat_PC_Interventions!AJ53&lt;&gt;"",Ofwat_PC_Interventions!AJ53,IF(Company_PC_inputs!AJ53&lt;&gt;"",Company_PC_inputs!AJ53,""))</f>
        <v>0</v>
      </c>
      <c r="AK53" s="496" t="b">
        <f>IF(Ofwat_PC_Interventions!AK53&lt;&gt;"",Ofwat_PC_Interventions!AK53,IF(Company_PC_inputs!AK53&lt;&gt;"",Company_PC_inputs!AK53,""))</f>
        <v>0</v>
      </c>
      <c r="AL53" s="494" t="b">
        <f>IF(Ofwat_PC_Interventions!AL53&lt;&gt;"",Ofwat_PC_Interventions!AL53,IF(Company_PC_inputs!AL53&lt;&gt;"",Company_PC_inputs!AL53,""))</f>
        <v>0</v>
      </c>
      <c r="AM53" s="494" t="b">
        <f>IF(Ofwat_PC_Interventions!AM53&lt;&gt;"",Ofwat_PC_Interventions!AM53,IF(Company_PC_inputs!AM53&lt;&gt;"",Company_PC_inputs!AM53,""))</f>
        <v>0</v>
      </c>
      <c r="AN53" s="494" t="b">
        <f>IF(Ofwat_PC_Interventions!AN53&lt;&gt;"",Ofwat_PC_Interventions!AN53,IF(Company_PC_inputs!AN53&lt;&gt;"",Company_PC_inputs!AN53,""))</f>
        <v>0</v>
      </c>
      <c r="AO53" s="496" t="b">
        <f>IF(Ofwat_PC_Interventions!AO53&lt;&gt;"",Ofwat_PC_Interventions!AO53,IF(Company_PC_inputs!AO53&lt;&gt;"",Company_PC_inputs!AO53,""))</f>
        <v>0</v>
      </c>
      <c r="AP53" s="494" t="b">
        <f>IF(Ofwat_PC_Interventions!AP53&lt;&gt;"",Ofwat_PC_Interventions!AP53,IF(Company_PC_inputs!AP53&lt;&gt;"",Company_PC_inputs!AP53,""))</f>
        <v>0</v>
      </c>
      <c r="AQ53" s="494" t="b">
        <f>IF(Ofwat_PC_Interventions!AQ53&lt;&gt;"",Ofwat_PC_Interventions!AQ53,IF(Company_PC_inputs!AQ53&lt;&gt;"",Company_PC_inputs!AQ53,""))</f>
        <v>0</v>
      </c>
      <c r="AR53" s="494" t="b">
        <f>IF(Ofwat_PC_Interventions!AR53&lt;&gt;"",Ofwat_PC_Interventions!AR53,IF(Company_PC_inputs!AR53&lt;&gt;"",Company_PC_inputs!AR53,""))</f>
        <v>0</v>
      </c>
      <c r="AS53" s="494" t="b">
        <f>IF(Ofwat_PC_Interventions!AS53&lt;&gt;"",Ofwat_PC_Interventions!AS53,IF(Company_PC_inputs!AS53&lt;&gt;"",Company_PC_inputs!AS53,""))</f>
        <v>0</v>
      </c>
      <c r="AT53" s="494" t="b">
        <f>IF(Ofwat_PC_Interventions!AT53&lt;&gt;"",Ofwat_PC_Interventions!AT53,IF(Company_PC_inputs!AT53&lt;&gt;"",Company_PC_inputs!AT53,""))</f>
        <v>0</v>
      </c>
      <c r="AU53" s="494" t="b">
        <f>IF(Ofwat_PC_Interventions!AU53&lt;&gt;"",Ofwat_PC_Interventions!AU53,IF(Company_PC_inputs!AU53&lt;&gt;"",Company_PC_inputs!AU53,""))</f>
        <v>0</v>
      </c>
      <c r="AV53" s="494" t="b">
        <f>IF(Ofwat_PC_Interventions!AV53&lt;&gt;"",Ofwat_PC_Interventions!AV53,IF(Company_PC_inputs!AV53&lt;&gt;"",Company_PC_inputs!AV53,""))</f>
        <v>0</v>
      </c>
      <c r="AW53" s="494" t="b">
        <f>IF(Ofwat_PC_Interventions!AW53&lt;&gt;"",Ofwat_PC_Interventions!AW53,IF(Company_PC_inputs!AW53&lt;&gt;"",Company_PC_inputs!AW53,""))</f>
        <v>0</v>
      </c>
      <c r="AX53" s="494" t="b">
        <f>IF(Ofwat_PC_Interventions!AX53&lt;&gt;"",Ofwat_PC_Interventions!AX53,IF(Company_PC_inputs!AX53&lt;&gt;"",Company_PC_inputs!AX53,""))</f>
        <v>0</v>
      </c>
      <c r="AY53" s="494" t="b">
        <f>IF(Ofwat_PC_Interventions!AY53&lt;&gt;"",Ofwat_PC_Interventions!AY53,IF(Company_PC_inputs!AY53&lt;&gt;"",Company_PC_inputs!AY53,""))</f>
        <v>0</v>
      </c>
      <c r="AZ53" s="494" t="b">
        <f>IF(Ofwat_PC_Interventions!AZ53&lt;&gt;"",Ofwat_PC_Interventions!AZ53,IF(Company_PC_inputs!AZ53&lt;&gt;"",Company_PC_inputs!AZ53,""))</f>
        <v>0</v>
      </c>
      <c r="BA53" s="494" t="b">
        <f>IF(Ofwat_PC_Interventions!BA53&lt;&gt;"",Ofwat_PC_Interventions!BA53,IF(Company_PC_inputs!BA53&lt;&gt;"",Company_PC_inputs!BA53,""))</f>
        <v>0</v>
      </c>
      <c r="BB53" s="494" t="b">
        <f>IF(Ofwat_PC_Interventions!BB53&lt;&gt;"",Ofwat_PC_Interventions!BB53,IF(Company_PC_inputs!BB53&lt;&gt;"",Company_PC_inputs!BB53,""))</f>
        <v>0</v>
      </c>
      <c r="BC53" s="496" t="b">
        <f>IF(Ofwat_PC_Interventions!BC53&lt;&gt;"",Ofwat_PC_Interventions!BC53,IF(Company_PC_inputs!BC53&lt;&gt;"",Company_PC_inputs!BC53,""))</f>
        <v>0</v>
      </c>
      <c r="BD53" s="494" t="b">
        <f>IF(Ofwat_PC_Interventions!BD53&lt;&gt;"",Ofwat_PC_Interventions!BD53,IF(Company_PC_inputs!BD53&lt;&gt;"",Company_PC_inputs!BD53,""))</f>
        <v>0</v>
      </c>
      <c r="BE53" s="494" t="b">
        <f>IF(Ofwat_PC_Interventions!BE53&lt;&gt;"",Ofwat_PC_Interventions!BE53,IF(Company_PC_inputs!BE53&lt;&gt;"",Company_PC_inputs!BE53,""))</f>
        <v>0</v>
      </c>
      <c r="BF53" s="494" t="b">
        <f>IF(Ofwat_PC_Interventions!BF53&lt;&gt;"",Ofwat_PC_Interventions!BF53,IF(Company_PC_inputs!BF53&lt;&gt;"",Company_PC_inputs!BF53,""))</f>
        <v>0</v>
      </c>
      <c r="BG53" s="494" t="b">
        <f>IF(Ofwat_PC_Interventions!BG53&lt;&gt;"",Ofwat_PC_Interventions!BG53,IF(Company_PC_inputs!BG53&lt;&gt;"",Company_PC_inputs!BG53,""))</f>
        <v>0</v>
      </c>
      <c r="BH53" s="494" t="b">
        <f>IF(Ofwat_PC_Interventions!BH53&lt;&gt;"",Ofwat_PC_Interventions!BH53,IF(Company_PC_inputs!BH53&lt;&gt;"",Company_PC_inputs!BH53,""))</f>
        <v>0</v>
      </c>
      <c r="BI53" s="494" t="b">
        <f>IF(Ofwat_PC_Interventions!BI53&lt;&gt;"",Ofwat_PC_Interventions!BI53,IF(Company_PC_inputs!BI53&lt;&gt;"",Company_PC_inputs!BI53,""))</f>
        <v>0</v>
      </c>
      <c r="BJ53" s="494" t="b">
        <f>IF(Ofwat_PC_Interventions!BJ53&lt;&gt;"",Ofwat_PC_Interventions!BJ53,IF(Company_PC_inputs!BJ53&lt;&gt;"",Company_PC_inputs!BJ53,""))</f>
        <v>0</v>
      </c>
      <c r="BK53" s="494" t="b">
        <f>IF(Ofwat_PC_Interventions!BK53&lt;&gt;"",Ofwat_PC_Interventions!BK53,IF(Company_PC_inputs!BK53&lt;&gt;"",Company_PC_inputs!BK53,""))</f>
        <v>0</v>
      </c>
      <c r="BL53" s="494" t="b">
        <f>IF(Ofwat_PC_Interventions!BL53&lt;&gt;"",Ofwat_PC_Interventions!BL53,IF(Company_PC_inputs!BL53&lt;&gt;"",Company_PC_inputs!BL53,""))</f>
        <v>0</v>
      </c>
      <c r="BM53" s="494" t="b">
        <f>IF(Ofwat_PC_Interventions!BM53&lt;&gt;"",Ofwat_PC_Interventions!BM53,IF(Company_PC_inputs!BM53&lt;&gt;"",Company_PC_inputs!BM53,""))</f>
        <v>0</v>
      </c>
      <c r="BN53" s="494" t="b">
        <f>IF(Ofwat_PC_Interventions!BN53&lt;&gt;"",Ofwat_PC_Interventions!BN53,IF(Company_PC_inputs!BN53&lt;&gt;"",Company_PC_inputs!BN53,""))</f>
        <v>0</v>
      </c>
      <c r="BO53" s="494" t="b">
        <f>IF(Ofwat_PC_Interventions!BO53&lt;&gt;"",Ofwat_PC_Interventions!BO53,IF(Company_PC_inputs!BO53&lt;&gt;"",Company_PC_inputs!BO53,""))</f>
        <v>0</v>
      </c>
      <c r="BP53" s="494" t="b">
        <f>IF(Ofwat_PC_Interventions!BP53&lt;&gt;"",Ofwat_PC_Interventions!BP53,IF(Company_PC_inputs!BP53&lt;&gt;"",Company_PC_inputs!BP53,""))</f>
        <v>0</v>
      </c>
      <c r="BQ53" s="494" t="b">
        <f>IF(Ofwat_PC_Interventions!BQ53&lt;&gt;"",Ofwat_PC_Interventions!BQ53,IF(Company_PC_inputs!BQ53&lt;&gt;"",Company_PC_inputs!BQ53,""))</f>
        <v>0</v>
      </c>
      <c r="BR53" s="494" t="b">
        <f>IF(Ofwat_PC_Interventions!BR53&lt;&gt;"",Ofwat_PC_Interventions!BR53,IF(Company_PC_inputs!BR53&lt;&gt;"",Company_PC_inputs!BR53,""))</f>
        <v>0</v>
      </c>
      <c r="BS53" s="494" t="b">
        <f>IF(Ofwat_PC_Interventions!BS53&lt;&gt;"",Ofwat_PC_Interventions!BS53,IF(Company_PC_inputs!BS53&lt;&gt;"",Company_PC_inputs!BS53,""))</f>
        <v>0</v>
      </c>
    </row>
    <row r="54" spans="1:71" s="202" customFormat="1" ht="13.15">
      <c r="A54" s="453"/>
      <c r="B54" s="453"/>
      <c r="C54" s="453"/>
      <c r="D54" s="453"/>
      <c r="E54" s="453" t="s">
        <v>1182</v>
      </c>
      <c r="F54" s="453"/>
      <c r="G54" s="453" t="s">
        <v>1183</v>
      </c>
      <c r="H54" s="453"/>
      <c r="I54" s="453"/>
      <c r="J54" s="490" t="str">
        <f>IF(Ofwat_PC_Interventions!J54&lt;&gt;"",Ofwat_PC_Interventions!J54,IF(Company_PC_inputs!J54&lt;&gt;"",Company_PC_inputs!J54,""))</f>
        <v/>
      </c>
      <c r="K54" s="490" t="str">
        <f>IF(Ofwat_PC_Interventions!K54&lt;&gt;"",Ofwat_PC_Interventions!K54,IF(Company_PC_inputs!K54&lt;&gt;"",Company_PC_inputs!K54,""))</f>
        <v/>
      </c>
      <c r="L54" s="490" t="str">
        <f>IF(Ofwat_PC_Interventions!L54&lt;&gt;"",Ofwat_PC_Interventions!L54,IF(Company_PC_inputs!L54&lt;&gt;"",Company_PC_inputs!L54,""))</f>
        <v/>
      </c>
      <c r="M54" s="490" t="str">
        <f>IF(Ofwat_PC_Interventions!M54&lt;&gt;"",Ofwat_PC_Interventions!M54,IF(Company_PC_inputs!M54&lt;&gt;"",Company_PC_inputs!M54,""))</f>
        <v/>
      </c>
      <c r="N54" s="490" t="str">
        <f>IF(Ofwat_PC_Interventions!N54&lt;&gt;"",Ofwat_PC_Interventions!N54,IF(Company_PC_inputs!N54&lt;&gt;"",Company_PC_inputs!N54,""))</f>
        <v/>
      </c>
      <c r="O54" s="490" t="str">
        <f>IF(Ofwat_PC_Interventions!O54&lt;&gt;"",Ofwat_PC_Interventions!O54,IF(Company_PC_inputs!O54&lt;&gt;"",Company_PC_inputs!O54,""))</f>
        <v/>
      </c>
      <c r="P54" s="490" t="str">
        <f>IF(Ofwat_PC_Interventions!P54&lt;&gt;"",Ofwat_PC_Interventions!P54,IF(Company_PC_inputs!P54&lt;&gt;"",Company_PC_inputs!P54,""))</f>
        <v/>
      </c>
      <c r="Q54" s="491" t="str">
        <f>IF(Ofwat_PC_Interventions!Q54&lt;&gt;"",Ofwat_PC_Interventions!Q54,IF(Company_PC_inputs!Q54&lt;&gt;"",Company_PC_inputs!Q54,""))</f>
        <v/>
      </c>
      <c r="R54" s="490" t="str">
        <f>IF(Ofwat_PC_Interventions!R54&lt;&gt;"",Ofwat_PC_Interventions!R54,IF(Company_PC_inputs!R54&lt;&gt;"",Company_PC_inputs!R54,""))</f>
        <v/>
      </c>
      <c r="S54" s="490" t="str">
        <f>IF(Ofwat_PC_Interventions!S54&lt;&gt;"",Ofwat_PC_Interventions!S54,IF(Company_PC_inputs!S54&lt;&gt;"",Company_PC_inputs!S54,""))</f>
        <v/>
      </c>
      <c r="T54" s="490" t="str">
        <f>IF(Ofwat_PC_Interventions!T54&lt;&gt;"",Ofwat_PC_Interventions!T54,IF(Company_PC_inputs!T54&lt;&gt;"",Company_PC_inputs!T54,""))</f>
        <v/>
      </c>
      <c r="U54" s="490" t="str">
        <f>IF(Ofwat_PC_Interventions!U54&lt;&gt;"",Ofwat_PC_Interventions!U54,IF(Company_PC_inputs!U54&lt;&gt;"",Company_PC_inputs!U54,""))</f>
        <v/>
      </c>
      <c r="V54" s="490" t="str">
        <f>IF(Ofwat_PC_Interventions!V54&lt;&gt;"",Ofwat_PC_Interventions!V54,IF(Company_PC_inputs!V54&lt;&gt;"",Company_PC_inputs!V54,""))</f>
        <v/>
      </c>
      <c r="W54" s="490" t="str">
        <f>IF(Ofwat_PC_Interventions!W54&lt;&gt;"",Ofwat_PC_Interventions!W54,IF(Company_PC_inputs!W54&lt;&gt;"",Company_PC_inputs!W54,""))</f>
        <v/>
      </c>
      <c r="X54" s="490" t="str">
        <f>IF(Ofwat_PC_Interventions!X54&lt;&gt;"",Ofwat_PC_Interventions!X54,IF(Company_PC_inputs!X54&lt;&gt;"",Company_PC_inputs!X54,""))</f>
        <v/>
      </c>
      <c r="Y54" s="490" t="str">
        <f>IF(Ofwat_PC_Interventions!Y54&lt;&gt;"",Ofwat_PC_Interventions!Y54,IF(Company_PC_inputs!Y54&lt;&gt;"",Company_PC_inputs!Y54,""))</f>
        <v/>
      </c>
      <c r="Z54" s="490" t="str">
        <f>IF(Ofwat_PC_Interventions!Z54&lt;&gt;"",Ofwat_PC_Interventions!Z54,IF(Company_PC_inputs!Z54&lt;&gt;"",Company_PC_inputs!Z54,""))</f>
        <v/>
      </c>
      <c r="AA54" s="490" t="str">
        <f>IF(Ofwat_PC_Interventions!AA54&lt;&gt;"",Ofwat_PC_Interventions!AA54,IF(Company_PC_inputs!AA54&lt;&gt;"",Company_PC_inputs!AA54,""))</f>
        <v/>
      </c>
      <c r="AB54" s="490" t="str">
        <f>IF(Ofwat_PC_Interventions!AB54&lt;&gt;"",Ofwat_PC_Interventions!AB54,IF(Company_PC_inputs!AB54&lt;&gt;"",Company_PC_inputs!AB54,""))</f>
        <v/>
      </c>
      <c r="AC54" s="490" t="str">
        <f>IF(Ofwat_PC_Interventions!AC54&lt;&gt;"",Ofwat_PC_Interventions!AC54,IF(Company_PC_inputs!AC54&lt;&gt;"",Company_PC_inputs!AC54,""))</f>
        <v/>
      </c>
      <c r="AD54" s="490" t="str">
        <f>IF(Ofwat_PC_Interventions!AD54&lt;&gt;"",Ofwat_PC_Interventions!AD54,IF(Company_PC_inputs!AD54&lt;&gt;"",Company_PC_inputs!AD54,""))</f>
        <v/>
      </c>
      <c r="AE54" s="490" t="str">
        <f>IF(Ofwat_PC_Interventions!AE54&lt;&gt;"",Ofwat_PC_Interventions!AE54,IF(Company_PC_inputs!AE54&lt;&gt;"",Company_PC_inputs!AE54,""))</f>
        <v/>
      </c>
      <c r="AF54" s="490" t="str">
        <f>IF(Ofwat_PC_Interventions!AF54&lt;&gt;"",Ofwat_PC_Interventions!AF54,IF(Company_PC_inputs!AF54&lt;&gt;"",Company_PC_inputs!AF54,""))</f>
        <v/>
      </c>
      <c r="AG54" s="490" t="str">
        <f>IF(Ofwat_PC_Interventions!AG54&lt;&gt;"",Ofwat_PC_Interventions!AG54,IF(Company_PC_inputs!AG54&lt;&gt;"",Company_PC_inputs!AG54,""))</f>
        <v/>
      </c>
      <c r="AH54" s="490" t="str">
        <f>IF(Ofwat_PC_Interventions!AH54&lt;&gt;"",Ofwat_PC_Interventions!AH54,IF(Company_PC_inputs!AH54&lt;&gt;"",Company_PC_inputs!AH54,""))</f>
        <v/>
      </c>
      <c r="AI54" s="490" t="str">
        <f>IF(Ofwat_PC_Interventions!AI54&lt;&gt;"",Ofwat_PC_Interventions!AI54,IF(Company_PC_inputs!AI54&lt;&gt;"",Company_PC_inputs!AI54,""))</f>
        <v/>
      </c>
      <c r="AJ54" s="490" t="str">
        <f>IF(Ofwat_PC_Interventions!AJ54&lt;&gt;"",Ofwat_PC_Interventions!AJ54,IF(Company_PC_inputs!AJ54&lt;&gt;"",Company_PC_inputs!AJ54,""))</f>
        <v/>
      </c>
      <c r="AK54" s="491" t="str">
        <f>IF(Ofwat_PC_Interventions!AK54&lt;&gt;"",Ofwat_PC_Interventions!AK54,IF(Company_PC_inputs!AK54&lt;&gt;"",Company_PC_inputs!AK54,""))</f>
        <v/>
      </c>
      <c r="AL54" s="490" t="str">
        <f>IF(Ofwat_PC_Interventions!AL54&lt;&gt;"",Ofwat_PC_Interventions!AL54,IF(Company_PC_inputs!AL54&lt;&gt;"",Company_PC_inputs!AL54,""))</f>
        <v/>
      </c>
      <c r="AM54" s="490" t="str">
        <f>IF(Ofwat_PC_Interventions!AM54&lt;&gt;"",Ofwat_PC_Interventions!AM54,IF(Company_PC_inputs!AM54&lt;&gt;"",Company_PC_inputs!AM54,""))</f>
        <v/>
      </c>
      <c r="AN54" s="490" t="str">
        <f>IF(Ofwat_PC_Interventions!AN54&lt;&gt;"",Ofwat_PC_Interventions!AN54,IF(Company_PC_inputs!AN54&lt;&gt;"",Company_PC_inputs!AN54,""))</f>
        <v/>
      </c>
      <c r="AO54" s="491" t="str">
        <f>IF(Ofwat_PC_Interventions!AO54&lt;&gt;"",Ofwat_PC_Interventions!AO54,IF(Company_PC_inputs!AO54&lt;&gt;"",Company_PC_inputs!AO54,""))</f>
        <v/>
      </c>
      <c r="AP54" s="490" t="str">
        <f>IF(Ofwat_PC_Interventions!AP54&lt;&gt;"",Ofwat_PC_Interventions!AP54,IF(Company_PC_inputs!AP54&lt;&gt;"",Company_PC_inputs!AP54,""))</f>
        <v/>
      </c>
      <c r="AQ54" s="490" t="str">
        <f>IF(Ofwat_PC_Interventions!AQ54&lt;&gt;"",Ofwat_PC_Interventions!AQ54,IF(Company_PC_inputs!AQ54&lt;&gt;"",Company_PC_inputs!AQ54,""))</f>
        <v/>
      </c>
      <c r="AR54" s="490" t="str">
        <f>IF(Ofwat_PC_Interventions!AR54&lt;&gt;"",Ofwat_PC_Interventions!AR54,IF(Company_PC_inputs!AR54&lt;&gt;"",Company_PC_inputs!AR54,""))</f>
        <v/>
      </c>
      <c r="AS54" s="490" t="str">
        <f>IF(Ofwat_PC_Interventions!AS54&lt;&gt;"",Ofwat_PC_Interventions!AS54,IF(Company_PC_inputs!AS54&lt;&gt;"",Company_PC_inputs!AS54,""))</f>
        <v/>
      </c>
      <c r="AT54" s="490" t="str">
        <f>IF(Ofwat_PC_Interventions!AT54&lt;&gt;"",Ofwat_PC_Interventions!AT54,IF(Company_PC_inputs!AT54&lt;&gt;"",Company_PC_inputs!AT54,""))</f>
        <v/>
      </c>
      <c r="AU54" s="490" t="str">
        <f>IF(Ofwat_PC_Interventions!AU54&lt;&gt;"",Ofwat_PC_Interventions!AU54,IF(Company_PC_inputs!AU54&lt;&gt;"",Company_PC_inputs!AU54,""))</f>
        <v/>
      </c>
      <c r="AV54" s="490" t="str">
        <f>IF(Ofwat_PC_Interventions!AV54&lt;&gt;"",Ofwat_PC_Interventions!AV54,IF(Company_PC_inputs!AV54&lt;&gt;"",Company_PC_inputs!AV54,""))</f>
        <v/>
      </c>
      <c r="AW54" s="490" t="str">
        <f>IF(Ofwat_PC_Interventions!AW54&lt;&gt;"",Ofwat_PC_Interventions!AW54,IF(Company_PC_inputs!AW54&lt;&gt;"",Company_PC_inputs!AW54,""))</f>
        <v/>
      </c>
      <c r="AX54" s="490" t="str">
        <f>IF(Ofwat_PC_Interventions!AX54&lt;&gt;"",Ofwat_PC_Interventions!AX54,IF(Company_PC_inputs!AX54&lt;&gt;"",Company_PC_inputs!AX54,""))</f>
        <v/>
      </c>
      <c r="AY54" s="490" t="str">
        <f>IF(Ofwat_PC_Interventions!AY54&lt;&gt;"",Ofwat_PC_Interventions!AY54,IF(Company_PC_inputs!AY54&lt;&gt;"",Company_PC_inputs!AY54,""))</f>
        <v/>
      </c>
      <c r="AZ54" s="490" t="str">
        <f>IF(Ofwat_PC_Interventions!AZ54&lt;&gt;"",Ofwat_PC_Interventions!AZ54,IF(Company_PC_inputs!AZ54&lt;&gt;"",Company_PC_inputs!AZ54,""))</f>
        <v/>
      </c>
      <c r="BA54" s="490" t="str">
        <f>IF(Ofwat_PC_Interventions!BA54&lt;&gt;"",Ofwat_PC_Interventions!BA54,IF(Company_PC_inputs!BA54&lt;&gt;"",Company_PC_inputs!BA54,""))</f>
        <v/>
      </c>
      <c r="BB54" s="490" t="str">
        <f>IF(Ofwat_PC_Interventions!BB54&lt;&gt;"",Ofwat_PC_Interventions!BB54,IF(Company_PC_inputs!BB54&lt;&gt;"",Company_PC_inputs!BB54,""))</f>
        <v/>
      </c>
      <c r="BC54" s="491" t="str">
        <f>IF(Ofwat_PC_Interventions!BC54&lt;&gt;"",Ofwat_PC_Interventions!BC54,IF(Company_PC_inputs!BC54&lt;&gt;"",Company_PC_inputs!BC54,""))</f>
        <v/>
      </c>
      <c r="BD54" s="490" t="str">
        <f>IF(Ofwat_PC_Interventions!BD54&lt;&gt;"",Ofwat_PC_Interventions!BD54,IF(Company_PC_inputs!BD54&lt;&gt;"",Company_PC_inputs!BD54,""))</f>
        <v/>
      </c>
      <c r="BE54" s="490" t="str">
        <f>IF(Ofwat_PC_Interventions!BE54&lt;&gt;"",Ofwat_PC_Interventions!BE54,IF(Company_PC_inputs!BE54&lt;&gt;"",Company_PC_inputs!BE54,""))</f>
        <v/>
      </c>
      <c r="BF54" s="490" t="str">
        <f>IF(Ofwat_PC_Interventions!BF54&lt;&gt;"",Ofwat_PC_Interventions!BF54,IF(Company_PC_inputs!BF54&lt;&gt;"",Company_PC_inputs!BF54,""))</f>
        <v/>
      </c>
      <c r="BG54" s="490" t="str">
        <f>IF(Ofwat_PC_Interventions!BG54&lt;&gt;"",Ofwat_PC_Interventions!BG54,IF(Company_PC_inputs!BG54&lt;&gt;"",Company_PC_inputs!BG54,""))</f>
        <v/>
      </c>
      <c r="BH54" s="490" t="str">
        <f>IF(Ofwat_PC_Interventions!BH54&lt;&gt;"",Ofwat_PC_Interventions!BH54,IF(Company_PC_inputs!BH54&lt;&gt;"",Company_PC_inputs!BH54,""))</f>
        <v/>
      </c>
      <c r="BI54" s="490" t="str">
        <f>IF(Ofwat_PC_Interventions!BI54&lt;&gt;"",Ofwat_PC_Interventions!BI54,IF(Company_PC_inputs!BI54&lt;&gt;"",Company_PC_inputs!BI54,""))</f>
        <v/>
      </c>
      <c r="BJ54" s="490" t="str">
        <f>IF(Ofwat_PC_Interventions!BJ54&lt;&gt;"",Ofwat_PC_Interventions!BJ54,IF(Company_PC_inputs!BJ54&lt;&gt;"",Company_PC_inputs!BJ54,""))</f>
        <v/>
      </c>
      <c r="BK54" s="490" t="str">
        <f>IF(Ofwat_PC_Interventions!BK54&lt;&gt;"",Ofwat_PC_Interventions!BK54,IF(Company_PC_inputs!BK54&lt;&gt;"",Company_PC_inputs!BK54,""))</f>
        <v/>
      </c>
      <c r="BL54" s="490" t="str">
        <f>IF(Ofwat_PC_Interventions!BL54&lt;&gt;"",Ofwat_PC_Interventions!BL54,IF(Company_PC_inputs!BL54&lt;&gt;"",Company_PC_inputs!BL54,""))</f>
        <v/>
      </c>
      <c r="BM54" s="490" t="str">
        <f>IF(Ofwat_PC_Interventions!BM54&lt;&gt;"",Ofwat_PC_Interventions!BM54,IF(Company_PC_inputs!BM54&lt;&gt;"",Company_PC_inputs!BM54,""))</f>
        <v/>
      </c>
      <c r="BN54" s="490" t="str">
        <f>IF(Ofwat_PC_Interventions!BN54&lt;&gt;"",Ofwat_PC_Interventions!BN54,IF(Company_PC_inputs!BN54&lt;&gt;"",Company_PC_inputs!BN54,""))</f>
        <v/>
      </c>
      <c r="BO54" s="490" t="str">
        <f>IF(Ofwat_PC_Interventions!BO54&lt;&gt;"",Ofwat_PC_Interventions!BO54,IF(Company_PC_inputs!BO54&lt;&gt;"",Company_PC_inputs!BO54,""))</f>
        <v/>
      </c>
      <c r="BP54" s="490" t="str">
        <f>IF(Ofwat_PC_Interventions!BP54&lt;&gt;"",Ofwat_PC_Interventions!BP54,IF(Company_PC_inputs!BP54&lt;&gt;"",Company_PC_inputs!BP54,""))</f>
        <v/>
      </c>
      <c r="BQ54" s="490" t="str">
        <f>IF(Ofwat_PC_Interventions!BQ54&lt;&gt;"",Ofwat_PC_Interventions!BQ54,IF(Company_PC_inputs!BQ54&lt;&gt;"",Company_PC_inputs!BQ54,""))</f>
        <v/>
      </c>
      <c r="BR54" s="490" t="str">
        <f>IF(Ofwat_PC_Interventions!BR54&lt;&gt;"",Ofwat_PC_Interventions!BR54,IF(Company_PC_inputs!BR54&lt;&gt;"",Company_PC_inputs!BR54,""))</f>
        <v/>
      </c>
      <c r="BS54" s="490" t="str">
        <f>IF(Ofwat_PC_Interventions!BS54&lt;&gt;"",Ofwat_PC_Interventions!BS54,IF(Company_PC_inputs!BS54&lt;&gt;"",Company_PC_inputs!BS54,""))</f>
        <v/>
      </c>
    </row>
    <row r="55" spans="1:71" s="202" customFormat="1" ht="13.15">
      <c r="A55" s="453"/>
      <c r="B55" s="453"/>
      <c r="C55" s="453"/>
      <c r="D55" s="453"/>
      <c r="E55" s="453"/>
      <c r="F55" s="453"/>
      <c r="G55" s="453"/>
      <c r="H55" s="453"/>
      <c r="I55" s="453"/>
      <c r="J55" s="490" t="str">
        <f>IF(Ofwat_PC_Interventions!J55&lt;&gt;"",Ofwat_PC_Interventions!J55,IF(Company_PC_inputs!J55&lt;&gt;"",Company_PC_inputs!J55,""))</f>
        <v/>
      </c>
      <c r="K55" s="490" t="str">
        <f>IF(Ofwat_PC_Interventions!K55&lt;&gt;"",Ofwat_PC_Interventions!K55,IF(Company_PC_inputs!K55&lt;&gt;"",Company_PC_inputs!K55,""))</f>
        <v/>
      </c>
      <c r="L55" s="490" t="str">
        <f>IF(Ofwat_PC_Interventions!L55&lt;&gt;"",Ofwat_PC_Interventions!L55,IF(Company_PC_inputs!L55&lt;&gt;"",Company_PC_inputs!L55,""))</f>
        <v/>
      </c>
      <c r="M55" s="490" t="str">
        <f>IF(Ofwat_PC_Interventions!M55&lt;&gt;"",Ofwat_PC_Interventions!M55,IF(Company_PC_inputs!M55&lt;&gt;"",Company_PC_inputs!M55,""))</f>
        <v/>
      </c>
      <c r="N55" s="490" t="str">
        <f>IF(Ofwat_PC_Interventions!N55&lt;&gt;"",Ofwat_PC_Interventions!N55,IF(Company_PC_inputs!N55&lt;&gt;"",Company_PC_inputs!N55,""))</f>
        <v/>
      </c>
      <c r="O55" s="490" t="str">
        <f>IF(Ofwat_PC_Interventions!O55&lt;&gt;"",Ofwat_PC_Interventions!O55,IF(Company_PC_inputs!O55&lt;&gt;"",Company_PC_inputs!O55,""))</f>
        <v/>
      </c>
      <c r="P55" s="490" t="str">
        <f>IF(Ofwat_PC_Interventions!P55&lt;&gt;"",Ofwat_PC_Interventions!P55,IF(Company_PC_inputs!P55&lt;&gt;"",Company_PC_inputs!P55,""))</f>
        <v/>
      </c>
      <c r="Q55" s="491" t="str">
        <f>IF(Ofwat_PC_Interventions!Q55&lt;&gt;"",Ofwat_PC_Interventions!Q55,IF(Company_PC_inputs!Q55&lt;&gt;"",Company_PC_inputs!Q55,""))</f>
        <v/>
      </c>
      <c r="R55" s="490" t="str">
        <f>IF(Ofwat_PC_Interventions!R55&lt;&gt;"",Ofwat_PC_Interventions!R55,IF(Company_PC_inputs!R55&lt;&gt;"",Company_PC_inputs!R55,""))</f>
        <v/>
      </c>
      <c r="S55" s="490" t="str">
        <f>IF(Ofwat_PC_Interventions!S55&lt;&gt;"",Ofwat_PC_Interventions!S55,IF(Company_PC_inputs!S55&lt;&gt;"",Company_PC_inputs!S55,""))</f>
        <v/>
      </c>
      <c r="T55" s="490" t="str">
        <f>IF(Ofwat_PC_Interventions!T55&lt;&gt;"",Ofwat_PC_Interventions!T55,IF(Company_PC_inputs!T55&lt;&gt;"",Company_PC_inputs!T55,""))</f>
        <v/>
      </c>
      <c r="U55" s="490" t="str">
        <f>IF(Ofwat_PC_Interventions!U55&lt;&gt;"",Ofwat_PC_Interventions!U55,IF(Company_PC_inputs!U55&lt;&gt;"",Company_PC_inputs!U55,""))</f>
        <v/>
      </c>
      <c r="V55" s="490" t="str">
        <f>IF(Ofwat_PC_Interventions!V55&lt;&gt;"",Ofwat_PC_Interventions!V55,IF(Company_PC_inputs!V55&lt;&gt;"",Company_PC_inputs!V55,""))</f>
        <v/>
      </c>
      <c r="W55" s="490" t="str">
        <f>IF(Ofwat_PC_Interventions!W55&lt;&gt;"",Ofwat_PC_Interventions!W55,IF(Company_PC_inputs!W55&lt;&gt;"",Company_PC_inputs!W55,""))</f>
        <v/>
      </c>
      <c r="X55" s="490" t="str">
        <f>IF(Ofwat_PC_Interventions!X55&lt;&gt;"",Ofwat_PC_Interventions!X55,IF(Company_PC_inputs!X55&lt;&gt;"",Company_PC_inputs!X55,""))</f>
        <v/>
      </c>
      <c r="Y55" s="490" t="str">
        <f>IF(Ofwat_PC_Interventions!Y55&lt;&gt;"",Ofwat_PC_Interventions!Y55,IF(Company_PC_inputs!Y55&lt;&gt;"",Company_PC_inputs!Y55,""))</f>
        <v/>
      </c>
      <c r="Z55" s="490" t="str">
        <f>IF(Ofwat_PC_Interventions!Z55&lt;&gt;"",Ofwat_PC_Interventions!Z55,IF(Company_PC_inputs!Z55&lt;&gt;"",Company_PC_inputs!Z55,""))</f>
        <v/>
      </c>
      <c r="AA55" s="490" t="str">
        <f>IF(Ofwat_PC_Interventions!AA55&lt;&gt;"",Ofwat_PC_Interventions!AA55,IF(Company_PC_inputs!AA55&lt;&gt;"",Company_PC_inputs!AA55,""))</f>
        <v/>
      </c>
      <c r="AB55" s="490" t="str">
        <f>IF(Ofwat_PC_Interventions!AB55&lt;&gt;"",Ofwat_PC_Interventions!AB55,IF(Company_PC_inputs!AB55&lt;&gt;"",Company_PC_inputs!AB55,""))</f>
        <v/>
      </c>
      <c r="AC55" s="490" t="str">
        <f>IF(Ofwat_PC_Interventions!AC55&lt;&gt;"",Ofwat_PC_Interventions!AC55,IF(Company_PC_inputs!AC55&lt;&gt;"",Company_PC_inputs!AC55,""))</f>
        <v/>
      </c>
      <c r="AD55" s="490" t="str">
        <f>IF(Ofwat_PC_Interventions!AD55&lt;&gt;"",Ofwat_PC_Interventions!AD55,IF(Company_PC_inputs!AD55&lt;&gt;"",Company_PC_inputs!AD55,""))</f>
        <v/>
      </c>
      <c r="AE55" s="490" t="str">
        <f>IF(Ofwat_PC_Interventions!AE55&lt;&gt;"",Ofwat_PC_Interventions!AE55,IF(Company_PC_inputs!AE55&lt;&gt;"",Company_PC_inputs!AE55,""))</f>
        <v/>
      </c>
      <c r="AF55" s="490" t="str">
        <f>IF(Ofwat_PC_Interventions!AF55&lt;&gt;"",Ofwat_PC_Interventions!AF55,IF(Company_PC_inputs!AF55&lt;&gt;"",Company_PC_inputs!AF55,""))</f>
        <v/>
      </c>
      <c r="AG55" s="490" t="str">
        <f>IF(Ofwat_PC_Interventions!AG55&lt;&gt;"",Ofwat_PC_Interventions!AG55,IF(Company_PC_inputs!AG55&lt;&gt;"",Company_PC_inputs!AG55,""))</f>
        <v/>
      </c>
      <c r="AH55" s="490" t="str">
        <f>IF(Ofwat_PC_Interventions!AH55&lt;&gt;"",Ofwat_PC_Interventions!AH55,IF(Company_PC_inputs!AH55&lt;&gt;"",Company_PC_inputs!AH55,""))</f>
        <v/>
      </c>
      <c r="AI55" s="490" t="str">
        <f>IF(Ofwat_PC_Interventions!AI55&lt;&gt;"",Ofwat_PC_Interventions!AI55,IF(Company_PC_inputs!AI55&lt;&gt;"",Company_PC_inputs!AI55,""))</f>
        <v/>
      </c>
      <c r="AJ55" s="490" t="str">
        <f>IF(Ofwat_PC_Interventions!AJ55&lt;&gt;"",Ofwat_PC_Interventions!AJ55,IF(Company_PC_inputs!AJ55&lt;&gt;"",Company_PC_inputs!AJ55,""))</f>
        <v/>
      </c>
      <c r="AK55" s="491" t="str">
        <f>IF(Ofwat_PC_Interventions!AK55&lt;&gt;"",Ofwat_PC_Interventions!AK55,IF(Company_PC_inputs!AK55&lt;&gt;"",Company_PC_inputs!AK55,""))</f>
        <v/>
      </c>
      <c r="AL55" s="490" t="str">
        <f>IF(Ofwat_PC_Interventions!AL55&lt;&gt;"",Ofwat_PC_Interventions!AL55,IF(Company_PC_inputs!AL55&lt;&gt;"",Company_PC_inputs!AL55,""))</f>
        <v/>
      </c>
      <c r="AM55" s="490" t="str">
        <f>IF(Ofwat_PC_Interventions!AM55&lt;&gt;"",Ofwat_PC_Interventions!AM55,IF(Company_PC_inputs!AM55&lt;&gt;"",Company_PC_inputs!AM55,""))</f>
        <v/>
      </c>
      <c r="AN55" s="490" t="str">
        <f>IF(Ofwat_PC_Interventions!AN55&lt;&gt;"",Ofwat_PC_Interventions!AN55,IF(Company_PC_inputs!AN55&lt;&gt;"",Company_PC_inputs!AN55,""))</f>
        <v/>
      </c>
      <c r="AO55" s="491" t="str">
        <f>IF(Ofwat_PC_Interventions!AO55&lt;&gt;"",Ofwat_PC_Interventions!AO55,IF(Company_PC_inputs!AO55&lt;&gt;"",Company_PC_inputs!AO55,""))</f>
        <v/>
      </c>
      <c r="AP55" s="490" t="str">
        <f>IF(Ofwat_PC_Interventions!AP55&lt;&gt;"",Ofwat_PC_Interventions!AP55,IF(Company_PC_inputs!AP55&lt;&gt;"",Company_PC_inputs!AP55,""))</f>
        <v/>
      </c>
      <c r="AQ55" s="490" t="str">
        <f>IF(Ofwat_PC_Interventions!AQ55&lt;&gt;"",Ofwat_PC_Interventions!AQ55,IF(Company_PC_inputs!AQ55&lt;&gt;"",Company_PC_inputs!AQ55,""))</f>
        <v/>
      </c>
      <c r="AR55" s="490" t="str">
        <f>IF(Ofwat_PC_Interventions!AR55&lt;&gt;"",Ofwat_PC_Interventions!AR55,IF(Company_PC_inputs!AR55&lt;&gt;"",Company_PC_inputs!AR55,""))</f>
        <v/>
      </c>
      <c r="AS55" s="490" t="str">
        <f>IF(Ofwat_PC_Interventions!AS55&lt;&gt;"",Ofwat_PC_Interventions!AS55,IF(Company_PC_inputs!AS55&lt;&gt;"",Company_PC_inputs!AS55,""))</f>
        <v/>
      </c>
      <c r="AT55" s="490" t="str">
        <f>IF(Ofwat_PC_Interventions!AT55&lt;&gt;"",Ofwat_PC_Interventions!AT55,IF(Company_PC_inputs!AT55&lt;&gt;"",Company_PC_inputs!AT55,""))</f>
        <v/>
      </c>
      <c r="AU55" s="490" t="str">
        <f>IF(Ofwat_PC_Interventions!AU55&lt;&gt;"",Ofwat_PC_Interventions!AU55,IF(Company_PC_inputs!AU55&lt;&gt;"",Company_PC_inputs!AU55,""))</f>
        <v/>
      </c>
      <c r="AV55" s="490" t="str">
        <f>IF(Ofwat_PC_Interventions!AV55&lt;&gt;"",Ofwat_PC_Interventions!AV55,IF(Company_PC_inputs!AV55&lt;&gt;"",Company_PC_inputs!AV55,""))</f>
        <v/>
      </c>
      <c r="AW55" s="490" t="str">
        <f>IF(Ofwat_PC_Interventions!AW55&lt;&gt;"",Ofwat_PC_Interventions!AW55,IF(Company_PC_inputs!AW55&lt;&gt;"",Company_PC_inputs!AW55,""))</f>
        <v/>
      </c>
      <c r="AX55" s="490" t="str">
        <f>IF(Ofwat_PC_Interventions!AX55&lt;&gt;"",Ofwat_PC_Interventions!AX55,IF(Company_PC_inputs!AX55&lt;&gt;"",Company_PC_inputs!AX55,""))</f>
        <v/>
      </c>
      <c r="AY55" s="490" t="str">
        <f>IF(Ofwat_PC_Interventions!AY55&lt;&gt;"",Ofwat_PC_Interventions!AY55,IF(Company_PC_inputs!AY55&lt;&gt;"",Company_PC_inputs!AY55,""))</f>
        <v/>
      </c>
      <c r="AZ55" s="490" t="str">
        <f>IF(Ofwat_PC_Interventions!AZ55&lt;&gt;"",Ofwat_PC_Interventions!AZ55,IF(Company_PC_inputs!AZ55&lt;&gt;"",Company_PC_inputs!AZ55,""))</f>
        <v/>
      </c>
      <c r="BA55" s="490" t="str">
        <f>IF(Ofwat_PC_Interventions!BA55&lt;&gt;"",Ofwat_PC_Interventions!BA55,IF(Company_PC_inputs!BA55&lt;&gt;"",Company_PC_inputs!BA55,""))</f>
        <v/>
      </c>
      <c r="BB55" s="490" t="str">
        <f>IF(Ofwat_PC_Interventions!BB55&lt;&gt;"",Ofwat_PC_Interventions!BB55,IF(Company_PC_inputs!BB55&lt;&gt;"",Company_PC_inputs!BB55,""))</f>
        <v/>
      </c>
      <c r="BC55" s="491" t="str">
        <f>IF(Ofwat_PC_Interventions!BC55&lt;&gt;"",Ofwat_PC_Interventions!BC55,IF(Company_PC_inputs!BC55&lt;&gt;"",Company_PC_inputs!BC55,""))</f>
        <v/>
      </c>
      <c r="BD55" s="490" t="str">
        <f>IF(Ofwat_PC_Interventions!BD55&lt;&gt;"",Ofwat_PC_Interventions!BD55,IF(Company_PC_inputs!BD55&lt;&gt;"",Company_PC_inputs!BD55,""))</f>
        <v/>
      </c>
      <c r="BE55" s="490" t="str">
        <f>IF(Ofwat_PC_Interventions!BE55&lt;&gt;"",Ofwat_PC_Interventions!BE55,IF(Company_PC_inputs!BE55&lt;&gt;"",Company_PC_inputs!BE55,""))</f>
        <v/>
      </c>
      <c r="BF55" s="490" t="str">
        <f>IF(Ofwat_PC_Interventions!BF55&lt;&gt;"",Ofwat_PC_Interventions!BF55,IF(Company_PC_inputs!BF55&lt;&gt;"",Company_PC_inputs!BF55,""))</f>
        <v/>
      </c>
      <c r="BG55" s="490" t="str">
        <f>IF(Ofwat_PC_Interventions!BG55&lt;&gt;"",Ofwat_PC_Interventions!BG55,IF(Company_PC_inputs!BG55&lt;&gt;"",Company_PC_inputs!BG55,""))</f>
        <v/>
      </c>
      <c r="BH55" s="490" t="str">
        <f>IF(Ofwat_PC_Interventions!BH55&lt;&gt;"",Ofwat_PC_Interventions!BH55,IF(Company_PC_inputs!BH55&lt;&gt;"",Company_PC_inputs!BH55,""))</f>
        <v/>
      </c>
      <c r="BI55" s="490" t="str">
        <f>IF(Ofwat_PC_Interventions!BI55&lt;&gt;"",Ofwat_PC_Interventions!BI55,IF(Company_PC_inputs!BI55&lt;&gt;"",Company_PC_inputs!BI55,""))</f>
        <v/>
      </c>
      <c r="BJ55" s="490" t="str">
        <f>IF(Ofwat_PC_Interventions!BJ55&lt;&gt;"",Ofwat_PC_Interventions!BJ55,IF(Company_PC_inputs!BJ55&lt;&gt;"",Company_PC_inputs!BJ55,""))</f>
        <v/>
      </c>
      <c r="BK55" s="490" t="str">
        <f>IF(Ofwat_PC_Interventions!BK55&lt;&gt;"",Ofwat_PC_Interventions!BK55,IF(Company_PC_inputs!BK55&lt;&gt;"",Company_PC_inputs!BK55,""))</f>
        <v/>
      </c>
      <c r="BL55" s="490" t="str">
        <f>IF(Ofwat_PC_Interventions!BL55&lt;&gt;"",Ofwat_PC_Interventions!BL55,IF(Company_PC_inputs!BL55&lt;&gt;"",Company_PC_inputs!BL55,""))</f>
        <v/>
      </c>
      <c r="BM55" s="490" t="str">
        <f>IF(Ofwat_PC_Interventions!BM55&lt;&gt;"",Ofwat_PC_Interventions!BM55,IF(Company_PC_inputs!BM55&lt;&gt;"",Company_PC_inputs!BM55,""))</f>
        <v/>
      </c>
      <c r="BN55" s="490" t="str">
        <f>IF(Ofwat_PC_Interventions!BN55&lt;&gt;"",Ofwat_PC_Interventions!BN55,IF(Company_PC_inputs!BN55&lt;&gt;"",Company_PC_inputs!BN55,""))</f>
        <v/>
      </c>
      <c r="BO55" s="490" t="str">
        <f>IF(Ofwat_PC_Interventions!BO55&lt;&gt;"",Ofwat_PC_Interventions!BO55,IF(Company_PC_inputs!BO55&lt;&gt;"",Company_PC_inputs!BO55,""))</f>
        <v/>
      </c>
      <c r="BP55" s="490" t="str">
        <f>IF(Ofwat_PC_Interventions!BP55&lt;&gt;"",Ofwat_PC_Interventions!BP55,IF(Company_PC_inputs!BP55&lt;&gt;"",Company_PC_inputs!BP55,""))</f>
        <v/>
      </c>
      <c r="BQ55" s="490" t="str">
        <f>IF(Ofwat_PC_Interventions!BQ55&lt;&gt;"",Ofwat_PC_Interventions!BQ55,IF(Company_PC_inputs!BQ55&lt;&gt;"",Company_PC_inputs!BQ55,""))</f>
        <v/>
      </c>
      <c r="BR55" s="490" t="str">
        <f>IF(Ofwat_PC_Interventions!BR55&lt;&gt;"",Ofwat_PC_Interventions!BR55,IF(Company_PC_inputs!BR55&lt;&gt;"",Company_PC_inputs!BR55,""))</f>
        <v/>
      </c>
      <c r="BS55" s="490" t="str">
        <f>IF(Ofwat_PC_Interventions!BS55&lt;&gt;"",Ofwat_PC_Interventions!BS55,IF(Company_PC_inputs!BS55&lt;&gt;"",Company_PC_inputs!BS55,""))</f>
        <v/>
      </c>
    </row>
    <row r="56" spans="1:71" s="202" customFormat="1" ht="13.15">
      <c r="A56" s="453"/>
      <c r="B56" s="453"/>
      <c r="C56" s="453"/>
      <c r="D56" s="453"/>
      <c r="E56" s="453" t="s">
        <v>999</v>
      </c>
      <c r="F56" s="453"/>
      <c r="G56" s="453" t="s">
        <v>1158</v>
      </c>
      <c r="H56" s="453"/>
      <c r="I56" s="453"/>
      <c r="J56" s="490" t="str">
        <f>IF(Ofwat_PC_Interventions!J56&lt;&gt;"",Ofwat_PC_Interventions!J56,IF(Company_PC_inputs!J56&lt;&gt;"",Company_PC_inputs!J56,""))</f>
        <v/>
      </c>
      <c r="K56" s="490" t="str">
        <f>IF(Ofwat_PC_Interventions!K56&lt;&gt;"",Ofwat_PC_Interventions!K56,IF(Company_PC_inputs!K56&lt;&gt;"",Company_PC_inputs!K56,""))</f>
        <v/>
      </c>
      <c r="L56" s="490" t="str">
        <f>IF(Ofwat_PC_Interventions!L56&lt;&gt;"",Ofwat_PC_Interventions!L56,IF(Company_PC_inputs!L56&lt;&gt;"",Company_PC_inputs!L56,""))</f>
        <v/>
      </c>
      <c r="M56" s="490" t="str">
        <f>IF(Ofwat_PC_Interventions!M56&lt;&gt;"",Ofwat_PC_Interventions!M56,IF(Company_PC_inputs!M56&lt;&gt;"",Company_PC_inputs!M56,""))</f>
        <v/>
      </c>
      <c r="N56" s="490" t="str">
        <f>IF(Ofwat_PC_Interventions!N56&lt;&gt;"",Ofwat_PC_Interventions!N56,IF(Company_PC_inputs!N56&lt;&gt;"",Company_PC_inputs!N56,""))</f>
        <v>*</v>
      </c>
      <c r="O56" s="490" t="str">
        <f>IF(Ofwat_PC_Interventions!O56&lt;&gt;"",Ofwat_PC_Interventions!O56,IF(Company_PC_inputs!O56&lt;&gt;"",Company_PC_inputs!O56,""))</f>
        <v/>
      </c>
      <c r="P56" s="490" t="str">
        <f>IF(Ofwat_PC_Interventions!P56&lt;&gt;"",Ofwat_PC_Interventions!P56,IF(Company_PC_inputs!P56&lt;&gt;"",Company_PC_inputs!P56,""))</f>
        <v/>
      </c>
      <c r="Q56" s="491" t="str">
        <f>IF(Ofwat_PC_Interventions!Q56&lt;&gt;"",Ofwat_PC_Interventions!Q56,IF(Company_PC_inputs!Q56&lt;&gt;"",Company_PC_inputs!Q56,""))</f>
        <v/>
      </c>
      <c r="R56" s="490" t="str">
        <f>IF(Ofwat_PC_Interventions!R56&lt;&gt;"",Ofwat_PC_Interventions!R56,IF(Company_PC_inputs!R56&lt;&gt;"",Company_PC_inputs!R56,""))</f>
        <v/>
      </c>
      <c r="S56" s="490" t="str">
        <f>IF(Ofwat_PC_Interventions!S56&lt;&gt;"",Ofwat_PC_Interventions!S56,IF(Company_PC_inputs!S56&lt;&gt;"",Company_PC_inputs!S56,""))</f>
        <v/>
      </c>
      <c r="T56" s="490" t="str">
        <f>IF(Ofwat_PC_Interventions!T56&lt;&gt;"",Ofwat_PC_Interventions!T56,IF(Company_PC_inputs!T56&lt;&gt;"",Company_PC_inputs!T56,""))</f>
        <v/>
      </c>
      <c r="U56" s="490" t="str">
        <f>IF(Ofwat_PC_Interventions!U56&lt;&gt;"",Ofwat_PC_Interventions!U56,IF(Company_PC_inputs!U56&lt;&gt;"",Company_PC_inputs!U56,""))</f>
        <v/>
      </c>
      <c r="V56" s="490" t="str">
        <f>IF(Ofwat_PC_Interventions!V56&lt;&gt;"",Ofwat_PC_Interventions!V56,IF(Company_PC_inputs!V56&lt;&gt;"",Company_PC_inputs!V56,""))</f>
        <v/>
      </c>
      <c r="W56" s="490" t="str">
        <f>IF(Ofwat_PC_Interventions!W56&lt;&gt;"",Ofwat_PC_Interventions!W56,IF(Company_PC_inputs!W56&lt;&gt;"",Company_PC_inputs!W56,""))</f>
        <v/>
      </c>
      <c r="X56" s="490" t="str">
        <f>IF(Ofwat_PC_Interventions!X56&lt;&gt;"",Ofwat_PC_Interventions!X56,IF(Company_PC_inputs!X56&lt;&gt;"",Company_PC_inputs!X56,""))</f>
        <v/>
      </c>
      <c r="Y56" s="490" t="str">
        <f>IF(Ofwat_PC_Interventions!Y56&lt;&gt;"",Ofwat_PC_Interventions!Y56,IF(Company_PC_inputs!Y56&lt;&gt;"",Company_PC_inputs!Y56,""))</f>
        <v/>
      </c>
      <c r="Z56" s="490" t="str">
        <f>IF(Ofwat_PC_Interventions!Z56&lt;&gt;"",Ofwat_PC_Interventions!Z56,IF(Company_PC_inputs!Z56&lt;&gt;"",Company_PC_inputs!Z56,""))</f>
        <v/>
      </c>
      <c r="AA56" s="490" t="str">
        <f>IF(Ofwat_PC_Interventions!AA56&lt;&gt;"",Ofwat_PC_Interventions!AA56,IF(Company_PC_inputs!AA56&lt;&gt;"",Company_PC_inputs!AA56,""))</f>
        <v/>
      </c>
      <c r="AB56" s="490" t="str">
        <f>IF(Ofwat_PC_Interventions!AB56&lt;&gt;"",Ofwat_PC_Interventions!AB56,IF(Company_PC_inputs!AB56&lt;&gt;"",Company_PC_inputs!AB56,""))</f>
        <v/>
      </c>
      <c r="AC56" s="490" t="str">
        <f>IF(Ofwat_PC_Interventions!AC56&lt;&gt;"",Ofwat_PC_Interventions!AC56,IF(Company_PC_inputs!AC56&lt;&gt;"",Company_PC_inputs!AC56,""))</f>
        <v/>
      </c>
      <c r="AD56" s="490" t="str">
        <f>IF(Ofwat_PC_Interventions!AD56&lt;&gt;"",Ofwat_PC_Interventions!AD56,IF(Company_PC_inputs!AD56&lt;&gt;"",Company_PC_inputs!AD56,""))</f>
        <v/>
      </c>
      <c r="AE56" s="490" t="str">
        <f>IF(Ofwat_PC_Interventions!AE56&lt;&gt;"",Ofwat_PC_Interventions!AE56,IF(Company_PC_inputs!AE56&lt;&gt;"",Company_PC_inputs!AE56,""))</f>
        <v/>
      </c>
      <c r="AF56" s="490" t="str">
        <f>IF(Ofwat_PC_Interventions!AF56&lt;&gt;"",Ofwat_PC_Interventions!AF56,IF(Company_PC_inputs!AF56&lt;&gt;"",Company_PC_inputs!AF56,""))</f>
        <v/>
      </c>
      <c r="AG56" s="490" t="str">
        <f>IF(Ofwat_PC_Interventions!AG56&lt;&gt;"",Ofwat_PC_Interventions!AG56,IF(Company_PC_inputs!AG56&lt;&gt;"",Company_PC_inputs!AG56,""))</f>
        <v/>
      </c>
      <c r="AH56" s="490" t="str">
        <f>IF(Ofwat_PC_Interventions!AH56&lt;&gt;"",Ofwat_PC_Interventions!AH56,IF(Company_PC_inputs!AH56&lt;&gt;"",Company_PC_inputs!AH56,""))</f>
        <v/>
      </c>
      <c r="AI56" s="490" t="str">
        <f>IF(Ofwat_PC_Interventions!AI56&lt;&gt;"",Ofwat_PC_Interventions!AI56,IF(Company_PC_inputs!AI56&lt;&gt;"",Company_PC_inputs!AI56,""))</f>
        <v/>
      </c>
      <c r="AJ56" s="490" t="str">
        <f>IF(Ofwat_PC_Interventions!AJ56&lt;&gt;"",Ofwat_PC_Interventions!AJ56,IF(Company_PC_inputs!AJ56&lt;&gt;"",Company_PC_inputs!AJ56,""))</f>
        <v/>
      </c>
      <c r="AK56" s="491" t="str">
        <f>IF(Ofwat_PC_Interventions!AK56&lt;&gt;"",Ofwat_PC_Interventions!AK56,IF(Company_PC_inputs!AK56&lt;&gt;"",Company_PC_inputs!AK56,""))</f>
        <v/>
      </c>
      <c r="AL56" s="490" t="str">
        <f>IF(Ofwat_PC_Interventions!AL56&lt;&gt;"",Ofwat_PC_Interventions!AL56,IF(Company_PC_inputs!AL56&lt;&gt;"",Company_PC_inputs!AL56,""))</f>
        <v/>
      </c>
      <c r="AM56" s="490" t="str">
        <f>IF(Ofwat_PC_Interventions!AM56&lt;&gt;"",Ofwat_PC_Interventions!AM56,IF(Company_PC_inputs!AM56&lt;&gt;"",Company_PC_inputs!AM56,""))</f>
        <v/>
      </c>
      <c r="AN56" s="490" t="str">
        <f>IF(Ofwat_PC_Interventions!AN56&lt;&gt;"",Ofwat_PC_Interventions!AN56,IF(Company_PC_inputs!AN56&lt;&gt;"",Company_PC_inputs!AN56,""))</f>
        <v/>
      </c>
      <c r="AO56" s="491" t="str">
        <f>IF(Ofwat_PC_Interventions!AO56&lt;&gt;"",Ofwat_PC_Interventions!AO56,IF(Company_PC_inputs!AO56&lt;&gt;"",Company_PC_inputs!AO56,""))</f>
        <v/>
      </c>
      <c r="AP56" s="490" t="str">
        <f>IF(Ofwat_PC_Interventions!AP56&lt;&gt;"",Ofwat_PC_Interventions!AP56,IF(Company_PC_inputs!AP56&lt;&gt;"",Company_PC_inputs!AP56,""))</f>
        <v/>
      </c>
      <c r="AQ56" s="490" t="str">
        <f>IF(Ofwat_PC_Interventions!AQ56&lt;&gt;"",Ofwat_PC_Interventions!AQ56,IF(Company_PC_inputs!AQ56&lt;&gt;"",Company_PC_inputs!AQ56,""))</f>
        <v/>
      </c>
      <c r="AR56" s="490" t="str">
        <f>IF(Ofwat_PC_Interventions!AR56&lt;&gt;"",Ofwat_PC_Interventions!AR56,IF(Company_PC_inputs!AR56&lt;&gt;"",Company_PC_inputs!AR56,""))</f>
        <v/>
      </c>
      <c r="AS56" s="490" t="str">
        <f>IF(Ofwat_PC_Interventions!AS56&lt;&gt;"",Ofwat_PC_Interventions!AS56,IF(Company_PC_inputs!AS56&lt;&gt;"",Company_PC_inputs!AS56,""))</f>
        <v/>
      </c>
      <c r="AT56" s="490" t="str">
        <f>IF(Ofwat_PC_Interventions!AT56&lt;&gt;"",Ofwat_PC_Interventions!AT56,IF(Company_PC_inputs!AT56&lt;&gt;"",Company_PC_inputs!AT56,""))</f>
        <v/>
      </c>
      <c r="AU56" s="490" t="str">
        <f>IF(Ofwat_PC_Interventions!AU56&lt;&gt;"",Ofwat_PC_Interventions!AU56,IF(Company_PC_inputs!AU56&lt;&gt;"",Company_PC_inputs!AU56,""))</f>
        <v/>
      </c>
      <c r="AV56" s="490" t="str">
        <f>IF(Ofwat_PC_Interventions!AV56&lt;&gt;"",Ofwat_PC_Interventions!AV56,IF(Company_PC_inputs!AV56&lt;&gt;"",Company_PC_inputs!AV56,""))</f>
        <v/>
      </c>
      <c r="AW56" s="490" t="str">
        <f>IF(Ofwat_PC_Interventions!AW56&lt;&gt;"",Ofwat_PC_Interventions!AW56,IF(Company_PC_inputs!AW56&lt;&gt;"",Company_PC_inputs!AW56,""))</f>
        <v/>
      </c>
      <c r="AX56" s="490" t="str">
        <f>IF(Ofwat_PC_Interventions!AX56&lt;&gt;"",Ofwat_PC_Interventions!AX56,IF(Company_PC_inputs!AX56&lt;&gt;"",Company_PC_inputs!AX56,""))</f>
        <v/>
      </c>
      <c r="AY56" s="490" t="str">
        <f>IF(Ofwat_PC_Interventions!AY56&lt;&gt;"",Ofwat_PC_Interventions!AY56,IF(Company_PC_inputs!AY56&lt;&gt;"",Company_PC_inputs!AY56,""))</f>
        <v/>
      </c>
      <c r="AZ56" s="490" t="str">
        <f>IF(Ofwat_PC_Interventions!AZ56&lt;&gt;"",Ofwat_PC_Interventions!AZ56,IF(Company_PC_inputs!AZ56&lt;&gt;"",Company_PC_inputs!AZ56,""))</f>
        <v/>
      </c>
      <c r="BA56" s="490" t="str">
        <f>IF(Ofwat_PC_Interventions!BA56&lt;&gt;"",Ofwat_PC_Interventions!BA56,IF(Company_PC_inputs!BA56&lt;&gt;"",Company_PC_inputs!BA56,""))</f>
        <v/>
      </c>
      <c r="BB56" s="490" t="str">
        <f>IF(Ofwat_PC_Interventions!BB56&lt;&gt;"",Ofwat_PC_Interventions!BB56,IF(Company_PC_inputs!BB56&lt;&gt;"",Company_PC_inputs!BB56,""))</f>
        <v/>
      </c>
      <c r="BC56" s="491" t="str">
        <f>IF(Ofwat_PC_Interventions!BC56&lt;&gt;"",Ofwat_PC_Interventions!BC56,IF(Company_PC_inputs!BC56&lt;&gt;"",Company_PC_inputs!BC56,""))</f>
        <v/>
      </c>
      <c r="BD56" s="490" t="str">
        <f>IF(Ofwat_PC_Interventions!BD56&lt;&gt;"",Ofwat_PC_Interventions!BD56,IF(Company_PC_inputs!BD56&lt;&gt;"",Company_PC_inputs!BD56,""))</f>
        <v/>
      </c>
      <c r="BE56" s="490" t="str">
        <f>IF(Ofwat_PC_Interventions!BE56&lt;&gt;"",Ofwat_PC_Interventions!BE56,IF(Company_PC_inputs!BE56&lt;&gt;"",Company_PC_inputs!BE56,""))</f>
        <v/>
      </c>
      <c r="BF56" s="490" t="str">
        <f>IF(Ofwat_PC_Interventions!BF56&lt;&gt;"",Ofwat_PC_Interventions!BF56,IF(Company_PC_inputs!BF56&lt;&gt;"",Company_PC_inputs!BF56,""))</f>
        <v/>
      </c>
      <c r="BG56" s="490" t="str">
        <f>IF(Ofwat_PC_Interventions!BG56&lt;&gt;"",Ofwat_PC_Interventions!BG56,IF(Company_PC_inputs!BG56&lt;&gt;"",Company_PC_inputs!BG56,""))</f>
        <v/>
      </c>
      <c r="BH56" s="490" t="str">
        <f>IF(Ofwat_PC_Interventions!BH56&lt;&gt;"",Ofwat_PC_Interventions!BH56,IF(Company_PC_inputs!BH56&lt;&gt;"",Company_PC_inputs!BH56,""))</f>
        <v/>
      </c>
      <c r="BI56" s="490" t="str">
        <f>IF(Ofwat_PC_Interventions!BI56&lt;&gt;"",Ofwat_PC_Interventions!BI56,IF(Company_PC_inputs!BI56&lt;&gt;"",Company_PC_inputs!BI56,""))</f>
        <v/>
      </c>
      <c r="BJ56" s="490" t="str">
        <f>IF(Ofwat_PC_Interventions!BJ56&lt;&gt;"",Ofwat_PC_Interventions!BJ56,IF(Company_PC_inputs!BJ56&lt;&gt;"",Company_PC_inputs!BJ56,""))</f>
        <v/>
      </c>
      <c r="BK56" s="490" t="str">
        <f>IF(Ofwat_PC_Interventions!BK56&lt;&gt;"",Ofwat_PC_Interventions!BK56,IF(Company_PC_inputs!BK56&lt;&gt;"",Company_PC_inputs!BK56,""))</f>
        <v/>
      </c>
      <c r="BL56" s="490" t="str">
        <f>IF(Ofwat_PC_Interventions!BL56&lt;&gt;"",Ofwat_PC_Interventions!BL56,IF(Company_PC_inputs!BL56&lt;&gt;"",Company_PC_inputs!BL56,""))</f>
        <v/>
      </c>
      <c r="BM56" s="490" t="str">
        <f>IF(Ofwat_PC_Interventions!BM56&lt;&gt;"",Ofwat_PC_Interventions!BM56,IF(Company_PC_inputs!BM56&lt;&gt;"",Company_PC_inputs!BM56,""))</f>
        <v/>
      </c>
      <c r="BN56" s="490" t="str">
        <f>IF(Ofwat_PC_Interventions!BN56&lt;&gt;"",Ofwat_PC_Interventions!BN56,IF(Company_PC_inputs!BN56&lt;&gt;"",Company_PC_inputs!BN56,""))</f>
        <v/>
      </c>
      <c r="BO56" s="490" t="str">
        <f>IF(Ofwat_PC_Interventions!BO56&lt;&gt;"",Ofwat_PC_Interventions!BO56,IF(Company_PC_inputs!BO56&lt;&gt;"",Company_PC_inputs!BO56,""))</f>
        <v/>
      </c>
      <c r="BP56" s="490" t="str">
        <f>IF(Ofwat_PC_Interventions!BP56&lt;&gt;"",Ofwat_PC_Interventions!BP56,IF(Company_PC_inputs!BP56&lt;&gt;"",Company_PC_inputs!BP56,""))</f>
        <v/>
      </c>
      <c r="BQ56" s="490" t="str">
        <f>IF(Ofwat_PC_Interventions!BQ56&lt;&gt;"",Ofwat_PC_Interventions!BQ56,IF(Company_PC_inputs!BQ56&lt;&gt;"",Company_PC_inputs!BQ56,""))</f>
        <v/>
      </c>
      <c r="BR56" s="490" t="str">
        <f>IF(Ofwat_PC_Interventions!BR56&lt;&gt;"",Ofwat_PC_Interventions!BR56,IF(Company_PC_inputs!BR56&lt;&gt;"",Company_PC_inputs!BR56,""))</f>
        <v/>
      </c>
      <c r="BS56" s="490" t="str">
        <f>IF(Ofwat_PC_Interventions!BS56&lt;&gt;"",Ofwat_PC_Interventions!BS56,IF(Company_PC_inputs!BS56&lt;&gt;"",Company_PC_inputs!BS56,""))</f>
        <v/>
      </c>
    </row>
    <row r="57" spans="1:71" s="202" customFormat="1" ht="13.15">
      <c r="A57" s="453"/>
      <c r="B57" s="453"/>
      <c r="C57" s="453"/>
      <c r="D57" s="453"/>
      <c r="E57" s="453" t="s">
        <v>1000</v>
      </c>
      <c r="F57" s="453"/>
      <c r="G57" s="453" t="s">
        <v>1158</v>
      </c>
      <c r="H57" s="453"/>
      <c r="I57" s="453"/>
      <c r="J57" s="490" t="str">
        <f>IF(Ofwat_PC_Interventions!J57&lt;&gt;"",Ofwat_PC_Interventions!J57,IF(Company_PC_inputs!J57&lt;&gt;"",Company_PC_inputs!J57,""))</f>
        <v/>
      </c>
      <c r="K57" s="490" t="str">
        <f>IF(Ofwat_PC_Interventions!K57&lt;&gt;"",Ofwat_PC_Interventions!K57,IF(Company_PC_inputs!K57&lt;&gt;"",Company_PC_inputs!K57,""))</f>
        <v/>
      </c>
      <c r="L57" s="490" t="str">
        <f>IF(Ofwat_PC_Interventions!L57&lt;&gt;"",Ofwat_PC_Interventions!L57,IF(Company_PC_inputs!L57&lt;&gt;"",Company_PC_inputs!L57,""))</f>
        <v/>
      </c>
      <c r="M57" s="490" t="str">
        <f>IF(Ofwat_PC_Interventions!M57&lt;&gt;"",Ofwat_PC_Interventions!M57,IF(Company_PC_inputs!M57&lt;&gt;"",Company_PC_inputs!M57,""))</f>
        <v/>
      </c>
      <c r="N57" s="490">
        <f>IF(Ofwat_PC_Interventions!N57&lt;&gt;"",Ofwat_PC_Interventions!N57,IF(Company_PC_inputs!N57&lt;&gt;"",Company_PC_inputs!N57,""))</f>
        <v>-18.3</v>
      </c>
      <c r="O57" s="490" t="str">
        <f>IF(Ofwat_PC_Interventions!O57&lt;&gt;"",Ofwat_PC_Interventions!O57,IF(Company_PC_inputs!O57&lt;&gt;"",Company_PC_inputs!O57,""))</f>
        <v/>
      </c>
      <c r="P57" s="490" t="str">
        <f>IF(Ofwat_PC_Interventions!P57&lt;&gt;"",Ofwat_PC_Interventions!P57,IF(Company_PC_inputs!P57&lt;&gt;"",Company_PC_inputs!P57,""))</f>
        <v/>
      </c>
      <c r="Q57" s="491" t="str">
        <f>IF(Ofwat_PC_Interventions!Q57&lt;&gt;"",Ofwat_PC_Interventions!Q57,IF(Company_PC_inputs!Q57&lt;&gt;"",Company_PC_inputs!Q57,""))</f>
        <v/>
      </c>
      <c r="R57" s="490" t="str">
        <f>IF(Ofwat_PC_Interventions!R57&lt;&gt;"",Ofwat_PC_Interventions!R57,IF(Company_PC_inputs!R57&lt;&gt;"",Company_PC_inputs!R57,""))</f>
        <v/>
      </c>
      <c r="S57" s="490" t="str">
        <f>IF(Ofwat_PC_Interventions!S57&lt;&gt;"",Ofwat_PC_Interventions!S57,IF(Company_PC_inputs!S57&lt;&gt;"",Company_PC_inputs!S57,""))</f>
        <v/>
      </c>
      <c r="T57" s="490" t="str">
        <f>IF(Ofwat_PC_Interventions!T57&lt;&gt;"",Ofwat_PC_Interventions!T57,IF(Company_PC_inputs!T57&lt;&gt;"",Company_PC_inputs!T57,""))</f>
        <v/>
      </c>
      <c r="U57" s="490" t="str">
        <f>IF(Ofwat_PC_Interventions!U57&lt;&gt;"",Ofwat_PC_Interventions!U57,IF(Company_PC_inputs!U57&lt;&gt;"",Company_PC_inputs!U57,""))</f>
        <v/>
      </c>
      <c r="V57" s="490" t="str">
        <f>IF(Ofwat_PC_Interventions!V57&lt;&gt;"",Ofwat_PC_Interventions!V57,IF(Company_PC_inputs!V57&lt;&gt;"",Company_PC_inputs!V57,""))</f>
        <v/>
      </c>
      <c r="W57" s="490" t="str">
        <f>IF(Ofwat_PC_Interventions!W57&lt;&gt;"",Ofwat_PC_Interventions!W57,IF(Company_PC_inputs!W57&lt;&gt;"",Company_PC_inputs!W57,""))</f>
        <v/>
      </c>
      <c r="X57" s="490" t="str">
        <f>IF(Ofwat_PC_Interventions!X57&lt;&gt;"",Ofwat_PC_Interventions!X57,IF(Company_PC_inputs!X57&lt;&gt;"",Company_PC_inputs!X57,""))</f>
        <v/>
      </c>
      <c r="Y57" s="490" t="str">
        <f>IF(Ofwat_PC_Interventions!Y57&lt;&gt;"",Ofwat_PC_Interventions!Y57,IF(Company_PC_inputs!Y57&lt;&gt;"",Company_PC_inputs!Y57,""))</f>
        <v/>
      </c>
      <c r="Z57" s="490" t="str">
        <f>IF(Ofwat_PC_Interventions!Z57&lt;&gt;"",Ofwat_PC_Interventions!Z57,IF(Company_PC_inputs!Z57&lt;&gt;"",Company_PC_inputs!Z57,""))</f>
        <v/>
      </c>
      <c r="AA57" s="490" t="str">
        <f>IF(Ofwat_PC_Interventions!AA57&lt;&gt;"",Ofwat_PC_Interventions!AA57,IF(Company_PC_inputs!AA57&lt;&gt;"",Company_PC_inputs!AA57,""))</f>
        <v/>
      </c>
      <c r="AB57" s="490" t="str">
        <f>IF(Ofwat_PC_Interventions!AB57&lt;&gt;"",Ofwat_PC_Interventions!AB57,IF(Company_PC_inputs!AB57&lt;&gt;"",Company_PC_inputs!AB57,""))</f>
        <v/>
      </c>
      <c r="AC57" s="490" t="str">
        <f>IF(Ofwat_PC_Interventions!AC57&lt;&gt;"",Ofwat_PC_Interventions!AC57,IF(Company_PC_inputs!AC57&lt;&gt;"",Company_PC_inputs!AC57,""))</f>
        <v/>
      </c>
      <c r="AD57" s="490" t="str">
        <f>IF(Ofwat_PC_Interventions!AD57&lt;&gt;"",Ofwat_PC_Interventions!AD57,IF(Company_PC_inputs!AD57&lt;&gt;"",Company_PC_inputs!AD57,""))</f>
        <v/>
      </c>
      <c r="AE57" s="490" t="str">
        <f>IF(Ofwat_PC_Interventions!AE57&lt;&gt;"",Ofwat_PC_Interventions!AE57,IF(Company_PC_inputs!AE57&lt;&gt;"",Company_PC_inputs!AE57,""))</f>
        <v/>
      </c>
      <c r="AF57" s="490" t="str">
        <f>IF(Ofwat_PC_Interventions!AF57&lt;&gt;"",Ofwat_PC_Interventions!AF57,IF(Company_PC_inputs!AF57&lt;&gt;"",Company_PC_inputs!AF57,""))</f>
        <v/>
      </c>
      <c r="AG57" s="490" t="str">
        <f>IF(Ofwat_PC_Interventions!AG57&lt;&gt;"",Ofwat_PC_Interventions!AG57,IF(Company_PC_inputs!AG57&lt;&gt;"",Company_PC_inputs!AG57,""))</f>
        <v/>
      </c>
      <c r="AH57" s="490" t="str">
        <f>IF(Ofwat_PC_Interventions!AH57&lt;&gt;"",Ofwat_PC_Interventions!AH57,IF(Company_PC_inputs!AH57&lt;&gt;"",Company_PC_inputs!AH57,""))</f>
        <v/>
      </c>
      <c r="AI57" s="490" t="str">
        <f>IF(Ofwat_PC_Interventions!AI57&lt;&gt;"",Ofwat_PC_Interventions!AI57,IF(Company_PC_inputs!AI57&lt;&gt;"",Company_PC_inputs!AI57,""))</f>
        <v/>
      </c>
      <c r="AJ57" s="490" t="str">
        <f>IF(Ofwat_PC_Interventions!AJ57&lt;&gt;"",Ofwat_PC_Interventions!AJ57,IF(Company_PC_inputs!AJ57&lt;&gt;"",Company_PC_inputs!AJ57,""))</f>
        <v/>
      </c>
      <c r="AK57" s="491" t="str">
        <f>IF(Ofwat_PC_Interventions!AK57&lt;&gt;"",Ofwat_PC_Interventions!AK57,IF(Company_PC_inputs!AK57&lt;&gt;"",Company_PC_inputs!AK57,""))</f>
        <v/>
      </c>
      <c r="AL57" s="490" t="str">
        <f>IF(Ofwat_PC_Interventions!AL57&lt;&gt;"",Ofwat_PC_Interventions!AL57,IF(Company_PC_inputs!AL57&lt;&gt;"",Company_PC_inputs!AL57,""))</f>
        <v/>
      </c>
      <c r="AM57" s="490" t="str">
        <f>IF(Ofwat_PC_Interventions!AM57&lt;&gt;"",Ofwat_PC_Interventions!AM57,IF(Company_PC_inputs!AM57&lt;&gt;"",Company_PC_inputs!AM57,""))</f>
        <v/>
      </c>
      <c r="AN57" s="490" t="str">
        <f>IF(Ofwat_PC_Interventions!AN57&lt;&gt;"",Ofwat_PC_Interventions!AN57,IF(Company_PC_inputs!AN57&lt;&gt;"",Company_PC_inputs!AN57,""))</f>
        <v/>
      </c>
      <c r="AO57" s="491" t="str">
        <f>IF(Ofwat_PC_Interventions!AO57&lt;&gt;"",Ofwat_PC_Interventions!AO57,IF(Company_PC_inputs!AO57&lt;&gt;"",Company_PC_inputs!AO57,""))</f>
        <v/>
      </c>
      <c r="AP57" s="490" t="str">
        <f>IF(Ofwat_PC_Interventions!AP57&lt;&gt;"",Ofwat_PC_Interventions!AP57,IF(Company_PC_inputs!AP57&lt;&gt;"",Company_PC_inputs!AP57,""))</f>
        <v/>
      </c>
      <c r="AQ57" s="490" t="str">
        <f>IF(Ofwat_PC_Interventions!AQ57&lt;&gt;"",Ofwat_PC_Interventions!AQ57,IF(Company_PC_inputs!AQ57&lt;&gt;"",Company_PC_inputs!AQ57,""))</f>
        <v/>
      </c>
      <c r="AR57" s="490" t="str">
        <f>IF(Ofwat_PC_Interventions!AR57&lt;&gt;"",Ofwat_PC_Interventions!AR57,IF(Company_PC_inputs!AR57&lt;&gt;"",Company_PC_inputs!AR57,""))</f>
        <v/>
      </c>
      <c r="AS57" s="490" t="str">
        <f>IF(Ofwat_PC_Interventions!AS57&lt;&gt;"",Ofwat_PC_Interventions!AS57,IF(Company_PC_inputs!AS57&lt;&gt;"",Company_PC_inputs!AS57,""))</f>
        <v/>
      </c>
      <c r="AT57" s="490" t="str">
        <f>IF(Ofwat_PC_Interventions!AT57&lt;&gt;"",Ofwat_PC_Interventions!AT57,IF(Company_PC_inputs!AT57&lt;&gt;"",Company_PC_inputs!AT57,""))</f>
        <v/>
      </c>
      <c r="AU57" s="490" t="str">
        <f>IF(Ofwat_PC_Interventions!AU57&lt;&gt;"",Ofwat_PC_Interventions!AU57,IF(Company_PC_inputs!AU57&lt;&gt;"",Company_PC_inputs!AU57,""))</f>
        <v/>
      </c>
      <c r="AV57" s="490" t="str">
        <f>IF(Ofwat_PC_Interventions!AV57&lt;&gt;"",Ofwat_PC_Interventions!AV57,IF(Company_PC_inputs!AV57&lt;&gt;"",Company_PC_inputs!AV57,""))</f>
        <v/>
      </c>
      <c r="AW57" s="490" t="str">
        <f>IF(Ofwat_PC_Interventions!AW57&lt;&gt;"",Ofwat_PC_Interventions!AW57,IF(Company_PC_inputs!AW57&lt;&gt;"",Company_PC_inputs!AW57,""))</f>
        <v/>
      </c>
      <c r="AX57" s="490" t="str">
        <f>IF(Ofwat_PC_Interventions!AX57&lt;&gt;"",Ofwat_PC_Interventions!AX57,IF(Company_PC_inputs!AX57&lt;&gt;"",Company_PC_inputs!AX57,""))</f>
        <v/>
      </c>
      <c r="AY57" s="490" t="str">
        <f>IF(Ofwat_PC_Interventions!AY57&lt;&gt;"",Ofwat_PC_Interventions!AY57,IF(Company_PC_inputs!AY57&lt;&gt;"",Company_PC_inputs!AY57,""))</f>
        <v/>
      </c>
      <c r="AZ57" s="490" t="str">
        <f>IF(Ofwat_PC_Interventions!AZ57&lt;&gt;"",Ofwat_PC_Interventions!AZ57,IF(Company_PC_inputs!AZ57&lt;&gt;"",Company_PC_inputs!AZ57,""))</f>
        <v/>
      </c>
      <c r="BA57" s="490" t="str">
        <f>IF(Ofwat_PC_Interventions!BA57&lt;&gt;"",Ofwat_PC_Interventions!BA57,IF(Company_PC_inputs!BA57&lt;&gt;"",Company_PC_inputs!BA57,""))</f>
        <v/>
      </c>
      <c r="BB57" s="490" t="str">
        <f>IF(Ofwat_PC_Interventions!BB57&lt;&gt;"",Ofwat_PC_Interventions!BB57,IF(Company_PC_inputs!BB57&lt;&gt;"",Company_PC_inputs!BB57,""))</f>
        <v/>
      </c>
      <c r="BC57" s="491" t="str">
        <f>IF(Ofwat_PC_Interventions!BC57&lt;&gt;"",Ofwat_PC_Interventions!BC57,IF(Company_PC_inputs!BC57&lt;&gt;"",Company_PC_inputs!BC57,""))</f>
        <v/>
      </c>
      <c r="BD57" s="490" t="str">
        <f>IF(Ofwat_PC_Interventions!BD57&lt;&gt;"",Ofwat_PC_Interventions!BD57,IF(Company_PC_inputs!BD57&lt;&gt;"",Company_PC_inputs!BD57,""))</f>
        <v/>
      </c>
      <c r="BE57" s="490" t="str">
        <f>IF(Ofwat_PC_Interventions!BE57&lt;&gt;"",Ofwat_PC_Interventions!BE57,IF(Company_PC_inputs!BE57&lt;&gt;"",Company_PC_inputs!BE57,""))</f>
        <v/>
      </c>
      <c r="BF57" s="490" t="str">
        <f>IF(Ofwat_PC_Interventions!BF57&lt;&gt;"",Ofwat_PC_Interventions!BF57,IF(Company_PC_inputs!BF57&lt;&gt;"",Company_PC_inputs!BF57,""))</f>
        <v/>
      </c>
      <c r="BG57" s="490" t="str">
        <f>IF(Ofwat_PC_Interventions!BG57&lt;&gt;"",Ofwat_PC_Interventions!BG57,IF(Company_PC_inputs!BG57&lt;&gt;"",Company_PC_inputs!BG57,""))</f>
        <v/>
      </c>
      <c r="BH57" s="490" t="str">
        <f>IF(Ofwat_PC_Interventions!BH57&lt;&gt;"",Ofwat_PC_Interventions!BH57,IF(Company_PC_inputs!BH57&lt;&gt;"",Company_PC_inputs!BH57,""))</f>
        <v/>
      </c>
      <c r="BI57" s="490" t="str">
        <f>IF(Ofwat_PC_Interventions!BI57&lt;&gt;"",Ofwat_PC_Interventions!BI57,IF(Company_PC_inputs!BI57&lt;&gt;"",Company_PC_inputs!BI57,""))</f>
        <v/>
      </c>
      <c r="BJ57" s="490" t="str">
        <f>IF(Ofwat_PC_Interventions!BJ57&lt;&gt;"",Ofwat_PC_Interventions!BJ57,IF(Company_PC_inputs!BJ57&lt;&gt;"",Company_PC_inputs!BJ57,""))</f>
        <v/>
      </c>
      <c r="BK57" s="490" t="str">
        <f>IF(Ofwat_PC_Interventions!BK57&lt;&gt;"",Ofwat_PC_Interventions!BK57,IF(Company_PC_inputs!BK57&lt;&gt;"",Company_PC_inputs!BK57,""))</f>
        <v/>
      </c>
      <c r="BL57" s="490" t="str">
        <f>IF(Ofwat_PC_Interventions!BL57&lt;&gt;"",Ofwat_PC_Interventions!BL57,IF(Company_PC_inputs!BL57&lt;&gt;"",Company_PC_inputs!BL57,""))</f>
        <v/>
      </c>
      <c r="BM57" s="490" t="str">
        <f>IF(Ofwat_PC_Interventions!BM57&lt;&gt;"",Ofwat_PC_Interventions!BM57,IF(Company_PC_inputs!BM57&lt;&gt;"",Company_PC_inputs!BM57,""))</f>
        <v/>
      </c>
      <c r="BN57" s="490" t="str">
        <f>IF(Ofwat_PC_Interventions!BN57&lt;&gt;"",Ofwat_PC_Interventions!BN57,IF(Company_PC_inputs!BN57&lt;&gt;"",Company_PC_inputs!BN57,""))</f>
        <v/>
      </c>
      <c r="BO57" s="490" t="str">
        <f>IF(Ofwat_PC_Interventions!BO57&lt;&gt;"",Ofwat_PC_Interventions!BO57,IF(Company_PC_inputs!BO57&lt;&gt;"",Company_PC_inputs!BO57,""))</f>
        <v/>
      </c>
      <c r="BP57" s="490" t="str">
        <f>IF(Ofwat_PC_Interventions!BP57&lt;&gt;"",Ofwat_PC_Interventions!BP57,IF(Company_PC_inputs!BP57&lt;&gt;"",Company_PC_inputs!BP57,""))</f>
        <v/>
      </c>
      <c r="BQ57" s="490" t="str">
        <f>IF(Ofwat_PC_Interventions!BQ57&lt;&gt;"",Ofwat_PC_Interventions!BQ57,IF(Company_PC_inputs!BQ57&lt;&gt;"",Company_PC_inputs!BQ57,""))</f>
        <v/>
      </c>
      <c r="BR57" s="490" t="str">
        <f>IF(Ofwat_PC_Interventions!BR57&lt;&gt;"",Ofwat_PC_Interventions!BR57,IF(Company_PC_inputs!BR57&lt;&gt;"",Company_PC_inputs!BR57,""))</f>
        <v/>
      </c>
      <c r="BS57" s="490" t="str">
        <f>IF(Ofwat_PC_Interventions!BS57&lt;&gt;"",Ofwat_PC_Interventions!BS57,IF(Company_PC_inputs!BS57&lt;&gt;"",Company_PC_inputs!BS57,""))</f>
        <v/>
      </c>
    </row>
    <row r="58" spans="1:71" s="202" customFormat="1" ht="13.15">
      <c r="A58" s="453"/>
      <c r="B58" s="453"/>
      <c r="C58" s="453"/>
      <c r="D58" s="453"/>
      <c r="E58" s="453"/>
      <c r="F58" s="453"/>
      <c r="G58" s="453"/>
      <c r="H58" s="453"/>
      <c r="I58" s="453"/>
      <c r="J58" s="523" t="str">
        <f>IF(Ofwat_PC_Interventions!J58&lt;&gt;"",Ofwat_PC_Interventions!J58,IF(Company_PC_inputs!J58&lt;&gt;"",Company_PC_inputs!J58,""))</f>
        <v/>
      </c>
      <c r="K58" s="523" t="str">
        <f>IF(Ofwat_PC_Interventions!K58&lt;&gt;"",Ofwat_PC_Interventions!K58,IF(Company_PC_inputs!K58&lt;&gt;"",Company_PC_inputs!K58,""))</f>
        <v/>
      </c>
      <c r="L58" s="523" t="str">
        <f>IF(Ofwat_PC_Interventions!L58&lt;&gt;"",Ofwat_PC_Interventions!L58,IF(Company_PC_inputs!L58&lt;&gt;"",Company_PC_inputs!L58,""))</f>
        <v/>
      </c>
      <c r="M58" s="523" t="str">
        <f>IF(Ofwat_PC_Interventions!M58&lt;&gt;"",Ofwat_PC_Interventions!M58,IF(Company_PC_inputs!M58&lt;&gt;"",Company_PC_inputs!M58,""))</f>
        <v/>
      </c>
      <c r="N58" s="523" t="str">
        <f>IF(Ofwat_PC_Interventions!N58&lt;&gt;"",Ofwat_PC_Interventions!N58,IF(Company_PC_inputs!N58&lt;&gt;"",Company_PC_inputs!N58,""))</f>
        <v/>
      </c>
      <c r="O58" s="523" t="str">
        <f>IF(Ofwat_PC_Interventions!O58&lt;&gt;"",Ofwat_PC_Interventions!O58,IF(Company_PC_inputs!O58&lt;&gt;"",Company_PC_inputs!O58,""))</f>
        <v/>
      </c>
      <c r="P58" s="523" t="str">
        <f>IF(Ofwat_PC_Interventions!P58&lt;&gt;"",Ofwat_PC_Interventions!P58,IF(Company_PC_inputs!P58&lt;&gt;"",Company_PC_inputs!P58,""))</f>
        <v/>
      </c>
      <c r="Q58" s="524" t="str">
        <f>IF(Ofwat_PC_Interventions!Q58&lt;&gt;"",Ofwat_PC_Interventions!Q58,IF(Company_PC_inputs!Q58&lt;&gt;"",Company_PC_inputs!Q58,""))</f>
        <v/>
      </c>
      <c r="R58" s="523" t="str">
        <f>IF(Ofwat_PC_Interventions!R58&lt;&gt;"",Ofwat_PC_Interventions!R58,IF(Company_PC_inputs!R58&lt;&gt;"",Company_PC_inputs!R58,""))</f>
        <v/>
      </c>
      <c r="S58" s="523" t="str">
        <f>IF(Ofwat_PC_Interventions!S58&lt;&gt;"",Ofwat_PC_Interventions!S58,IF(Company_PC_inputs!S58&lt;&gt;"",Company_PC_inputs!S58,""))</f>
        <v/>
      </c>
      <c r="T58" s="523" t="str">
        <f>IF(Ofwat_PC_Interventions!T58&lt;&gt;"",Ofwat_PC_Interventions!T58,IF(Company_PC_inputs!T58&lt;&gt;"",Company_PC_inputs!T58,""))</f>
        <v/>
      </c>
      <c r="U58" s="523" t="str">
        <f>IF(Ofwat_PC_Interventions!U58&lt;&gt;"",Ofwat_PC_Interventions!U58,IF(Company_PC_inputs!U58&lt;&gt;"",Company_PC_inputs!U58,""))</f>
        <v/>
      </c>
      <c r="V58" s="523" t="str">
        <f>IF(Ofwat_PC_Interventions!V58&lt;&gt;"",Ofwat_PC_Interventions!V58,IF(Company_PC_inputs!V58&lt;&gt;"",Company_PC_inputs!V58,""))</f>
        <v/>
      </c>
      <c r="W58" s="523" t="str">
        <f>IF(Ofwat_PC_Interventions!W58&lt;&gt;"",Ofwat_PC_Interventions!W58,IF(Company_PC_inputs!W58&lt;&gt;"",Company_PC_inputs!W58,""))</f>
        <v/>
      </c>
      <c r="X58" s="523" t="str">
        <f>IF(Ofwat_PC_Interventions!X58&lt;&gt;"",Ofwat_PC_Interventions!X58,IF(Company_PC_inputs!X58&lt;&gt;"",Company_PC_inputs!X58,""))</f>
        <v/>
      </c>
      <c r="Y58" s="523" t="str">
        <f>IF(Ofwat_PC_Interventions!Y58&lt;&gt;"",Ofwat_PC_Interventions!Y58,IF(Company_PC_inputs!Y58&lt;&gt;"",Company_PC_inputs!Y58,""))</f>
        <v/>
      </c>
      <c r="Z58" s="523" t="str">
        <f>IF(Ofwat_PC_Interventions!Z58&lt;&gt;"",Ofwat_PC_Interventions!Z58,IF(Company_PC_inputs!Z58&lt;&gt;"",Company_PC_inputs!Z58,""))</f>
        <v/>
      </c>
      <c r="AA58" s="523" t="str">
        <f>IF(Ofwat_PC_Interventions!AA58&lt;&gt;"",Ofwat_PC_Interventions!AA58,IF(Company_PC_inputs!AA58&lt;&gt;"",Company_PC_inputs!AA58,""))</f>
        <v/>
      </c>
      <c r="AB58" s="523" t="str">
        <f>IF(Ofwat_PC_Interventions!AB58&lt;&gt;"",Ofwat_PC_Interventions!AB58,IF(Company_PC_inputs!AB58&lt;&gt;"",Company_PC_inputs!AB58,""))</f>
        <v/>
      </c>
      <c r="AC58" s="523" t="str">
        <f>IF(Ofwat_PC_Interventions!AC58&lt;&gt;"",Ofwat_PC_Interventions!AC58,IF(Company_PC_inputs!AC58&lt;&gt;"",Company_PC_inputs!AC58,""))</f>
        <v/>
      </c>
      <c r="AD58" s="523" t="str">
        <f>IF(Ofwat_PC_Interventions!AD58&lt;&gt;"",Ofwat_PC_Interventions!AD58,IF(Company_PC_inputs!AD58&lt;&gt;"",Company_PC_inputs!AD58,""))</f>
        <v/>
      </c>
      <c r="AE58" s="523" t="str">
        <f>IF(Ofwat_PC_Interventions!AE58&lt;&gt;"",Ofwat_PC_Interventions!AE58,IF(Company_PC_inputs!AE58&lt;&gt;"",Company_PC_inputs!AE58,""))</f>
        <v/>
      </c>
      <c r="AF58" s="523" t="str">
        <f>IF(Ofwat_PC_Interventions!AF58&lt;&gt;"",Ofwat_PC_Interventions!AF58,IF(Company_PC_inputs!AF58&lt;&gt;"",Company_PC_inputs!AF58,""))</f>
        <v/>
      </c>
      <c r="AG58" s="523" t="str">
        <f>IF(Ofwat_PC_Interventions!AG58&lt;&gt;"",Ofwat_PC_Interventions!AG58,IF(Company_PC_inputs!AG58&lt;&gt;"",Company_PC_inputs!AG58,""))</f>
        <v/>
      </c>
      <c r="AH58" s="523" t="str">
        <f>IF(Ofwat_PC_Interventions!AH58&lt;&gt;"",Ofwat_PC_Interventions!AH58,IF(Company_PC_inputs!AH58&lt;&gt;"",Company_PC_inputs!AH58,""))</f>
        <v/>
      </c>
      <c r="AI58" s="523" t="str">
        <f>IF(Ofwat_PC_Interventions!AI58&lt;&gt;"",Ofwat_PC_Interventions!AI58,IF(Company_PC_inputs!AI58&lt;&gt;"",Company_PC_inputs!AI58,""))</f>
        <v/>
      </c>
      <c r="AJ58" s="523" t="str">
        <f>IF(Ofwat_PC_Interventions!AJ58&lt;&gt;"",Ofwat_PC_Interventions!AJ58,IF(Company_PC_inputs!AJ58&lt;&gt;"",Company_PC_inputs!AJ58,""))</f>
        <v/>
      </c>
      <c r="AK58" s="524" t="str">
        <f>IF(Ofwat_PC_Interventions!AK58&lt;&gt;"",Ofwat_PC_Interventions!AK58,IF(Company_PC_inputs!AK58&lt;&gt;"",Company_PC_inputs!AK58,""))</f>
        <v/>
      </c>
      <c r="AL58" s="523" t="str">
        <f>IF(Ofwat_PC_Interventions!AL58&lt;&gt;"",Ofwat_PC_Interventions!AL58,IF(Company_PC_inputs!AL58&lt;&gt;"",Company_PC_inputs!AL58,""))</f>
        <v/>
      </c>
      <c r="AM58" s="523" t="str">
        <f>IF(Ofwat_PC_Interventions!AM58&lt;&gt;"",Ofwat_PC_Interventions!AM58,IF(Company_PC_inputs!AM58&lt;&gt;"",Company_PC_inputs!AM58,""))</f>
        <v/>
      </c>
      <c r="AN58" s="523" t="str">
        <f>IF(Ofwat_PC_Interventions!AN58&lt;&gt;"",Ofwat_PC_Interventions!AN58,IF(Company_PC_inputs!AN58&lt;&gt;"",Company_PC_inputs!AN58,""))</f>
        <v/>
      </c>
      <c r="AO58" s="524" t="str">
        <f>IF(Ofwat_PC_Interventions!AO58&lt;&gt;"",Ofwat_PC_Interventions!AO58,IF(Company_PC_inputs!AO58&lt;&gt;"",Company_PC_inputs!AO58,""))</f>
        <v/>
      </c>
      <c r="AP58" s="523" t="str">
        <f>IF(Ofwat_PC_Interventions!AP58&lt;&gt;"",Ofwat_PC_Interventions!AP58,IF(Company_PC_inputs!AP58&lt;&gt;"",Company_PC_inputs!AP58,""))</f>
        <v/>
      </c>
      <c r="AQ58" s="523" t="str">
        <f>IF(Ofwat_PC_Interventions!AQ58&lt;&gt;"",Ofwat_PC_Interventions!AQ58,IF(Company_PC_inputs!AQ58&lt;&gt;"",Company_PC_inputs!AQ58,""))</f>
        <v/>
      </c>
      <c r="AR58" s="523" t="str">
        <f>IF(Ofwat_PC_Interventions!AR58&lt;&gt;"",Ofwat_PC_Interventions!AR58,IF(Company_PC_inputs!AR58&lt;&gt;"",Company_PC_inputs!AR58,""))</f>
        <v/>
      </c>
      <c r="AS58" s="523" t="str">
        <f>IF(Ofwat_PC_Interventions!AS58&lt;&gt;"",Ofwat_PC_Interventions!AS58,IF(Company_PC_inputs!AS58&lt;&gt;"",Company_PC_inputs!AS58,""))</f>
        <v/>
      </c>
      <c r="AT58" s="523" t="str">
        <f>IF(Ofwat_PC_Interventions!AT58&lt;&gt;"",Ofwat_PC_Interventions!AT58,IF(Company_PC_inputs!AT58&lt;&gt;"",Company_PC_inputs!AT58,""))</f>
        <v/>
      </c>
      <c r="AU58" s="523" t="str">
        <f>IF(Ofwat_PC_Interventions!AU58&lt;&gt;"",Ofwat_PC_Interventions!AU58,IF(Company_PC_inputs!AU58&lt;&gt;"",Company_PC_inputs!AU58,""))</f>
        <v/>
      </c>
      <c r="AV58" s="523" t="str">
        <f>IF(Ofwat_PC_Interventions!AV58&lt;&gt;"",Ofwat_PC_Interventions!AV58,IF(Company_PC_inputs!AV58&lt;&gt;"",Company_PC_inputs!AV58,""))</f>
        <v/>
      </c>
      <c r="AW58" s="523" t="str">
        <f>IF(Ofwat_PC_Interventions!AW58&lt;&gt;"",Ofwat_PC_Interventions!AW58,IF(Company_PC_inputs!AW58&lt;&gt;"",Company_PC_inputs!AW58,""))</f>
        <v/>
      </c>
      <c r="AX58" s="523" t="str">
        <f>IF(Ofwat_PC_Interventions!AX58&lt;&gt;"",Ofwat_PC_Interventions!AX58,IF(Company_PC_inputs!AX58&lt;&gt;"",Company_PC_inputs!AX58,""))</f>
        <v/>
      </c>
      <c r="AY58" s="523" t="str">
        <f>IF(Ofwat_PC_Interventions!AY58&lt;&gt;"",Ofwat_PC_Interventions!AY58,IF(Company_PC_inputs!AY58&lt;&gt;"",Company_PC_inputs!AY58,""))</f>
        <v/>
      </c>
      <c r="AZ58" s="523" t="str">
        <f>IF(Ofwat_PC_Interventions!AZ58&lt;&gt;"",Ofwat_PC_Interventions!AZ58,IF(Company_PC_inputs!AZ58&lt;&gt;"",Company_PC_inputs!AZ58,""))</f>
        <v/>
      </c>
      <c r="BA58" s="523" t="str">
        <f>IF(Ofwat_PC_Interventions!BA58&lt;&gt;"",Ofwat_PC_Interventions!BA58,IF(Company_PC_inputs!BA58&lt;&gt;"",Company_PC_inputs!BA58,""))</f>
        <v/>
      </c>
      <c r="BB58" s="523" t="str">
        <f>IF(Ofwat_PC_Interventions!BB58&lt;&gt;"",Ofwat_PC_Interventions!BB58,IF(Company_PC_inputs!BB58&lt;&gt;"",Company_PC_inputs!BB58,""))</f>
        <v/>
      </c>
      <c r="BC58" s="524" t="str">
        <f>IF(Ofwat_PC_Interventions!BC58&lt;&gt;"",Ofwat_PC_Interventions!BC58,IF(Company_PC_inputs!BC58&lt;&gt;"",Company_PC_inputs!BC58,""))</f>
        <v/>
      </c>
      <c r="BD58" s="523" t="str">
        <f>IF(Ofwat_PC_Interventions!BD58&lt;&gt;"",Ofwat_PC_Interventions!BD58,IF(Company_PC_inputs!BD58&lt;&gt;"",Company_PC_inputs!BD58,""))</f>
        <v/>
      </c>
      <c r="BE58" s="523" t="str">
        <f>IF(Ofwat_PC_Interventions!BE58&lt;&gt;"",Ofwat_PC_Interventions!BE58,IF(Company_PC_inputs!BE58&lt;&gt;"",Company_PC_inputs!BE58,""))</f>
        <v/>
      </c>
      <c r="BF58" s="523" t="str">
        <f>IF(Ofwat_PC_Interventions!BF58&lt;&gt;"",Ofwat_PC_Interventions!BF58,IF(Company_PC_inputs!BF58&lt;&gt;"",Company_PC_inputs!BF58,""))</f>
        <v/>
      </c>
      <c r="BG58" s="523" t="str">
        <f>IF(Ofwat_PC_Interventions!BG58&lt;&gt;"",Ofwat_PC_Interventions!BG58,IF(Company_PC_inputs!BG58&lt;&gt;"",Company_PC_inputs!BG58,""))</f>
        <v/>
      </c>
      <c r="BH58" s="523" t="str">
        <f>IF(Ofwat_PC_Interventions!BH58&lt;&gt;"",Ofwat_PC_Interventions!BH58,IF(Company_PC_inputs!BH58&lt;&gt;"",Company_PC_inputs!BH58,""))</f>
        <v/>
      </c>
      <c r="BI58" s="523" t="str">
        <f>IF(Ofwat_PC_Interventions!BI58&lt;&gt;"",Ofwat_PC_Interventions!BI58,IF(Company_PC_inputs!BI58&lt;&gt;"",Company_PC_inputs!BI58,""))</f>
        <v/>
      </c>
      <c r="BJ58" s="523" t="str">
        <f>IF(Ofwat_PC_Interventions!BJ58&lt;&gt;"",Ofwat_PC_Interventions!BJ58,IF(Company_PC_inputs!BJ58&lt;&gt;"",Company_PC_inputs!BJ58,""))</f>
        <v/>
      </c>
      <c r="BK58" s="523" t="str">
        <f>IF(Ofwat_PC_Interventions!BK58&lt;&gt;"",Ofwat_PC_Interventions!BK58,IF(Company_PC_inputs!BK58&lt;&gt;"",Company_PC_inputs!BK58,""))</f>
        <v/>
      </c>
      <c r="BL58" s="523" t="str">
        <f>IF(Ofwat_PC_Interventions!BL58&lt;&gt;"",Ofwat_PC_Interventions!BL58,IF(Company_PC_inputs!BL58&lt;&gt;"",Company_PC_inputs!BL58,""))</f>
        <v/>
      </c>
      <c r="BM58" s="523" t="str">
        <f>IF(Ofwat_PC_Interventions!BM58&lt;&gt;"",Ofwat_PC_Interventions!BM58,IF(Company_PC_inputs!BM58&lt;&gt;"",Company_PC_inputs!BM58,""))</f>
        <v/>
      </c>
      <c r="BN58" s="523" t="str">
        <f>IF(Ofwat_PC_Interventions!BN58&lt;&gt;"",Ofwat_PC_Interventions!BN58,IF(Company_PC_inputs!BN58&lt;&gt;"",Company_PC_inputs!BN58,""))</f>
        <v/>
      </c>
      <c r="BO58" s="523" t="str">
        <f>IF(Ofwat_PC_Interventions!BO58&lt;&gt;"",Ofwat_PC_Interventions!BO58,IF(Company_PC_inputs!BO58&lt;&gt;"",Company_PC_inputs!BO58,""))</f>
        <v/>
      </c>
      <c r="BP58" s="523" t="str">
        <f>IF(Ofwat_PC_Interventions!BP58&lt;&gt;"",Ofwat_PC_Interventions!BP58,IF(Company_PC_inputs!BP58&lt;&gt;"",Company_PC_inputs!BP58,""))</f>
        <v/>
      </c>
      <c r="BQ58" s="523" t="str">
        <f>IF(Ofwat_PC_Interventions!BQ58&lt;&gt;"",Ofwat_PC_Interventions!BQ58,IF(Company_PC_inputs!BQ58&lt;&gt;"",Company_PC_inputs!BQ58,""))</f>
        <v/>
      </c>
      <c r="BR58" s="523" t="str">
        <f>IF(Ofwat_PC_Interventions!BR58&lt;&gt;"",Ofwat_PC_Interventions!BR58,IF(Company_PC_inputs!BR58&lt;&gt;"",Company_PC_inputs!BR58,""))</f>
        <v/>
      </c>
      <c r="BS58" s="523" t="str">
        <f>IF(Ofwat_PC_Interventions!BS58&lt;&gt;"",Ofwat_PC_Interventions!BS58,IF(Company_PC_inputs!BS58&lt;&gt;"",Company_PC_inputs!BS58,""))</f>
        <v/>
      </c>
    </row>
    <row r="59" spans="1:71" s="202" customFormat="1" ht="13.15">
      <c r="A59" s="453"/>
      <c r="B59" s="453"/>
      <c r="C59" s="453"/>
      <c r="D59" s="453"/>
      <c r="E59" s="453" t="s">
        <v>1184</v>
      </c>
      <c r="F59" s="453"/>
      <c r="G59" s="453" t="str">
        <f>"£m/unit ("&amp;InpCompany!$F$10&amp;" prices)"</f>
        <v>£m/unit (2017-18 prices)</v>
      </c>
      <c r="H59" s="453"/>
      <c r="I59" s="453"/>
      <c r="J59" s="576" t="str">
        <f>IF(Ofwat_PC_Interventions!J59&lt;&gt;"",Ofwat_PC_Interventions!J59,IF(Company_PC_inputs!J59&lt;&gt;"",Company_PC_inputs!J59,""))</f>
        <v/>
      </c>
      <c r="K59" s="576" t="str">
        <f>IF(Ofwat_PC_Interventions!K59&lt;&gt;"",Ofwat_PC_Interventions!K59,IF(Company_PC_inputs!K59&lt;&gt;"",Company_PC_inputs!K59,""))</f>
        <v/>
      </c>
      <c r="L59" s="576" t="str">
        <f>IF(Ofwat_PC_Interventions!L59&lt;&gt;"",Ofwat_PC_Interventions!L59,IF(Company_PC_inputs!L59&lt;&gt;"",Company_PC_inputs!L59,""))</f>
        <v/>
      </c>
      <c r="M59" s="576" t="str">
        <f>IF(Ofwat_PC_Interventions!M59&lt;&gt;"",Ofwat_PC_Interventions!M59,IF(Company_PC_inputs!M59&lt;&gt;"",Company_PC_inputs!M59,""))</f>
        <v/>
      </c>
      <c r="N59" s="576">
        <f>IF(Ofwat_PC_Interventions!N59&lt;&gt;"",Ofwat_PC_Interventions!N59,IF(Company_PC_inputs!N59&lt;&gt;"",Company_PC_inputs!N59,""))</f>
        <v>0.35599999999999998</v>
      </c>
      <c r="O59" s="576" t="str">
        <f>IF(Ofwat_PC_Interventions!O59&lt;&gt;"",Ofwat_PC_Interventions!O59,IF(Company_PC_inputs!O59&lt;&gt;"",Company_PC_inputs!O59,""))</f>
        <v/>
      </c>
      <c r="P59" s="576" t="str">
        <f>IF(Ofwat_PC_Interventions!P59&lt;&gt;"",Ofwat_PC_Interventions!P59,IF(Company_PC_inputs!P59&lt;&gt;"",Company_PC_inputs!P59,""))</f>
        <v/>
      </c>
      <c r="Q59" s="577" t="str">
        <f>IF(Ofwat_PC_Interventions!Q59&lt;&gt;"",Ofwat_PC_Interventions!Q59,IF(Company_PC_inputs!Q59&lt;&gt;"",Company_PC_inputs!Q59,""))</f>
        <v/>
      </c>
      <c r="R59" s="576" t="str">
        <f>IF(Ofwat_PC_Interventions!R59&lt;&gt;"",Ofwat_PC_Interventions!R59,IF(Company_PC_inputs!R59&lt;&gt;"",Company_PC_inputs!R59,""))</f>
        <v/>
      </c>
      <c r="S59" s="576" t="str">
        <f>IF(Ofwat_PC_Interventions!S59&lt;&gt;"",Ofwat_PC_Interventions!S59,IF(Company_PC_inputs!S59&lt;&gt;"",Company_PC_inputs!S59,""))</f>
        <v/>
      </c>
      <c r="T59" s="576" t="str">
        <f>IF(Ofwat_PC_Interventions!T59&lt;&gt;"",Ofwat_PC_Interventions!T59,IF(Company_PC_inputs!T59&lt;&gt;"",Company_PC_inputs!T59,""))</f>
        <v/>
      </c>
      <c r="U59" s="576" t="str">
        <f>IF(Ofwat_PC_Interventions!U59&lt;&gt;"",Ofwat_PC_Interventions!U59,IF(Company_PC_inputs!U59&lt;&gt;"",Company_PC_inputs!U59,""))</f>
        <v/>
      </c>
      <c r="V59" s="576" t="str">
        <f>IF(Ofwat_PC_Interventions!V59&lt;&gt;"",Ofwat_PC_Interventions!V59,IF(Company_PC_inputs!V59&lt;&gt;"",Company_PC_inputs!V59,""))</f>
        <v/>
      </c>
      <c r="W59" s="576" t="str">
        <f>IF(Ofwat_PC_Interventions!W59&lt;&gt;"",Ofwat_PC_Interventions!W59,IF(Company_PC_inputs!W59&lt;&gt;"",Company_PC_inputs!W59,""))</f>
        <v/>
      </c>
      <c r="X59" s="576" t="str">
        <f>IF(Ofwat_PC_Interventions!X59&lt;&gt;"",Ofwat_PC_Interventions!X59,IF(Company_PC_inputs!X59&lt;&gt;"",Company_PC_inputs!X59,""))</f>
        <v/>
      </c>
      <c r="Y59" s="576" t="str">
        <f>IF(Ofwat_PC_Interventions!Y59&lt;&gt;"",Ofwat_PC_Interventions!Y59,IF(Company_PC_inputs!Y59&lt;&gt;"",Company_PC_inputs!Y59,""))</f>
        <v/>
      </c>
      <c r="Z59" s="576" t="str">
        <f>IF(Ofwat_PC_Interventions!Z59&lt;&gt;"",Ofwat_PC_Interventions!Z59,IF(Company_PC_inputs!Z59&lt;&gt;"",Company_PC_inputs!Z59,""))</f>
        <v/>
      </c>
      <c r="AA59" s="576" t="str">
        <f>IF(Ofwat_PC_Interventions!AA59&lt;&gt;"",Ofwat_PC_Interventions!AA59,IF(Company_PC_inputs!AA59&lt;&gt;"",Company_PC_inputs!AA59,""))</f>
        <v/>
      </c>
      <c r="AB59" s="576" t="str">
        <f>IF(Ofwat_PC_Interventions!AB59&lt;&gt;"",Ofwat_PC_Interventions!AB59,IF(Company_PC_inputs!AB59&lt;&gt;"",Company_PC_inputs!AB59,""))</f>
        <v/>
      </c>
      <c r="AC59" s="576" t="str">
        <f>IF(Ofwat_PC_Interventions!AC59&lt;&gt;"",Ofwat_PC_Interventions!AC59,IF(Company_PC_inputs!AC59&lt;&gt;"",Company_PC_inputs!AC59,""))</f>
        <v/>
      </c>
      <c r="AD59" s="576" t="str">
        <f>IF(Ofwat_PC_Interventions!AD59&lt;&gt;"",Ofwat_PC_Interventions!AD59,IF(Company_PC_inputs!AD59&lt;&gt;"",Company_PC_inputs!AD59,""))</f>
        <v/>
      </c>
      <c r="AE59" s="576" t="str">
        <f>IF(Ofwat_PC_Interventions!AE59&lt;&gt;"",Ofwat_PC_Interventions!AE59,IF(Company_PC_inputs!AE59&lt;&gt;"",Company_PC_inputs!AE59,""))</f>
        <v/>
      </c>
      <c r="AF59" s="576" t="str">
        <f>IF(Ofwat_PC_Interventions!AF59&lt;&gt;"",Ofwat_PC_Interventions!AF59,IF(Company_PC_inputs!AF59&lt;&gt;"",Company_PC_inputs!AF59,""))</f>
        <v/>
      </c>
      <c r="AG59" s="576" t="str">
        <f>IF(Ofwat_PC_Interventions!AG59&lt;&gt;"",Ofwat_PC_Interventions!AG59,IF(Company_PC_inputs!AG59&lt;&gt;"",Company_PC_inputs!AG59,""))</f>
        <v/>
      </c>
      <c r="AH59" s="576" t="str">
        <f>IF(Ofwat_PC_Interventions!AH59&lt;&gt;"",Ofwat_PC_Interventions!AH59,IF(Company_PC_inputs!AH59&lt;&gt;"",Company_PC_inputs!AH59,""))</f>
        <v/>
      </c>
      <c r="AI59" s="576" t="str">
        <f>IF(Ofwat_PC_Interventions!AI59&lt;&gt;"",Ofwat_PC_Interventions!AI59,IF(Company_PC_inputs!AI59&lt;&gt;"",Company_PC_inputs!AI59,""))</f>
        <v/>
      </c>
      <c r="AJ59" s="576" t="str">
        <f>IF(Ofwat_PC_Interventions!AJ59&lt;&gt;"",Ofwat_PC_Interventions!AJ59,IF(Company_PC_inputs!AJ59&lt;&gt;"",Company_PC_inputs!AJ59,""))</f>
        <v/>
      </c>
      <c r="AK59" s="577" t="str">
        <f>IF(Ofwat_PC_Interventions!AK59&lt;&gt;"",Ofwat_PC_Interventions!AK59,IF(Company_PC_inputs!AK59&lt;&gt;"",Company_PC_inputs!AK59,""))</f>
        <v/>
      </c>
      <c r="AL59" s="576" t="str">
        <f>IF(Ofwat_PC_Interventions!AL59&lt;&gt;"",Ofwat_PC_Interventions!AL59,IF(Company_PC_inputs!AL59&lt;&gt;"",Company_PC_inputs!AL59,""))</f>
        <v/>
      </c>
      <c r="AM59" s="576" t="str">
        <f>IF(Ofwat_PC_Interventions!AM59&lt;&gt;"",Ofwat_PC_Interventions!AM59,IF(Company_PC_inputs!AM59&lt;&gt;"",Company_PC_inputs!AM59,""))</f>
        <v/>
      </c>
      <c r="AN59" s="576" t="str">
        <f>IF(Ofwat_PC_Interventions!AN59&lt;&gt;"",Ofwat_PC_Interventions!AN59,IF(Company_PC_inputs!AN59&lt;&gt;"",Company_PC_inputs!AN59,""))</f>
        <v/>
      </c>
      <c r="AO59" s="577" t="str">
        <f>IF(Ofwat_PC_Interventions!AO59&lt;&gt;"",Ofwat_PC_Interventions!AO59,IF(Company_PC_inputs!AO59&lt;&gt;"",Company_PC_inputs!AO59,""))</f>
        <v/>
      </c>
      <c r="AP59" s="576" t="str">
        <f>IF(Ofwat_PC_Interventions!AP59&lt;&gt;"",Ofwat_PC_Interventions!AP59,IF(Company_PC_inputs!AP59&lt;&gt;"",Company_PC_inputs!AP59,""))</f>
        <v/>
      </c>
      <c r="AQ59" s="576" t="str">
        <f>IF(Ofwat_PC_Interventions!AQ59&lt;&gt;"",Ofwat_PC_Interventions!AQ59,IF(Company_PC_inputs!AQ59&lt;&gt;"",Company_PC_inputs!AQ59,""))</f>
        <v/>
      </c>
      <c r="AR59" s="576" t="str">
        <f>IF(Ofwat_PC_Interventions!AR59&lt;&gt;"",Ofwat_PC_Interventions!AR59,IF(Company_PC_inputs!AR59&lt;&gt;"",Company_PC_inputs!AR59,""))</f>
        <v/>
      </c>
      <c r="AS59" s="576" t="str">
        <f>IF(Ofwat_PC_Interventions!AS59&lt;&gt;"",Ofwat_PC_Interventions!AS59,IF(Company_PC_inputs!AS59&lt;&gt;"",Company_PC_inputs!AS59,""))</f>
        <v/>
      </c>
      <c r="AT59" s="576" t="str">
        <f>IF(Ofwat_PC_Interventions!AT59&lt;&gt;"",Ofwat_PC_Interventions!AT59,IF(Company_PC_inputs!AT59&lt;&gt;"",Company_PC_inputs!AT59,""))</f>
        <v/>
      </c>
      <c r="AU59" s="576" t="str">
        <f>IF(Ofwat_PC_Interventions!AU59&lt;&gt;"",Ofwat_PC_Interventions!AU59,IF(Company_PC_inputs!AU59&lt;&gt;"",Company_PC_inputs!AU59,""))</f>
        <v/>
      </c>
      <c r="AV59" s="576" t="str">
        <f>IF(Ofwat_PC_Interventions!AV59&lt;&gt;"",Ofwat_PC_Interventions!AV59,IF(Company_PC_inputs!AV59&lt;&gt;"",Company_PC_inputs!AV59,""))</f>
        <v/>
      </c>
      <c r="AW59" s="576" t="str">
        <f>IF(Ofwat_PC_Interventions!AW59&lt;&gt;"",Ofwat_PC_Interventions!AW59,IF(Company_PC_inputs!AW59&lt;&gt;"",Company_PC_inputs!AW59,""))</f>
        <v/>
      </c>
      <c r="AX59" s="576" t="str">
        <f>IF(Ofwat_PC_Interventions!AX59&lt;&gt;"",Ofwat_PC_Interventions!AX59,IF(Company_PC_inputs!AX59&lt;&gt;"",Company_PC_inputs!AX59,""))</f>
        <v/>
      </c>
      <c r="AY59" s="576" t="str">
        <f>IF(Ofwat_PC_Interventions!AY59&lt;&gt;"",Ofwat_PC_Interventions!AY59,IF(Company_PC_inputs!AY59&lt;&gt;"",Company_PC_inputs!AY59,""))</f>
        <v/>
      </c>
      <c r="AZ59" s="576" t="str">
        <f>IF(Ofwat_PC_Interventions!AZ59&lt;&gt;"",Ofwat_PC_Interventions!AZ59,IF(Company_PC_inputs!AZ59&lt;&gt;"",Company_PC_inputs!AZ59,""))</f>
        <v/>
      </c>
      <c r="BA59" s="576" t="str">
        <f>IF(Ofwat_PC_Interventions!BA59&lt;&gt;"",Ofwat_PC_Interventions!BA59,IF(Company_PC_inputs!BA59&lt;&gt;"",Company_PC_inputs!BA59,""))</f>
        <v/>
      </c>
      <c r="BB59" s="576" t="str">
        <f>IF(Ofwat_PC_Interventions!BB59&lt;&gt;"",Ofwat_PC_Interventions!BB59,IF(Company_PC_inputs!BB59&lt;&gt;"",Company_PC_inputs!BB59,""))</f>
        <v/>
      </c>
      <c r="BC59" s="577" t="str">
        <f>IF(Ofwat_PC_Interventions!BC59&lt;&gt;"",Ofwat_PC_Interventions!BC59,IF(Company_PC_inputs!BC59&lt;&gt;"",Company_PC_inputs!BC59,""))</f>
        <v/>
      </c>
      <c r="BD59" s="576" t="str">
        <f>IF(Ofwat_PC_Interventions!BD59&lt;&gt;"",Ofwat_PC_Interventions!BD59,IF(Company_PC_inputs!BD59&lt;&gt;"",Company_PC_inputs!BD59,""))</f>
        <v/>
      </c>
      <c r="BE59" s="576" t="str">
        <f>IF(Ofwat_PC_Interventions!BE59&lt;&gt;"",Ofwat_PC_Interventions!BE59,IF(Company_PC_inputs!BE59&lt;&gt;"",Company_PC_inputs!BE59,""))</f>
        <v/>
      </c>
      <c r="BF59" s="576" t="str">
        <f>IF(Ofwat_PC_Interventions!BF59&lt;&gt;"",Ofwat_PC_Interventions!BF59,IF(Company_PC_inputs!BF59&lt;&gt;"",Company_PC_inputs!BF59,""))</f>
        <v/>
      </c>
      <c r="BG59" s="576" t="str">
        <f>IF(Ofwat_PC_Interventions!BG59&lt;&gt;"",Ofwat_PC_Interventions!BG59,IF(Company_PC_inputs!BG59&lt;&gt;"",Company_PC_inputs!BG59,""))</f>
        <v/>
      </c>
      <c r="BH59" s="576" t="str">
        <f>IF(Ofwat_PC_Interventions!BH59&lt;&gt;"",Ofwat_PC_Interventions!BH59,IF(Company_PC_inputs!BH59&lt;&gt;"",Company_PC_inputs!BH59,""))</f>
        <v/>
      </c>
      <c r="BI59" s="576" t="str">
        <f>IF(Ofwat_PC_Interventions!BI59&lt;&gt;"",Ofwat_PC_Interventions!BI59,IF(Company_PC_inputs!BI59&lt;&gt;"",Company_PC_inputs!BI59,""))</f>
        <v/>
      </c>
      <c r="BJ59" s="576" t="str">
        <f>IF(Ofwat_PC_Interventions!BJ59&lt;&gt;"",Ofwat_PC_Interventions!BJ59,IF(Company_PC_inputs!BJ59&lt;&gt;"",Company_PC_inputs!BJ59,""))</f>
        <v/>
      </c>
      <c r="BK59" s="576" t="str">
        <f>IF(Ofwat_PC_Interventions!BK59&lt;&gt;"",Ofwat_PC_Interventions!BK59,IF(Company_PC_inputs!BK59&lt;&gt;"",Company_PC_inputs!BK59,""))</f>
        <v/>
      </c>
      <c r="BL59" s="576" t="str">
        <f>IF(Ofwat_PC_Interventions!BL59&lt;&gt;"",Ofwat_PC_Interventions!BL59,IF(Company_PC_inputs!BL59&lt;&gt;"",Company_PC_inputs!BL59,""))</f>
        <v/>
      </c>
      <c r="BM59" s="576" t="str">
        <f>IF(Ofwat_PC_Interventions!BM59&lt;&gt;"",Ofwat_PC_Interventions!BM59,IF(Company_PC_inputs!BM59&lt;&gt;"",Company_PC_inputs!BM59,""))</f>
        <v/>
      </c>
      <c r="BN59" s="576" t="str">
        <f>IF(Ofwat_PC_Interventions!BN59&lt;&gt;"",Ofwat_PC_Interventions!BN59,IF(Company_PC_inputs!BN59&lt;&gt;"",Company_PC_inputs!BN59,""))</f>
        <v/>
      </c>
      <c r="BO59" s="576" t="str">
        <f>IF(Ofwat_PC_Interventions!BO59&lt;&gt;"",Ofwat_PC_Interventions!BO59,IF(Company_PC_inputs!BO59&lt;&gt;"",Company_PC_inputs!BO59,""))</f>
        <v/>
      </c>
      <c r="BP59" s="576" t="str">
        <f>IF(Ofwat_PC_Interventions!BP59&lt;&gt;"",Ofwat_PC_Interventions!BP59,IF(Company_PC_inputs!BP59&lt;&gt;"",Company_PC_inputs!BP59,""))</f>
        <v/>
      </c>
      <c r="BQ59" s="576" t="str">
        <f>IF(Ofwat_PC_Interventions!BQ59&lt;&gt;"",Ofwat_PC_Interventions!BQ59,IF(Company_PC_inputs!BQ59&lt;&gt;"",Company_PC_inputs!BQ59,""))</f>
        <v/>
      </c>
      <c r="BR59" s="576" t="str">
        <f>IF(Ofwat_PC_Interventions!BR59&lt;&gt;"",Ofwat_PC_Interventions!BR59,IF(Company_PC_inputs!BR59&lt;&gt;"",Company_PC_inputs!BR59,""))</f>
        <v/>
      </c>
      <c r="BS59" s="576" t="str">
        <f>IF(Ofwat_PC_Interventions!BS59&lt;&gt;"",Ofwat_PC_Interventions!BS59,IF(Company_PC_inputs!BS59&lt;&gt;"",Company_PC_inputs!BS59,""))</f>
        <v/>
      </c>
    </row>
    <row r="60" spans="1:71" s="202" customFormat="1" ht="13.15">
      <c r="A60" s="453"/>
      <c r="B60" s="453"/>
      <c r="C60" s="453"/>
      <c r="D60" s="453"/>
      <c r="E60" s="453" t="s">
        <v>1185</v>
      </c>
      <c r="F60" s="453"/>
      <c r="G60" s="453" t="str">
        <f>"£m/unit ("&amp;InpCompany!$F$10&amp;" prices)"</f>
        <v>£m/unit (2017-18 prices)</v>
      </c>
      <c r="H60" s="453"/>
      <c r="I60" s="453"/>
      <c r="J60" s="576" t="str">
        <f>IF(Ofwat_PC_Interventions!J60&lt;&gt;"",Ofwat_PC_Interventions!J60,IF(Company_PC_inputs!J60&lt;&gt;"",Company_PC_inputs!J60,""))</f>
        <v/>
      </c>
      <c r="K60" s="576" t="str">
        <f>IF(Ofwat_PC_Interventions!K60&lt;&gt;"",Ofwat_PC_Interventions!K60,IF(Company_PC_inputs!K60&lt;&gt;"",Company_PC_inputs!K60,""))</f>
        <v/>
      </c>
      <c r="L60" s="576" t="str">
        <f>IF(Ofwat_PC_Interventions!L60&lt;&gt;"",Ofwat_PC_Interventions!L60,IF(Company_PC_inputs!L60&lt;&gt;"",Company_PC_inputs!L60,""))</f>
        <v/>
      </c>
      <c r="M60" s="576" t="str">
        <f>IF(Ofwat_PC_Interventions!M60&lt;&gt;"",Ofwat_PC_Interventions!M60,IF(Company_PC_inputs!M60&lt;&gt;"",Company_PC_inputs!M60,""))</f>
        <v/>
      </c>
      <c r="N60" s="576">
        <f>IF(Ofwat_PC_Interventions!N60&lt;&gt;"",Ofwat_PC_Interventions!N60,IF(Company_PC_inputs!N60&lt;&gt;"",Company_PC_inputs!N60,""))</f>
        <v>-0.35599999999999998</v>
      </c>
      <c r="O60" s="576" t="str">
        <f>IF(Ofwat_PC_Interventions!O60&lt;&gt;"",Ofwat_PC_Interventions!O60,IF(Company_PC_inputs!O60&lt;&gt;"",Company_PC_inputs!O60,""))</f>
        <v/>
      </c>
      <c r="P60" s="576" t="str">
        <f>IF(Ofwat_PC_Interventions!P60&lt;&gt;"",Ofwat_PC_Interventions!P60,IF(Company_PC_inputs!P60&lt;&gt;"",Company_PC_inputs!P60,""))</f>
        <v/>
      </c>
      <c r="Q60" s="577" t="str">
        <f>IF(Ofwat_PC_Interventions!Q60&lt;&gt;"",Ofwat_PC_Interventions!Q60,IF(Company_PC_inputs!Q60&lt;&gt;"",Company_PC_inputs!Q60,""))</f>
        <v/>
      </c>
      <c r="R60" s="576" t="str">
        <f>IF(Ofwat_PC_Interventions!R60&lt;&gt;"",Ofwat_PC_Interventions!R60,IF(Company_PC_inputs!R60&lt;&gt;"",Company_PC_inputs!R60,""))</f>
        <v/>
      </c>
      <c r="S60" s="576" t="str">
        <f>IF(Ofwat_PC_Interventions!S60&lt;&gt;"",Ofwat_PC_Interventions!S60,IF(Company_PC_inputs!S60&lt;&gt;"",Company_PC_inputs!S60,""))</f>
        <v/>
      </c>
      <c r="T60" s="576" t="str">
        <f>IF(Ofwat_PC_Interventions!T60&lt;&gt;"",Ofwat_PC_Interventions!T60,IF(Company_PC_inputs!T60&lt;&gt;"",Company_PC_inputs!T60,""))</f>
        <v/>
      </c>
      <c r="U60" s="576" t="str">
        <f>IF(Ofwat_PC_Interventions!U60&lt;&gt;"",Ofwat_PC_Interventions!U60,IF(Company_PC_inputs!U60&lt;&gt;"",Company_PC_inputs!U60,""))</f>
        <v/>
      </c>
      <c r="V60" s="576" t="str">
        <f>IF(Ofwat_PC_Interventions!V60&lt;&gt;"",Ofwat_PC_Interventions!V60,IF(Company_PC_inputs!V60&lt;&gt;"",Company_PC_inputs!V60,""))</f>
        <v/>
      </c>
      <c r="W60" s="576" t="str">
        <f>IF(Ofwat_PC_Interventions!W60&lt;&gt;"",Ofwat_PC_Interventions!W60,IF(Company_PC_inputs!W60&lt;&gt;"",Company_PC_inputs!W60,""))</f>
        <v/>
      </c>
      <c r="X60" s="576" t="str">
        <f>IF(Ofwat_PC_Interventions!X60&lt;&gt;"",Ofwat_PC_Interventions!X60,IF(Company_PC_inputs!X60&lt;&gt;"",Company_PC_inputs!X60,""))</f>
        <v/>
      </c>
      <c r="Y60" s="576" t="str">
        <f>IF(Ofwat_PC_Interventions!Y60&lt;&gt;"",Ofwat_PC_Interventions!Y60,IF(Company_PC_inputs!Y60&lt;&gt;"",Company_PC_inputs!Y60,""))</f>
        <v/>
      </c>
      <c r="Z60" s="576" t="str">
        <f>IF(Ofwat_PC_Interventions!Z60&lt;&gt;"",Ofwat_PC_Interventions!Z60,IF(Company_PC_inputs!Z60&lt;&gt;"",Company_PC_inputs!Z60,""))</f>
        <v/>
      </c>
      <c r="AA60" s="576" t="str">
        <f>IF(Ofwat_PC_Interventions!AA60&lt;&gt;"",Ofwat_PC_Interventions!AA60,IF(Company_PC_inputs!AA60&lt;&gt;"",Company_PC_inputs!AA60,""))</f>
        <v/>
      </c>
      <c r="AB60" s="576" t="str">
        <f>IF(Ofwat_PC_Interventions!AB60&lt;&gt;"",Ofwat_PC_Interventions!AB60,IF(Company_PC_inputs!AB60&lt;&gt;"",Company_PC_inputs!AB60,""))</f>
        <v/>
      </c>
      <c r="AC60" s="576" t="str">
        <f>IF(Ofwat_PC_Interventions!AC60&lt;&gt;"",Ofwat_PC_Interventions!AC60,IF(Company_PC_inputs!AC60&lt;&gt;"",Company_PC_inputs!AC60,""))</f>
        <v/>
      </c>
      <c r="AD60" s="576" t="str">
        <f>IF(Ofwat_PC_Interventions!AD60&lt;&gt;"",Ofwat_PC_Interventions!AD60,IF(Company_PC_inputs!AD60&lt;&gt;"",Company_PC_inputs!AD60,""))</f>
        <v/>
      </c>
      <c r="AE60" s="576" t="str">
        <f>IF(Ofwat_PC_Interventions!AE60&lt;&gt;"",Ofwat_PC_Interventions!AE60,IF(Company_PC_inputs!AE60&lt;&gt;"",Company_PC_inputs!AE60,""))</f>
        <v/>
      </c>
      <c r="AF60" s="576" t="str">
        <f>IF(Ofwat_PC_Interventions!AF60&lt;&gt;"",Ofwat_PC_Interventions!AF60,IF(Company_PC_inputs!AF60&lt;&gt;"",Company_PC_inputs!AF60,""))</f>
        <v/>
      </c>
      <c r="AG60" s="576" t="str">
        <f>IF(Ofwat_PC_Interventions!AG60&lt;&gt;"",Ofwat_PC_Interventions!AG60,IF(Company_PC_inputs!AG60&lt;&gt;"",Company_PC_inputs!AG60,""))</f>
        <v/>
      </c>
      <c r="AH60" s="576" t="str">
        <f>IF(Ofwat_PC_Interventions!AH60&lt;&gt;"",Ofwat_PC_Interventions!AH60,IF(Company_PC_inputs!AH60&lt;&gt;"",Company_PC_inputs!AH60,""))</f>
        <v/>
      </c>
      <c r="AI60" s="576" t="str">
        <f>IF(Ofwat_PC_Interventions!AI60&lt;&gt;"",Ofwat_PC_Interventions!AI60,IF(Company_PC_inputs!AI60&lt;&gt;"",Company_PC_inputs!AI60,""))</f>
        <v/>
      </c>
      <c r="AJ60" s="576" t="str">
        <f>IF(Ofwat_PC_Interventions!AJ60&lt;&gt;"",Ofwat_PC_Interventions!AJ60,IF(Company_PC_inputs!AJ60&lt;&gt;"",Company_PC_inputs!AJ60,""))</f>
        <v/>
      </c>
      <c r="AK60" s="577" t="str">
        <f>IF(Ofwat_PC_Interventions!AK60&lt;&gt;"",Ofwat_PC_Interventions!AK60,IF(Company_PC_inputs!AK60&lt;&gt;"",Company_PC_inputs!AK60,""))</f>
        <v/>
      </c>
      <c r="AL60" s="576" t="str">
        <f>IF(Ofwat_PC_Interventions!AL60&lt;&gt;"",Ofwat_PC_Interventions!AL60,IF(Company_PC_inputs!AL60&lt;&gt;"",Company_PC_inputs!AL60,""))</f>
        <v/>
      </c>
      <c r="AM60" s="576" t="str">
        <f>IF(Ofwat_PC_Interventions!AM60&lt;&gt;"",Ofwat_PC_Interventions!AM60,IF(Company_PC_inputs!AM60&lt;&gt;"",Company_PC_inputs!AM60,""))</f>
        <v/>
      </c>
      <c r="AN60" s="576" t="str">
        <f>IF(Ofwat_PC_Interventions!AN60&lt;&gt;"",Ofwat_PC_Interventions!AN60,IF(Company_PC_inputs!AN60&lt;&gt;"",Company_PC_inputs!AN60,""))</f>
        <v/>
      </c>
      <c r="AO60" s="577" t="str">
        <f>IF(Ofwat_PC_Interventions!AO60&lt;&gt;"",Ofwat_PC_Interventions!AO60,IF(Company_PC_inputs!AO60&lt;&gt;"",Company_PC_inputs!AO60,""))</f>
        <v/>
      </c>
      <c r="AP60" s="576" t="str">
        <f>IF(Ofwat_PC_Interventions!AP60&lt;&gt;"",Ofwat_PC_Interventions!AP60,IF(Company_PC_inputs!AP60&lt;&gt;"",Company_PC_inputs!AP60,""))</f>
        <v/>
      </c>
      <c r="AQ60" s="576" t="str">
        <f>IF(Ofwat_PC_Interventions!AQ60&lt;&gt;"",Ofwat_PC_Interventions!AQ60,IF(Company_PC_inputs!AQ60&lt;&gt;"",Company_PC_inputs!AQ60,""))</f>
        <v/>
      </c>
      <c r="AR60" s="576" t="str">
        <f>IF(Ofwat_PC_Interventions!AR60&lt;&gt;"",Ofwat_PC_Interventions!AR60,IF(Company_PC_inputs!AR60&lt;&gt;"",Company_PC_inputs!AR60,""))</f>
        <v/>
      </c>
      <c r="AS60" s="576" t="str">
        <f>IF(Ofwat_PC_Interventions!AS60&lt;&gt;"",Ofwat_PC_Interventions!AS60,IF(Company_PC_inputs!AS60&lt;&gt;"",Company_PC_inputs!AS60,""))</f>
        <v/>
      </c>
      <c r="AT60" s="576" t="str">
        <f>IF(Ofwat_PC_Interventions!AT60&lt;&gt;"",Ofwat_PC_Interventions!AT60,IF(Company_PC_inputs!AT60&lt;&gt;"",Company_PC_inputs!AT60,""))</f>
        <v/>
      </c>
      <c r="AU60" s="576" t="str">
        <f>IF(Ofwat_PC_Interventions!AU60&lt;&gt;"",Ofwat_PC_Interventions!AU60,IF(Company_PC_inputs!AU60&lt;&gt;"",Company_PC_inputs!AU60,""))</f>
        <v/>
      </c>
      <c r="AV60" s="576" t="str">
        <f>IF(Ofwat_PC_Interventions!AV60&lt;&gt;"",Ofwat_PC_Interventions!AV60,IF(Company_PC_inputs!AV60&lt;&gt;"",Company_PC_inputs!AV60,""))</f>
        <v/>
      </c>
      <c r="AW60" s="576" t="str">
        <f>IF(Ofwat_PC_Interventions!AW60&lt;&gt;"",Ofwat_PC_Interventions!AW60,IF(Company_PC_inputs!AW60&lt;&gt;"",Company_PC_inputs!AW60,""))</f>
        <v/>
      </c>
      <c r="AX60" s="576" t="str">
        <f>IF(Ofwat_PC_Interventions!AX60&lt;&gt;"",Ofwat_PC_Interventions!AX60,IF(Company_PC_inputs!AX60&lt;&gt;"",Company_PC_inputs!AX60,""))</f>
        <v/>
      </c>
      <c r="AY60" s="576" t="str">
        <f>IF(Ofwat_PC_Interventions!AY60&lt;&gt;"",Ofwat_PC_Interventions!AY60,IF(Company_PC_inputs!AY60&lt;&gt;"",Company_PC_inputs!AY60,""))</f>
        <v/>
      </c>
      <c r="AZ60" s="576" t="str">
        <f>IF(Ofwat_PC_Interventions!AZ60&lt;&gt;"",Ofwat_PC_Interventions!AZ60,IF(Company_PC_inputs!AZ60&lt;&gt;"",Company_PC_inputs!AZ60,""))</f>
        <v/>
      </c>
      <c r="BA60" s="576" t="str">
        <f>IF(Ofwat_PC_Interventions!BA60&lt;&gt;"",Ofwat_PC_Interventions!BA60,IF(Company_PC_inputs!BA60&lt;&gt;"",Company_PC_inputs!BA60,""))</f>
        <v/>
      </c>
      <c r="BB60" s="576" t="str">
        <f>IF(Ofwat_PC_Interventions!BB60&lt;&gt;"",Ofwat_PC_Interventions!BB60,IF(Company_PC_inputs!BB60&lt;&gt;"",Company_PC_inputs!BB60,""))</f>
        <v/>
      </c>
      <c r="BC60" s="577" t="str">
        <f>IF(Ofwat_PC_Interventions!BC60&lt;&gt;"",Ofwat_PC_Interventions!BC60,IF(Company_PC_inputs!BC60&lt;&gt;"",Company_PC_inputs!BC60,""))</f>
        <v/>
      </c>
      <c r="BD60" s="576" t="str">
        <f>IF(Ofwat_PC_Interventions!BD60&lt;&gt;"",Ofwat_PC_Interventions!BD60,IF(Company_PC_inputs!BD60&lt;&gt;"",Company_PC_inputs!BD60,""))</f>
        <v/>
      </c>
      <c r="BE60" s="576" t="str">
        <f>IF(Ofwat_PC_Interventions!BE60&lt;&gt;"",Ofwat_PC_Interventions!BE60,IF(Company_PC_inputs!BE60&lt;&gt;"",Company_PC_inputs!BE60,""))</f>
        <v/>
      </c>
      <c r="BF60" s="576" t="str">
        <f>IF(Ofwat_PC_Interventions!BF60&lt;&gt;"",Ofwat_PC_Interventions!BF60,IF(Company_PC_inputs!BF60&lt;&gt;"",Company_PC_inputs!BF60,""))</f>
        <v/>
      </c>
      <c r="BG60" s="576" t="str">
        <f>IF(Ofwat_PC_Interventions!BG60&lt;&gt;"",Ofwat_PC_Interventions!BG60,IF(Company_PC_inputs!BG60&lt;&gt;"",Company_PC_inputs!BG60,""))</f>
        <v/>
      </c>
      <c r="BH60" s="576" t="str">
        <f>IF(Ofwat_PC_Interventions!BH60&lt;&gt;"",Ofwat_PC_Interventions!BH60,IF(Company_PC_inputs!BH60&lt;&gt;"",Company_PC_inputs!BH60,""))</f>
        <v/>
      </c>
      <c r="BI60" s="576" t="str">
        <f>IF(Ofwat_PC_Interventions!BI60&lt;&gt;"",Ofwat_PC_Interventions!BI60,IF(Company_PC_inputs!BI60&lt;&gt;"",Company_PC_inputs!BI60,""))</f>
        <v/>
      </c>
      <c r="BJ60" s="576" t="str">
        <f>IF(Ofwat_PC_Interventions!BJ60&lt;&gt;"",Ofwat_PC_Interventions!BJ60,IF(Company_PC_inputs!BJ60&lt;&gt;"",Company_PC_inputs!BJ60,""))</f>
        <v/>
      </c>
      <c r="BK60" s="576" t="str">
        <f>IF(Ofwat_PC_Interventions!BK60&lt;&gt;"",Ofwat_PC_Interventions!BK60,IF(Company_PC_inputs!BK60&lt;&gt;"",Company_PC_inputs!BK60,""))</f>
        <v/>
      </c>
      <c r="BL60" s="576" t="str">
        <f>IF(Ofwat_PC_Interventions!BL60&lt;&gt;"",Ofwat_PC_Interventions!BL60,IF(Company_PC_inputs!BL60&lt;&gt;"",Company_PC_inputs!BL60,""))</f>
        <v/>
      </c>
      <c r="BM60" s="576" t="str">
        <f>IF(Ofwat_PC_Interventions!BM60&lt;&gt;"",Ofwat_PC_Interventions!BM60,IF(Company_PC_inputs!BM60&lt;&gt;"",Company_PC_inputs!BM60,""))</f>
        <v/>
      </c>
      <c r="BN60" s="576" t="str">
        <f>IF(Ofwat_PC_Interventions!BN60&lt;&gt;"",Ofwat_PC_Interventions!BN60,IF(Company_PC_inputs!BN60&lt;&gt;"",Company_PC_inputs!BN60,""))</f>
        <v/>
      </c>
      <c r="BO60" s="576" t="str">
        <f>IF(Ofwat_PC_Interventions!BO60&lt;&gt;"",Ofwat_PC_Interventions!BO60,IF(Company_PC_inputs!BO60&lt;&gt;"",Company_PC_inputs!BO60,""))</f>
        <v/>
      </c>
      <c r="BP60" s="576" t="str">
        <f>IF(Ofwat_PC_Interventions!BP60&lt;&gt;"",Ofwat_PC_Interventions!BP60,IF(Company_PC_inputs!BP60&lt;&gt;"",Company_PC_inputs!BP60,""))</f>
        <v/>
      </c>
      <c r="BQ60" s="576" t="str">
        <f>IF(Ofwat_PC_Interventions!BQ60&lt;&gt;"",Ofwat_PC_Interventions!BQ60,IF(Company_PC_inputs!BQ60&lt;&gt;"",Company_PC_inputs!BQ60,""))</f>
        <v/>
      </c>
      <c r="BR60" s="576" t="str">
        <f>IF(Ofwat_PC_Interventions!BR60&lt;&gt;"",Ofwat_PC_Interventions!BR60,IF(Company_PC_inputs!BR60&lt;&gt;"",Company_PC_inputs!BR60,""))</f>
        <v/>
      </c>
      <c r="BS60" s="576" t="str">
        <f>IF(Ofwat_PC_Interventions!BS60&lt;&gt;"",Ofwat_PC_Interventions!BS60,IF(Company_PC_inputs!BS60&lt;&gt;"",Company_PC_inputs!BS60,""))</f>
        <v/>
      </c>
    </row>
    <row r="61" spans="1:71" s="202" customFormat="1" ht="13.15">
      <c r="A61" s="453"/>
      <c r="B61" s="453"/>
      <c r="C61" s="453"/>
      <c r="D61" s="453"/>
      <c r="E61" s="453"/>
      <c r="F61" s="453"/>
      <c r="G61" s="453"/>
      <c r="H61" s="453"/>
      <c r="I61" s="453"/>
      <c r="J61" s="523" t="str">
        <f>IF(Ofwat_PC_Interventions!J61&lt;&gt;"",Ofwat_PC_Interventions!J61,IF(Company_PC_inputs!J61&lt;&gt;"",Company_PC_inputs!J61,""))</f>
        <v/>
      </c>
      <c r="K61" s="523" t="str">
        <f>IF(Ofwat_PC_Interventions!K61&lt;&gt;"",Ofwat_PC_Interventions!K61,IF(Company_PC_inputs!K61&lt;&gt;"",Company_PC_inputs!K61,""))</f>
        <v/>
      </c>
      <c r="L61" s="523" t="str">
        <f>IF(Ofwat_PC_Interventions!L61&lt;&gt;"",Ofwat_PC_Interventions!L61,IF(Company_PC_inputs!L61&lt;&gt;"",Company_PC_inputs!L61,""))</f>
        <v/>
      </c>
      <c r="M61" s="523" t="str">
        <f>IF(Ofwat_PC_Interventions!M61&lt;&gt;"",Ofwat_PC_Interventions!M61,IF(Company_PC_inputs!M61&lt;&gt;"",Company_PC_inputs!M61,""))</f>
        <v/>
      </c>
      <c r="N61" s="523" t="str">
        <f>IF(Ofwat_PC_Interventions!N61&lt;&gt;"",Ofwat_PC_Interventions!N61,IF(Company_PC_inputs!N61&lt;&gt;"",Company_PC_inputs!N61,""))</f>
        <v/>
      </c>
      <c r="O61" s="523" t="str">
        <f>IF(Ofwat_PC_Interventions!O61&lt;&gt;"",Ofwat_PC_Interventions!O61,IF(Company_PC_inputs!O61&lt;&gt;"",Company_PC_inputs!O61,""))</f>
        <v/>
      </c>
      <c r="P61" s="523" t="str">
        <f>IF(Ofwat_PC_Interventions!P61&lt;&gt;"",Ofwat_PC_Interventions!P61,IF(Company_PC_inputs!P61&lt;&gt;"",Company_PC_inputs!P61,""))</f>
        <v/>
      </c>
      <c r="Q61" s="524" t="str">
        <f>IF(Ofwat_PC_Interventions!Q61&lt;&gt;"",Ofwat_PC_Interventions!Q61,IF(Company_PC_inputs!Q61&lt;&gt;"",Company_PC_inputs!Q61,""))</f>
        <v/>
      </c>
      <c r="R61" s="523" t="str">
        <f>IF(Ofwat_PC_Interventions!R61&lt;&gt;"",Ofwat_PC_Interventions!R61,IF(Company_PC_inputs!R61&lt;&gt;"",Company_PC_inputs!R61,""))</f>
        <v/>
      </c>
      <c r="S61" s="523" t="str">
        <f>IF(Ofwat_PC_Interventions!S61&lt;&gt;"",Ofwat_PC_Interventions!S61,IF(Company_PC_inputs!S61&lt;&gt;"",Company_PC_inputs!S61,""))</f>
        <v/>
      </c>
      <c r="T61" s="523" t="str">
        <f>IF(Ofwat_PC_Interventions!T61&lt;&gt;"",Ofwat_PC_Interventions!T61,IF(Company_PC_inputs!T61&lt;&gt;"",Company_PC_inputs!T61,""))</f>
        <v/>
      </c>
      <c r="U61" s="523" t="str">
        <f>IF(Ofwat_PC_Interventions!U61&lt;&gt;"",Ofwat_PC_Interventions!U61,IF(Company_PC_inputs!U61&lt;&gt;"",Company_PC_inputs!U61,""))</f>
        <v/>
      </c>
      <c r="V61" s="523" t="str">
        <f>IF(Ofwat_PC_Interventions!V61&lt;&gt;"",Ofwat_PC_Interventions!V61,IF(Company_PC_inputs!V61&lt;&gt;"",Company_PC_inputs!V61,""))</f>
        <v/>
      </c>
      <c r="W61" s="523" t="str">
        <f>IF(Ofwat_PC_Interventions!W61&lt;&gt;"",Ofwat_PC_Interventions!W61,IF(Company_PC_inputs!W61&lt;&gt;"",Company_PC_inputs!W61,""))</f>
        <v/>
      </c>
      <c r="X61" s="523" t="str">
        <f>IF(Ofwat_PC_Interventions!X61&lt;&gt;"",Ofwat_PC_Interventions!X61,IF(Company_PC_inputs!X61&lt;&gt;"",Company_PC_inputs!X61,""))</f>
        <v/>
      </c>
      <c r="Y61" s="523" t="str">
        <f>IF(Ofwat_PC_Interventions!Y61&lt;&gt;"",Ofwat_PC_Interventions!Y61,IF(Company_PC_inputs!Y61&lt;&gt;"",Company_PC_inputs!Y61,""))</f>
        <v/>
      </c>
      <c r="Z61" s="523" t="str">
        <f>IF(Ofwat_PC_Interventions!Z61&lt;&gt;"",Ofwat_PC_Interventions!Z61,IF(Company_PC_inputs!Z61&lt;&gt;"",Company_PC_inputs!Z61,""))</f>
        <v/>
      </c>
      <c r="AA61" s="523" t="str">
        <f>IF(Ofwat_PC_Interventions!AA61&lt;&gt;"",Ofwat_PC_Interventions!AA61,IF(Company_PC_inputs!AA61&lt;&gt;"",Company_PC_inputs!AA61,""))</f>
        <v/>
      </c>
      <c r="AB61" s="523" t="str">
        <f>IF(Ofwat_PC_Interventions!AB61&lt;&gt;"",Ofwat_PC_Interventions!AB61,IF(Company_PC_inputs!AB61&lt;&gt;"",Company_PC_inputs!AB61,""))</f>
        <v/>
      </c>
      <c r="AC61" s="523" t="str">
        <f>IF(Ofwat_PC_Interventions!AC61&lt;&gt;"",Ofwat_PC_Interventions!AC61,IF(Company_PC_inputs!AC61&lt;&gt;"",Company_PC_inputs!AC61,""))</f>
        <v/>
      </c>
      <c r="AD61" s="523" t="str">
        <f>IF(Ofwat_PC_Interventions!AD61&lt;&gt;"",Ofwat_PC_Interventions!AD61,IF(Company_PC_inputs!AD61&lt;&gt;"",Company_PC_inputs!AD61,""))</f>
        <v/>
      </c>
      <c r="AE61" s="523" t="str">
        <f>IF(Ofwat_PC_Interventions!AE61&lt;&gt;"",Ofwat_PC_Interventions!AE61,IF(Company_PC_inputs!AE61&lt;&gt;"",Company_PC_inputs!AE61,""))</f>
        <v/>
      </c>
      <c r="AF61" s="523" t="str">
        <f>IF(Ofwat_PC_Interventions!AF61&lt;&gt;"",Ofwat_PC_Interventions!AF61,IF(Company_PC_inputs!AF61&lt;&gt;"",Company_PC_inputs!AF61,""))</f>
        <v/>
      </c>
      <c r="AG61" s="523" t="str">
        <f>IF(Ofwat_PC_Interventions!AG61&lt;&gt;"",Ofwat_PC_Interventions!AG61,IF(Company_PC_inputs!AG61&lt;&gt;"",Company_PC_inputs!AG61,""))</f>
        <v/>
      </c>
      <c r="AH61" s="523" t="str">
        <f>IF(Ofwat_PC_Interventions!AH61&lt;&gt;"",Ofwat_PC_Interventions!AH61,IF(Company_PC_inputs!AH61&lt;&gt;"",Company_PC_inputs!AH61,""))</f>
        <v/>
      </c>
      <c r="AI61" s="523" t="str">
        <f>IF(Ofwat_PC_Interventions!AI61&lt;&gt;"",Ofwat_PC_Interventions!AI61,IF(Company_PC_inputs!AI61&lt;&gt;"",Company_PC_inputs!AI61,""))</f>
        <v/>
      </c>
      <c r="AJ61" s="523" t="str">
        <f>IF(Ofwat_PC_Interventions!AJ61&lt;&gt;"",Ofwat_PC_Interventions!AJ61,IF(Company_PC_inputs!AJ61&lt;&gt;"",Company_PC_inputs!AJ61,""))</f>
        <v/>
      </c>
      <c r="AK61" s="524" t="str">
        <f>IF(Ofwat_PC_Interventions!AK61&lt;&gt;"",Ofwat_PC_Interventions!AK61,IF(Company_PC_inputs!AK61&lt;&gt;"",Company_PC_inputs!AK61,""))</f>
        <v/>
      </c>
      <c r="AL61" s="523" t="str">
        <f>IF(Ofwat_PC_Interventions!AL61&lt;&gt;"",Ofwat_PC_Interventions!AL61,IF(Company_PC_inputs!AL61&lt;&gt;"",Company_PC_inputs!AL61,""))</f>
        <v/>
      </c>
      <c r="AM61" s="523" t="str">
        <f>IF(Ofwat_PC_Interventions!AM61&lt;&gt;"",Ofwat_PC_Interventions!AM61,IF(Company_PC_inputs!AM61&lt;&gt;"",Company_PC_inputs!AM61,""))</f>
        <v/>
      </c>
      <c r="AN61" s="523" t="str">
        <f>IF(Ofwat_PC_Interventions!AN61&lt;&gt;"",Ofwat_PC_Interventions!AN61,IF(Company_PC_inputs!AN61&lt;&gt;"",Company_PC_inputs!AN61,""))</f>
        <v/>
      </c>
      <c r="AO61" s="524" t="str">
        <f>IF(Ofwat_PC_Interventions!AO61&lt;&gt;"",Ofwat_PC_Interventions!AO61,IF(Company_PC_inputs!AO61&lt;&gt;"",Company_PC_inputs!AO61,""))</f>
        <v/>
      </c>
      <c r="AP61" s="523" t="str">
        <f>IF(Ofwat_PC_Interventions!AP61&lt;&gt;"",Ofwat_PC_Interventions!AP61,IF(Company_PC_inputs!AP61&lt;&gt;"",Company_PC_inputs!AP61,""))</f>
        <v/>
      </c>
      <c r="AQ61" s="523" t="str">
        <f>IF(Ofwat_PC_Interventions!AQ61&lt;&gt;"",Ofwat_PC_Interventions!AQ61,IF(Company_PC_inputs!AQ61&lt;&gt;"",Company_PC_inputs!AQ61,""))</f>
        <v/>
      </c>
      <c r="AR61" s="523" t="str">
        <f>IF(Ofwat_PC_Interventions!AR61&lt;&gt;"",Ofwat_PC_Interventions!AR61,IF(Company_PC_inputs!AR61&lt;&gt;"",Company_PC_inputs!AR61,""))</f>
        <v/>
      </c>
      <c r="AS61" s="523" t="str">
        <f>IF(Ofwat_PC_Interventions!AS61&lt;&gt;"",Ofwat_PC_Interventions!AS61,IF(Company_PC_inputs!AS61&lt;&gt;"",Company_PC_inputs!AS61,""))</f>
        <v/>
      </c>
      <c r="AT61" s="523" t="str">
        <f>IF(Ofwat_PC_Interventions!AT61&lt;&gt;"",Ofwat_PC_Interventions!AT61,IF(Company_PC_inputs!AT61&lt;&gt;"",Company_PC_inputs!AT61,""))</f>
        <v/>
      </c>
      <c r="AU61" s="523" t="str">
        <f>IF(Ofwat_PC_Interventions!AU61&lt;&gt;"",Ofwat_PC_Interventions!AU61,IF(Company_PC_inputs!AU61&lt;&gt;"",Company_PC_inputs!AU61,""))</f>
        <v/>
      </c>
      <c r="AV61" s="523" t="str">
        <f>IF(Ofwat_PC_Interventions!AV61&lt;&gt;"",Ofwat_PC_Interventions!AV61,IF(Company_PC_inputs!AV61&lt;&gt;"",Company_PC_inputs!AV61,""))</f>
        <v/>
      </c>
      <c r="AW61" s="523" t="str">
        <f>IF(Ofwat_PC_Interventions!AW61&lt;&gt;"",Ofwat_PC_Interventions!AW61,IF(Company_PC_inputs!AW61&lt;&gt;"",Company_PC_inputs!AW61,""))</f>
        <v/>
      </c>
      <c r="AX61" s="523" t="str">
        <f>IF(Ofwat_PC_Interventions!AX61&lt;&gt;"",Ofwat_PC_Interventions!AX61,IF(Company_PC_inputs!AX61&lt;&gt;"",Company_PC_inputs!AX61,""))</f>
        <v/>
      </c>
      <c r="AY61" s="523" t="str">
        <f>IF(Ofwat_PC_Interventions!AY61&lt;&gt;"",Ofwat_PC_Interventions!AY61,IF(Company_PC_inputs!AY61&lt;&gt;"",Company_PC_inputs!AY61,""))</f>
        <v/>
      </c>
      <c r="AZ61" s="523" t="str">
        <f>IF(Ofwat_PC_Interventions!AZ61&lt;&gt;"",Ofwat_PC_Interventions!AZ61,IF(Company_PC_inputs!AZ61&lt;&gt;"",Company_PC_inputs!AZ61,""))</f>
        <v/>
      </c>
      <c r="BA61" s="523" t="str">
        <f>IF(Ofwat_PC_Interventions!BA61&lt;&gt;"",Ofwat_PC_Interventions!BA61,IF(Company_PC_inputs!BA61&lt;&gt;"",Company_PC_inputs!BA61,""))</f>
        <v/>
      </c>
      <c r="BB61" s="523" t="str">
        <f>IF(Ofwat_PC_Interventions!BB61&lt;&gt;"",Ofwat_PC_Interventions!BB61,IF(Company_PC_inputs!BB61&lt;&gt;"",Company_PC_inputs!BB61,""))</f>
        <v/>
      </c>
      <c r="BC61" s="524" t="str">
        <f>IF(Ofwat_PC_Interventions!BC61&lt;&gt;"",Ofwat_PC_Interventions!BC61,IF(Company_PC_inputs!BC61&lt;&gt;"",Company_PC_inputs!BC61,""))</f>
        <v/>
      </c>
      <c r="BD61" s="523" t="str">
        <f>IF(Ofwat_PC_Interventions!BD61&lt;&gt;"",Ofwat_PC_Interventions!BD61,IF(Company_PC_inputs!BD61&lt;&gt;"",Company_PC_inputs!BD61,""))</f>
        <v/>
      </c>
      <c r="BE61" s="523" t="str">
        <f>IF(Ofwat_PC_Interventions!BE61&lt;&gt;"",Ofwat_PC_Interventions!BE61,IF(Company_PC_inputs!BE61&lt;&gt;"",Company_PC_inputs!BE61,""))</f>
        <v/>
      </c>
      <c r="BF61" s="523" t="str">
        <f>IF(Ofwat_PC_Interventions!BF61&lt;&gt;"",Ofwat_PC_Interventions!BF61,IF(Company_PC_inputs!BF61&lt;&gt;"",Company_PC_inputs!BF61,""))</f>
        <v/>
      </c>
      <c r="BG61" s="523" t="str">
        <f>IF(Ofwat_PC_Interventions!BG61&lt;&gt;"",Ofwat_PC_Interventions!BG61,IF(Company_PC_inputs!BG61&lt;&gt;"",Company_PC_inputs!BG61,""))</f>
        <v/>
      </c>
      <c r="BH61" s="523" t="str">
        <f>IF(Ofwat_PC_Interventions!BH61&lt;&gt;"",Ofwat_PC_Interventions!BH61,IF(Company_PC_inputs!BH61&lt;&gt;"",Company_PC_inputs!BH61,""))</f>
        <v/>
      </c>
      <c r="BI61" s="523" t="str">
        <f>IF(Ofwat_PC_Interventions!BI61&lt;&gt;"",Ofwat_PC_Interventions!BI61,IF(Company_PC_inputs!BI61&lt;&gt;"",Company_PC_inputs!BI61,""))</f>
        <v/>
      </c>
      <c r="BJ61" s="523" t="str">
        <f>IF(Ofwat_PC_Interventions!BJ61&lt;&gt;"",Ofwat_PC_Interventions!BJ61,IF(Company_PC_inputs!BJ61&lt;&gt;"",Company_PC_inputs!BJ61,""))</f>
        <v/>
      </c>
      <c r="BK61" s="523" t="str">
        <f>IF(Ofwat_PC_Interventions!BK61&lt;&gt;"",Ofwat_PC_Interventions!BK61,IF(Company_PC_inputs!BK61&lt;&gt;"",Company_PC_inputs!BK61,""))</f>
        <v/>
      </c>
      <c r="BL61" s="523" t="str">
        <f>IF(Ofwat_PC_Interventions!BL61&lt;&gt;"",Ofwat_PC_Interventions!BL61,IF(Company_PC_inputs!BL61&lt;&gt;"",Company_PC_inputs!BL61,""))</f>
        <v/>
      </c>
      <c r="BM61" s="523" t="str">
        <f>IF(Ofwat_PC_Interventions!BM61&lt;&gt;"",Ofwat_PC_Interventions!BM61,IF(Company_PC_inputs!BM61&lt;&gt;"",Company_PC_inputs!BM61,""))</f>
        <v/>
      </c>
      <c r="BN61" s="523" t="str">
        <f>IF(Ofwat_PC_Interventions!BN61&lt;&gt;"",Ofwat_PC_Interventions!BN61,IF(Company_PC_inputs!BN61&lt;&gt;"",Company_PC_inputs!BN61,""))</f>
        <v/>
      </c>
      <c r="BO61" s="523" t="str">
        <f>IF(Ofwat_PC_Interventions!BO61&lt;&gt;"",Ofwat_PC_Interventions!BO61,IF(Company_PC_inputs!BO61&lt;&gt;"",Company_PC_inputs!BO61,""))</f>
        <v/>
      </c>
      <c r="BP61" s="523" t="str">
        <f>IF(Ofwat_PC_Interventions!BP61&lt;&gt;"",Ofwat_PC_Interventions!BP61,IF(Company_PC_inputs!BP61&lt;&gt;"",Company_PC_inputs!BP61,""))</f>
        <v/>
      </c>
      <c r="BQ61" s="523" t="str">
        <f>IF(Ofwat_PC_Interventions!BQ61&lt;&gt;"",Ofwat_PC_Interventions!BQ61,IF(Company_PC_inputs!BQ61&lt;&gt;"",Company_PC_inputs!BQ61,""))</f>
        <v/>
      </c>
      <c r="BR61" s="523" t="str">
        <f>IF(Ofwat_PC_Interventions!BR61&lt;&gt;"",Ofwat_PC_Interventions!BR61,IF(Company_PC_inputs!BR61&lt;&gt;"",Company_PC_inputs!BR61,""))</f>
        <v/>
      </c>
      <c r="BS61" s="523" t="str">
        <f>IF(Ofwat_PC_Interventions!BS61&lt;&gt;"",Ofwat_PC_Interventions!BS61,IF(Company_PC_inputs!BS61&lt;&gt;"",Company_PC_inputs!BS61,""))</f>
        <v/>
      </c>
    </row>
    <row r="62" spans="1:71" s="202" customFormat="1" ht="13.15">
      <c r="A62" s="453"/>
      <c r="B62" s="453"/>
      <c r="C62" s="453"/>
      <c r="D62" s="463" t="s">
        <v>1186</v>
      </c>
      <c r="E62" s="453"/>
      <c r="F62" s="453"/>
      <c r="G62" s="453"/>
      <c r="H62" s="453"/>
      <c r="I62" s="453"/>
      <c r="J62" s="523" t="str">
        <f>IF(Ofwat_PC_Interventions!J62&lt;&gt;"",Ofwat_PC_Interventions!J62,IF(Company_PC_inputs!J62&lt;&gt;"",Company_PC_inputs!J62,""))</f>
        <v/>
      </c>
      <c r="K62" s="523" t="str">
        <f>IF(Ofwat_PC_Interventions!K62&lt;&gt;"",Ofwat_PC_Interventions!K62,IF(Company_PC_inputs!K62&lt;&gt;"",Company_PC_inputs!K62,""))</f>
        <v/>
      </c>
      <c r="L62" s="523" t="str">
        <f>IF(Ofwat_PC_Interventions!L62&lt;&gt;"",Ofwat_PC_Interventions!L62,IF(Company_PC_inputs!L62&lt;&gt;"",Company_PC_inputs!L62,""))</f>
        <v/>
      </c>
      <c r="M62" s="523" t="str">
        <f>IF(Ofwat_PC_Interventions!M62&lt;&gt;"",Ofwat_PC_Interventions!M62,IF(Company_PC_inputs!M62&lt;&gt;"",Company_PC_inputs!M62,""))</f>
        <v/>
      </c>
      <c r="N62" s="523" t="str">
        <f>IF(Ofwat_PC_Interventions!N62&lt;&gt;"",Ofwat_PC_Interventions!N62,IF(Company_PC_inputs!N62&lt;&gt;"",Company_PC_inputs!N62,""))</f>
        <v/>
      </c>
      <c r="O62" s="523" t="str">
        <f>IF(Ofwat_PC_Interventions!O62&lt;&gt;"",Ofwat_PC_Interventions!O62,IF(Company_PC_inputs!O62&lt;&gt;"",Company_PC_inputs!O62,""))</f>
        <v/>
      </c>
      <c r="P62" s="523" t="str">
        <f>IF(Ofwat_PC_Interventions!P62&lt;&gt;"",Ofwat_PC_Interventions!P62,IF(Company_PC_inputs!P62&lt;&gt;"",Company_PC_inputs!P62,""))</f>
        <v/>
      </c>
      <c r="Q62" s="524" t="str">
        <f>IF(Ofwat_PC_Interventions!Q62&lt;&gt;"",Ofwat_PC_Interventions!Q62,IF(Company_PC_inputs!Q62&lt;&gt;"",Company_PC_inputs!Q62,""))</f>
        <v/>
      </c>
      <c r="R62" s="523" t="str">
        <f>IF(Ofwat_PC_Interventions!R62&lt;&gt;"",Ofwat_PC_Interventions!R62,IF(Company_PC_inputs!R62&lt;&gt;"",Company_PC_inputs!R62,""))</f>
        <v/>
      </c>
      <c r="S62" s="523" t="str">
        <f>IF(Ofwat_PC_Interventions!S62&lt;&gt;"",Ofwat_PC_Interventions!S62,IF(Company_PC_inputs!S62&lt;&gt;"",Company_PC_inputs!S62,""))</f>
        <v/>
      </c>
      <c r="T62" s="523" t="str">
        <f>IF(Ofwat_PC_Interventions!T62&lt;&gt;"",Ofwat_PC_Interventions!T62,IF(Company_PC_inputs!T62&lt;&gt;"",Company_PC_inputs!T62,""))</f>
        <v/>
      </c>
      <c r="U62" s="523" t="str">
        <f>IF(Ofwat_PC_Interventions!U62&lt;&gt;"",Ofwat_PC_Interventions!U62,IF(Company_PC_inputs!U62&lt;&gt;"",Company_PC_inputs!U62,""))</f>
        <v/>
      </c>
      <c r="V62" s="523" t="str">
        <f>IF(Ofwat_PC_Interventions!V62&lt;&gt;"",Ofwat_PC_Interventions!V62,IF(Company_PC_inputs!V62&lt;&gt;"",Company_PC_inputs!V62,""))</f>
        <v/>
      </c>
      <c r="W62" s="523" t="str">
        <f>IF(Ofwat_PC_Interventions!W62&lt;&gt;"",Ofwat_PC_Interventions!W62,IF(Company_PC_inputs!W62&lt;&gt;"",Company_PC_inputs!W62,""))</f>
        <v/>
      </c>
      <c r="X62" s="523" t="str">
        <f>IF(Ofwat_PC_Interventions!X62&lt;&gt;"",Ofwat_PC_Interventions!X62,IF(Company_PC_inputs!X62&lt;&gt;"",Company_PC_inputs!X62,""))</f>
        <v/>
      </c>
      <c r="Y62" s="523" t="str">
        <f>IF(Ofwat_PC_Interventions!Y62&lt;&gt;"",Ofwat_PC_Interventions!Y62,IF(Company_PC_inputs!Y62&lt;&gt;"",Company_PC_inputs!Y62,""))</f>
        <v/>
      </c>
      <c r="Z62" s="523" t="str">
        <f>IF(Ofwat_PC_Interventions!Z62&lt;&gt;"",Ofwat_PC_Interventions!Z62,IF(Company_PC_inputs!Z62&lt;&gt;"",Company_PC_inputs!Z62,""))</f>
        <v/>
      </c>
      <c r="AA62" s="523" t="str">
        <f>IF(Ofwat_PC_Interventions!AA62&lt;&gt;"",Ofwat_PC_Interventions!AA62,IF(Company_PC_inputs!AA62&lt;&gt;"",Company_PC_inputs!AA62,""))</f>
        <v/>
      </c>
      <c r="AB62" s="523" t="str">
        <f>IF(Ofwat_PC_Interventions!AB62&lt;&gt;"",Ofwat_PC_Interventions!AB62,IF(Company_PC_inputs!AB62&lt;&gt;"",Company_PC_inputs!AB62,""))</f>
        <v/>
      </c>
      <c r="AC62" s="523" t="str">
        <f>IF(Ofwat_PC_Interventions!AC62&lt;&gt;"",Ofwat_PC_Interventions!AC62,IF(Company_PC_inputs!AC62&lt;&gt;"",Company_PC_inputs!AC62,""))</f>
        <v/>
      </c>
      <c r="AD62" s="523" t="str">
        <f>IF(Ofwat_PC_Interventions!AD62&lt;&gt;"",Ofwat_PC_Interventions!AD62,IF(Company_PC_inputs!AD62&lt;&gt;"",Company_PC_inputs!AD62,""))</f>
        <v/>
      </c>
      <c r="AE62" s="523" t="str">
        <f>IF(Ofwat_PC_Interventions!AE62&lt;&gt;"",Ofwat_PC_Interventions!AE62,IF(Company_PC_inputs!AE62&lt;&gt;"",Company_PC_inputs!AE62,""))</f>
        <v/>
      </c>
      <c r="AF62" s="523" t="str">
        <f>IF(Ofwat_PC_Interventions!AF62&lt;&gt;"",Ofwat_PC_Interventions!AF62,IF(Company_PC_inputs!AF62&lt;&gt;"",Company_PC_inputs!AF62,""))</f>
        <v/>
      </c>
      <c r="AG62" s="523" t="str">
        <f>IF(Ofwat_PC_Interventions!AG62&lt;&gt;"",Ofwat_PC_Interventions!AG62,IF(Company_PC_inputs!AG62&lt;&gt;"",Company_PC_inputs!AG62,""))</f>
        <v/>
      </c>
      <c r="AH62" s="523" t="str">
        <f>IF(Ofwat_PC_Interventions!AH62&lt;&gt;"",Ofwat_PC_Interventions!AH62,IF(Company_PC_inputs!AH62&lt;&gt;"",Company_PC_inputs!AH62,""))</f>
        <v/>
      </c>
      <c r="AI62" s="523" t="str">
        <f>IF(Ofwat_PC_Interventions!AI62&lt;&gt;"",Ofwat_PC_Interventions!AI62,IF(Company_PC_inputs!AI62&lt;&gt;"",Company_PC_inputs!AI62,""))</f>
        <v/>
      </c>
      <c r="AJ62" s="523" t="str">
        <f>IF(Ofwat_PC_Interventions!AJ62&lt;&gt;"",Ofwat_PC_Interventions!AJ62,IF(Company_PC_inputs!AJ62&lt;&gt;"",Company_PC_inputs!AJ62,""))</f>
        <v/>
      </c>
      <c r="AK62" s="524" t="str">
        <f>IF(Ofwat_PC_Interventions!AK62&lt;&gt;"",Ofwat_PC_Interventions!AK62,IF(Company_PC_inputs!AK62&lt;&gt;"",Company_PC_inputs!AK62,""))</f>
        <v/>
      </c>
      <c r="AL62" s="523" t="str">
        <f>IF(Ofwat_PC_Interventions!AL62&lt;&gt;"",Ofwat_PC_Interventions!AL62,IF(Company_PC_inputs!AL62&lt;&gt;"",Company_PC_inputs!AL62,""))</f>
        <v/>
      </c>
      <c r="AM62" s="523" t="str">
        <f>IF(Ofwat_PC_Interventions!AM62&lt;&gt;"",Ofwat_PC_Interventions!AM62,IF(Company_PC_inputs!AM62&lt;&gt;"",Company_PC_inputs!AM62,""))</f>
        <v/>
      </c>
      <c r="AN62" s="523" t="str">
        <f>IF(Ofwat_PC_Interventions!AN62&lt;&gt;"",Ofwat_PC_Interventions!AN62,IF(Company_PC_inputs!AN62&lt;&gt;"",Company_PC_inputs!AN62,""))</f>
        <v/>
      </c>
      <c r="AO62" s="524" t="str">
        <f>IF(Ofwat_PC_Interventions!AO62&lt;&gt;"",Ofwat_PC_Interventions!AO62,IF(Company_PC_inputs!AO62&lt;&gt;"",Company_PC_inputs!AO62,""))</f>
        <v/>
      </c>
      <c r="AP62" s="523" t="str">
        <f>IF(Ofwat_PC_Interventions!AP62&lt;&gt;"",Ofwat_PC_Interventions!AP62,IF(Company_PC_inputs!AP62&lt;&gt;"",Company_PC_inputs!AP62,""))</f>
        <v/>
      </c>
      <c r="AQ62" s="523" t="str">
        <f>IF(Ofwat_PC_Interventions!AQ62&lt;&gt;"",Ofwat_PC_Interventions!AQ62,IF(Company_PC_inputs!AQ62&lt;&gt;"",Company_PC_inputs!AQ62,""))</f>
        <v/>
      </c>
      <c r="AR62" s="523" t="str">
        <f>IF(Ofwat_PC_Interventions!AR62&lt;&gt;"",Ofwat_PC_Interventions!AR62,IF(Company_PC_inputs!AR62&lt;&gt;"",Company_PC_inputs!AR62,""))</f>
        <v/>
      </c>
      <c r="AS62" s="523" t="str">
        <f>IF(Ofwat_PC_Interventions!AS62&lt;&gt;"",Ofwat_PC_Interventions!AS62,IF(Company_PC_inputs!AS62&lt;&gt;"",Company_PC_inputs!AS62,""))</f>
        <v/>
      </c>
      <c r="AT62" s="523" t="str">
        <f>IF(Ofwat_PC_Interventions!AT62&lt;&gt;"",Ofwat_PC_Interventions!AT62,IF(Company_PC_inputs!AT62&lt;&gt;"",Company_PC_inputs!AT62,""))</f>
        <v/>
      </c>
      <c r="AU62" s="523" t="str">
        <f>IF(Ofwat_PC_Interventions!AU62&lt;&gt;"",Ofwat_PC_Interventions!AU62,IF(Company_PC_inputs!AU62&lt;&gt;"",Company_PC_inputs!AU62,""))</f>
        <v/>
      </c>
      <c r="AV62" s="523" t="str">
        <f>IF(Ofwat_PC_Interventions!AV62&lt;&gt;"",Ofwat_PC_Interventions!AV62,IF(Company_PC_inputs!AV62&lt;&gt;"",Company_PC_inputs!AV62,""))</f>
        <v/>
      </c>
      <c r="AW62" s="523" t="str">
        <f>IF(Ofwat_PC_Interventions!AW62&lt;&gt;"",Ofwat_PC_Interventions!AW62,IF(Company_PC_inputs!AW62&lt;&gt;"",Company_PC_inputs!AW62,""))</f>
        <v/>
      </c>
      <c r="AX62" s="523" t="str">
        <f>IF(Ofwat_PC_Interventions!AX62&lt;&gt;"",Ofwat_PC_Interventions!AX62,IF(Company_PC_inputs!AX62&lt;&gt;"",Company_PC_inputs!AX62,""))</f>
        <v/>
      </c>
      <c r="AY62" s="523" t="str">
        <f>IF(Ofwat_PC_Interventions!AY62&lt;&gt;"",Ofwat_PC_Interventions!AY62,IF(Company_PC_inputs!AY62&lt;&gt;"",Company_PC_inputs!AY62,""))</f>
        <v/>
      </c>
      <c r="AZ62" s="523" t="str">
        <f>IF(Ofwat_PC_Interventions!AZ62&lt;&gt;"",Ofwat_PC_Interventions!AZ62,IF(Company_PC_inputs!AZ62&lt;&gt;"",Company_PC_inputs!AZ62,""))</f>
        <v/>
      </c>
      <c r="BA62" s="523" t="str">
        <f>IF(Ofwat_PC_Interventions!BA62&lt;&gt;"",Ofwat_PC_Interventions!BA62,IF(Company_PC_inputs!BA62&lt;&gt;"",Company_PC_inputs!BA62,""))</f>
        <v/>
      </c>
      <c r="BB62" s="523" t="str">
        <f>IF(Ofwat_PC_Interventions!BB62&lt;&gt;"",Ofwat_PC_Interventions!BB62,IF(Company_PC_inputs!BB62&lt;&gt;"",Company_PC_inputs!BB62,""))</f>
        <v/>
      </c>
      <c r="BC62" s="524" t="str">
        <f>IF(Ofwat_PC_Interventions!BC62&lt;&gt;"",Ofwat_PC_Interventions!BC62,IF(Company_PC_inputs!BC62&lt;&gt;"",Company_PC_inputs!BC62,""))</f>
        <v/>
      </c>
      <c r="BD62" s="523" t="str">
        <f>IF(Ofwat_PC_Interventions!BD62&lt;&gt;"",Ofwat_PC_Interventions!BD62,IF(Company_PC_inputs!BD62&lt;&gt;"",Company_PC_inputs!BD62,""))</f>
        <v/>
      </c>
      <c r="BE62" s="523" t="str">
        <f>IF(Ofwat_PC_Interventions!BE62&lt;&gt;"",Ofwat_PC_Interventions!BE62,IF(Company_PC_inputs!BE62&lt;&gt;"",Company_PC_inputs!BE62,""))</f>
        <v/>
      </c>
      <c r="BF62" s="523" t="str">
        <f>IF(Ofwat_PC_Interventions!BF62&lt;&gt;"",Ofwat_PC_Interventions!BF62,IF(Company_PC_inputs!BF62&lt;&gt;"",Company_PC_inputs!BF62,""))</f>
        <v/>
      </c>
      <c r="BG62" s="523" t="str">
        <f>IF(Ofwat_PC_Interventions!BG62&lt;&gt;"",Ofwat_PC_Interventions!BG62,IF(Company_PC_inputs!BG62&lt;&gt;"",Company_PC_inputs!BG62,""))</f>
        <v/>
      </c>
      <c r="BH62" s="523" t="str">
        <f>IF(Ofwat_PC_Interventions!BH62&lt;&gt;"",Ofwat_PC_Interventions!BH62,IF(Company_PC_inputs!BH62&lt;&gt;"",Company_PC_inputs!BH62,""))</f>
        <v/>
      </c>
      <c r="BI62" s="523" t="str">
        <f>IF(Ofwat_PC_Interventions!BI62&lt;&gt;"",Ofwat_PC_Interventions!BI62,IF(Company_PC_inputs!BI62&lt;&gt;"",Company_PC_inputs!BI62,""))</f>
        <v/>
      </c>
      <c r="BJ62" s="523" t="str">
        <f>IF(Ofwat_PC_Interventions!BJ62&lt;&gt;"",Ofwat_PC_Interventions!BJ62,IF(Company_PC_inputs!BJ62&lt;&gt;"",Company_PC_inputs!BJ62,""))</f>
        <v/>
      </c>
      <c r="BK62" s="523" t="str">
        <f>IF(Ofwat_PC_Interventions!BK62&lt;&gt;"",Ofwat_PC_Interventions!BK62,IF(Company_PC_inputs!BK62&lt;&gt;"",Company_PC_inputs!BK62,""))</f>
        <v/>
      </c>
      <c r="BL62" s="523" t="str">
        <f>IF(Ofwat_PC_Interventions!BL62&lt;&gt;"",Ofwat_PC_Interventions!BL62,IF(Company_PC_inputs!BL62&lt;&gt;"",Company_PC_inputs!BL62,""))</f>
        <v/>
      </c>
      <c r="BM62" s="523" t="str">
        <f>IF(Ofwat_PC_Interventions!BM62&lt;&gt;"",Ofwat_PC_Interventions!BM62,IF(Company_PC_inputs!BM62&lt;&gt;"",Company_PC_inputs!BM62,""))</f>
        <v/>
      </c>
      <c r="BN62" s="523" t="str">
        <f>IF(Ofwat_PC_Interventions!BN62&lt;&gt;"",Ofwat_PC_Interventions!BN62,IF(Company_PC_inputs!BN62&lt;&gt;"",Company_PC_inputs!BN62,""))</f>
        <v/>
      </c>
      <c r="BO62" s="523" t="str">
        <f>IF(Ofwat_PC_Interventions!BO62&lt;&gt;"",Ofwat_PC_Interventions!BO62,IF(Company_PC_inputs!BO62&lt;&gt;"",Company_PC_inputs!BO62,""))</f>
        <v/>
      </c>
      <c r="BP62" s="523" t="str">
        <f>IF(Ofwat_PC_Interventions!BP62&lt;&gt;"",Ofwat_PC_Interventions!BP62,IF(Company_PC_inputs!BP62&lt;&gt;"",Company_PC_inputs!BP62,""))</f>
        <v/>
      </c>
      <c r="BQ62" s="523" t="str">
        <f>IF(Ofwat_PC_Interventions!BQ62&lt;&gt;"",Ofwat_PC_Interventions!BQ62,IF(Company_PC_inputs!BQ62&lt;&gt;"",Company_PC_inputs!BQ62,""))</f>
        <v/>
      </c>
      <c r="BR62" s="523" t="str">
        <f>IF(Ofwat_PC_Interventions!BR62&lt;&gt;"",Ofwat_PC_Interventions!BR62,IF(Company_PC_inputs!BR62&lt;&gt;"",Company_PC_inputs!BR62,""))</f>
        <v/>
      </c>
      <c r="BS62" s="523" t="str">
        <f>IF(Ofwat_PC_Interventions!BS62&lt;&gt;"",Ofwat_PC_Interventions!BS62,IF(Company_PC_inputs!BS62&lt;&gt;"",Company_PC_inputs!BS62,""))</f>
        <v/>
      </c>
    </row>
    <row r="63" spans="1:71" s="202" customFormat="1" ht="13.15">
      <c r="A63" s="453"/>
      <c r="B63" s="453"/>
      <c r="C63" s="453"/>
      <c r="D63" s="453"/>
      <c r="E63" s="453" t="s">
        <v>1187</v>
      </c>
      <c r="F63" s="453"/>
      <c r="G63" s="453" t="str">
        <f>"£m/unit ("&amp;InpCompany!$F$10&amp;" prices)"</f>
        <v>£m/unit (2017-18 prices)</v>
      </c>
      <c r="H63" s="453"/>
      <c r="I63" s="453"/>
      <c r="J63" s="576" t="str">
        <f>IF(Ofwat_PC_Interventions!J63&lt;&gt;"",Ofwat_PC_Interventions!J63,IF(Company_PC_inputs!J63&lt;&gt;"",Company_PC_inputs!J63,""))</f>
        <v/>
      </c>
      <c r="K63" s="576" t="str">
        <f>IF(Ofwat_PC_Interventions!K63&lt;&gt;"",Ofwat_PC_Interventions!K63,IF(Company_PC_inputs!K63&lt;&gt;"",Company_PC_inputs!K63,""))</f>
        <v/>
      </c>
      <c r="L63" s="576" t="str">
        <f>IF(Ofwat_PC_Interventions!L63&lt;&gt;"",Ofwat_PC_Interventions!L63,IF(Company_PC_inputs!L63&lt;&gt;"",Company_PC_inputs!L63,""))</f>
        <v/>
      </c>
      <c r="M63" s="576" t="str">
        <f>IF(Ofwat_PC_Interventions!M63&lt;&gt;"",Ofwat_PC_Interventions!M63,IF(Company_PC_inputs!M63&lt;&gt;"",Company_PC_inputs!M63,""))</f>
        <v/>
      </c>
      <c r="N63" s="576" t="str">
        <f>IF(Ofwat_PC_Interventions!N63&lt;&gt;"",Ofwat_PC_Interventions!N63,IF(Company_PC_inputs!N63&lt;&gt;"",Company_PC_inputs!N63,""))</f>
        <v/>
      </c>
      <c r="O63" s="576" t="str">
        <f>IF(Ofwat_PC_Interventions!O63&lt;&gt;"",Ofwat_PC_Interventions!O63,IF(Company_PC_inputs!O63&lt;&gt;"",Company_PC_inputs!O63,""))</f>
        <v/>
      </c>
      <c r="P63" s="576" t="str">
        <f>IF(Ofwat_PC_Interventions!P63&lt;&gt;"",Ofwat_PC_Interventions!P63,IF(Company_PC_inputs!P63&lt;&gt;"",Company_PC_inputs!P63,""))</f>
        <v/>
      </c>
      <c r="Q63" s="577" t="str">
        <f>IF(Ofwat_PC_Interventions!Q63&lt;&gt;"",Ofwat_PC_Interventions!Q63,IF(Company_PC_inputs!Q63&lt;&gt;"",Company_PC_inputs!Q63,""))</f>
        <v/>
      </c>
      <c r="R63" s="576" t="str">
        <f>IF(Ofwat_PC_Interventions!R63&lt;&gt;"",Ofwat_PC_Interventions!R63,IF(Company_PC_inputs!R63&lt;&gt;"",Company_PC_inputs!R63,""))</f>
        <v/>
      </c>
      <c r="S63" s="576" t="str">
        <f>IF(Ofwat_PC_Interventions!S63&lt;&gt;"",Ofwat_PC_Interventions!S63,IF(Company_PC_inputs!S63&lt;&gt;"",Company_PC_inputs!S63,""))</f>
        <v/>
      </c>
      <c r="T63" s="576" t="str">
        <f>IF(Ofwat_PC_Interventions!T63&lt;&gt;"",Ofwat_PC_Interventions!T63,IF(Company_PC_inputs!T63&lt;&gt;"",Company_PC_inputs!T63,""))</f>
        <v/>
      </c>
      <c r="U63" s="576" t="str">
        <f>IF(Ofwat_PC_Interventions!U63&lt;&gt;"",Ofwat_PC_Interventions!U63,IF(Company_PC_inputs!U63&lt;&gt;"",Company_PC_inputs!U63,""))</f>
        <v/>
      </c>
      <c r="V63" s="576" t="str">
        <f>IF(Ofwat_PC_Interventions!V63&lt;&gt;"",Ofwat_PC_Interventions!V63,IF(Company_PC_inputs!V63&lt;&gt;"",Company_PC_inputs!V63,""))</f>
        <v/>
      </c>
      <c r="W63" s="576" t="str">
        <f>IF(Ofwat_PC_Interventions!W63&lt;&gt;"",Ofwat_PC_Interventions!W63,IF(Company_PC_inputs!W63&lt;&gt;"",Company_PC_inputs!W63,""))</f>
        <v/>
      </c>
      <c r="X63" s="576" t="str">
        <f>IF(Ofwat_PC_Interventions!X63&lt;&gt;"",Ofwat_PC_Interventions!X63,IF(Company_PC_inputs!X63&lt;&gt;"",Company_PC_inputs!X63,""))</f>
        <v/>
      </c>
      <c r="Y63" s="576" t="str">
        <f>IF(Ofwat_PC_Interventions!Y63&lt;&gt;"",Ofwat_PC_Interventions!Y63,IF(Company_PC_inputs!Y63&lt;&gt;"",Company_PC_inputs!Y63,""))</f>
        <v/>
      </c>
      <c r="Z63" s="576" t="str">
        <f>IF(Ofwat_PC_Interventions!Z63&lt;&gt;"",Ofwat_PC_Interventions!Z63,IF(Company_PC_inputs!Z63&lt;&gt;"",Company_PC_inputs!Z63,""))</f>
        <v/>
      </c>
      <c r="AA63" s="576" t="str">
        <f>IF(Ofwat_PC_Interventions!AA63&lt;&gt;"",Ofwat_PC_Interventions!AA63,IF(Company_PC_inputs!AA63&lt;&gt;"",Company_PC_inputs!AA63,""))</f>
        <v/>
      </c>
      <c r="AB63" s="576" t="str">
        <f>IF(Ofwat_PC_Interventions!AB63&lt;&gt;"",Ofwat_PC_Interventions!AB63,IF(Company_PC_inputs!AB63&lt;&gt;"",Company_PC_inputs!AB63,""))</f>
        <v/>
      </c>
      <c r="AC63" s="576" t="str">
        <f>IF(Ofwat_PC_Interventions!AC63&lt;&gt;"",Ofwat_PC_Interventions!AC63,IF(Company_PC_inputs!AC63&lt;&gt;"",Company_PC_inputs!AC63,""))</f>
        <v/>
      </c>
      <c r="AD63" s="576" t="str">
        <f>IF(Ofwat_PC_Interventions!AD63&lt;&gt;"",Ofwat_PC_Interventions!AD63,IF(Company_PC_inputs!AD63&lt;&gt;"",Company_PC_inputs!AD63,""))</f>
        <v/>
      </c>
      <c r="AE63" s="576" t="str">
        <f>IF(Ofwat_PC_Interventions!AE63&lt;&gt;"",Ofwat_PC_Interventions!AE63,IF(Company_PC_inputs!AE63&lt;&gt;"",Company_PC_inputs!AE63,""))</f>
        <v/>
      </c>
      <c r="AF63" s="576" t="str">
        <f>IF(Ofwat_PC_Interventions!AF63&lt;&gt;"",Ofwat_PC_Interventions!AF63,IF(Company_PC_inputs!AF63&lt;&gt;"",Company_PC_inputs!AF63,""))</f>
        <v/>
      </c>
      <c r="AG63" s="576" t="str">
        <f>IF(Ofwat_PC_Interventions!AG63&lt;&gt;"",Ofwat_PC_Interventions!AG63,IF(Company_PC_inputs!AG63&lt;&gt;"",Company_PC_inputs!AG63,""))</f>
        <v/>
      </c>
      <c r="AH63" s="576" t="str">
        <f>IF(Ofwat_PC_Interventions!AH63&lt;&gt;"",Ofwat_PC_Interventions!AH63,IF(Company_PC_inputs!AH63&lt;&gt;"",Company_PC_inputs!AH63,""))</f>
        <v/>
      </c>
      <c r="AI63" s="576" t="str">
        <f>IF(Ofwat_PC_Interventions!AI63&lt;&gt;"",Ofwat_PC_Interventions!AI63,IF(Company_PC_inputs!AI63&lt;&gt;"",Company_PC_inputs!AI63,""))</f>
        <v/>
      </c>
      <c r="AJ63" s="576" t="str">
        <f>IF(Ofwat_PC_Interventions!AJ63&lt;&gt;"",Ofwat_PC_Interventions!AJ63,IF(Company_PC_inputs!AJ63&lt;&gt;"",Company_PC_inputs!AJ63,""))</f>
        <v/>
      </c>
      <c r="AK63" s="577" t="str">
        <f>IF(Ofwat_PC_Interventions!AK63&lt;&gt;"",Ofwat_PC_Interventions!AK63,IF(Company_PC_inputs!AK63&lt;&gt;"",Company_PC_inputs!AK63,""))</f>
        <v/>
      </c>
      <c r="AL63" s="576" t="str">
        <f>IF(Ofwat_PC_Interventions!AL63&lt;&gt;"",Ofwat_PC_Interventions!AL63,IF(Company_PC_inputs!AL63&lt;&gt;"",Company_PC_inputs!AL63,""))</f>
        <v/>
      </c>
      <c r="AM63" s="576" t="str">
        <f>IF(Ofwat_PC_Interventions!AM63&lt;&gt;"",Ofwat_PC_Interventions!AM63,IF(Company_PC_inputs!AM63&lt;&gt;"",Company_PC_inputs!AM63,""))</f>
        <v/>
      </c>
      <c r="AN63" s="576" t="str">
        <f>IF(Ofwat_PC_Interventions!AN63&lt;&gt;"",Ofwat_PC_Interventions!AN63,IF(Company_PC_inputs!AN63&lt;&gt;"",Company_PC_inputs!AN63,""))</f>
        <v/>
      </c>
      <c r="AO63" s="577" t="str">
        <f>IF(Ofwat_PC_Interventions!AO63&lt;&gt;"",Ofwat_PC_Interventions!AO63,IF(Company_PC_inputs!AO63&lt;&gt;"",Company_PC_inputs!AO63,""))</f>
        <v/>
      </c>
      <c r="AP63" s="576" t="str">
        <f>IF(Ofwat_PC_Interventions!AP63&lt;&gt;"",Ofwat_PC_Interventions!AP63,IF(Company_PC_inputs!AP63&lt;&gt;"",Company_PC_inputs!AP63,""))</f>
        <v/>
      </c>
      <c r="AQ63" s="576" t="str">
        <f>IF(Ofwat_PC_Interventions!AQ63&lt;&gt;"",Ofwat_PC_Interventions!AQ63,IF(Company_PC_inputs!AQ63&lt;&gt;"",Company_PC_inputs!AQ63,""))</f>
        <v/>
      </c>
      <c r="AR63" s="576" t="str">
        <f>IF(Ofwat_PC_Interventions!AR63&lt;&gt;"",Ofwat_PC_Interventions!AR63,IF(Company_PC_inputs!AR63&lt;&gt;"",Company_PC_inputs!AR63,""))</f>
        <v/>
      </c>
      <c r="AS63" s="576" t="str">
        <f>IF(Ofwat_PC_Interventions!AS63&lt;&gt;"",Ofwat_PC_Interventions!AS63,IF(Company_PC_inputs!AS63&lt;&gt;"",Company_PC_inputs!AS63,""))</f>
        <v/>
      </c>
      <c r="AT63" s="576" t="str">
        <f>IF(Ofwat_PC_Interventions!AT63&lt;&gt;"",Ofwat_PC_Interventions!AT63,IF(Company_PC_inputs!AT63&lt;&gt;"",Company_PC_inputs!AT63,""))</f>
        <v/>
      </c>
      <c r="AU63" s="576" t="str">
        <f>IF(Ofwat_PC_Interventions!AU63&lt;&gt;"",Ofwat_PC_Interventions!AU63,IF(Company_PC_inputs!AU63&lt;&gt;"",Company_PC_inputs!AU63,""))</f>
        <v/>
      </c>
      <c r="AV63" s="576" t="str">
        <f>IF(Ofwat_PC_Interventions!AV63&lt;&gt;"",Ofwat_PC_Interventions!AV63,IF(Company_PC_inputs!AV63&lt;&gt;"",Company_PC_inputs!AV63,""))</f>
        <v/>
      </c>
      <c r="AW63" s="576" t="str">
        <f>IF(Ofwat_PC_Interventions!AW63&lt;&gt;"",Ofwat_PC_Interventions!AW63,IF(Company_PC_inputs!AW63&lt;&gt;"",Company_PC_inputs!AW63,""))</f>
        <v/>
      </c>
      <c r="AX63" s="576" t="str">
        <f>IF(Ofwat_PC_Interventions!AX63&lt;&gt;"",Ofwat_PC_Interventions!AX63,IF(Company_PC_inputs!AX63&lt;&gt;"",Company_PC_inputs!AX63,""))</f>
        <v/>
      </c>
      <c r="AY63" s="576" t="str">
        <f>IF(Ofwat_PC_Interventions!AY63&lt;&gt;"",Ofwat_PC_Interventions!AY63,IF(Company_PC_inputs!AY63&lt;&gt;"",Company_PC_inputs!AY63,""))</f>
        <v/>
      </c>
      <c r="AZ63" s="576" t="str">
        <f>IF(Ofwat_PC_Interventions!AZ63&lt;&gt;"",Ofwat_PC_Interventions!AZ63,IF(Company_PC_inputs!AZ63&lt;&gt;"",Company_PC_inputs!AZ63,""))</f>
        <v/>
      </c>
      <c r="BA63" s="576" t="str">
        <f>IF(Ofwat_PC_Interventions!BA63&lt;&gt;"",Ofwat_PC_Interventions!BA63,IF(Company_PC_inputs!BA63&lt;&gt;"",Company_PC_inputs!BA63,""))</f>
        <v/>
      </c>
      <c r="BB63" s="576" t="str">
        <f>IF(Ofwat_PC_Interventions!BB63&lt;&gt;"",Ofwat_PC_Interventions!BB63,IF(Company_PC_inputs!BB63&lt;&gt;"",Company_PC_inputs!BB63,""))</f>
        <v/>
      </c>
      <c r="BC63" s="577" t="str">
        <f>IF(Ofwat_PC_Interventions!BC63&lt;&gt;"",Ofwat_PC_Interventions!BC63,IF(Company_PC_inputs!BC63&lt;&gt;"",Company_PC_inputs!BC63,""))</f>
        <v/>
      </c>
      <c r="BD63" s="576" t="str">
        <f>IF(Ofwat_PC_Interventions!BD63&lt;&gt;"",Ofwat_PC_Interventions!BD63,IF(Company_PC_inputs!BD63&lt;&gt;"",Company_PC_inputs!BD63,""))</f>
        <v/>
      </c>
      <c r="BE63" s="576" t="str">
        <f>IF(Ofwat_PC_Interventions!BE63&lt;&gt;"",Ofwat_PC_Interventions!BE63,IF(Company_PC_inputs!BE63&lt;&gt;"",Company_PC_inputs!BE63,""))</f>
        <v/>
      </c>
      <c r="BF63" s="576" t="str">
        <f>IF(Ofwat_PC_Interventions!BF63&lt;&gt;"",Ofwat_PC_Interventions!BF63,IF(Company_PC_inputs!BF63&lt;&gt;"",Company_PC_inputs!BF63,""))</f>
        <v/>
      </c>
      <c r="BG63" s="576" t="str">
        <f>IF(Ofwat_PC_Interventions!BG63&lt;&gt;"",Ofwat_PC_Interventions!BG63,IF(Company_PC_inputs!BG63&lt;&gt;"",Company_PC_inputs!BG63,""))</f>
        <v/>
      </c>
      <c r="BH63" s="576" t="str">
        <f>IF(Ofwat_PC_Interventions!BH63&lt;&gt;"",Ofwat_PC_Interventions!BH63,IF(Company_PC_inputs!BH63&lt;&gt;"",Company_PC_inputs!BH63,""))</f>
        <v/>
      </c>
      <c r="BI63" s="576" t="str">
        <f>IF(Ofwat_PC_Interventions!BI63&lt;&gt;"",Ofwat_PC_Interventions!BI63,IF(Company_PC_inputs!BI63&lt;&gt;"",Company_PC_inputs!BI63,""))</f>
        <v/>
      </c>
      <c r="BJ63" s="576" t="str">
        <f>IF(Ofwat_PC_Interventions!BJ63&lt;&gt;"",Ofwat_PC_Interventions!BJ63,IF(Company_PC_inputs!BJ63&lt;&gt;"",Company_PC_inputs!BJ63,""))</f>
        <v/>
      </c>
      <c r="BK63" s="576" t="str">
        <f>IF(Ofwat_PC_Interventions!BK63&lt;&gt;"",Ofwat_PC_Interventions!BK63,IF(Company_PC_inputs!BK63&lt;&gt;"",Company_PC_inputs!BK63,""))</f>
        <v/>
      </c>
      <c r="BL63" s="576" t="str">
        <f>IF(Ofwat_PC_Interventions!BL63&lt;&gt;"",Ofwat_PC_Interventions!BL63,IF(Company_PC_inputs!BL63&lt;&gt;"",Company_PC_inputs!BL63,""))</f>
        <v/>
      </c>
      <c r="BM63" s="576" t="str">
        <f>IF(Ofwat_PC_Interventions!BM63&lt;&gt;"",Ofwat_PC_Interventions!BM63,IF(Company_PC_inputs!BM63&lt;&gt;"",Company_PC_inputs!BM63,""))</f>
        <v/>
      </c>
      <c r="BN63" s="576" t="str">
        <f>IF(Ofwat_PC_Interventions!BN63&lt;&gt;"",Ofwat_PC_Interventions!BN63,IF(Company_PC_inputs!BN63&lt;&gt;"",Company_PC_inputs!BN63,""))</f>
        <v/>
      </c>
      <c r="BO63" s="576" t="str">
        <f>IF(Ofwat_PC_Interventions!BO63&lt;&gt;"",Ofwat_PC_Interventions!BO63,IF(Company_PC_inputs!BO63&lt;&gt;"",Company_PC_inputs!BO63,""))</f>
        <v/>
      </c>
      <c r="BP63" s="576" t="str">
        <f>IF(Ofwat_PC_Interventions!BP63&lt;&gt;"",Ofwat_PC_Interventions!BP63,IF(Company_PC_inputs!BP63&lt;&gt;"",Company_PC_inputs!BP63,""))</f>
        <v/>
      </c>
      <c r="BQ63" s="576" t="str">
        <f>IF(Ofwat_PC_Interventions!BQ63&lt;&gt;"",Ofwat_PC_Interventions!BQ63,IF(Company_PC_inputs!BQ63&lt;&gt;"",Company_PC_inputs!BQ63,""))</f>
        <v/>
      </c>
      <c r="BR63" s="576" t="str">
        <f>IF(Ofwat_PC_Interventions!BR63&lt;&gt;"",Ofwat_PC_Interventions!BR63,IF(Company_PC_inputs!BR63&lt;&gt;"",Company_PC_inputs!BR63,""))</f>
        <v/>
      </c>
      <c r="BS63" s="576" t="str">
        <f>IF(Ofwat_PC_Interventions!BS63&lt;&gt;"",Ofwat_PC_Interventions!BS63,IF(Company_PC_inputs!BS63&lt;&gt;"",Company_PC_inputs!BS63,""))</f>
        <v/>
      </c>
    </row>
    <row r="64" spans="1:71" s="202" customFormat="1" ht="13.15">
      <c r="A64" s="453"/>
      <c r="B64" s="453"/>
      <c r="C64" s="453"/>
      <c r="D64" s="453"/>
      <c r="E64" s="453" t="s">
        <v>1188</v>
      </c>
      <c r="F64" s="453"/>
      <c r="G64" s="453" t="str">
        <f>"£m/unit ("&amp;InpCompany!$F$10&amp;" prices)"</f>
        <v>£m/unit (2017-18 prices)</v>
      </c>
      <c r="H64" s="453"/>
      <c r="I64" s="453"/>
      <c r="J64" s="576" t="str">
        <f>IF(Ofwat_PC_Interventions!J64&lt;&gt;"",Ofwat_PC_Interventions!J64,IF(Company_PC_inputs!J64&lt;&gt;"",Company_PC_inputs!J64,""))</f>
        <v/>
      </c>
      <c r="K64" s="576" t="str">
        <f>IF(Ofwat_PC_Interventions!K64&lt;&gt;"",Ofwat_PC_Interventions!K64,IF(Company_PC_inputs!K64&lt;&gt;"",Company_PC_inputs!K64,""))</f>
        <v/>
      </c>
      <c r="L64" s="576" t="str">
        <f>IF(Ofwat_PC_Interventions!L64&lt;&gt;"",Ofwat_PC_Interventions!L64,IF(Company_PC_inputs!L64&lt;&gt;"",Company_PC_inputs!L64,""))</f>
        <v/>
      </c>
      <c r="M64" s="576" t="str">
        <f>IF(Ofwat_PC_Interventions!M64&lt;&gt;"",Ofwat_PC_Interventions!M64,IF(Company_PC_inputs!M64&lt;&gt;"",Company_PC_inputs!M64,""))</f>
        <v/>
      </c>
      <c r="N64" s="576" t="str">
        <f>IF(Ofwat_PC_Interventions!N64&lt;&gt;"",Ofwat_PC_Interventions!N64,IF(Company_PC_inputs!N64&lt;&gt;"",Company_PC_inputs!N64,""))</f>
        <v/>
      </c>
      <c r="O64" s="576" t="str">
        <f>IF(Ofwat_PC_Interventions!O64&lt;&gt;"",Ofwat_PC_Interventions!O64,IF(Company_PC_inputs!O64&lt;&gt;"",Company_PC_inputs!O64,""))</f>
        <v/>
      </c>
      <c r="P64" s="576" t="str">
        <f>IF(Ofwat_PC_Interventions!P64&lt;&gt;"",Ofwat_PC_Interventions!P64,IF(Company_PC_inputs!P64&lt;&gt;"",Company_PC_inputs!P64,""))</f>
        <v/>
      </c>
      <c r="Q64" s="577" t="str">
        <f>IF(Ofwat_PC_Interventions!Q64&lt;&gt;"",Ofwat_PC_Interventions!Q64,IF(Company_PC_inputs!Q64&lt;&gt;"",Company_PC_inputs!Q64,""))</f>
        <v/>
      </c>
      <c r="R64" s="576" t="str">
        <f>IF(Ofwat_PC_Interventions!R64&lt;&gt;"",Ofwat_PC_Interventions!R64,IF(Company_PC_inputs!R64&lt;&gt;"",Company_PC_inputs!R64,""))</f>
        <v/>
      </c>
      <c r="S64" s="576" t="str">
        <f>IF(Ofwat_PC_Interventions!S64&lt;&gt;"",Ofwat_PC_Interventions!S64,IF(Company_PC_inputs!S64&lt;&gt;"",Company_PC_inputs!S64,""))</f>
        <v/>
      </c>
      <c r="T64" s="576" t="str">
        <f>IF(Ofwat_PC_Interventions!T64&lt;&gt;"",Ofwat_PC_Interventions!T64,IF(Company_PC_inputs!T64&lt;&gt;"",Company_PC_inputs!T64,""))</f>
        <v/>
      </c>
      <c r="U64" s="576" t="str">
        <f>IF(Ofwat_PC_Interventions!U64&lt;&gt;"",Ofwat_PC_Interventions!U64,IF(Company_PC_inputs!U64&lt;&gt;"",Company_PC_inputs!U64,""))</f>
        <v/>
      </c>
      <c r="V64" s="576" t="str">
        <f>IF(Ofwat_PC_Interventions!V64&lt;&gt;"",Ofwat_PC_Interventions!V64,IF(Company_PC_inputs!V64&lt;&gt;"",Company_PC_inputs!V64,""))</f>
        <v/>
      </c>
      <c r="W64" s="576" t="str">
        <f>IF(Ofwat_PC_Interventions!W64&lt;&gt;"",Ofwat_PC_Interventions!W64,IF(Company_PC_inputs!W64&lt;&gt;"",Company_PC_inputs!W64,""))</f>
        <v/>
      </c>
      <c r="X64" s="576" t="str">
        <f>IF(Ofwat_PC_Interventions!X64&lt;&gt;"",Ofwat_PC_Interventions!X64,IF(Company_PC_inputs!X64&lt;&gt;"",Company_PC_inputs!X64,""))</f>
        <v/>
      </c>
      <c r="Y64" s="576" t="str">
        <f>IF(Ofwat_PC_Interventions!Y64&lt;&gt;"",Ofwat_PC_Interventions!Y64,IF(Company_PC_inputs!Y64&lt;&gt;"",Company_PC_inputs!Y64,""))</f>
        <v/>
      </c>
      <c r="Z64" s="576" t="str">
        <f>IF(Ofwat_PC_Interventions!Z64&lt;&gt;"",Ofwat_PC_Interventions!Z64,IF(Company_PC_inputs!Z64&lt;&gt;"",Company_PC_inputs!Z64,""))</f>
        <v/>
      </c>
      <c r="AA64" s="576" t="str">
        <f>IF(Ofwat_PC_Interventions!AA64&lt;&gt;"",Ofwat_PC_Interventions!AA64,IF(Company_PC_inputs!AA64&lt;&gt;"",Company_PC_inputs!AA64,""))</f>
        <v/>
      </c>
      <c r="AB64" s="576" t="str">
        <f>IF(Ofwat_PC_Interventions!AB64&lt;&gt;"",Ofwat_PC_Interventions!AB64,IF(Company_PC_inputs!AB64&lt;&gt;"",Company_PC_inputs!AB64,""))</f>
        <v/>
      </c>
      <c r="AC64" s="576" t="str">
        <f>IF(Ofwat_PC_Interventions!AC64&lt;&gt;"",Ofwat_PC_Interventions!AC64,IF(Company_PC_inputs!AC64&lt;&gt;"",Company_PC_inputs!AC64,""))</f>
        <v/>
      </c>
      <c r="AD64" s="576" t="str">
        <f>IF(Ofwat_PC_Interventions!AD64&lt;&gt;"",Ofwat_PC_Interventions!AD64,IF(Company_PC_inputs!AD64&lt;&gt;"",Company_PC_inputs!AD64,""))</f>
        <v/>
      </c>
      <c r="AE64" s="576" t="str">
        <f>IF(Ofwat_PC_Interventions!AE64&lt;&gt;"",Ofwat_PC_Interventions!AE64,IF(Company_PC_inputs!AE64&lt;&gt;"",Company_PC_inputs!AE64,""))</f>
        <v/>
      </c>
      <c r="AF64" s="576" t="str">
        <f>IF(Ofwat_PC_Interventions!AF64&lt;&gt;"",Ofwat_PC_Interventions!AF64,IF(Company_PC_inputs!AF64&lt;&gt;"",Company_PC_inputs!AF64,""))</f>
        <v/>
      </c>
      <c r="AG64" s="576" t="str">
        <f>IF(Ofwat_PC_Interventions!AG64&lt;&gt;"",Ofwat_PC_Interventions!AG64,IF(Company_PC_inputs!AG64&lt;&gt;"",Company_PC_inputs!AG64,""))</f>
        <v/>
      </c>
      <c r="AH64" s="576" t="str">
        <f>IF(Ofwat_PC_Interventions!AH64&lt;&gt;"",Ofwat_PC_Interventions!AH64,IF(Company_PC_inputs!AH64&lt;&gt;"",Company_PC_inputs!AH64,""))</f>
        <v/>
      </c>
      <c r="AI64" s="576" t="str">
        <f>IF(Ofwat_PC_Interventions!AI64&lt;&gt;"",Ofwat_PC_Interventions!AI64,IF(Company_PC_inputs!AI64&lt;&gt;"",Company_PC_inputs!AI64,""))</f>
        <v/>
      </c>
      <c r="AJ64" s="576" t="str">
        <f>IF(Ofwat_PC_Interventions!AJ64&lt;&gt;"",Ofwat_PC_Interventions!AJ64,IF(Company_PC_inputs!AJ64&lt;&gt;"",Company_PC_inputs!AJ64,""))</f>
        <v/>
      </c>
      <c r="AK64" s="577" t="str">
        <f>IF(Ofwat_PC_Interventions!AK64&lt;&gt;"",Ofwat_PC_Interventions!AK64,IF(Company_PC_inputs!AK64&lt;&gt;"",Company_PC_inputs!AK64,""))</f>
        <v/>
      </c>
      <c r="AL64" s="576" t="str">
        <f>IF(Ofwat_PC_Interventions!AL64&lt;&gt;"",Ofwat_PC_Interventions!AL64,IF(Company_PC_inputs!AL64&lt;&gt;"",Company_PC_inputs!AL64,""))</f>
        <v/>
      </c>
      <c r="AM64" s="576" t="str">
        <f>IF(Ofwat_PC_Interventions!AM64&lt;&gt;"",Ofwat_PC_Interventions!AM64,IF(Company_PC_inputs!AM64&lt;&gt;"",Company_PC_inputs!AM64,""))</f>
        <v/>
      </c>
      <c r="AN64" s="576" t="str">
        <f>IF(Ofwat_PC_Interventions!AN64&lt;&gt;"",Ofwat_PC_Interventions!AN64,IF(Company_PC_inputs!AN64&lt;&gt;"",Company_PC_inputs!AN64,""))</f>
        <v/>
      </c>
      <c r="AO64" s="577" t="str">
        <f>IF(Ofwat_PC_Interventions!AO64&lt;&gt;"",Ofwat_PC_Interventions!AO64,IF(Company_PC_inputs!AO64&lt;&gt;"",Company_PC_inputs!AO64,""))</f>
        <v/>
      </c>
      <c r="AP64" s="576" t="str">
        <f>IF(Ofwat_PC_Interventions!AP64&lt;&gt;"",Ofwat_PC_Interventions!AP64,IF(Company_PC_inputs!AP64&lt;&gt;"",Company_PC_inputs!AP64,""))</f>
        <v/>
      </c>
      <c r="AQ64" s="576" t="str">
        <f>IF(Ofwat_PC_Interventions!AQ64&lt;&gt;"",Ofwat_PC_Interventions!AQ64,IF(Company_PC_inputs!AQ64&lt;&gt;"",Company_PC_inputs!AQ64,""))</f>
        <v/>
      </c>
      <c r="AR64" s="576" t="str">
        <f>IF(Ofwat_PC_Interventions!AR64&lt;&gt;"",Ofwat_PC_Interventions!AR64,IF(Company_PC_inputs!AR64&lt;&gt;"",Company_PC_inputs!AR64,""))</f>
        <v/>
      </c>
      <c r="AS64" s="576" t="str">
        <f>IF(Ofwat_PC_Interventions!AS64&lt;&gt;"",Ofwat_PC_Interventions!AS64,IF(Company_PC_inputs!AS64&lt;&gt;"",Company_PC_inputs!AS64,""))</f>
        <v/>
      </c>
      <c r="AT64" s="576" t="str">
        <f>IF(Ofwat_PC_Interventions!AT64&lt;&gt;"",Ofwat_PC_Interventions!AT64,IF(Company_PC_inputs!AT64&lt;&gt;"",Company_PC_inputs!AT64,""))</f>
        <v/>
      </c>
      <c r="AU64" s="576" t="str">
        <f>IF(Ofwat_PC_Interventions!AU64&lt;&gt;"",Ofwat_PC_Interventions!AU64,IF(Company_PC_inputs!AU64&lt;&gt;"",Company_PC_inputs!AU64,""))</f>
        <v/>
      </c>
      <c r="AV64" s="576" t="str">
        <f>IF(Ofwat_PC_Interventions!AV64&lt;&gt;"",Ofwat_PC_Interventions!AV64,IF(Company_PC_inputs!AV64&lt;&gt;"",Company_PC_inputs!AV64,""))</f>
        <v/>
      </c>
      <c r="AW64" s="576" t="str">
        <f>IF(Ofwat_PC_Interventions!AW64&lt;&gt;"",Ofwat_PC_Interventions!AW64,IF(Company_PC_inputs!AW64&lt;&gt;"",Company_PC_inputs!AW64,""))</f>
        <v/>
      </c>
      <c r="AX64" s="576" t="str">
        <f>IF(Ofwat_PC_Interventions!AX64&lt;&gt;"",Ofwat_PC_Interventions!AX64,IF(Company_PC_inputs!AX64&lt;&gt;"",Company_PC_inputs!AX64,""))</f>
        <v/>
      </c>
      <c r="AY64" s="576" t="str">
        <f>IF(Ofwat_PC_Interventions!AY64&lt;&gt;"",Ofwat_PC_Interventions!AY64,IF(Company_PC_inputs!AY64&lt;&gt;"",Company_PC_inputs!AY64,""))</f>
        <v/>
      </c>
      <c r="AZ64" s="576" t="str">
        <f>IF(Ofwat_PC_Interventions!AZ64&lt;&gt;"",Ofwat_PC_Interventions!AZ64,IF(Company_PC_inputs!AZ64&lt;&gt;"",Company_PC_inputs!AZ64,""))</f>
        <v/>
      </c>
      <c r="BA64" s="576" t="str">
        <f>IF(Ofwat_PC_Interventions!BA64&lt;&gt;"",Ofwat_PC_Interventions!BA64,IF(Company_PC_inputs!BA64&lt;&gt;"",Company_PC_inputs!BA64,""))</f>
        <v/>
      </c>
      <c r="BB64" s="576" t="str">
        <f>IF(Ofwat_PC_Interventions!BB64&lt;&gt;"",Ofwat_PC_Interventions!BB64,IF(Company_PC_inputs!BB64&lt;&gt;"",Company_PC_inputs!BB64,""))</f>
        <v/>
      </c>
      <c r="BC64" s="577" t="str">
        <f>IF(Ofwat_PC_Interventions!BC64&lt;&gt;"",Ofwat_PC_Interventions!BC64,IF(Company_PC_inputs!BC64&lt;&gt;"",Company_PC_inputs!BC64,""))</f>
        <v/>
      </c>
      <c r="BD64" s="576" t="str">
        <f>IF(Ofwat_PC_Interventions!BD64&lt;&gt;"",Ofwat_PC_Interventions!BD64,IF(Company_PC_inputs!BD64&lt;&gt;"",Company_PC_inputs!BD64,""))</f>
        <v/>
      </c>
      <c r="BE64" s="576" t="str">
        <f>IF(Ofwat_PC_Interventions!BE64&lt;&gt;"",Ofwat_PC_Interventions!BE64,IF(Company_PC_inputs!BE64&lt;&gt;"",Company_PC_inputs!BE64,""))</f>
        <v/>
      </c>
      <c r="BF64" s="576" t="str">
        <f>IF(Ofwat_PC_Interventions!BF64&lt;&gt;"",Ofwat_PC_Interventions!BF64,IF(Company_PC_inputs!BF64&lt;&gt;"",Company_PC_inputs!BF64,""))</f>
        <v/>
      </c>
      <c r="BG64" s="576" t="str">
        <f>IF(Ofwat_PC_Interventions!BG64&lt;&gt;"",Ofwat_PC_Interventions!BG64,IF(Company_PC_inputs!BG64&lt;&gt;"",Company_PC_inputs!BG64,""))</f>
        <v/>
      </c>
      <c r="BH64" s="576" t="str">
        <f>IF(Ofwat_PC_Interventions!BH64&lt;&gt;"",Ofwat_PC_Interventions!BH64,IF(Company_PC_inputs!BH64&lt;&gt;"",Company_PC_inputs!BH64,""))</f>
        <v/>
      </c>
      <c r="BI64" s="576" t="str">
        <f>IF(Ofwat_PC_Interventions!BI64&lt;&gt;"",Ofwat_PC_Interventions!BI64,IF(Company_PC_inputs!BI64&lt;&gt;"",Company_PC_inputs!BI64,""))</f>
        <v/>
      </c>
      <c r="BJ64" s="576" t="str">
        <f>IF(Ofwat_PC_Interventions!BJ64&lt;&gt;"",Ofwat_PC_Interventions!BJ64,IF(Company_PC_inputs!BJ64&lt;&gt;"",Company_PC_inputs!BJ64,""))</f>
        <v/>
      </c>
      <c r="BK64" s="576" t="str">
        <f>IF(Ofwat_PC_Interventions!BK64&lt;&gt;"",Ofwat_PC_Interventions!BK64,IF(Company_PC_inputs!BK64&lt;&gt;"",Company_PC_inputs!BK64,""))</f>
        <v/>
      </c>
      <c r="BL64" s="576" t="str">
        <f>IF(Ofwat_PC_Interventions!BL64&lt;&gt;"",Ofwat_PC_Interventions!BL64,IF(Company_PC_inputs!BL64&lt;&gt;"",Company_PC_inputs!BL64,""))</f>
        <v/>
      </c>
      <c r="BM64" s="576" t="str">
        <f>IF(Ofwat_PC_Interventions!BM64&lt;&gt;"",Ofwat_PC_Interventions!BM64,IF(Company_PC_inputs!BM64&lt;&gt;"",Company_PC_inputs!BM64,""))</f>
        <v/>
      </c>
      <c r="BN64" s="576" t="str">
        <f>IF(Ofwat_PC_Interventions!BN64&lt;&gt;"",Ofwat_PC_Interventions!BN64,IF(Company_PC_inputs!BN64&lt;&gt;"",Company_PC_inputs!BN64,""))</f>
        <v/>
      </c>
      <c r="BO64" s="576" t="str">
        <f>IF(Ofwat_PC_Interventions!BO64&lt;&gt;"",Ofwat_PC_Interventions!BO64,IF(Company_PC_inputs!BO64&lt;&gt;"",Company_PC_inputs!BO64,""))</f>
        <v/>
      </c>
      <c r="BP64" s="576" t="str">
        <f>IF(Ofwat_PC_Interventions!BP64&lt;&gt;"",Ofwat_PC_Interventions!BP64,IF(Company_PC_inputs!BP64&lt;&gt;"",Company_PC_inputs!BP64,""))</f>
        <v/>
      </c>
      <c r="BQ64" s="576" t="str">
        <f>IF(Ofwat_PC_Interventions!BQ64&lt;&gt;"",Ofwat_PC_Interventions!BQ64,IF(Company_PC_inputs!BQ64&lt;&gt;"",Company_PC_inputs!BQ64,""))</f>
        <v/>
      </c>
      <c r="BR64" s="576" t="str">
        <f>IF(Ofwat_PC_Interventions!BR64&lt;&gt;"",Ofwat_PC_Interventions!BR64,IF(Company_PC_inputs!BR64&lt;&gt;"",Company_PC_inputs!BR64,""))</f>
        <v/>
      </c>
      <c r="BS64" s="576" t="str">
        <f>IF(Ofwat_PC_Interventions!BS64&lt;&gt;"",Ofwat_PC_Interventions!BS64,IF(Company_PC_inputs!BS64&lt;&gt;"",Company_PC_inputs!BS64,""))</f>
        <v/>
      </c>
    </row>
    <row r="65" spans="1:71" s="202" customFormat="1" ht="13.15">
      <c r="A65" s="453"/>
      <c r="B65" s="453"/>
      <c r="C65" s="453"/>
      <c r="D65" s="453"/>
      <c r="E65" s="453" t="s">
        <v>1189</v>
      </c>
      <c r="F65" s="453"/>
      <c r="G65" s="453" t="s">
        <v>418</v>
      </c>
      <c r="H65" s="453"/>
      <c r="I65" s="453"/>
      <c r="J65" s="494" t="b">
        <f>IF(Ofwat_PC_Interventions!J65&lt;&gt;"",Ofwat_PC_Interventions!J65,IF(Company_PC_inputs!J65&lt;&gt;"",Company_PC_inputs!J65,""))</f>
        <v>0</v>
      </c>
      <c r="K65" s="494" t="b">
        <f>IF(Ofwat_PC_Interventions!K65&lt;&gt;"",Ofwat_PC_Interventions!K65,IF(Company_PC_inputs!K65&lt;&gt;"",Company_PC_inputs!K65,""))</f>
        <v>0</v>
      </c>
      <c r="L65" s="494" t="b">
        <f>IF(Ofwat_PC_Interventions!L65&lt;&gt;"",Ofwat_PC_Interventions!L65,IF(Company_PC_inputs!L65&lt;&gt;"",Company_PC_inputs!L65,""))</f>
        <v>0</v>
      </c>
      <c r="M65" s="494" t="b">
        <f>IF(Ofwat_PC_Interventions!M65&lt;&gt;"",Ofwat_PC_Interventions!M65,IF(Company_PC_inputs!M65&lt;&gt;"",Company_PC_inputs!M65,""))</f>
        <v>0</v>
      </c>
      <c r="N65" s="494" t="b">
        <f>IF(Ofwat_PC_Interventions!N65&lt;&gt;"",Ofwat_PC_Interventions!N65,IF(Company_PC_inputs!N65&lt;&gt;"",Company_PC_inputs!N65,""))</f>
        <v>0</v>
      </c>
      <c r="O65" s="494" t="b">
        <f>IF(Ofwat_PC_Interventions!O65&lt;&gt;"",Ofwat_PC_Interventions!O65,IF(Company_PC_inputs!O65&lt;&gt;"",Company_PC_inputs!O65,""))</f>
        <v>0</v>
      </c>
      <c r="P65" s="494" t="b">
        <f>IF(Ofwat_PC_Interventions!P65&lt;&gt;"",Ofwat_PC_Interventions!P65,IF(Company_PC_inputs!P65&lt;&gt;"",Company_PC_inputs!P65,""))</f>
        <v>0</v>
      </c>
      <c r="Q65" s="496" t="b">
        <f>IF(Ofwat_PC_Interventions!Q65&lt;&gt;"",Ofwat_PC_Interventions!Q65,IF(Company_PC_inputs!Q65&lt;&gt;"",Company_PC_inputs!Q65,""))</f>
        <v>0</v>
      </c>
      <c r="R65" s="494" t="b">
        <f>IF(Ofwat_PC_Interventions!R65&lt;&gt;"",Ofwat_PC_Interventions!R65,IF(Company_PC_inputs!R65&lt;&gt;"",Company_PC_inputs!R65,""))</f>
        <v>0</v>
      </c>
      <c r="S65" s="494" t="b">
        <f>IF(Ofwat_PC_Interventions!S65&lt;&gt;"",Ofwat_PC_Interventions!S65,IF(Company_PC_inputs!S65&lt;&gt;"",Company_PC_inputs!S65,""))</f>
        <v>0</v>
      </c>
      <c r="T65" s="494" t="b">
        <f>IF(Ofwat_PC_Interventions!T65&lt;&gt;"",Ofwat_PC_Interventions!T65,IF(Company_PC_inputs!T65&lt;&gt;"",Company_PC_inputs!T65,""))</f>
        <v>0</v>
      </c>
      <c r="U65" s="494" t="b">
        <f>IF(Ofwat_PC_Interventions!U65&lt;&gt;"",Ofwat_PC_Interventions!U65,IF(Company_PC_inputs!U65&lt;&gt;"",Company_PC_inputs!U65,""))</f>
        <v>0</v>
      </c>
      <c r="V65" s="494" t="b">
        <f>IF(Ofwat_PC_Interventions!V65&lt;&gt;"",Ofwat_PC_Interventions!V65,IF(Company_PC_inputs!V65&lt;&gt;"",Company_PC_inputs!V65,""))</f>
        <v>0</v>
      </c>
      <c r="W65" s="494" t="b">
        <f>IF(Ofwat_PC_Interventions!W65&lt;&gt;"",Ofwat_PC_Interventions!W65,IF(Company_PC_inputs!W65&lt;&gt;"",Company_PC_inputs!W65,""))</f>
        <v>0</v>
      </c>
      <c r="X65" s="494" t="b">
        <f>IF(Ofwat_PC_Interventions!X65&lt;&gt;"",Ofwat_PC_Interventions!X65,IF(Company_PC_inputs!X65&lt;&gt;"",Company_PC_inputs!X65,""))</f>
        <v>0</v>
      </c>
      <c r="Y65" s="494" t="b">
        <f>IF(Ofwat_PC_Interventions!Y65&lt;&gt;"",Ofwat_PC_Interventions!Y65,IF(Company_PC_inputs!Y65&lt;&gt;"",Company_PC_inputs!Y65,""))</f>
        <v>0</v>
      </c>
      <c r="Z65" s="494" t="b">
        <f>IF(Ofwat_PC_Interventions!Z65&lt;&gt;"",Ofwat_PC_Interventions!Z65,IF(Company_PC_inputs!Z65&lt;&gt;"",Company_PC_inputs!Z65,""))</f>
        <v>0</v>
      </c>
      <c r="AA65" s="494" t="b">
        <f>IF(Ofwat_PC_Interventions!AA65&lt;&gt;"",Ofwat_PC_Interventions!AA65,IF(Company_PC_inputs!AA65&lt;&gt;"",Company_PC_inputs!AA65,""))</f>
        <v>0</v>
      </c>
      <c r="AB65" s="494" t="b">
        <f>IF(Ofwat_PC_Interventions!AB65&lt;&gt;"",Ofwat_PC_Interventions!AB65,IF(Company_PC_inputs!AB65&lt;&gt;"",Company_PC_inputs!AB65,""))</f>
        <v>0</v>
      </c>
      <c r="AC65" s="494" t="b">
        <f>IF(Ofwat_PC_Interventions!AC65&lt;&gt;"",Ofwat_PC_Interventions!AC65,IF(Company_PC_inputs!AC65&lt;&gt;"",Company_PC_inputs!AC65,""))</f>
        <v>0</v>
      </c>
      <c r="AD65" s="494" t="b">
        <f>IF(Ofwat_PC_Interventions!AD65&lt;&gt;"",Ofwat_PC_Interventions!AD65,IF(Company_PC_inputs!AD65&lt;&gt;"",Company_PC_inputs!AD65,""))</f>
        <v>0</v>
      </c>
      <c r="AE65" s="494" t="b">
        <f>IF(Ofwat_PC_Interventions!AE65&lt;&gt;"",Ofwat_PC_Interventions!AE65,IF(Company_PC_inputs!AE65&lt;&gt;"",Company_PC_inputs!AE65,""))</f>
        <v>0</v>
      </c>
      <c r="AF65" s="494" t="b">
        <f>IF(Ofwat_PC_Interventions!AF65&lt;&gt;"",Ofwat_PC_Interventions!AF65,IF(Company_PC_inputs!AF65&lt;&gt;"",Company_PC_inputs!AF65,""))</f>
        <v>0</v>
      </c>
      <c r="AG65" s="494" t="b">
        <f>IF(Ofwat_PC_Interventions!AG65&lt;&gt;"",Ofwat_PC_Interventions!AG65,IF(Company_PC_inputs!AG65&lt;&gt;"",Company_PC_inputs!AG65,""))</f>
        <v>0</v>
      </c>
      <c r="AH65" s="494" t="b">
        <f>IF(Ofwat_PC_Interventions!AH65&lt;&gt;"",Ofwat_PC_Interventions!AH65,IF(Company_PC_inputs!AH65&lt;&gt;"",Company_PC_inputs!AH65,""))</f>
        <v>0</v>
      </c>
      <c r="AI65" s="494" t="b">
        <f>IF(Ofwat_PC_Interventions!AI65&lt;&gt;"",Ofwat_PC_Interventions!AI65,IF(Company_PC_inputs!AI65&lt;&gt;"",Company_PC_inputs!AI65,""))</f>
        <v>0</v>
      </c>
      <c r="AJ65" s="494" t="b">
        <f>IF(Ofwat_PC_Interventions!AJ65&lt;&gt;"",Ofwat_PC_Interventions!AJ65,IF(Company_PC_inputs!AJ65&lt;&gt;"",Company_PC_inputs!AJ65,""))</f>
        <v>0</v>
      </c>
      <c r="AK65" s="496" t="b">
        <f>IF(Ofwat_PC_Interventions!AK65&lt;&gt;"",Ofwat_PC_Interventions!AK65,IF(Company_PC_inputs!AK65&lt;&gt;"",Company_PC_inputs!AK65,""))</f>
        <v>0</v>
      </c>
      <c r="AL65" s="494" t="b">
        <f>IF(Ofwat_PC_Interventions!AL65&lt;&gt;"",Ofwat_PC_Interventions!AL65,IF(Company_PC_inputs!AL65&lt;&gt;"",Company_PC_inputs!AL65,""))</f>
        <v>0</v>
      </c>
      <c r="AM65" s="494" t="b">
        <f>IF(Ofwat_PC_Interventions!AM65&lt;&gt;"",Ofwat_PC_Interventions!AM65,IF(Company_PC_inputs!AM65&lt;&gt;"",Company_PC_inputs!AM65,""))</f>
        <v>0</v>
      </c>
      <c r="AN65" s="494" t="b">
        <f>IF(Ofwat_PC_Interventions!AN65&lt;&gt;"",Ofwat_PC_Interventions!AN65,IF(Company_PC_inputs!AN65&lt;&gt;"",Company_PC_inputs!AN65,""))</f>
        <v>0</v>
      </c>
      <c r="AO65" s="496" t="b">
        <f>IF(Ofwat_PC_Interventions!AO65&lt;&gt;"",Ofwat_PC_Interventions!AO65,IF(Company_PC_inputs!AO65&lt;&gt;"",Company_PC_inputs!AO65,""))</f>
        <v>0</v>
      </c>
      <c r="AP65" s="494" t="b">
        <f>IF(Ofwat_PC_Interventions!AP65&lt;&gt;"",Ofwat_PC_Interventions!AP65,IF(Company_PC_inputs!AP65&lt;&gt;"",Company_PC_inputs!AP65,""))</f>
        <v>0</v>
      </c>
      <c r="AQ65" s="494" t="b">
        <f>IF(Ofwat_PC_Interventions!AQ65&lt;&gt;"",Ofwat_PC_Interventions!AQ65,IF(Company_PC_inputs!AQ65&lt;&gt;"",Company_PC_inputs!AQ65,""))</f>
        <v>0</v>
      </c>
      <c r="AR65" s="494" t="b">
        <f>IF(Ofwat_PC_Interventions!AR65&lt;&gt;"",Ofwat_PC_Interventions!AR65,IF(Company_PC_inputs!AR65&lt;&gt;"",Company_PC_inputs!AR65,""))</f>
        <v>0</v>
      </c>
      <c r="AS65" s="494" t="b">
        <f>IF(Ofwat_PC_Interventions!AS65&lt;&gt;"",Ofwat_PC_Interventions!AS65,IF(Company_PC_inputs!AS65&lt;&gt;"",Company_PC_inputs!AS65,""))</f>
        <v>0</v>
      </c>
      <c r="AT65" s="494" t="b">
        <f>IF(Ofwat_PC_Interventions!AT65&lt;&gt;"",Ofwat_PC_Interventions!AT65,IF(Company_PC_inputs!AT65&lt;&gt;"",Company_PC_inputs!AT65,""))</f>
        <v>0</v>
      </c>
      <c r="AU65" s="494" t="b">
        <f>IF(Ofwat_PC_Interventions!AU65&lt;&gt;"",Ofwat_PC_Interventions!AU65,IF(Company_PC_inputs!AU65&lt;&gt;"",Company_PC_inputs!AU65,""))</f>
        <v>0</v>
      </c>
      <c r="AV65" s="494" t="b">
        <f>IF(Ofwat_PC_Interventions!AV65&lt;&gt;"",Ofwat_PC_Interventions!AV65,IF(Company_PC_inputs!AV65&lt;&gt;"",Company_PC_inputs!AV65,""))</f>
        <v>0</v>
      </c>
      <c r="AW65" s="494" t="b">
        <f>IF(Ofwat_PC_Interventions!AW65&lt;&gt;"",Ofwat_PC_Interventions!AW65,IF(Company_PC_inputs!AW65&lt;&gt;"",Company_PC_inputs!AW65,""))</f>
        <v>0</v>
      </c>
      <c r="AX65" s="494" t="b">
        <f>IF(Ofwat_PC_Interventions!AX65&lt;&gt;"",Ofwat_PC_Interventions!AX65,IF(Company_PC_inputs!AX65&lt;&gt;"",Company_PC_inputs!AX65,""))</f>
        <v>0</v>
      </c>
      <c r="AY65" s="494" t="b">
        <f>IF(Ofwat_PC_Interventions!AY65&lt;&gt;"",Ofwat_PC_Interventions!AY65,IF(Company_PC_inputs!AY65&lt;&gt;"",Company_PC_inputs!AY65,""))</f>
        <v>0</v>
      </c>
      <c r="AZ65" s="494" t="b">
        <f>IF(Ofwat_PC_Interventions!AZ65&lt;&gt;"",Ofwat_PC_Interventions!AZ65,IF(Company_PC_inputs!AZ65&lt;&gt;"",Company_PC_inputs!AZ65,""))</f>
        <v>0</v>
      </c>
      <c r="BA65" s="494" t="b">
        <f>IF(Ofwat_PC_Interventions!BA65&lt;&gt;"",Ofwat_PC_Interventions!BA65,IF(Company_PC_inputs!BA65&lt;&gt;"",Company_PC_inputs!BA65,""))</f>
        <v>0</v>
      </c>
      <c r="BB65" s="494" t="b">
        <f>IF(Ofwat_PC_Interventions!BB65&lt;&gt;"",Ofwat_PC_Interventions!BB65,IF(Company_PC_inputs!BB65&lt;&gt;"",Company_PC_inputs!BB65,""))</f>
        <v>0</v>
      </c>
      <c r="BC65" s="496" t="b">
        <f>IF(Ofwat_PC_Interventions!BC65&lt;&gt;"",Ofwat_PC_Interventions!BC65,IF(Company_PC_inputs!BC65&lt;&gt;"",Company_PC_inputs!BC65,""))</f>
        <v>0</v>
      </c>
      <c r="BD65" s="494" t="b">
        <f>IF(Ofwat_PC_Interventions!BD65&lt;&gt;"",Ofwat_PC_Interventions!BD65,IF(Company_PC_inputs!BD65&lt;&gt;"",Company_PC_inputs!BD65,""))</f>
        <v>0</v>
      </c>
      <c r="BE65" s="494" t="b">
        <f>IF(Ofwat_PC_Interventions!BE65&lt;&gt;"",Ofwat_PC_Interventions!BE65,IF(Company_PC_inputs!BE65&lt;&gt;"",Company_PC_inputs!BE65,""))</f>
        <v>0</v>
      </c>
      <c r="BF65" s="494" t="b">
        <f>IF(Ofwat_PC_Interventions!BF65&lt;&gt;"",Ofwat_PC_Interventions!BF65,IF(Company_PC_inputs!BF65&lt;&gt;"",Company_PC_inputs!BF65,""))</f>
        <v>0</v>
      </c>
      <c r="BG65" s="494" t="b">
        <f>IF(Ofwat_PC_Interventions!BG65&lt;&gt;"",Ofwat_PC_Interventions!BG65,IF(Company_PC_inputs!BG65&lt;&gt;"",Company_PC_inputs!BG65,""))</f>
        <v>0</v>
      </c>
      <c r="BH65" s="494" t="b">
        <f>IF(Ofwat_PC_Interventions!BH65&lt;&gt;"",Ofwat_PC_Interventions!BH65,IF(Company_PC_inputs!BH65&lt;&gt;"",Company_PC_inputs!BH65,""))</f>
        <v>0</v>
      </c>
      <c r="BI65" s="494" t="b">
        <f>IF(Ofwat_PC_Interventions!BI65&lt;&gt;"",Ofwat_PC_Interventions!BI65,IF(Company_PC_inputs!BI65&lt;&gt;"",Company_PC_inputs!BI65,""))</f>
        <v>0</v>
      </c>
      <c r="BJ65" s="494" t="b">
        <f>IF(Ofwat_PC_Interventions!BJ65&lt;&gt;"",Ofwat_PC_Interventions!BJ65,IF(Company_PC_inputs!BJ65&lt;&gt;"",Company_PC_inputs!BJ65,""))</f>
        <v>0</v>
      </c>
      <c r="BK65" s="494" t="b">
        <f>IF(Ofwat_PC_Interventions!BK65&lt;&gt;"",Ofwat_PC_Interventions!BK65,IF(Company_PC_inputs!BK65&lt;&gt;"",Company_PC_inputs!BK65,""))</f>
        <v>0</v>
      </c>
      <c r="BL65" s="494" t="b">
        <f>IF(Ofwat_PC_Interventions!BL65&lt;&gt;"",Ofwat_PC_Interventions!BL65,IF(Company_PC_inputs!BL65&lt;&gt;"",Company_PC_inputs!BL65,""))</f>
        <v>0</v>
      </c>
      <c r="BM65" s="494" t="b">
        <f>IF(Ofwat_PC_Interventions!BM65&lt;&gt;"",Ofwat_PC_Interventions!BM65,IF(Company_PC_inputs!BM65&lt;&gt;"",Company_PC_inputs!BM65,""))</f>
        <v>0</v>
      </c>
      <c r="BN65" s="494" t="b">
        <f>IF(Ofwat_PC_Interventions!BN65&lt;&gt;"",Ofwat_PC_Interventions!BN65,IF(Company_PC_inputs!BN65&lt;&gt;"",Company_PC_inputs!BN65,""))</f>
        <v>0</v>
      </c>
      <c r="BO65" s="494" t="b">
        <f>IF(Ofwat_PC_Interventions!BO65&lt;&gt;"",Ofwat_PC_Interventions!BO65,IF(Company_PC_inputs!BO65&lt;&gt;"",Company_PC_inputs!BO65,""))</f>
        <v>0</v>
      </c>
      <c r="BP65" s="494" t="b">
        <f>IF(Ofwat_PC_Interventions!BP65&lt;&gt;"",Ofwat_PC_Interventions!BP65,IF(Company_PC_inputs!BP65&lt;&gt;"",Company_PC_inputs!BP65,""))</f>
        <v>0</v>
      </c>
      <c r="BQ65" s="494" t="b">
        <f>IF(Ofwat_PC_Interventions!BQ65&lt;&gt;"",Ofwat_PC_Interventions!BQ65,IF(Company_PC_inputs!BQ65&lt;&gt;"",Company_PC_inputs!BQ65,""))</f>
        <v>0</v>
      </c>
      <c r="BR65" s="494" t="b">
        <f>IF(Ofwat_PC_Interventions!BR65&lt;&gt;"",Ofwat_PC_Interventions!BR65,IF(Company_PC_inputs!BR65&lt;&gt;"",Company_PC_inputs!BR65,""))</f>
        <v>0</v>
      </c>
      <c r="BS65" s="494" t="b">
        <f>IF(Ofwat_PC_Interventions!BS65&lt;&gt;"",Ofwat_PC_Interventions!BS65,IF(Company_PC_inputs!BS65&lt;&gt;"",Company_PC_inputs!BS65,""))</f>
        <v>0</v>
      </c>
    </row>
    <row r="66" spans="1:71" s="202" customFormat="1" ht="13.15">
      <c r="A66" s="453"/>
      <c r="B66" s="453"/>
      <c r="C66" s="453"/>
      <c r="D66" s="453"/>
      <c r="E66" s="453"/>
      <c r="F66" s="453"/>
      <c r="G66" s="453"/>
      <c r="H66" s="453"/>
      <c r="I66" s="453"/>
      <c r="J66" s="521" t="str">
        <f>IF(Ofwat_PC_Interventions!J66&lt;&gt;"",Ofwat_PC_Interventions!J66,IF(Company_PC_inputs!J66&lt;&gt;"",Company_PC_inputs!J66,""))</f>
        <v/>
      </c>
      <c r="K66" s="521" t="str">
        <f>IF(Ofwat_PC_Interventions!K66&lt;&gt;"",Ofwat_PC_Interventions!K66,IF(Company_PC_inputs!K66&lt;&gt;"",Company_PC_inputs!K66,""))</f>
        <v/>
      </c>
      <c r="L66" s="521" t="str">
        <f>IF(Ofwat_PC_Interventions!L66&lt;&gt;"",Ofwat_PC_Interventions!L66,IF(Company_PC_inputs!L66&lt;&gt;"",Company_PC_inputs!L66,""))</f>
        <v/>
      </c>
      <c r="M66" s="521" t="str">
        <f>IF(Ofwat_PC_Interventions!M66&lt;&gt;"",Ofwat_PC_Interventions!M66,IF(Company_PC_inputs!M66&lt;&gt;"",Company_PC_inputs!M66,""))</f>
        <v/>
      </c>
      <c r="N66" s="521" t="str">
        <f>IF(Ofwat_PC_Interventions!N66&lt;&gt;"",Ofwat_PC_Interventions!N66,IF(Company_PC_inputs!N66&lt;&gt;"",Company_PC_inputs!N66,""))</f>
        <v/>
      </c>
      <c r="O66" s="521" t="str">
        <f>IF(Ofwat_PC_Interventions!O66&lt;&gt;"",Ofwat_PC_Interventions!O66,IF(Company_PC_inputs!O66&lt;&gt;"",Company_PC_inputs!O66,""))</f>
        <v/>
      </c>
      <c r="P66" s="521" t="str">
        <f>IF(Ofwat_PC_Interventions!P66&lt;&gt;"",Ofwat_PC_Interventions!P66,IF(Company_PC_inputs!P66&lt;&gt;"",Company_PC_inputs!P66,""))</f>
        <v/>
      </c>
      <c r="Q66" s="522" t="str">
        <f>IF(Ofwat_PC_Interventions!Q66&lt;&gt;"",Ofwat_PC_Interventions!Q66,IF(Company_PC_inputs!Q66&lt;&gt;"",Company_PC_inputs!Q66,""))</f>
        <v/>
      </c>
      <c r="R66" s="521" t="str">
        <f>IF(Ofwat_PC_Interventions!R66&lt;&gt;"",Ofwat_PC_Interventions!R66,IF(Company_PC_inputs!R66&lt;&gt;"",Company_PC_inputs!R66,""))</f>
        <v/>
      </c>
      <c r="S66" s="521" t="str">
        <f>IF(Ofwat_PC_Interventions!S66&lt;&gt;"",Ofwat_PC_Interventions!S66,IF(Company_PC_inputs!S66&lt;&gt;"",Company_PC_inputs!S66,""))</f>
        <v/>
      </c>
      <c r="T66" s="521" t="str">
        <f>IF(Ofwat_PC_Interventions!T66&lt;&gt;"",Ofwat_PC_Interventions!T66,IF(Company_PC_inputs!T66&lt;&gt;"",Company_PC_inputs!T66,""))</f>
        <v/>
      </c>
      <c r="U66" s="521" t="str">
        <f>IF(Ofwat_PC_Interventions!U66&lt;&gt;"",Ofwat_PC_Interventions!U66,IF(Company_PC_inputs!U66&lt;&gt;"",Company_PC_inputs!U66,""))</f>
        <v/>
      </c>
      <c r="V66" s="521" t="str">
        <f>IF(Ofwat_PC_Interventions!V66&lt;&gt;"",Ofwat_PC_Interventions!V66,IF(Company_PC_inputs!V66&lt;&gt;"",Company_PC_inputs!V66,""))</f>
        <v/>
      </c>
      <c r="W66" s="521" t="str">
        <f>IF(Ofwat_PC_Interventions!W66&lt;&gt;"",Ofwat_PC_Interventions!W66,IF(Company_PC_inputs!W66&lt;&gt;"",Company_PC_inputs!W66,""))</f>
        <v/>
      </c>
      <c r="X66" s="521" t="str">
        <f>IF(Ofwat_PC_Interventions!X66&lt;&gt;"",Ofwat_PC_Interventions!X66,IF(Company_PC_inputs!X66&lt;&gt;"",Company_PC_inputs!X66,""))</f>
        <v/>
      </c>
      <c r="Y66" s="521" t="str">
        <f>IF(Ofwat_PC_Interventions!Y66&lt;&gt;"",Ofwat_PC_Interventions!Y66,IF(Company_PC_inputs!Y66&lt;&gt;"",Company_PC_inputs!Y66,""))</f>
        <v/>
      </c>
      <c r="Z66" s="521" t="str">
        <f>IF(Ofwat_PC_Interventions!Z66&lt;&gt;"",Ofwat_PC_Interventions!Z66,IF(Company_PC_inputs!Z66&lt;&gt;"",Company_PC_inputs!Z66,""))</f>
        <v/>
      </c>
      <c r="AA66" s="521" t="str">
        <f>IF(Ofwat_PC_Interventions!AA66&lt;&gt;"",Ofwat_PC_Interventions!AA66,IF(Company_PC_inputs!AA66&lt;&gt;"",Company_PC_inputs!AA66,""))</f>
        <v/>
      </c>
      <c r="AB66" s="521" t="str">
        <f>IF(Ofwat_PC_Interventions!AB66&lt;&gt;"",Ofwat_PC_Interventions!AB66,IF(Company_PC_inputs!AB66&lt;&gt;"",Company_PC_inputs!AB66,""))</f>
        <v/>
      </c>
      <c r="AC66" s="521" t="str">
        <f>IF(Ofwat_PC_Interventions!AC66&lt;&gt;"",Ofwat_PC_Interventions!AC66,IF(Company_PC_inputs!AC66&lt;&gt;"",Company_PC_inputs!AC66,""))</f>
        <v/>
      </c>
      <c r="AD66" s="521" t="str">
        <f>IF(Ofwat_PC_Interventions!AD66&lt;&gt;"",Ofwat_PC_Interventions!AD66,IF(Company_PC_inputs!AD66&lt;&gt;"",Company_PC_inputs!AD66,""))</f>
        <v/>
      </c>
      <c r="AE66" s="521" t="str">
        <f>IF(Ofwat_PC_Interventions!AE66&lt;&gt;"",Ofwat_PC_Interventions!AE66,IF(Company_PC_inputs!AE66&lt;&gt;"",Company_PC_inputs!AE66,""))</f>
        <v/>
      </c>
      <c r="AF66" s="521" t="str">
        <f>IF(Ofwat_PC_Interventions!AF66&lt;&gt;"",Ofwat_PC_Interventions!AF66,IF(Company_PC_inputs!AF66&lt;&gt;"",Company_PC_inputs!AF66,""))</f>
        <v/>
      </c>
      <c r="AG66" s="521" t="str">
        <f>IF(Ofwat_PC_Interventions!AG66&lt;&gt;"",Ofwat_PC_Interventions!AG66,IF(Company_PC_inputs!AG66&lt;&gt;"",Company_PC_inputs!AG66,""))</f>
        <v/>
      </c>
      <c r="AH66" s="521" t="str">
        <f>IF(Ofwat_PC_Interventions!AH66&lt;&gt;"",Ofwat_PC_Interventions!AH66,IF(Company_PC_inputs!AH66&lt;&gt;"",Company_PC_inputs!AH66,""))</f>
        <v/>
      </c>
      <c r="AI66" s="521" t="str">
        <f>IF(Ofwat_PC_Interventions!AI66&lt;&gt;"",Ofwat_PC_Interventions!AI66,IF(Company_PC_inputs!AI66&lt;&gt;"",Company_PC_inputs!AI66,""))</f>
        <v/>
      </c>
      <c r="AJ66" s="521" t="str">
        <f>IF(Ofwat_PC_Interventions!AJ66&lt;&gt;"",Ofwat_PC_Interventions!AJ66,IF(Company_PC_inputs!AJ66&lt;&gt;"",Company_PC_inputs!AJ66,""))</f>
        <v/>
      </c>
      <c r="AK66" s="522" t="str">
        <f>IF(Ofwat_PC_Interventions!AK66&lt;&gt;"",Ofwat_PC_Interventions!AK66,IF(Company_PC_inputs!AK66&lt;&gt;"",Company_PC_inputs!AK66,""))</f>
        <v/>
      </c>
      <c r="AL66" s="521" t="str">
        <f>IF(Ofwat_PC_Interventions!AL66&lt;&gt;"",Ofwat_PC_Interventions!AL66,IF(Company_PC_inputs!AL66&lt;&gt;"",Company_PC_inputs!AL66,""))</f>
        <v/>
      </c>
      <c r="AM66" s="521" t="str">
        <f>IF(Ofwat_PC_Interventions!AM66&lt;&gt;"",Ofwat_PC_Interventions!AM66,IF(Company_PC_inputs!AM66&lt;&gt;"",Company_PC_inputs!AM66,""))</f>
        <v/>
      </c>
      <c r="AN66" s="521" t="str">
        <f>IF(Ofwat_PC_Interventions!AN66&lt;&gt;"",Ofwat_PC_Interventions!AN66,IF(Company_PC_inputs!AN66&lt;&gt;"",Company_PC_inputs!AN66,""))</f>
        <v/>
      </c>
      <c r="AO66" s="522" t="str">
        <f>IF(Ofwat_PC_Interventions!AO66&lt;&gt;"",Ofwat_PC_Interventions!AO66,IF(Company_PC_inputs!AO66&lt;&gt;"",Company_PC_inputs!AO66,""))</f>
        <v/>
      </c>
      <c r="AP66" s="521" t="str">
        <f>IF(Ofwat_PC_Interventions!AP66&lt;&gt;"",Ofwat_PC_Interventions!AP66,IF(Company_PC_inputs!AP66&lt;&gt;"",Company_PC_inputs!AP66,""))</f>
        <v/>
      </c>
      <c r="AQ66" s="521" t="str">
        <f>IF(Ofwat_PC_Interventions!AQ66&lt;&gt;"",Ofwat_PC_Interventions!AQ66,IF(Company_PC_inputs!AQ66&lt;&gt;"",Company_PC_inputs!AQ66,""))</f>
        <v/>
      </c>
      <c r="AR66" s="521" t="str">
        <f>IF(Ofwat_PC_Interventions!AR66&lt;&gt;"",Ofwat_PC_Interventions!AR66,IF(Company_PC_inputs!AR66&lt;&gt;"",Company_PC_inputs!AR66,""))</f>
        <v/>
      </c>
      <c r="AS66" s="521" t="str">
        <f>IF(Ofwat_PC_Interventions!AS66&lt;&gt;"",Ofwat_PC_Interventions!AS66,IF(Company_PC_inputs!AS66&lt;&gt;"",Company_PC_inputs!AS66,""))</f>
        <v/>
      </c>
      <c r="AT66" s="521" t="str">
        <f>IF(Ofwat_PC_Interventions!AT66&lt;&gt;"",Ofwat_PC_Interventions!AT66,IF(Company_PC_inputs!AT66&lt;&gt;"",Company_PC_inputs!AT66,""))</f>
        <v/>
      </c>
      <c r="AU66" s="521" t="str">
        <f>IF(Ofwat_PC_Interventions!AU66&lt;&gt;"",Ofwat_PC_Interventions!AU66,IF(Company_PC_inputs!AU66&lt;&gt;"",Company_PC_inputs!AU66,""))</f>
        <v/>
      </c>
      <c r="AV66" s="521" t="str">
        <f>IF(Ofwat_PC_Interventions!AV66&lt;&gt;"",Ofwat_PC_Interventions!AV66,IF(Company_PC_inputs!AV66&lt;&gt;"",Company_PC_inputs!AV66,""))</f>
        <v/>
      </c>
      <c r="AW66" s="521" t="str">
        <f>IF(Ofwat_PC_Interventions!AW66&lt;&gt;"",Ofwat_PC_Interventions!AW66,IF(Company_PC_inputs!AW66&lt;&gt;"",Company_PC_inputs!AW66,""))</f>
        <v/>
      </c>
      <c r="AX66" s="521" t="str">
        <f>IF(Ofwat_PC_Interventions!AX66&lt;&gt;"",Ofwat_PC_Interventions!AX66,IF(Company_PC_inputs!AX66&lt;&gt;"",Company_PC_inputs!AX66,""))</f>
        <v/>
      </c>
      <c r="AY66" s="521" t="str">
        <f>IF(Ofwat_PC_Interventions!AY66&lt;&gt;"",Ofwat_PC_Interventions!AY66,IF(Company_PC_inputs!AY66&lt;&gt;"",Company_PC_inputs!AY66,""))</f>
        <v/>
      </c>
      <c r="AZ66" s="521" t="str">
        <f>IF(Ofwat_PC_Interventions!AZ66&lt;&gt;"",Ofwat_PC_Interventions!AZ66,IF(Company_PC_inputs!AZ66&lt;&gt;"",Company_PC_inputs!AZ66,""))</f>
        <v/>
      </c>
      <c r="BA66" s="521" t="str">
        <f>IF(Ofwat_PC_Interventions!BA66&lt;&gt;"",Ofwat_PC_Interventions!BA66,IF(Company_PC_inputs!BA66&lt;&gt;"",Company_PC_inputs!BA66,""))</f>
        <v/>
      </c>
      <c r="BB66" s="521" t="str">
        <f>IF(Ofwat_PC_Interventions!BB66&lt;&gt;"",Ofwat_PC_Interventions!BB66,IF(Company_PC_inputs!BB66&lt;&gt;"",Company_PC_inputs!BB66,""))</f>
        <v/>
      </c>
      <c r="BC66" s="522" t="str">
        <f>IF(Ofwat_PC_Interventions!BC66&lt;&gt;"",Ofwat_PC_Interventions!BC66,IF(Company_PC_inputs!BC66&lt;&gt;"",Company_PC_inputs!BC66,""))</f>
        <v/>
      </c>
      <c r="BD66" s="521" t="str">
        <f>IF(Ofwat_PC_Interventions!BD66&lt;&gt;"",Ofwat_PC_Interventions!BD66,IF(Company_PC_inputs!BD66&lt;&gt;"",Company_PC_inputs!BD66,""))</f>
        <v/>
      </c>
      <c r="BE66" s="521" t="str">
        <f>IF(Ofwat_PC_Interventions!BE66&lt;&gt;"",Ofwat_PC_Interventions!BE66,IF(Company_PC_inputs!BE66&lt;&gt;"",Company_PC_inputs!BE66,""))</f>
        <v/>
      </c>
      <c r="BF66" s="521" t="str">
        <f>IF(Ofwat_PC_Interventions!BF66&lt;&gt;"",Ofwat_PC_Interventions!BF66,IF(Company_PC_inputs!BF66&lt;&gt;"",Company_PC_inputs!BF66,""))</f>
        <v/>
      </c>
      <c r="BG66" s="521" t="str">
        <f>IF(Ofwat_PC_Interventions!BG66&lt;&gt;"",Ofwat_PC_Interventions!BG66,IF(Company_PC_inputs!BG66&lt;&gt;"",Company_PC_inputs!BG66,""))</f>
        <v/>
      </c>
      <c r="BH66" s="521" t="str">
        <f>IF(Ofwat_PC_Interventions!BH66&lt;&gt;"",Ofwat_PC_Interventions!BH66,IF(Company_PC_inputs!BH66&lt;&gt;"",Company_PC_inputs!BH66,""))</f>
        <v/>
      </c>
      <c r="BI66" s="521" t="str">
        <f>IF(Ofwat_PC_Interventions!BI66&lt;&gt;"",Ofwat_PC_Interventions!BI66,IF(Company_PC_inputs!BI66&lt;&gt;"",Company_PC_inputs!BI66,""))</f>
        <v/>
      </c>
      <c r="BJ66" s="521" t="str">
        <f>IF(Ofwat_PC_Interventions!BJ66&lt;&gt;"",Ofwat_PC_Interventions!BJ66,IF(Company_PC_inputs!BJ66&lt;&gt;"",Company_PC_inputs!BJ66,""))</f>
        <v/>
      </c>
      <c r="BK66" s="521" t="str">
        <f>IF(Ofwat_PC_Interventions!BK66&lt;&gt;"",Ofwat_PC_Interventions!BK66,IF(Company_PC_inputs!BK66&lt;&gt;"",Company_PC_inputs!BK66,""))</f>
        <v/>
      </c>
      <c r="BL66" s="521" t="str">
        <f>IF(Ofwat_PC_Interventions!BL66&lt;&gt;"",Ofwat_PC_Interventions!BL66,IF(Company_PC_inputs!BL66&lt;&gt;"",Company_PC_inputs!BL66,""))</f>
        <v/>
      </c>
      <c r="BM66" s="521" t="str">
        <f>IF(Ofwat_PC_Interventions!BM66&lt;&gt;"",Ofwat_PC_Interventions!BM66,IF(Company_PC_inputs!BM66&lt;&gt;"",Company_PC_inputs!BM66,""))</f>
        <v/>
      </c>
      <c r="BN66" s="521" t="str">
        <f>IF(Ofwat_PC_Interventions!BN66&lt;&gt;"",Ofwat_PC_Interventions!BN66,IF(Company_PC_inputs!BN66&lt;&gt;"",Company_PC_inputs!BN66,""))</f>
        <v/>
      </c>
      <c r="BO66" s="521" t="str">
        <f>IF(Ofwat_PC_Interventions!BO66&lt;&gt;"",Ofwat_PC_Interventions!BO66,IF(Company_PC_inputs!BO66&lt;&gt;"",Company_PC_inputs!BO66,""))</f>
        <v/>
      </c>
      <c r="BP66" s="521" t="str">
        <f>IF(Ofwat_PC_Interventions!BP66&lt;&gt;"",Ofwat_PC_Interventions!BP66,IF(Company_PC_inputs!BP66&lt;&gt;"",Company_PC_inputs!BP66,""))</f>
        <v/>
      </c>
      <c r="BQ66" s="521" t="str">
        <f>IF(Ofwat_PC_Interventions!BQ66&lt;&gt;"",Ofwat_PC_Interventions!BQ66,IF(Company_PC_inputs!BQ66&lt;&gt;"",Company_PC_inputs!BQ66,""))</f>
        <v/>
      </c>
      <c r="BR66" s="521" t="str">
        <f>IF(Ofwat_PC_Interventions!BR66&lt;&gt;"",Ofwat_PC_Interventions!BR66,IF(Company_PC_inputs!BR66&lt;&gt;"",Company_PC_inputs!BR66,""))</f>
        <v/>
      </c>
      <c r="BS66" s="521" t="str">
        <f>IF(Ofwat_PC_Interventions!BS66&lt;&gt;"",Ofwat_PC_Interventions!BS66,IF(Company_PC_inputs!BS66&lt;&gt;"",Company_PC_inputs!BS66,""))</f>
        <v/>
      </c>
    </row>
    <row r="67" spans="1:71" s="202" customFormat="1" ht="13.15">
      <c r="A67" s="453"/>
      <c r="B67" s="473"/>
      <c r="C67" s="453"/>
      <c r="D67" s="463" t="s">
        <v>1190</v>
      </c>
      <c r="E67" s="453"/>
      <c r="F67" s="453"/>
      <c r="G67" s="453"/>
      <c r="H67" s="453"/>
      <c r="I67" s="453"/>
      <c r="J67" s="529" t="str">
        <f>IF(Ofwat_PC_Interventions!J67&lt;&gt;"",Ofwat_PC_Interventions!J67,IF(Company_PC_inputs!J67&lt;&gt;"",Company_PC_inputs!J67,""))</f>
        <v/>
      </c>
      <c r="K67" s="529" t="str">
        <f>IF(Ofwat_PC_Interventions!K67&lt;&gt;"",Ofwat_PC_Interventions!K67,IF(Company_PC_inputs!K67&lt;&gt;"",Company_PC_inputs!K67,""))</f>
        <v/>
      </c>
      <c r="L67" s="529" t="str">
        <f>IF(Ofwat_PC_Interventions!L67&lt;&gt;"",Ofwat_PC_Interventions!L67,IF(Company_PC_inputs!L67&lt;&gt;"",Company_PC_inputs!L67,""))</f>
        <v/>
      </c>
      <c r="M67" s="529" t="str">
        <f>IF(Ofwat_PC_Interventions!M67&lt;&gt;"",Ofwat_PC_Interventions!M67,IF(Company_PC_inputs!M67&lt;&gt;"",Company_PC_inputs!M67,""))</f>
        <v/>
      </c>
      <c r="N67" s="529" t="str">
        <f>IF(Ofwat_PC_Interventions!N67&lt;&gt;"",Ofwat_PC_Interventions!N67,IF(Company_PC_inputs!N67&lt;&gt;"",Company_PC_inputs!N67,""))</f>
        <v/>
      </c>
      <c r="O67" s="529" t="str">
        <f>IF(Ofwat_PC_Interventions!O67&lt;&gt;"",Ofwat_PC_Interventions!O67,IF(Company_PC_inputs!O67&lt;&gt;"",Company_PC_inputs!O67,""))</f>
        <v/>
      </c>
      <c r="P67" s="529" t="str">
        <f>IF(Ofwat_PC_Interventions!P67&lt;&gt;"",Ofwat_PC_Interventions!P67,IF(Company_PC_inputs!P67&lt;&gt;"",Company_PC_inputs!P67,""))</f>
        <v/>
      </c>
      <c r="Q67" s="530" t="str">
        <f>IF(Ofwat_PC_Interventions!Q67&lt;&gt;"",Ofwat_PC_Interventions!Q67,IF(Company_PC_inputs!Q67&lt;&gt;"",Company_PC_inputs!Q67,""))</f>
        <v/>
      </c>
      <c r="R67" s="529" t="str">
        <f>IF(Ofwat_PC_Interventions!R67&lt;&gt;"",Ofwat_PC_Interventions!R67,IF(Company_PC_inputs!R67&lt;&gt;"",Company_PC_inputs!R67,""))</f>
        <v/>
      </c>
      <c r="S67" s="529" t="str">
        <f>IF(Ofwat_PC_Interventions!S67&lt;&gt;"",Ofwat_PC_Interventions!S67,IF(Company_PC_inputs!S67&lt;&gt;"",Company_PC_inputs!S67,""))</f>
        <v/>
      </c>
      <c r="T67" s="529" t="str">
        <f>IF(Ofwat_PC_Interventions!T67&lt;&gt;"",Ofwat_PC_Interventions!T67,IF(Company_PC_inputs!T67&lt;&gt;"",Company_PC_inputs!T67,""))</f>
        <v/>
      </c>
      <c r="U67" s="529" t="str">
        <f>IF(Ofwat_PC_Interventions!U67&lt;&gt;"",Ofwat_PC_Interventions!U67,IF(Company_PC_inputs!U67&lt;&gt;"",Company_PC_inputs!U67,""))</f>
        <v/>
      </c>
      <c r="V67" s="529" t="str">
        <f>IF(Ofwat_PC_Interventions!V67&lt;&gt;"",Ofwat_PC_Interventions!V67,IF(Company_PC_inputs!V67&lt;&gt;"",Company_PC_inputs!V67,""))</f>
        <v/>
      </c>
      <c r="W67" s="529" t="str">
        <f>IF(Ofwat_PC_Interventions!W67&lt;&gt;"",Ofwat_PC_Interventions!W67,IF(Company_PC_inputs!W67&lt;&gt;"",Company_PC_inputs!W67,""))</f>
        <v/>
      </c>
      <c r="X67" s="529" t="str">
        <f>IF(Ofwat_PC_Interventions!X67&lt;&gt;"",Ofwat_PC_Interventions!X67,IF(Company_PC_inputs!X67&lt;&gt;"",Company_PC_inputs!X67,""))</f>
        <v/>
      </c>
      <c r="Y67" s="529" t="str">
        <f>IF(Ofwat_PC_Interventions!Y67&lt;&gt;"",Ofwat_PC_Interventions!Y67,IF(Company_PC_inputs!Y67&lt;&gt;"",Company_PC_inputs!Y67,""))</f>
        <v/>
      </c>
      <c r="Z67" s="529" t="str">
        <f>IF(Ofwat_PC_Interventions!Z67&lt;&gt;"",Ofwat_PC_Interventions!Z67,IF(Company_PC_inputs!Z67&lt;&gt;"",Company_PC_inputs!Z67,""))</f>
        <v/>
      </c>
      <c r="AA67" s="529" t="str">
        <f>IF(Ofwat_PC_Interventions!AA67&lt;&gt;"",Ofwat_PC_Interventions!AA67,IF(Company_PC_inputs!AA67&lt;&gt;"",Company_PC_inputs!AA67,""))</f>
        <v/>
      </c>
      <c r="AB67" s="529" t="str">
        <f>IF(Ofwat_PC_Interventions!AB67&lt;&gt;"",Ofwat_PC_Interventions!AB67,IF(Company_PC_inputs!AB67&lt;&gt;"",Company_PC_inputs!AB67,""))</f>
        <v/>
      </c>
      <c r="AC67" s="529" t="str">
        <f>IF(Ofwat_PC_Interventions!AC67&lt;&gt;"",Ofwat_PC_Interventions!AC67,IF(Company_PC_inputs!AC67&lt;&gt;"",Company_PC_inputs!AC67,""))</f>
        <v/>
      </c>
      <c r="AD67" s="529" t="str">
        <f>IF(Ofwat_PC_Interventions!AD67&lt;&gt;"",Ofwat_PC_Interventions!AD67,IF(Company_PC_inputs!AD67&lt;&gt;"",Company_PC_inputs!AD67,""))</f>
        <v/>
      </c>
      <c r="AE67" s="529" t="str">
        <f>IF(Ofwat_PC_Interventions!AE67&lt;&gt;"",Ofwat_PC_Interventions!AE67,IF(Company_PC_inputs!AE67&lt;&gt;"",Company_PC_inputs!AE67,""))</f>
        <v/>
      </c>
      <c r="AF67" s="529" t="str">
        <f>IF(Ofwat_PC_Interventions!AF67&lt;&gt;"",Ofwat_PC_Interventions!AF67,IF(Company_PC_inputs!AF67&lt;&gt;"",Company_PC_inputs!AF67,""))</f>
        <v/>
      </c>
      <c r="AG67" s="529" t="str">
        <f>IF(Ofwat_PC_Interventions!AG67&lt;&gt;"",Ofwat_PC_Interventions!AG67,IF(Company_PC_inputs!AG67&lt;&gt;"",Company_PC_inputs!AG67,""))</f>
        <v/>
      </c>
      <c r="AH67" s="529" t="str">
        <f>IF(Ofwat_PC_Interventions!AH67&lt;&gt;"",Ofwat_PC_Interventions!AH67,IF(Company_PC_inputs!AH67&lt;&gt;"",Company_PC_inputs!AH67,""))</f>
        <v/>
      </c>
      <c r="AI67" s="529" t="str">
        <f>IF(Ofwat_PC_Interventions!AI67&lt;&gt;"",Ofwat_PC_Interventions!AI67,IF(Company_PC_inputs!AI67&lt;&gt;"",Company_PC_inputs!AI67,""))</f>
        <v/>
      </c>
      <c r="AJ67" s="529" t="str">
        <f>IF(Ofwat_PC_Interventions!AJ67&lt;&gt;"",Ofwat_PC_Interventions!AJ67,IF(Company_PC_inputs!AJ67&lt;&gt;"",Company_PC_inputs!AJ67,""))</f>
        <v/>
      </c>
      <c r="AK67" s="530" t="str">
        <f>IF(Ofwat_PC_Interventions!AK67&lt;&gt;"",Ofwat_PC_Interventions!AK67,IF(Company_PC_inputs!AK67&lt;&gt;"",Company_PC_inputs!AK67,""))</f>
        <v/>
      </c>
      <c r="AL67" s="529" t="str">
        <f>IF(Ofwat_PC_Interventions!AL67&lt;&gt;"",Ofwat_PC_Interventions!AL67,IF(Company_PC_inputs!AL67&lt;&gt;"",Company_PC_inputs!AL67,""))</f>
        <v/>
      </c>
      <c r="AM67" s="529" t="str">
        <f>IF(Ofwat_PC_Interventions!AM67&lt;&gt;"",Ofwat_PC_Interventions!AM67,IF(Company_PC_inputs!AM67&lt;&gt;"",Company_PC_inputs!AM67,""))</f>
        <v/>
      </c>
      <c r="AN67" s="529" t="str">
        <f>IF(Ofwat_PC_Interventions!AN67&lt;&gt;"",Ofwat_PC_Interventions!AN67,IF(Company_PC_inputs!AN67&lt;&gt;"",Company_PC_inputs!AN67,""))</f>
        <v/>
      </c>
      <c r="AO67" s="530" t="str">
        <f>IF(Ofwat_PC_Interventions!AO67&lt;&gt;"",Ofwat_PC_Interventions!AO67,IF(Company_PC_inputs!AO67&lt;&gt;"",Company_PC_inputs!AO67,""))</f>
        <v/>
      </c>
      <c r="AP67" s="529" t="str">
        <f>IF(Ofwat_PC_Interventions!AP67&lt;&gt;"",Ofwat_PC_Interventions!AP67,IF(Company_PC_inputs!AP67&lt;&gt;"",Company_PC_inputs!AP67,""))</f>
        <v/>
      </c>
      <c r="AQ67" s="529" t="str">
        <f>IF(Ofwat_PC_Interventions!AQ67&lt;&gt;"",Ofwat_PC_Interventions!AQ67,IF(Company_PC_inputs!AQ67&lt;&gt;"",Company_PC_inputs!AQ67,""))</f>
        <v/>
      </c>
      <c r="AR67" s="529" t="str">
        <f>IF(Ofwat_PC_Interventions!AR67&lt;&gt;"",Ofwat_PC_Interventions!AR67,IF(Company_PC_inputs!AR67&lt;&gt;"",Company_PC_inputs!AR67,""))</f>
        <v/>
      </c>
      <c r="AS67" s="529" t="str">
        <f>IF(Ofwat_PC_Interventions!AS67&lt;&gt;"",Ofwat_PC_Interventions!AS67,IF(Company_PC_inputs!AS67&lt;&gt;"",Company_PC_inputs!AS67,""))</f>
        <v/>
      </c>
      <c r="AT67" s="529" t="str">
        <f>IF(Ofwat_PC_Interventions!AT67&lt;&gt;"",Ofwat_PC_Interventions!AT67,IF(Company_PC_inputs!AT67&lt;&gt;"",Company_PC_inputs!AT67,""))</f>
        <v/>
      </c>
      <c r="AU67" s="529" t="str">
        <f>IF(Ofwat_PC_Interventions!AU67&lt;&gt;"",Ofwat_PC_Interventions!AU67,IF(Company_PC_inputs!AU67&lt;&gt;"",Company_PC_inputs!AU67,""))</f>
        <v/>
      </c>
      <c r="AV67" s="529" t="str">
        <f>IF(Ofwat_PC_Interventions!AV67&lt;&gt;"",Ofwat_PC_Interventions!AV67,IF(Company_PC_inputs!AV67&lt;&gt;"",Company_PC_inputs!AV67,""))</f>
        <v/>
      </c>
      <c r="AW67" s="529" t="str">
        <f>IF(Ofwat_PC_Interventions!AW67&lt;&gt;"",Ofwat_PC_Interventions!AW67,IF(Company_PC_inputs!AW67&lt;&gt;"",Company_PC_inputs!AW67,""))</f>
        <v/>
      </c>
      <c r="AX67" s="529" t="str">
        <f>IF(Ofwat_PC_Interventions!AX67&lt;&gt;"",Ofwat_PC_Interventions!AX67,IF(Company_PC_inputs!AX67&lt;&gt;"",Company_PC_inputs!AX67,""))</f>
        <v/>
      </c>
      <c r="AY67" s="529" t="str">
        <f>IF(Ofwat_PC_Interventions!AY67&lt;&gt;"",Ofwat_PC_Interventions!AY67,IF(Company_PC_inputs!AY67&lt;&gt;"",Company_PC_inputs!AY67,""))</f>
        <v/>
      </c>
      <c r="AZ67" s="529" t="str">
        <f>IF(Ofwat_PC_Interventions!AZ67&lt;&gt;"",Ofwat_PC_Interventions!AZ67,IF(Company_PC_inputs!AZ67&lt;&gt;"",Company_PC_inputs!AZ67,""))</f>
        <v/>
      </c>
      <c r="BA67" s="529" t="str">
        <f>IF(Ofwat_PC_Interventions!BA67&lt;&gt;"",Ofwat_PC_Interventions!BA67,IF(Company_PC_inputs!BA67&lt;&gt;"",Company_PC_inputs!BA67,""))</f>
        <v/>
      </c>
      <c r="BB67" s="529" t="str">
        <f>IF(Ofwat_PC_Interventions!BB67&lt;&gt;"",Ofwat_PC_Interventions!BB67,IF(Company_PC_inputs!BB67&lt;&gt;"",Company_PC_inputs!BB67,""))</f>
        <v/>
      </c>
      <c r="BC67" s="530" t="str">
        <f>IF(Ofwat_PC_Interventions!BC67&lt;&gt;"",Ofwat_PC_Interventions!BC67,IF(Company_PC_inputs!BC67&lt;&gt;"",Company_PC_inputs!BC67,""))</f>
        <v/>
      </c>
      <c r="BD67" s="529" t="str">
        <f>IF(Ofwat_PC_Interventions!BD67&lt;&gt;"",Ofwat_PC_Interventions!BD67,IF(Company_PC_inputs!BD67&lt;&gt;"",Company_PC_inputs!BD67,""))</f>
        <v/>
      </c>
      <c r="BE67" s="529" t="str">
        <f>IF(Ofwat_PC_Interventions!BE67&lt;&gt;"",Ofwat_PC_Interventions!BE67,IF(Company_PC_inputs!BE67&lt;&gt;"",Company_PC_inputs!BE67,""))</f>
        <v/>
      </c>
      <c r="BF67" s="529" t="str">
        <f>IF(Ofwat_PC_Interventions!BF67&lt;&gt;"",Ofwat_PC_Interventions!BF67,IF(Company_PC_inputs!BF67&lt;&gt;"",Company_PC_inputs!BF67,""))</f>
        <v/>
      </c>
      <c r="BG67" s="529" t="str">
        <f>IF(Ofwat_PC_Interventions!BG67&lt;&gt;"",Ofwat_PC_Interventions!BG67,IF(Company_PC_inputs!BG67&lt;&gt;"",Company_PC_inputs!BG67,""))</f>
        <v/>
      </c>
      <c r="BH67" s="529" t="str">
        <f>IF(Ofwat_PC_Interventions!BH67&lt;&gt;"",Ofwat_PC_Interventions!BH67,IF(Company_PC_inputs!BH67&lt;&gt;"",Company_PC_inputs!BH67,""))</f>
        <v/>
      </c>
      <c r="BI67" s="529" t="str">
        <f>IF(Ofwat_PC_Interventions!BI67&lt;&gt;"",Ofwat_PC_Interventions!BI67,IF(Company_PC_inputs!BI67&lt;&gt;"",Company_PC_inputs!BI67,""))</f>
        <v/>
      </c>
      <c r="BJ67" s="529" t="str">
        <f>IF(Ofwat_PC_Interventions!BJ67&lt;&gt;"",Ofwat_PC_Interventions!BJ67,IF(Company_PC_inputs!BJ67&lt;&gt;"",Company_PC_inputs!BJ67,""))</f>
        <v/>
      </c>
      <c r="BK67" s="529" t="str">
        <f>IF(Ofwat_PC_Interventions!BK67&lt;&gt;"",Ofwat_PC_Interventions!BK67,IF(Company_PC_inputs!BK67&lt;&gt;"",Company_PC_inputs!BK67,""))</f>
        <v/>
      </c>
      <c r="BL67" s="529" t="str">
        <f>IF(Ofwat_PC_Interventions!BL67&lt;&gt;"",Ofwat_PC_Interventions!BL67,IF(Company_PC_inputs!BL67&lt;&gt;"",Company_PC_inputs!BL67,""))</f>
        <v/>
      </c>
      <c r="BM67" s="529" t="str">
        <f>IF(Ofwat_PC_Interventions!BM67&lt;&gt;"",Ofwat_PC_Interventions!BM67,IF(Company_PC_inputs!BM67&lt;&gt;"",Company_PC_inputs!BM67,""))</f>
        <v/>
      </c>
      <c r="BN67" s="529" t="str">
        <f>IF(Ofwat_PC_Interventions!BN67&lt;&gt;"",Ofwat_PC_Interventions!BN67,IF(Company_PC_inputs!BN67&lt;&gt;"",Company_PC_inputs!BN67,""))</f>
        <v/>
      </c>
      <c r="BO67" s="529" t="str">
        <f>IF(Ofwat_PC_Interventions!BO67&lt;&gt;"",Ofwat_PC_Interventions!BO67,IF(Company_PC_inputs!BO67&lt;&gt;"",Company_PC_inputs!BO67,""))</f>
        <v/>
      </c>
      <c r="BP67" s="529" t="str">
        <f>IF(Ofwat_PC_Interventions!BP67&lt;&gt;"",Ofwat_PC_Interventions!BP67,IF(Company_PC_inputs!BP67&lt;&gt;"",Company_PC_inputs!BP67,""))</f>
        <v/>
      </c>
      <c r="BQ67" s="529" t="str">
        <f>IF(Ofwat_PC_Interventions!BQ67&lt;&gt;"",Ofwat_PC_Interventions!BQ67,IF(Company_PC_inputs!BQ67&lt;&gt;"",Company_PC_inputs!BQ67,""))</f>
        <v/>
      </c>
      <c r="BR67" s="529" t="str">
        <f>IF(Ofwat_PC_Interventions!BR67&lt;&gt;"",Ofwat_PC_Interventions!BR67,IF(Company_PC_inputs!BR67&lt;&gt;"",Company_PC_inputs!BR67,""))</f>
        <v/>
      </c>
      <c r="BS67" s="529" t="str">
        <f>IF(Ofwat_PC_Interventions!BS67&lt;&gt;"",Ofwat_PC_Interventions!BS67,IF(Company_PC_inputs!BS67&lt;&gt;"",Company_PC_inputs!BS67,""))</f>
        <v/>
      </c>
    </row>
    <row r="68" spans="1:71" s="202" customFormat="1" ht="13.15">
      <c r="A68" s="453"/>
      <c r="B68" s="453"/>
      <c r="C68" s="453"/>
      <c r="D68" s="453"/>
      <c r="E68" s="453" t="s">
        <v>1191</v>
      </c>
      <c r="F68" s="453"/>
      <c r="G68" s="453" t="s">
        <v>1146</v>
      </c>
      <c r="H68" s="453"/>
      <c r="I68" s="453"/>
      <c r="J68" s="578" t="str">
        <f>IF(Ofwat_PC_Interventions!J68&lt;&gt;"",Ofwat_PC_Interventions!J68,IF(Company_PC_inputs!J68&lt;&gt;"",Company_PC_inputs!J68,""))</f>
        <v/>
      </c>
      <c r="K68" s="578" t="str">
        <f>IF(Ofwat_PC_Interventions!K68&lt;&gt;"",Ofwat_PC_Interventions!K68,IF(Company_PC_inputs!K68&lt;&gt;"",Company_PC_inputs!K68,""))</f>
        <v/>
      </c>
      <c r="L68" s="578" t="str">
        <f>IF(Ofwat_PC_Interventions!L68&lt;&gt;"",Ofwat_PC_Interventions!L68,IF(Company_PC_inputs!L68&lt;&gt;"",Company_PC_inputs!L68,""))</f>
        <v/>
      </c>
      <c r="M68" s="578" t="str">
        <f>IF(Ofwat_PC_Interventions!M68&lt;&gt;"",Ofwat_PC_Interventions!M68,IF(Company_PC_inputs!M68&lt;&gt;"",Company_PC_inputs!M68,""))</f>
        <v/>
      </c>
      <c r="N68" s="578">
        <f>IF(Ofwat_PC_Interventions!N68&lt;&gt;"",Ofwat_PC_Interventions!N68,IF(Company_PC_inputs!N68&lt;&gt;"",Company_PC_inputs!N68,""))</f>
        <v>1</v>
      </c>
      <c r="O68" s="578" t="str">
        <f>IF(Ofwat_PC_Interventions!O68&lt;&gt;"",Ofwat_PC_Interventions!O68,IF(Company_PC_inputs!O68&lt;&gt;"",Company_PC_inputs!O68,""))</f>
        <v/>
      </c>
      <c r="P68" s="578" t="str">
        <f>IF(Ofwat_PC_Interventions!P68&lt;&gt;"",Ofwat_PC_Interventions!P68,IF(Company_PC_inputs!P68&lt;&gt;"",Company_PC_inputs!P68,""))</f>
        <v/>
      </c>
      <c r="Q68" s="579" t="str">
        <f>IF(Ofwat_PC_Interventions!Q68&lt;&gt;"",Ofwat_PC_Interventions!Q68,IF(Company_PC_inputs!Q68&lt;&gt;"",Company_PC_inputs!Q68,""))</f>
        <v/>
      </c>
      <c r="R68" s="578">
        <f>IF(Ofwat_PC_Interventions!R68&lt;&gt;"",Ofwat_PC_Interventions!R68,IF(Company_PC_inputs!R68&lt;&gt;"",Company_PC_inputs!R68,""))</f>
        <v>0</v>
      </c>
      <c r="S68" s="578">
        <f>IF(Ofwat_PC_Interventions!S68&lt;&gt;"",Ofwat_PC_Interventions!S68,IF(Company_PC_inputs!S68&lt;&gt;"",Company_PC_inputs!S68,""))</f>
        <v>0</v>
      </c>
      <c r="T68" s="578">
        <f>IF(Ofwat_PC_Interventions!T68&lt;&gt;"",Ofwat_PC_Interventions!T68,IF(Company_PC_inputs!T68&lt;&gt;"",Company_PC_inputs!T68,""))</f>
        <v>1</v>
      </c>
      <c r="U68" s="578">
        <f>IF(Ofwat_PC_Interventions!U68&lt;&gt;"",Ofwat_PC_Interventions!U68,IF(Company_PC_inputs!U68&lt;&gt;"",Company_PC_inputs!U68,""))</f>
        <v>0</v>
      </c>
      <c r="V68" s="578">
        <f>IF(Ofwat_PC_Interventions!V68&lt;&gt;"",Ofwat_PC_Interventions!V68,IF(Company_PC_inputs!V68&lt;&gt;"",Company_PC_inputs!V68,""))</f>
        <v>0</v>
      </c>
      <c r="W68" s="578">
        <f>IF(Ofwat_PC_Interventions!W68&lt;&gt;"",Ofwat_PC_Interventions!W68,IF(Company_PC_inputs!W68&lt;&gt;"",Company_PC_inputs!W68,""))</f>
        <v>0</v>
      </c>
      <c r="X68" s="578">
        <f>IF(Ofwat_PC_Interventions!X68&lt;&gt;"",Ofwat_PC_Interventions!X68,IF(Company_PC_inputs!X68&lt;&gt;"",Company_PC_inputs!X68,""))</f>
        <v>0</v>
      </c>
      <c r="Y68" s="578">
        <f>IF(Ofwat_PC_Interventions!Y68&lt;&gt;"",Ofwat_PC_Interventions!Y68,IF(Company_PC_inputs!Y68&lt;&gt;"",Company_PC_inputs!Y68,""))</f>
        <v>0</v>
      </c>
      <c r="Z68" s="578">
        <f>IF(Ofwat_PC_Interventions!Z68&lt;&gt;"",Ofwat_PC_Interventions!Z68,IF(Company_PC_inputs!Z68&lt;&gt;"",Company_PC_inputs!Z68,""))</f>
        <v>1</v>
      </c>
      <c r="AA68" s="578" t="str">
        <f>IF(Ofwat_PC_Interventions!AA68&lt;&gt;"",Ofwat_PC_Interventions!AA68,IF(Company_PC_inputs!AA68&lt;&gt;"",Company_PC_inputs!AA68,""))</f>
        <v/>
      </c>
      <c r="AB68" s="578" t="str">
        <f>IF(Ofwat_PC_Interventions!AB68&lt;&gt;"",Ofwat_PC_Interventions!AB68,IF(Company_PC_inputs!AB68&lt;&gt;"",Company_PC_inputs!AB68,""))</f>
        <v/>
      </c>
      <c r="AC68" s="578" t="str">
        <f>IF(Ofwat_PC_Interventions!AC68&lt;&gt;"",Ofwat_PC_Interventions!AC68,IF(Company_PC_inputs!AC68&lt;&gt;"",Company_PC_inputs!AC68,""))</f>
        <v/>
      </c>
      <c r="AD68" s="578" t="str">
        <f>IF(Ofwat_PC_Interventions!AD68&lt;&gt;"",Ofwat_PC_Interventions!AD68,IF(Company_PC_inputs!AD68&lt;&gt;"",Company_PC_inputs!AD68,""))</f>
        <v/>
      </c>
      <c r="AE68" s="578" t="str">
        <f>IF(Ofwat_PC_Interventions!AE68&lt;&gt;"",Ofwat_PC_Interventions!AE68,IF(Company_PC_inputs!AE68&lt;&gt;"",Company_PC_inputs!AE68,""))</f>
        <v/>
      </c>
      <c r="AF68" s="578" t="str">
        <f>IF(Ofwat_PC_Interventions!AF68&lt;&gt;"",Ofwat_PC_Interventions!AF68,IF(Company_PC_inputs!AF68&lt;&gt;"",Company_PC_inputs!AF68,""))</f>
        <v/>
      </c>
      <c r="AG68" s="578" t="str">
        <f>IF(Ofwat_PC_Interventions!AG68&lt;&gt;"",Ofwat_PC_Interventions!AG68,IF(Company_PC_inputs!AG68&lt;&gt;"",Company_PC_inputs!AG68,""))</f>
        <v/>
      </c>
      <c r="AH68" s="578" t="str">
        <f>IF(Ofwat_PC_Interventions!AH68&lt;&gt;"",Ofwat_PC_Interventions!AH68,IF(Company_PC_inputs!AH68&lt;&gt;"",Company_PC_inputs!AH68,""))</f>
        <v/>
      </c>
      <c r="AI68" s="578" t="str">
        <f>IF(Ofwat_PC_Interventions!AI68&lt;&gt;"",Ofwat_PC_Interventions!AI68,IF(Company_PC_inputs!AI68&lt;&gt;"",Company_PC_inputs!AI68,""))</f>
        <v/>
      </c>
      <c r="AJ68" s="578" t="str">
        <f>IF(Ofwat_PC_Interventions!AJ68&lt;&gt;"",Ofwat_PC_Interventions!AJ68,IF(Company_PC_inputs!AJ68&lt;&gt;"",Company_PC_inputs!AJ68,""))</f>
        <v/>
      </c>
      <c r="AK68" s="579" t="str">
        <f>IF(Ofwat_PC_Interventions!AK68&lt;&gt;"",Ofwat_PC_Interventions!AK68,IF(Company_PC_inputs!AK68&lt;&gt;"",Company_PC_inputs!AK68,""))</f>
        <v/>
      </c>
      <c r="AL68" s="578" t="str">
        <f>IF(Ofwat_PC_Interventions!AL68&lt;&gt;"",Ofwat_PC_Interventions!AL68,IF(Company_PC_inputs!AL68&lt;&gt;"",Company_PC_inputs!AL68,""))</f>
        <v/>
      </c>
      <c r="AM68" s="578" t="str">
        <f>IF(Ofwat_PC_Interventions!AM68&lt;&gt;"",Ofwat_PC_Interventions!AM68,IF(Company_PC_inputs!AM68&lt;&gt;"",Company_PC_inputs!AM68,""))</f>
        <v/>
      </c>
      <c r="AN68" s="578" t="str">
        <f>IF(Ofwat_PC_Interventions!AN68&lt;&gt;"",Ofwat_PC_Interventions!AN68,IF(Company_PC_inputs!AN68&lt;&gt;"",Company_PC_inputs!AN68,""))</f>
        <v/>
      </c>
      <c r="AO68" s="579" t="str">
        <f>IF(Ofwat_PC_Interventions!AO68&lt;&gt;"",Ofwat_PC_Interventions!AO68,IF(Company_PC_inputs!AO68&lt;&gt;"",Company_PC_inputs!AO68,""))</f>
        <v/>
      </c>
      <c r="AP68" s="578">
        <f>IF(Ofwat_PC_Interventions!AP68&lt;&gt;"",Ofwat_PC_Interventions!AP68,IF(Company_PC_inputs!AP68&lt;&gt;"",Company_PC_inputs!AP68,""))</f>
        <v>0</v>
      </c>
      <c r="AQ68" s="578">
        <f>IF(Ofwat_PC_Interventions!AQ68&lt;&gt;"",Ofwat_PC_Interventions!AQ68,IF(Company_PC_inputs!AQ68&lt;&gt;"",Company_PC_inputs!AQ68,""))</f>
        <v>0</v>
      </c>
      <c r="AR68" s="578">
        <f>IF(Ofwat_PC_Interventions!AR68&lt;&gt;"",Ofwat_PC_Interventions!AR68,IF(Company_PC_inputs!AR68&lt;&gt;"",Company_PC_inputs!AR68,""))</f>
        <v>0</v>
      </c>
      <c r="AS68" s="578">
        <f>IF(Ofwat_PC_Interventions!AS68&lt;&gt;"",Ofwat_PC_Interventions!AS68,IF(Company_PC_inputs!AS68&lt;&gt;"",Company_PC_inputs!AS68,""))</f>
        <v>0</v>
      </c>
      <c r="AT68" s="578">
        <f>IF(Ofwat_PC_Interventions!AT68&lt;&gt;"",Ofwat_PC_Interventions!AT68,IF(Company_PC_inputs!AT68&lt;&gt;"",Company_PC_inputs!AT68,""))</f>
        <v>0</v>
      </c>
      <c r="AU68" s="578">
        <f>IF(Ofwat_PC_Interventions!AU68&lt;&gt;"",Ofwat_PC_Interventions!AU68,IF(Company_PC_inputs!AU68&lt;&gt;"",Company_PC_inputs!AU68,""))</f>
        <v>0</v>
      </c>
      <c r="AV68" s="578">
        <f>IF(Ofwat_PC_Interventions!AV68&lt;&gt;"",Ofwat_PC_Interventions!AV68,IF(Company_PC_inputs!AV68&lt;&gt;"",Company_PC_inputs!AV68,""))</f>
        <v>0</v>
      </c>
      <c r="AW68" s="578">
        <f>IF(Ofwat_PC_Interventions!AW68&lt;&gt;"",Ofwat_PC_Interventions!AW68,IF(Company_PC_inputs!AW68&lt;&gt;"",Company_PC_inputs!AW68,""))</f>
        <v>0</v>
      </c>
      <c r="AX68" s="578">
        <f>IF(Ofwat_PC_Interventions!AX68&lt;&gt;"",Ofwat_PC_Interventions!AX68,IF(Company_PC_inputs!AX68&lt;&gt;"",Company_PC_inputs!AX68,""))</f>
        <v>0</v>
      </c>
      <c r="AY68" s="578">
        <f>IF(Ofwat_PC_Interventions!AY68&lt;&gt;"",Ofwat_PC_Interventions!AY68,IF(Company_PC_inputs!AY68&lt;&gt;"",Company_PC_inputs!AY68,""))</f>
        <v>0</v>
      </c>
      <c r="AZ68" s="578" t="str">
        <f>IF(Ofwat_PC_Interventions!AZ68&lt;&gt;"",Ofwat_PC_Interventions!AZ68,IF(Company_PC_inputs!AZ68&lt;&gt;"",Company_PC_inputs!AZ68,""))</f>
        <v/>
      </c>
      <c r="BA68" s="578" t="str">
        <f>IF(Ofwat_PC_Interventions!BA68&lt;&gt;"",Ofwat_PC_Interventions!BA68,IF(Company_PC_inputs!BA68&lt;&gt;"",Company_PC_inputs!BA68,""))</f>
        <v/>
      </c>
      <c r="BB68" s="578" t="str">
        <f>IF(Ofwat_PC_Interventions!BB68&lt;&gt;"",Ofwat_PC_Interventions!BB68,IF(Company_PC_inputs!BB68&lt;&gt;"",Company_PC_inputs!BB68,""))</f>
        <v/>
      </c>
      <c r="BC68" s="579" t="str">
        <f>IF(Ofwat_PC_Interventions!BC68&lt;&gt;"",Ofwat_PC_Interventions!BC68,IF(Company_PC_inputs!BC68&lt;&gt;"",Company_PC_inputs!BC68,""))</f>
        <v/>
      </c>
      <c r="BD68" s="578" t="str">
        <f>IF(Ofwat_PC_Interventions!BD68&lt;&gt;"",Ofwat_PC_Interventions!BD68,IF(Company_PC_inputs!BD68&lt;&gt;"",Company_PC_inputs!BD68,""))</f>
        <v/>
      </c>
      <c r="BE68" s="578" t="str">
        <f>IF(Ofwat_PC_Interventions!BE68&lt;&gt;"",Ofwat_PC_Interventions!BE68,IF(Company_PC_inputs!BE68&lt;&gt;"",Company_PC_inputs!BE68,""))</f>
        <v/>
      </c>
      <c r="BF68" s="578" t="str">
        <f>IF(Ofwat_PC_Interventions!BF68&lt;&gt;"",Ofwat_PC_Interventions!BF68,IF(Company_PC_inputs!BF68&lt;&gt;"",Company_PC_inputs!BF68,""))</f>
        <v/>
      </c>
      <c r="BG68" s="578" t="str">
        <f>IF(Ofwat_PC_Interventions!BG68&lt;&gt;"",Ofwat_PC_Interventions!BG68,IF(Company_PC_inputs!BG68&lt;&gt;"",Company_PC_inputs!BG68,""))</f>
        <v/>
      </c>
      <c r="BH68" s="578" t="str">
        <f>IF(Ofwat_PC_Interventions!BH68&lt;&gt;"",Ofwat_PC_Interventions!BH68,IF(Company_PC_inputs!BH68&lt;&gt;"",Company_PC_inputs!BH68,""))</f>
        <v/>
      </c>
      <c r="BI68" s="578" t="str">
        <f>IF(Ofwat_PC_Interventions!BI68&lt;&gt;"",Ofwat_PC_Interventions!BI68,IF(Company_PC_inputs!BI68&lt;&gt;"",Company_PC_inputs!BI68,""))</f>
        <v/>
      </c>
      <c r="BJ68" s="578" t="str">
        <f>IF(Ofwat_PC_Interventions!BJ68&lt;&gt;"",Ofwat_PC_Interventions!BJ68,IF(Company_PC_inputs!BJ68&lt;&gt;"",Company_PC_inputs!BJ68,""))</f>
        <v/>
      </c>
      <c r="BK68" s="578" t="str">
        <f>IF(Ofwat_PC_Interventions!BK68&lt;&gt;"",Ofwat_PC_Interventions!BK68,IF(Company_PC_inputs!BK68&lt;&gt;"",Company_PC_inputs!BK68,""))</f>
        <v/>
      </c>
      <c r="BL68" s="578" t="str">
        <f>IF(Ofwat_PC_Interventions!BL68&lt;&gt;"",Ofwat_PC_Interventions!BL68,IF(Company_PC_inputs!BL68&lt;&gt;"",Company_PC_inputs!BL68,""))</f>
        <v/>
      </c>
      <c r="BM68" s="578" t="str">
        <f>IF(Ofwat_PC_Interventions!BM68&lt;&gt;"",Ofwat_PC_Interventions!BM68,IF(Company_PC_inputs!BM68&lt;&gt;"",Company_PC_inputs!BM68,""))</f>
        <v/>
      </c>
      <c r="BN68" s="578" t="str">
        <f>IF(Ofwat_PC_Interventions!BN68&lt;&gt;"",Ofwat_PC_Interventions!BN68,IF(Company_PC_inputs!BN68&lt;&gt;"",Company_PC_inputs!BN68,""))</f>
        <v/>
      </c>
      <c r="BO68" s="578" t="str">
        <f>IF(Ofwat_PC_Interventions!BO68&lt;&gt;"",Ofwat_PC_Interventions!BO68,IF(Company_PC_inputs!BO68&lt;&gt;"",Company_PC_inputs!BO68,""))</f>
        <v/>
      </c>
      <c r="BP68" s="578" t="str">
        <f>IF(Ofwat_PC_Interventions!BP68&lt;&gt;"",Ofwat_PC_Interventions!BP68,IF(Company_PC_inputs!BP68&lt;&gt;"",Company_PC_inputs!BP68,""))</f>
        <v/>
      </c>
      <c r="BQ68" s="578" t="str">
        <f>IF(Ofwat_PC_Interventions!BQ68&lt;&gt;"",Ofwat_PC_Interventions!BQ68,IF(Company_PC_inputs!BQ68&lt;&gt;"",Company_PC_inputs!BQ68,""))</f>
        <v/>
      </c>
      <c r="BR68" s="578" t="str">
        <f>IF(Ofwat_PC_Interventions!BR68&lt;&gt;"",Ofwat_PC_Interventions!BR68,IF(Company_PC_inputs!BR68&lt;&gt;"",Company_PC_inputs!BR68,""))</f>
        <v/>
      </c>
      <c r="BS68" s="578" t="str">
        <f>IF(Ofwat_PC_Interventions!BS68&lt;&gt;"",Ofwat_PC_Interventions!BS68,IF(Company_PC_inputs!BS68&lt;&gt;"",Company_PC_inputs!BS68,""))</f>
        <v/>
      </c>
    </row>
    <row r="69" spans="1:71" s="202" customFormat="1" ht="13.15">
      <c r="A69" s="453"/>
      <c r="B69" s="453"/>
      <c r="C69" s="453"/>
      <c r="D69" s="453"/>
      <c r="E69" s="453" t="s">
        <v>1192</v>
      </c>
      <c r="F69" s="453"/>
      <c r="G69" s="453" t="s">
        <v>1146</v>
      </c>
      <c r="H69" s="453"/>
      <c r="I69" s="453"/>
      <c r="J69" s="578">
        <f>IF(Ofwat_PC_Interventions!J69&lt;&gt;"",Ofwat_PC_Interventions!J69,IF(Company_PC_inputs!J69&lt;&gt;"",Company_PC_inputs!J69,""))</f>
        <v>1</v>
      </c>
      <c r="K69" s="578">
        <f>IF(Ofwat_PC_Interventions!K69&lt;&gt;"",Ofwat_PC_Interventions!K69,IF(Company_PC_inputs!K69&lt;&gt;"",Company_PC_inputs!K69,""))</f>
        <v>1</v>
      </c>
      <c r="L69" s="578">
        <f>IF(Ofwat_PC_Interventions!L69&lt;&gt;"",Ofwat_PC_Interventions!L69,IF(Company_PC_inputs!L69&lt;&gt;"",Company_PC_inputs!L69,""))</f>
        <v>1</v>
      </c>
      <c r="M69" s="578" t="str">
        <f>IF(Ofwat_PC_Interventions!M69&lt;&gt;"",Ofwat_PC_Interventions!M69,IF(Company_PC_inputs!M69&lt;&gt;"",Company_PC_inputs!M69,""))</f>
        <v/>
      </c>
      <c r="N69" s="578" t="str">
        <f>IF(Ofwat_PC_Interventions!N69&lt;&gt;"",Ofwat_PC_Interventions!N69,IF(Company_PC_inputs!N69&lt;&gt;"",Company_PC_inputs!N69,""))</f>
        <v/>
      </c>
      <c r="O69" s="578" t="str">
        <f>IF(Ofwat_PC_Interventions!O69&lt;&gt;"",Ofwat_PC_Interventions!O69,IF(Company_PC_inputs!O69&lt;&gt;"",Company_PC_inputs!O69,""))</f>
        <v/>
      </c>
      <c r="P69" s="578">
        <f>IF(Ofwat_PC_Interventions!P69&lt;&gt;"",Ofwat_PC_Interventions!P69,IF(Company_PC_inputs!P69&lt;&gt;"",Company_PC_inputs!P69,""))</f>
        <v>1</v>
      </c>
      <c r="Q69" s="579">
        <f>IF(Ofwat_PC_Interventions!Q69&lt;&gt;"",Ofwat_PC_Interventions!Q69,IF(Company_PC_inputs!Q69&lt;&gt;"",Company_PC_inputs!Q69,""))</f>
        <v>1</v>
      </c>
      <c r="R69" s="578">
        <f>IF(Ofwat_PC_Interventions!R69&lt;&gt;"",Ofwat_PC_Interventions!R69,IF(Company_PC_inputs!R69&lt;&gt;"",Company_PC_inputs!R69,""))</f>
        <v>1</v>
      </c>
      <c r="S69" s="578">
        <f>IF(Ofwat_PC_Interventions!S69&lt;&gt;"",Ofwat_PC_Interventions!S69,IF(Company_PC_inputs!S69&lt;&gt;"",Company_PC_inputs!S69,""))</f>
        <v>1</v>
      </c>
      <c r="T69" s="578">
        <f>IF(Ofwat_PC_Interventions!T69&lt;&gt;"",Ofwat_PC_Interventions!T69,IF(Company_PC_inputs!T69&lt;&gt;"",Company_PC_inputs!T69,""))</f>
        <v>0</v>
      </c>
      <c r="U69" s="578">
        <f>IF(Ofwat_PC_Interventions!U69&lt;&gt;"",Ofwat_PC_Interventions!U69,IF(Company_PC_inputs!U69&lt;&gt;"",Company_PC_inputs!U69,""))</f>
        <v>1</v>
      </c>
      <c r="V69" s="578">
        <f>IF(Ofwat_PC_Interventions!V69&lt;&gt;"",Ofwat_PC_Interventions!V69,IF(Company_PC_inputs!V69&lt;&gt;"",Company_PC_inputs!V69,""))</f>
        <v>0</v>
      </c>
      <c r="W69" s="578">
        <f>IF(Ofwat_PC_Interventions!W69&lt;&gt;"",Ofwat_PC_Interventions!W69,IF(Company_PC_inputs!W69&lt;&gt;"",Company_PC_inputs!W69,""))</f>
        <v>1</v>
      </c>
      <c r="X69" s="578">
        <f>IF(Ofwat_PC_Interventions!X69&lt;&gt;"",Ofwat_PC_Interventions!X69,IF(Company_PC_inputs!X69&lt;&gt;"",Company_PC_inputs!X69,""))</f>
        <v>1</v>
      </c>
      <c r="Y69" s="578">
        <f>IF(Ofwat_PC_Interventions!Y69&lt;&gt;"",Ofwat_PC_Interventions!Y69,IF(Company_PC_inputs!Y69&lt;&gt;"",Company_PC_inputs!Y69,""))</f>
        <v>1</v>
      </c>
      <c r="Z69" s="578">
        <f>IF(Ofwat_PC_Interventions!Z69&lt;&gt;"",Ofwat_PC_Interventions!Z69,IF(Company_PC_inputs!Z69&lt;&gt;"",Company_PC_inputs!Z69,""))</f>
        <v>0</v>
      </c>
      <c r="AA69" s="578" t="str">
        <f>IF(Ofwat_PC_Interventions!AA69&lt;&gt;"",Ofwat_PC_Interventions!AA69,IF(Company_PC_inputs!AA69&lt;&gt;"",Company_PC_inputs!AA69,""))</f>
        <v/>
      </c>
      <c r="AB69" s="578" t="str">
        <f>IF(Ofwat_PC_Interventions!AB69&lt;&gt;"",Ofwat_PC_Interventions!AB69,IF(Company_PC_inputs!AB69&lt;&gt;"",Company_PC_inputs!AB69,""))</f>
        <v/>
      </c>
      <c r="AC69" s="578" t="str">
        <f>IF(Ofwat_PC_Interventions!AC69&lt;&gt;"",Ofwat_PC_Interventions!AC69,IF(Company_PC_inputs!AC69&lt;&gt;"",Company_PC_inputs!AC69,""))</f>
        <v/>
      </c>
      <c r="AD69" s="578" t="str">
        <f>IF(Ofwat_PC_Interventions!AD69&lt;&gt;"",Ofwat_PC_Interventions!AD69,IF(Company_PC_inputs!AD69&lt;&gt;"",Company_PC_inputs!AD69,""))</f>
        <v/>
      </c>
      <c r="AE69" s="578" t="str">
        <f>IF(Ofwat_PC_Interventions!AE69&lt;&gt;"",Ofwat_PC_Interventions!AE69,IF(Company_PC_inputs!AE69&lt;&gt;"",Company_PC_inputs!AE69,""))</f>
        <v/>
      </c>
      <c r="AF69" s="578" t="str">
        <f>IF(Ofwat_PC_Interventions!AF69&lt;&gt;"",Ofwat_PC_Interventions!AF69,IF(Company_PC_inputs!AF69&lt;&gt;"",Company_PC_inputs!AF69,""))</f>
        <v/>
      </c>
      <c r="AG69" s="578" t="str">
        <f>IF(Ofwat_PC_Interventions!AG69&lt;&gt;"",Ofwat_PC_Interventions!AG69,IF(Company_PC_inputs!AG69&lt;&gt;"",Company_PC_inputs!AG69,""))</f>
        <v/>
      </c>
      <c r="AH69" s="578" t="str">
        <f>IF(Ofwat_PC_Interventions!AH69&lt;&gt;"",Ofwat_PC_Interventions!AH69,IF(Company_PC_inputs!AH69&lt;&gt;"",Company_PC_inputs!AH69,""))</f>
        <v/>
      </c>
      <c r="AI69" s="578" t="str">
        <f>IF(Ofwat_PC_Interventions!AI69&lt;&gt;"",Ofwat_PC_Interventions!AI69,IF(Company_PC_inputs!AI69&lt;&gt;"",Company_PC_inputs!AI69,""))</f>
        <v/>
      </c>
      <c r="AJ69" s="578" t="str">
        <f>IF(Ofwat_PC_Interventions!AJ69&lt;&gt;"",Ofwat_PC_Interventions!AJ69,IF(Company_PC_inputs!AJ69&lt;&gt;"",Company_PC_inputs!AJ69,""))</f>
        <v/>
      </c>
      <c r="AK69" s="579" t="str">
        <f>IF(Ofwat_PC_Interventions!AK69&lt;&gt;"",Ofwat_PC_Interventions!AK69,IF(Company_PC_inputs!AK69&lt;&gt;"",Company_PC_inputs!AK69,""))</f>
        <v/>
      </c>
      <c r="AL69" s="578" t="str">
        <f>IF(Ofwat_PC_Interventions!AL69&lt;&gt;"",Ofwat_PC_Interventions!AL69,IF(Company_PC_inputs!AL69&lt;&gt;"",Company_PC_inputs!AL69,""))</f>
        <v/>
      </c>
      <c r="AM69" s="578" t="str">
        <f>IF(Ofwat_PC_Interventions!AM69&lt;&gt;"",Ofwat_PC_Interventions!AM69,IF(Company_PC_inputs!AM69&lt;&gt;"",Company_PC_inputs!AM69,""))</f>
        <v/>
      </c>
      <c r="AN69" s="578" t="str">
        <f>IF(Ofwat_PC_Interventions!AN69&lt;&gt;"",Ofwat_PC_Interventions!AN69,IF(Company_PC_inputs!AN69&lt;&gt;"",Company_PC_inputs!AN69,""))</f>
        <v/>
      </c>
      <c r="AO69" s="579" t="str">
        <f>IF(Ofwat_PC_Interventions!AO69&lt;&gt;"",Ofwat_PC_Interventions!AO69,IF(Company_PC_inputs!AO69&lt;&gt;"",Company_PC_inputs!AO69,""))</f>
        <v/>
      </c>
      <c r="AP69" s="578">
        <f>IF(Ofwat_PC_Interventions!AP69&lt;&gt;"",Ofwat_PC_Interventions!AP69,IF(Company_PC_inputs!AP69&lt;&gt;"",Company_PC_inputs!AP69,""))</f>
        <v>0</v>
      </c>
      <c r="AQ69" s="578">
        <f>IF(Ofwat_PC_Interventions!AQ69&lt;&gt;"",Ofwat_PC_Interventions!AQ69,IF(Company_PC_inputs!AQ69&lt;&gt;"",Company_PC_inputs!AQ69,""))</f>
        <v>0.03</v>
      </c>
      <c r="AR69" s="578">
        <f>IF(Ofwat_PC_Interventions!AR69&lt;&gt;"",Ofwat_PC_Interventions!AR69,IF(Company_PC_inputs!AR69&lt;&gt;"",Company_PC_inputs!AR69,""))</f>
        <v>0</v>
      </c>
      <c r="AS69" s="578">
        <f>IF(Ofwat_PC_Interventions!AS69&lt;&gt;"",Ofwat_PC_Interventions!AS69,IF(Company_PC_inputs!AS69&lt;&gt;"",Company_PC_inputs!AS69,""))</f>
        <v>0</v>
      </c>
      <c r="AT69" s="578">
        <f>IF(Ofwat_PC_Interventions!AT69&lt;&gt;"",Ofwat_PC_Interventions!AT69,IF(Company_PC_inputs!AT69&lt;&gt;"",Company_PC_inputs!AT69,""))</f>
        <v>0</v>
      </c>
      <c r="AU69" s="578">
        <f>IF(Ofwat_PC_Interventions!AU69&lt;&gt;"",Ofwat_PC_Interventions!AU69,IF(Company_PC_inputs!AU69&lt;&gt;"",Company_PC_inputs!AU69,""))</f>
        <v>0</v>
      </c>
      <c r="AV69" s="578">
        <f>IF(Ofwat_PC_Interventions!AV69&lt;&gt;"",Ofwat_PC_Interventions!AV69,IF(Company_PC_inputs!AV69&lt;&gt;"",Company_PC_inputs!AV69,""))</f>
        <v>0</v>
      </c>
      <c r="AW69" s="578">
        <f>IF(Ofwat_PC_Interventions!AW69&lt;&gt;"",Ofwat_PC_Interventions!AW69,IF(Company_PC_inputs!AW69&lt;&gt;"",Company_PC_inputs!AW69,""))</f>
        <v>0</v>
      </c>
      <c r="AX69" s="578">
        <f>IF(Ofwat_PC_Interventions!AX69&lt;&gt;"",Ofwat_PC_Interventions!AX69,IF(Company_PC_inputs!AX69&lt;&gt;"",Company_PC_inputs!AX69,""))</f>
        <v>0</v>
      </c>
      <c r="AY69" s="578">
        <f>IF(Ofwat_PC_Interventions!AY69&lt;&gt;"",Ofwat_PC_Interventions!AY69,IF(Company_PC_inputs!AY69&lt;&gt;"",Company_PC_inputs!AY69,""))</f>
        <v>0</v>
      </c>
      <c r="AZ69" s="578" t="str">
        <f>IF(Ofwat_PC_Interventions!AZ69&lt;&gt;"",Ofwat_PC_Interventions!AZ69,IF(Company_PC_inputs!AZ69&lt;&gt;"",Company_PC_inputs!AZ69,""))</f>
        <v/>
      </c>
      <c r="BA69" s="578" t="str">
        <f>IF(Ofwat_PC_Interventions!BA69&lt;&gt;"",Ofwat_PC_Interventions!BA69,IF(Company_PC_inputs!BA69&lt;&gt;"",Company_PC_inputs!BA69,""))</f>
        <v/>
      </c>
      <c r="BB69" s="578" t="str">
        <f>IF(Ofwat_PC_Interventions!BB69&lt;&gt;"",Ofwat_PC_Interventions!BB69,IF(Company_PC_inputs!BB69&lt;&gt;"",Company_PC_inputs!BB69,""))</f>
        <v/>
      </c>
      <c r="BC69" s="579" t="str">
        <f>IF(Ofwat_PC_Interventions!BC69&lt;&gt;"",Ofwat_PC_Interventions!BC69,IF(Company_PC_inputs!BC69&lt;&gt;"",Company_PC_inputs!BC69,""))</f>
        <v/>
      </c>
      <c r="BD69" s="578" t="str">
        <f>IF(Ofwat_PC_Interventions!BD69&lt;&gt;"",Ofwat_PC_Interventions!BD69,IF(Company_PC_inputs!BD69&lt;&gt;"",Company_PC_inputs!BD69,""))</f>
        <v/>
      </c>
      <c r="BE69" s="578" t="str">
        <f>IF(Ofwat_PC_Interventions!BE69&lt;&gt;"",Ofwat_PC_Interventions!BE69,IF(Company_PC_inputs!BE69&lt;&gt;"",Company_PC_inputs!BE69,""))</f>
        <v/>
      </c>
      <c r="BF69" s="578" t="str">
        <f>IF(Ofwat_PC_Interventions!BF69&lt;&gt;"",Ofwat_PC_Interventions!BF69,IF(Company_PC_inputs!BF69&lt;&gt;"",Company_PC_inputs!BF69,""))</f>
        <v/>
      </c>
      <c r="BG69" s="578" t="str">
        <f>IF(Ofwat_PC_Interventions!BG69&lt;&gt;"",Ofwat_PC_Interventions!BG69,IF(Company_PC_inputs!BG69&lt;&gt;"",Company_PC_inputs!BG69,""))</f>
        <v/>
      </c>
      <c r="BH69" s="578" t="str">
        <f>IF(Ofwat_PC_Interventions!BH69&lt;&gt;"",Ofwat_PC_Interventions!BH69,IF(Company_PC_inputs!BH69&lt;&gt;"",Company_PC_inputs!BH69,""))</f>
        <v/>
      </c>
      <c r="BI69" s="578" t="str">
        <f>IF(Ofwat_PC_Interventions!BI69&lt;&gt;"",Ofwat_PC_Interventions!BI69,IF(Company_PC_inputs!BI69&lt;&gt;"",Company_PC_inputs!BI69,""))</f>
        <v/>
      </c>
      <c r="BJ69" s="578" t="str">
        <f>IF(Ofwat_PC_Interventions!BJ69&lt;&gt;"",Ofwat_PC_Interventions!BJ69,IF(Company_PC_inputs!BJ69&lt;&gt;"",Company_PC_inputs!BJ69,""))</f>
        <v/>
      </c>
      <c r="BK69" s="578" t="str">
        <f>IF(Ofwat_PC_Interventions!BK69&lt;&gt;"",Ofwat_PC_Interventions!BK69,IF(Company_PC_inputs!BK69&lt;&gt;"",Company_PC_inputs!BK69,""))</f>
        <v/>
      </c>
      <c r="BL69" s="578" t="str">
        <f>IF(Ofwat_PC_Interventions!BL69&lt;&gt;"",Ofwat_PC_Interventions!BL69,IF(Company_PC_inputs!BL69&lt;&gt;"",Company_PC_inputs!BL69,""))</f>
        <v/>
      </c>
      <c r="BM69" s="578" t="str">
        <f>IF(Ofwat_PC_Interventions!BM69&lt;&gt;"",Ofwat_PC_Interventions!BM69,IF(Company_PC_inputs!BM69&lt;&gt;"",Company_PC_inputs!BM69,""))</f>
        <v/>
      </c>
      <c r="BN69" s="578" t="str">
        <f>IF(Ofwat_PC_Interventions!BN69&lt;&gt;"",Ofwat_PC_Interventions!BN69,IF(Company_PC_inputs!BN69&lt;&gt;"",Company_PC_inputs!BN69,""))</f>
        <v/>
      </c>
      <c r="BO69" s="578" t="str">
        <f>IF(Ofwat_PC_Interventions!BO69&lt;&gt;"",Ofwat_PC_Interventions!BO69,IF(Company_PC_inputs!BO69&lt;&gt;"",Company_PC_inputs!BO69,""))</f>
        <v/>
      </c>
      <c r="BP69" s="578" t="str">
        <f>IF(Ofwat_PC_Interventions!BP69&lt;&gt;"",Ofwat_PC_Interventions!BP69,IF(Company_PC_inputs!BP69&lt;&gt;"",Company_PC_inputs!BP69,""))</f>
        <v/>
      </c>
      <c r="BQ69" s="578" t="str">
        <f>IF(Ofwat_PC_Interventions!BQ69&lt;&gt;"",Ofwat_PC_Interventions!BQ69,IF(Company_PC_inputs!BQ69&lt;&gt;"",Company_PC_inputs!BQ69,""))</f>
        <v/>
      </c>
      <c r="BR69" s="578" t="str">
        <f>IF(Ofwat_PC_Interventions!BR69&lt;&gt;"",Ofwat_PC_Interventions!BR69,IF(Company_PC_inputs!BR69&lt;&gt;"",Company_PC_inputs!BR69,""))</f>
        <v/>
      </c>
      <c r="BS69" s="578" t="str">
        <f>IF(Ofwat_PC_Interventions!BS69&lt;&gt;"",Ofwat_PC_Interventions!BS69,IF(Company_PC_inputs!BS69&lt;&gt;"",Company_PC_inputs!BS69,""))</f>
        <v/>
      </c>
    </row>
    <row r="70" spans="1:71" s="202" customFormat="1" ht="13.15">
      <c r="A70" s="453"/>
      <c r="B70" s="453"/>
      <c r="C70" s="453"/>
      <c r="D70" s="453"/>
      <c r="E70" s="453" t="s">
        <v>1193</v>
      </c>
      <c r="F70" s="453"/>
      <c r="G70" s="453" t="s">
        <v>1146</v>
      </c>
      <c r="H70" s="453"/>
      <c r="I70" s="453"/>
      <c r="J70" s="578" t="str">
        <f>IF(Ofwat_PC_Interventions!J70&lt;&gt;"",Ofwat_PC_Interventions!J70,IF(Company_PC_inputs!J70&lt;&gt;"",Company_PC_inputs!J70,""))</f>
        <v/>
      </c>
      <c r="K70" s="578" t="str">
        <f>IF(Ofwat_PC_Interventions!K70&lt;&gt;"",Ofwat_PC_Interventions!K70,IF(Company_PC_inputs!K70&lt;&gt;"",Company_PC_inputs!K70,""))</f>
        <v/>
      </c>
      <c r="L70" s="578" t="str">
        <f>IF(Ofwat_PC_Interventions!L70&lt;&gt;"",Ofwat_PC_Interventions!L70,IF(Company_PC_inputs!L70&lt;&gt;"",Company_PC_inputs!L70,""))</f>
        <v/>
      </c>
      <c r="M70" s="578" t="str">
        <f>IF(Ofwat_PC_Interventions!M70&lt;&gt;"",Ofwat_PC_Interventions!M70,IF(Company_PC_inputs!M70&lt;&gt;"",Company_PC_inputs!M70,""))</f>
        <v/>
      </c>
      <c r="N70" s="578" t="str">
        <f>IF(Ofwat_PC_Interventions!N70&lt;&gt;"",Ofwat_PC_Interventions!N70,IF(Company_PC_inputs!N70&lt;&gt;"",Company_PC_inputs!N70,""))</f>
        <v/>
      </c>
      <c r="O70" s="578" t="str">
        <f>IF(Ofwat_PC_Interventions!O70&lt;&gt;"",Ofwat_PC_Interventions!O70,IF(Company_PC_inputs!O70&lt;&gt;"",Company_PC_inputs!O70,""))</f>
        <v/>
      </c>
      <c r="P70" s="578" t="str">
        <f>IF(Ofwat_PC_Interventions!P70&lt;&gt;"",Ofwat_PC_Interventions!P70,IF(Company_PC_inputs!P70&lt;&gt;"",Company_PC_inputs!P70,""))</f>
        <v/>
      </c>
      <c r="Q70" s="579" t="str">
        <f>IF(Ofwat_PC_Interventions!Q70&lt;&gt;"",Ofwat_PC_Interventions!Q70,IF(Company_PC_inputs!Q70&lt;&gt;"",Company_PC_inputs!Q70,""))</f>
        <v/>
      </c>
      <c r="R70" s="578">
        <f>IF(Ofwat_PC_Interventions!R70&lt;&gt;"",Ofwat_PC_Interventions!R70,IF(Company_PC_inputs!R70&lt;&gt;"",Company_PC_inputs!R70,""))</f>
        <v>0</v>
      </c>
      <c r="S70" s="578">
        <f>IF(Ofwat_PC_Interventions!S70&lt;&gt;"",Ofwat_PC_Interventions!S70,IF(Company_PC_inputs!S70&lt;&gt;"",Company_PC_inputs!S70,""))</f>
        <v>0</v>
      </c>
      <c r="T70" s="578">
        <f>IF(Ofwat_PC_Interventions!T70&lt;&gt;"",Ofwat_PC_Interventions!T70,IF(Company_PC_inputs!T70&lt;&gt;"",Company_PC_inputs!T70,""))</f>
        <v>0</v>
      </c>
      <c r="U70" s="578">
        <f>IF(Ofwat_PC_Interventions!U70&lt;&gt;"",Ofwat_PC_Interventions!U70,IF(Company_PC_inputs!U70&lt;&gt;"",Company_PC_inputs!U70,""))</f>
        <v>0</v>
      </c>
      <c r="V70" s="578">
        <f>IF(Ofwat_PC_Interventions!V70&lt;&gt;"",Ofwat_PC_Interventions!V70,IF(Company_PC_inputs!V70&lt;&gt;"",Company_PC_inputs!V70,""))</f>
        <v>0</v>
      </c>
      <c r="W70" s="578">
        <f>IF(Ofwat_PC_Interventions!W70&lt;&gt;"",Ofwat_PC_Interventions!W70,IF(Company_PC_inputs!W70&lt;&gt;"",Company_PC_inputs!W70,""))</f>
        <v>0</v>
      </c>
      <c r="X70" s="578">
        <f>IF(Ofwat_PC_Interventions!X70&lt;&gt;"",Ofwat_PC_Interventions!X70,IF(Company_PC_inputs!X70&lt;&gt;"",Company_PC_inputs!X70,""))</f>
        <v>0</v>
      </c>
      <c r="Y70" s="578">
        <f>IF(Ofwat_PC_Interventions!Y70&lt;&gt;"",Ofwat_PC_Interventions!Y70,IF(Company_PC_inputs!Y70&lt;&gt;"",Company_PC_inputs!Y70,""))</f>
        <v>0</v>
      </c>
      <c r="Z70" s="578">
        <f>IF(Ofwat_PC_Interventions!Z70&lt;&gt;"",Ofwat_PC_Interventions!Z70,IF(Company_PC_inputs!Z70&lt;&gt;"",Company_PC_inputs!Z70,""))</f>
        <v>0</v>
      </c>
      <c r="AA70" s="578" t="str">
        <f>IF(Ofwat_PC_Interventions!AA70&lt;&gt;"",Ofwat_PC_Interventions!AA70,IF(Company_PC_inputs!AA70&lt;&gt;"",Company_PC_inputs!AA70,""))</f>
        <v/>
      </c>
      <c r="AB70" s="578" t="str">
        <f>IF(Ofwat_PC_Interventions!AB70&lt;&gt;"",Ofwat_PC_Interventions!AB70,IF(Company_PC_inputs!AB70&lt;&gt;"",Company_PC_inputs!AB70,""))</f>
        <v/>
      </c>
      <c r="AC70" s="578" t="str">
        <f>IF(Ofwat_PC_Interventions!AC70&lt;&gt;"",Ofwat_PC_Interventions!AC70,IF(Company_PC_inputs!AC70&lt;&gt;"",Company_PC_inputs!AC70,""))</f>
        <v/>
      </c>
      <c r="AD70" s="578" t="str">
        <f>IF(Ofwat_PC_Interventions!AD70&lt;&gt;"",Ofwat_PC_Interventions!AD70,IF(Company_PC_inputs!AD70&lt;&gt;"",Company_PC_inputs!AD70,""))</f>
        <v/>
      </c>
      <c r="AE70" s="578" t="str">
        <f>IF(Ofwat_PC_Interventions!AE70&lt;&gt;"",Ofwat_PC_Interventions!AE70,IF(Company_PC_inputs!AE70&lt;&gt;"",Company_PC_inputs!AE70,""))</f>
        <v/>
      </c>
      <c r="AF70" s="578" t="str">
        <f>IF(Ofwat_PC_Interventions!AF70&lt;&gt;"",Ofwat_PC_Interventions!AF70,IF(Company_PC_inputs!AF70&lt;&gt;"",Company_PC_inputs!AF70,""))</f>
        <v/>
      </c>
      <c r="AG70" s="578" t="str">
        <f>IF(Ofwat_PC_Interventions!AG70&lt;&gt;"",Ofwat_PC_Interventions!AG70,IF(Company_PC_inputs!AG70&lt;&gt;"",Company_PC_inputs!AG70,""))</f>
        <v/>
      </c>
      <c r="AH70" s="578" t="str">
        <f>IF(Ofwat_PC_Interventions!AH70&lt;&gt;"",Ofwat_PC_Interventions!AH70,IF(Company_PC_inputs!AH70&lt;&gt;"",Company_PC_inputs!AH70,""))</f>
        <v/>
      </c>
      <c r="AI70" s="578" t="str">
        <f>IF(Ofwat_PC_Interventions!AI70&lt;&gt;"",Ofwat_PC_Interventions!AI70,IF(Company_PC_inputs!AI70&lt;&gt;"",Company_PC_inputs!AI70,""))</f>
        <v/>
      </c>
      <c r="AJ70" s="578" t="str">
        <f>IF(Ofwat_PC_Interventions!AJ70&lt;&gt;"",Ofwat_PC_Interventions!AJ70,IF(Company_PC_inputs!AJ70&lt;&gt;"",Company_PC_inputs!AJ70,""))</f>
        <v/>
      </c>
      <c r="AK70" s="579" t="str">
        <f>IF(Ofwat_PC_Interventions!AK70&lt;&gt;"",Ofwat_PC_Interventions!AK70,IF(Company_PC_inputs!AK70&lt;&gt;"",Company_PC_inputs!AK70,""))</f>
        <v/>
      </c>
      <c r="AL70" s="578">
        <f>IF(Ofwat_PC_Interventions!AL70&lt;&gt;"",Ofwat_PC_Interventions!AL70,IF(Company_PC_inputs!AL70&lt;&gt;"",Company_PC_inputs!AL70,""))</f>
        <v>1</v>
      </c>
      <c r="AM70" s="578">
        <f>IF(Ofwat_PC_Interventions!AM70&lt;&gt;"",Ofwat_PC_Interventions!AM70,IF(Company_PC_inputs!AM70&lt;&gt;"",Company_PC_inputs!AM70,""))</f>
        <v>1</v>
      </c>
      <c r="AN70" s="578">
        <f>IF(Ofwat_PC_Interventions!AN70&lt;&gt;"",Ofwat_PC_Interventions!AN70,IF(Company_PC_inputs!AN70&lt;&gt;"",Company_PC_inputs!AN70,""))</f>
        <v>1</v>
      </c>
      <c r="AO70" s="579">
        <f>IF(Ofwat_PC_Interventions!AO70&lt;&gt;"",Ofwat_PC_Interventions!AO70,IF(Company_PC_inputs!AO70&lt;&gt;"",Company_PC_inputs!AO70,""))</f>
        <v>1</v>
      </c>
      <c r="AP70" s="578">
        <f>IF(Ofwat_PC_Interventions!AP70&lt;&gt;"",Ofwat_PC_Interventions!AP70,IF(Company_PC_inputs!AP70&lt;&gt;"",Company_PC_inputs!AP70,""))</f>
        <v>1</v>
      </c>
      <c r="AQ70" s="578">
        <f>IF(Ofwat_PC_Interventions!AQ70&lt;&gt;"",Ofwat_PC_Interventions!AQ70,IF(Company_PC_inputs!AQ70&lt;&gt;"",Company_PC_inputs!AQ70,""))</f>
        <v>0</v>
      </c>
      <c r="AR70" s="578">
        <f>IF(Ofwat_PC_Interventions!AR70&lt;&gt;"",Ofwat_PC_Interventions!AR70,IF(Company_PC_inputs!AR70&lt;&gt;"",Company_PC_inputs!AR70,""))</f>
        <v>0</v>
      </c>
      <c r="AS70" s="578">
        <f>IF(Ofwat_PC_Interventions!AS70&lt;&gt;"",Ofwat_PC_Interventions!AS70,IF(Company_PC_inputs!AS70&lt;&gt;"",Company_PC_inputs!AS70,""))</f>
        <v>1</v>
      </c>
      <c r="AT70" s="578">
        <f>IF(Ofwat_PC_Interventions!AT70&lt;&gt;"",Ofwat_PC_Interventions!AT70,IF(Company_PC_inputs!AT70&lt;&gt;"",Company_PC_inputs!AT70,""))</f>
        <v>1</v>
      </c>
      <c r="AU70" s="578">
        <f>IF(Ofwat_PC_Interventions!AU70&lt;&gt;"",Ofwat_PC_Interventions!AU70,IF(Company_PC_inputs!AU70&lt;&gt;"",Company_PC_inputs!AU70,""))</f>
        <v>1</v>
      </c>
      <c r="AV70" s="578">
        <f>IF(Ofwat_PC_Interventions!AV70&lt;&gt;"",Ofwat_PC_Interventions!AV70,IF(Company_PC_inputs!AV70&lt;&gt;"",Company_PC_inputs!AV70,""))</f>
        <v>1</v>
      </c>
      <c r="AW70" s="578">
        <f>IF(Ofwat_PC_Interventions!AW70&lt;&gt;"",Ofwat_PC_Interventions!AW70,IF(Company_PC_inputs!AW70&lt;&gt;"",Company_PC_inputs!AW70,""))</f>
        <v>1</v>
      </c>
      <c r="AX70" s="578">
        <f>IF(Ofwat_PC_Interventions!AX70&lt;&gt;"",Ofwat_PC_Interventions!AX70,IF(Company_PC_inputs!AX70&lt;&gt;"",Company_PC_inputs!AX70,""))</f>
        <v>1</v>
      </c>
      <c r="AY70" s="578">
        <f>IF(Ofwat_PC_Interventions!AY70&lt;&gt;"",Ofwat_PC_Interventions!AY70,IF(Company_PC_inputs!AY70&lt;&gt;"",Company_PC_inputs!AY70,""))</f>
        <v>1</v>
      </c>
      <c r="AZ70" s="578" t="str">
        <f>IF(Ofwat_PC_Interventions!AZ70&lt;&gt;"",Ofwat_PC_Interventions!AZ70,IF(Company_PC_inputs!AZ70&lt;&gt;"",Company_PC_inputs!AZ70,""))</f>
        <v/>
      </c>
      <c r="BA70" s="578" t="str">
        <f>IF(Ofwat_PC_Interventions!BA70&lt;&gt;"",Ofwat_PC_Interventions!BA70,IF(Company_PC_inputs!BA70&lt;&gt;"",Company_PC_inputs!BA70,""))</f>
        <v/>
      </c>
      <c r="BB70" s="578" t="str">
        <f>IF(Ofwat_PC_Interventions!BB70&lt;&gt;"",Ofwat_PC_Interventions!BB70,IF(Company_PC_inputs!BB70&lt;&gt;"",Company_PC_inputs!BB70,""))</f>
        <v/>
      </c>
      <c r="BC70" s="579" t="str">
        <f>IF(Ofwat_PC_Interventions!BC70&lt;&gt;"",Ofwat_PC_Interventions!BC70,IF(Company_PC_inputs!BC70&lt;&gt;"",Company_PC_inputs!BC70,""))</f>
        <v/>
      </c>
      <c r="BD70" s="578" t="str">
        <f>IF(Ofwat_PC_Interventions!BD70&lt;&gt;"",Ofwat_PC_Interventions!BD70,IF(Company_PC_inputs!BD70&lt;&gt;"",Company_PC_inputs!BD70,""))</f>
        <v/>
      </c>
      <c r="BE70" s="578" t="str">
        <f>IF(Ofwat_PC_Interventions!BE70&lt;&gt;"",Ofwat_PC_Interventions!BE70,IF(Company_PC_inputs!BE70&lt;&gt;"",Company_PC_inputs!BE70,""))</f>
        <v/>
      </c>
      <c r="BF70" s="578" t="str">
        <f>IF(Ofwat_PC_Interventions!BF70&lt;&gt;"",Ofwat_PC_Interventions!BF70,IF(Company_PC_inputs!BF70&lt;&gt;"",Company_PC_inputs!BF70,""))</f>
        <v/>
      </c>
      <c r="BG70" s="578" t="str">
        <f>IF(Ofwat_PC_Interventions!BG70&lt;&gt;"",Ofwat_PC_Interventions!BG70,IF(Company_PC_inputs!BG70&lt;&gt;"",Company_PC_inputs!BG70,""))</f>
        <v/>
      </c>
      <c r="BH70" s="578" t="str">
        <f>IF(Ofwat_PC_Interventions!BH70&lt;&gt;"",Ofwat_PC_Interventions!BH70,IF(Company_PC_inputs!BH70&lt;&gt;"",Company_PC_inputs!BH70,""))</f>
        <v/>
      </c>
      <c r="BI70" s="578" t="str">
        <f>IF(Ofwat_PC_Interventions!BI70&lt;&gt;"",Ofwat_PC_Interventions!BI70,IF(Company_PC_inputs!BI70&lt;&gt;"",Company_PC_inputs!BI70,""))</f>
        <v/>
      </c>
      <c r="BJ70" s="578" t="str">
        <f>IF(Ofwat_PC_Interventions!BJ70&lt;&gt;"",Ofwat_PC_Interventions!BJ70,IF(Company_PC_inputs!BJ70&lt;&gt;"",Company_PC_inputs!BJ70,""))</f>
        <v/>
      </c>
      <c r="BK70" s="578" t="str">
        <f>IF(Ofwat_PC_Interventions!BK70&lt;&gt;"",Ofwat_PC_Interventions!BK70,IF(Company_PC_inputs!BK70&lt;&gt;"",Company_PC_inputs!BK70,""))</f>
        <v/>
      </c>
      <c r="BL70" s="578" t="str">
        <f>IF(Ofwat_PC_Interventions!BL70&lt;&gt;"",Ofwat_PC_Interventions!BL70,IF(Company_PC_inputs!BL70&lt;&gt;"",Company_PC_inputs!BL70,""))</f>
        <v/>
      </c>
      <c r="BM70" s="578" t="str">
        <f>IF(Ofwat_PC_Interventions!BM70&lt;&gt;"",Ofwat_PC_Interventions!BM70,IF(Company_PC_inputs!BM70&lt;&gt;"",Company_PC_inputs!BM70,""))</f>
        <v/>
      </c>
      <c r="BN70" s="578" t="str">
        <f>IF(Ofwat_PC_Interventions!BN70&lt;&gt;"",Ofwat_PC_Interventions!BN70,IF(Company_PC_inputs!BN70&lt;&gt;"",Company_PC_inputs!BN70,""))</f>
        <v/>
      </c>
      <c r="BO70" s="578" t="str">
        <f>IF(Ofwat_PC_Interventions!BO70&lt;&gt;"",Ofwat_PC_Interventions!BO70,IF(Company_PC_inputs!BO70&lt;&gt;"",Company_PC_inputs!BO70,""))</f>
        <v/>
      </c>
      <c r="BP70" s="578" t="str">
        <f>IF(Ofwat_PC_Interventions!BP70&lt;&gt;"",Ofwat_PC_Interventions!BP70,IF(Company_PC_inputs!BP70&lt;&gt;"",Company_PC_inputs!BP70,""))</f>
        <v/>
      </c>
      <c r="BQ70" s="578" t="str">
        <f>IF(Ofwat_PC_Interventions!BQ70&lt;&gt;"",Ofwat_PC_Interventions!BQ70,IF(Company_PC_inputs!BQ70&lt;&gt;"",Company_PC_inputs!BQ70,""))</f>
        <v/>
      </c>
      <c r="BR70" s="578" t="str">
        <f>IF(Ofwat_PC_Interventions!BR70&lt;&gt;"",Ofwat_PC_Interventions!BR70,IF(Company_PC_inputs!BR70&lt;&gt;"",Company_PC_inputs!BR70,""))</f>
        <v/>
      </c>
      <c r="BS70" s="578" t="str">
        <f>IF(Ofwat_PC_Interventions!BS70&lt;&gt;"",Ofwat_PC_Interventions!BS70,IF(Company_PC_inputs!BS70&lt;&gt;"",Company_PC_inputs!BS70,""))</f>
        <v/>
      </c>
    </row>
    <row r="71" spans="1:71" s="202" customFormat="1" ht="13.15">
      <c r="A71" s="453"/>
      <c r="B71" s="453"/>
      <c r="C71" s="453"/>
      <c r="D71" s="453"/>
      <c r="E71" s="453" t="s">
        <v>1194</v>
      </c>
      <c r="F71" s="453"/>
      <c r="G71" s="453" t="s">
        <v>1146</v>
      </c>
      <c r="H71" s="453"/>
      <c r="I71" s="453"/>
      <c r="J71" s="578" t="str">
        <f>IF(Ofwat_PC_Interventions!J71&lt;&gt;"",Ofwat_PC_Interventions!J71,IF(Company_PC_inputs!J71&lt;&gt;"",Company_PC_inputs!J71,""))</f>
        <v/>
      </c>
      <c r="K71" s="578" t="str">
        <f>IF(Ofwat_PC_Interventions!K71&lt;&gt;"",Ofwat_PC_Interventions!K71,IF(Company_PC_inputs!K71&lt;&gt;"",Company_PC_inputs!K71,""))</f>
        <v/>
      </c>
      <c r="L71" s="578" t="str">
        <f>IF(Ofwat_PC_Interventions!L71&lt;&gt;"",Ofwat_PC_Interventions!L71,IF(Company_PC_inputs!L71&lt;&gt;"",Company_PC_inputs!L71,""))</f>
        <v/>
      </c>
      <c r="M71" s="578" t="str">
        <f>IF(Ofwat_PC_Interventions!M71&lt;&gt;"",Ofwat_PC_Interventions!M71,IF(Company_PC_inputs!M71&lt;&gt;"",Company_PC_inputs!M71,""))</f>
        <v/>
      </c>
      <c r="N71" s="578" t="str">
        <f>IF(Ofwat_PC_Interventions!N71&lt;&gt;"",Ofwat_PC_Interventions!N71,IF(Company_PC_inputs!N71&lt;&gt;"",Company_PC_inputs!N71,""))</f>
        <v/>
      </c>
      <c r="O71" s="578" t="str">
        <f>IF(Ofwat_PC_Interventions!O71&lt;&gt;"",Ofwat_PC_Interventions!O71,IF(Company_PC_inputs!O71&lt;&gt;"",Company_PC_inputs!O71,""))</f>
        <v/>
      </c>
      <c r="P71" s="578" t="str">
        <f>IF(Ofwat_PC_Interventions!P71&lt;&gt;"",Ofwat_PC_Interventions!P71,IF(Company_PC_inputs!P71&lt;&gt;"",Company_PC_inputs!P71,""))</f>
        <v/>
      </c>
      <c r="Q71" s="579" t="str">
        <f>IF(Ofwat_PC_Interventions!Q71&lt;&gt;"",Ofwat_PC_Interventions!Q71,IF(Company_PC_inputs!Q71&lt;&gt;"",Company_PC_inputs!Q71,""))</f>
        <v/>
      </c>
      <c r="R71" s="578">
        <f>IF(Ofwat_PC_Interventions!R71&lt;&gt;"",Ofwat_PC_Interventions!R71,IF(Company_PC_inputs!R71&lt;&gt;"",Company_PC_inputs!R71,""))</f>
        <v>0</v>
      </c>
      <c r="S71" s="578">
        <f>IF(Ofwat_PC_Interventions!S71&lt;&gt;"",Ofwat_PC_Interventions!S71,IF(Company_PC_inputs!S71&lt;&gt;"",Company_PC_inputs!S71,""))</f>
        <v>0</v>
      </c>
      <c r="T71" s="578">
        <f>IF(Ofwat_PC_Interventions!T71&lt;&gt;"",Ofwat_PC_Interventions!T71,IF(Company_PC_inputs!T71&lt;&gt;"",Company_PC_inputs!T71,""))</f>
        <v>0</v>
      </c>
      <c r="U71" s="578">
        <f>IF(Ofwat_PC_Interventions!U71&lt;&gt;"",Ofwat_PC_Interventions!U71,IF(Company_PC_inputs!U71&lt;&gt;"",Company_PC_inputs!U71,""))</f>
        <v>0</v>
      </c>
      <c r="V71" s="578">
        <f>IF(Ofwat_PC_Interventions!V71&lt;&gt;"",Ofwat_PC_Interventions!V71,IF(Company_PC_inputs!V71&lt;&gt;"",Company_PC_inputs!V71,""))</f>
        <v>0</v>
      </c>
      <c r="W71" s="578">
        <f>IF(Ofwat_PC_Interventions!W71&lt;&gt;"",Ofwat_PC_Interventions!W71,IF(Company_PC_inputs!W71&lt;&gt;"",Company_PC_inputs!W71,""))</f>
        <v>0</v>
      </c>
      <c r="X71" s="578">
        <f>IF(Ofwat_PC_Interventions!X71&lt;&gt;"",Ofwat_PC_Interventions!X71,IF(Company_PC_inputs!X71&lt;&gt;"",Company_PC_inputs!X71,""))</f>
        <v>0</v>
      </c>
      <c r="Y71" s="578">
        <f>IF(Ofwat_PC_Interventions!Y71&lt;&gt;"",Ofwat_PC_Interventions!Y71,IF(Company_PC_inputs!Y71&lt;&gt;"",Company_PC_inputs!Y71,""))</f>
        <v>0</v>
      </c>
      <c r="Z71" s="578">
        <f>IF(Ofwat_PC_Interventions!Z71&lt;&gt;"",Ofwat_PC_Interventions!Z71,IF(Company_PC_inputs!Z71&lt;&gt;"",Company_PC_inputs!Z71,""))</f>
        <v>0</v>
      </c>
      <c r="AA71" s="578" t="str">
        <f>IF(Ofwat_PC_Interventions!AA71&lt;&gt;"",Ofwat_PC_Interventions!AA71,IF(Company_PC_inputs!AA71&lt;&gt;"",Company_PC_inputs!AA71,""))</f>
        <v/>
      </c>
      <c r="AB71" s="578" t="str">
        <f>IF(Ofwat_PC_Interventions!AB71&lt;&gt;"",Ofwat_PC_Interventions!AB71,IF(Company_PC_inputs!AB71&lt;&gt;"",Company_PC_inputs!AB71,""))</f>
        <v/>
      </c>
      <c r="AC71" s="578" t="str">
        <f>IF(Ofwat_PC_Interventions!AC71&lt;&gt;"",Ofwat_PC_Interventions!AC71,IF(Company_PC_inputs!AC71&lt;&gt;"",Company_PC_inputs!AC71,""))</f>
        <v/>
      </c>
      <c r="AD71" s="578" t="str">
        <f>IF(Ofwat_PC_Interventions!AD71&lt;&gt;"",Ofwat_PC_Interventions!AD71,IF(Company_PC_inputs!AD71&lt;&gt;"",Company_PC_inputs!AD71,""))</f>
        <v/>
      </c>
      <c r="AE71" s="578" t="str">
        <f>IF(Ofwat_PC_Interventions!AE71&lt;&gt;"",Ofwat_PC_Interventions!AE71,IF(Company_PC_inputs!AE71&lt;&gt;"",Company_PC_inputs!AE71,""))</f>
        <v/>
      </c>
      <c r="AF71" s="578" t="str">
        <f>IF(Ofwat_PC_Interventions!AF71&lt;&gt;"",Ofwat_PC_Interventions!AF71,IF(Company_PC_inputs!AF71&lt;&gt;"",Company_PC_inputs!AF71,""))</f>
        <v/>
      </c>
      <c r="AG71" s="578" t="str">
        <f>IF(Ofwat_PC_Interventions!AG71&lt;&gt;"",Ofwat_PC_Interventions!AG71,IF(Company_PC_inputs!AG71&lt;&gt;"",Company_PC_inputs!AG71,""))</f>
        <v/>
      </c>
      <c r="AH71" s="578" t="str">
        <f>IF(Ofwat_PC_Interventions!AH71&lt;&gt;"",Ofwat_PC_Interventions!AH71,IF(Company_PC_inputs!AH71&lt;&gt;"",Company_PC_inputs!AH71,""))</f>
        <v/>
      </c>
      <c r="AI71" s="578" t="str">
        <f>IF(Ofwat_PC_Interventions!AI71&lt;&gt;"",Ofwat_PC_Interventions!AI71,IF(Company_PC_inputs!AI71&lt;&gt;"",Company_PC_inputs!AI71,""))</f>
        <v/>
      </c>
      <c r="AJ71" s="578" t="str">
        <f>IF(Ofwat_PC_Interventions!AJ71&lt;&gt;"",Ofwat_PC_Interventions!AJ71,IF(Company_PC_inputs!AJ71&lt;&gt;"",Company_PC_inputs!AJ71,""))</f>
        <v/>
      </c>
      <c r="AK71" s="579" t="str">
        <f>IF(Ofwat_PC_Interventions!AK71&lt;&gt;"",Ofwat_PC_Interventions!AK71,IF(Company_PC_inputs!AK71&lt;&gt;"",Company_PC_inputs!AK71,""))</f>
        <v/>
      </c>
      <c r="AL71" s="578" t="str">
        <f>IF(Ofwat_PC_Interventions!AL71&lt;&gt;"",Ofwat_PC_Interventions!AL71,IF(Company_PC_inputs!AL71&lt;&gt;"",Company_PC_inputs!AL71,""))</f>
        <v/>
      </c>
      <c r="AM71" s="578" t="str">
        <f>IF(Ofwat_PC_Interventions!AM71&lt;&gt;"",Ofwat_PC_Interventions!AM71,IF(Company_PC_inputs!AM71&lt;&gt;"",Company_PC_inputs!AM71,""))</f>
        <v/>
      </c>
      <c r="AN71" s="578" t="str">
        <f>IF(Ofwat_PC_Interventions!AN71&lt;&gt;"",Ofwat_PC_Interventions!AN71,IF(Company_PC_inputs!AN71&lt;&gt;"",Company_PC_inputs!AN71,""))</f>
        <v/>
      </c>
      <c r="AO71" s="579" t="str">
        <f>IF(Ofwat_PC_Interventions!AO71&lt;&gt;"",Ofwat_PC_Interventions!AO71,IF(Company_PC_inputs!AO71&lt;&gt;"",Company_PC_inputs!AO71,""))</f>
        <v/>
      </c>
      <c r="AP71" s="578">
        <f>IF(Ofwat_PC_Interventions!AP71&lt;&gt;"",Ofwat_PC_Interventions!AP71,IF(Company_PC_inputs!AP71&lt;&gt;"",Company_PC_inputs!AP71,""))</f>
        <v>0</v>
      </c>
      <c r="AQ71" s="578">
        <f>IF(Ofwat_PC_Interventions!AQ71&lt;&gt;"",Ofwat_PC_Interventions!AQ71,IF(Company_PC_inputs!AQ71&lt;&gt;"",Company_PC_inputs!AQ71,""))</f>
        <v>0.97</v>
      </c>
      <c r="AR71" s="578">
        <f>IF(Ofwat_PC_Interventions!AR71&lt;&gt;"",Ofwat_PC_Interventions!AR71,IF(Company_PC_inputs!AR71&lt;&gt;"",Company_PC_inputs!AR71,""))</f>
        <v>1</v>
      </c>
      <c r="AS71" s="578">
        <f>IF(Ofwat_PC_Interventions!AS71&lt;&gt;"",Ofwat_PC_Interventions!AS71,IF(Company_PC_inputs!AS71&lt;&gt;"",Company_PC_inputs!AS71,""))</f>
        <v>0</v>
      </c>
      <c r="AT71" s="578">
        <f>IF(Ofwat_PC_Interventions!AT71&lt;&gt;"",Ofwat_PC_Interventions!AT71,IF(Company_PC_inputs!AT71&lt;&gt;"",Company_PC_inputs!AT71,""))</f>
        <v>0</v>
      </c>
      <c r="AU71" s="578">
        <f>IF(Ofwat_PC_Interventions!AU71&lt;&gt;"",Ofwat_PC_Interventions!AU71,IF(Company_PC_inputs!AU71&lt;&gt;"",Company_PC_inputs!AU71,""))</f>
        <v>0</v>
      </c>
      <c r="AV71" s="578">
        <f>IF(Ofwat_PC_Interventions!AV71&lt;&gt;"",Ofwat_PC_Interventions!AV71,IF(Company_PC_inputs!AV71&lt;&gt;"",Company_PC_inputs!AV71,""))</f>
        <v>0</v>
      </c>
      <c r="AW71" s="578">
        <f>IF(Ofwat_PC_Interventions!AW71&lt;&gt;"",Ofwat_PC_Interventions!AW71,IF(Company_PC_inputs!AW71&lt;&gt;"",Company_PC_inputs!AW71,""))</f>
        <v>0</v>
      </c>
      <c r="AX71" s="578">
        <f>IF(Ofwat_PC_Interventions!AX71&lt;&gt;"",Ofwat_PC_Interventions!AX71,IF(Company_PC_inputs!AX71&lt;&gt;"",Company_PC_inputs!AX71,""))</f>
        <v>0</v>
      </c>
      <c r="AY71" s="578">
        <f>IF(Ofwat_PC_Interventions!AY71&lt;&gt;"",Ofwat_PC_Interventions!AY71,IF(Company_PC_inputs!AY71&lt;&gt;"",Company_PC_inputs!AY71,""))</f>
        <v>0</v>
      </c>
      <c r="AZ71" s="578" t="str">
        <f>IF(Ofwat_PC_Interventions!AZ71&lt;&gt;"",Ofwat_PC_Interventions!AZ71,IF(Company_PC_inputs!AZ71&lt;&gt;"",Company_PC_inputs!AZ71,""))</f>
        <v/>
      </c>
      <c r="BA71" s="578" t="str">
        <f>IF(Ofwat_PC_Interventions!BA71&lt;&gt;"",Ofwat_PC_Interventions!BA71,IF(Company_PC_inputs!BA71&lt;&gt;"",Company_PC_inputs!BA71,""))</f>
        <v/>
      </c>
      <c r="BB71" s="578" t="str">
        <f>IF(Ofwat_PC_Interventions!BB71&lt;&gt;"",Ofwat_PC_Interventions!BB71,IF(Company_PC_inputs!BB71&lt;&gt;"",Company_PC_inputs!BB71,""))</f>
        <v/>
      </c>
      <c r="BC71" s="579" t="str">
        <f>IF(Ofwat_PC_Interventions!BC71&lt;&gt;"",Ofwat_PC_Interventions!BC71,IF(Company_PC_inputs!BC71&lt;&gt;"",Company_PC_inputs!BC71,""))</f>
        <v/>
      </c>
      <c r="BD71" s="578" t="str">
        <f>IF(Ofwat_PC_Interventions!BD71&lt;&gt;"",Ofwat_PC_Interventions!BD71,IF(Company_PC_inputs!BD71&lt;&gt;"",Company_PC_inputs!BD71,""))</f>
        <v/>
      </c>
      <c r="BE71" s="578" t="str">
        <f>IF(Ofwat_PC_Interventions!BE71&lt;&gt;"",Ofwat_PC_Interventions!BE71,IF(Company_PC_inputs!BE71&lt;&gt;"",Company_PC_inputs!BE71,""))</f>
        <v/>
      </c>
      <c r="BF71" s="578" t="str">
        <f>IF(Ofwat_PC_Interventions!BF71&lt;&gt;"",Ofwat_PC_Interventions!BF71,IF(Company_PC_inputs!BF71&lt;&gt;"",Company_PC_inputs!BF71,""))</f>
        <v/>
      </c>
      <c r="BG71" s="578" t="str">
        <f>IF(Ofwat_PC_Interventions!BG71&lt;&gt;"",Ofwat_PC_Interventions!BG71,IF(Company_PC_inputs!BG71&lt;&gt;"",Company_PC_inputs!BG71,""))</f>
        <v/>
      </c>
      <c r="BH71" s="578" t="str">
        <f>IF(Ofwat_PC_Interventions!BH71&lt;&gt;"",Ofwat_PC_Interventions!BH71,IF(Company_PC_inputs!BH71&lt;&gt;"",Company_PC_inputs!BH71,""))</f>
        <v/>
      </c>
      <c r="BI71" s="578" t="str">
        <f>IF(Ofwat_PC_Interventions!BI71&lt;&gt;"",Ofwat_PC_Interventions!BI71,IF(Company_PC_inputs!BI71&lt;&gt;"",Company_PC_inputs!BI71,""))</f>
        <v/>
      </c>
      <c r="BJ71" s="578" t="str">
        <f>IF(Ofwat_PC_Interventions!BJ71&lt;&gt;"",Ofwat_PC_Interventions!BJ71,IF(Company_PC_inputs!BJ71&lt;&gt;"",Company_PC_inputs!BJ71,""))</f>
        <v/>
      </c>
      <c r="BK71" s="578" t="str">
        <f>IF(Ofwat_PC_Interventions!BK71&lt;&gt;"",Ofwat_PC_Interventions!BK71,IF(Company_PC_inputs!BK71&lt;&gt;"",Company_PC_inputs!BK71,""))</f>
        <v/>
      </c>
      <c r="BL71" s="578" t="str">
        <f>IF(Ofwat_PC_Interventions!BL71&lt;&gt;"",Ofwat_PC_Interventions!BL71,IF(Company_PC_inputs!BL71&lt;&gt;"",Company_PC_inputs!BL71,""))</f>
        <v/>
      </c>
      <c r="BM71" s="578" t="str">
        <f>IF(Ofwat_PC_Interventions!BM71&lt;&gt;"",Ofwat_PC_Interventions!BM71,IF(Company_PC_inputs!BM71&lt;&gt;"",Company_PC_inputs!BM71,""))</f>
        <v/>
      </c>
      <c r="BN71" s="578" t="str">
        <f>IF(Ofwat_PC_Interventions!BN71&lt;&gt;"",Ofwat_PC_Interventions!BN71,IF(Company_PC_inputs!BN71&lt;&gt;"",Company_PC_inputs!BN71,""))</f>
        <v/>
      </c>
      <c r="BO71" s="578" t="str">
        <f>IF(Ofwat_PC_Interventions!BO71&lt;&gt;"",Ofwat_PC_Interventions!BO71,IF(Company_PC_inputs!BO71&lt;&gt;"",Company_PC_inputs!BO71,""))</f>
        <v/>
      </c>
      <c r="BP71" s="578" t="str">
        <f>IF(Ofwat_PC_Interventions!BP71&lt;&gt;"",Ofwat_PC_Interventions!BP71,IF(Company_PC_inputs!BP71&lt;&gt;"",Company_PC_inputs!BP71,""))</f>
        <v/>
      </c>
      <c r="BQ71" s="578" t="str">
        <f>IF(Ofwat_PC_Interventions!BQ71&lt;&gt;"",Ofwat_PC_Interventions!BQ71,IF(Company_PC_inputs!BQ71&lt;&gt;"",Company_PC_inputs!BQ71,""))</f>
        <v/>
      </c>
      <c r="BR71" s="578" t="str">
        <f>IF(Ofwat_PC_Interventions!BR71&lt;&gt;"",Ofwat_PC_Interventions!BR71,IF(Company_PC_inputs!BR71&lt;&gt;"",Company_PC_inputs!BR71,""))</f>
        <v/>
      </c>
      <c r="BS71" s="578" t="str">
        <f>IF(Ofwat_PC_Interventions!BS71&lt;&gt;"",Ofwat_PC_Interventions!BS71,IF(Company_PC_inputs!BS71&lt;&gt;"",Company_PC_inputs!BS71,""))</f>
        <v/>
      </c>
    </row>
    <row r="72" spans="1:71" s="202" customFormat="1" ht="13.15">
      <c r="A72" s="453"/>
      <c r="B72" s="453"/>
      <c r="C72" s="453"/>
      <c r="D72" s="453"/>
      <c r="E72" s="453" t="s">
        <v>1195</v>
      </c>
      <c r="F72" s="453"/>
      <c r="G72" s="453" t="s">
        <v>1146</v>
      </c>
      <c r="H72" s="453"/>
      <c r="I72" s="453"/>
      <c r="J72" s="578" t="str">
        <f>IF(Ofwat_PC_Interventions!J72&lt;&gt;"",Ofwat_PC_Interventions!J72,IF(Company_PC_inputs!J72&lt;&gt;"",Company_PC_inputs!J72,""))</f>
        <v/>
      </c>
      <c r="K72" s="578" t="str">
        <f>IF(Ofwat_PC_Interventions!K72&lt;&gt;"",Ofwat_PC_Interventions!K72,IF(Company_PC_inputs!K72&lt;&gt;"",Company_PC_inputs!K72,""))</f>
        <v/>
      </c>
      <c r="L72" s="578" t="str">
        <f>IF(Ofwat_PC_Interventions!L72&lt;&gt;"",Ofwat_PC_Interventions!L72,IF(Company_PC_inputs!L72&lt;&gt;"",Company_PC_inputs!L72,""))</f>
        <v/>
      </c>
      <c r="M72" s="578" t="str">
        <f>IF(Ofwat_PC_Interventions!M72&lt;&gt;"",Ofwat_PC_Interventions!M72,IF(Company_PC_inputs!M72&lt;&gt;"",Company_PC_inputs!M72,""))</f>
        <v/>
      </c>
      <c r="N72" s="578" t="str">
        <f>IF(Ofwat_PC_Interventions!N72&lt;&gt;"",Ofwat_PC_Interventions!N72,IF(Company_PC_inputs!N72&lt;&gt;"",Company_PC_inputs!N72,""))</f>
        <v/>
      </c>
      <c r="O72" s="578" t="str">
        <f>IF(Ofwat_PC_Interventions!O72&lt;&gt;"",Ofwat_PC_Interventions!O72,IF(Company_PC_inputs!O72&lt;&gt;"",Company_PC_inputs!O72,""))</f>
        <v/>
      </c>
      <c r="P72" s="578" t="str">
        <f>IF(Ofwat_PC_Interventions!P72&lt;&gt;"",Ofwat_PC_Interventions!P72,IF(Company_PC_inputs!P72&lt;&gt;"",Company_PC_inputs!P72,""))</f>
        <v/>
      </c>
      <c r="Q72" s="579" t="str">
        <f>IF(Ofwat_PC_Interventions!Q72&lt;&gt;"",Ofwat_PC_Interventions!Q72,IF(Company_PC_inputs!Q72&lt;&gt;"",Company_PC_inputs!Q72,""))</f>
        <v/>
      </c>
      <c r="R72" s="578">
        <f>IF(Ofwat_PC_Interventions!R72&lt;&gt;"",Ofwat_PC_Interventions!R72,IF(Company_PC_inputs!R72&lt;&gt;"",Company_PC_inputs!R72,""))</f>
        <v>0</v>
      </c>
      <c r="S72" s="578">
        <f>IF(Ofwat_PC_Interventions!S72&lt;&gt;"",Ofwat_PC_Interventions!S72,IF(Company_PC_inputs!S72&lt;&gt;"",Company_PC_inputs!S72,""))</f>
        <v>0</v>
      </c>
      <c r="T72" s="578">
        <f>IF(Ofwat_PC_Interventions!T72&lt;&gt;"",Ofwat_PC_Interventions!T72,IF(Company_PC_inputs!T72&lt;&gt;"",Company_PC_inputs!T72,""))</f>
        <v>0</v>
      </c>
      <c r="U72" s="578">
        <f>IF(Ofwat_PC_Interventions!U72&lt;&gt;"",Ofwat_PC_Interventions!U72,IF(Company_PC_inputs!U72&lt;&gt;"",Company_PC_inputs!U72,""))</f>
        <v>0</v>
      </c>
      <c r="V72" s="578">
        <f>IF(Ofwat_PC_Interventions!V72&lt;&gt;"",Ofwat_PC_Interventions!V72,IF(Company_PC_inputs!V72&lt;&gt;"",Company_PC_inputs!V72,""))</f>
        <v>1</v>
      </c>
      <c r="W72" s="578">
        <f>IF(Ofwat_PC_Interventions!W72&lt;&gt;"",Ofwat_PC_Interventions!W72,IF(Company_PC_inputs!W72&lt;&gt;"",Company_PC_inputs!W72,""))</f>
        <v>0</v>
      </c>
      <c r="X72" s="578">
        <f>IF(Ofwat_PC_Interventions!X72&lt;&gt;"",Ofwat_PC_Interventions!X72,IF(Company_PC_inputs!X72&lt;&gt;"",Company_PC_inputs!X72,""))</f>
        <v>0</v>
      </c>
      <c r="Y72" s="578">
        <f>IF(Ofwat_PC_Interventions!Y72&lt;&gt;"",Ofwat_PC_Interventions!Y72,IF(Company_PC_inputs!Y72&lt;&gt;"",Company_PC_inputs!Y72,""))</f>
        <v>0</v>
      </c>
      <c r="Z72" s="578">
        <f>IF(Ofwat_PC_Interventions!Z72&lt;&gt;"",Ofwat_PC_Interventions!Z72,IF(Company_PC_inputs!Z72&lt;&gt;"",Company_PC_inputs!Z72,""))</f>
        <v>0</v>
      </c>
      <c r="AA72" s="578" t="str">
        <f>IF(Ofwat_PC_Interventions!AA72&lt;&gt;"",Ofwat_PC_Interventions!AA72,IF(Company_PC_inputs!AA72&lt;&gt;"",Company_PC_inputs!AA72,""))</f>
        <v/>
      </c>
      <c r="AB72" s="578" t="str">
        <f>IF(Ofwat_PC_Interventions!AB72&lt;&gt;"",Ofwat_PC_Interventions!AB72,IF(Company_PC_inputs!AB72&lt;&gt;"",Company_PC_inputs!AB72,""))</f>
        <v/>
      </c>
      <c r="AC72" s="578" t="str">
        <f>IF(Ofwat_PC_Interventions!AC72&lt;&gt;"",Ofwat_PC_Interventions!AC72,IF(Company_PC_inputs!AC72&lt;&gt;"",Company_PC_inputs!AC72,""))</f>
        <v/>
      </c>
      <c r="AD72" s="578" t="str">
        <f>IF(Ofwat_PC_Interventions!AD72&lt;&gt;"",Ofwat_PC_Interventions!AD72,IF(Company_PC_inputs!AD72&lt;&gt;"",Company_PC_inputs!AD72,""))</f>
        <v/>
      </c>
      <c r="AE72" s="578" t="str">
        <f>IF(Ofwat_PC_Interventions!AE72&lt;&gt;"",Ofwat_PC_Interventions!AE72,IF(Company_PC_inputs!AE72&lt;&gt;"",Company_PC_inputs!AE72,""))</f>
        <v/>
      </c>
      <c r="AF72" s="578" t="str">
        <f>IF(Ofwat_PC_Interventions!AF72&lt;&gt;"",Ofwat_PC_Interventions!AF72,IF(Company_PC_inputs!AF72&lt;&gt;"",Company_PC_inputs!AF72,""))</f>
        <v/>
      </c>
      <c r="AG72" s="578" t="str">
        <f>IF(Ofwat_PC_Interventions!AG72&lt;&gt;"",Ofwat_PC_Interventions!AG72,IF(Company_PC_inputs!AG72&lt;&gt;"",Company_PC_inputs!AG72,""))</f>
        <v/>
      </c>
      <c r="AH72" s="578" t="str">
        <f>IF(Ofwat_PC_Interventions!AH72&lt;&gt;"",Ofwat_PC_Interventions!AH72,IF(Company_PC_inputs!AH72&lt;&gt;"",Company_PC_inputs!AH72,""))</f>
        <v/>
      </c>
      <c r="AI72" s="578" t="str">
        <f>IF(Ofwat_PC_Interventions!AI72&lt;&gt;"",Ofwat_PC_Interventions!AI72,IF(Company_PC_inputs!AI72&lt;&gt;"",Company_PC_inputs!AI72,""))</f>
        <v/>
      </c>
      <c r="AJ72" s="578" t="str">
        <f>IF(Ofwat_PC_Interventions!AJ72&lt;&gt;"",Ofwat_PC_Interventions!AJ72,IF(Company_PC_inputs!AJ72&lt;&gt;"",Company_PC_inputs!AJ72,""))</f>
        <v/>
      </c>
      <c r="AK72" s="579" t="str">
        <f>IF(Ofwat_PC_Interventions!AK72&lt;&gt;"",Ofwat_PC_Interventions!AK72,IF(Company_PC_inputs!AK72&lt;&gt;"",Company_PC_inputs!AK72,""))</f>
        <v/>
      </c>
      <c r="AL72" s="578" t="str">
        <f>IF(Ofwat_PC_Interventions!AL72&lt;&gt;"",Ofwat_PC_Interventions!AL72,IF(Company_PC_inputs!AL72&lt;&gt;"",Company_PC_inputs!AL72,""))</f>
        <v/>
      </c>
      <c r="AM72" s="578" t="str">
        <f>IF(Ofwat_PC_Interventions!AM72&lt;&gt;"",Ofwat_PC_Interventions!AM72,IF(Company_PC_inputs!AM72&lt;&gt;"",Company_PC_inputs!AM72,""))</f>
        <v/>
      </c>
      <c r="AN72" s="578" t="str">
        <f>IF(Ofwat_PC_Interventions!AN72&lt;&gt;"",Ofwat_PC_Interventions!AN72,IF(Company_PC_inputs!AN72&lt;&gt;"",Company_PC_inputs!AN72,""))</f>
        <v/>
      </c>
      <c r="AO72" s="579" t="str">
        <f>IF(Ofwat_PC_Interventions!AO72&lt;&gt;"",Ofwat_PC_Interventions!AO72,IF(Company_PC_inputs!AO72&lt;&gt;"",Company_PC_inputs!AO72,""))</f>
        <v/>
      </c>
      <c r="AP72" s="578">
        <f>IF(Ofwat_PC_Interventions!AP72&lt;&gt;"",Ofwat_PC_Interventions!AP72,IF(Company_PC_inputs!AP72&lt;&gt;"",Company_PC_inputs!AP72,""))</f>
        <v>0</v>
      </c>
      <c r="AQ72" s="578">
        <f>IF(Ofwat_PC_Interventions!AQ72&lt;&gt;"",Ofwat_PC_Interventions!AQ72,IF(Company_PC_inputs!AQ72&lt;&gt;"",Company_PC_inputs!AQ72,""))</f>
        <v>0</v>
      </c>
      <c r="AR72" s="578">
        <f>IF(Ofwat_PC_Interventions!AR72&lt;&gt;"",Ofwat_PC_Interventions!AR72,IF(Company_PC_inputs!AR72&lt;&gt;"",Company_PC_inputs!AR72,""))</f>
        <v>0</v>
      </c>
      <c r="AS72" s="578">
        <f>IF(Ofwat_PC_Interventions!AS72&lt;&gt;"",Ofwat_PC_Interventions!AS72,IF(Company_PC_inputs!AS72&lt;&gt;"",Company_PC_inputs!AS72,""))</f>
        <v>0</v>
      </c>
      <c r="AT72" s="578">
        <f>IF(Ofwat_PC_Interventions!AT72&lt;&gt;"",Ofwat_PC_Interventions!AT72,IF(Company_PC_inputs!AT72&lt;&gt;"",Company_PC_inputs!AT72,""))</f>
        <v>0</v>
      </c>
      <c r="AU72" s="578">
        <f>IF(Ofwat_PC_Interventions!AU72&lt;&gt;"",Ofwat_PC_Interventions!AU72,IF(Company_PC_inputs!AU72&lt;&gt;"",Company_PC_inputs!AU72,""))</f>
        <v>0</v>
      </c>
      <c r="AV72" s="578">
        <f>IF(Ofwat_PC_Interventions!AV72&lt;&gt;"",Ofwat_PC_Interventions!AV72,IF(Company_PC_inputs!AV72&lt;&gt;"",Company_PC_inputs!AV72,""))</f>
        <v>0</v>
      </c>
      <c r="AW72" s="578">
        <f>IF(Ofwat_PC_Interventions!AW72&lt;&gt;"",Ofwat_PC_Interventions!AW72,IF(Company_PC_inputs!AW72&lt;&gt;"",Company_PC_inputs!AW72,""))</f>
        <v>0</v>
      </c>
      <c r="AX72" s="578">
        <f>IF(Ofwat_PC_Interventions!AX72&lt;&gt;"",Ofwat_PC_Interventions!AX72,IF(Company_PC_inputs!AX72&lt;&gt;"",Company_PC_inputs!AX72,""))</f>
        <v>0</v>
      </c>
      <c r="AY72" s="578">
        <f>IF(Ofwat_PC_Interventions!AY72&lt;&gt;"",Ofwat_PC_Interventions!AY72,IF(Company_PC_inputs!AY72&lt;&gt;"",Company_PC_inputs!AY72,""))</f>
        <v>0</v>
      </c>
      <c r="AZ72" s="578" t="str">
        <f>IF(Ofwat_PC_Interventions!AZ72&lt;&gt;"",Ofwat_PC_Interventions!AZ72,IF(Company_PC_inputs!AZ72&lt;&gt;"",Company_PC_inputs!AZ72,""))</f>
        <v/>
      </c>
      <c r="BA72" s="578" t="str">
        <f>IF(Ofwat_PC_Interventions!BA72&lt;&gt;"",Ofwat_PC_Interventions!BA72,IF(Company_PC_inputs!BA72&lt;&gt;"",Company_PC_inputs!BA72,""))</f>
        <v/>
      </c>
      <c r="BB72" s="578" t="str">
        <f>IF(Ofwat_PC_Interventions!BB72&lt;&gt;"",Ofwat_PC_Interventions!BB72,IF(Company_PC_inputs!BB72&lt;&gt;"",Company_PC_inputs!BB72,""))</f>
        <v/>
      </c>
      <c r="BC72" s="579" t="str">
        <f>IF(Ofwat_PC_Interventions!BC72&lt;&gt;"",Ofwat_PC_Interventions!BC72,IF(Company_PC_inputs!BC72&lt;&gt;"",Company_PC_inputs!BC72,""))</f>
        <v/>
      </c>
      <c r="BD72" s="578" t="str">
        <f>IF(Ofwat_PC_Interventions!BD72&lt;&gt;"",Ofwat_PC_Interventions!BD72,IF(Company_PC_inputs!BD72&lt;&gt;"",Company_PC_inputs!BD72,""))</f>
        <v/>
      </c>
      <c r="BE72" s="578" t="str">
        <f>IF(Ofwat_PC_Interventions!BE72&lt;&gt;"",Ofwat_PC_Interventions!BE72,IF(Company_PC_inputs!BE72&lt;&gt;"",Company_PC_inputs!BE72,""))</f>
        <v/>
      </c>
      <c r="BF72" s="578" t="str">
        <f>IF(Ofwat_PC_Interventions!BF72&lt;&gt;"",Ofwat_PC_Interventions!BF72,IF(Company_PC_inputs!BF72&lt;&gt;"",Company_PC_inputs!BF72,""))</f>
        <v/>
      </c>
      <c r="BG72" s="578" t="str">
        <f>IF(Ofwat_PC_Interventions!BG72&lt;&gt;"",Ofwat_PC_Interventions!BG72,IF(Company_PC_inputs!BG72&lt;&gt;"",Company_PC_inputs!BG72,""))</f>
        <v/>
      </c>
      <c r="BH72" s="578" t="str">
        <f>IF(Ofwat_PC_Interventions!BH72&lt;&gt;"",Ofwat_PC_Interventions!BH72,IF(Company_PC_inputs!BH72&lt;&gt;"",Company_PC_inputs!BH72,""))</f>
        <v/>
      </c>
      <c r="BI72" s="578" t="str">
        <f>IF(Ofwat_PC_Interventions!BI72&lt;&gt;"",Ofwat_PC_Interventions!BI72,IF(Company_PC_inputs!BI72&lt;&gt;"",Company_PC_inputs!BI72,""))</f>
        <v/>
      </c>
      <c r="BJ72" s="578" t="str">
        <f>IF(Ofwat_PC_Interventions!BJ72&lt;&gt;"",Ofwat_PC_Interventions!BJ72,IF(Company_PC_inputs!BJ72&lt;&gt;"",Company_PC_inputs!BJ72,""))</f>
        <v/>
      </c>
      <c r="BK72" s="578" t="str">
        <f>IF(Ofwat_PC_Interventions!BK72&lt;&gt;"",Ofwat_PC_Interventions!BK72,IF(Company_PC_inputs!BK72&lt;&gt;"",Company_PC_inputs!BK72,""))</f>
        <v/>
      </c>
      <c r="BL72" s="578" t="str">
        <f>IF(Ofwat_PC_Interventions!BL72&lt;&gt;"",Ofwat_PC_Interventions!BL72,IF(Company_PC_inputs!BL72&lt;&gt;"",Company_PC_inputs!BL72,""))</f>
        <v/>
      </c>
      <c r="BM72" s="578" t="str">
        <f>IF(Ofwat_PC_Interventions!BM72&lt;&gt;"",Ofwat_PC_Interventions!BM72,IF(Company_PC_inputs!BM72&lt;&gt;"",Company_PC_inputs!BM72,""))</f>
        <v/>
      </c>
      <c r="BN72" s="578" t="str">
        <f>IF(Ofwat_PC_Interventions!BN72&lt;&gt;"",Ofwat_PC_Interventions!BN72,IF(Company_PC_inputs!BN72&lt;&gt;"",Company_PC_inputs!BN72,""))</f>
        <v/>
      </c>
      <c r="BO72" s="578" t="str">
        <f>IF(Ofwat_PC_Interventions!BO72&lt;&gt;"",Ofwat_PC_Interventions!BO72,IF(Company_PC_inputs!BO72&lt;&gt;"",Company_PC_inputs!BO72,""))</f>
        <v/>
      </c>
      <c r="BP72" s="578" t="str">
        <f>IF(Ofwat_PC_Interventions!BP72&lt;&gt;"",Ofwat_PC_Interventions!BP72,IF(Company_PC_inputs!BP72&lt;&gt;"",Company_PC_inputs!BP72,""))</f>
        <v/>
      </c>
      <c r="BQ72" s="578" t="str">
        <f>IF(Ofwat_PC_Interventions!BQ72&lt;&gt;"",Ofwat_PC_Interventions!BQ72,IF(Company_PC_inputs!BQ72&lt;&gt;"",Company_PC_inputs!BQ72,""))</f>
        <v/>
      </c>
      <c r="BR72" s="578" t="str">
        <f>IF(Ofwat_PC_Interventions!BR72&lt;&gt;"",Ofwat_PC_Interventions!BR72,IF(Company_PC_inputs!BR72&lt;&gt;"",Company_PC_inputs!BR72,""))</f>
        <v/>
      </c>
      <c r="BS72" s="578" t="str">
        <f>IF(Ofwat_PC_Interventions!BS72&lt;&gt;"",Ofwat_PC_Interventions!BS72,IF(Company_PC_inputs!BS72&lt;&gt;"",Company_PC_inputs!BS72,""))</f>
        <v/>
      </c>
    </row>
    <row r="73" spans="1:71" s="202" customFormat="1" ht="13.15">
      <c r="A73" s="453"/>
      <c r="B73" s="453"/>
      <c r="C73" s="453"/>
      <c r="D73" s="453"/>
      <c r="E73" s="453" t="s">
        <v>1196</v>
      </c>
      <c r="F73" s="453"/>
      <c r="G73" s="453" t="s">
        <v>1146</v>
      </c>
      <c r="H73" s="453"/>
      <c r="I73" s="453"/>
      <c r="J73" s="578" t="str">
        <f>IF(Ofwat_PC_Interventions!J73&lt;&gt;"",Ofwat_PC_Interventions!J73,IF(Company_PC_inputs!J73&lt;&gt;"",Company_PC_inputs!J73,""))</f>
        <v/>
      </c>
      <c r="K73" s="578" t="str">
        <f>IF(Ofwat_PC_Interventions!K73&lt;&gt;"",Ofwat_PC_Interventions!K73,IF(Company_PC_inputs!K73&lt;&gt;"",Company_PC_inputs!K73,""))</f>
        <v/>
      </c>
      <c r="L73" s="578" t="str">
        <f>IF(Ofwat_PC_Interventions!L73&lt;&gt;"",Ofwat_PC_Interventions!L73,IF(Company_PC_inputs!L73&lt;&gt;"",Company_PC_inputs!L73,""))</f>
        <v/>
      </c>
      <c r="M73" s="578" t="str">
        <f>IF(Ofwat_PC_Interventions!M73&lt;&gt;"",Ofwat_PC_Interventions!M73,IF(Company_PC_inputs!M73&lt;&gt;"",Company_PC_inputs!M73,""))</f>
        <v/>
      </c>
      <c r="N73" s="578" t="str">
        <f>IF(Ofwat_PC_Interventions!N73&lt;&gt;"",Ofwat_PC_Interventions!N73,IF(Company_PC_inputs!N73&lt;&gt;"",Company_PC_inputs!N73,""))</f>
        <v/>
      </c>
      <c r="O73" s="578" t="str">
        <f>IF(Ofwat_PC_Interventions!O73&lt;&gt;"",Ofwat_PC_Interventions!O73,IF(Company_PC_inputs!O73&lt;&gt;"",Company_PC_inputs!O73,""))</f>
        <v/>
      </c>
      <c r="P73" s="578" t="str">
        <f>IF(Ofwat_PC_Interventions!P73&lt;&gt;"",Ofwat_PC_Interventions!P73,IF(Company_PC_inputs!P73&lt;&gt;"",Company_PC_inputs!P73,""))</f>
        <v/>
      </c>
      <c r="Q73" s="579" t="str">
        <f>IF(Ofwat_PC_Interventions!Q73&lt;&gt;"",Ofwat_PC_Interventions!Q73,IF(Company_PC_inputs!Q73&lt;&gt;"",Company_PC_inputs!Q73,""))</f>
        <v/>
      </c>
      <c r="R73" s="578">
        <f>IF(Ofwat_PC_Interventions!R73&lt;&gt;"",Ofwat_PC_Interventions!R73,IF(Company_PC_inputs!R73&lt;&gt;"",Company_PC_inputs!R73,""))</f>
        <v>0</v>
      </c>
      <c r="S73" s="578">
        <f>IF(Ofwat_PC_Interventions!S73&lt;&gt;"",Ofwat_PC_Interventions!S73,IF(Company_PC_inputs!S73&lt;&gt;"",Company_PC_inputs!S73,""))</f>
        <v>0</v>
      </c>
      <c r="T73" s="578">
        <f>IF(Ofwat_PC_Interventions!T73&lt;&gt;"",Ofwat_PC_Interventions!T73,IF(Company_PC_inputs!T73&lt;&gt;"",Company_PC_inputs!T73,""))</f>
        <v>0</v>
      </c>
      <c r="U73" s="578">
        <f>IF(Ofwat_PC_Interventions!U73&lt;&gt;"",Ofwat_PC_Interventions!U73,IF(Company_PC_inputs!U73&lt;&gt;"",Company_PC_inputs!U73,""))</f>
        <v>0</v>
      </c>
      <c r="V73" s="578">
        <f>IF(Ofwat_PC_Interventions!V73&lt;&gt;"",Ofwat_PC_Interventions!V73,IF(Company_PC_inputs!V73&lt;&gt;"",Company_PC_inputs!V73,""))</f>
        <v>0</v>
      </c>
      <c r="W73" s="578">
        <f>IF(Ofwat_PC_Interventions!W73&lt;&gt;"",Ofwat_PC_Interventions!W73,IF(Company_PC_inputs!W73&lt;&gt;"",Company_PC_inputs!W73,""))</f>
        <v>0</v>
      </c>
      <c r="X73" s="578">
        <f>IF(Ofwat_PC_Interventions!X73&lt;&gt;"",Ofwat_PC_Interventions!X73,IF(Company_PC_inputs!X73&lt;&gt;"",Company_PC_inputs!X73,""))</f>
        <v>0</v>
      </c>
      <c r="Y73" s="578">
        <f>IF(Ofwat_PC_Interventions!Y73&lt;&gt;"",Ofwat_PC_Interventions!Y73,IF(Company_PC_inputs!Y73&lt;&gt;"",Company_PC_inputs!Y73,""))</f>
        <v>0</v>
      </c>
      <c r="Z73" s="578">
        <f>IF(Ofwat_PC_Interventions!Z73&lt;&gt;"",Ofwat_PC_Interventions!Z73,IF(Company_PC_inputs!Z73&lt;&gt;"",Company_PC_inputs!Z73,""))</f>
        <v>0</v>
      </c>
      <c r="AA73" s="578" t="str">
        <f>IF(Ofwat_PC_Interventions!AA73&lt;&gt;"",Ofwat_PC_Interventions!AA73,IF(Company_PC_inputs!AA73&lt;&gt;"",Company_PC_inputs!AA73,""))</f>
        <v/>
      </c>
      <c r="AB73" s="578" t="str">
        <f>IF(Ofwat_PC_Interventions!AB73&lt;&gt;"",Ofwat_PC_Interventions!AB73,IF(Company_PC_inputs!AB73&lt;&gt;"",Company_PC_inputs!AB73,""))</f>
        <v/>
      </c>
      <c r="AC73" s="578" t="str">
        <f>IF(Ofwat_PC_Interventions!AC73&lt;&gt;"",Ofwat_PC_Interventions!AC73,IF(Company_PC_inputs!AC73&lt;&gt;"",Company_PC_inputs!AC73,""))</f>
        <v/>
      </c>
      <c r="AD73" s="578" t="str">
        <f>IF(Ofwat_PC_Interventions!AD73&lt;&gt;"",Ofwat_PC_Interventions!AD73,IF(Company_PC_inputs!AD73&lt;&gt;"",Company_PC_inputs!AD73,""))</f>
        <v/>
      </c>
      <c r="AE73" s="578" t="str">
        <f>IF(Ofwat_PC_Interventions!AE73&lt;&gt;"",Ofwat_PC_Interventions!AE73,IF(Company_PC_inputs!AE73&lt;&gt;"",Company_PC_inputs!AE73,""))</f>
        <v/>
      </c>
      <c r="AF73" s="578" t="str">
        <f>IF(Ofwat_PC_Interventions!AF73&lt;&gt;"",Ofwat_PC_Interventions!AF73,IF(Company_PC_inputs!AF73&lt;&gt;"",Company_PC_inputs!AF73,""))</f>
        <v/>
      </c>
      <c r="AG73" s="578" t="str">
        <f>IF(Ofwat_PC_Interventions!AG73&lt;&gt;"",Ofwat_PC_Interventions!AG73,IF(Company_PC_inputs!AG73&lt;&gt;"",Company_PC_inputs!AG73,""))</f>
        <v/>
      </c>
      <c r="AH73" s="578" t="str">
        <f>IF(Ofwat_PC_Interventions!AH73&lt;&gt;"",Ofwat_PC_Interventions!AH73,IF(Company_PC_inputs!AH73&lt;&gt;"",Company_PC_inputs!AH73,""))</f>
        <v/>
      </c>
      <c r="AI73" s="578" t="str">
        <f>IF(Ofwat_PC_Interventions!AI73&lt;&gt;"",Ofwat_PC_Interventions!AI73,IF(Company_PC_inputs!AI73&lt;&gt;"",Company_PC_inputs!AI73,""))</f>
        <v/>
      </c>
      <c r="AJ73" s="578" t="str">
        <f>IF(Ofwat_PC_Interventions!AJ73&lt;&gt;"",Ofwat_PC_Interventions!AJ73,IF(Company_PC_inputs!AJ73&lt;&gt;"",Company_PC_inputs!AJ73,""))</f>
        <v/>
      </c>
      <c r="AK73" s="579" t="str">
        <f>IF(Ofwat_PC_Interventions!AK73&lt;&gt;"",Ofwat_PC_Interventions!AK73,IF(Company_PC_inputs!AK73&lt;&gt;"",Company_PC_inputs!AK73,""))</f>
        <v/>
      </c>
      <c r="AL73" s="578" t="str">
        <f>IF(Ofwat_PC_Interventions!AL73&lt;&gt;"",Ofwat_PC_Interventions!AL73,IF(Company_PC_inputs!AL73&lt;&gt;"",Company_PC_inputs!AL73,""))</f>
        <v/>
      </c>
      <c r="AM73" s="578" t="str">
        <f>IF(Ofwat_PC_Interventions!AM73&lt;&gt;"",Ofwat_PC_Interventions!AM73,IF(Company_PC_inputs!AM73&lt;&gt;"",Company_PC_inputs!AM73,""))</f>
        <v/>
      </c>
      <c r="AN73" s="578" t="str">
        <f>IF(Ofwat_PC_Interventions!AN73&lt;&gt;"",Ofwat_PC_Interventions!AN73,IF(Company_PC_inputs!AN73&lt;&gt;"",Company_PC_inputs!AN73,""))</f>
        <v/>
      </c>
      <c r="AO73" s="579" t="str">
        <f>IF(Ofwat_PC_Interventions!AO73&lt;&gt;"",Ofwat_PC_Interventions!AO73,IF(Company_PC_inputs!AO73&lt;&gt;"",Company_PC_inputs!AO73,""))</f>
        <v/>
      </c>
      <c r="AP73" s="578">
        <f>IF(Ofwat_PC_Interventions!AP73&lt;&gt;"",Ofwat_PC_Interventions!AP73,IF(Company_PC_inputs!AP73&lt;&gt;"",Company_PC_inputs!AP73,""))</f>
        <v>0</v>
      </c>
      <c r="AQ73" s="578">
        <f>IF(Ofwat_PC_Interventions!AQ73&lt;&gt;"",Ofwat_PC_Interventions!AQ73,IF(Company_PC_inputs!AQ73&lt;&gt;"",Company_PC_inputs!AQ73,""))</f>
        <v>0</v>
      </c>
      <c r="AR73" s="578">
        <f>IF(Ofwat_PC_Interventions!AR73&lt;&gt;"",Ofwat_PC_Interventions!AR73,IF(Company_PC_inputs!AR73&lt;&gt;"",Company_PC_inputs!AR73,""))</f>
        <v>0</v>
      </c>
      <c r="AS73" s="578">
        <f>IF(Ofwat_PC_Interventions!AS73&lt;&gt;"",Ofwat_PC_Interventions!AS73,IF(Company_PC_inputs!AS73&lt;&gt;"",Company_PC_inputs!AS73,""))</f>
        <v>0</v>
      </c>
      <c r="AT73" s="578">
        <f>IF(Ofwat_PC_Interventions!AT73&lt;&gt;"",Ofwat_PC_Interventions!AT73,IF(Company_PC_inputs!AT73&lt;&gt;"",Company_PC_inputs!AT73,""))</f>
        <v>0</v>
      </c>
      <c r="AU73" s="578">
        <f>IF(Ofwat_PC_Interventions!AU73&lt;&gt;"",Ofwat_PC_Interventions!AU73,IF(Company_PC_inputs!AU73&lt;&gt;"",Company_PC_inputs!AU73,""))</f>
        <v>0</v>
      </c>
      <c r="AV73" s="578">
        <f>IF(Ofwat_PC_Interventions!AV73&lt;&gt;"",Ofwat_PC_Interventions!AV73,IF(Company_PC_inputs!AV73&lt;&gt;"",Company_PC_inputs!AV73,""))</f>
        <v>0</v>
      </c>
      <c r="AW73" s="578">
        <f>IF(Ofwat_PC_Interventions!AW73&lt;&gt;"",Ofwat_PC_Interventions!AW73,IF(Company_PC_inputs!AW73&lt;&gt;"",Company_PC_inputs!AW73,""))</f>
        <v>0</v>
      </c>
      <c r="AX73" s="578">
        <f>IF(Ofwat_PC_Interventions!AX73&lt;&gt;"",Ofwat_PC_Interventions!AX73,IF(Company_PC_inputs!AX73&lt;&gt;"",Company_PC_inputs!AX73,""))</f>
        <v>0</v>
      </c>
      <c r="AY73" s="578">
        <f>IF(Ofwat_PC_Interventions!AY73&lt;&gt;"",Ofwat_PC_Interventions!AY73,IF(Company_PC_inputs!AY73&lt;&gt;"",Company_PC_inputs!AY73,""))</f>
        <v>0</v>
      </c>
      <c r="AZ73" s="578" t="str">
        <f>IF(Ofwat_PC_Interventions!AZ73&lt;&gt;"",Ofwat_PC_Interventions!AZ73,IF(Company_PC_inputs!AZ73&lt;&gt;"",Company_PC_inputs!AZ73,""))</f>
        <v/>
      </c>
      <c r="BA73" s="578" t="str">
        <f>IF(Ofwat_PC_Interventions!BA73&lt;&gt;"",Ofwat_PC_Interventions!BA73,IF(Company_PC_inputs!BA73&lt;&gt;"",Company_PC_inputs!BA73,""))</f>
        <v/>
      </c>
      <c r="BB73" s="578" t="str">
        <f>IF(Ofwat_PC_Interventions!BB73&lt;&gt;"",Ofwat_PC_Interventions!BB73,IF(Company_PC_inputs!BB73&lt;&gt;"",Company_PC_inputs!BB73,""))</f>
        <v/>
      </c>
      <c r="BC73" s="579" t="str">
        <f>IF(Ofwat_PC_Interventions!BC73&lt;&gt;"",Ofwat_PC_Interventions!BC73,IF(Company_PC_inputs!BC73&lt;&gt;"",Company_PC_inputs!BC73,""))</f>
        <v/>
      </c>
      <c r="BD73" s="578" t="str">
        <f>IF(Ofwat_PC_Interventions!BD73&lt;&gt;"",Ofwat_PC_Interventions!BD73,IF(Company_PC_inputs!BD73&lt;&gt;"",Company_PC_inputs!BD73,""))</f>
        <v/>
      </c>
      <c r="BE73" s="578" t="str">
        <f>IF(Ofwat_PC_Interventions!BE73&lt;&gt;"",Ofwat_PC_Interventions!BE73,IF(Company_PC_inputs!BE73&lt;&gt;"",Company_PC_inputs!BE73,""))</f>
        <v/>
      </c>
      <c r="BF73" s="578" t="str">
        <f>IF(Ofwat_PC_Interventions!BF73&lt;&gt;"",Ofwat_PC_Interventions!BF73,IF(Company_PC_inputs!BF73&lt;&gt;"",Company_PC_inputs!BF73,""))</f>
        <v/>
      </c>
      <c r="BG73" s="578" t="str">
        <f>IF(Ofwat_PC_Interventions!BG73&lt;&gt;"",Ofwat_PC_Interventions!BG73,IF(Company_PC_inputs!BG73&lt;&gt;"",Company_PC_inputs!BG73,""))</f>
        <v/>
      </c>
      <c r="BH73" s="578" t="str">
        <f>IF(Ofwat_PC_Interventions!BH73&lt;&gt;"",Ofwat_PC_Interventions!BH73,IF(Company_PC_inputs!BH73&lt;&gt;"",Company_PC_inputs!BH73,""))</f>
        <v/>
      </c>
      <c r="BI73" s="578" t="str">
        <f>IF(Ofwat_PC_Interventions!BI73&lt;&gt;"",Ofwat_PC_Interventions!BI73,IF(Company_PC_inputs!BI73&lt;&gt;"",Company_PC_inputs!BI73,""))</f>
        <v/>
      </c>
      <c r="BJ73" s="578" t="str">
        <f>IF(Ofwat_PC_Interventions!BJ73&lt;&gt;"",Ofwat_PC_Interventions!BJ73,IF(Company_PC_inputs!BJ73&lt;&gt;"",Company_PC_inputs!BJ73,""))</f>
        <v/>
      </c>
      <c r="BK73" s="578" t="str">
        <f>IF(Ofwat_PC_Interventions!BK73&lt;&gt;"",Ofwat_PC_Interventions!BK73,IF(Company_PC_inputs!BK73&lt;&gt;"",Company_PC_inputs!BK73,""))</f>
        <v/>
      </c>
      <c r="BL73" s="578" t="str">
        <f>IF(Ofwat_PC_Interventions!BL73&lt;&gt;"",Ofwat_PC_Interventions!BL73,IF(Company_PC_inputs!BL73&lt;&gt;"",Company_PC_inputs!BL73,""))</f>
        <v/>
      </c>
      <c r="BM73" s="578" t="str">
        <f>IF(Ofwat_PC_Interventions!BM73&lt;&gt;"",Ofwat_PC_Interventions!BM73,IF(Company_PC_inputs!BM73&lt;&gt;"",Company_PC_inputs!BM73,""))</f>
        <v/>
      </c>
      <c r="BN73" s="578" t="str">
        <f>IF(Ofwat_PC_Interventions!BN73&lt;&gt;"",Ofwat_PC_Interventions!BN73,IF(Company_PC_inputs!BN73&lt;&gt;"",Company_PC_inputs!BN73,""))</f>
        <v/>
      </c>
      <c r="BO73" s="578" t="str">
        <f>IF(Ofwat_PC_Interventions!BO73&lt;&gt;"",Ofwat_PC_Interventions!BO73,IF(Company_PC_inputs!BO73&lt;&gt;"",Company_PC_inputs!BO73,""))</f>
        <v/>
      </c>
      <c r="BP73" s="578" t="str">
        <f>IF(Ofwat_PC_Interventions!BP73&lt;&gt;"",Ofwat_PC_Interventions!BP73,IF(Company_PC_inputs!BP73&lt;&gt;"",Company_PC_inputs!BP73,""))</f>
        <v/>
      </c>
      <c r="BQ73" s="578" t="str">
        <f>IF(Ofwat_PC_Interventions!BQ73&lt;&gt;"",Ofwat_PC_Interventions!BQ73,IF(Company_PC_inputs!BQ73&lt;&gt;"",Company_PC_inputs!BQ73,""))</f>
        <v/>
      </c>
      <c r="BR73" s="578" t="str">
        <f>IF(Ofwat_PC_Interventions!BR73&lt;&gt;"",Ofwat_PC_Interventions!BR73,IF(Company_PC_inputs!BR73&lt;&gt;"",Company_PC_inputs!BR73,""))</f>
        <v/>
      </c>
      <c r="BS73" s="578" t="str">
        <f>IF(Ofwat_PC_Interventions!BS73&lt;&gt;"",Ofwat_PC_Interventions!BS73,IF(Company_PC_inputs!BS73&lt;&gt;"",Company_PC_inputs!BS73,""))</f>
        <v/>
      </c>
    </row>
    <row r="74" spans="1:71" s="202" customFormat="1" ht="13.15">
      <c r="A74" s="453"/>
      <c r="B74" s="453"/>
      <c r="C74" s="453"/>
      <c r="D74" s="453"/>
      <c r="E74" s="453" t="s">
        <v>1197</v>
      </c>
      <c r="F74" s="453"/>
      <c r="G74" s="453" t="s">
        <v>1146</v>
      </c>
      <c r="H74" s="453"/>
      <c r="I74" s="453"/>
      <c r="J74" s="578" t="str">
        <f>IF(Ofwat_PC_Interventions!J74&lt;&gt;"",Ofwat_PC_Interventions!J74,IF(Company_PC_inputs!J74&lt;&gt;"",Company_PC_inputs!J74,""))</f>
        <v/>
      </c>
      <c r="K74" s="578" t="str">
        <f>IF(Ofwat_PC_Interventions!K74&lt;&gt;"",Ofwat_PC_Interventions!K74,IF(Company_PC_inputs!K74&lt;&gt;"",Company_PC_inputs!K74,""))</f>
        <v/>
      </c>
      <c r="L74" s="578" t="str">
        <f>IF(Ofwat_PC_Interventions!L74&lt;&gt;"",Ofwat_PC_Interventions!L74,IF(Company_PC_inputs!L74&lt;&gt;"",Company_PC_inputs!L74,""))</f>
        <v/>
      </c>
      <c r="M74" s="578" t="str">
        <f>IF(Ofwat_PC_Interventions!M74&lt;&gt;"",Ofwat_PC_Interventions!M74,IF(Company_PC_inputs!M74&lt;&gt;"",Company_PC_inputs!M74,""))</f>
        <v/>
      </c>
      <c r="N74" s="578" t="str">
        <f>IF(Ofwat_PC_Interventions!N74&lt;&gt;"",Ofwat_PC_Interventions!N74,IF(Company_PC_inputs!N74&lt;&gt;"",Company_PC_inputs!N74,""))</f>
        <v/>
      </c>
      <c r="O74" s="578" t="str">
        <f>IF(Ofwat_PC_Interventions!O74&lt;&gt;"",Ofwat_PC_Interventions!O74,IF(Company_PC_inputs!O74&lt;&gt;"",Company_PC_inputs!O74,""))</f>
        <v/>
      </c>
      <c r="P74" s="578" t="str">
        <f>IF(Ofwat_PC_Interventions!P74&lt;&gt;"",Ofwat_PC_Interventions!P74,IF(Company_PC_inputs!P74&lt;&gt;"",Company_PC_inputs!P74,""))</f>
        <v/>
      </c>
      <c r="Q74" s="579" t="str">
        <f>IF(Ofwat_PC_Interventions!Q74&lt;&gt;"",Ofwat_PC_Interventions!Q74,IF(Company_PC_inputs!Q74&lt;&gt;"",Company_PC_inputs!Q74,""))</f>
        <v/>
      </c>
      <c r="R74" s="578">
        <f>IF(Ofwat_PC_Interventions!R74&lt;&gt;"",Ofwat_PC_Interventions!R74,IF(Company_PC_inputs!R74&lt;&gt;"",Company_PC_inputs!R74,""))</f>
        <v>0</v>
      </c>
      <c r="S74" s="578">
        <f>IF(Ofwat_PC_Interventions!S74&lt;&gt;"",Ofwat_PC_Interventions!S74,IF(Company_PC_inputs!S74&lt;&gt;"",Company_PC_inputs!S74,""))</f>
        <v>0</v>
      </c>
      <c r="T74" s="578">
        <f>IF(Ofwat_PC_Interventions!T74&lt;&gt;"",Ofwat_PC_Interventions!T74,IF(Company_PC_inputs!T74&lt;&gt;"",Company_PC_inputs!T74,""))</f>
        <v>0</v>
      </c>
      <c r="U74" s="578">
        <f>IF(Ofwat_PC_Interventions!U74&lt;&gt;"",Ofwat_PC_Interventions!U74,IF(Company_PC_inputs!U74&lt;&gt;"",Company_PC_inputs!U74,""))</f>
        <v>0</v>
      </c>
      <c r="V74" s="578">
        <f>IF(Ofwat_PC_Interventions!V74&lt;&gt;"",Ofwat_PC_Interventions!V74,IF(Company_PC_inputs!V74&lt;&gt;"",Company_PC_inputs!V74,""))</f>
        <v>0</v>
      </c>
      <c r="W74" s="578">
        <f>IF(Ofwat_PC_Interventions!W74&lt;&gt;"",Ofwat_PC_Interventions!W74,IF(Company_PC_inputs!W74&lt;&gt;"",Company_PC_inputs!W74,""))</f>
        <v>0</v>
      </c>
      <c r="X74" s="578">
        <f>IF(Ofwat_PC_Interventions!X74&lt;&gt;"",Ofwat_PC_Interventions!X74,IF(Company_PC_inputs!X74&lt;&gt;"",Company_PC_inputs!X74,""))</f>
        <v>0</v>
      </c>
      <c r="Y74" s="578">
        <f>IF(Ofwat_PC_Interventions!Y74&lt;&gt;"",Ofwat_PC_Interventions!Y74,IF(Company_PC_inputs!Y74&lt;&gt;"",Company_PC_inputs!Y74,""))</f>
        <v>0</v>
      </c>
      <c r="Z74" s="578">
        <f>IF(Ofwat_PC_Interventions!Z74&lt;&gt;"",Ofwat_PC_Interventions!Z74,IF(Company_PC_inputs!Z74&lt;&gt;"",Company_PC_inputs!Z74,""))</f>
        <v>0</v>
      </c>
      <c r="AA74" s="578" t="str">
        <f>IF(Ofwat_PC_Interventions!AA74&lt;&gt;"",Ofwat_PC_Interventions!AA74,IF(Company_PC_inputs!AA74&lt;&gt;"",Company_PC_inputs!AA74,""))</f>
        <v/>
      </c>
      <c r="AB74" s="578" t="str">
        <f>IF(Ofwat_PC_Interventions!AB74&lt;&gt;"",Ofwat_PC_Interventions!AB74,IF(Company_PC_inputs!AB74&lt;&gt;"",Company_PC_inputs!AB74,""))</f>
        <v/>
      </c>
      <c r="AC74" s="578" t="str">
        <f>IF(Ofwat_PC_Interventions!AC74&lt;&gt;"",Ofwat_PC_Interventions!AC74,IF(Company_PC_inputs!AC74&lt;&gt;"",Company_PC_inputs!AC74,""))</f>
        <v/>
      </c>
      <c r="AD74" s="578" t="str">
        <f>IF(Ofwat_PC_Interventions!AD74&lt;&gt;"",Ofwat_PC_Interventions!AD74,IF(Company_PC_inputs!AD74&lt;&gt;"",Company_PC_inputs!AD74,""))</f>
        <v/>
      </c>
      <c r="AE74" s="578" t="str">
        <f>IF(Ofwat_PC_Interventions!AE74&lt;&gt;"",Ofwat_PC_Interventions!AE74,IF(Company_PC_inputs!AE74&lt;&gt;"",Company_PC_inputs!AE74,""))</f>
        <v/>
      </c>
      <c r="AF74" s="578" t="str">
        <f>IF(Ofwat_PC_Interventions!AF74&lt;&gt;"",Ofwat_PC_Interventions!AF74,IF(Company_PC_inputs!AF74&lt;&gt;"",Company_PC_inputs!AF74,""))</f>
        <v/>
      </c>
      <c r="AG74" s="578" t="str">
        <f>IF(Ofwat_PC_Interventions!AG74&lt;&gt;"",Ofwat_PC_Interventions!AG74,IF(Company_PC_inputs!AG74&lt;&gt;"",Company_PC_inputs!AG74,""))</f>
        <v/>
      </c>
      <c r="AH74" s="578" t="str">
        <f>IF(Ofwat_PC_Interventions!AH74&lt;&gt;"",Ofwat_PC_Interventions!AH74,IF(Company_PC_inputs!AH74&lt;&gt;"",Company_PC_inputs!AH74,""))</f>
        <v/>
      </c>
      <c r="AI74" s="578" t="str">
        <f>IF(Ofwat_PC_Interventions!AI74&lt;&gt;"",Ofwat_PC_Interventions!AI74,IF(Company_PC_inputs!AI74&lt;&gt;"",Company_PC_inputs!AI74,""))</f>
        <v/>
      </c>
      <c r="AJ74" s="578" t="str">
        <f>IF(Ofwat_PC_Interventions!AJ74&lt;&gt;"",Ofwat_PC_Interventions!AJ74,IF(Company_PC_inputs!AJ74&lt;&gt;"",Company_PC_inputs!AJ74,""))</f>
        <v/>
      </c>
      <c r="AK74" s="579" t="str">
        <f>IF(Ofwat_PC_Interventions!AK74&lt;&gt;"",Ofwat_PC_Interventions!AK74,IF(Company_PC_inputs!AK74&lt;&gt;"",Company_PC_inputs!AK74,""))</f>
        <v/>
      </c>
      <c r="AL74" s="578" t="str">
        <f>IF(Ofwat_PC_Interventions!AL74&lt;&gt;"",Ofwat_PC_Interventions!AL74,IF(Company_PC_inputs!AL74&lt;&gt;"",Company_PC_inputs!AL74,""))</f>
        <v/>
      </c>
      <c r="AM74" s="578" t="str">
        <f>IF(Ofwat_PC_Interventions!AM74&lt;&gt;"",Ofwat_PC_Interventions!AM74,IF(Company_PC_inputs!AM74&lt;&gt;"",Company_PC_inputs!AM74,""))</f>
        <v/>
      </c>
      <c r="AN74" s="578" t="str">
        <f>IF(Ofwat_PC_Interventions!AN74&lt;&gt;"",Ofwat_PC_Interventions!AN74,IF(Company_PC_inputs!AN74&lt;&gt;"",Company_PC_inputs!AN74,""))</f>
        <v/>
      </c>
      <c r="AO74" s="579" t="str">
        <f>IF(Ofwat_PC_Interventions!AO74&lt;&gt;"",Ofwat_PC_Interventions!AO74,IF(Company_PC_inputs!AO74&lt;&gt;"",Company_PC_inputs!AO74,""))</f>
        <v/>
      </c>
      <c r="AP74" s="578">
        <f>IF(Ofwat_PC_Interventions!AP74&lt;&gt;"",Ofwat_PC_Interventions!AP74,IF(Company_PC_inputs!AP74&lt;&gt;"",Company_PC_inputs!AP74,""))</f>
        <v>0</v>
      </c>
      <c r="AQ74" s="578">
        <f>IF(Ofwat_PC_Interventions!AQ74&lt;&gt;"",Ofwat_PC_Interventions!AQ74,IF(Company_PC_inputs!AQ74&lt;&gt;"",Company_PC_inputs!AQ74,""))</f>
        <v>0</v>
      </c>
      <c r="AR74" s="578">
        <f>IF(Ofwat_PC_Interventions!AR74&lt;&gt;"",Ofwat_PC_Interventions!AR74,IF(Company_PC_inputs!AR74&lt;&gt;"",Company_PC_inputs!AR74,""))</f>
        <v>0</v>
      </c>
      <c r="AS74" s="578">
        <f>IF(Ofwat_PC_Interventions!AS74&lt;&gt;"",Ofwat_PC_Interventions!AS74,IF(Company_PC_inputs!AS74&lt;&gt;"",Company_PC_inputs!AS74,""))</f>
        <v>0</v>
      </c>
      <c r="AT74" s="578">
        <f>IF(Ofwat_PC_Interventions!AT74&lt;&gt;"",Ofwat_PC_Interventions!AT74,IF(Company_PC_inputs!AT74&lt;&gt;"",Company_PC_inputs!AT74,""))</f>
        <v>0</v>
      </c>
      <c r="AU74" s="578">
        <f>IF(Ofwat_PC_Interventions!AU74&lt;&gt;"",Ofwat_PC_Interventions!AU74,IF(Company_PC_inputs!AU74&lt;&gt;"",Company_PC_inputs!AU74,""))</f>
        <v>0</v>
      </c>
      <c r="AV74" s="578">
        <f>IF(Ofwat_PC_Interventions!AV74&lt;&gt;"",Ofwat_PC_Interventions!AV74,IF(Company_PC_inputs!AV74&lt;&gt;"",Company_PC_inputs!AV74,""))</f>
        <v>0</v>
      </c>
      <c r="AW74" s="578">
        <f>IF(Ofwat_PC_Interventions!AW74&lt;&gt;"",Ofwat_PC_Interventions!AW74,IF(Company_PC_inputs!AW74&lt;&gt;"",Company_PC_inputs!AW74,""))</f>
        <v>0</v>
      </c>
      <c r="AX74" s="578">
        <f>IF(Ofwat_PC_Interventions!AX74&lt;&gt;"",Ofwat_PC_Interventions!AX74,IF(Company_PC_inputs!AX74&lt;&gt;"",Company_PC_inputs!AX74,""))</f>
        <v>0</v>
      </c>
      <c r="AY74" s="578">
        <f>IF(Ofwat_PC_Interventions!AY74&lt;&gt;"",Ofwat_PC_Interventions!AY74,IF(Company_PC_inputs!AY74&lt;&gt;"",Company_PC_inputs!AY74,""))</f>
        <v>0</v>
      </c>
      <c r="AZ74" s="578" t="str">
        <f>IF(Ofwat_PC_Interventions!AZ74&lt;&gt;"",Ofwat_PC_Interventions!AZ74,IF(Company_PC_inputs!AZ74&lt;&gt;"",Company_PC_inputs!AZ74,""))</f>
        <v/>
      </c>
      <c r="BA74" s="578" t="str">
        <f>IF(Ofwat_PC_Interventions!BA74&lt;&gt;"",Ofwat_PC_Interventions!BA74,IF(Company_PC_inputs!BA74&lt;&gt;"",Company_PC_inputs!BA74,""))</f>
        <v/>
      </c>
      <c r="BB74" s="578" t="str">
        <f>IF(Ofwat_PC_Interventions!BB74&lt;&gt;"",Ofwat_PC_Interventions!BB74,IF(Company_PC_inputs!BB74&lt;&gt;"",Company_PC_inputs!BB74,""))</f>
        <v/>
      </c>
      <c r="BC74" s="579" t="str">
        <f>IF(Ofwat_PC_Interventions!BC74&lt;&gt;"",Ofwat_PC_Interventions!BC74,IF(Company_PC_inputs!BC74&lt;&gt;"",Company_PC_inputs!BC74,""))</f>
        <v/>
      </c>
      <c r="BD74" s="578" t="str">
        <f>IF(Ofwat_PC_Interventions!BD74&lt;&gt;"",Ofwat_PC_Interventions!BD74,IF(Company_PC_inputs!BD74&lt;&gt;"",Company_PC_inputs!BD74,""))</f>
        <v/>
      </c>
      <c r="BE74" s="578" t="str">
        <f>IF(Ofwat_PC_Interventions!BE74&lt;&gt;"",Ofwat_PC_Interventions!BE74,IF(Company_PC_inputs!BE74&lt;&gt;"",Company_PC_inputs!BE74,""))</f>
        <v/>
      </c>
      <c r="BF74" s="578" t="str">
        <f>IF(Ofwat_PC_Interventions!BF74&lt;&gt;"",Ofwat_PC_Interventions!BF74,IF(Company_PC_inputs!BF74&lt;&gt;"",Company_PC_inputs!BF74,""))</f>
        <v/>
      </c>
      <c r="BG74" s="578" t="str">
        <f>IF(Ofwat_PC_Interventions!BG74&lt;&gt;"",Ofwat_PC_Interventions!BG74,IF(Company_PC_inputs!BG74&lt;&gt;"",Company_PC_inputs!BG74,""))</f>
        <v/>
      </c>
      <c r="BH74" s="578" t="str">
        <f>IF(Ofwat_PC_Interventions!BH74&lt;&gt;"",Ofwat_PC_Interventions!BH74,IF(Company_PC_inputs!BH74&lt;&gt;"",Company_PC_inputs!BH74,""))</f>
        <v/>
      </c>
      <c r="BI74" s="578" t="str">
        <f>IF(Ofwat_PC_Interventions!BI74&lt;&gt;"",Ofwat_PC_Interventions!BI74,IF(Company_PC_inputs!BI74&lt;&gt;"",Company_PC_inputs!BI74,""))</f>
        <v/>
      </c>
      <c r="BJ74" s="578" t="str">
        <f>IF(Ofwat_PC_Interventions!BJ74&lt;&gt;"",Ofwat_PC_Interventions!BJ74,IF(Company_PC_inputs!BJ74&lt;&gt;"",Company_PC_inputs!BJ74,""))</f>
        <v/>
      </c>
      <c r="BK74" s="578" t="str">
        <f>IF(Ofwat_PC_Interventions!BK74&lt;&gt;"",Ofwat_PC_Interventions!BK74,IF(Company_PC_inputs!BK74&lt;&gt;"",Company_PC_inputs!BK74,""))</f>
        <v/>
      </c>
      <c r="BL74" s="578" t="str">
        <f>IF(Ofwat_PC_Interventions!BL74&lt;&gt;"",Ofwat_PC_Interventions!BL74,IF(Company_PC_inputs!BL74&lt;&gt;"",Company_PC_inputs!BL74,""))</f>
        <v/>
      </c>
      <c r="BM74" s="578" t="str">
        <f>IF(Ofwat_PC_Interventions!BM74&lt;&gt;"",Ofwat_PC_Interventions!BM74,IF(Company_PC_inputs!BM74&lt;&gt;"",Company_PC_inputs!BM74,""))</f>
        <v/>
      </c>
      <c r="BN74" s="578" t="str">
        <f>IF(Ofwat_PC_Interventions!BN74&lt;&gt;"",Ofwat_PC_Interventions!BN74,IF(Company_PC_inputs!BN74&lt;&gt;"",Company_PC_inputs!BN74,""))</f>
        <v/>
      </c>
      <c r="BO74" s="578" t="str">
        <f>IF(Ofwat_PC_Interventions!BO74&lt;&gt;"",Ofwat_PC_Interventions!BO74,IF(Company_PC_inputs!BO74&lt;&gt;"",Company_PC_inputs!BO74,""))</f>
        <v/>
      </c>
      <c r="BP74" s="578" t="str">
        <f>IF(Ofwat_PC_Interventions!BP74&lt;&gt;"",Ofwat_PC_Interventions!BP74,IF(Company_PC_inputs!BP74&lt;&gt;"",Company_PC_inputs!BP74,""))</f>
        <v/>
      </c>
      <c r="BQ74" s="578" t="str">
        <f>IF(Ofwat_PC_Interventions!BQ74&lt;&gt;"",Ofwat_PC_Interventions!BQ74,IF(Company_PC_inputs!BQ74&lt;&gt;"",Company_PC_inputs!BQ74,""))</f>
        <v/>
      </c>
      <c r="BR74" s="578" t="str">
        <f>IF(Ofwat_PC_Interventions!BR74&lt;&gt;"",Ofwat_PC_Interventions!BR74,IF(Company_PC_inputs!BR74&lt;&gt;"",Company_PC_inputs!BR74,""))</f>
        <v/>
      </c>
      <c r="BS74" s="578" t="str">
        <f>IF(Ofwat_PC_Interventions!BS74&lt;&gt;"",Ofwat_PC_Interventions!BS74,IF(Company_PC_inputs!BS74&lt;&gt;"",Company_PC_inputs!BS74,""))</f>
        <v/>
      </c>
    </row>
    <row r="75" spans="1:71" s="202" customFormat="1" ht="13.15">
      <c r="A75" s="453"/>
      <c r="B75" s="453"/>
      <c r="C75" s="453"/>
      <c r="D75" s="453"/>
      <c r="E75" s="453"/>
      <c r="F75" s="453"/>
      <c r="G75" s="453"/>
      <c r="H75" s="453"/>
      <c r="I75" s="453"/>
      <c r="J75" s="453"/>
      <c r="K75" s="453"/>
      <c r="L75" s="453"/>
      <c r="M75" s="453"/>
      <c r="N75" s="453"/>
      <c r="O75" s="453"/>
      <c r="P75" s="453"/>
      <c r="Q75" s="453"/>
      <c r="R75" s="453"/>
      <c r="S75" s="453"/>
      <c r="T75" s="453"/>
      <c r="U75" s="453"/>
      <c r="V75" s="453"/>
      <c r="W75" s="453"/>
      <c r="X75" s="453"/>
      <c r="Y75" s="453"/>
      <c r="Z75" s="453"/>
      <c r="AA75" s="453"/>
      <c r="AB75" s="453"/>
      <c r="AC75" s="453"/>
      <c r="AD75" s="453"/>
      <c r="AE75" s="453"/>
      <c r="AF75" s="453"/>
      <c r="AG75" s="453"/>
      <c r="AH75" s="453"/>
      <c r="AI75" s="453"/>
      <c r="AJ75" s="453"/>
      <c r="AK75" s="453"/>
      <c r="AL75" s="453"/>
      <c r="AM75" s="453"/>
      <c r="AN75" s="453"/>
      <c r="AO75" s="453"/>
      <c r="AP75" s="453"/>
      <c r="AQ75" s="453"/>
      <c r="AR75" s="453"/>
      <c r="AS75" s="453"/>
      <c r="AT75" s="453"/>
      <c r="AU75" s="453"/>
      <c r="AV75" s="453"/>
      <c r="AW75" s="453"/>
      <c r="AX75" s="453"/>
      <c r="AY75" s="453"/>
      <c r="AZ75" s="453"/>
      <c r="BA75" s="453"/>
      <c r="BB75" s="453"/>
      <c r="BC75" s="453"/>
      <c r="BD75" s="453"/>
      <c r="BE75" s="453"/>
      <c r="BF75" s="453"/>
      <c r="BG75" s="453"/>
      <c r="BH75" s="453"/>
      <c r="BI75" s="453"/>
      <c r="BJ75" s="453"/>
      <c r="BK75" s="453"/>
      <c r="BL75" s="453"/>
      <c r="BM75" s="453"/>
      <c r="BN75" s="453"/>
      <c r="BO75" s="453"/>
      <c r="BP75" s="453"/>
      <c r="BQ75" s="453"/>
      <c r="BR75" s="453"/>
      <c r="BS75" s="453"/>
    </row>
    <row r="76" spans="1:71" s="202" customFormat="1" ht="20.25">
      <c r="A76" s="536" t="s">
        <v>980</v>
      </c>
      <c r="B76" s="221"/>
      <c r="C76" s="222"/>
      <c r="D76" s="223"/>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row>
    <row r="77" spans="1:71" s="202" customFormat="1"/>
    <row r="78" spans="1:71" s="202" customFormat="1"/>
    <row r="79" spans="1:71" s="202" customFormat="1"/>
    <row r="80" spans="1:71" s="202" customFormat="1"/>
    <row r="81" s="202" customFormat="1"/>
    <row r="82" s="202" customFormat="1"/>
    <row r="83" s="202" customFormat="1"/>
    <row r="84" s="202" customFormat="1"/>
    <row r="85" s="202" customFormat="1"/>
    <row r="86" s="202" customFormat="1"/>
    <row r="87" s="202" customFormat="1"/>
    <row r="88" s="202" customFormat="1"/>
    <row r="89" s="202" customFormat="1"/>
    <row r="90" s="202" customFormat="1"/>
    <row r="91" s="202" customFormat="1"/>
    <row r="92" s="202" customFormat="1"/>
    <row r="93" s="202" customFormat="1"/>
    <row r="94" s="202" customFormat="1"/>
    <row r="95" s="202" customFormat="1"/>
    <row r="96" s="202" customFormat="1"/>
    <row r="97" s="202" customFormat="1"/>
    <row r="98" s="202" customFormat="1"/>
    <row r="99" s="202" customFormat="1"/>
    <row r="100" s="202" customFormat="1"/>
    <row r="101" s="202" customFormat="1"/>
    <row r="102" s="202" customFormat="1"/>
    <row r="103" s="202" customFormat="1"/>
    <row r="104" s="202" customFormat="1"/>
    <row r="105" s="202" customFormat="1"/>
    <row r="106" s="202" customFormat="1"/>
    <row r="107" s="202" customFormat="1"/>
    <row r="108" s="202" customFormat="1"/>
    <row r="109" s="202" customFormat="1"/>
    <row r="110" s="202" customFormat="1"/>
    <row r="111" s="202" customFormat="1"/>
    <row r="112" s="202" customFormat="1"/>
    <row r="113" s="202" customFormat="1"/>
    <row r="114" s="202" customFormat="1"/>
  </sheetData>
  <conditionalFormatting sqref="H76:BS76">
    <cfRule type="cellIs" dxfId="198" priority="20" operator="equal">
      <formula>0</formula>
    </cfRule>
  </conditionalFormatting>
  <conditionalFormatting sqref="J13:BS13">
    <cfRule type="expression" dxfId="194" priority="2">
      <formula>AND(J13=FALSE,J13&lt;&gt;"")</formula>
    </cfRule>
  </conditionalFormatting>
  <conditionalFormatting sqref="J68:BS74">
    <cfRule type="cellIs" dxfId="192" priority="3" operator="equal">
      <formula>0</formula>
    </cfRule>
  </conditionalFormatting>
  <dataValidations count="6">
    <dataValidation type="custom" allowBlank="1" showInputMessage="1" showErrorMessage="1" sqref="J50:BS50 J60:BS60 J64:BS64" xr:uid="{00000000-0002-0000-1600-000000000000}">
      <formula1>J50&lt;0</formula1>
    </dataValidation>
    <dataValidation type="custom" allowBlank="1" showInputMessage="1" showErrorMessage="1" sqref="J49:BS49 J59:BS59 J63:BS63" xr:uid="{00000000-0002-0000-1600-000001000000}">
      <formula1>J49&gt;0</formula1>
    </dataValidation>
    <dataValidation type="list" allowBlank="1" showInputMessage="1" showErrorMessage="1" sqref="BD19:BS20 BD53:BS53" xr:uid="{00000000-0002-0000-1600-000002000000}">
      <formula1>"TRUE, FALSE"</formula1>
    </dataValidation>
    <dataValidation type="custom" allowBlank="1" showInputMessage="1" showErrorMessage="1" sqref="J27:BS29" xr:uid="{00000000-0002-0000-1600-000003000000}">
      <formula1>J27&lt;=0</formula1>
    </dataValidation>
    <dataValidation type="custom" allowBlank="1" showInputMessage="1" showErrorMessage="1" sqref="J23:BS23" xr:uid="{00000000-0002-0000-1600-000004000000}">
      <formula1>J23&gt;=0</formula1>
    </dataValidation>
    <dataValidation type="custom" allowBlank="1" showInputMessage="1" showErrorMessage="1" sqref="J24:BS25" xr:uid="{00000000-0002-0000-16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69" formatCode="[$-F400]h:mm:ss\ AM/PM"/>
            </x14:dxf>
          </x14:cfRule>
          <xm:sqref>J7:BS7</xm:sqref>
        </x14:conditionalFormatting>
        <x14:conditionalFormatting xmlns:xm="http://schemas.microsoft.com/office/excel/2006/main">
          <x14:cfRule type="expression" priority="28" id="{D63A84B6-306B-47DE-AADA-E0CF77636F0D}">
            <xm:f>J$31=Validation!$F$6</xm:f>
            <x14:dxf>
              <numFmt numFmtId="169"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69"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69"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6000000}">
          <x14:formula1>
            <xm:f>Validation!$L$5:$L$6</xm:f>
          </x14:formula1>
          <xm:sqref>BD65:BS65</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Validation!$J$4:$J$7</xm:f>
          </x14:formula1>
          <xm:sqref>J34:BS34</xm:sqref>
        </x14:dataValidation>
        <x14:dataValidation type="list" allowBlank="1" showInputMessage="1" showErrorMessage="1" xr:uid="{00000000-0002-0000-1600-000009000000}">
          <x14:formula1>
            <xm:f>Validation!$L$4:$L$7</xm:f>
          </x14:formula1>
          <xm:sqref>BD36:BS36</xm:sqref>
        </x14:dataValidation>
        <x14:dataValidation type="list" allowBlank="1" showInputMessage="1" showErrorMessage="1" xr:uid="{00000000-0002-0000-1600-00000A000000}">
          <x14:formula1>
            <xm:f>Validation!$M$4:$M$7</xm:f>
          </x14:formula1>
          <xm:sqref>J38:BS38</xm:sqref>
        </x14:dataValidation>
        <x14:dataValidation type="list" allowBlank="1" showInputMessage="1" showErrorMessage="1" xr:uid="{00000000-0002-0000-1600-00000B000000}">
          <x14:formula1>
            <xm:f>Validation!$F$4:$F$31</xm:f>
          </x14:formula1>
          <xm:sqref>J31:BS31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1304-96EE-4CF5-994C-AE1789145042}">
  <sheetPr>
    <tabColor theme="5"/>
    <pageSetUpPr fitToPage="1"/>
  </sheetPr>
  <dimension ref="A1:BT435"/>
  <sheetViews>
    <sheetView showGridLines="0" zoomScale="80" zoomScaleNormal="80" zoomScaleSheetLayoutView="80" workbookViewId="0">
      <pane xSplit="8" ySplit="6" topLeftCell="I7" activePane="bottomRight" state="frozen"/>
      <selection activeCell="G4" sqref="G4"/>
      <selection pane="topRight" activeCell="G4" sqref="G4"/>
      <selection pane="bottomLeft" activeCell="G4" sqref="G4"/>
      <selection pane="bottomRight"/>
    </sheetView>
  </sheetViews>
  <sheetFormatPr defaultColWidth="0" defaultRowHeight="12.75" outlineLevelCol="1"/>
  <cols>
    <col min="1" max="4" width="1.625" style="207" customWidth="1"/>
    <col min="5" max="5" width="66.75" style="207" customWidth="1"/>
    <col min="6" max="8" width="15.625" style="207" customWidth="1"/>
    <col min="9" max="9" width="2.625" style="207" customWidth="1"/>
    <col min="10" max="55" width="28.625" style="207" customWidth="1"/>
    <col min="56" max="71" width="25.625" style="207" hidden="1" customWidth="1" outlineLevel="1"/>
    <col min="72" max="72" width="8.625" style="207" hidden="1" customWidth="1" collapsed="1"/>
    <col min="73" max="16384" width="8.625" style="207" hidden="1"/>
  </cols>
  <sheetData>
    <row r="1" spans="1:71" s="226" customFormat="1" ht="44.25">
      <c r="A1" s="447" t="str">
        <f ca="1" xml:space="preserve"> RIGHT(CELL("filename", $A$1), LEN(CELL("filename", $A$1)) - SEARCH("]", CELL("filename", $A$1)))</f>
        <v>Performance</v>
      </c>
      <c r="B1" s="447"/>
      <c r="C1" s="199"/>
      <c r="D1" s="199"/>
      <c r="E1" s="199"/>
      <c r="F1" s="199"/>
      <c r="G1" s="199"/>
      <c r="H1" s="199"/>
      <c r="I1" s="199"/>
      <c r="J1" s="447" t="str">
        <f>InpCompany!F5</f>
        <v>Southern Water</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192"/>
      <c r="BE1" s="1192"/>
      <c r="BF1" s="1192"/>
      <c r="BG1" s="1192"/>
      <c r="BH1" s="1192"/>
      <c r="BI1" s="1192"/>
      <c r="BJ1" s="1192"/>
      <c r="BK1" s="1192"/>
      <c r="BL1" s="1192"/>
      <c r="BM1" s="1192"/>
      <c r="BN1" s="1192"/>
      <c r="BO1" s="1192"/>
      <c r="BP1" s="1192"/>
      <c r="BQ1" s="1192"/>
      <c r="BR1" s="1192"/>
      <c r="BS1" s="1192"/>
    </row>
    <row r="2" spans="1:71" s="202" customFormat="1" ht="13.15">
      <c r="A2" s="453"/>
      <c r="B2" s="453"/>
      <c r="C2" s="453"/>
      <c r="D2" s="453"/>
      <c r="E2" s="453"/>
      <c r="F2" s="462" t="s">
        <v>1130</v>
      </c>
      <c r="G2" s="462" t="s">
        <v>114</v>
      </c>
      <c r="H2" s="462" t="s">
        <v>1131</v>
      </c>
      <c r="I2" s="46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row>
    <row r="3" spans="1:71" s="227" customFormat="1" ht="13.15">
      <c r="A3" s="580" t="s">
        <v>1151</v>
      </c>
      <c r="B3" s="581"/>
      <c r="C3" s="582"/>
      <c r="D3" s="468"/>
      <c r="E3" s="468"/>
      <c r="F3" s="468"/>
      <c r="G3" s="468"/>
      <c r="H3" s="468"/>
      <c r="I3" s="468"/>
      <c r="J3" s="469" t="str">
        <f>IF(InpPerformance!J3&lt;&gt;"",InpPerformance!J3,"")</f>
        <v>Water | Common | Financial</v>
      </c>
      <c r="K3" s="469" t="str">
        <f>IF(InpPerformance!K3&lt;&gt;"",InpPerformance!K3,"")</f>
        <v>Water | Common | Financial</v>
      </c>
      <c r="L3" s="469" t="str">
        <f>IF(InpPerformance!L3&lt;&gt;"",InpPerformance!L3,"")</f>
        <v>Water | Common | Financial</v>
      </c>
      <c r="M3" s="469" t="str">
        <f>IF(InpPerformance!M3&lt;&gt;"",InpPerformance!M3,"")</f>
        <v>Water | Common | Financial</v>
      </c>
      <c r="N3" s="469" t="str">
        <f>IF(InpPerformance!N3&lt;&gt;"",InpPerformance!N3,"")</f>
        <v>Water | Common | Financial</v>
      </c>
      <c r="O3" s="469" t="str">
        <f>IF(InpPerformance!O3&lt;&gt;"",InpPerformance!O3,"")</f>
        <v>Water | Common | Financial</v>
      </c>
      <c r="P3" s="469" t="str">
        <f>IF(InpPerformance!P3&lt;&gt;"",InpPerformance!P3,"")</f>
        <v>Water | Common | Financial</v>
      </c>
      <c r="Q3" s="470" t="str">
        <f>IF(InpPerformance!Q3&lt;&gt;"",InpPerformance!Q3,"")</f>
        <v>Water | Common | Financial</v>
      </c>
      <c r="R3" s="469" t="str">
        <f>IF(InpPerformance!R3&lt;&gt;"",InpPerformance!R3,"")</f>
        <v>Water | Bespoke | Financial</v>
      </c>
      <c r="S3" s="469" t="str">
        <f>IF(InpPerformance!S3&lt;&gt;"",InpPerformance!S3,"")</f>
        <v>Water | Bespoke | Financial</v>
      </c>
      <c r="T3" s="469" t="str">
        <f>IF(InpPerformance!T3&lt;&gt;"",InpPerformance!T3,"")</f>
        <v>Water | Bespoke | Financial</v>
      </c>
      <c r="U3" s="469" t="str">
        <f>IF(InpPerformance!U3&lt;&gt;"",InpPerformance!U3,"")</f>
        <v>Water | Bespoke | Financial</v>
      </c>
      <c r="V3" s="469" t="str">
        <f>IF(InpPerformance!V3&lt;&gt;"",InpPerformance!V3,"")</f>
        <v>Water | Bespoke | Financial</v>
      </c>
      <c r="W3" s="469" t="str">
        <f>IF(InpPerformance!W3&lt;&gt;"",InpPerformance!W3,"")</f>
        <v>Water | Bespoke | Financial</v>
      </c>
      <c r="X3" s="469" t="str">
        <f>IF(InpPerformance!X3&lt;&gt;"",InpPerformance!X3,"")</f>
        <v>Water | Bespoke | Financial</v>
      </c>
      <c r="Y3" s="469" t="str">
        <f>IF(InpPerformance!Y3&lt;&gt;"",InpPerformance!Y3,"")</f>
        <v>Water | Bespoke | Financial</v>
      </c>
      <c r="Z3" s="469" t="str">
        <f>IF(InpPerformance!Z3&lt;&gt;"",InpPerformance!Z3,"")</f>
        <v>Water | Bespoke | Financial</v>
      </c>
      <c r="AA3" s="469" t="str">
        <f>IF(InpPerformance!AA3&lt;&gt;"",InpPerformance!AA3,"")</f>
        <v>Water | Bespoke | Financial</v>
      </c>
      <c r="AB3" s="469" t="str">
        <f>IF(InpPerformance!AB3&lt;&gt;"",InpPerformance!AB3,"")</f>
        <v>Water | Bespoke | Financial</v>
      </c>
      <c r="AC3" s="469" t="str">
        <f>IF(InpPerformance!AC3&lt;&gt;"",InpPerformance!AC3,"")</f>
        <v>Water | Bespoke | Financial</v>
      </c>
      <c r="AD3" s="469" t="str">
        <f>IF(InpPerformance!AD3&lt;&gt;"",InpPerformance!AD3,"")</f>
        <v>Water | Bespoke | Financial</v>
      </c>
      <c r="AE3" s="469" t="str">
        <f>IF(InpPerformance!AE3&lt;&gt;"",InpPerformance!AE3,"")</f>
        <v>Water | Bespoke | Financial</v>
      </c>
      <c r="AF3" s="469" t="str">
        <f>IF(InpPerformance!AF3&lt;&gt;"",InpPerformance!AF3,"")</f>
        <v>Water | Bespoke | Financial</v>
      </c>
      <c r="AG3" s="469" t="str">
        <f>IF(InpPerformance!AG3&lt;&gt;"",InpPerformance!AG3,"")</f>
        <v>Water | Bespoke | Financial</v>
      </c>
      <c r="AH3" s="469" t="str">
        <f>IF(InpPerformance!AH3&lt;&gt;"",InpPerformance!AH3,"")</f>
        <v>Water | Bespoke | Financial</v>
      </c>
      <c r="AI3" s="469" t="str">
        <f>IF(InpPerformance!AI3&lt;&gt;"",InpPerformance!AI3,"")</f>
        <v>Water | Bespoke | Financial</v>
      </c>
      <c r="AJ3" s="469" t="str">
        <f>IF(InpPerformance!AJ3&lt;&gt;"",InpPerformance!AJ3,"")</f>
        <v>Water | Bespoke | Financial</v>
      </c>
      <c r="AK3" s="470" t="str">
        <f>IF(InpPerformance!AK3&lt;&gt;"",InpPerformance!AK3,"")</f>
        <v>Water | Bespoke | Financial</v>
      </c>
      <c r="AL3" s="469" t="str">
        <f>IF(InpPerformance!AL3&lt;&gt;"",InpPerformance!AL3,"")</f>
        <v>Wastewater | Common | Financial</v>
      </c>
      <c r="AM3" s="469" t="str">
        <f>IF(InpPerformance!AM3&lt;&gt;"",InpPerformance!AM3,"")</f>
        <v>Wastewater | Common | Financial</v>
      </c>
      <c r="AN3" s="469" t="str">
        <f>IF(InpPerformance!AN3&lt;&gt;"",InpPerformance!AN3,"")</f>
        <v>Wastewater | Common | Financial</v>
      </c>
      <c r="AO3" s="470" t="str">
        <f>IF(InpPerformance!AO3&lt;&gt;"",InpPerformance!AO3,"")</f>
        <v>Wastewater | Common | Financial</v>
      </c>
      <c r="AP3" s="469" t="str">
        <f>IF(InpPerformance!AP3&lt;&gt;"",InpPerformance!AP3,"")</f>
        <v>Wastewater | Bespoke | Financial</v>
      </c>
      <c r="AQ3" s="469" t="str">
        <f>IF(InpPerformance!AQ3&lt;&gt;"",InpPerformance!AQ3,"")</f>
        <v>Wastewater | Bespoke | Financial</v>
      </c>
      <c r="AR3" s="469" t="str">
        <f>IF(InpPerformance!AR3&lt;&gt;"",InpPerformance!AR3,"")</f>
        <v>Wastewater | Bespoke | Financial</v>
      </c>
      <c r="AS3" s="469" t="str">
        <f>IF(InpPerformance!AS3&lt;&gt;"",InpPerformance!AS3,"")</f>
        <v>Wastewater | Bespoke | Financial</v>
      </c>
      <c r="AT3" s="469" t="str">
        <f>IF(InpPerformance!AT3&lt;&gt;"",InpPerformance!AT3,"")</f>
        <v>Wastewater | Bespoke | Financial</v>
      </c>
      <c r="AU3" s="469" t="str">
        <f>IF(InpPerformance!AU3&lt;&gt;"",InpPerformance!AU3,"")</f>
        <v>Wastewater | Bespoke | Financial</v>
      </c>
      <c r="AV3" s="469" t="str">
        <f>IF(InpPerformance!AV3&lt;&gt;"",InpPerformance!AV3,"")</f>
        <v>Wastewater | Bespoke | Financial</v>
      </c>
      <c r="AW3" s="469" t="str">
        <f>IF(InpPerformance!AW3&lt;&gt;"",InpPerformance!AW3,"")</f>
        <v>Wastewater | Bespoke | Financial</v>
      </c>
      <c r="AX3" s="469" t="str">
        <f>IF(InpPerformance!AX3&lt;&gt;"",InpPerformance!AX3,"")</f>
        <v>Wastewater | Bespoke | Financial</v>
      </c>
      <c r="AY3" s="469" t="str">
        <f>IF(InpPerformance!AY3&lt;&gt;"",InpPerformance!AY3,"")</f>
        <v>Wastewater | Bespoke | Financial</v>
      </c>
      <c r="AZ3" s="469" t="str">
        <f>IF(InpPerformance!AZ3&lt;&gt;"",InpPerformance!AZ3,"")</f>
        <v>Wastewater | Bespoke | Financial</v>
      </c>
      <c r="BA3" s="469" t="str">
        <f>IF(InpPerformance!BA3&lt;&gt;"",InpPerformance!BA3,"")</f>
        <v>Wastewater | Bespoke | Financial</v>
      </c>
      <c r="BB3" s="469" t="str">
        <f>IF(InpPerformance!BB3&lt;&gt;"",InpPerformance!BB3,"")</f>
        <v>Wastewater | Bespoke | Financial</v>
      </c>
      <c r="BC3" s="469" t="str">
        <f>IF(InpPerformance!BC3&lt;&gt;"",InpPerformance!BC3,"")</f>
        <v>Wastewater | Bespoke | Financial</v>
      </c>
      <c r="BD3" s="468"/>
      <c r="BE3" s="468"/>
      <c r="BF3" s="468"/>
      <c r="BG3" s="468"/>
      <c r="BH3" s="468"/>
      <c r="BI3" s="468"/>
      <c r="BJ3" s="468"/>
      <c r="BK3" s="468"/>
      <c r="BL3" s="468"/>
      <c r="BM3" s="468"/>
      <c r="BN3" s="468"/>
      <c r="BO3" s="468"/>
      <c r="BP3" s="468"/>
      <c r="BQ3" s="468"/>
      <c r="BR3" s="468"/>
      <c r="BS3" s="468"/>
    </row>
    <row r="4" spans="1:71" s="202" customFormat="1" ht="13.15">
      <c r="A4" s="453"/>
      <c r="B4" s="453"/>
      <c r="C4" s="453"/>
      <c r="D4" s="453"/>
      <c r="E4" s="453"/>
      <c r="F4" s="453"/>
      <c r="G4" s="453"/>
      <c r="H4" s="453"/>
      <c r="I4" s="453"/>
      <c r="J4" s="453"/>
      <c r="K4" s="453"/>
      <c r="L4" s="453"/>
      <c r="M4" s="453"/>
      <c r="N4" s="453"/>
      <c r="O4" s="453"/>
      <c r="P4" s="453"/>
      <c r="Q4" s="507"/>
      <c r="R4" s="453"/>
      <c r="S4" s="453"/>
      <c r="T4" s="453"/>
      <c r="U4" s="453"/>
      <c r="V4" s="453"/>
      <c r="W4" s="453"/>
      <c r="X4" s="453"/>
      <c r="Y4" s="453"/>
      <c r="Z4" s="453"/>
      <c r="AA4" s="453"/>
      <c r="AB4" s="453"/>
      <c r="AC4" s="453"/>
      <c r="AD4" s="453"/>
      <c r="AE4" s="453"/>
      <c r="AF4" s="453"/>
      <c r="AG4" s="453"/>
      <c r="AH4" s="453"/>
      <c r="AI4" s="453"/>
      <c r="AJ4" s="453"/>
      <c r="AK4" s="507"/>
      <c r="AL4" s="453"/>
      <c r="AM4" s="453"/>
      <c r="AN4" s="453"/>
      <c r="AO4" s="507"/>
      <c r="AP4" s="453"/>
      <c r="AQ4" s="453"/>
      <c r="AR4" s="453"/>
      <c r="AS4" s="453"/>
      <c r="AT4" s="453"/>
      <c r="AU4" s="453"/>
      <c r="AV4" s="453"/>
      <c r="AW4" s="453"/>
      <c r="AX4" s="453"/>
      <c r="AY4" s="453"/>
      <c r="AZ4" s="453"/>
      <c r="BA4" s="453"/>
      <c r="BB4" s="453"/>
      <c r="BC4" s="453"/>
      <c r="BD4" s="453"/>
      <c r="BE4" s="453"/>
      <c r="BF4" s="453"/>
      <c r="BG4" s="453"/>
      <c r="BH4" s="453"/>
      <c r="BI4" s="453"/>
      <c r="BJ4" s="453"/>
      <c r="BK4" s="453"/>
      <c r="BL4" s="453"/>
      <c r="BM4" s="453"/>
      <c r="BN4" s="453"/>
      <c r="BO4" s="453"/>
      <c r="BP4" s="453"/>
      <c r="BQ4" s="453"/>
      <c r="BR4" s="453"/>
      <c r="BS4" s="453"/>
    </row>
    <row r="5" spans="1:71" s="228" customFormat="1" ht="13.15">
      <c r="A5" s="583"/>
      <c r="B5" s="583"/>
      <c r="C5" s="583"/>
      <c r="D5" s="583"/>
      <c r="E5" s="583" t="str">
        <f>InpPerformance!E16</f>
        <v>Performance commitment reference</v>
      </c>
      <c r="F5" s="583"/>
      <c r="G5" s="583" t="str">
        <f>InpPerformance!G16</f>
        <v>Text</v>
      </c>
      <c r="H5" s="584"/>
      <c r="I5" s="584"/>
      <c r="J5" s="585" t="str">
        <f>IF(InpPerformance!J16&lt;&gt;"",InpPerformance!J16,"")</f>
        <v>PR19SRN_WN02</v>
      </c>
      <c r="K5" s="585" t="str">
        <f>IF(InpPerformance!K16&lt;&gt;"",InpPerformance!K16,"")</f>
        <v>PR19SRN_WN03</v>
      </c>
      <c r="L5" s="585" t="str">
        <f>IF(InpPerformance!L16&lt;&gt;"",InpPerformance!L16,"")</f>
        <v>PR19SRN_WN04</v>
      </c>
      <c r="M5" s="585" t="str">
        <f>IF(InpPerformance!M16&lt;&gt;"",InpPerformance!M16,"")</f>
        <v/>
      </c>
      <c r="N5" s="585" t="str">
        <f>IF(InpPerformance!N16&lt;&gt;"",InpPerformance!N16,"")</f>
        <v>PR19SRN_WR01</v>
      </c>
      <c r="O5" s="585" t="str">
        <f>IF(InpPerformance!O16&lt;&gt;"",InpPerformance!O16,"")</f>
        <v/>
      </c>
      <c r="P5" s="585" t="str">
        <f>IF(InpPerformance!P16&lt;&gt;"",InpPerformance!P16,"")</f>
        <v>PR19SRN_WN05</v>
      </c>
      <c r="Q5" s="586" t="str">
        <f>IF(InpPerformance!Q16&lt;&gt;"",InpPerformance!Q16,"")</f>
        <v>PR19SRN_WN06</v>
      </c>
      <c r="R5" s="585" t="str">
        <f>IF(InpPerformance!R16&lt;&gt;"",InpPerformance!R16,"")</f>
        <v>PR19SRN_WN07</v>
      </c>
      <c r="S5" s="585" t="str">
        <f>IF(InpPerformance!S16&lt;&gt;"",InpPerformance!S16,"")</f>
        <v>PR19SRN_WN08</v>
      </c>
      <c r="T5" s="585" t="str">
        <f>IF(InpPerformance!T16&lt;&gt;"",InpPerformance!T16,"")</f>
        <v>PR19SRN_WR05</v>
      </c>
      <c r="U5" s="585" t="str">
        <f>IF(InpPerformance!U16&lt;&gt;"",InpPerformance!U16,"")</f>
        <v>PR19SRN_RR02</v>
      </c>
      <c r="V5" s="585" t="str">
        <f>IF(InpPerformance!V16&lt;&gt;"",InpPerformance!V16,"")</f>
        <v>PR19SRN_RR03</v>
      </c>
      <c r="W5" s="585" t="str">
        <f>IF(InpPerformance!W16&lt;&gt;"",InpPerformance!W16,"")</f>
        <v>PR19SRN_WN09</v>
      </c>
      <c r="X5" s="585" t="str">
        <f>IF(InpPerformance!X16&lt;&gt;"",InpPerformance!X16,"")</f>
        <v>PR19SRN_WN11</v>
      </c>
      <c r="Y5" s="585" t="str">
        <f>IF(InpPerformance!Y16&lt;&gt;"",InpPerformance!Y16,"")</f>
        <v>PR19SRN_WN13</v>
      </c>
      <c r="Z5" s="585" t="str">
        <f>IF(InpPerformance!Z16&lt;&gt;"",InpPerformance!Z16,"")</f>
        <v>PR19SRN_WR07</v>
      </c>
      <c r="AA5" s="585" t="str">
        <f>IF(InpPerformance!AA16&lt;&gt;"",InpPerformance!AA16,"")</f>
        <v/>
      </c>
      <c r="AB5" s="585" t="str">
        <f>IF(InpPerformance!AB16&lt;&gt;"",InpPerformance!AB16,"")</f>
        <v/>
      </c>
      <c r="AC5" s="585" t="str">
        <f>IF(InpPerformance!AC16&lt;&gt;"",InpPerformance!AC16,"")</f>
        <v/>
      </c>
      <c r="AD5" s="585" t="str">
        <f>IF(InpPerformance!AD16&lt;&gt;"",InpPerformance!AD16,"")</f>
        <v/>
      </c>
      <c r="AE5" s="585" t="str">
        <f>IF(InpPerformance!AE16&lt;&gt;"",InpPerformance!AE16,"")</f>
        <v/>
      </c>
      <c r="AF5" s="585" t="str">
        <f>IF(InpPerformance!AF16&lt;&gt;"",InpPerformance!AF16,"")</f>
        <v/>
      </c>
      <c r="AG5" s="585" t="str">
        <f>IF(InpPerformance!AG16&lt;&gt;"",InpPerformance!AG16,"")</f>
        <v/>
      </c>
      <c r="AH5" s="585" t="str">
        <f>IF(InpPerformance!AH16&lt;&gt;"",InpPerformance!AH16,"")</f>
        <v/>
      </c>
      <c r="AI5" s="585" t="str">
        <f>IF(InpPerformance!AI16&lt;&gt;"",InpPerformance!AI16,"")</f>
        <v/>
      </c>
      <c r="AJ5" s="585" t="str">
        <f>IF(InpPerformance!AJ16&lt;&gt;"",InpPerformance!AJ16,"")</f>
        <v/>
      </c>
      <c r="AK5" s="586" t="str">
        <f>IF(InpPerformance!AK16&lt;&gt;"",InpPerformance!AK16,"")</f>
        <v/>
      </c>
      <c r="AL5" s="585" t="str">
        <f>IF(InpPerformance!AL16&lt;&gt;"",InpPerformance!AL16,"")</f>
        <v>PR19SRN_WWN01</v>
      </c>
      <c r="AM5" s="585" t="str">
        <f>IF(InpPerformance!AM16&lt;&gt;"",InpPerformance!AM16,"")</f>
        <v>PR19SRN_WWN02</v>
      </c>
      <c r="AN5" s="585" t="str">
        <f>IF(InpPerformance!AN16&lt;&gt;"",InpPerformance!AN16,"")</f>
        <v>PR19SRN_WWN04</v>
      </c>
      <c r="AO5" s="586" t="str">
        <f>IF(InpPerformance!AO16&lt;&gt;"",InpPerformance!AO16,"")</f>
        <v>PR19SRN_WWN05</v>
      </c>
      <c r="AP5" s="585" t="str">
        <f>IF(InpPerformance!AP16&lt;&gt;"",InpPerformance!AP16,"")</f>
        <v>PR19SRN_WWN07</v>
      </c>
      <c r="AQ5" s="585" t="str">
        <f>IF(InpPerformance!AQ16&lt;&gt;"",InpPerformance!AQ16,"")</f>
        <v>PR19SRN_BIO01</v>
      </c>
      <c r="AR5" s="585" t="str">
        <f>IF(InpPerformance!AR16&lt;&gt;"",InpPerformance!AR16,"")</f>
        <v>PR19SRN_BIO02</v>
      </c>
      <c r="AS5" s="585" t="str">
        <f>IF(InpPerformance!AS16&lt;&gt;"",InpPerformance!AS16,"")</f>
        <v>PR19SRN_WWN09</v>
      </c>
      <c r="AT5" s="585" t="str">
        <f>IF(InpPerformance!AT16&lt;&gt;"",InpPerformance!AT16,"")</f>
        <v>PR19SRN_WWN11</v>
      </c>
      <c r="AU5" s="585" t="str">
        <f>IF(InpPerformance!AU16&lt;&gt;"",InpPerformance!AU16,"")</f>
        <v>PR19SRN_WWN12</v>
      </c>
      <c r="AV5" s="585" t="str">
        <f>IF(InpPerformance!AV16&lt;&gt;"",InpPerformance!AV16,"")</f>
        <v>PR19SRN_WWN13</v>
      </c>
      <c r="AW5" s="585" t="str">
        <f>IF(InpPerformance!AW16&lt;&gt;"",InpPerformance!AW16,"")</f>
        <v>PR19SRN_WWN06</v>
      </c>
      <c r="AX5" s="585" t="str">
        <f>IF(InpPerformance!AX16&lt;&gt;"",InpPerformance!AX16,"")</f>
        <v>PR19SRN_WWN08</v>
      </c>
      <c r="AY5" s="585" t="str">
        <f>IF(InpPerformance!AY16&lt;&gt;"",InpPerformance!AY16,"")</f>
        <v>PR19SRN_WWN16</v>
      </c>
      <c r="AZ5" s="585" t="str">
        <f>IF(InpPerformance!AZ16&lt;&gt;"",InpPerformance!AZ16,"")</f>
        <v/>
      </c>
      <c r="BA5" s="585" t="str">
        <f>IF(InpPerformance!BA16&lt;&gt;"",InpPerformance!BA16,"")</f>
        <v/>
      </c>
      <c r="BB5" s="585" t="str">
        <f>IF(InpPerformance!BB16&lt;&gt;"",InpPerformance!BB16,"")</f>
        <v/>
      </c>
      <c r="BC5" s="586" t="str">
        <f>IF(InpPerformance!BC16&lt;&gt;"",InpPerformance!BC16,"")</f>
        <v/>
      </c>
      <c r="BD5" s="585" t="str">
        <f>IF(InpPerformance!BD16&lt;&gt;"",InpPerformance!BD16,"")</f>
        <v/>
      </c>
      <c r="BE5" s="585" t="str">
        <f>IF(InpPerformance!BE16&lt;&gt;"",InpPerformance!BE16,"")</f>
        <v/>
      </c>
      <c r="BF5" s="585" t="str">
        <f>IF(InpPerformance!BF16&lt;&gt;"",InpPerformance!BF16,"")</f>
        <v/>
      </c>
      <c r="BG5" s="585" t="str">
        <f>IF(InpPerformance!BG16&lt;&gt;"",InpPerformance!BG16,"")</f>
        <v/>
      </c>
      <c r="BH5" s="585" t="str">
        <f>IF(InpPerformance!BH16&lt;&gt;"",InpPerformance!BH16,"")</f>
        <v/>
      </c>
      <c r="BI5" s="585" t="str">
        <f>IF(InpPerformance!BI16&lt;&gt;"",InpPerformance!BI16,"")</f>
        <v/>
      </c>
      <c r="BJ5" s="585" t="str">
        <f>IF(InpPerformance!BJ16&lt;&gt;"",InpPerformance!BJ16,"")</f>
        <v/>
      </c>
      <c r="BK5" s="585" t="str">
        <f>IF(InpPerformance!BK16&lt;&gt;"",InpPerformance!BK16,"")</f>
        <v/>
      </c>
      <c r="BL5" s="585" t="str">
        <f>IF(InpPerformance!BL16&lt;&gt;"",InpPerformance!BL16,"")</f>
        <v/>
      </c>
      <c r="BM5" s="585" t="str">
        <f>IF(InpPerformance!BM16&lt;&gt;"",InpPerformance!BM16,"")</f>
        <v/>
      </c>
      <c r="BN5" s="585" t="str">
        <f>IF(InpPerformance!BN16&lt;&gt;"",InpPerformance!BN16,"")</f>
        <v/>
      </c>
      <c r="BO5" s="585" t="str">
        <f>IF(InpPerformance!BO16&lt;&gt;"",InpPerformance!BO16,"")</f>
        <v/>
      </c>
      <c r="BP5" s="585" t="str">
        <f>IF(InpPerformance!BP16&lt;&gt;"",InpPerformance!BP16,"")</f>
        <v/>
      </c>
      <c r="BQ5" s="585" t="str">
        <f>IF(InpPerformance!BQ16&lt;&gt;"",InpPerformance!BQ16,"")</f>
        <v/>
      </c>
      <c r="BR5" s="585" t="str">
        <f>IF(InpPerformance!BR16&lt;&gt;"",InpPerformance!BR16,"")</f>
        <v/>
      </c>
      <c r="BS5" s="585" t="str">
        <f>IF(InpPerformance!BS16&lt;&gt;"",InpPerformance!BS16,"")</f>
        <v/>
      </c>
    </row>
    <row r="6" spans="1:71" s="229" customFormat="1" ht="12" customHeight="1">
      <c r="A6" s="587"/>
      <c r="B6" s="587"/>
      <c r="C6" s="587"/>
      <c r="D6" s="587"/>
      <c r="E6" s="587" t="str">
        <f>InpPerformance!E17</f>
        <v>Performance commitment name</v>
      </c>
      <c r="F6" s="587"/>
      <c r="G6" s="587" t="str">
        <f>InpPerformance!G17</f>
        <v>Text</v>
      </c>
      <c r="H6" s="584"/>
      <c r="I6" s="584"/>
      <c r="J6" s="585" t="str">
        <f>IF(InpPerformance!J17&lt;&gt;"",InpPerformance!J17,"")</f>
        <v>Water quality compliance (CRI)</v>
      </c>
      <c r="K6" s="585" t="str">
        <f>IF(InpPerformance!K17&lt;&gt;"",InpPerformance!K17,"")</f>
        <v>Water supply interruptions</v>
      </c>
      <c r="L6" s="585" t="str">
        <f>IF(InpPerformance!L17&lt;&gt;"",InpPerformance!L17,"")</f>
        <v>Leakage</v>
      </c>
      <c r="M6" s="585" t="str">
        <f>IF(InpPerformance!M17&lt;&gt;"",InpPerformance!M17,"")</f>
        <v>[For use by NES and SSC only]</v>
      </c>
      <c r="N6" s="585" t="str">
        <f>IF(InpPerformance!N17&lt;&gt;"",InpPerformance!N17,"")</f>
        <v>Per capita consumption</v>
      </c>
      <c r="O6" s="585" t="str">
        <f>IF(InpPerformance!O17&lt;&gt;"",InpPerformance!O17,"")</f>
        <v>[For use by SSC only]</v>
      </c>
      <c r="P6" s="585" t="str">
        <f>IF(InpPerformance!P17&lt;&gt;"",InpPerformance!P17,"")</f>
        <v>Mains repairs</v>
      </c>
      <c r="Q6" s="586" t="str">
        <f>IF(InpPerformance!Q17&lt;&gt;"",InpPerformance!Q17,"")</f>
        <v>Unplanned outage</v>
      </c>
      <c r="R6" s="585" t="str">
        <f>IF(InpPerformance!R17&lt;&gt;"",InpPerformance!R17,"")</f>
        <v>Drinking water appearance</v>
      </c>
      <c r="S6" s="585" t="str">
        <f>IF(InpPerformance!S17&lt;&gt;"",InpPerformance!S17,"")</f>
        <v>Drinking water taste and Odour</v>
      </c>
      <c r="T6" s="585" t="str">
        <f>IF(InpPerformance!T17&lt;&gt;"",InpPerformance!T17,"")</f>
        <v>Abstraction Incentive Mechanism</v>
      </c>
      <c r="U6" s="585" t="str">
        <f>IF(InpPerformance!U17&lt;&gt;"",InpPerformance!U17,"")</f>
        <v>Access to daily water consumption data</v>
      </c>
      <c r="V6" s="585" t="str">
        <f>IF(InpPerformance!V17&lt;&gt;"",InpPerformance!V17,"")</f>
        <v>Void properties</v>
      </c>
      <c r="W6" s="585" t="str">
        <f>IF(InpPerformance!W17&lt;&gt;"",InpPerformance!W17,"")</f>
        <v>Replace lead customer pipes</v>
      </c>
      <c r="X6" s="585" t="str">
        <f>IF(InpPerformance!X17&lt;&gt;"",InpPerformance!X17,"")</f>
        <v>Properties at risk of receiving low pressure</v>
      </c>
      <c r="Y6" s="585" t="str">
        <f>IF(InpPerformance!Y17&lt;&gt;"",InpPerformance!Y17,"")</f>
        <v>Long term supply demand schemes</v>
      </c>
      <c r="Z6" s="585" t="str">
        <f>IF(InpPerformance!Z17&lt;&gt;"",InpPerformance!Z17,"")</f>
        <v>Impounding reservoirs</v>
      </c>
      <c r="AA6" s="585" t="str">
        <f>IF(InpPerformance!AA17&lt;&gt;"",InpPerformance!AA17,"")</f>
        <v/>
      </c>
      <c r="AB6" s="585" t="str">
        <f>IF(InpPerformance!AB17&lt;&gt;"",InpPerformance!AB17,"")</f>
        <v/>
      </c>
      <c r="AC6" s="585" t="str">
        <f>IF(InpPerformance!AC17&lt;&gt;"",InpPerformance!AC17,"")</f>
        <v/>
      </c>
      <c r="AD6" s="585" t="str">
        <f>IF(InpPerformance!AD17&lt;&gt;"",InpPerformance!AD17,"")</f>
        <v/>
      </c>
      <c r="AE6" s="585" t="str">
        <f>IF(InpPerformance!AE17&lt;&gt;"",InpPerformance!AE17,"")</f>
        <v/>
      </c>
      <c r="AF6" s="585" t="str">
        <f>IF(InpPerformance!AF17&lt;&gt;"",InpPerformance!AF17,"")</f>
        <v/>
      </c>
      <c r="AG6" s="585" t="str">
        <f>IF(InpPerformance!AG17&lt;&gt;"",InpPerformance!AG17,"")</f>
        <v/>
      </c>
      <c r="AH6" s="585" t="str">
        <f>IF(InpPerformance!AH17&lt;&gt;"",InpPerformance!AH17,"")</f>
        <v/>
      </c>
      <c r="AI6" s="585" t="str">
        <f>IF(InpPerformance!AI17&lt;&gt;"",InpPerformance!AI17,"")</f>
        <v/>
      </c>
      <c r="AJ6" s="585" t="str">
        <f>IF(InpPerformance!AJ17&lt;&gt;"",InpPerformance!AJ17,"")</f>
        <v/>
      </c>
      <c r="AK6" s="586" t="str">
        <f>IF(InpPerformance!AK17&lt;&gt;"",InpPerformance!AK17,"")</f>
        <v/>
      </c>
      <c r="AL6" s="585" t="str">
        <f>IF(InpPerformance!AL17&lt;&gt;"",InpPerformance!AL17,"")</f>
        <v>Internal sewer flooding</v>
      </c>
      <c r="AM6" s="585" t="str">
        <f>IF(InpPerformance!AM17&lt;&gt;"",InpPerformance!AM17,"")</f>
        <v>Pollution incidents</v>
      </c>
      <c r="AN6" s="585" t="str">
        <f>IF(InpPerformance!AN17&lt;&gt;"",InpPerformance!AN17,"")</f>
        <v>Sewer collapses</v>
      </c>
      <c r="AO6" s="586" t="str">
        <f>IF(InpPerformance!AO17&lt;&gt;"",InpPerformance!AO17,"")</f>
        <v>Treatment works compliance</v>
      </c>
      <c r="AP6" s="585" t="str">
        <f>IF(InpPerformance!AP17&lt;&gt;"",InpPerformance!AP17,"")</f>
        <v>Effluent re-use</v>
      </c>
      <c r="AQ6" s="585" t="str">
        <f>IF(InpPerformance!AQ17&lt;&gt;"",InpPerformance!AQ17,"")</f>
        <v xml:space="preserve">Renewable Generation </v>
      </c>
      <c r="AR6" s="585" t="str">
        <f>IF(InpPerformance!AR17&lt;&gt;"",InpPerformance!AR17,"")</f>
        <v>Satisfactory bioresources recycling</v>
      </c>
      <c r="AS6" s="585" t="str">
        <f>IF(InpPerformance!AS17&lt;&gt;"",InpPerformance!AS17,"")</f>
        <v>River water quality</v>
      </c>
      <c r="AT6" s="585" t="str">
        <f>IF(InpPerformance!AT17&lt;&gt;"",InpPerformance!AT17,"")</f>
        <v>Maintain Bathing waters at ‘Excellent’.</v>
      </c>
      <c r="AU6" s="585" t="str">
        <f>IF(InpPerformance!AU17&lt;&gt;"",InpPerformance!AU17,"")</f>
        <v>Improve the number of Bathing waters to at least ‘Good’ (Cost Adjustment Claim).</v>
      </c>
      <c r="AV6" s="585" t="str">
        <f>IF(InpPerformance!AV17&lt;&gt;"",InpPerformance!AV17,"")</f>
        <v>Improve the bathing waters at ‘Excellent’ quality (Cost Adjustment Claim).</v>
      </c>
      <c r="AW6" s="585" t="str">
        <f>IF(InpPerformance!AW17&lt;&gt;"",InpPerformance!AW17,"")</f>
        <v>Surface water management</v>
      </c>
      <c r="AX6" s="585" t="str">
        <f>IF(InpPerformance!AX17&lt;&gt;"",InpPerformance!AX17,"")</f>
        <v>External sewer flooding</v>
      </c>
      <c r="AY6" s="585" t="str">
        <f>IF(InpPerformance!AY17&lt;&gt;"",InpPerformance!AY17,"")</f>
        <v>Thanet Sewers</v>
      </c>
      <c r="AZ6" s="585" t="str">
        <f>IF(InpPerformance!AZ17&lt;&gt;"",InpPerformance!AZ17,"")</f>
        <v/>
      </c>
      <c r="BA6" s="585" t="str">
        <f>IF(InpPerformance!BA17&lt;&gt;"",InpPerformance!BA17,"")</f>
        <v/>
      </c>
      <c r="BB6" s="585" t="str">
        <f>IF(InpPerformance!BB17&lt;&gt;"",InpPerformance!BB17,"")</f>
        <v/>
      </c>
      <c r="BC6" s="586" t="str">
        <f>IF(InpPerformance!BC17&lt;&gt;"",InpPerformance!BC17,"")</f>
        <v/>
      </c>
      <c r="BD6" s="585" t="str">
        <f>IF(InpPerformance!BD17&lt;&gt;"",InpPerformance!BD17,"")</f>
        <v/>
      </c>
      <c r="BE6" s="585" t="str">
        <f>IF(InpPerformance!BE17&lt;&gt;"",InpPerformance!BE17,"")</f>
        <v/>
      </c>
      <c r="BF6" s="585" t="str">
        <f>IF(InpPerformance!BF17&lt;&gt;"",InpPerformance!BF17,"")</f>
        <v/>
      </c>
      <c r="BG6" s="585" t="str">
        <f>IF(InpPerformance!BG17&lt;&gt;"",InpPerformance!BG17,"")</f>
        <v/>
      </c>
      <c r="BH6" s="585" t="str">
        <f>IF(InpPerformance!BH17&lt;&gt;"",InpPerformance!BH17,"")</f>
        <v/>
      </c>
      <c r="BI6" s="585" t="str">
        <f>IF(InpPerformance!BI17&lt;&gt;"",InpPerformance!BI17,"")</f>
        <v/>
      </c>
      <c r="BJ6" s="585" t="str">
        <f>IF(InpPerformance!BJ17&lt;&gt;"",InpPerformance!BJ17,"")</f>
        <v/>
      </c>
      <c r="BK6" s="585" t="str">
        <f>IF(InpPerformance!BK17&lt;&gt;"",InpPerformance!BK17,"")</f>
        <v/>
      </c>
      <c r="BL6" s="585" t="str">
        <f>IF(InpPerformance!BL17&lt;&gt;"",InpPerformance!BL17,"")</f>
        <v/>
      </c>
      <c r="BM6" s="585" t="str">
        <f>IF(InpPerformance!BM17&lt;&gt;"",InpPerformance!BM17,"")</f>
        <v/>
      </c>
      <c r="BN6" s="585" t="str">
        <f>IF(InpPerformance!BN17&lt;&gt;"",InpPerformance!BN17,"")</f>
        <v/>
      </c>
      <c r="BO6" s="585" t="str">
        <f>IF(InpPerformance!BO17&lt;&gt;"",InpPerformance!BO17,"")</f>
        <v/>
      </c>
      <c r="BP6" s="585" t="str">
        <f>IF(InpPerformance!BP17&lt;&gt;"",InpPerformance!BP17,"")</f>
        <v/>
      </c>
      <c r="BQ6" s="585" t="str">
        <f>IF(InpPerformance!BQ17&lt;&gt;"",InpPerformance!BQ17,"")</f>
        <v/>
      </c>
      <c r="BR6" s="585" t="str">
        <f>IF(InpPerformance!BR17&lt;&gt;"",InpPerformance!BR17,"")</f>
        <v/>
      </c>
      <c r="BS6" s="585" t="str">
        <f>IF(InpPerformance!BS17&lt;&gt;"",InpPerformance!BS17,"")</f>
        <v/>
      </c>
    </row>
    <row r="7" spans="1:71" s="228" customFormat="1" ht="13.15">
      <c r="A7" s="583"/>
      <c r="B7" s="583"/>
      <c r="C7" s="583"/>
      <c r="D7" s="583"/>
      <c r="E7" s="583" t="str">
        <f>InpPerformance!E7</f>
        <v>Actual performance</v>
      </c>
      <c r="F7" s="583"/>
      <c r="G7" s="583" t="str">
        <f>InpPerformance!G7</f>
        <v>Performance commitment unit</v>
      </c>
      <c r="H7" s="583"/>
      <c r="I7" s="583"/>
      <c r="J7" s="588">
        <f>IF(InpPerformance!J7&lt;&gt;"",InpPerformance!J7,"")</f>
        <v>3.0649999999999999</v>
      </c>
      <c r="K7" s="589">
        <f>IF(InpPerformance!K7&lt;&gt;"",InpPerformance!K7,"")</f>
        <v>5.6635957305140185E-2</v>
      </c>
      <c r="L7" s="588">
        <f>IF(InpPerformance!L7&lt;&gt;"",InpPerformance!L7,"")</f>
        <v>-4.404404404404394</v>
      </c>
      <c r="M7" s="588" t="str">
        <f>IF(InpPerformance!M7&lt;&gt;"",InpPerformance!M7,"")</f>
        <v/>
      </c>
      <c r="N7" s="588">
        <f>IF(InpPerformance!N7&lt;&gt;"",InpPerformance!N7,"")</f>
        <v>-1.2499999999999956</v>
      </c>
      <c r="O7" s="588" t="str">
        <f>IF(InpPerformance!O7&lt;&gt;"",InpPerformance!O7,"")</f>
        <v/>
      </c>
      <c r="P7" s="588">
        <f>IF(InpPerformance!P7&lt;&gt;"",InpPerformance!P7,"")</f>
        <v>121.09414139100812</v>
      </c>
      <c r="Q7" s="590">
        <f>IF(InpPerformance!Q7&lt;&gt;"",InpPerformance!Q7,"")</f>
        <v>5.6772736178501049</v>
      </c>
      <c r="R7" s="588">
        <f>IF(InpPerformance!R7&lt;&gt;"",InpPerformance!R7,"")</f>
        <v>1</v>
      </c>
      <c r="S7" s="588">
        <f>IF(InpPerformance!S7&lt;&gt;"",InpPerformance!S7,"")</f>
        <v>0.24</v>
      </c>
      <c r="T7" s="588">
        <f>IF(InpPerformance!T7&lt;&gt;"",InpPerformance!T7,"")</f>
        <v>-19</v>
      </c>
      <c r="U7" s="588">
        <f>IF(InpPerformance!U7&lt;&gt;"",InpPerformance!U7,"")</f>
        <v>0</v>
      </c>
      <c r="V7" s="588">
        <f>IF(InpPerformance!V7&lt;&gt;"",InpPerformance!V7,"")</f>
        <v>2.97</v>
      </c>
      <c r="W7" s="588">
        <f>IF(InpPerformance!W7&lt;&gt;"",InpPerformance!W7,"")</f>
        <v>0</v>
      </c>
      <c r="X7" s="588">
        <f>IF(InpPerformance!X7&lt;&gt;"",InpPerformance!X7,"")</f>
        <v>173</v>
      </c>
      <c r="Y7" s="588">
        <f>IF(InpPerformance!Y7&lt;&gt;"",InpPerformance!Y7,"")</f>
        <v>51</v>
      </c>
      <c r="Z7" s="588">
        <f>IF(InpPerformance!Z7&lt;&gt;"",InpPerformance!Z7,"")</f>
        <v>0</v>
      </c>
      <c r="AA7" s="588" t="str">
        <f>IF(InpPerformance!AA7&lt;&gt;"",InpPerformance!AA7,"")</f>
        <v/>
      </c>
      <c r="AB7" s="588" t="str">
        <f>IF(InpPerformance!AB7&lt;&gt;"",InpPerformance!AB7,"")</f>
        <v/>
      </c>
      <c r="AC7" s="588" t="str">
        <f>IF(InpPerformance!AC7&lt;&gt;"",InpPerformance!AC7,"")</f>
        <v/>
      </c>
      <c r="AD7" s="588" t="str">
        <f>IF(InpPerformance!AD7&lt;&gt;"",InpPerformance!AD7,"")</f>
        <v/>
      </c>
      <c r="AE7" s="588" t="str">
        <f>IF(InpPerformance!AE7&lt;&gt;"",InpPerformance!AE7,"")</f>
        <v/>
      </c>
      <c r="AF7" s="588" t="str">
        <f>IF(InpPerformance!AF7&lt;&gt;"",InpPerformance!AF7,"")</f>
        <v/>
      </c>
      <c r="AG7" s="588" t="str">
        <f>IF(InpPerformance!AG7&lt;&gt;"",InpPerformance!AG7,"")</f>
        <v/>
      </c>
      <c r="AH7" s="588" t="str">
        <f>IF(InpPerformance!AH7&lt;&gt;"",InpPerformance!AH7,"")</f>
        <v/>
      </c>
      <c r="AI7" s="588" t="str">
        <f>IF(InpPerformance!AI7&lt;&gt;"",InpPerformance!AI7,"")</f>
        <v/>
      </c>
      <c r="AJ7" s="588" t="str">
        <f>IF(InpPerformance!AJ7&lt;&gt;"",InpPerformance!AJ7,"")</f>
        <v/>
      </c>
      <c r="AK7" s="590" t="str">
        <f>IF(InpPerformance!AK7&lt;&gt;"",InpPerformance!AK7,"")</f>
        <v/>
      </c>
      <c r="AL7" s="588">
        <f>IF(InpPerformance!AL7&lt;&gt;"",InpPerformance!AL7,"")</f>
        <v>2.5721106095414079</v>
      </c>
      <c r="AM7" s="588">
        <f>IF(InpPerformance!AM7&lt;&gt;"",InpPerformance!AM7,"")</f>
        <v>58.899041002793929</v>
      </c>
      <c r="AN7" s="588">
        <f>IF(InpPerformance!AN7&lt;&gt;"",InpPerformance!AN7,"")</f>
        <v>5.8454697609352753</v>
      </c>
      <c r="AO7" s="590">
        <f>IF(InpPerformance!AO7&lt;&gt;"",InpPerformance!AO7,"")</f>
        <v>99.36</v>
      </c>
      <c r="AP7" s="588">
        <f>IF(InpPerformance!AP7&lt;&gt;"",InpPerformance!AP7,"")</f>
        <v>79</v>
      </c>
      <c r="AQ7" s="588">
        <f>IF(InpPerformance!AQ7&lt;&gt;"",InpPerformance!AQ7,"")</f>
        <v>13.32</v>
      </c>
      <c r="AR7" s="588">
        <f>IF(InpPerformance!AR7&lt;&gt;"",InpPerformance!AR7,"")</f>
        <v>100</v>
      </c>
      <c r="AS7" s="588">
        <f>IF(InpPerformance!AS7&lt;&gt;"",InpPerformance!AS7,"")</f>
        <v>102.7</v>
      </c>
      <c r="AT7" s="588">
        <f>IF(InpPerformance!AT7&lt;&gt;"",InpPerformance!AT7,"")</f>
        <v>48</v>
      </c>
      <c r="AU7" s="588">
        <f>IF(InpPerformance!AU7&lt;&gt;"",InpPerformance!AU7,"")</f>
        <v>4</v>
      </c>
      <c r="AV7" s="588">
        <f>IF(InpPerformance!AV7&lt;&gt;"",InpPerformance!AV7,"")</f>
        <v>4</v>
      </c>
      <c r="AW7" s="588">
        <f>IF(InpPerformance!AW7&lt;&gt;"",InpPerformance!AW7,"")</f>
        <v>0</v>
      </c>
      <c r="AX7" s="588">
        <f>IF(InpPerformance!AX7&lt;&gt;"",InpPerformance!AX7,"")</f>
        <v>3245</v>
      </c>
      <c r="AY7" s="588">
        <f>IF(InpPerformance!AY7&lt;&gt;"",InpPerformance!AY7,"")</f>
        <v>0</v>
      </c>
      <c r="AZ7" s="588" t="str">
        <f>IF(InpPerformance!AZ7&lt;&gt;"",InpPerformance!AZ7,"")</f>
        <v/>
      </c>
      <c r="BA7" s="588" t="str">
        <f>IF(InpPerformance!BA7&lt;&gt;"",InpPerformance!BA7,"")</f>
        <v/>
      </c>
      <c r="BB7" s="588" t="str">
        <f>IF(InpPerformance!BB7&lt;&gt;"",InpPerformance!BB7,"")</f>
        <v/>
      </c>
      <c r="BC7" s="590" t="str">
        <f>IF(InpPerformance!BC7&lt;&gt;"",InpPerformance!BC7,"")</f>
        <v/>
      </c>
      <c r="BD7" s="588" t="str">
        <f>IF(InpPerformance!BD7&lt;&gt;"",InpPerformance!BD7,"")</f>
        <v/>
      </c>
      <c r="BE7" s="588" t="str">
        <f>IF(InpPerformance!BE7&lt;&gt;"",InpPerformance!BE7,"")</f>
        <v/>
      </c>
      <c r="BF7" s="588" t="str">
        <f>IF(InpPerformance!BF7&lt;&gt;"",InpPerformance!BF7,"")</f>
        <v/>
      </c>
      <c r="BG7" s="588" t="str">
        <f>IF(InpPerformance!BG7&lt;&gt;"",InpPerformance!BG7,"")</f>
        <v/>
      </c>
      <c r="BH7" s="588" t="str">
        <f>IF(InpPerformance!BH7&lt;&gt;"",InpPerformance!BH7,"")</f>
        <v/>
      </c>
      <c r="BI7" s="588" t="str">
        <f>IF(InpPerformance!BI7&lt;&gt;"",InpPerformance!BI7,"")</f>
        <v/>
      </c>
      <c r="BJ7" s="588" t="str">
        <f>IF(InpPerformance!BJ7&lt;&gt;"",InpPerformance!BJ7,"")</f>
        <v/>
      </c>
      <c r="BK7" s="588" t="str">
        <f>IF(InpPerformance!BK7&lt;&gt;"",InpPerformance!BK7,"")</f>
        <v/>
      </c>
      <c r="BL7" s="588" t="str">
        <f>IF(InpPerformance!BL7&lt;&gt;"",InpPerformance!BL7,"")</f>
        <v/>
      </c>
      <c r="BM7" s="588" t="str">
        <f>IF(InpPerformance!BM7&lt;&gt;"",InpPerformance!BM7,"")</f>
        <v/>
      </c>
      <c r="BN7" s="588" t="str">
        <f>IF(InpPerformance!BN7&lt;&gt;"",InpPerformance!BN7,"")</f>
        <v/>
      </c>
      <c r="BO7" s="588" t="str">
        <f>IF(InpPerformance!BO7&lt;&gt;"",InpPerformance!BO7,"")</f>
        <v/>
      </c>
      <c r="BP7" s="588" t="str">
        <f>IF(InpPerformance!BP7&lt;&gt;"",InpPerformance!BP7,"")</f>
        <v/>
      </c>
      <c r="BQ7" s="588" t="str">
        <f>IF(InpPerformance!BQ7&lt;&gt;"",InpPerformance!BQ7,"")</f>
        <v/>
      </c>
      <c r="BR7" s="588" t="str">
        <f>IF(InpPerformance!BR7&lt;&gt;"",InpPerformance!BR7,"")</f>
        <v/>
      </c>
      <c r="BS7" s="588" t="str">
        <f>IF(InpPerformance!BS7&lt;&gt;"",InpPerformance!BS7,"")</f>
        <v/>
      </c>
    </row>
    <row r="8" spans="1:71" s="202" customFormat="1" ht="13.15">
      <c r="A8" s="510"/>
      <c r="B8" s="510"/>
      <c r="C8" s="510"/>
      <c r="D8" s="510"/>
      <c r="E8" s="510"/>
      <c r="F8" s="510"/>
      <c r="G8" s="510"/>
      <c r="H8" s="510"/>
      <c r="I8" s="510"/>
      <c r="J8" s="494"/>
      <c r="K8" s="494"/>
      <c r="L8" s="494"/>
      <c r="M8" s="494"/>
      <c r="N8" s="494"/>
      <c r="O8" s="494"/>
      <c r="P8" s="494"/>
      <c r="Q8" s="496"/>
      <c r="R8" s="494"/>
      <c r="S8" s="494"/>
      <c r="T8" s="494"/>
      <c r="U8" s="494"/>
      <c r="V8" s="494"/>
      <c r="W8" s="494"/>
      <c r="X8" s="494"/>
      <c r="Y8" s="494"/>
      <c r="Z8" s="494"/>
      <c r="AA8" s="494"/>
      <c r="AB8" s="494"/>
      <c r="AC8" s="494"/>
      <c r="AD8" s="494"/>
      <c r="AE8" s="494"/>
      <c r="AF8" s="494"/>
      <c r="AG8" s="494"/>
      <c r="AH8" s="494"/>
      <c r="AI8" s="494"/>
      <c r="AJ8" s="494"/>
      <c r="AK8" s="496"/>
      <c r="AL8" s="494"/>
      <c r="AM8" s="494"/>
      <c r="AN8" s="494"/>
      <c r="AO8" s="496"/>
      <c r="AP8" s="494"/>
      <c r="AQ8" s="494"/>
      <c r="AR8" s="494"/>
      <c r="AS8" s="494"/>
      <c r="AT8" s="494"/>
      <c r="AU8" s="494"/>
      <c r="AV8" s="494"/>
      <c r="AW8" s="494"/>
      <c r="AX8" s="494"/>
      <c r="AY8" s="494"/>
      <c r="AZ8" s="494"/>
      <c r="BA8" s="494"/>
      <c r="BB8" s="494"/>
      <c r="BC8" s="496"/>
      <c r="BD8" s="494"/>
      <c r="BE8" s="494"/>
      <c r="BF8" s="494"/>
      <c r="BG8" s="494"/>
      <c r="BH8" s="494"/>
      <c r="BI8" s="494"/>
      <c r="BJ8" s="494"/>
      <c r="BK8" s="494"/>
      <c r="BL8" s="494"/>
      <c r="BM8" s="494"/>
      <c r="BN8" s="494"/>
      <c r="BO8" s="494"/>
      <c r="BP8" s="494"/>
      <c r="BQ8" s="494"/>
      <c r="BR8" s="494"/>
      <c r="BS8" s="494"/>
    </row>
    <row r="9" spans="1:71" s="228" customFormat="1" ht="13.15">
      <c r="A9" s="583"/>
      <c r="B9" s="583"/>
      <c r="C9" s="583"/>
      <c r="D9" s="583"/>
      <c r="E9" s="583" t="str">
        <f>InpPerformance!E31</f>
        <v>Performance commitment unit</v>
      </c>
      <c r="F9" s="583"/>
      <c r="G9" s="583" t="str">
        <f>InpPerformance!G31</f>
        <v>Unit</v>
      </c>
      <c r="H9" s="583"/>
      <c r="I9" s="583"/>
      <c r="J9" s="591" t="str">
        <f>IF(InpPerformance!J31&lt;&gt;"",InpPerformance!J31,"")</f>
        <v>number</v>
      </c>
      <c r="K9" s="591" t="str">
        <f>IF(InpPerformance!K31&lt;&gt;"",InpPerformance!K31,"")</f>
        <v>hh:mm:ss</v>
      </c>
      <c r="L9" s="591" t="str">
        <f>IF(InpPerformance!L31&lt;&gt;"",InpPerformance!L31,"")</f>
        <v>%</v>
      </c>
      <c r="M9" s="591" t="str">
        <f>IF(InpPerformance!M31&lt;&gt;"",InpPerformance!M31,"")</f>
        <v/>
      </c>
      <c r="N9" s="591" t="str">
        <f>IF(InpPerformance!N31&lt;&gt;"",InpPerformance!N31,"")</f>
        <v xml:space="preserve">% </v>
      </c>
      <c r="O9" s="591" t="str">
        <f>IF(InpPerformance!O31&lt;&gt;"",InpPerformance!O31,"")</f>
        <v/>
      </c>
      <c r="P9" s="591" t="str">
        <f>IF(InpPerformance!P31&lt;&gt;"",InpPerformance!P31,"")</f>
        <v>number</v>
      </c>
      <c r="Q9" s="592" t="str">
        <f>IF(InpPerformance!Q31&lt;&gt;"",InpPerformance!Q31,"")</f>
        <v>%</v>
      </c>
      <c r="R9" s="591" t="str">
        <f>IF(InpPerformance!R31&lt;&gt;"",InpPerformance!R31,"")</f>
        <v>nr</v>
      </c>
      <c r="S9" s="591" t="str">
        <f>IF(InpPerformance!S31&lt;&gt;"",InpPerformance!S31,"")</f>
        <v>nr</v>
      </c>
      <c r="T9" s="591" t="str">
        <f>IF(InpPerformance!T31&lt;&gt;"",InpPerformance!T31,"")</f>
        <v>nr</v>
      </c>
      <c r="U9" s="591" t="str">
        <f>IF(InpPerformance!U31&lt;&gt;"",InpPerformance!U31,"")</f>
        <v>nr</v>
      </c>
      <c r="V9" s="591" t="str">
        <f>IF(InpPerformance!V31&lt;&gt;"",InpPerformance!V31,"")</f>
        <v>%</v>
      </c>
      <c r="W9" s="591" t="str">
        <f>IF(InpPerformance!W31&lt;&gt;"",InpPerformance!W31,"")</f>
        <v>nr</v>
      </c>
      <c r="X9" s="591" t="str">
        <f>IF(InpPerformance!X31&lt;&gt;"",InpPerformance!X31,"")</f>
        <v>nr</v>
      </c>
      <c r="Y9" s="591" t="str">
        <f>IF(InpPerformance!Y31&lt;&gt;"",InpPerformance!Y31,"")</f>
        <v>months</v>
      </c>
      <c r="Z9" s="591" t="str">
        <f>IF(InpPerformance!Z31&lt;&gt;"",InpPerformance!Z31,"")</f>
        <v>%</v>
      </c>
      <c r="AA9" s="591" t="str">
        <f>IF(InpPerformance!AA31&lt;&gt;"",InpPerformance!AA31,"")</f>
        <v/>
      </c>
      <c r="AB9" s="591" t="str">
        <f>IF(InpPerformance!AB31&lt;&gt;"",InpPerformance!AB31,"")</f>
        <v/>
      </c>
      <c r="AC9" s="591" t="str">
        <f>IF(InpPerformance!AC31&lt;&gt;"",InpPerformance!AC31,"")</f>
        <v/>
      </c>
      <c r="AD9" s="591" t="str">
        <f>IF(InpPerformance!AD31&lt;&gt;"",InpPerformance!AD31,"")</f>
        <v/>
      </c>
      <c r="AE9" s="591" t="str">
        <f>IF(InpPerformance!AE31&lt;&gt;"",InpPerformance!AE31,"")</f>
        <v/>
      </c>
      <c r="AF9" s="591" t="str">
        <f>IF(InpPerformance!AF31&lt;&gt;"",InpPerformance!AF31,"")</f>
        <v/>
      </c>
      <c r="AG9" s="591" t="str">
        <f>IF(InpPerformance!AG31&lt;&gt;"",InpPerformance!AG31,"")</f>
        <v/>
      </c>
      <c r="AH9" s="591" t="str">
        <f>IF(InpPerformance!AH31&lt;&gt;"",InpPerformance!AH31,"")</f>
        <v/>
      </c>
      <c r="AI9" s="591" t="str">
        <f>IF(InpPerformance!AI31&lt;&gt;"",InpPerformance!AI31,"")</f>
        <v/>
      </c>
      <c r="AJ9" s="591" t="str">
        <f>IF(InpPerformance!AJ31&lt;&gt;"",InpPerformance!AJ31,"")</f>
        <v/>
      </c>
      <c r="AK9" s="592" t="str">
        <f>IF(InpPerformance!AK31&lt;&gt;"",InpPerformance!AK31,"")</f>
        <v/>
      </c>
      <c r="AL9" s="591" t="str">
        <f>IF(InpPerformance!AL31&lt;&gt;"",InpPerformance!AL31,"")</f>
        <v>number</v>
      </c>
      <c r="AM9" s="591" t="str">
        <f>IF(InpPerformance!AM31&lt;&gt;"",InpPerformance!AM31,"")</f>
        <v>number</v>
      </c>
      <c r="AN9" s="591" t="str">
        <f>IF(InpPerformance!AN31&lt;&gt;"",InpPerformance!AN31,"")</f>
        <v>number</v>
      </c>
      <c r="AO9" s="592" t="str">
        <f>IF(InpPerformance!AO31&lt;&gt;"",InpPerformance!AO31,"")</f>
        <v>%</v>
      </c>
      <c r="AP9" s="591" t="str">
        <f>IF(InpPerformance!AP31&lt;&gt;"",InpPerformance!AP31,"")</f>
        <v>nr</v>
      </c>
      <c r="AQ9" s="591" t="str">
        <f>IF(InpPerformance!AQ31&lt;&gt;"",InpPerformance!AQ31,"")</f>
        <v>%</v>
      </c>
      <c r="AR9" s="591" t="str">
        <f>IF(InpPerformance!AR31&lt;&gt;"",InpPerformance!AR31,"")</f>
        <v>%</v>
      </c>
      <c r="AS9" s="591" t="str">
        <f>IF(InpPerformance!AS31&lt;&gt;"",InpPerformance!AS31,"")</f>
        <v>nr</v>
      </c>
      <c r="AT9" s="591" t="str">
        <f>IF(InpPerformance!AT31&lt;&gt;"",InpPerformance!AT31,"")</f>
        <v>nr</v>
      </c>
      <c r="AU9" s="591" t="str">
        <f>IF(InpPerformance!AU31&lt;&gt;"",InpPerformance!AU31,"")</f>
        <v>nr</v>
      </c>
      <c r="AV9" s="591" t="str">
        <f>IF(InpPerformance!AV31&lt;&gt;"",InpPerformance!AV31,"")</f>
        <v>nr</v>
      </c>
      <c r="AW9" s="591" t="str">
        <f>IF(InpPerformance!AW31&lt;&gt;"",InpPerformance!AW31,"")</f>
        <v>m3</v>
      </c>
      <c r="AX9" s="591" t="str">
        <f>IF(InpPerformance!AX31&lt;&gt;"",InpPerformance!AX31,"")</f>
        <v>nr</v>
      </c>
      <c r="AY9" s="591" t="str">
        <f>IF(InpPerformance!AY31&lt;&gt;"",InpPerformance!AY31,"")</f>
        <v>months</v>
      </c>
      <c r="AZ9" s="591" t="str">
        <f>IF(InpPerformance!AZ31&lt;&gt;"",InpPerformance!AZ31,"")</f>
        <v/>
      </c>
      <c r="BA9" s="591" t="str">
        <f>IF(InpPerformance!BA31&lt;&gt;"",InpPerformance!BA31,"")</f>
        <v/>
      </c>
      <c r="BB9" s="591" t="str">
        <f>IF(InpPerformance!BB31&lt;&gt;"",InpPerformance!BB31,"")</f>
        <v/>
      </c>
      <c r="BC9" s="592" t="str">
        <f>IF(InpPerformance!BC31&lt;&gt;"",InpPerformance!BC31,"")</f>
        <v/>
      </c>
      <c r="BD9" s="591" t="str">
        <f>IF(InpPerformance!BD31&lt;&gt;"",InpPerformance!BD31,"")</f>
        <v/>
      </c>
      <c r="BE9" s="591" t="str">
        <f>IF(InpPerformance!BE31&lt;&gt;"",InpPerformance!BE31,"")</f>
        <v/>
      </c>
      <c r="BF9" s="591" t="str">
        <f>IF(InpPerformance!BF31&lt;&gt;"",InpPerformance!BF31,"")</f>
        <v/>
      </c>
      <c r="BG9" s="591" t="str">
        <f>IF(InpPerformance!BG31&lt;&gt;"",InpPerformance!BG31,"")</f>
        <v/>
      </c>
      <c r="BH9" s="591" t="str">
        <f>IF(InpPerformance!BH31&lt;&gt;"",InpPerformance!BH31,"")</f>
        <v/>
      </c>
      <c r="BI9" s="591" t="str">
        <f>IF(InpPerformance!BI31&lt;&gt;"",InpPerformance!BI31,"")</f>
        <v/>
      </c>
      <c r="BJ9" s="591" t="str">
        <f>IF(InpPerformance!BJ31&lt;&gt;"",InpPerformance!BJ31,"")</f>
        <v/>
      </c>
      <c r="BK9" s="591" t="str">
        <f>IF(InpPerformance!BK31&lt;&gt;"",InpPerformance!BK31,"")</f>
        <v/>
      </c>
      <c r="BL9" s="591" t="str">
        <f>IF(InpPerformance!BL31&lt;&gt;"",InpPerformance!BL31,"")</f>
        <v/>
      </c>
      <c r="BM9" s="591" t="str">
        <f>IF(InpPerformance!BM31&lt;&gt;"",InpPerformance!BM31,"")</f>
        <v/>
      </c>
      <c r="BN9" s="591" t="str">
        <f>IF(InpPerformance!BN31&lt;&gt;"",InpPerformance!BN31,"")</f>
        <v/>
      </c>
      <c r="BO9" s="591" t="str">
        <f>IF(InpPerformance!BO31&lt;&gt;"",InpPerformance!BO31,"")</f>
        <v/>
      </c>
      <c r="BP9" s="591" t="str">
        <f>IF(InpPerformance!BP31&lt;&gt;"",InpPerformance!BP31,"")</f>
        <v/>
      </c>
      <c r="BQ9" s="591" t="str">
        <f>IF(InpPerformance!BQ31&lt;&gt;"",InpPerformance!BQ31,"")</f>
        <v/>
      </c>
      <c r="BR9" s="591" t="str">
        <f>IF(InpPerformance!BR31&lt;&gt;"",InpPerformance!BR31,"")</f>
        <v/>
      </c>
      <c r="BS9" s="591" t="str">
        <f>IF(InpPerformance!BS31&lt;&gt;"",InpPerformance!BS31,"")</f>
        <v/>
      </c>
    </row>
    <row r="10" spans="1:71" s="228" customFormat="1" ht="13.15">
      <c r="A10" s="583"/>
      <c r="B10" s="583"/>
      <c r="C10" s="583"/>
      <c r="D10" s="583"/>
      <c r="E10" s="583" t="str">
        <f>InpPerformance!E38</f>
        <v>Direction of improving performance</v>
      </c>
      <c r="F10" s="583"/>
      <c r="G10" s="583" t="str">
        <f>InpPerformance!G38</f>
        <v>Up or Down</v>
      </c>
      <c r="H10" s="583"/>
      <c r="I10" s="583"/>
      <c r="J10" s="591" t="str">
        <f>IF(InpPerformance!J38&lt;&gt;"",InpPerformance!J38,"")</f>
        <v>Down</v>
      </c>
      <c r="K10" s="591" t="str">
        <f>IF(InpPerformance!K38&lt;&gt;"",InpPerformance!K38,"")</f>
        <v>Down</v>
      </c>
      <c r="L10" s="591" t="str">
        <f>IF(InpPerformance!L38&lt;&gt;"",InpPerformance!L38,"")</f>
        <v>Up</v>
      </c>
      <c r="M10" s="591" t="str">
        <f>IF(InpPerformance!M38&lt;&gt;"",InpPerformance!M38,"")</f>
        <v/>
      </c>
      <c r="N10" s="591" t="str">
        <f>IF(InpPerformance!N38&lt;&gt;"",InpPerformance!N38,"")</f>
        <v>Up</v>
      </c>
      <c r="O10" s="591" t="str">
        <f>IF(InpPerformance!O38&lt;&gt;"",InpPerformance!O38,"")</f>
        <v/>
      </c>
      <c r="P10" s="591" t="str">
        <f>IF(InpPerformance!P38&lt;&gt;"",InpPerformance!P38,"")</f>
        <v>Down</v>
      </c>
      <c r="Q10" s="592" t="str">
        <f>IF(InpPerformance!Q38&lt;&gt;"",InpPerformance!Q38,"")</f>
        <v>Down</v>
      </c>
      <c r="R10" s="591" t="str">
        <f>IF(InpPerformance!R38&lt;&gt;"",InpPerformance!R38,"")</f>
        <v>Down</v>
      </c>
      <c r="S10" s="591" t="str">
        <f>IF(InpPerformance!S38&lt;&gt;"",InpPerformance!S38,"")</f>
        <v>Down</v>
      </c>
      <c r="T10" s="591" t="str">
        <f>IF(InpPerformance!T38&lt;&gt;"",InpPerformance!T38,"")</f>
        <v>Down</v>
      </c>
      <c r="U10" s="591" t="str">
        <f>IF(InpPerformance!U38&lt;&gt;"",InpPerformance!U38,"")</f>
        <v>Up</v>
      </c>
      <c r="V10" s="591" t="str">
        <f>IF(InpPerformance!V38&lt;&gt;"",InpPerformance!V38,"")</f>
        <v>Down</v>
      </c>
      <c r="W10" s="591" t="str">
        <f>IF(InpPerformance!W38&lt;&gt;"",InpPerformance!W38,"")</f>
        <v>Up</v>
      </c>
      <c r="X10" s="591" t="str">
        <f>IF(InpPerformance!X38&lt;&gt;"",InpPerformance!X38,"")</f>
        <v>Down</v>
      </c>
      <c r="Y10" s="591" t="str">
        <f>IF(InpPerformance!Y38&lt;&gt;"",InpPerformance!Y38,"")</f>
        <v>Down</v>
      </c>
      <c r="Z10" s="591" t="str">
        <f>IF(InpPerformance!Z38&lt;&gt;"",InpPerformance!Z38,"")</f>
        <v>Up</v>
      </c>
      <c r="AA10" s="591" t="str">
        <f>IF(InpPerformance!AA38&lt;&gt;"",InpPerformance!AA38,"")</f>
        <v/>
      </c>
      <c r="AB10" s="591" t="str">
        <f>IF(InpPerformance!AB38&lt;&gt;"",InpPerformance!AB38,"")</f>
        <v/>
      </c>
      <c r="AC10" s="591" t="str">
        <f>IF(InpPerformance!AC38&lt;&gt;"",InpPerformance!AC38,"")</f>
        <v/>
      </c>
      <c r="AD10" s="591" t="str">
        <f>IF(InpPerformance!AD38&lt;&gt;"",InpPerformance!AD38,"")</f>
        <v/>
      </c>
      <c r="AE10" s="591" t="str">
        <f>IF(InpPerformance!AE38&lt;&gt;"",InpPerformance!AE38,"")</f>
        <v/>
      </c>
      <c r="AF10" s="591" t="str">
        <f>IF(InpPerformance!AF38&lt;&gt;"",InpPerformance!AF38,"")</f>
        <v/>
      </c>
      <c r="AG10" s="591" t="str">
        <f>IF(InpPerformance!AG38&lt;&gt;"",InpPerformance!AG38,"")</f>
        <v/>
      </c>
      <c r="AH10" s="591" t="str">
        <f>IF(InpPerformance!AH38&lt;&gt;"",InpPerformance!AH38,"")</f>
        <v/>
      </c>
      <c r="AI10" s="591" t="str">
        <f>IF(InpPerformance!AI38&lt;&gt;"",InpPerformance!AI38,"")</f>
        <v/>
      </c>
      <c r="AJ10" s="591" t="str">
        <f>IF(InpPerformance!AJ38&lt;&gt;"",InpPerformance!AJ38,"")</f>
        <v/>
      </c>
      <c r="AK10" s="592" t="str">
        <f>IF(InpPerformance!AK38&lt;&gt;"",InpPerformance!AK38,"")</f>
        <v/>
      </c>
      <c r="AL10" s="591" t="str">
        <f>IF(InpPerformance!AL38&lt;&gt;"",InpPerformance!AL38,"")</f>
        <v>Down</v>
      </c>
      <c r="AM10" s="591" t="str">
        <f>IF(InpPerformance!AM38&lt;&gt;"",InpPerformance!AM38,"")</f>
        <v>Down</v>
      </c>
      <c r="AN10" s="591" t="str">
        <f>IF(InpPerformance!AN38&lt;&gt;"",InpPerformance!AN38,"")</f>
        <v>Down</v>
      </c>
      <c r="AO10" s="592" t="str">
        <f>IF(InpPerformance!AO38&lt;&gt;"",InpPerformance!AO38,"")</f>
        <v>Up</v>
      </c>
      <c r="AP10" s="591" t="str">
        <f>IF(InpPerformance!AP38&lt;&gt;"",InpPerformance!AP38,"")</f>
        <v>Up</v>
      </c>
      <c r="AQ10" s="591" t="str">
        <f>IF(InpPerformance!AQ38&lt;&gt;"",InpPerformance!AQ38,"")</f>
        <v>Up</v>
      </c>
      <c r="AR10" s="591" t="str">
        <f>IF(InpPerformance!AR38&lt;&gt;"",InpPerformance!AR38,"")</f>
        <v>Up</v>
      </c>
      <c r="AS10" s="591" t="str">
        <f>IF(InpPerformance!AS38&lt;&gt;"",InpPerformance!AS38,"")</f>
        <v>Up</v>
      </c>
      <c r="AT10" s="591" t="str">
        <f>IF(InpPerformance!AT38&lt;&gt;"",InpPerformance!AT38,"")</f>
        <v>Up</v>
      </c>
      <c r="AU10" s="591" t="str">
        <f>IF(InpPerformance!AU38&lt;&gt;"",InpPerformance!AU38,"")</f>
        <v>Up</v>
      </c>
      <c r="AV10" s="591" t="str">
        <f>IF(InpPerformance!AV38&lt;&gt;"",InpPerformance!AV38,"")</f>
        <v>Up</v>
      </c>
      <c r="AW10" s="591" t="str">
        <f>IF(InpPerformance!AW38&lt;&gt;"",InpPerformance!AW38,"")</f>
        <v>Up</v>
      </c>
      <c r="AX10" s="591" t="str">
        <f>IF(InpPerformance!AX38&lt;&gt;"",InpPerformance!AX38,"")</f>
        <v>Down</v>
      </c>
      <c r="AY10" s="591" t="str">
        <f>IF(InpPerformance!AY38&lt;&gt;"",InpPerformance!AY38,"")</f>
        <v>Up</v>
      </c>
      <c r="AZ10" s="591" t="str">
        <f>IF(InpPerformance!AZ38&lt;&gt;"",InpPerformance!AZ38,"")</f>
        <v/>
      </c>
      <c r="BA10" s="591" t="str">
        <f>IF(InpPerformance!BA38&lt;&gt;"",InpPerformance!BA38,"")</f>
        <v/>
      </c>
      <c r="BB10" s="591" t="str">
        <f>IF(InpPerformance!BB38&lt;&gt;"",InpPerformance!BB38,"")</f>
        <v/>
      </c>
      <c r="BC10" s="592" t="str">
        <f>IF(InpPerformance!BC38&lt;&gt;"",InpPerformance!BC38,"")</f>
        <v/>
      </c>
      <c r="BD10" s="591" t="str">
        <f>IF(InpPerformance!BD38&lt;&gt;"",InpPerformance!BD38,"")</f>
        <v/>
      </c>
      <c r="BE10" s="591" t="str">
        <f>IF(InpPerformance!BE38&lt;&gt;"",InpPerformance!BE38,"")</f>
        <v/>
      </c>
      <c r="BF10" s="591" t="str">
        <f>IF(InpPerformance!BF38&lt;&gt;"",InpPerformance!BF38,"")</f>
        <v/>
      </c>
      <c r="BG10" s="591" t="str">
        <f>IF(InpPerformance!BG38&lt;&gt;"",InpPerformance!BG38,"")</f>
        <v/>
      </c>
      <c r="BH10" s="591" t="str">
        <f>IF(InpPerformance!BH38&lt;&gt;"",InpPerformance!BH38,"")</f>
        <v/>
      </c>
      <c r="BI10" s="591" t="str">
        <f>IF(InpPerformance!BI38&lt;&gt;"",InpPerformance!BI38,"")</f>
        <v/>
      </c>
      <c r="BJ10" s="591" t="str">
        <f>IF(InpPerformance!BJ38&lt;&gt;"",InpPerformance!BJ38,"")</f>
        <v/>
      </c>
      <c r="BK10" s="591" t="str">
        <f>IF(InpPerformance!BK38&lt;&gt;"",InpPerformance!BK38,"")</f>
        <v/>
      </c>
      <c r="BL10" s="591" t="str">
        <f>IF(InpPerformance!BL38&lt;&gt;"",InpPerformance!BL38,"")</f>
        <v/>
      </c>
      <c r="BM10" s="591" t="str">
        <f>IF(InpPerformance!BM38&lt;&gt;"",InpPerformance!BM38,"")</f>
        <v/>
      </c>
      <c r="BN10" s="591" t="str">
        <f>IF(InpPerformance!BN38&lt;&gt;"",InpPerformance!BN38,"")</f>
        <v/>
      </c>
      <c r="BO10" s="591" t="str">
        <f>IF(InpPerformance!BO38&lt;&gt;"",InpPerformance!BO38,"")</f>
        <v/>
      </c>
      <c r="BP10" s="591" t="str">
        <f>IF(InpPerformance!BP38&lt;&gt;"",InpPerformance!BP38,"")</f>
        <v/>
      </c>
      <c r="BQ10" s="591" t="str">
        <f>IF(InpPerformance!BQ38&lt;&gt;"",InpPerformance!BQ38,"")</f>
        <v/>
      </c>
      <c r="BR10" s="591" t="str">
        <f>IF(InpPerformance!BR38&lt;&gt;"",InpPerformance!BR38,"")</f>
        <v/>
      </c>
      <c r="BS10" s="591" t="str">
        <f>IF(InpPerformance!BS38&lt;&gt;"",InpPerformance!BS38,"")</f>
        <v/>
      </c>
    </row>
    <row r="11" spans="1:71" s="228" customFormat="1" ht="13.15">
      <c r="A11" s="583"/>
      <c r="B11" s="583"/>
      <c r="C11" s="583"/>
      <c r="D11" s="583"/>
      <c r="E11" s="583" t="str">
        <f>InpPerformance!E40</f>
        <v>Decimal places</v>
      </c>
      <c r="F11" s="583"/>
      <c r="G11" s="583" t="str">
        <f>InpPerformance!G40</f>
        <v>Number</v>
      </c>
      <c r="H11" s="583"/>
      <c r="I11" s="583"/>
      <c r="J11" s="591">
        <f>IF(InpPerformance!J40&lt;&gt;"",InpPerformance!J40,"")</f>
        <v>2</v>
      </c>
      <c r="K11" s="591">
        <f>IF(InpPerformance!K40&lt;&gt;"",InpPerformance!K40,"")</f>
        <v>0</v>
      </c>
      <c r="L11" s="591">
        <f>IF(InpPerformance!L40&lt;&gt;"",InpPerformance!L40,"")</f>
        <v>1</v>
      </c>
      <c r="M11" s="591" t="str">
        <f>IF(InpPerformance!M40&lt;&gt;"",InpPerformance!M40,"")</f>
        <v/>
      </c>
      <c r="N11" s="591">
        <f>IF(InpPerformance!N40&lt;&gt;"",InpPerformance!N40,"")</f>
        <v>1</v>
      </c>
      <c r="O11" s="591" t="str">
        <f>IF(InpPerformance!O40&lt;&gt;"",InpPerformance!O40,"")</f>
        <v/>
      </c>
      <c r="P11" s="591">
        <f>IF(InpPerformance!P40&lt;&gt;"",InpPerformance!P40,"")</f>
        <v>1</v>
      </c>
      <c r="Q11" s="592">
        <f>IF(InpPerformance!Q40&lt;&gt;"",InpPerformance!Q40,"")</f>
        <v>2</v>
      </c>
      <c r="R11" s="591">
        <f>IF(InpPerformance!R40&lt;&gt;"",InpPerformance!R40,"")</f>
        <v>2</v>
      </c>
      <c r="S11" s="591">
        <f>IF(InpPerformance!S40&lt;&gt;"",InpPerformance!S40,"")</f>
        <v>2</v>
      </c>
      <c r="T11" s="591">
        <f>IF(InpPerformance!T40&lt;&gt;"",InpPerformance!T40,"")</f>
        <v>0</v>
      </c>
      <c r="U11" s="591">
        <f>IF(InpPerformance!U40&lt;&gt;"",InpPerformance!U40,"")</f>
        <v>0</v>
      </c>
      <c r="V11" s="591">
        <f>IF(InpPerformance!V40&lt;&gt;"",InpPerformance!V40,"")</f>
        <v>2</v>
      </c>
      <c r="W11" s="591">
        <f>IF(InpPerformance!W40&lt;&gt;"",InpPerformance!W40,"")</f>
        <v>0</v>
      </c>
      <c r="X11" s="591">
        <f>IF(InpPerformance!X40&lt;&gt;"",InpPerformance!X40,"")</f>
        <v>0</v>
      </c>
      <c r="Y11" s="591">
        <f>IF(InpPerformance!Y40&lt;&gt;"",InpPerformance!Y40,"")</f>
        <v>0</v>
      </c>
      <c r="Z11" s="591">
        <f>IF(InpPerformance!Z40&lt;&gt;"",InpPerformance!Z40,"")</f>
        <v>1</v>
      </c>
      <c r="AA11" s="591" t="str">
        <f>IF(InpPerformance!AA40&lt;&gt;"",InpPerformance!AA40,"")</f>
        <v/>
      </c>
      <c r="AB11" s="591" t="str">
        <f>IF(InpPerformance!AB40&lt;&gt;"",InpPerformance!AB40,"")</f>
        <v/>
      </c>
      <c r="AC11" s="591" t="str">
        <f>IF(InpPerformance!AC40&lt;&gt;"",InpPerformance!AC40,"")</f>
        <v/>
      </c>
      <c r="AD11" s="591" t="str">
        <f>IF(InpPerformance!AD40&lt;&gt;"",InpPerformance!AD40,"")</f>
        <v/>
      </c>
      <c r="AE11" s="591" t="str">
        <f>IF(InpPerformance!AE40&lt;&gt;"",InpPerformance!AE40,"")</f>
        <v/>
      </c>
      <c r="AF11" s="591" t="str">
        <f>IF(InpPerformance!AF40&lt;&gt;"",InpPerformance!AF40,"")</f>
        <v/>
      </c>
      <c r="AG11" s="591" t="str">
        <f>IF(InpPerformance!AG40&lt;&gt;"",InpPerformance!AG40,"")</f>
        <v/>
      </c>
      <c r="AH11" s="591" t="str">
        <f>IF(InpPerformance!AH40&lt;&gt;"",InpPerformance!AH40,"")</f>
        <v/>
      </c>
      <c r="AI11" s="591" t="str">
        <f>IF(InpPerformance!AI40&lt;&gt;"",InpPerformance!AI40,"")</f>
        <v/>
      </c>
      <c r="AJ11" s="591" t="str">
        <f>IF(InpPerformance!AJ40&lt;&gt;"",InpPerformance!AJ40,"")</f>
        <v/>
      </c>
      <c r="AK11" s="592" t="str">
        <f>IF(InpPerformance!AK40&lt;&gt;"",InpPerformance!AK40,"")</f>
        <v/>
      </c>
      <c r="AL11" s="591">
        <f>IF(InpPerformance!AL40&lt;&gt;"",InpPerformance!AL40,"")</f>
        <v>2</v>
      </c>
      <c r="AM11" s="591">
        <f>IF(InpPerformance!AM40&lt;&gt;"",InpPerformance!AM40,"")</f>
        <v>2</v>
      </c>
      <c r="AN11" s="591">
        <f>IF(InpPerformance!AN40&lt;&gt;"",InpPerformance!AN40,"")</f>
        <v>2</v>
      </c>
      <c r="AO11" s="592">
        <f>IF(InpPerformance!AO40&lt;&gt;"",InpPerformance!AO40,"")</f>
        <v>2</v>
      </c>
      <c r="AP11" s="591">
        <f>IF(InpPerformance!AP40&lt;&gt;"",InpPerformance!AP40,"")</f>
        <v>0</v>
      </c>
      <c r="AQ11" s="591">
        <f>IF(InpPerformance!AQ40&lt;&gt;"",InpPerformance!AQ40,"")</f>
        <v>2</v>
      </c>
      <c r="AR11" s="591">
        <f>IF(InpPerformance!AR40&lt;&gt;"",InpPerformance!AR40,"")</f>
        <v>2</v>
      </c>
      <c r="AS11" s="591">
        <f>IF(InpPerformance!AS40&lt;&gt;"",InpPerformance!AS40,"")</f>
        <v>2</v>
      </c>
      <c r="AT11" s="591">
        <f>IF(InpPerformance!AT40&lt;&gt;"",InpPerformance!AT40,"")</f>
        <v>0</v>
      </c>
      <c r="AU11" s="591">
        <f>IF(InpPerformance!AU40&lt;&gt;"",InpPerformance!AU40,"")</f>
        <v>0</v>
      </c>
      <c r="AV11" s="591">
        <f>IF(InpPerformance!AV40&lt;&gt;"",InpPerformance!AV40,"")</f>
        <v>0</v>
      </c>
      <c r="AW11" s="591">
        <f>IF(InpPerformance!AW40&lt;&gt;"",InpPerformance!AW40,"")</f>
        <v>0</v>
      </c>
      <c r="AX11" s="591">
        <f>IF(InpPerformance!AX40&lt;&gt;"",InpPerformance!AX40,"")</f>
        <v>0</v>
      </c>
      <c r="AY11" s="591">
        <f>IF(InpPerformance!AY40&lt;&gt;"",InpPerformance!AY40,"")</f>
        <v>0</v>
      </c>
      <c r="AZ11" s="591" t="str">
        <f>IF(InpPerformance!AZ40&lt;&gt;"",InpPerformance!AZ40,"")</f>
        <v/>
      </c>
      <c r="BA11" s="591" t="str">
        <f>IF(InpPerformance!BA40&lt;&gt;"",InpPerformance!BA40,"")</f>
        <v/>
      </c>
      <c r="BB11" s="591" t="str">
        <f>IF(InpPerformance!BB40&lt;&gt;"",InpPerformance!BB40,"")</f>
        <v/>
      </c>
      <c r="BC11" s="592" t="str">
        <f>IF(InpPerformance!BC40&lt;&gt;"",InpPerformance!BC40,"")</f>
        <v/>
      </c>
      <c r="BD11" s="591" t="str">
        <f>IF(InpPerformance!BD40&lt;&gt;"",InpPerformance!BD40,"")</f>
        <v/>
      </c>
      <c r="BE11" s="591" t="str">
        <f>IF(InpPerformance!BE40&lt;&gt;"",InpPerformance!BE40,"")</f>
        <v/>
      </c>
      <c r="BF11" s="591" t="str">
        <f>IF(InpPerformance!BF40&lt;&gt;"",InpPerformance!BF40,"")</f>
        <v/>
      </c>
      <c r="BG11" s="591" t="str">
        <f>IF(InpPerformance!BG40&lt;&gt;"",InpPerformance!BG40,"")</f>
        <v/>
      </c>
      <c r="BH11" s="591" t="str">
        <f>IF(InpPerformance!BH40&lt;&gt;"",InpPerformance!BH40,"")</f>
        <v/>
      </c>
      <c r="BI11" s="591" t="str">
        <f>IF(InpPerformance!BI40&lt;&gt;"",InpPerformance!BI40,"")</f>
        <v/>
      </c>
      <c r="BJ11" s="591" t="str">
        <f>IF(InpPerformance!BJ40&lt;&gt;"",InpPerformance!BJ40,"")</f>
        <v/>
      </c>
      <c r="BK11" s="591" t="str">
        <f>IF(InpPerformance!BK40&lt;&gt;"",InpPerformance!BK40,"")</f>
        <v/>
      </c>
      <c r="BL11" s="591" t="str">
        <f>IF(InpPerformance!BL40&lt;&gt;"",InpPerformance!BL40,"")</f>
        <v/>
      </c>
      <c r="BM11" s="591" t="str">
        <f>IF(InpPerformance!BM40&lt;&gt;"",InpPerformance!BM40,"")</f>
        <v/>
      </c>
      <c r="BN11" s="591" t="str">
        <f>IF(InpPerformance!BN40&lt;&gt;"",InpPerformance!BN40,"")</f>
        <v/>
      </c>
      <c r="BO11" s="591" t="str">
        <f>IF(InpPerformance!BO40&lt;&gt;"",InpPerformance!BO40,"")</f>
        <v/>
      </c>
      <c r="BP11" s="591" t="str">
        <f>IF(InpPerformance!BP40&lt;&gt;"",InpPerformance!BP40,"")</f>
        <v/>
      </c>
      <c r="BQ11" s="591" t="str">
        <f>IF(InpPerformance!BQ40&lt;&gt;"",InpPerformance!BQ40,"")</f>
        <v/>
      </c>
      <c r="BR11" s="591" t="str">
        <f>IF(InpPerformance!BR40&lt;&gt;"",InpPerformance!BR40,"")</f>
        <v/>
      </c>
      <c r="BS11" s="591" t="str">
        <f>IF(InpPerformance!BS40&lt;&gt;"",InpPerformance!BS40,"")</f>
        <v/>
      </c>
    </row>
    <row r="12" spans="1:71" s="202" customFormat="1" ht="13.15">
      <c r="A12" s="453"/>
      <c r="B12" s="453"/>
      <c r="C12" s="453"/>
      <c r="D12" s="453"/>
      <c r="E12" s="453"/>
      <c r="F12" s="453"/>
      <c r="G12" s="453"/>
      <c r="H12" s="453"/>
      <c r="I12" s="453"/>
      <c r="J12" s="494"/>
      <c r="K12" s="494"/>
      <c r="L12" s="494"/>
      <c r="M12" s="494"/>
      <c r="N12" s="494"/>
      <c r="O12" s="494"/>
      <c r="P12" s="494"/>
      <c r="Q12" s="496"/>
      <c r="R12" s="494"/>
      <c r="S12" s="494"/>
      <c r="T12" s="494"/>
      <c r="U12" s="494"/>
      <c r="V12" s="494"/>
      <c r="W12" s="494"/>
      <c r="X12" s="494"/>
      <c r="Y12" s="494"/>
      <c r="Z12" s="494"/>
      <c r="AA12" s="494"/>
      <c r="AB12" s="494"/>
      <c r="AC12" s="494"/>
      <c r="AD12" s="494"/>
      <c r="AE12" s="494"/>
      <c r="AF12" s="494"/>
      <c r="AG12" s="494"/>
      <c r="AH12" s="494"/>
      <c r="AI12" s="494"/>
      <c r="AJ12" s="494"/>
      <c r="AK12" s="496"/>
      <c r="AL12" s="494"/>
      <c r="AM12" s="494"/>
      <c r="AN12" s="494"/>
      <c r="AO12" s="496"/>
      <c r="AP12" s="494"/>
      <c r="AQ12" s="494"/>
      <c r="AR12" s="494"/>
      <c r="AS12" s="494"/>
      <c r="AT12" s="494"/>
      <c r="AU12" s="494"/>
      <c r="AV12" s="494"/>
      <c r="AW12" s="494"/>
      <c r="AX12" s="494"/>
      <c r="AY12" s="494"/>
      <c r="AZ12" s="494"/>
      <c r="BA12" s="494"/>
      <c r="BB12" s="494"/>
      <c r="BC12" s="496"/>
      <c r="BD12" s="494"/>
      <c r="BE12" s="494"/>
      <c r="BF12" s="494"/>
      <c r="BG12" s="494"/>
      <c r="BH12" s="494"/>
      <c r="BI12" s="494"/>
      <c r="BJ12" s="494"/>
      <c r="BK12" s="494"/>
      <c r="BL12" s="494"/>
      <c r="BM12" s="494"/>
      <c r="BN12" s="494"/>
      <c r="BO12" s="494"/>
      <c r="BP12" s="494"/>
      <c r="BQ12" s="494"/>
      <c r="BR12" s="494"/>
      <c r="BS12" s="494"/>
    </row>
    <row r="13" spans="1:71" s="202" customFormat="1" ht="13.15">
      <c r="A13" s="453"/>
      <c r="B13" s="453"/>
      <c r="C13" s="453"/>
      <c r="D13" s="463" t="s">
        <v>1198</v>
      </c>
      <c r="E13" s="453"/>
      <c r="F13" s="453"/>
      <c r="G13" s="453"/>
      <c r="H13" s="453"/>
      <c r="I13" s="453"/>
      <c r="J13" s="494"/>
      <c r="K13" s="494"/>
      <c r="L13" s="494"/>
      <c r="M13" s="494"/>
      <c r="N13" s="494"/>
      <c r="O13" s="494"/>
      <c r="P13" s="494"/>
      <c r="Q13" s="496"/>
      <c r="R13" s="494"/>
      <c r="S13" s="494"/>
      <c r="T13" s="494"/>
      <c r="U13" s="494"/>
      <c r="V13" s="494"/>
      <c r="W13" s="494"/>
      <c r="X13" s="494"/>
      <c r="Y13" s="494"/>
      <c r="Z13" s="494"/>
      <c r="AA13" s="494"/>
      <c r="AB13" s="494"/>
      <c r="AC13" s="494"/>
      <c r="AD13" s="494"/>
      <c r="AE13" s="494"/>
      <c r="AF13" s="494"/>
      <c r="AG13" s="494"/>
      <c r="AH13" s="494"/>
      <c r="AI13" s="494"/>
      <c r="AJ13" s="494"/>
      <c r="AK13" s="496"/>
      <c r="AL13" s="494"/>
      <c r="AM13" s="494"/>
      <c r="AN13" s="494"/>
      <c r="AO13" s="496"/>
      <c r="AP13" s="494"/>
      <c r="AQ13" s="494"/>
      <c r="AR13" s="494"/>
      <c r="AS13" s="494"/>
      <c r="AT13" s="494"/>
      <c r="AU13" s="494"/>
      <c r="AV13" s="494"/>
      <c r="AW13" s="494"/>
      <c r="AX13" s="494"/>
      <c r="AY13" s="494"/>
      <c r="AZ13" s="494"/>
      <c r="BA13" s="494"/>
      <c r="BB13" s="494"/>
      <c r="BC13" s="496"/>
      <c r="BD13" s="494"/>
      <c r="BE13" s="494"/>
      <c r="BF13" s="494"/>
      <c r="BG13" s="494"/>
      <c r="BH13" s="494"/>
      <c r="BI13" s="494"/>
      <c r="BJ13" s="494"/>
      <c r="BK13" s="494"/>
      <c r="BL13" s="494"/>
      <c r="BM13" s="494"/>
      <c r="BN13" s="494"/>
      <c r="BO13" s="494"/>
      <c r="BP13" s="494"/>
      <c r="BQ13" s="494"/>
      <c r="BR13" s="494"/>
      <c r="BS13" s="494"/>
    </row>
    <row r="14" spans="1:71" s="202" customFormat="1" ht="13.15">
      <c r="A14" s="453"/>
      <c r="B14" s="453"/>
      <c r="C14" s="453"/>
      <c r="D14" s="453"/>
      <c r="E14" s="453" t="s">
        <v>1199</v>
      </c>
      <c r="F14" s="453"/>
      <c r="G14" s="453" t="s">
        <v>396</v>
      </c>
      <c r="H14" s="453"/>
      <c r="I14" s="453"/>
      <c r="J14" s="494">
        <f t="shared" ref="J14:O14" si="0">IF(J10="Up",1,-1)</f>
        <v>-1</v>
      </c>
      <c r="K14" s="494">
        <f t="shared" si="0"/>
        <v>-1</v>
      </c>
      <c r="L14" s="494">
        <f t="shared" si="0"/>
        <v>1</v>
      </c>
      <c r="M14" s="494">
        <f t="shared" si="0"/>
        <v>-1</v>
      </c>
      <c r="N14" s="494">
        <f t="shared" si="0"/>
        <v>1</v>
      </c>
      <c r="O14" s="494">
        <f t="shared" si="0"/>
        <v>-1</v>
      </c>
      <c r="P14" s="494">
        <f t="shared" ref="P14:BS14" si="1">IF(P10="Up",1,-1)</f>
        <v>-1</v>
      </c>
      <c r="Q14" s="496">
        <f t="shared" si="1"/>
        <v>-1</v>
      </c>
      <c r="R14" s="494">
        <f t="shared" si="1"/>
        <v>-1</v>
      </c>
      <c r="S14" s="494">
        <f t="shared" si="1"/>
        <v>-1</v>
      </c>
      <c r="T14" s="494">
        <f t="shared" si="1"/>
        <v>-1</v>
      </c>
      <c r="U14" s="494">
        <f t="shared" si="1"/>
        <v>1</v>
      </c>
      <c r="V14" s="494">
        <f t="shared" si="1"/>
        <v>-1</v>
      </c>
      <c r="W14" s="494">
        <f t="shared" si="1"/>
        <v>1</v>
      </c>
      <c r="X14" s="494">
        <f t="shared" si="1"/>
        <v>-1</v>
      </c>
      <c r="Y14" s="494">
        <f t="shared" si="1"/>
        <v>-1</v>
      </c>
      <c r="Z14" s="494">
        <f t="shared" si="1"/>
        <v>1</v>
      </c>
      <c r="AA14" s="494">
        <f t="shared" si="1"/>
        <v>-1</v>
      </c>
      <c r="AB14" s="494">
        <f t="shared" si="1"/>
        <v>-1</v>
      </c>
      <c r="AC14" s="494">
        <f t="shared" si="1"/>
        <v>-1</v>
      </c>
      <c r="AD14" s="494">
        <f t="shared" si="1"/>
        <v>-1</v>
      </c>
      <c r="AE14" s="494">
        <f t="shared" si="1"/>
        <v>-1</v>
      </c>
      <c r="AF14" s="494">
        <f t="shared" si="1"/>
        <v>-1</v>
      </c>
      <c r="AG14" s="494">
        <f t="shared" si="1"/>
        <v>-1</v>
      </c>
      <c r="AH14" s="494">
        <f t="shared" si="1"/>
        <v>-1</v>
      </c>
      <c r="AI14" s="494">
        <f t="shared" si="1"/>
        <v>-1</v>
      </c>
      <c r="AJ14" s="494">
        <f t="shared" si="1"/>
        <v>-1</v>
      </c>
      <c r="AK14" s="496">
        <f t="shared" si="1"/>
        <v>-1</v>
      </c>
      <c r="AL14" s="494">
        <f t="shared" si="1"/>
        <v>-1</v>
      </c>
      <c r="AM14" s="494">
        <f t="shared" si="1"/>
        <v>-1</v>
      </c>
      <c r="AN14" s="494">
        <f t="shared" si="1"/>
        <v>-1</v>
      </c>
      <c r="AO14" s="496">
        <f t="shared" si="1"/>
        <v>1</v>
      </c>
      <c r="AP14" s="494">
        <f t="shared" si="1"/>
        <v>1</v>
      </c>
      <c r="AQ14" s="494">
        <f t="shared" si="1"/>
        <v>1</v>
      </c>
      <c r="AR14" s="494">
        <f t="shared" si="1"/>
        <v>1</v>
      </c>
      <c r="AS14" s="494">
        <f t="shared" si="1"/>
        <v>1</v>
      </c>
      <c r="AT14" s="494">
        <f t="shared" si="1"/>
        <v>1</v>
      </c>
      <c r="AU14" s="494">
        <f t="shared" si="1"/>
        <v>1</v>
      </c>
      <c r="AV14" s="494">
        <f t="shared" si="1"/>
        <v>1</v>
      </c>
      <c r="AW14" s="494">
        <f t="shared" si="1"/>
        <v>1</v>
      </c>
      <c r="AX14" s="494">
        <f t="shared" si="1"/>
        <v>-1</v>
      </c>
      <c r="AY14" s="494">
        <f t="shared" si="1"/>
        <v>1</v>
      </c>
      <c r="AZ14" s="494">
        <f t="shared" si="1"/>
        <v>-1</v>
      </c>
      <c r="BA14" s="494">
        <f t="shared" si="1"/>
        <v>-1</v>
      </c>
      <c r="BB14" s="494">
        <f t="shared" si="1"/>
        <v>-1</v>
      </c>
      <c r="BC14" s="496">
        <f t="shared" si="1"/>
        <v>-1</v>
      </c>
      <c r="BD14" s="494">
        <f t="shared" si="1"/>
        <v>-1</v>
      </c>
      <c r="BE14" s="494">
        <f t="shared" si="1"/>
        <v>-1</v>
      </c>
      <c r="BF14" s="494">
        <f>IF(BF10="Up",1,-1)</f>
        <v>-1</v>
      </c>
      <c r="BG14" s="494">
        <f>IF(BG10="Up",1,-1)</f>
        <v>-1</v>
      </c>
      <c r="BH14" s="494">
        <f t="shared" si="1"/>
        <v>-1</v>
      </c>
      <c r="BI14" s="494">
        <f t="shared" si="1"/>
        <v>-1</v>
      </c>
      <c r="BJ14" s="494">
        <f t="shared" si="1"/>
        <v>-1</v>
      </c>
      <c r="BK14" s="494">
        <f t="shared" si="1"/>
        <v>-1</v>
      </c>
      <c r="BL14" s="494">
        <f t="shared" si="1"/>
        <v>-1</v>
      </c>
      <c r="BM14" s="494">
        <f t="shared" si="1"/>
        <v>-1</v>
      </c>
      <c r="BN14" s="494">
        <f t="shared" si="1"/>
        <v>-1</v>
      </c>
      <c r="BO14" s="494">
        <f t="shared" si="1"/>
        <v>-1</v>
      </c>
      <c r="BP14" s="494">
        <f t="shared" si="1"/>
        <v>-1</v>
      </c>
      <c r="BQ14" s="494">
        <f t="shared" si="1"/>
        <v>-1</v>
      </c>
      <c r="BR14" s="494">
        <f t="shared" si="1"/>
        <v>-1</v>
      </c>
      <c r="BS14" s="494">
        <f t="shared" si="1"/>
        <v>-1</v>
      </c>
    </row>
    <row r="15" spans="1:71" s="202" customFormat="1" ht="13.15">
      <c r="A15" s="453"/>
      <c r="B15" s="453"/>
      <c r="C15" s="453"/>
      <c r="D15" s="453"/>
      <c r="E15" s="453" t="s">
        <v>1200</v>
      </c>
      <c r="F15" s="453"/>
      <c r="G15" s="453" t="s">
        <v>418</v>
      </c>
      <c r="H15" s="453"/>
      <c r="I15" s="453"/>
      <c r="J15" s="494" t="b">
        <f>J$9=Validation!$F$6</f>
        <v>0</v>
      </c>
      <c r="K15" s="494" t="b">
        <f>K$9=Validation!$F$6</f>
        <v>1</v>
      </c>
      <c r="L15" s="494" t="b">
        <f>L$9=Validation!$F$6</f>
        <v>0</v>
      </c>
      <c r="M15" s="494" t="b">
        <f>M$9=Validation!$F$6</f>
        <v>0</v>
      </c>
      <c r="N15" s="494" t="b">
        <f>N$9=Validation!$F$6</f>
        <v>0</v>
      </c>
      <c r="O15" s="494" t="b">
        <f>O$9=Validation!$F$6</f>
        <v>0</v>
      </c>
      <c r="P15" s="494" t="b">
        <f>P$9=Validation!$F$6</f>
        <v>0</v>
      </c>
      <c r="Q15" s="496" t="b">
        <f>Q$9=Validation!$F$6</f>
        <v>0</v>
      </c>
      <c r="R15" s="494" t="b">
        <f>R$9=Validation!$F$6</f>
        <v>0</v>
      </c>
      <c r="S15" s="494" t="b">
        <f>S$9=Validation!$F$6</f>
        <v>0</v>
      </c>
      <c r="T15" s="494" t="b">
        <f>T$9=Validation!$F$6</f>
        <v>0</v>
      </c>
      <c r="U15" s="494" t="b">
        <f>U$9=Validation!$F$6</f>
        <v>0</v>
      </c>
      <c r="V15" s="494" t="b">
        <f>V$9=Validation!$F$6</f>
        <v>0</v>
      </c>
      <c r="W15" s="494" t="b">
        <f>W$9=Validation!$F$6</f>
        <v>0</v>
      </c>
      <c r="X15" s="494" t="b">
        <f>X$9=Validation!$F$6</f>
        <v>0</v>
      </c>
      <c r="Y15" s="494" t="b">
        <f>Y$9=Validation!$F$6</f>
        <v>0</v>
      </c>
      <c r="Z15" s="494" t="b">
        <f>Z$9=Validation!$F$6</f>
        <v>0</v>
      </c>
      <c r="AA15" s="494" t="b">
        <f>AA$9=Validation!$F$6</f>
        <v>0</v>
      </c>
      <c r="AB15" s="494" t="b">
        <f>AB$9=Validation!$F$6</f>
        <v>0</v>
      </c>
      <c r="AC15" s="494" t="b">
        <f>AC$9=Validation!$F$6</f>
        <v>0</v>
      </c>
      <c r="AD15" s="494" t="b">
        <f>AD$9=Validation!$F$6</f>
        <v>0</v>
      </c>
      <c r="AE15" s="494" t="b">
        <f>AE$9=Validation!$F$6</f>
        <v>0</v>
      </c>
      <c r="AF15" s="494" t="b">
        <f>AF$9=Validation!$F$6</f>
        <v>0</v>
      </c>
      <c r="AG15" s="494" t="b">
        <f>AG$9=Validation!$F$6</f>
        <v>0</v>
      </c>
      <c r="AH15" s="494" t="b">
        <f>AH$9=Validation!$F$6</f>
        <v>0</v>
      </c>
      <c r="AI15" s="494" t="b">
        <f>AI$9=Validation!$F$6</f>
        <v>0</v>
      </c>
      <c r="AJ15" s="494" t="b">
        <f>AJ$9=Validation!$F$6</f>
        <v>0</v>
      </c>
      <c r="AK15" s="496" t="b">
        <f>AK$9=Validation!$F$6</f>
        <v>0</v>
      </c>
      <c r="AL15" s="494" t="b">
        <f>AL$9=Validation!$F$6</f>
        <v>0</v>
      </c>
      <c r="AM15" s="494" t="b">
        <f>AM$9=Validation!$F$6</f>
        <v>0</v>
      </c>
      <c r="AN15" s="494" t="b">
        <f>AN$9=Validation!$F$6</f>
        <v>0</v>
      </c>
      <c r="AO15" s="496" t="b">
        <f>AO$9=Validation!$F$6</f>
        <v>0</v>
      </c>
      <c r="AP15" s="494" t="b">
        <f>AP$9=Validation!$F$6</f>
        <v>0</v>
      </c>
      <c r="AQ15" s="494" t="b">
        <f>AQ$9=Validation!$F$6</f>
        <v>0</v>
      </c>
      <c r="AR15" s="494" t="b">
        <f>AR$9=Validation!$F$6</f>
        <v>0</v>
      </c>
      <c r="AS15" s="494" t="b">
        <f>AS$9=Validation!$F$6</f>
        <v>0</v>
      </c>
      <c r="AT15" s="494" t="b">
        <f>AT$9=Validation!$F$6</f>
        <v>0</v>
      </c>
      <c r="AU15" s="494" t="b">
        <f>AU$9=Validation!$F$6</f>
        <v>0</v>
      </c>
      <c r="AV15" s="494" t="b">
        <f>AV$9=Validation!$F$6</f>
        <v>0</v>
      </c>
      <c r="AW15" s="494" t="b">
        <f>AW$9=Validation!$F$6</f>
        <v>0</v>
      </c>
      <c r="AX15" s="494" t="b">
        <f>AX$9=Validation!$F$6</f>
        <v>0</v>
      </c>
      <c r="AY15" s="494" t="b">
        <f>AY$9=Validation!$F$6</f>
        <v>0</v>
      </c>
      <c r="AZ15" s="494" t="b">
        <f>AZ$9=Validation!$F$6</f>
        <v>0</v>
      </c>
      <c r="BA15" s="494" t="b">
        <f>BA$9=Validation!$F$6</f>
        <v>0</v>
      </c>
      <c r="BB15" s="494" t="b">
        <f>BB$9=Validation!$F$6</f>
        <v>0</v>
      </c>
      <c r="BC15" s="496" t="b">
        <f>BC$9=Validation!$F$6</f>
        <v>0</v>
      </c>
      <c r="BD15" s="494" t="b">
        <f>BD$9=Validation!$F$6</f>
        <v>0</v>
      </c>
      <c r="BE15" s="494" t="b">
        <f>BE$9=Validation!$F$6</f>
        <v>0</v>
      </c>
      <c r="BF15" s="494" t="b">
        <f>BF$9=Validation!$F$6</f>
        <v>0</v>
      </c>
      <c r="BG15" s="494" t="b">
        <f>BG$9=Validation!$F$6</f>
        <v>0</v>
      </c>
      <c r="BH15" s="494" t="b">
        <f>BH$9=Validation!$F$6</f>
        <v>0</v>
      </c>
      <c r="BI15" s="494" t="b">
        <f>BI$9=Validation!$F$6</f>
        <v>0</v>
      </c>
      <c r="BJ15" s="494" t="b">
        <f>BJ$9=Validation!$F$6</f>
        <v>0</v>
      </c>
      <c r="BK15" s="494" t="b">
        <f>BK$9=Validation!$F$6</f>
        <v>0</v>
      </c>
      <c r="BL15" s="494" t="b">
        <f>BL$9=Validation!$F$6</f>
        <v>0</v>
      </c>
      <c r="BM15" s="494" t="b">
        <f>BM$9=Validation!$F$6</f>
        <v>0</v>
      </c>
      <c r="BN15" s="494" t="b">
        <f>BN$9=Validation!$F$6</f>
        <v>0</v>
      </c>
      <c r="BO15" s="494" t="b">
        <f>BO$9=Validation!$F$6</f>
        <v>0</v>
      </c>
      <c r="BP15" s="494" t="b">
        <f>BP$9=Validation!$F$6</f>
        <v>0</v>
      </c>
      <c r="BQ15" s="494" t="b">
        <f>BQ$9=Validation!$F$6</f>
        <v>0</v>
      </c>
      <c r="BR15" s="494" t="b">
        <f>BR$9=Validation!$F$6</f>
        <v>0</v>
      </c>
      <c r="BS15" s="494" t="b">
        <f>BS$9=Validation!$F$6</f>
        <v>0</v>
      </c>
    </row>
    <row r="16" spans="1:71" s="202" customFormat="1" ht="13.15">
      <c r="A16" s="453"/>
      <c r="B16" s="453"/>
      <c r="C16" s="453"/>
      <c r="D16" s="453"/>
      <c r="E16" s="583" t="str">
        <f>InpPerformance!E$20</f>
        <v>ODI is calculated as a percentage difference to a baseline</v>
      </c>
      <c r="F16" s="583"/>
      <c r="G16" s="583" t="str">
        <f>InpPerformance!G$20</f>
        <v>TRUE or FALSE</v>
      </c>
      <c r="H16" s="583"/>
      <c r="I16" s="583"/>
      <c r="J16" s="591" t="b">
        <f>InpPerformance!J$20</f>
        <v>0</v>
      </c>
      <c r="K16" s="591" t="b">
        <f>InpPerformance!K$20</f>
        <v>0</v>
      </c>
      <c r="L16" s="591" t="b">
        <f>InpPerformance!L$20</f>
        <v>1</v>
      </c>
      <c r="M16" s="591" t="b">
        <f>InpPerformance!M$20</f>
        <v>1</v>
      </c>
      <c r="N16" s="591" t="b">
        <f>InpPerformance!N$20</f>
        <v>1</v>
      </c>
      <c r="O16" s="591" t="b">
        <f>InpPerformance!O$20</f>
        <v>1</v>
      </c>
      <c r="P16" s="591" t="b">
        <f>InpPerformance!P$20</f>
        <v>0</v>
      </c>
      <c r="Q16" s="592" t="b">
        <f>InpPerformance!Q$20</f>
        <v>0</v>
      </c>
      <c r="R16" s="591" t="b">
        <f>InpPerformance!R$20</f>
        <v>0</v>
      </c>
      <c r="S16" s="591" t="b">
        <f>InpPerformance!S$20</f>
        <v>0</v>
      </c>
      <c r="T16" s="591" t="b">
        <f>InpPerformance!T$20</f>
        <v>0</v>
      </c>
      <c r="U16" s="591" t="b">
        <f>InpPerformance!U$20</f>
        <v>0</v>
      </c>
      <c r="V16" s="591" t="b">
        <f>InpPerformance!V$20</f>
        <v>0</v>
      </c>
      <c r="W16" s="591" t="b">
        <f>InpPerformance!W$20</f>
        <v>0</v>
      </c>
      <c r="X16" s="591" t="b">
        <f>InpPerformance!X$20</f>
        <v>0</v>
      </c>
      <c r="Y16" s="591" t="b">
        <f>InpPerformance!Y$20</f>
        <v>0</v>
      </c>
      <c r="Z16" s="591" t="b">
        <f>InpPerformance!Z$20</f>
        <v>0</v>
      </c>
      <c r="AA16" s="591" t="b">
        <f>InpPerformance!AA$20</f>
        <v>0</v>
      </c>
      <c r="AB16" s="591" t="b">
        <f>InpPerformance!AB$20</f>
        <v>0</v>
      </c>
      <c r="AC16" s="591" t="b">
        <f>InpPerformance!AC$20</f>
        <v>0</v>
      </c>
      <c r="AD16" s="591" t="b">
        <f>InpPerformance!AD$20</f>
        <v>0</v>
      </c>
      <c r="AE16" s="591" t="b">
        <f>InpPerformance!AE$20</f>
        <v>0</v>
      </c>
      <c r="AF16" s="591" t="b">
        <f>InpPerformance!AF$20</f>
        <v>0</v>
      </c>
      <c r="AG16" s="591" t="b">
        <f>InpPerformance!AG$20</f>
        <v>0</v>
      </c>
      <c r="AH16" s="591" t="b">
        <f>InpPerformance!AH$20</f>
        <v>0</v>
      </c>
      <c r="AI16" s="591" t="b">
        <f>InpPerformance!AI$20</f>
        <v>0</v>
      </c>
      <c r="AJ16" s="591" t="b">
        <f>InpPerformance!AJ$20</f>
        <v>0</v>
      </c>
      <c r="AK16" s="592" t="b">
        <f>InpPerformance!AK$20</f>
        <v>0</v>
      </c>
      <c r="AL16" s="591" t="b">
        <f>InpPerformance!AL$20</f>
        <v>0</v>
      </c>
      <c r="AM16" s="591" t="b">
        <f>InpPerformance!AM$20</f>
        <v>0</v>
      </c>
      <c r="AN16" s="591" t="b">
        <f>InpPerformance!AN$20</f>
        <v>0</v>
      </c>
      <c r="AO16" s="592" t="b">
        <f>InpPerformance!AO$20</f>
        <v>0</v>
      </c>
      <c r="AP16" s="591" t="b">
        <f>InpPerformance!AP$20</f>
        <v>0</v>
      </c>
      <c r="AQ16" s="591" t="b">
        <f>InpPerformance!AQ$20</f>
        <v>0</v>
      </c>
      <c r="AR16" s="591" t="b">
        <f>InpPerformance!AR$20</f>
        <v>0</v>
      </c>
      <c r="AS16" s="591" t="b">
        <f>InpPerformance!AS$20</f>
        <v>0</v>
      </c>
      <c r="AT16" s="591" t="b">
        <f>InpPerformance!AT$20</f>
        <v>0</v>
      </c>
      <c r="AU16" s="591" t="b">
        <f>InpPerformance!AU$20</f>
        <v>0</v>
      </c>
      <c r="AV16" s="591" t="b">
        <f>InpPerformance!AV$20</f>
        <v>0</v>
      </c>
      <c r="AW16" s="591" t="b">
        <f>InpPerformance!AW$20</f>
        <v>0</v>
      </c>
      <c r="AX16" s="591" t="b">
        <f>InpPerformance!AX$20</f>
        <v>0</v>
      </c>
      <c r="AY16" s="591" t="b">
        <f>InpPerformance!AY$20</f>
        <v>0</v>
      </c>
      <c r="AZ16" s="591" t="b">
        <f>InpPerformance!AZ$20</f>
        <v>0</v>
      </c>
      <c r="BA16" s="591" t="b">
        <f>InpPerformance!BA$20</f>
        <v>0</v>
      </c>
      <c r="BB16" s="591" t="b">
        <f>InpPerformance!BB$20</f>
        <v>0</v>
      </c>
      <c r="BC16" s="592" t="b">
        <f>InpPerformance!BC$20</f>
        <v>0</v>
      </c>
      <c r="BD16" s="494"/>
      <c r="BE16" s="494"/>
      <c r="BF16" s="494"/>
      <c r="BG16" s="494"/>
      <c r="BH16" s="494"/>
      <c r="BI16" s="494"/>
      <c r="BJ16" s="494"/>
      <c r="BK16" s="494"/>
      <c r="BL16" s="494"/>
      <c r="BM16" s="494"/>
      <c r="BN16" s="494"/>
      <c r="BO16" s="494"/>
      <c r="BP16" s="494"/>
      <c r="BQ16" s="494"/>
      <c r="BR16" s="494"/>
      <c r="BS16" s="494"/>
    </row>
    <row r="17" spans="1:71" s="202" customFormat="1" ht="13.15">
      <c r="A17" s="453"/>
      <c r="B17" s="453"/>
      <c r="C17" s="453"/>
      <c r="D17" s="453"/>
      <c r="E17" s="453" t="s">
        <v>1201</v>
      </c>
      <c r="F17" s="453"/>
      <c r="G17" s="453" t="str">
        <f>G7</f>
        <v>Performance commitment unit</v>
      </c>
      <c r="H17" s="453"/>
      <c r="I17" s="453"/>
      <c r="J17" s="593">
        <f>IF(AND(ISNUMBER(J7),J15=FALSE,J16=FALSE),ROUND(J7,J11),J7)</f>
        <v>3.07</v>
      </c>
      <c r="K17" s="492">
        <f t="shared" ref="K17:BC17" si="2">IF(AND(ISNUMBER(K7),K15=FALSE,K16=FALSE),ROUND(K7,K11),K7)</f>
        <v>5.6635957305140185E-2</v>
      </c>
      <c r="L17" s="492">
        <f t="shared" si="2"/>
        <v>-4.404404404404394</v>
      </c>
      <c r="M17" s="492" t="str">
        <f t="shared" si="2"/>
        <v/>
      </c>
      <c r="N17" s="492">
        <f t="shared" si="2"/>
        <v>-1.2499999999999956</v>
      </c>
      <c r="O17" s="492" t="str">
        <f t="shared" si="2"/>
        <v/>
      </c>
      <c r="P17" s="492">
        <f t="shared" si="2"/>
        <v>121.1</v>
      </c>
      <c r="Q17" s="493">
        <f t="shared" si="2"/>
        <v>5.68</v>
      </c>
      <c r="R17" s="492">
        <f t="shared" si="2"/>
        <v>1</v>
      </c>
      <c r="S17" s="492">
        <f t="shared" si="2"/>
        <v>0.24</v>
      </c>
      <c r="T17" s="492">
        <f t="shared" si="2"/>
        <v>-19</v>
      </c>
      <c r="U17" s="492">
        <f t="shared" si="2"/>
        <v>0</v>
      </c>
      <c r="V17" s="492">
        <f t="shared" si="2"/>
        <v>2.97</v>
      </c>
      <c r="W17" s="492">
        <f t="shared" si="2"/>
        <v>0</v>
      </c>
      <c r="X17" s="492">
        <f t="shared" si="2"/>
        <v>173</v>
      </c>
      <c r="Y17" s="492">
        <f t="shared" si="2"/>
        <v>51</v>
      </c>
      <c r="Z17" s="492">
        <f t="shared" si="2"/>
        <v>0</v>
      </c>
      <c r="AA17" s="492" t="str">
        <f t="shared" si="2"/>
        <v/>
      </c>
      <c r="AB17" s="492" t="str">
        <f t="shared" si="2"/>
        <v/>
      </c>
      <c r="AC17" s="492" t="str">
        <f t="shared" si="2"/>
        <v/>
      </c>
      <c r="AD17" s="492" t="str">
        <f t="shared" si="2"/>
        <v/>
      </c>
      <c r="AE17" s="492" t="str">
        <f t="shared" si="2"/>
        <v/>
      </c>
      <c r="AF17" s="492" t="str">
        <f t="shared" si="2"/>
        <v/>
      </c>
      <c r="AG17" s="492" t="str">
        <f t="shared" si="2"/>
        <v/>
      </c>
      <c r="AH17" s="492" t="str">
        <f t="shared" si="2"/>
        <v/>
      </c>
      <c r="AI17" s="492" t="str">
        <f t="shared" si="2"/>
        <v/>
      </c>
      <c r="AJ17" s="492" t="str">
        <f t="shared" si="2"/>
        <v/>
      </c>
      <c r="AK17" s="493" t="str">
        <f t="shared" si="2"/>
        <v/>
      </c>
      <c r="AL17" s="492">
        <f t="shared" si="2"/>
        <v>2.57</v>
      </c>
      <c r="AM17" s="492">
        <f t="shared" si="2"/>
        <v>58.9</v>
      </c>
      <c r="AN17" s="492">
        <f t="shared" si="2"/>
        <v>5.85</v>
      </c>
      <c r="AO17" s="493">
        <f t="shared" si="2"/>
        <v>99.36</v>
      </c>
      <c r="AP17" s="492">
        <f t="shared" si="2"/>
        <v>79</v>
      </c>
      <c r="AQ17" s="492">
        <f t="shared" si="2"/>
        <v>13.32</v>
      </c>
      <c r="AR17" s="492">
        <f t="shared" si="2"/>
        <v>100</v>
      </c>
      <c r="AS17" s="492">
        <f t="shared" si="2"/>
        <v>102.7</v>
      </c>
      <c r="AT17" s="492">
        <f t="shared" si="2"/>
        <v>48</v>
      </c>
      <c r="AU17" s="492">
        <f t="shared" si="2"/>
        <v>4</v>
      </c>
      <c r="AV17" s="492">
        <f t="shared" si="2"/>
        <v>4</v>
      </c>
      <c r="AW17" s="492">
        <f t="shared" si="2"/>
        <v>0</v>
      </c>
      <c r="AX17" s="492">
        <f t="shared" si="2"/>
        <v>3245</v>
      </c>
      <c r="AY17" s="492">
        <f t="shared" si="2"/>
        <v>0</v>
      </c>
      <c r="AZ17" s="492" t="str">
        <f t="shared" si="2"/>
        <v/>
      </c>
      <c r="BA17" s="492" t="str">
        <f t="shared" si="2"/>
        <v/>
      </c>
      <c r="BB17" s="492" t="str">
        <f t="shared" si="2"/>
        <v/>
      </c>
      <c r="BC17" s="493" t="str">
        <f t="shared" si="2"/>
        <v/>
      </c>
      <c r="BD17" s="492" t="str">
        <f t="shared" ref="BD17:BS17" si="3">IF(AND(ISNUMBER(BD7),BD15=FALSE),ROUND(BD7,BD11),BD7)</f>
        <v/>
      </c>
      <c r="BE17" s="492" t="str">
        <f t="shared" si="3"/>
        <v/>
      </c>
      <c r="BF17" s="492" t="str">
        <f>IF(AND(ISNUMBER(BF7),BF15=FALSE),ROUND(BF7,BF11),BF7)</f>
        <v/>
      </c>
      <c r="BG17" s="492" t="str">
        <f>IF(AND(ISNUMBER(BG7),BG15=FALSE),ROUND(BG7,BG11),BG7)</f>
        <v/>
      </c>
      <c r="BH17" s="492" t="str">
        <f t="shared" si="3"/>
        <v/>
      </c>
      <c r="BI17" s="492" t="str">
        <f t="shared" si="3"/>
        <v/>
      </c>
      <c r="BJ17" s="492" t="str">
        <f t="shared" si="3"/>
        <v/>
      </c>
      <c r="BK17" s="492" t="str">
        <f t="shared" si="3"/>
        <v/>
      </c>
      <c r="BL17" s="492" t="str">
        <f t="shared" si="3"/>
        <v/>
      </c>
      <c r="BM17" s="492" t="str">
        <f t="shared" si="3"/>
        <v/>
      </c>
      <c r="BN17" s="492" t="str">
        <f t="shared" si="3"/>
        <v/>
      </c>
      <c r="BO17" s="492" t="str">
        <f t="shared" si="3"/>
        <v/>
      </c>
      <c r="BP17" s="492" t="str">
        <f t="shared" si="3"/>
        <v/>
      </c>
      <c r="BQ17" s="492" t="str">
        <f t="shared" si="3"/>
        <v/>
      </c>
      <c r="BR17" s="492" t="str">
        <f t="shared" si="3"/>
        <v/>
      </c>
      <c r="BS17" s="492" t="str">
        <f t="shared" si="3"/>
        <v/>
      </c>
    </row>
    <row r="18" spans="1:71" s="202" customFormat="1" ht="13.15">
      <c r="A18" s="453"/>
      <c r="B18" s="453"/>
      <c r="C18" s="453"/>
      <c r="D18" s="453"/>
      <c r="E18" s="453"/>
      <c r="F18" s="453"/>
      <c r="G18" s="453"/>
      <c r="H18" s="453"/>
      <c r="I18" s="453"/>
      <c r="J18" s="589"/>
      <c r="K18" s="589"/>
      <c r="L18" s="589"/>
      <c r="M18" s="589"/>
      <c r="N18" s="589"/>
      <c r="O18" s="589"/>
      <c r="P18" s="589"/>
      <c r="Q18" s="594"/>
      <c r="R18" s="589"/>
      <c r="S18" s="589"/>
      <c r="T18" s="589"/>
      <c r="U18" s="589"/>
      <c r="V18" s="589"/>
      <c r="W18" s="589"/>
      <c r="X18" s="589"/>
      <c r="Y18" s="589"/>
      <c r="Z18" s="589"/>
      <c r="AA18" s="589"/>
      <c r="AB18" s="589"/>
      <c r="AC18" s="589"/>
      <c r="AD18" s="589"/>
      <c r="AE18" s="589"/>
      <c r="AF18" s="589"/>
      <c r="AG18" s="589"/>
      <c r="AH18" s="589"/>
      <c r="AI18" s="589"/>
      <c r="AJ18" s="589"/>
      <c r="AK18" s="594"/>
      <c r="AL18" s="589"/>
      <c r="AM18" s="589"/>
      <c r="AN18" s="589"/>
      <c r="AO18" s="594"/>
      <c r="AP18" s="589"/>
      <c r="AQ18" s="589"/>
      <c r="AR18" s="589"/>
      <c r="AS18" s="589"/>
      <c r="AT18" s="589"/>
      <c r="AU18" s="589"/>
      <c r="AV18" s="589"/>
      <c r="AW18" s="589"/>
      <c r="AX18" s="589"/>
      <c r="AY18" s="589"/>
      <c r="AZ18" s="589"/>
      <c r="BA18" s="589"/>
      <c r="BB18" s="589"/>
      <c r="BC18" s="594"/>
      <c r="BD18" s="589"/>
      <c r="BE18" s="589"/>
      <c r="BF18" s="589"/>
      <c r="BG18" s="589"/>
      <c r="BH18" s="589"/>
      <c r="BI18" s="589"/>
      <c r="BJ18" s="589"/>
      <c r="BK18" s="589"/>
      <c r="BL18" s="589"/>
      <c r="BM18" s="589"/>
      <c r="BN18" s="589"/>
      <c r="BO18" s="589"/>
      <c r="BP18" s="589"/>
      <c r="BQ18" s="589"/>
      <c r="BR18" s="589"/>
      <c r="BS18" s="589"/>
    </row>
    <row r="19" spans="1:71" s="202" customFormat="1" ht="13.15">
      <c r="A19" s="453"/>
      <c r="B19" s="473" t="s">
        <v>1177</v>
      </c>
      <c r="C19" s="463"/>
      <c r="D19" s="453"/>
      <c r="E19" s="453"/>
      <c r="F19" s="453"/>
      <c r="G19" s="453"/>
      <c r="H19" s="453"/>
      <c r="I19" s="453"/>
      <c r="J19" s="589"/>
      <c r="K19" s="589"/>
      <c r="L19" s="589"/>
      <c r="M19" s="589"/>
      <c r="N19" s="589"/>
      <c r="O19" s="589"/>
      <c r="P19" s="589"/>
      <c r="Q19" s="594"/>
      <c r="R19" s="589"/>
      <c r="S19" s="589"/>
      <c r="T19" s="589"/>
      <c r="U19" s="589"/>
      <c r="V19" s="589"/>
      <c r="W19" s="589"/>
      <c r="X19" s="589"/>
      <c r="Y19" s="589"/>
      <c r="Z19" s="589"/>
      <c r="AA19" s="589"/>
      <c r="AB19" s="589"/>
      <c r="AC19" s="589"/>
      <c r="AD19" s="589"/>
      <c r="AE19" s="589"/>
      <c r="AF19" s="589"/>
      <c r="AG19" s="589"/>
      <c r="AH19" s="589"/>
      <c r="AI19" s="589"/>
      <c r="AJ19" s="589"/>
      <c r="AK19" s="594"/>
      <c r="AL19" s="589"/>
      <c r="AM19" s="589"/>
      <c r="AN19" s="589"/>
      <c r="AO19" s="594"/>
      <c r="AP19" s="589"/>
      <c r="AQ19" s="589"/>
      <c r="AR19" s="589"/>
      <c r="AS19" s="589"/>
      <c r="AT19" s="589"/>
      <c r="AU19" s="589"/>
      <c r="AV19" s="589"/>
      <c r="AW19" s="589"/>
      <c r="AX19" s="589"/>
      <c r="AY19" s="589"/>
      <c r="AZ19" s="589"/>
      <c r="BA19" s="589"/>
      <c r="BB19" s="589"/>
      <c r="BC19" s="594"/>
      <c r="BD19" s="589"/>
      <c r="BE19" s="589"/>
      <c r="BF19" s="589"/>
      <c r="BG19" s="589"/>
      <c r="BH19" s="589"/>
      <c r="BI19" s="589"/>
      <c r="BJ19" s="589"/>
      <c r="BK19" s="589"/>
      <c r="BL19" s="589"/>
      <c r="BM19" s="589"/>
      <c r="BN19" s="589"/>
      <c r="BO19" s="589"/>
      <c r="BP19" s="589"/>
      <c r="BQ19" s="589"/>
      <c r="BR19" s="589"/>
      <c r="BS19" s="589"/>
    </row>
    <row r="20" spans="1:71" s="202" customFormat="1" ht="13.15">
      <c r="A20" s="453"/>
      <c r="B20" s="453"/>
      <c r="C20" s="453"/>
      <c r="D20" s="453"/>
      <c r="E20" s="583" t="str">
        <f>InpPerformance!E$43</f>
        <v>Standard outperformance cap</v>
      </c>
      <c r="F20" s="453"/>
      <c r="G20" s="583" t="str">
        <f>InpPerformance!G$43</f>
        <v>Performance commitment unit</v>
      </c>
      <c r="H20" s="453"/>
      <c r="I20" s="453"/>
      <c r="J20" s="588" t="str">
        <f>IF(InpPerformance!J$43&lt;&gt;"",InpPerformance!J$43,"")</f>
        <v/>
      </c>
      <c r="K20" s="588">
        <f>IF(InpPerformance!K$43&lt;&gt;"",InpPerformance!K$43,"")</f>
        <v>1.6550925925925928E-3</v>
      </c>
      <c r="L20" s="588">
        <f>IF(InpPerformance!L$43&lt;&gt;"",InpPerformance!L$43,"")</f>
        <v>20.7</v>
      </c>
      <c r="M20" s="588" t="str">
        <f>IF(InpPerformance!M$43&lt;&gt;"",InpPerformance!M$43,"")</f>
        <v/>
      </c>
      <c r="N20" s="588">
        <f>IF(InpPerformance!N$43&lt;&gt;"",InpPerformance!N$43,"")</f>
        <v>7.5</v>
      </c>
      <c r="O20" s="588" t="str">
        <f>IF(InpPerformance!O$43&lt;&gt;"",InpPerformance!O$43,"")</f>
        <v/>
      </c>
      <c r="P20" s="588">
        <f>IF(InpPerformance!P$43&lt;&gt;"",InpPerformance!P$43,"")</f>
        <v>75</v>
      </c>
      <c r="Q20" s="590" t="str">
        <f>IF(InpPerformance!Q$43&lt;&gt;"",InpPerformance!Q$43,"")</f>
        <v/>
      </c>
      <c r="R20" s="588" t="str">
        <f>IF(InpPerformance!R$43&lt;&gt;"",InpPerformance!R$43,"")</f>
        <v/>
      </c>
      <c r="S20" s="588">
        <f>IF(InpPerformance!S$43&lt;&gt;"",InpPerformance!S$43,"")</f>
        <v>0.16</v>
      </c>
      <c r="T20" s="588">
        <f>IF(InpPerformance!T$43&lt;&gt;"",InpPerformance!T$43,"")</f>
        <v>-16</v>
      </c>
      <c r="U20" s="588">
        <f>IF(InpPerformance!U$43&lt;&gt;"",InpPerformance!U$43,"")</f>
        <v>17644</v>
      </c>
      <c r="V20" s="588">
        <f>IF(InpPerformance!V$43&lt;&gt;"",InpPerformance!V$43,"")</f>
        <v>1.62</v>
      </c>
      <c r="W20" s="588">
        <f>IF(InpPerformance!W$43&lt;&gt;"",InpPerformance!W$43,"")</f>
        <v>2158</v>
      </c>
      <c r="X20" s="588" t="str">
        <f>IF(InpPerformance!X$43&lt;&gt;"",InpPerformance!X$43,"")</f>
        <v/>
      </c>
      <c r="Y20" s="588" t="str">
        <f>IF(InpPerformance!Y$43&lt;&gt;"",InpPerformance!Y$43,"")</f>
        <v/>
      </c>
      <c r="Z20" s="588" t="str">
        <f>IF(InpPerformance!Z$43&lt;&gt;"",InpPerformance!Z$43,"")</f>
        <v/>
      </c>
      <c r="AA20" s="588" t="str">
        <f>IF(InpPerformance!AA$43&lt;&gt;"",InpPerformance!AA$43,"")</f>
        <v/>
      </c>
      <c r="AB20" s="588" t="str">
        <f>IF(InpPerformance!AB$43&lt;&gt;"",InpPerformance!AB$43,"")</f>
        <v/>
      </c>
      <c r="AC20" s="588" t="str">
        <f>IF(InpPerformance!AC$43&lt;&gt;"",InpPerformance!AC$43,"")</f>
        <v/>
      </c>
      <c r="AD20" s="588" t="str">
        <f>IF(InpPerformance!AD$43&lt;&gt;"",InpPerformance!AD$43,"")</f>
        <v/>
      </c>
      <c r="AE20" s="588" t="str">
        <f>IF(InpPerformance!AE$43&lt;&gt;"",InpPerformance!AE$43,"")</f>
        <v/>
      </c>
      <c r="AF20" s="588" t="str">
        <f>IF(InpPerformance!AF$43&lt;&gt;"",InpPerformance!AF$43,"")</f>
        <v/>
      </c>
      <c r="AG20" s="588" t="str">
        <f>IF(InpPerformance!AG$43&lt;&gt;"",InpPerformance!AG$43,"")</f>
        <v/>
      </c>
      <c r="AH20" s="588" t="str">
        <f>IF(InpPerformance!AH$43&lt;&gt;"",InpPerformance!AH$43,"")</f>
        <v/>
      </c>
      <c r="AI20" s="588" t="str">
        <f>IF(InpPerformance!AI$43&lt;&gt;"",InpPerformance!AI$43,"")</f>
        <v/>
      </c>
      <c r="AJ20" s="588" t="str">
        <f>IF(InpPerformance!AJ$43&lt;&gt;"",InpPerformance!AJ$43,"")</f>
        <v/>
      </c>
      <c r="AK20" s="590" t="str">
        <f>IF(InpPerformance!AK$43&lt;&gt;"",InpPerformance!AK$43,"")</f>
        <v/>
      </c>
      <c r="AL20" s="588">
        <f>IF(InpPerformance!AL$43&lt;&gt;"",InpPerformance!AL$43,"")</f>
        <v>1.1399999999999999</v>
      </c>
      <c r="AM20" s="588">
        <f>IF(InpPerformance!AM$43&lt;&gt;"",InpPerformance!AM$43,"")</f>
        <v>16.47</v>
      </c>
      <c r="AN20" s="588" t="str">
        <f>IF(InpPerformance!AN$43&lt;&gt;"",InpPerformance!AN$43,"")</f>
        <v/>
      </c>
      <c r="AO20" s="590" t="str">
        <f>IF(InpPerformance!AO$43&lt;&gt;"",InpPerformance!AO$43,"")</f>
        <v/>
      </c>
      <c r="AP20" s="588">
        <f>IF(InpPerformance!AP$43&lt;&gt;"",InpPerformance!AP$43,"")</f>
        <v>5070</v>
      </c>
      <c r="AQ20" s="588">
        <f>IF(InpPerformance!AQ$43&lt;&gt;"",InpPerformance!AQ$43,"")</f>
        <v>27</v>
      </c>
      <c r="AR20" s="588" t="str">
        <f>IF(InpPerformance!AR$43&lt;&gt;"",InpPerformance!AR$43,"")</f>
        <v/>
      </c>
      <c r="AS20" s="588" t="str">
        <f>IF(InpPerformance!AS$43&lt;&gt;"",InpPerformance!AS$43,"")</f>
        <v/>
      </c>
      <c r="AT20" s="588" t="str">
        <f>IF(InpPerformance!AT$43&lt;&gt;"",InpPerformance!AT$43,"")</f>
        <v/>
      </c>
      <c r="AU20" s="588" t="str">
        <f>IF(InpPerformance!AU$43&lt;&gt;"",InpPerformance!AU$43,"")</f>
        <v/>
      </c>
      <c r="AV20" s="588" t="str">
        <f>IF(InpPerformance!AV$43&lt;&gt;"",InpPerformance!AV$43,"")</f>
        <v/>
      </c>
      <c r="AW20" s="588">
        <f>IF(InpPerformance!AW$43&lt;&gt;"",InpPerformance!AW$43,"")</f>
        <v>64835</v>
      </c>
      <c r="AX20" s="588">
        <f>IF(InpPerformance!AX$43&lt;&gt;"",InpPerformance!AX$43,"")</f>
        <v>3348</v>
      </c>
      <c r="AY20" s="588" t="str">
        <f>IF(InpPerformance!AY$43&lt;&gt;"",InpPerformance!AY$43,"")</f>
        <v/>
      </c>
      <c r="AZ20" s="588" t="str">
        <f>IF(InpPerformance!AZ$43&lt;&gt;"",InpPerformance!AZ$43,"")</f>
        <v/>
      </c>
      <c r="BA20" s="588" t="str">
        <f>IF(InpPerformance!BA$43&lt;&gt;"",InpPerformance!BA$43,"")</f>
        <v/>
      </c>
      <c r="BB20" s="588" t="str">
        <f>IF(InpPerformance!BB$43&lt;&gt;"",InpPerformance!BB$43,"")</f>
        <v/>
      </c>
      <c r="BC20" s="590" t="str">
        <f>IF(InpPerformance!BC$43&lt;&gt;"",InpPerformance!BC$43,"")</f>
        <v/>
      </c>
      <c r="BD20" s="588" t="str">
        <f>IF(InpPerformance!BD$43&lt;&gt;"",InpPerformance!BD$43,"")</f>
        <v/>
      </c>
      <c r="BE20" s="588" t="str">
        <f>IF(InpPerformance!BE$43&lt;&gt;"",InpPerformance!BE$43,"")</f>
        <v/>
      </c>
      <c r="BF20" s="588" t="str">
        <f>IF(InpPerformance!BF$43&lt;&gt;"",InpPerformance!BF$43,"")</f>
        <v/>
      </c>
      <c r="BG20" s="588" t="str">
        <f>IF(InpPerformance!BG$43&lt;&gt;"",InpPerformance!BG$43,"")</f>
        <v/>
      </c>
      <c r="BH20" s="588" t="str">
        <f>IF(InpPerformance!BH$43&lt;&gt;"",InpPerformance!BH$43,"")</f>
        <v/>
      </c>
      <c r="BI20" s="588" t="str">
        <f>IF(InpPerformance!BI$43&lt;&gt;"",InpPerformance!BI$43,"")</f>
        <v/>
      </c>
      <c r="BJ20" s="588" t="str">
        <f>IF(InpPerformance!BJ$43&lt;&gt;"",InpPerformance!BJ$43,"")</f>
        <v/>
      </c>
      <c r="BK20" s="588" t="str">
        <f>IF(InpPerformance!BK$43&lt;&gt;"",InpPerformance!BK$43,"")</f>
        <v/>
      </c>
      <c r="BL20" s="588" t="str">
        <f>IF(InpPerformance!BL$43&lt;&gt;"",InpPerformance!BL$43,"")</f>
        <v/>
      </c>
      <c r="BM20" s="588" t="str">
        <f>IF(InpPerformance!BM$43&lt;&gt;"",InpPerformance!BM$43,"")</f>
        <v/>
      </c>
      <c r="BN20" s="588" t="str">
        <f>IF(InpPerformance!BN$43&lt;&gt;"",InpPerformance!BN$43,"")</f>
        <v/>
      </c>
      <c r="BO20" s="588" t="str">
        <f>IF(InpPerformance!BO$43&lt;&gt;"",InpPerformance!BO$43,"")</f>
        <v/>
      </c>
      <c r="BP20" s="588" t="str">
        <f>IF(InpPerformance!BP$43&lt;&gt;"",InpPerformance!BP$43,"")</f>
        <v/>
      </c>
      <c r="BQ20" s="588" t="str">
        <f>IF(InpPerformance!BQ$43&lt;&gt;"",InpPerformance!BQ$43,"")</f>
        <v/>
      </c>
      <c r="BR20" s="588" t="str">
        <f>IF(InpPerformance!BR$43&lt;&gt;"",InpPerformance!BR$43,"")</f>
        <v/>
      </c>
      <c r="BS20" s="588" t="str">
        <f>IF(InpPerformance!BS$43&lt;&gt;"",InpPerformance!BS$43,"")</f>
        <v/>
      </c>
    </row>
    <row r="21" spans="1:71" s="202" customFormat="1" ht="13.15">
      <c r="A21" s="453"/>
      <c r="B21" s="453"/>
      <c r="C21" s="453"/>
      <c r="D21" s="453"/>
      <c r="E21" s="583" t="str">
        <f>InpPerformance!E$44</f>
        <v>Outperformance deadband</v>
      </c>
      <c r="F21" s="453"/>
      <c r="G21" s="583" t="str">
        <f>InpPerformance!G$44</f>
        <v>Performance commitment unit</v>
      </c>
      <c r="H21" s="453"/>
      <c r="I21" s="453"/>
      <c r="J21" s="595" t="str">
        <f>IF(InpPerformance!J$44&lt;&gt;"",InpPerformance!J$44,"")</f>
        <v/>
      </c>
      <c r="K21" s="588" t="str">
        <f>IF(InpPerformance!K$44&lt;&gt;"",InpPerformance!K$44,"")</f>
        <v/>
      </c>
      <c r="L21" s="588" t="str">
        <f>IF(InpPerformance!L$44&lt;&gt;"",InpPerformance!L$44,"")</f>
        <v/>
      </c>
      <c r="M21" s="588" t="str">
        <f>IF(InpPerformance!M$44&lt;&gt;"",InpPerformance!M$44,"")</f>
        <v/>
      </c>
      <c r="N21" s="588" t="str">
        <f>IF(InpPerformance!N$44&lt;&gt;"",InpPerformance!N$44,"")</f>
        <v/>
      </c>
      <c r="O21" s="588" t="str">
        <f>IF(InpPerformance!O$44&lt;&gt;"",InpPerformance!O$44,"")</f>
        <v/>
      </c>
      <c r="P21" s="588" t="str">
        <f>IF(InpPerformance!P$44&lt;&gt;"",InpPerformance!P$44,"")</f>
        <v/>
      </c>
      <c r="Q21" s="590" t="str">
        <f>IF(InpPerformance!Q$44&lt;&gt;"",InpPerformance!Q$44,"")</f>
        <v/>
      </c>
      <c r="R21" s="588" t="str">
        <f>IF(InpPerformance!R$44&lt;&gt;"",InpPerformance!R$44,"")</f>
        <v/>
      </c>
      <c r="S21" s="588" t="str">
        <f>IF(InpPerformance!S$44&lt;&gt;"",InpPerformance!S$44,"")</f>
        <v/>
      </c>
      <c r="T21" s="588" t="str">
        <f>IF(InpPerformance!T$44&lt;&gt;"",InpPerformance!T$44,"")</f>
        <v/>
      </c>
      <c r="U21" s="588">
        <f>IF(InpPerformance!U$44&lt;&gt;"",InpPerformance!U$44,"")</f>
        <v>0</v>
      </c>
      <c r="V21" s="588" t="str">
        <f>IF(InpPerformance!V$44&lt;&gt;"",InpPerformance!V$44,"")</f>
        <v/>
      </c>
      <c r="W21" s="588" t="str">
        <f>IF(InpPerformance!W$44&lt;&gt;"",InpPerformance!W$44,"")</f>
        <v/>
      </c>
      <c r="X21" s="588" t="str">
        <f>IF(InpPerformance!X$44&lt;&gt;"",InpPerformance!X$44,"")</f>
        <v/>
      </c>
      <c r="Y21" s="588" t="str">
        <f>IF(InpPerformance!Y$44&lt;&gt;"",InpPerformance!Y$44,"")</f>
        <v/>
      </c>
      <c r="Z21" s="588" t="str">
        <f>IF(InpPerformance!Z$44&lt;&gt;"",InpPerformance!Z$44,"")</f>
        <v/>
      </c>
      <c r="AA21" s="588" t="str">
        <f>IF(InpPerformance!AA$44&lt;&gt;"",InpPerformance!AA$44,"")</f>
        <v/>
      </c>
      <c r="AB21" s="588" t="str">
        <f>IF(InpPerformance!AB$44&lt;&gt;"",InpPerformance!AB$44,"")</f>
        <v/>
      </c>
      <c r="AC21" s="588" t="str">
        <f>IF(InpPerformance!AC$44&lt;&gt;"",InpPerformance!AC$44,"")</f>
        <v/>
      </c>
      <c r="AD21" s="588" t="str">
        <f>IF(InpPerformance!AD$44&lt;&gt;"",InpPerformance!AD$44,"")</f>
        <v/>
      </c>
      <c r="AE21" s="588" t="str">
        <f>IF(InpPerformance!AE$44&lt;&gt;"",InpPerformance!AE$44,"")</f>
        <v/>
      </c>
      <c r="AF21" s="588" t="str">
        <f>IF(InpPerformance!AF$44&lt;&gt;"",InpPerformance!AF$44,"")</f>
        <v/>
      </c>
      <c r="AG21" s="588" t="str">
        <f>IF(InpPerformance!AG$44&lt;&gt;"",InpPerformance!AG$44,"")</f>
        <v/>
      </c>
      <c r="AH21" s="588" t="str">
        <f>IF(InpPerformance!AH$44&lt;&gt;"",InpPerformance!AH$44,"")</f>
        <v/>
      </c>
      <c r="AI21" s="588" t="str">
        <f>IF(InpPerformance!AI$44&lt;&gt;"",InpPerformance!AI$44,"")</f>
        <v/>
      </c>
      <c r="AJ21" s="588" t="str">
        <f>IF(InpPerformance!AJ$44&lt;&gt;"",InpPerformance!AJ$44,"")</f>
        <v/>
      </c>
      <c r="AK21" s="590" t="str">
        <f>IF(InpPerformance!AK$44&lt;&gt;"",InpPerformance!AK$44,"")</f>
        <v/>
      </c>
      <c r="AL21" s="588" t="str">
        <f>IF(InpPerformance!AL$44&lt;&gt;"",InpPerformance!AL$44,"")</f>
        <v/>
      </c>
      <c r="AM21" s="588" t="str">
        <f>IF(InpPerformance!AM$44&lt;&gt;"",InpPerformance!AM$44,"")</f>
        <v/>
      </c>
      <c r="AN21" s="588" t="str">
        <f>IF(InpPerformance!AN$44&lt;&gt;"",InpPerformance!AN$44,"")</f>
        <v/>
      </c>
      <c r="AO21" s="590" t="str">
        <f>IF(InpPerformance!AO$44&lt;&gt;"",InpPerformance!AO$44,"")</f>
        <v/>
      </c>
      <c r="AP21" s="588">
        <f>IF(InpPerformance!AP$44&lt;&gt;"",InpPerformance!AP$44,"")</f>
        <v>0</v>
      </c>
      <c r="AQ21" s="588" t="str">
        <f>IF(InpPerformance!AQ$44&lt;&gt;"",InpPerformance!AQ$44,"")</f>
        <v/>
      </c>
      <c r="AR21" s="588" t="str">
        <f>IF(InpPerformance!AR$44&lt;&gt;"",InpPerformance!AR$44,"")</f>
        <v/>
      </c>
      <c r="AS21" s="588" t="str">
        <f>IF(InpPerformance!AS$44&lt;&gt;"",InpPerformance!AS$44,"")</f>
        <v/>
      </c>
      <c r="AT21" s="588" t="str">
        <f>IF(InpPerformance!AT$44&lt;&gt;"",InpPerformance!AT$44,"")</f>
        <v/>
      </c>
      <c r="AU21" s="588" t="str">
        <f>IF(InpPerformance!AU$44&lt;&gt;"",InpPerformance!AU$44,"")</f>
        <v/>
      </c>
      <c r="AV21" s="588" t="str">
        <f>IF(InpPerformance!AV$44&lt;&gt;"",InpPerformance!AV$44,"")</f>
        <v/>
      </c>
      <c r="AW21" s="588" t="str">
        <f>IF(InpPerformance!AW$44&lt;&gt;"",InpPerformance!AW$44,"")</f>
        <v/>
      </c>
      <c r="AX21" s="588" t="str">
        <f>IF(InpPerformance!AX$44&lt;&gt;"",InpPerformance!AX$44,"")</f>
        <v/>
      </c>
      <c r="AY21" s="588" t="str">
        <f>IF(InpPerformance!AY$44&lt;&gt;"",InpPerformance!AY$44,"")</f>
        <v/>
      </c>
      <c r="AZ21" s="588" t="str">
        <f>IF(InpPerformance!AZ$44&lt;&gt;"",InpPerformance!AZ$44,"")</f>
        <v/>
      </c>
      <c r="BA21" s="588" t="str">
        <f>IF(InpPerformance!BA$44&lt;&gt;"",InpPerformance!BA$44,"")</f>
        <v/>
      </c>
      <c r="BB21" s="588" t="str">
        <f>IF(InpPerformance!BB$44&lt;&gt;"",InpPerformance!BB$44,"")</f>
        <v/>
      </c>
      <c r="BC21" s="590" t="str">
        <f>IF(InpPerformance!BC$44&lt;&gt;"",InpPerformance!BC$44,"")</f>
        <v/>
      </c>
      <c r="BD21" s="588" t="str">
        <f>IF(InpPerformance!BD$44&lt;&gt;"",InpPerformance!BD$44,"")</f>
        <v/>
      </c>
      <c r="BE21" s="588" t="str">
        <f>IF(InpPerformance!BE$44&lt;&gt;"",InpPerformance!BE$44,"")</f>
        <v/>
      </c>
      <c r="BF21" s="588" t="str">
        <f>IF(InpPerformance!BF$44&lt;&gt;"",InpPerformance!BF$44,"")</f>
        <v/>
      </c>
      <c r="BG21" s="588" t="str">
        <f>IF(InpPerformance!BG$44&lt;&gt;"",InpPerformance!BG$44,"")</f>
        <v/>
      </c>
      <c r="BH21" s="588" t="str">
        <f>IF(InpPerformance!BH$44&lt;&gt;"",InpPerformance!BH$44,"")</f>
        <v/>
      </c>
      <c r="BI21" s="588" t="str">
        <f>IF(InpPerformance!BI$44&lt;&gt;"",InpPerformance!BI$44,"")</f>
        <v/>
      </c>
      <c r="BJ21" s="588" t="str">
        <f>IF(InpPerformance!BJ$44&lt;&gt;"",InpPerformance!BJ$44,"")</f>
        <v/>
      </c>
      <c r="BK21" s="588" t="str">
        <f>IF(InpPerformance!BK$44&lt;&gt;"",InpPerformance!BK$44,"")</f>
        <v/>
      </c>
      <c r="BL21" s="588" t="str">
        <f>IF(InpPerformance!BL$44&lt;&gt;"",InpPerformance!BL$44,"")</f>
        <v/>
      </c>
      <c r="BM21" s="588" t="str">
        <f>IF(InpPerformance!BM$44&lt;&gt;"",InpPerformance!BM$44,"")</f>
        <v/>
      </c>
      <c r="BN21" s="588" t="str">
        <f>IF(InpPerformance!BN$44&lt;&gt;"",InpPerformance!BN$44,"")</f>
        <v/>
      </c>
      <c r="BO21" s="588" t="str">
        <f>IF(InpPerformance!BO$44&lt;&gt;"",InpPerformance!BO$44,"")</f>
        <v/>
      </c>
      <c r="BP21" s="588" t="str">
        <f>IF(InpPerformance!BP$44&lt;&gt;"",InpPerformance!BP$44,"")</f>
        <v/>
      </c>
      <c r="BQ21" s="588" t="str">
        <f>IF(InpPerformance!BQ$44&lt;&gt;"",InpPerformance!BQ$44,"")</f>
        <v/>
      </c>
      <c r="BR21" s="588" t="str">
        <f>IF(InpPerformance!BR$44&lt;&gt;"",InpPerformance!BR$44,"")</f>
        <v/>
      </c>
      <c r="BS21" s="588" t="str">
        <f>IF(InpPerformance!BS$44&lt;&gt;"",InpPerformance!BS$44,"")</f>
        <v/>
      </c>
    </row>
    <row r="22" spans="1:71" s="202" customFormat="1" ht="13.15">
      <c r="A22" s="453"/>
      <c r="B22" s="453"/>
      <c r="C22" s="453"/>
      <c r="D22" s="453"/>
      <c r="E22" s="583" t="str">
        <f>InpPerformance!E$45</f>
        <v>Performance commitment level</v>
      </c>
      <c r="F22" s="453"/>
      <c r="G22" s="583" t="str">
        <f>InpPerformance!G$45</f>
        <v>Performance commitment unit</v>
      </c>
      <c r="H22" s="453"/>
      <c r="I22" s="453"/>
      <c r="J22" s="595">
        <f>IF(InpPerformance!J$45&lt;&gt;"",InpPerformance!J$45,"")</f>
        <v>0</v>
      </c>
      <c r="K22" s="588">
        <f>IF(InpPerformance!K$45&lt;&gt;"",InpPerformance!K$45,"")</f>
        <v>3.7384259259259263E-3</v>
      </c>
      <c r="L22" s="588">
        <f>IF(InpPerformance!L$45&lt;&gt;"",InpPerformance!L$45,"")</f>
        <v>12</v>
      </c>
      <c r="M22" s="588" t="str">
        <f>IF(InpPerformance!M$45&lt;&gt;"",InpPerformance!M$45,"")</f>
        <v/>
      </c>
      <c r="N22" s="588">
        <f>IF(InpPerformance!N$45&lt;&gt;"",InpPerformance!N$45,"")</f>
        <v>6</v>
      </c>
      <c r="O22" s="588" t="str">
        <f>IF(InpPerformance!O$45&lt;&gt;"",InpPerformance!O$45,"")</f>
        <v/>
      </c>
      <c r="P22" s="588">
        <f>IF(InpPerformance!P$45&lt;&gt;"",InpPerformance!P$45,"")</f>
        <v>97.4</v>
      </c>
      <c r="Q22" s="590">
        <f>IF(InpPerformance!Q$45&lt;&gt;"",InpPerformance!Q$45,"")</f>
        <v>6.45</v>
      </c>
      <c r="R22" s="588">
        <f>IF(InpPerformance!R$45&lt;&gt;"",InpPerformance!R$45,"")</f>
        <v>0.55000000000000004</v>
      </c>
      <c r="S22" s="588">
        <f>IF(InpPerformance!S$45&lt;&gt;"",InpPerformance!S$45,"")</f>
        <v>0.22</v>
      </c>
      <c r="T22" s="588">
        <f>IF(InpPerformance!T$45&lt;&gt;"",InpPerformance!T$45,"")</f>
        <v>-15</v>
      </c>
      <c r="U22" s="588">
        <f>IF(InpPerformance!U$45&lt;&gt;"",InpPerformance!U$45,"")</f>
        <v>3529</v>
      </c>
      <c r="V22" s="588">
        <f>IF(InpPerformance!V$45&lt;&gt;"",InpPerformance!V$45,"")</f>
        <v>2.12</v>
      </c>
      <c r="W22" s="588">
        <f>IF(InpPerformance!W$45&lt;&gt;"",InpPerformance!W$45,"")</f>
        <v>43</v>
      </c>
      <c r="X22" s="588">
        <f>IF(InpPerformance!X$45&lt;&gt;"",InpPerformance!X$45,"")</f>
        <v>197</v>
      </c>
      <c r="Y22" s="588">
        <f>IF(InpPerformance!Y$45&lt;&gt;"",InpPerformance!Y$45,"")</f>
        <v>0</v>
      </c>
      <c r="Z22" s="588">
        <f>IF(InpPerformance!Z$45&lt;&gt;"",InpPerformance!Z$45,"")</f>
        <v>48.8</v>
      </c>
      <c r="AA22" s="588" t="str">
        <f>IF(InpPerformance!AA$45&lt;&gt;"",InpPerformance!AA$45,"")</f>
        <v/>
      </c>
      <c r="AB22" s="588" t="str">
        <f>IF(InpPerformance!AB$45&lt;&gt;"",InpPerformance!AB$45,"")</f>
        <v/>
      </c>
      <c r="AC22" s="588" t="str">
        <f>IF(InpPerformance!AC$45&lt;&gt;"",InpPerformance!AC$45,"")</f>
        <v/>
      </c>
      <c r="AD22" s="588" t="str">
        <f>IF(InpPerformance!AD$45&lt;&gt;"",InpPerformance!AD$45,"")</f>
        <v/>
      </c>
      <c r="AE22" s="588" t="str">
        <f>IF(InpPerformance!AE$45&lt;&gt;"",InpPerformance!AE$45,"")</f>
        <v/>
      </c>
      <c r="AF22" s="588" t="str">
        <f>IF(InpPerformance!AF$45&lt;&gt;"",InpPerformance!AF$45,"")</f>
        <v/>
      </c>
      <c r="AG22" s="588" t="str">
        <f>IF(InpPerformance!AG$45&lt;&gt;"",InpPerformance!AG$45,"")</f>
        <v/>
      </c>
      <c r="AH22" s="588" t="str">
        <f>IF(InpPerformance!AH$45&lt;&gt;"",InpPerformance!AH$45,"")</f>
        <v/>
      </c>
      <c r="AI22" s="588" t="str">
        <f>IF(InpPerformance!AI$45&lt;&gt;"",InpPerformance!AI$45,"")</f>
        <v/>
      </c>
      <c r="AJ22" s="588" t="str">
        <f>IF(InpPerformance!AJ$45&lt;&gt;"",InpPerformance!AJ$45,"")</f>
        <v/>
      </c>
      <c r="AK22" s="590" t="str">
        <f>IF(InpPerformance!AK$45&lt;&gt;"",InpPerformance!AK$45,"")</f>
        <v/>
      </c>
      <c r="AL22" s="588">
        <f>IF(InpPerformance!AL$45&lt;&gt;"",InpPerformance!AL$45,"")</f>
        <v>1.44</v>
      </c>
      <c r="AM22" s="588">
        <f>IF(InpPerformance!AM$45&lt;&gt;"",InpPerformance!AM$45,"")</f>
        <v>22.4</v>
      </c>
      <c r="AN22" s="588">
        <f>IF(InpPerformance!AN$45&lt;&gt;"",InpPerformance!AN$45,"")</f>
        <v>5.53</v>
      </c>
      <c r="AO22" s="590">
        <f>IF(InpPerformance!AO$45&lt;&gt;"",InpPerformance!AO$45,"")</f>
        <v>100</v>
      </c>
      <c r="AP22" s="588">
        <f>IF(InpPerformance!AP$45&lt;&gt;"",InpPerformance!AP$45,"")</f>
        <v>0</v>
      </c>
      <c r="AQ22" s="588">
        <f>IF(InpPerformance!AQ$45&lt;&gt;"",InpPerformance!AQ$45,"")</f>
        <v>24</v>
      </c>
      <c r="AR22" s="588">
        <f>IF(InpPerformance!AR$45&lt;&gt;"",InpPerformance!AR$45,"")</f>
        <v>100</v>
      </c>
      <c r="AS22" s="588">
        <f>IF(InpPerformance!AS$45&lt;&gt;"",InpPerformance!AS$45,"")</f>
        <v>102.7</v>
      </c>
      <c r="AT22" s="588">
        <f>IF(InpPerformance!AT$45&lt;&gt;"",InpPerformance!AT$45,"")</f>
        <v>57</v>
      </c>
      <c r="AU22" s="588">
        <f>IF(InpPerformance!AU$45&lt;&gt;"",InpPerformance!AU$45,"")</f>
        <v>2</v>
      </c>
      <c r="AV22" s="588">
        <f>IF(InpPerformance!AV$45&lt;&gt;"",InpPerformance!AV$45,"")</f>
        <v>1</v>
      </c>
      <c r="AW22" s="588">
        <f>IF(InpPerformance!AW$45&lt;&gt;"",InpPerformance!AW$45,"")</f>
        <v>39730</v>
      </c>
      <c r="AX22" s="588">
        <f>IF(InpPerformance!AX$45&lt;&gt;"",InpPerformance!AX$45,"")</f>
        <v>3702</v>
      </c>
      <c r="AY22" s="588">
        <f>IF(InpPerformance!AY$45&lt;&gt;"",InpPerformance!AY$45,"")</f>
        <v>0</v>
      </c>
      <c r="AZ22" s="588" t="str">
        <f>IF(InpPerformance!AZ$45&lt;&gt;"",InpPerformance!AZ$45,"")</f>
        <v/>
      </c>
      <c r="BA22" s="588" t="str">
        <f>IF(InpPerformance!BA$45&lt;&gt;"",InpPerformance!BA$45,"")</f>
        <v/>
      </c>
      <c r="BB22" s="588" t="str">
        <f>IF(InpPerformance!BB$45&lt;&gt;"",InpPerformance!BB$45,"")</f>
        <v/>
      </c>
      <c r="BC22" s="590" t="str">
        <f>IF(InpPerformance!BC$45&lt;&gt;"",InpPerformance!BC$45,"")</f>
        <v/>
      </c>
      <c r="BD22" s="588" t="str">
        <f>IF(InpPerformance!BD$45&lt;&gt;"",InpPerformance!BD$45,"")</f>
        <v/>
      </c>
      <c r="BE22" s="588" t="str">
        <f>IF(InpPerformance!BE$45&lt;&gt;"",InpPerformance!BE$45,"")</f>
        <v/>
      </c>
      <c r="BF22" s="588" t="str">
        <f>IF(InpPerformance!BF$45&lt;&gt;"",InpPerformance!BF$45,"")</f>
        <v/>
      </c>
      <c r="BG22" s="588" t="str">
        <f>IF(InpPerformance!BG$45&lt;&gt;"",InpPerformance!BG$45,"")</f>
        <v/>
      </c>
      <c r="BH22" s="588" t="str">
        <f>IF(InpPerformance!BH$45&lt;&gt;"",InpPerformance!BH$45,"")</f>
        <v/>
      </c>
      <c r="BI22" s="588" t="str">
        <f>IF(InpPerformance!BI$45&lt;&gt;"",InpPerformance!BI$45,"")</f>
        <v/>
      </c>
      <c r="BJ22" s="588" t="str">
        <f>IF(InpPerformance!BJ$45&lt;&gt;"",InpPerformance!BJ$45,"")</f>
        <v/>
      </c>
      <c r="BK22" s="588" t="str">
        <f>IF(InpPerformance!BK$45&lt;&gt;"",InpPerformance!BK$45,"")</f>
        <v/>
      </c>
      <c r="BL22" s="588" t="str">
        <f>IF(InpPerformance!BL$45&lt;&gt;"",InpPerformance!BL$45,"")</f>
        <v/>
      </c>
      <c r="BM22" s="588" t="str">
        <f>IF(InpPerformance!BM$45&lt;&gt;"",InpPerformance!BM$45,"")</f>
        <v/>
      </c>
      <c r="BN22" s="588" t="str">
        <f>IF(InpPerformance!BN$45&lt;&gt;"",InpPerformance!BN$45,"")</f>
        <v/>
      </c>
      <c r="BO22" s="588" t="str">
        <f>IF(InpPerformance!BO$45&lt;&gt;"",InpPerformance!BO$45,"")</f>
        <v/>
      </c>
      <c r="BP22" s="588" t="str">
        <f>IF(InpPerformance!BP$45&lt;&gt;"",InpPerformance!BP$45,"")</f>
        <v/>
      </c>
      <c r="BQ22" s="588" t="str">
        <f>IF(InpPerformance!BQ$45&lt;&gt;"",InpPerformance!BQ$45,"")</f>
        <v/>
      </c>
      <c r="BR22" s="588" t="str">
        <f>IF(InpPerformance!BR$45&lt;&gt;"",InpPerformance!BR$45,"")</f>
        <v/>
      </c>
      <c r="BS22" s="588" t="str">
        <f>IF(InpPerformance!BS$45&lt;&gt;"",InpPerformance!BS$45,"")</f>
        <v/>
      </c>
    </row>
    <row r="23" spans="1:71" s="202" customFormat="1" ht="13.15">
      <c r="A23" s="453"/>
      <c r="B23" s="453"/>
      <c r="C23" s="453"/>
      <c r="D23" s="453"/>
      <c r="E23" s="583" t="str">
        <f>InpPerformance!E$46</f>
        <v>Underperformance deadband</v>
      </c>
      <c r="F23" s="453"/>
      <c r="G23" s="583" t="str">
        <f>InpPerformance!G$46</f>
        <v>Performance commitment unit</v>
      </c>
      <c r="H23" s="453"/>
      <c r="I23" s="453"/>
      <c r="J23" s="595">
        <f>IF(InpPerformance!J$46&lt;&gt;"",InpPerformance!J$46,"")</f>
        <v>2</v>
      </c>
      <c r="K23" s="588" t="str">
        <f>IF(InpPerformance!K$46&lt;&gt;"",InpPerformance!K$46,"")</f>
        <v/>
      </c>
      <c r="L23" s="588" t="str">
        <f>IF(InpPerformance!L$46&lt;&gt;"",InpPerformance!L$46,"")</f>
        <v/>
      </c>
      <c r="M23" s="588" t="str">
        <f>IF(InpPerformance!M$46&lt;&gt;"",InpPerformance!M$46,"")</f>
        <v/>
      </c>
      <c r="N23" s="588" t="str">
        <f>IF(InpPerformance!N$46&lt;&gt;"",InpPerformance!N$46,"")</f>
        <v/>
      </c>
      <c r="O23" s="588" t="str">
        <f>IF(InpPerformance!O$46&lt;&gt;"",InpPerformance!O$46,"")</f>
        <v/>
      </c>
      <c r="P23" s="588" t="str">
        <f>IF(InpPerformance!P$46&lt;&gt;"",InpPerformance!P$46,"")</f>
        <v/>
      </c>
      <c r="Q23" s="590" t="str">
        <f>IF(InpPerformance!Q$46&lt;&gt;"",InpPerformance!Q$46,"")</f>
        <v/>
      </c>
      <c r="R23" s="588" t="str">
        <f>IF(InpPerformance!R$46&lt;&gt;"",InpPerformance!R$46,"")</f>
        <v/>
      </c>
      <c r="S23" s="588" t="str">
        <f>IF(InpPerformance!S$46&lt;&gt;"",InpPerformance!S$46,"")</f>
        <v/>
      </c>
      <c r="T23" s="588" t="str">
        <f>IF(InpPerformance!T$46&lt;&gt;"",InpPerformance!T$46,"")</f>
        <v/>
      </c>
      <c r="U23" s="588" t="str">
        <f>IF(InpPerformance!U$46&lt;&gt;"",InpPerformance!U$46,"")</f>
        <v/>
      </c>
      <c r="V23" s="588" t="str">
        <f>IF(InpPerformance!V$46&lt;&gt;"",InpPerformance!V$46,"")</f>
        <v/>
      </c>
      <c r="W23" s="588" t="str">
        <f>IF(InpPerformance!W$46&lt;&gt;"",InpPerformance!W$46,"")</f>
        <v/>
      </c>
      <c r="X23" s="588" t="str">
        <f>IF(InpPerformance!X$46&lt;&gt;"",InpPerformance!X$46,"")</f>
        <v/>
      </c>
      <c r="Y23" s="588" t="str">
        <f>IF(InpPerformance!Y$46&lt;&gt;"",InpPerformance!Y$46,"")</f>
        <v/>
      </c>
      <c r="Z23" s="588" t="str">
        <f>IF(InpPerformance!Z$46&lt;&gt;"",InpPerformance!Z$46,"")</f>
        <v/>
      </c>
      <c r="AA23" s="588" t="str">
        <f>IF(InpPerformance!AA$46&lt;&gt;"",InpPerformance!AA$46,"")</f>
        <v/>
      </c>
      <c r="AB23" s="588" t="str">
        <f>IF(InpPerformance!AB$46&lt;&gt;"",InpPerformance!AB$46,"")</f>
        <v/>
      </c>
      <c r="AC23" s="588" t="str">
        <f>IF(InpPerformance!AC$46&lt;&gt;"",InpPerformance!AC$46,"")</f>
        <v/>
      </c>
      <c r="AD23" s="588" t="str">
        <f>IF(InpPerformance!AD$46&lt;&gt;"",InpPerformance!AD$46,"")</f>
        <v/>
      </c>
      <c r="AE23" s="588" t="str">
        <f>IF(InpPerformance!AE$46&lt;&gt;"",InpPerformance!AE$46,"")</f>
        <v/>
      </c>
      <c r="AF23" s="588" t="str">
        <f>IF(InpPerformance!AF$46&lt;&gt;"",InpPerformance!AF$46,"")</f>
        <v/>
      </c>
      <c r="AG23" s="588" t="str">
        <f>IF(InpPerformance!AG$46&lt;&gt;"",InpPerformance!AG$46,"")</f>
        <v/>
      </c>
      <c r="AH23" s="588" t="str">
        <f>IF(InpPerformance!AH$46&lt;&gt;"",InpPerformance!AH$46,"")</f>
        <v/>
      </c>
      <c r="AI23" s="588" t="str">
        <f>IF(InpPerformance!AI$46&lt;&gt;"",InpPerformance!AI$46,"")</f>
        <v/>
      </c>
      <c r="AJ23" s="588" t="str">
        <f>IF(InpPerformance!AJ$46&lt;&gt;"",InpPerformance!AJ$46,"")</f>
        <v/>
      </c>
      <c r="AK23" s="590" t="str">
        <f>IF(InpPerformance!AK$46&lt;&gt;"",InpPerformance!AK$46,"")</f>
        <v/>
      </c>
      <c r="AL23" s="588" t="str">
        <f>IF(InpPerformance!AL$46&lt;&gt;"",InpPerformance!AL$46,"")</f>
        <v/>
      </c>
      <c r="AM23" s="588" t="str">
        <f>IF(InpPerformance!AM$46&lt;&gt;"",InpPerformance!AM$46,"")</f>
        <v/>
      </c>
      <c r="AN23" s="588" t="str">
        <f>IF(InpPerformance!AN$46&lt;&gt;"",InpPerformance!AN$46,"")</f>
        <v/>
      </c>
      <c r="AO23" s="590">
        <f>IF(InpPerformance!AO$46&lt;&gt;"",InpPerformance!AO$46,"")</f>
        <v>99</v>
      </c>
      <c r="AP23" s="588" t="str">
        <f>IF(InpPerformance!AP$46&lt;&gt;"",InpPerformance!AP$46,"")</f>
        <v/>
      </c>
      <c r="AQ23" s="588" t="str">
        <f>IF(InpPerformance!AQ$46&lt;&gt;"",InpPerformance!AQ$46,"")</f>
        <v/>
      </c>
      <c r="AR23" s="588" t="str">
        <f>IF(InpPerformance!AR$46&lt;&gt;"",InpPerformance!AR$46,"")</f>
        <v/>
      </c>
      <c r="AS23" s="588" t="str">
        <f>IF(InpPerformance!AS$46&lt;&gt;"",InpPerformance!AS$46,"")</f>
        <v/>
      </c>
      <c r="AT23" s="588" t="str">
        <f>IF(InpPerformance!AT$46&lt;&gt;"",InpPerformance!AT$46,"")</f>
        <v/>
      </c>
      <c r="AU23" s="588" t="str">
        <f>IF(InpPerformance!AU$46&lt;&gt;"",InpPerformance!AU$46,"")</f>
        <v/>
      </c>
      <c r="AV23" s="588" t="str">
        <f>IF(InpPerformance!AV$46&lt;&gt;"",InpPerformance!AV$46,"")</f>
        <v/>
      </c>
      <c r="AW23" s="588" t="str">
        <f>IF(InpPerformance!AW$46&lt;&gt;"",InpPerformance!AW$46,"")</f>
        <v/>
      </c>
      <c r="AX23" s="588" t="str">
        <f>IF(InpPerformance!AX$46&lt;&gt;"",InpPerformance!AX$46,"")</f>
        <v/>
      </c>
      <c r="AY23" s="588" t="str">
        <f>IF(InpPerformance!AY$46&lt;&gt;"",InpPerformance!AY$46,"")</f>
        <v/>
      </c>
      <c r="AZ23" s="588" t="str">
        <f>IF(InpPerformance!AZ$46&lt;&gt;"",InpPerformance!AZ$46,"")</f>
        <v/>
      </c>
      <c r="BA23" s="588" t="str">
        <f>IF(InpPerformance!BA$46&lt;&gt;"",InpPerformance!BA$46,"")</f>
        <v/>
      </c>
      <c r="BB23" s="588" t="str">
        <f>IF(InpPerformance!BB$46&lt;&gt;"",InpPerformance!BB$46,"")</f>
        <v/>
      </c>
      <c r="BC23" s="590" t="str">
        <f>IF(InpPerformance!BC$46&lt;&gt;"",InpPerformance!BC$46,"")</f>
        <v/>
      </c>
      <c r="BD23" s="588" t="str">
        <f>IF(InpPerformance!BD$46&lt;&gt;"",InpPerformance!BD$46,"")</f>
        <v/>
      </c>
      <c r="BE23" s="588" t="str">
        <f>IF(InpPerformance!BE$46&lt;&gt;"",InpPerformance!BE$46,"")</f>
        <v/>
      </c>
      <c r="BF23" s="588" t="str">
        <f>IF(InpPerformance!BF$46&lt;&gt;"",InpPerformance!BF$46,"")</f>
        <v/>
      </c>
      <c r="BG23" s="588" t="str">
        <f>IF(InpPerformance!BG$46&lt;&gt;"",InpPerformance!BG$46,"")</f>
        <v/>
      </c>
      <c r="BH23" s="588" t="str">
        <f>IF(InpPerformance!BH$46&lt;&gt;"",InpPerformance!BH$46,"")</f>
        <v/>
      </c>
      <c r="BI23" s="588" t="str">
        <f>IF(InpPerformance!BI$46&lt;&gt;"",InpPerformance!BI$46,"")</f>
        <v/>
      </c>
      <c r="BJ23" s="588" t="str">
        <f>IF(InpPerformance!BJ$46&lt;&gt;"",InpPerformance!BJ$46,"")</f>
        <v/>
      </c>
      <c r="BK23" s="588" t="str">
        <f>IF(InpPerformance!BK$46&lt;&gt;"",InpPerformance!BK$46,"")</f>
        <v/>
      </c>
      <c r="BL23" s="588" t="str">
        <f>IF(InpPerformance!BL$46&lt;&gt;"",InpPerformance!BL$46,"")</f>
        <v/>
      </c>
      <c r="BM23" s="588" t="str">
        <f>IF(InpPerformance!BM$46&lt;&gt;"",InpPerformance!BM$46,"")</f>
        <v/>
      </c>
      <c r="BN23" s="588" t="str">
        <f>IF(InpPerformance!BN$46&lt;&gt;"",InpPerformance!BN$46,"")</f>
        <v/>
      </c>
      <c r="BO23" s="588" t="str">
        <f>IF(InpPerformance!BO$46&lt;&gt;"",InpPerformance!BO$46,"")</f>
        <v/>
      </c>
      <c r="BP23" s="588" t="str">
        <f>IF(InpPerformance!BP$46&lt;&gt;"",InpPerformance!BP$46,"")</f>
        <v/>
      </c>
      <c r="BQ23" s="588" t="str">
        <f>IF(InpPerformance!BQ$46&lt;&gt;"",InpPerformance!BQ$46,"")</f>
        <v/>
      </c>
      <c r="BR23" s="588" t="str">
        <f>IF(InpPerformance!BR$46&lt;&gt;"",InpPerformance!BR$46,"")</f>
        <v/>
      </c>
      <c r="BS23" s="588" t="str">
        <f>IF(InpPerformance!BS$46&lt;&gt;"",InpPerformance!BS$46,"")</f>
        <v/>
      </c>
    </row>
    <row r="24" spans="1:71" s="202" customFormat="1" ht="13.15">
      <c r="A24" s="453"/>
      <c r="B24" s="453"/>
      <c r="C24" s="453"/>
      <c r="D24" s="453"/>
      <c r="E24" s="583" t="str">
        <f>InpPerformance!E$47</f>
        <v>Standard underperformance collar</v>
      </c>
      <c r="F24" s="453"/>
      <c r="G24" s="583" t="str">
        <f>InpPerformance!G$47</f>
        <v>Performance commitment unit</v>
      </c>
      <c r="H24" s="453"/>
      <c r="I24" s="453"/>
      <c r="J24" s="588">
        <f>IF(InpPerformance!J$47&lt;&gt;"",InpPerformance!J$47,"")</f>
        <v>9.5</v>
      </c>
      <c r="K24" s="588">
        <f>IF(InpPerformance!K$47&lt;&gt;"",InpPerformance!K$47,"")</f>
        <v>1.5798611111111114E-2</v>
      </c>
      <c r="L24" s="588">
        <f>IF(InpPerformance!L$47&lt;&gt;"",InpPerformance!L$47,"")</f>
        <v>-5</v>
      </c>
      <c r="M24" s="588" t="str">
        <f>IF(InpPerformance!M$47&lt;&gt;"",InpPerformance!M$47,"")</f>
        <v/>
      </c>
      <c r="N24" s="588">
        <f>IF(InpPerformance!N$47&lt;&gt;"",InpPerformance!N$47,"")</f>
        <v>-16.7</v>
      </c>
      <c r="O24" s="588" t="str">
        <f>IF(InpPerformance!O$47&lt;&gt;"",InpPerformance!O$47,"")</f>
        <v/>
      </c>
      <c r="P24" s="588">
        <f>IF(InpPerformance!P$47&lt;&gt;"",InpPerformance!P$47,"")</f>
        <v>180.8</v>
      </c>
      <c r="Q24" s="590">
        <f>IF(InpPerformance!Q$47&lt;&gt;"",InpPerformance!Q$47,"")</f>
        <v>18.88</v>
      </c>
      <c r="R24" s="588" t="str">
        <f>IF(InpPerformance!R$47&lt;&gt;"",InpPerformance!R$47,"")</f>
        <v/>
      </c>
      <c r="S24" s="588" t="str">
        <f>IF(InpPerformance!S$47&lt;&gt;"",InpPerformance!S$47,"")</f>
        <v/>
      </c>
      <c r="T24" s="588">
        <f>IF(InpPerformance!T$47&lt;&gt;"",InpPerformance!T$47,"")</f>
        <v>-14</v>
      </c>
      <c r="U24" s="588" t="str">
        <f>IF(InpPerformance!U$47&lt;&gt;"",InpPerformance!U$47,"")</f>
        <v/>
      </c>
      <c r="V24" s="588">
        <f>IF(InpPerformance!V$47&lt;&gt;"",InpPerformance!V$47,"")</f>
        <v>2.62</v>
      </c>
      <c r="W24" s="588" t="str">
        <f>IF(InpPerformance!W$47&lt;&gt;"",InpPerformance!W$47,"")</f>
        <v/>
      </c>
      <c r="X24" s="588" t="str">
        <f>IF(InpPerformance!X$47&lt;&gt;"",InpPerformance!X$47,"")</f>
        <v/>
      </c>
      <c r="Y24" s="588" t="str">
        <f>IF(InpPerformance!Y$47&lt;&gt;"",InpPerformance!Y$47,"")</f>
        <v/>
      </c>
      <c r="Z24" s="588" t="str">
        <f>IF(InpPerformance!Z$47&lt;&gt;"",InpPerformance!Z$47,"")</f>
        <v/>
      </c>
      <c r="AA24" s="588" t="str">
        <f>IF(InpPerformance!AA$47&lt;&gt;"",InpPerformance!AA$47,"")</f>
        <v/>
      </c>
      <c r="AB24" s="588" t="str">
        <f>IF(InpPerformance!AB$47&lt;&gt;"",InpPerformance!AB$47,"")</f>
        <v/>
      </c>
      <c r="AC24" s="588" t="str">
        <f>IF(InpPerformance!AC$47&lt;&gt;"",InpPerformance!AC$47,"")</f>
        <v/>
      </c>
      <c r="AD24" s="588" t="str">
        <f>IF(InpPerformance!AD$47&lt;&gt;"",InpPerformance!AD$47,"")</f>
        <v/>
      </c>
      <c r="AE24" s="588" t="str">
        <f>IF(InpPerformance!AE$47&lt;&gt;"",InpPerformance!AE$47,"")</f>
        <v/>
      </c>
      <c r="AF24" s="588" t="str">
        <f>IF(InpPerformance!AF$47&lt;&gt;"",InpPerformance!AF$47,"")</f>
        <v/>
      </c>
      <c r="AG24" s="588" t="str">
        <f>IF(InpPerformance!AG$47&lt;&gt;"",InpPerformance!AG$47,"")</f>
        <v/>
      </c>
      <c r="AH24" s="588" t="str">
        <f>IF(InpPerformance!AH$47&lt;&gt;"",InpPerformance!AH$47,"")</f>
        <v/>
      </c>
      <c r="AI24" s="588" t="str">
        <f>IF(InpPerformance!AI$47&lt;&gt;"",InpPerformance!AI$47,"")</f>
        <v/>
      </c>
      <c r="AJ24" s="588" t="str">
        <f>IF(InpPerformance!AJ$47&lt;&gt;"",InpPerformance!AJ$47,"")</f>
        <v/>
      </c>
      <c r="AK24" s="590" t="str">
        <f>IF(InpPerformance!AK$47&lt;&gt;"",InpPerformance!AK$47,"")</f>
        <v/>
      </c>
      <c r="AL24" s="588">
        <f>IF(InpPerformance!AL$47&lt;&gt;"",InpPerformance!AL$47,"")</f>
        <v>3.35</v>
      </c>
      <c r="AM24" s="588">
        <f>IF(InpPerformance!AM$47&lt;&gt;"",InpPerformance!AM$47,"")</f>
        <v>49.01</v>
      </c>
      <c r="AN24" s="588" t="str">
        <f>IF(InpPerformance!AN$47&lt;&gt;"",InpPerformance!AN$47,"")</f>
        <v/>
      </c>
      <c r="AO24" s="590">
        <f>IF(InpPerformance!AO$47&lt;&gt;"",InpPerformance!AO$47,"")</f>
        <v>97</v>
      </c>
      <c r="AP24" s="588" t="str">
        <f>IF(InpPerformance!AP$47&lt;&gt;"",InpPerformance!AP$47,"")</f>
        <v/>
      </c>
      <c r="AQ24" s="588">
        <f>IF(InpPerformance!AQ$47&lt;&gt;"",InpPerformance!AQ$47,"")</f>
        <v>21</v>
      </c>
      <c r="AR24" s="588" t="str">
        <f>IF(InpPerformance!AR$47&lt;&gt;"",InpPerformance!AR$47,"")</f>
        <v/>
      </c>
      <c r="AS24" s="588" t="str">
        <f>IF(InpPerformance!AS$47&lt;&gt;"",InpPerformance!AS$47,"")</f>
        <v/>
      </c>
      <c r="AT24" s="588" t="str">
        <f>IF(InpPerformance!AT$47&lt;&gt;"",InpPerformance!AT$47,"")</f>
        <v/>
      </c>
      <c r="AU24" s="588" t="str">
        <f>IF(InpPerformance!AU$47&lt;&gt;"",InpPerformance!AU$47,"")</f>
        <v/>
      </c>
      <c r="AV24" s="588" t="str">
        <f>IF(InpPerformance!AV$47&lt;&gt;"",InpPerformance!AV$47,"")</f>
        <v/>
      </c>
      <c r="AW24" s="588">
        <f>IF(InpPerformance!AW$47&lt;&gt;"",InpPerformance!AW$47,"")</f>
        <v>14625</v>
      </c>
      <c r="AX24" s="588">
        <f>IF(InpPerformance!AX$47&lt;&gt;"",InpPerformance!AX$47,"")</f>
        <v>6618</v>
      </c>
      <c r="AY24" s="588" t="str">
        <f>IF(InpPerformance!AY$47&lt;&gt;"",InpPerformance!AY$47,"")</f>
        <v/>
      </c>
      <c r="AZ24" s="588" t="str">
        <f>IF(InpPerformance!AZ$47&lt;&gt;"",InpPerformance!AZ$47,"")</f>
        <v/>
      </c>
      <c r="BA24" s="588" t="str">
        <f>IF(InpPerformance!BA$47&lt;&gt;"",InpPerformance!BA$47,"")</f>
        <v/>
      </c>
      <c r="BB24" s="588" t="str">
        <f>IF(InpPerformance!BB$47&lt;&gt;"",InpPerformance!BB$47,"")</f>
        <v/>
      </c>
      <c r="BC24" s="590" t="str">
        <f>IF(InpPerformance!BC$47&lt;&gt;"",InpPerformance!BC$47,"")</f>
        <v/>
      </c>
      <c r="BD24" s="588" t="str">
        <f>IF(InpPerformance!BD$47&lt;&gt;"",InpPerformance!BD$47,"")</f>
        <v/>
      </c>
      <c r="BE24" s="588" t="str">
        <f>IF(InpPerformance!BE$47&lt;&gt;"",InpPerformance!BE$47,"")</f>
        <v/>
      </c>
      <c r="BF24" s="588" t="str">
        <f>IF(InpPerformance!BF$47&lt;&gt;"",InpPerformance!BF$47,"")</f>
        <v/>
      </c>
      <c r="BG24" s="588" t="str">
        <f>IF(InpPerformance!BG$47&lt;&gt;"",InpPerformance!BG$47,"")</f>
        <v/>
      </c>
      <c r="BH24" s="588" t="str">
        <f>IF(InpPerformance!BH$47&lt;&gt;"",InpPerformance!BH$47,"")</f>
        <v/>
      </c>
      <c r="BI24" s="588" t="str">
        <f>IF(InpPerformance!BI$47&lt;&gt;"",InpPerformance!BI$47,"")</f>
        <v/>
      </c>
      <c r="BJ24" s="588" t="str">
        <f>IF(InpPerformance!BJ$47&lt;&gt;"",InpPerformance!BJ$47,"")</f>
        <v/>
      </c>
      <c r="BK24" s="588" t="str">
        <f>IF(InpPerformance!BK$47&lt;&gt;"",InpPerformance!BK$47,"")</f>
        <v/>
      </c>
      <c r="BL24" s="588" t="str">
        <f>IF(InpPerformance!BL$47&lt;&gt;"",InpPerformance!BL$47,"")</f>
        <v/>
      </c>
      <c r="BM24" s="588" t="str">
        <f>IF(InpPerformance!BM$47&lt;&gt;"",InpPerformance!BM$47,"")</f>
        <v/>
      </c>
      <c r="BN24" s="588" t="str">
        <f>IF(InpPerformance!BN$47&lt;&gt;"",InpPerformance!BN$47,"")</f>
        <v/>
      </c>
      <c r="BO24" s="588" t="str">
        <f>IF(InpPerformance!BO$47&lt;&gt;"",InpPerformance!BO$47,"")</f>
        <v/>
      </c>
      <c r="BP24" s="588" t="str">
        <f>IF(InpPerformance!BP$47&lt;&gt;"",InpPerformance!BP$47,"")</f>
        <v/>
      </c>
      <c r="BQ24" s="588" t="str">
        <f>IF(InpPerformance!BQ$47&lt;&gt;"",InpPerformance!BQ$47,"")</f>
        <v/>
      </c>
      <c r="BR24" s="588" t="str">
        <f>IF(InpPerformance!BR$47&lt;&gt;"",InpPerformance!BR$47,"")</f>
        <v/>
      </c>
      <c r="BS24" s="588" t="str">
        <f>IF(InpPerformance!BS$47&lt;&gt;"",InpPerformance!BS$47,"")</f>
        <v/>
      </c>
    </row>
    <row r="25" spans="1:71" s="202" customFormat="1" ht="11.25" customHeight="1">
      <c r="A25" s="453"/>
      <c r="B25" s="453"/>
      <c r="C25" s="453"/>
      <c r="D25" s="453"/>
      <c r="E25" s="453"/>
      <c r="F25" s="453"/>
      <c r="G25" s="453"/>
      <c r="H25" s="453"/>
      <c r="I25" s="453"/>
      <c r="J25" s="523"/>
      <c r="K25" s="523"/>
      <c r="L25" s="523"/>
      <c r="M25" s="523"/>
      <c r="N25" s="523"/>
      <c r="O25" s="523"/>
      <c r="P25" s="523"/>
      <c r="Q25" s="524"/>
      <c r="R25" s="523"/>
      <c r="S25" s="523"/>
      <c r="T25" s="523"/>
      <c r="U25" s="523"/>
      <c r="V25" s="523"/>
      <c r="W25" s="523"/>
      <c r="X25" s="523"/>
      <c r="Y25" s="523"/>
      <c r="Z25" s="523"/>
      <c r="AA25" s="523"/>
      <c r="AB25" s="523"/>
      <c r="AC25" s="523"/>
      <c r="AD25" s="523"/>
      <c r="AE25" s="523"/>
      <c r="AF25" s="523"/>
      <c r="AG25" s="523"/>
      <c r="AH25" s="523"/>
      <c r="AI25" s="523"/>
      <c r="AJ25" s="523"/>
      <c r="AK25" s="524"/>
      <c r="AL25" s="523"/>
      <c r="AM25" s="523"/>
      <c r="AN25" s="523"/>
      <c r="AO25" s="524"/>
      <c r="AP25" s="523"/>
      <c r="AQ25" s="523"/>
      <c r="AR25" s="523"/>
      <c r="AS25" s="523"/>
      <c r="AT25" s="523"/>
      <c r="AU25" s="523"/>
      <c r="AV25" s="523"/>
      <c r="AW25" s="523"/>
      <c r="AX25" s="523"/>
      <c r="AY25" s="523"/>
      <c r="AZ25" s="523"/>
      <c r="BA25" s="523"/>
      <c r="BB25" s="523"/>
      <c r="BC25" s="524"/>
      <c r="BD25" s="523"/>
      <c r="BE25" s="523"/>
      <c r="BF25" s="523"/>
      <c r="BG25" s="523"/>
      <c r="BH25" s="523"/>
      <c r="BI25" s="523"/>
      <c r="BJ25" s="523"/>
      <c r="BK25" s="523"/>
      <c r="BL25" s="523"/>
      <c r="BM25" s="523"/>
      <c r="BN25" s="523"/>
      <c r="BO25" s="523"/>
      <c r="BP25" s="523"/>
      <c r="BQ25" s="523"/>
      <c r="BR25" s="523"/>
      <c r="BS25" s="523"/>
    </row>
    <row r="26" spans="1:71" s="228" customFormat="1" ht="13.15">
      <c r="A26" s="583"/>
      <c r="B26" s="583"/>
      <c r="C26" s="583"/>
      <c r="D26" s="583"/>
      <c r="E26" s="583" t="str">
        <f>InpPerformance!E$49</f>
        <v>Standard outperformance rate</v>
      </c>
      <c r="F26" s="583"/>
      <c r="G26" s="583" t="str">
        <f>InpPerformance!G$49</f>
        <v>£m/unit (2017-18 prices)</v>
      </c>
      <c r="H26" s="583"/>
      <c r="I26" s="583"/>
      <c r="J26" s="596">
        <f>IF(InpPerformance!J$49&lt;&gt;"",InpPerformance!J$49,"")</f>
        <v>0</v>
      </c>
      <c r="K26" s="596">
        <f>IF(InpPerformance!K$49&lt;&gt;"",InpPerformance!K$49,"")</f>
        <v>0.24399999999999999</v>
      </c>
      <c r="L26" s="596">
        <f>IF(InpPerformance!L$49&lt;&gt;"",InpPerformance!L$49,"")</f>
        <v>0.13700000000000001</v>
      </c>
      <c r="M26" s="596" t="str">
        <f>IF(InpPerformance!M$49&lt;&gt;"",InpPerformance!M$49,"")</f>
        <v/>
      </c>
      <c r="N26" s="596">
        <f>IF(InpPerformance!N$49&lt;&gt;"",InpPerformance!N$49,"")</f>
        <v>7.0000000000000007E-2</v>
      </c>
      <c r="O26" s="596" t="str">
        <f>IF(InpPerformance!O$49&lt;&gt;"",InpPerformance!O$49,"")</f>
        <v/>
      </c>
      <c r="P26" s="596">
        <f>IF(InpPerformance!P$49&lt;&gt;"",InpPerformance!P$49,"")</f>
        <v>5.5E-2</v>
      </c>
      <c r="Q26" s="597" t="str">
        <f>IF(InpPerformance!Q$49&lt;&gt;"",InpPerformance!Q$49,"")</f>
        <v/>
      </c>
      <c r="R26" s="596">
        <f>IF(InpPerformance!R$49&lt;&gt;"",InpPerformance!R$49,"")</f>
        <v>3.85</v>
      </c>
      <c r="S26" s="596">
        <f>IF(InpPerformance!S$49&lt;&gt;"",InpPerformance!S$49,"")</f>
        <v>3.85</v>
      </c>
      <c r="T26" s="596">
        <f>IF(InpPerformance!T$49&lt;&gt;"",InpPerformance!T$49,"")</f>
        <v>0.51100000000000001</v>
      </c>
      <c r="U26" s="596">
        <f>IF(InpPerformance!U$49&lt;&gt;"",InpPerformance!U$49,"")</f>
        <v>3.63E-6</v>
      </c>
      <c r="V26" s="596">
        <f>IF(InpPerformance!V$49&lt;&gt;"",InpPerformance!V$49,"")</f>
        <v>1.2</v>
      </c>
      <c r="W26" s="596">
        <f>IF(InpPerformance!W$49&lt;&gt;"",InpPerformance!W$49,"")</f>
        <v>2.5000000000000001E-5</v>
      </c>
      <c r="X26" s="596" t="str">
        <f>IF(InpPerformance!X$49&lt;&gt;"",InpPerformance!X$49,"")</f>
        <v/>
      </c>
      <c r="Y26" s="596" t="str">
        <f>IF(InpPerformance!Y$49&lt;&gt;"",InpPerformance!Y$49,"")</f>
        <v/>
      </c>
      <c r="Z26" s="596" t="str">
        <f>IF(InpPerformance!Z$49&lt;&gt;"",InpPerformance!Z$49,"")</f>
        <v/>
      </c>
      <c r="AA26" s="596" t="str">
        <f>IF(InpPerformance!AA$49&lt;&gt;"",InpPerformance!AA$49,"")</f>
        <v/>
      </c>
      <c r="AB26" s="596" t="str">
        <f>IF(InpPerformance!AB$49&lt;&gt;"",InpPerformance!AB$49,"")</f>
        <v/>
      </c>
      <c r="AC26" s="596" t="str">
        <f>IF(InpPerformance!AC$49&lt;&gt;"",InpPerformance!AC$49,"")</f>
        <v/>
      </c>
      <c r="AD26" s="596" t="str">
        <f>IF(InpPerformance!AD$49&lt;&gt;"",InpPerformance!AD$49,"")</f>
        <v/>
      </c>
      <c r="AE26" s="596" t="str">
        <f>IF(InpPerformance!AE$49&lt;&gt;"",InpPerformance!AE$49,"")</f>
        <v/>
      </c>
      <c r="AF26" s="596" t="str">
        <f>IF(InpPerformance!AF$49&lt;&gt;"",InpPerformance!AF$49,"")</f>
        <v/>
      </c>
      <c r="AG26" s="596" t="str">
        <f>IF(InpPerformance!AG$49&lt;&gt;"",InpPerformance!AG$49,"")</f>
        <v/>
      </c>
      <c r="AH26" s="596" t="str">
        <f>IF(InpPerformance!AH$49&lt;&gt;"",InpPerformance!AH$49,"")</f>
        <v/>
      </c>
      <c r="AI26" s="596" t="str">
        <f>IF(InpPerformance!AI$49&lt;&gt;"",InpPerformance!AI$49,"")</f>
        <v/>
      </c>
      <c r="AJ26" s="596" t="str">
        <f>IF(InpPerformance!AJ$49&lt;&gt;"",InpPerformance!AJ$49,"")</f>
        <v/>
      </c>
      <c r="AK26" s="597" t="str">
        <f>IF(InpPerformance!AK$49&lt;&gt;"",InpPerformance!AK$49,"")</f>
        <v/>
      </c>
      <c r="AL26" s="596">
        <f>IF(InpPerformance!AL$49&lt;&gt;"",InpPerformance!AL$49,"")</f>
        <v>5.5570000000000004</v>
      </c>
      <c r="AM26" s="596">
        <f>IF(InpPerformance!AM$49&lt;&gt;"",InpPerformance!AM$49,"")</f>
        <v>0.27</v>
      </c>
      <c r="AN26" s="596" t="str">
        <f>IF(InpPerformance!AN$49&lt;&gt;"",InpPerformance!AN$49,"")</f>
        <v/>
      </c>
      <c r="AO26" s="597" t="str">
        <f>IF(InpPerformance!AO$49&lt;&gt;"",InpPerformance!AO$49,"")</f>
        <v/>
      </c>
      <c r="AP26" s="596">
        <f>IF(InpPerformance!AP$49&lt;&gt;"",InpPerformance!AP$49,"")</f>
        <v>3.2899999999999998E-6</v>
      </c>
      <c r="AQ26" s="596">
        <f>IF(InpPerformance!AQ$49&lt;&gt;"",InpPerformance!AQ$49,"")</f>
        <v>0.221</v>
      </c>
      <c r="AR26" s="596" t="str">
        <f>IF(InpPerformance!AR$49&lt;&gt;"",InpPerformance!AR$49,"")</f>
        <v/>
      </c>
      <c r="AS26" s="596" t="str">
        <f>IF(InpPerformance!AS$49&lt;&gt;"",InpPerformance!AS$49,"")</f>
        <v/>
      </c>
      <c r="AT26" s="596" t="str">
        <f>IF(InpPerformance!AT$49&lt;&gt;"",InpPerformance!AT$49,"")</f>
        <v/>
      </c>
      <c r="AU26" s="596">
        <f>IF(InpPerformance!AU$49&lt;&gt;"",InpPerformance!AU$49,"")</f>
        <v>1.1910000000000001</v>
      </c>
      <c r="AV26" s="596">
        <f>IF(InpPerformance!AV$49&lt;&gt;"",InpPerformance!AV$49,"")</f>
        <v>1.1910000000000001</v>
      </c>
      <c r="AW26" s="596">
        <f>IF(InpPerformance!AW$49&lt;&gt;"",InpPerformance!AW$49,"")</f>
        <v>2.08E-6</v>
      </c>
      <c r="AX26" s="596">
        <f>IF(InpPerformance!AX$49&lt;&gt;"",InpPerformance!AX$49,"")</f>
        <v>4.81E-3</v>
      </c>
      <c r="AY26" s="596" t="str">
        <f>IF(InpPerformance!AY$49&lt;&gt;"",InpPerformance!AY$49,"")</f>
        <v/>
      </c>
      <c r="AZ26" s="596" t="str">
        <f>IF(InpPerformance!AZ$49&lt;&gt;"",InpPerformance!AZ$49,"")</f>
        <v/>
      </c>
      <c r="BA26" s="596" t="str">
        <f>IF(InpPerformance!BA$49&lt;&gt;"",InpPerformance!BA$49,"")</f>
        <v/>
      </c>
      <c r="BB26" s="596" t="str">
        <f>IF(InpPerformance!BB$49&lt;&gt;"",InpPerformance!BB$49,"")</f>
        <v/>
      </c>
      <c r="BC26" s="597" t="str">
        <f>IF(InpPerformance!BC$49&lt;&gt;"",InpPerformance!BC$49,"")</f>
        <v/>
      </c>
      <c r="BD26" s="596" t="str">
        <f>IF(InpPerformance!BD$49&lt;&gt;"",InpPerformance!BD$49,"")</f>
        <v/>
      </c>
      <c r="BE26" s="596" t="str">
        <f>IF(InpPerformance!BE$49&lt;&gt;"",InpPerformance!BE$49,"")</f>
        <v/>
      </c>
      <c r="BF26" s="596" t="str">
        <f>IF(InpPerformance!BF$49&lt;&gt;"",InpPerformance!BF$49,"")</f>
        <v/>
      </c>
      <c r="BG26" s="596" t="str">
        <f>IF(InpPerformance!BG$49&lt;&gt;"",InpPerformance!BG$49,"")</f>
        <v/>
      </c>
      <c r="BH26" s="596" t="str">
        <f>IF(InpPerformance!BH$49&lt;&gt;"",InpPerformance!BH$49,"")</f>
        <v/>
      </c>
      <c r="BI26" s="596" t="str">
        <f>IF(InpPerformance!BI$49&lt;&gt;"",InpPerformance!BI$49,"")</f>
        <v/>
      </c>
      <c r="BJ26" s="596" t="str">
        <f>IF(InpPerformance!BJ$49&lt;&gt;"",InpPerformance!BJ$49,"")</f>
        <v/>
      </c>
      <c r="BK26" s="596" t="str">
        <f>IF(InpPerformance!BK$49&lt;&gt;"",InpPerformance!BK$49,"")</f>
        <v/>
      </c>
      <c r="BL26" s="596" t="str">
        <f>IF(InpPerformance!BL$49&lt;&gt;"",InpPerformance!BL$49,"")</f>
        <v/>
      </c>
      <c r="BM26" s="596" t="str">
        <f>IF(InpPerformance!BM$49&lt;&gt;"",InpPerformance!BM$49,"")</f>
        <v/>
      </c>
      <c r="BN26" s="596" t="str">
        <f>IF(InpPerformance!BN$49&lt;&gt;"",InpPerformance!BN$49,"")</f>
        <v/>
      </c>
      <c r="BO26" s="596" t="str">
        <f>IF(InpPerformance!BO$49&lt;&gt;"",InpPerformance!BO$49,"")</f>
        <v/>
      </c>
      <c r="BP26" s="596" t="str">
        <f>IF(InpPerformance!BP$49&lt;&gt;"",InpPerformance!BP$49,"")</f>
        <v/>
      </c>
      <c r="BQ26" s="596" t="str">
        <f>IF(InpPerformance!BQ$49&lt;&gt;"",InpPerformance!BQ$49,"")</f>
        <v/>
      </c>
      <c r="BR26" s="596" t="str">
        <f>IF(InpPerformance!BR$49&lt;&gt;"",InpPerformance!BR$49,"")</f>
        <v/>
      </c>
      <c r="BS26" s="596" t="str">
        <f>IF(InpPerformance!BS$49&lt;&gt;"",InpPerformance!BS$49,"")</f>
        <v/>
      </c>
    </row>
    <row r="27" spans="1:71" s="228" customFormat="1" ht="12" customHeight="1">
      <c r="A27" s="583"/>
      <c r="B27" s="583"/>
      <c r="C27" s="583"/>
      <c r="D27" s="583"/>
      <c r="E27" s="583" t="str">
        <f>InpPerformance!E$50</f>
        <v>Standard underperformance rate</v>
      </c>
      <c r="F27" s="583"/>
      <c r="G27" s="583" t="str">
        <f>InpPerformance!G$50</f>
        <v>£m/unit (2017-18 prices)</v>
      </c>
      <c r="H27" s="583"/>
      <c r="I27" s="583"/>
      <c r="J27" s="596">
        <f>IF(InpPerformance!J$50&lt;&gt;"",InpPerformance!J$50,"")</f>
        <v>-0.628</v>
      </c>
      <c r="K27" s="596">
        <f>IF(InpPerformance!K$50&lt;&gt;"",InpPerformance!K$50,"")</f>
        <v>-0.24399999999999999</v>
      </c>
      <c r="L27" s="596">
        <f>IF(InpPerformance!L$50&lt;&gt;"",InpPerformance!L$50,"")</f>
        <v>-0.26500000000000001</v>
      </c>
      <c r="M27" s="596" t="str">
        <f>IF(InpPerformance!M$50&lt;&gt;"",InpPerformance!M$50,"")</f>
        <v/>
      </c>
      <c r="N27" s="596">
        <f>IF(InpPerformance!N$50&lt;&gt;"",InpPerformance!N$50,"")</f>
        <v>-0.17799999999999999</v>
      </c>
      <c r="O27" s="596" t="str">
        <f>IF(InpPerformance!O$50&lt;&gt;"",InpPerformance!O$50,"")</f>
        <v/>
      </c>
      <c r="P27" s="596">
        <f>IF(InpPerformance!P$50&lt;&gt;"",InpPerformance!P$50,"")</f>
        <v>-8.4000000000000005E-2</v>
      </c>
      <c r="Q27" s="597">
        <f>IF(InpPerformance!Q$50&lt;&gt;"",InpPerformance!Q$50,"")</f>
        <v>-0.89600000000000002</v>
      </c>
      <c r="R27" s="596">
        <f>IF(InpPerformance!R$50&lt;&gt;"",InpPerformance!R$50,"")</f>
        <v>-4.62</v>
      </c>
      <c r="S27" s="596">
        <f>IF(InpPerformance!S$50&lt;&gt;"",InpPerformance!S$50,"")</f>
        <v>-4.62</v>
      </c>
      <c r="T27" s="596">
        <f>IF(InpPerformance!T$50&lt;&gt;"",InpPerformance!T$50,"")</f>
        <v>-0.63400000000000001</v>
      </c>
      <c r="U27" s="596" t="str">
        <f>IF(InpPerformance!U$50&lt;&gt;"",InpPerformance!U$50,"")</f>
        <v/>
      </c>
      <c r="V27" s="596">
        <f>IF(InpPerformance!V$50&lt;&gt;"",InpPerformance!V$50,"")</f>
        <v>-1.2</v>
      </c>
      <c r="W27" s="596" t="str">
        <f>IF(InpPerformance!W$50&lt;&gt;"",InpPerformance!W$50,"")</f>
        <v/>
      </c>
      <c r="X27" s="596">
        <f>IF(InpPerformance!X$50&lt;&gt;"",InpPerformance!X$50,"")</f>
        <v>-1.73E-3</v>
      </c>
      <c r="Y27" s="596">
        <f>IF(InpPerformance!Y$50&lt;&gt;"",InpPerformance!Y$50,"")</f>
        <v>-0.70430000000000004</v>
      </c>
      <c r="Z27" s="596">
        <f>IF(InpPerformance!Z$50&lt;&gt;"",InpPerformance!Z$50,"")</f>
        <v>-6.6299999999999996E-3</v>
      </c>
      <c r="AA27" s="596" t="str">
        <f>IF(InpPerformance!AA$50&lt;&gt;"",InpPerformance!AA$50,"")</f>
        <v/>
      </c>
      <c r="AB27" s="596" t="str">
        <f>IF(InpPerformance!AB$50&lt;&gt;"",InpPerformance!AB$50,"")</f>
        <v/>
      </c>
      <c r="AC27" s="596" t="str">
        <f>IF(InpPerformance!AC$50&lt;&gt;"",InpPerformance!AC$50,"")</f>
        <v/>
      </c>
      <c r="AD27" s="596" t="str">
        <f>IF(InpPerformance!AD$50&lt;&gt;"",InpPerformance!AD$50,"")</f>
        <v/>
      </c>
      <c r="AE27" s="596" t="str">
        <f>IF(InpPerformance!AE$50&lt;&gt;"",InpPerformance!AE$50,"")</f>
        <v/>
      </c>
      <c r="AF27" s="596" t="str">
        <f>IF(InpPerformance!AF$50&lt;&gt;"",InpPerformance!AF$50,"")</f>
        <v/>
      </c>
      <c r="AG27" s="596" t="str">
        <f>IF(InpPerformance!AG$50&lt;&gt;"",InpPerformance!AG$50,"")</f>
        <v/>
      </c>
      <c r="AH27" s="596" t="str">
        <f>IF(InpPerformance!AH$50&lt;&gt;"",InpPerformance!AH$50,"")</f>
        <v/>
      </c>
      <c r="AI27" s="596" t="str">
        <f>IF(InpPerformance!AI$50&lt;&gt;"",InpPerformance!AI$50,"")</f>
        <v/>
      </c>
      <c r="AJ27" s="596" t="str">
        <f>IF(InpPerformance!AJ$50&lt;&gt;"",InpPerformance!AJ$50,"")</f>
        <v/>
      </c>
      <c r="AK27" s="597" t="str">
        <f>IF(InpPerformance!AK$50&lt;&gt;"",InpPerformance!AK$50,"")</f>
        <v/>
      </c>
      <c r="AL27" s="596">
        <f>IF(InpPerformance!AL$50&lt;&gt;"",InpPerformance!AL$50,"")</f>
        <v>-5.5570000000000004</v>
      </c>
      <c r="AM27" s="596">
        <f>IF(InpPerformance!AM$50&lt;&gt;"",InpPerformance!AM$50,"")</f>
        <v>-0.315</v>
      </c>
      <c r="AN27" s="596">
        <f>IF(InpPerformance!AN$50&lt;&gt;"",InpPerformance!AN$50,"")</f>
        <v>-1.843</v>
      </c>
      <c r="AO27" s="597">
        <f>IF(InpPerformance!AO$50&lt;&gt;"",InpPerformance!AO$50,"")</f>
        <v>-10</v>
      </c>
      <c r="AP27" s="596" t="str">
        <f>IF(InpPerformance!AP$50&lt;&gt;"",InpPerformance!AP$50,"")</f>
        <v/>
      </c>
      <c r="AQ27" s="596">
        <f>IF(InpPerformance!AQ$50&lt;&gt;"",InpPerformance!AQ$50,"")</f>
        <v>-0.442</v>
      </c>
      <c r="AR27" s="596">
        <f>IF(InpPerformance!AR$50&lt;&gt;"",InpPerformance!AR$50,"")</f>
        <v>-0.41699999999999998</v>
      </c>
      <c r="AS27" s="596">
        <f>IF(InpPerformance!AS$50&lt;&gt;"",InpPerformance!AS$50,"")</f>
        <v>-0.248</v>
      </c>
      <c r="AT27" s="596">
        <f>IF(InpPerformance!AT$50&lt;&gt;"",InpPerformance!AT$50,"")</f>
        <v>-0.45</v>
      </c>
      <c r="AU27" s="596">
        <f>IF(InpPerformance!AU$50&lt;&gt;"",InpPerformance!AU$50,"")</f>
        <v>-1.8520000000000001</v>
      </c>
      <c r="AV27" s="596">
        <f>IF(InpPerformance!AV$50&lt;&gt;"",InpPerformance!AV$50,"")</f>
        <v>-1.7</v>
      </c>
      <c r="AW27" s="596">
        <f>IF(InpPerformance!AW$50&lt;&gt;"",InpPerformance!AW$50,"")</f>
        <v>-2.08E-6</v>
      </c>
      <c r="AX27" s="596">
        <f>IF(InpPerformance!AX$50&lt;&gt;"",InpPerformance!AX$50,"")</f>
        <v>-7.2700000000000004E-3</v>
      </c>
      <c r="AY27" s="596">
        <f>IF(InpPerformance!AY$50&lt;&gt;"",InpPerformance!AY$50,"")</f>
        <v>-0.1807</v>
      </c>
      <c r="AZ27" s="596" t="str">
        <f>IF(InpPerformance!AZ$50&lt;&gt;"",InpPerformance!AZ$50,"")</f>
        <v/>
      </c>
      <c r="BA27" s="596" t="str">
        <f>IF(InpPerformance!BA$50&lt;&gt;"",InpPerformance!BA$50,"")</f>
        <v/>
      </c>
      <c r="BB27" s="596" t="str">
        <f>IF(InpPerformance!BB$50&lt;&gt;"",InpPerformance!BB$50,"")</f>
        <v/>
      </c>
      <c r="BC27" s="597" t="str">
        <f>IF(InpPerformance!BC$50&lt;&gt;"",InpPerformance!BC$50,"")</f>
        <v/>
      </c>
      <c r="BD27" s="596" t="str">
        <f>IF(InpPerformance!BD$50&lt;&gt;"",InpPerformance!BD$50,"")</f>
        <v/>
      </c>
      <c r="BE27" s="596" t="str">
        <f>IF(InpPerformance!BE$50&lt;&gt;"",InpPerformance!BE$50,"")</f>
        <v/>
      </c>
      <c r="BF27" s="596" t="str">
        <f>IF(InpPerformance!BF$50&lt;&gt;"",InpPerformance!BF$50,"")</f>
        <v/>
      </c>
      <c r="BG27" s="596" t="str">
        <f>IF(InpPerformance!BG$50&lt;&gt;"",InpPerformance!BG$50,"")</f>
        <v/>
      </c>
      <c r="BH27" s="596" t="str">
        <f>IF(InpPerformance!BH$50&lt;&gt;"",InpPerformance!BH$50,"")</f>
        <v/>
      </c>
      <c r="BI27" s="596" t="str">
        <f>IF(InpPerformance!BI$50&lt;&gt;"",InpPerformance!BI$50,"")</f>
        <v/>
      </c>
      <c r="BJ27" s="596" t="str">
        <f>IF(InpPerformance!BJ$50&lt;&gt;"",InpPerformance!BJ$50,"")</f>
        <v/>
      </c>
      <c r="BK27" s="596" t="str">
        <f>IF(InpPerformance!BK$50&lt;&gt;"",InpPerformance!BK$50,"")</f>
        <v/>
      </c>
      <c r="BL27" s="596" t="str">
        <f>IF(InpPerformance!BL$50&lt;&gt;"",InpPerformance!BL$50,"")</f>
        <v/>
      </c>
      <c r="BM27" s="596" t="str">
        <f>IF(InpPerformance!BM$50&lt;&gt;"",InpPerformance!BM$50,"")</f>
        <v/>
      </c>
      <c r="BN27" s="596" t="str">
        <f>IF(InpPerformance!BN$50&lt;&gt;"",InpPerformance!BN$50,"")</f>
        <v/>
      </c>
      <c r="BO27" s="596" t="str">
        <f>IF(InpPerformance!BO$50&lt;&gt;"",InpPerformance!BO$50,"")</f>
        <v/>
      </c>
      <c r="BP27" s="596" t="str">
        <f>IF(InpPerformance!BP$50&lt;&gt;"",InpPerformance!BP$50,"")</f>
        <v/>
      </c>
      <c r="BQ27" s="596" t="str">
        <f>IF(InpPerformance!BQ$50&lt;&gt;"",InpPerformance!BQ$50,"")</f>
        <v/>
      </c>
      <c r="BR27" s="596" t="str">
        <f>IF(InpPerformance!BR$50&lt;&gt;"",InpPerformance!BR$50,"")</f>
        <v/>
      </c>
      <c r="BS27" s="596" t="str">
        <f>IF(InpPerformance!BS$50&lt;&gt;"",InpPerformance!BS$50,"")</f>
        <v/>
      </c>
    </row>
    <row r="28" spans="1:71" s="202" customFormat="1" ht="11.25" customHeight="1">
      <c r="A28" s="453"/>
      <c r="B28" s="453"/>
      <c r="C28" s="453"/>
      <c r="D28" s="453"/>
      <c r="E28" s="453"/>
      <c r="F28" s="453"/>
      <c r="G28" s="453"/>
      <c r="H28" s="453"/>
      <c r="I28" s="453"/>
      <c r="J28" s="523"/>
      <c r="K28" s="523"/>
      <c r="L28" s="523"/>
      <c r="M28" s="523"/>
      <c r="N28" s="523"/>
      <c r="O28" s="523"/>
      <c r="P28" s="523"/>
      <c r="Q28" s="524"/>
      <c r="R28" s="523"/>
      <c r="S28" s="523"/>
      <c r="T28" s="523"/>
      <c r="U28" s="523"/>
      <c r="V28" s="523"/>
      <c r="W28" s="523"/>
      <c r="X28" s="523"/>
      <c r="Y28" s="523"/>
      <c r="Z28" s="523"/>
      <c r="AA28" s="523"/>
      <c r="AB28" s="523"/>
      <c r="AC28" s="523"/>
      <c r="AD28" s="523"/>
      <c r="AE28" s="523"/>
      <c r="AF28" s="523"/>
      <c r="AG28" s="523"/>
      <c r="AH28" s="523"/>
      <c r="AI28" s="523"/>
      <c r="AJ28" s="523"/>
      <c r="AK28" s="524"/>
      <c r="AL28" s="523"/>
      <c r="AM28" s="523"/>
      <c r="AN28" s="523"/>
      <c r="AO28" s="524"/>
      <c r="AP28" s="523"/>
      <c r="AQ28" s="523"/>
      <c r="AR28" s="523"/>
      <c r="AS28" s="523"/>
      <c r="AT28" s="523"/>
      <c r="AU28" s="523"/>
      <c r="AV28" s="523"/>
      <c r="AW28" s="523"/>
      <c r="AX28" s="523"/>
      <c r="AY28" s="523"/>
      <c r="AZ28" s="523"/>
      <c r="BA28" s="523"/>
      <c r="BB28" s="523"/>
      <c r="BC28" s="524"/>
      <c r="BD28" s="523"/>
      <c r="BE28" s="523"/>
      <c r="BF28" s="523"/>
      <c r="BG28" s="523"/>
      <c r="BH28" s="523"/>
      <c r="BI28" s="523"/>
      <c r="BJ28" s="523"/>
      <c r="BK28" s="523"/>
      <c r="BL28" s="523"/>
      <c r="BM28" s="523"/>
      <c r="BN28" s="523"/>
      <c r="BO28" s="523"/>
      <c r="BP28" s="523"/>
      <c r="BQ28" s="523"/>
      <c r="BR28" s="523"/>
      <c r="BS28" s="523"/>
    </row>
    <row r="29" spans="1:71" s="202" customFormat="1" ht="13.15">
      <c r="A29" s="453"/>
      <c r="B29" s="453"/>
      <c r="C29" s="463" t="s">
        <v>1202</v>
      </c>
      <c r="D29" s="453"/>
      <c r="E29" s="453"/>
      <c r="F29" s="453"/>
      <c r="G29" s="453"/>
      <c r="H29" s="453"/>
      <c r="I29" s="453"/>
      <c r="J29" s="523"/>
      <c r="K29" s="523"/>
      <c r="L29" s="523"/>
      <c r="M29" s="523"/>
      <c r="N29" s="523"/>
      <c r="O29" s="523"/>
      <c r="P29" s="523"/>
      <c r="Q29" s="524"/>
      <c r="R29" s="523"/>
      <c r="S29" s="523"/>
      <c r="T29" s="523"/>
      <c r="U29" s="523"/>
      <c r="V29" s="523"/>
      <c r="W29" s="523"/>
      <c r="X29" s="523"/>
      <c r="Y29" s="523"/>
      <c r="Z29" s="523"/>
      <c r="AA29" s="523"/>
      <c r="AB29" s="523"/>
      <c r="AC29" s="523"/>
      <c r="AD29" s="523"/>
      <c r="AE29" s="523"/>
      <c r="AF29" s="523"/>
      <c r="AG29" s="523"/>
      <c r="AH29" s="523"/>
      <c r="AI29" s="523"/>
      <c r="AJ29" s="523"/>
      <c r="AK29" s="524"/>
      <c r="AL29" s="523"/>
      <c r="AM29" s="523"/>
      <c r="AN29" s="523"/>
      <c r="AO29" s="524"/>
      <c r="AP29" s="523"/>
      <c r="AQ29" s="523"/>
      <c r="AR29" s="523"/>
      <c r="AS29" s="523"/>
      <c r="AT29" s="523"/>
      <c r="AU29" s="523"/>
      <c r="AV29" s="523"/>
      <c r="AW29" s="523"/>
      <c r="AX29" s="523"/>
      <c r="AY29" s="523"/>
      <c r="AZ29" s="523"/>
      <c r="BA29" s="523"/>
      <c r="BB29" s="523"/>
      <c r="BC29" s="524"/>
      <c r="BD29" s="523"/>
      <c r="BE29" s="523"/>
      <c r="BF29" s="523"/>
      <c r="BG29" s="523"/>
      <c r="BH29" s="523"/>
      <c r="BI29" s="523"/>
      <c r="BJ29" s="523"/>
      <c r="BK29" s="523"/>
      <c r="BL29" s="523"/>
      <c r="BM29" s="523"/>
      <c r="BN29" s="523"/>
      <c r="BO29" s="523"/>
      <c r="BP29" s="523"/>
      <c r="BQ29" s="523"/>
      <c r="BR29" s="523"/>
      <c r="BS29" s="523"/>
    </row>
    <row r="30" spans="1:71" s="202" customFormat="1" ht="13.15">
      <c r="A30" s="453"/>
      <c r="B30" s="453"/>
      <c r="C30" s="453"/>
      <c r="D30" s="453"/>
      <c r="E30" s="453" t="s">
        <v>1203</v>
      </c>
      <c r="F30" s="453"/>
      <c r="G30" s="453" t="s">
        <v>418</v>
      </c>
      <c r="H30" s="453"/>
      <c r="I30" s="453"/>
      <c r="J30" s="523" t="b">
        <f>IF(J26&lt;&gt;"",TRUE,FALSE)</f>
        <v>1</v>
      </c>
      <c r="K30" s="523" t="b">
        <f t="shared" ref="K30:BS30" si="4">IF(K26&lt;&gt;"",TRUE,FALSE)</f>
        <v>1</v>
      </c>
      <c r="L30" s="523" t="b">
        <f t="shared" si="4"/>
        <v>1</v>
      </c>
      <c r="M30" s="523" t="b">
        <f>IF(M26&lt;&gt;"",TRUE,FALSE)</f>
        <v>0</v>
      </c>
      <c r="N30" s="523" t="b">
        <f t="shared" si="4"/>
        <v>1</v>
      </c>
      <c r="O30" s="523" t="b">
        <f>IF(O26&lt;&gt;"",TRUE,FALSE)</f>
        <v>0</v>
      </c>
      <c r="P30" s="523" t="b">
        <f t="shared" si="4"/>
        <v>1</v>
      </c>
      <c r="Q30" s="524" t="b">
        <f t="shared" si="4"/>
        <v>0</v>
      </c>
      <c r="R30" s="523" t="b">
        <f t="shared" si="4"/>
        <v>1</v>
      </c>
      <c r="S30" s="523" t="b">
        <f t="shared" si="4"/>
        <v>1</v>
      </c>
      <c r="T30" s="523" t="b">
        <f t="shared" si="4"/>
        <v>1</v>
      </c>
      <c r="U30" s="523" t="b">
        <f t="shared" si="4"/>
        <v>1</v>
      </c>
      <c r="V30" s="523" t="b">
        <f t="shared" si="4"/>
        <v>1</v>
      </c>
      <c r="W30" s="523" t="b">
        <f t="shared" si="4"/>
        <v>1</v>
      </c>
      <c r="X30" s="523" t="b">
        <f t="shared" si="4"/>
        <v>0</v>
      </c>
      <c r="Y30" s="523" t="b">
        <f t="shared" si="4"/>
        <v>0</v>
      </c>
      <c r="Z30" s="523" t="b">
        <f t="shared" si="4"/>
        <v>0</v>
      </c>
      <c r="AA30" s="523" t="b">
        <f t="shared" si="4"/>
        <v>0</v>
      </c>
      <c r="AB30" s="523" t="b">
        <f t="shared" si="4"/>
        <v>0</v>
      </c>
      <c r="AC30" s="523" t="b">
        <f t="shared" si="4"/>
        <v>0</v>
      </c>
      <c r="AD30" s="523" t="b">
        <f t="shared" si="4"/>
        <v>0</v>
      </c>
      <c r="AE30" s="523" t="b">
        <f t="shared" si="4"/>
        <v>0</v>
      </c>
      <c r="AF30" s="523" t="b">
        <f t="shared" si="4"/>
        <v>0</v>
      </c>
      <c r="AG30" s="523" t="b">
        <f t="shared" si="4"/>
        <v>0</v>
      </c>
      <c r="AH30" s="523" t="b">
        <f t="shared" si="4"/>
        <v>0</v>
      </c>
      <c r="AI30" s="523" t="b">
        <f t="shared" si="4"/>
        <v>0</v>
      </c>
      <c r="AJ30" s="523" t="b">
        <f t="shared" si="4"/>
        <v>0</v>
      </c>
      <c r="AK30" s="524" t="b">
        <f t="shared" si="4"/>
        <v>0</v>
      </c>
      <c r="AL30" s="523" t="b">
        <f t="shared" si="4"/>
        <v>1</v>
      </c>
      <c r="AM30" s="523" t="b">
        <f t="shared" si="4"/>
        <v>1</v>
      </c>
      <c r="AN30" s="523" t="b">
        <f t="shared" si="4"/>
        <v>0</v>
      </c>
      <c r="AO30" s="524" t="b">
        <f t="shared" si="4"/>
        <v>0</v>
      </c>
      <c r="AP30" s="523" t="b">
        <f t="shared" si="4"/>
        <v>1</v>
      </c>
      <c r="AQ30" s="523" t="b">
        <f t="shared" si="4"/>
        <v>1</v>
      </c>
      <c r="AR30" s="523" t="b">
        <f t="shared" si="4"/>
        <v>0</v>
      </c>
      <c r="AS30" s="523" t="b">
        <f t="shared" si="4"/>
        <v>0</v>
      </c>
      <c r="AT30" s="523" t="b">
        <f t="shared" si="4"/>
        <v>0</v>
      </c>
      <c r="AU30" s="523" t="b">
        <f t="shared" si="4"/>
        <v>1</v>
      </c>
      <c r="AV30" s="523" t="b">
        <f t="shared" si="4"/>
        <v>1</v>
      </c>
      <c r="AW30" s="523" t="b">
        <f t="shared" si="4"/>
        <v>1</v>
      </c>
      <c r="AX30" s="523" t="b">
        <f t="shared" si="4"/>
        <v>1</v>
      </c>
      <c r="AY30" s="523" t="b">
        <f t="shared" si="4"/>
        <v>0</v>
      </c>
      <c r="AZ30" s="523" t="b">
        <f t="shared" si="4"/>
        <v>0</v>
      </c>
      <c r="BA30" s="523" t="b">
        <f t="shared" si="4"/>
        <v>0</v>
      </c>
      <c r="BB30" s="523" t="b">
        <f t="shared" si="4"/>
        <v>0</v>
      </c>
      <c r="BC30" s="524" t="b">
        <f t="shared" si="4"/>
        <v>0</v>
      </c>
      <c r="BD30" s="523" t="b">
        <f t="shared" si="4"/>
        <v>0</v>
      </c>
      <c r="BE30" s="523" t="b">
        <f t="shared" si="4"/>
        <v>0</v>
      </c>
      <c r="BF30" s="523" t="b">
        <f>IF(BF26&lt;&gt;"",TRUE,FALSE)</f>
        <v>0</v>
      </c>
      <c r="BG30" s="523" t="b">
        <f>IF(BG26&lt;&gt;"",TRUE,FALSE)</f>
        <v>0</v>
      </c>
      <c r="BH30" s="523" t="b">
        <f t="shared" si="4"/>
        <v>0</v>
      </c>
      <c r="BI30" s="523" t="b">
        <f t="shared" si="4"/>
        <v>0</v>
      </c>
      <c r="BJ30" s="523" t="b">
        <f t="shared" si="4"/>
        <v>0</v>
      </c>
      <c r="BK30" s="523" t="b">
        <f t="shared" si="4"/>
        <v>0</v>
      </c>
      <c r="BL30" s="523" t="b">
        <f t="shared" si="4"/>
        <v>0</v>
      </c>
      <c r="BM30" s="523" t="b">
        <f t="shared" si="4"/>
        <v>0</v>
      </c>
      <c r="BN30" s="523" t="b">
        <f t="shared" si="4"/>
        <v>0</v>
      </c>
      <c r="BO30" s="523" t="b">
        <f t="shared" si="4"/>
        <v>0</v>
      </c>
      <c r="BP30" s="523" t="b">
        <f t="shared" si="4"/>
        <v>0</v>
      </c>
      <c r="BQ30" s="523" t="b">
        <f t="shared" si="4"/>
        <v>0</v>
      </c>
      <c r="BR30" s="523" t="b">
        <f t="shared" si="4"/>
        <v>0</v>
      </c>
      <c r="BS30" s="523" t="b">
        <f t="shared" si="4"/>
        <v>0</v>
      </c>
    </row>
    <row r="31" spans="1:71" s="202" customFormat="1" ht="13.15">
      <c r="A31" s="453"/>
      <c r="B31" s="453"/>
      <c r="C31" s="453"/>
      <c r="D31" s="453"/>
      <c r="E31" s="453" t="s">
        <v>1204</v>
      </c>
      <c r="F31" s="453"/>
      <c r="G31" s="453" t="s">
        <v>418</v>
      </c>
      <c r="H31" s="453"/>
      <c r="I31" s="453"/>
      <c r="J31" s="511" t="b">
        <f t="shared" ref="J31:BS31" si="5">IF(J30=TRUE,IF(((J$17-J$22)*J$14)&gt;0,TRUE,FALSE),FALSE)</f>
        <v>0</v>
      </c>
      <c r="K31" s="511" t="b">
        <f t="shared" si="5"/>
        <v>0</v>
      </c>
      <c r="L31" s="511" t="b">
        <f t="shared" si="5"/>
        <v>0</v>
      </c>
      <c r="M31" s="511" t="b">
        <f>IF(M30=TRUE,IF(((M$17-M$22)*M$14)&gt;0,TRUE,FALSE),FALSE)</f>
        <v>0</v>
      </c>
      <c r="N31" s="511" t="b">
        <f t="shared" si="5"/>
        <v>0</v>
      </c>
      <c r="O31" s="511" t="b">
        <f>IF(O30=TRUE,IF(((O$17-O$22)*O$14)&gt;0,TRUE,FALSE),FALSE)</f>
        <v>0</v>
      </c>
      <c r="P31" s="511" t="b">
        <f t="shared" si="5"/>
        <v>0</v>
      </c>
      <c r="Q31" s="512" t="b">
        <f t="shared" si="5"/>
        <v>0</v>
      </c>
      <c r="R31" s="511" t="b">
        <f t="shared" si="5"/>
        <v>0</v>
      </c>
      <c r="S31" s="511" t="b">
        <f t="shared" si="5"/>
        <v>0</v>
      </c>
      <c r="T31" s="511" t="b">
        <f t="shared" si="5"/>
        <v>1</v>
      </c>
      <c r="U31" s="511" t="b">
        <f t="shared" si="5"/>
        <v>0</v>
      </c>
      <c r="V31" s="511" t="b">
        <f t="shared" si="5"/>
        <v>0</v>
      </c>
      <c r="W31" s="511" t="b">
        <f t="shared" si="5"/>
        <v>0</v>
      </c>
      <c r="X31" s="511" t="b">
        <f t="shared" si="5"/>
        <v>0</v>
      </c>
      <c r="Y31" s="511" t="b">
        <f t="shared" si="5"/>
        <v>0</v>
      </c>
      <c r="Z31" s="511" t="b">
        <f t="shared" si="5"/>
        <v>0</v>
      </c>
      <c r="AA31" s="511" t="b">
        <f t="shared" si="5"/>
        <v>0</v>
      </c>
      <c r="AB31" s="511" t="b">
        <f t="shared" si="5"/>
        <v>0</v>
      </c>
      <c r="AC31" s="511" t="b">
        <f t="shared" si="5"/>
        <v>0</v>
      </c>
      <c r="AD31" s="511" t="b">
        <f t="shared" si="5"/>
        <v>0</v>
      </c>
      <c r="AE31" s="511" t="b">
        <f t="shared" si="5"/>
        <v>0</v>
      </c>
      <c r="AF31" s="511" t="b">
        <f t="shared" si="5"/>
        <v>0</v>
      </c>
      <c r="AG31" s="511" t="b">
        <f t="shared" si="5"/>
        <v>0</v>
      </c>
      <c r="AH31" s="511" t="b">
        <f t="shared" si="5"/>
        <v>0</v>
      </c>
      <c r="AI31" s="511" t="b">
        <f t="shared" si="5"/>
        <v>0</v>
      </c>
      <c r="AJ31" s="511" t="b">
        <f t="shared" si="5"/>
        <v>0</v>
      </c>
      <c r="AK31" s="512" t="b">
        <f t="shared" si="5"/>
        <v>0</v>
      </c>
      <c r="AL31" s="511" t="b">
        <f t="shared" si="5"/>
        <v>0</v>
      </c>
      <c r="AM31" s="511" t="b">
        <f t="shared" si="5"/>
        <v>0</v>
      </c>
      <c r="AN31" s="511" t="b">
        <f t="shared" si="5"/>
        <v>0</v>
      </c>
      <c r="AO31" s="512" t="b">
        <f t="shared" si="5"/>
        <v>0</v>
      </c>
      <c r="AP31" s="511" t="b">
        <f t="shared" si="5"/>
        <v>1</v>
      </c>
      <c r="AQ31" s="511" t="b">
        <f t="shared" si="5"/>
        <v>0</v>
      </c>
      <c r="AR31" s="511" t="b">
        <f t="shared" si="5"/>
        <v>0</v>
      </c>
      <c r="AS31" s="511" t="b">
        <f t="shared" si="5"/>
        <v>0</v>
      </c>
      <c r="AT31" s="511" t="b">
        <f t="shared" si="5"/>
        <v>0</v>
      </c>
      <c r="AU31" s="511" t="b">
        <f t="shared" si="5"/>
        <v>1</v>
      </c>
      <c r="AV31" s="511" t="b">
        <f t="shared" si="5"/>
        <v>1</v>
      </c>
      <c r="AW31" s="511" t="b">
        <f t="shared" si="5"/>
        <v>0</v>
      </c>
      <c r="AX31" s="511" t="b">
        <f t="shared" si="5"/>
        <v>1</v>
      </c>
      <c r="AY31" s="511" t="b">
        <f t="shared" si="5"/>
        <v>0</v>
      </c>
      <c r="AZ31" s="511" t="b">
        <f t="shared" si="5"/>
        <v>0</v>
      </c>
      <c r="BA31" s="511" t="b">
        <f t="shared" si="5"/>
        <v>0</v>
      </c>
      <c r="BB31" s="511" t="b">
        <f t="shared" si="5"/>
        <v>0</v>
      </c>
      <c r="BC31" s="512" t="b">
        <f t="shared" si="5"/>
        <v>0</v>
      </c>
      <c r="BD31" s="511" t="b">
        <f t="shared" si="5"/>
        <v>0</v>
      </c>
      <c r="BE31" s="511" t="b">
        <f t="shared" si="5"/>
        <v>0</v>
      </c>
      <c r="BF31" s="511" t="b">
        <f>IF(BF30=TRUE,IF(((BF$17-BF$22)*BF$14)&gt;0,TRUE,FALSE),FALSE)</f>
        <v>0</v>
      </c>
      <c r="BG31" s="511" t="b">
        <f>IF(BG30=TRUE,IF(((BG$17-BG$22)*BG$14)&gt;0,TRUE,FALSE),FALSE)</f>
        <v>0</v>
      </c>
      <c r="BH31" s="511" t="b">
        <f t="shared" si="5"/>
        <v>0</v>
      </c>
      <c r="BI31" s="511" t="b">
        <f t="shared" si="5"/>
        <v>0</v>
      </c>
      <c r="BJ31" s="511" t="b">
        <f t="shared" si="5"/>
        <v>0</v>
      </c>
      <c r="BK31" s="511" t="b">
        <f t="shared" si="5"/>
        <v>0</v>
      </c>
      <c r="BL31" s="511" t="b">
        <f t="shared" si="5"/>
        <v>0</v>
      </c>
      <c r="BM31" s="511" t="b">
        <f t="shared" si="5"/>
        <v>0</v>
      </c>
      <c r="BN31" s="511" t="b">
        <f t="shared" si="5"/>
        <v>0</v>
      </c>
      <c r="BO31" s="511" t="b">
        <f t="shared" si="5"/>
        <v>0</v>
      </c>
      <c r="BP31" s="511" t="b">
        <f t="shared" si="5"/>
        <v>0</v>
      </c>
      <c r="BQ31" s="511" t="b">
        <f t="shared" si="5"/>
        <v>0</v>
      </c>
      <c r="BR31" s="511" t="b">
        <f t="shared" si="5"/>
        <v>0</v>
      </c>
      <c r="BS31" s="511" t="b">
        <f t="shared" si="5"/>
        <v>0</v>
      </c>
    </row>
    <row r="32" spans="1:71" s="202" customFormat="1" ht="13.15">
      <c r="A32" s="453"/>
      <c r="B32" s="453"/>
      <c r="C32" s="453"/>
      <c r="D32" s="453"/>
      <c r="E32" s="453" t="s">
        <v>1205</v>
      </c>
      <c r="F32" s="453"/>
      <c r="G32" s="453" t="s">
        <v>418</v>
      </c>
      <c r="H32" s="453"/>
      <c r="I32" s="453"/>
      <c r="J32" s="511" t="b">
        <f>IF(J31=TRUE,IF(J21="",TRUE,ABS(J17-J22)&gt;ABS(J21-J22)),FALSE)</f>
        <v>0</v>
      </c>
      <c r="K32" s="511" t="b">
        <f t="shared" ref="K32:BS32" si="6">IF(K31=TRUE,IF(K21="",TRUE,ABS(K17-K22)&gt;ABS(K21-K22)),FALSE)</f>
        <v>0</v>
      </c>
      <c r="L32" s="511" t="b">
        <f t="shared" si="6"/>
        <v>0</v>
      </c>
      <c r="M32" s="511" t="b">
        <f>IF(M31=TRUE,IF(M21="",TRUE,ABS(M17-M22)&gt;ABS(M21-M22)),FALSE)</f>
        <v>0</v>
      </c>
      <c r="N32" s="511" t="b">
        <f t="shared" si="6"/>
        <v>0</v>
      </c>
      <c r="O32" s="511" t="b">
        <f>IF(O31=TRUE,IF(O21="",TRUE,ABS(O17-O22)&gt;ABS(O21-O22)),FALSE)</f>
        <v>0</v>
      </c>
      <c r="P32" s="511" t="b">
        <f t="shared" si="6"/>
        <v>0</v>
      </c>
      <c r="Q32" s="512" t="b">
        <f t="shared" si="6"/>
        <v>0</v>
      </c>
      <c r="R32" s="511" t="b">
        <f t="shared" si="6"/>
        <v>0</v>
      </c>
      <c r="S32" s="511" t="b">
        <f t="shared" si="6"/>
        <v>0</v>
      </c>
      <c r="T32" s="511" t="b">
        <f t="shared" si="6"/>
        <v>1</v>
      </c>
      <c r="U32" s="511" t="b">
        <f t="shared" si="6"/>
        <v>0</v>
      </c>
      <c r="V32" s="511" t="b">
        <f t="shared" si="6"/>
        <v>0</v>
      </c>
      <c r="W32" s="511" t="b">
        <f t="shared" si="6"/>
        <v>0</v>
      </c>
      <c r="X32" s="511" t="b">
        <f t="shared" si="6"/>
        <v>0</v>
      </c>
      <c r="Y32" s="511" t="b">
        <f t="shared" si="6"/>
        <v>0</v>
      </c>
      <c r="Z32" s="511" t="b">
        <f t="shared" si="6"/>
        <v>0</v>
      </c>
      <c r="AA32" s="511" t="b">
        <f t="shared" si="6"/>
        <v>0</v>
      </c>
      <c r="AB32" s="511" t="b">
        <f t="shared" si="6"/>
        <v>0</v>
      </c>
      <c r="AC32" s="511" t="b">
        <f t="shared" si="6"/>
        <v>0</v>
      </c>
      <c r="AD32" s="511" t="b">
        <f t="shared" si="6"/>
        <v>0</v>
      </c>
      <c r="AE32" s="511" t="b">
        <f t="shared" si="6"/>
        <v>0</v>
      </c>
      <c r="AF32" s="511" t="b">
        <f t="shared" si="6"/>
        <v>0</v>
      </c>
      <c r="AG32" s="511" t="b">
        <f t="shared" si="6"/>
        <v>0</v>
      </c>
      <c r="AH32" s="511" t="b">
        <f t="shared" si="6"/>
        <v>0</v>
      </c>
      <c r="AI32" s="511" t="b">
        <f t="shared" si="6"/>
        <v>0</v>
      </c>
      <c r="AJ32" s="511" t="b">
        <f t="shared" si="6"/>
        <v>0</v>
      </c>
      <c r="AK32" s="512" t="b">
        <f t="shared" si="6"/>
        <v>0</v>
      </c>
      <c r="AL32" s="511" t="b">
        <f t="shared" si="6"/>
        <v>0</v>
      </c>
      <c r="AM32" s="511" t="b">
        <f t="shared" si="6"/>
        <v>0</v>
      </c>
      <c r="AN32" s="511" t="b">
        <f t="shared" si="6"/>
        <v>0</v>
      </c>
      <c r="AO32" s="512" t="b">
        <f t="shared" si="6"/>
        <v>0</v>
      </c>
      <c r="AP32" s="511" t="b">
        <f t="shared" si="6"/>
        <v>1</v>
      </c>
      <c r="AQ32" s="511" t="b">
        <f t="shared" si="6"/>
        <v>0</v>
      </c>
      <c r="AR32" s="511" t="b">
        <f t="shared" si="6"/>
        <v>0</v>
      </c>
      <c r="AS32" s="511" t="b">
        <f t="shared" si="6"/>
        <v>0</v>
      </c>
      <c r="AT32" s="511" t="b">
        <f t="shared" si="6"/>
        <v>0</v>
      </c>
      <c r="AU32" s="511" t="b">
        <f t="shared" si="6"/>
        <v>1</v>
      </c>
      <c r="AV32" s="511" t="b">
        <f t="shared" si="6"/>
        <v>1</v>
      </c>
      <c r="AW32" s="511" t="b">
        <f t="shared" si="6"/>
        <v>0</v>
      </c>
      <c r="AX32" s="511" t="b">
        <f t="shared" si="6"/>
        <v>1</v>
      </c>
      <c r="AY32" s="511" t="b">
        <f t="shared" si="6"/>
        <v>0</v>
      </c>
      <c r="AZ32" s="511" t="b">
        <f t="shared" si="6"/>
        <v>0</v>
      </c>
      <c r="BA32" s="511" t="b">
        <f t="shared" si="6"/>
        <v>0</v>
      </c>
      <c r="BB32" s="511" t="b">
        <f t="shared" si="6"/>
        <v>0</v>
      </c>
      <c r="BC32" s="512" t="b">
        <f t="shared" si="6"/>
        <v>0</v>
      </c>
      <c r="BD32" s="511" t="b">
        <f t="shared" si="6"/>
        <v>0</v>
      </c>
      <c r="BE32" s="511" t="b">
        <f t="shared" si="6"/>
        <v>0</v>
      </c>
      <c r="BF32" s="511" t="b">
        <f>IF(BF31=TRUE,IF(BF21="",TRUE,ABS(BF17-BF22)&gt;ABS(BF21-BF22)),FALSE)</f>
        <v>0</v>
      </c>
      <c r="BG32" s="511" t="b">
        <f>IF(BG31=TRUE,IF(BG21="",TRUE,ABS(BG17-BG22)&gt;ABS(BG21-BG22)),FALSE)</f>
        <v>0</v>
      </c>
      <c r="BH32" s="511" t="b">
        <f t="shared" si="6"/>
        <v>0</v>
      </c>
      <c r="BI32" s="511" t="b">
        <f t="shared" si="6"/>
        <v>0</v>
      </c>
      <c r="BJ32" s="511" t="b">
        <f t="shared" si="6"/>
        <v>0</v>
      </c>
      <c r="BK32" s="511" t="b">
        <f t="shared" si="6"/>
        <v>0</v>
      </c>
      <c r="BL32" s="511" t="b">
        <f t="shared" si="6"/>
        <v>0</v>
      </c>
      <c r="BM32" s="511" t="b">
        <f t="shared" si="6"/>
        <v>0</v>
      </c>
      <c r="BN32" s="511" t="b">
        <f t="shared" si="6"/>
        <v>0</v>
      </c>
      <c r="BO32" s="511" t="b">
        <f t="shared" si="6"/>
        <v>0</v>
      </c>
      <c r="BP32" s="511" t="b">
        <f t="shared" si="6"/>
        <v>0</v>
      </c>
      <c r="BQ32" s="511" t="b">
        <f t="shared" si="6"/>
        <v>0</v>
      </c>
      <c r="BR32" s="511" t="b">
        <f t="shared" si="6"/>
        <v>0</v>
      </c>
      <c r="BS32" s="511" t="b">
        <f t="shared" si="6"/>
        <v>0</v>
      </c>
    </row>
    <row r="33" spans="1:71" s="202" customFormat="1" ht="13.15">
      <c r="A33" s="453"/>
      <c r="B33" s="453"/>
      <c r="C33" s="453"/>
      <c r="D33" s="453"/>
      <c r="E33" s="453" t="s">
        <v>1206</v>
      </c>
      <c r="F33" s="453"/>
      <c r="G33" s="453" t="str">
        <f>G7</f>
        <v>Performance commitment unit</v>
      </c>
      <c r="H33" s="453"/>
      <c r="I33" s="453"/>
      <c r="J33" s="492" t="str">
        <f t="shared" ref="J33:BS33" si="7">IF(J32=TRUE,IF(J$14&gt;0,MIN(J$17,J20),MAX(J$17,J20)),"")</f>
        <v/>
      </c>
      <c r="K33" s="492" t="str">
        <f t="shared" si="7"/>
        <v/>
      </c>
      <c r="L33" s="492" t="str">
        <f t="shared" si="7"/>
        <v/>
      </c>
      <c r="M33" s="492" t="str">
        <f>IF(M32=TRUE,IF(M$14&gt;0,MIN(M$17,M20),MAX(M$17,M20)),"")</f>
        <v/>
      </c>
      <c r="N33" s="492" t="str">
        <f t="shared" si="7"/>
        <v/>
      </c>
      <c r="O33" s="492" t="str">
        <f>IF(O32=TRUE,IF(O$14&gt;0,MIN(O$17,O20),MAX(O$17,O20)),"")</f>
        <v/>
      </c>
      <c r="P33" s="492" t="str">
        <f t="shared" si="7"/>
        <v/>
      </c>
      <c r="Q33" s="493" t="str">
        <f t="shared" si="7"/>
        <v/>
      </c>
      <c r="R33" s="492" t="str">
        <f t="shared" si="7"/>
        <v/>
      </c>
      <c r="S33" s="492" t="str">
        <f t="shared" si="7"/>
        <v/>
      </c>
      <c r="T33" s="492">
        <f t="shared" si="7"/>
        <v>-16</v>
      </c>
      <c r="U33" s="492" t="str">
        <f t="shared" si="7"/>
        <v/>
      </c>
      <c r="V33" s="492" t="str">
        <f t="shared" si="7"/>
        <v/>
      </c>
      <c r="W33" s="492" t="str">
        <f t="shared" si="7"/>
        <v/>
      </c>
      <c r="X33" s="492" t="str">
        <f t="shared" si="7"/>
        <v/>
      </c>
      <c r="Y33" s="492" t="str">
        <f t="shared" si="7"/>
        <v/>
      </c>
      <c r="Z33" s="492" t="str">
        <f t="shared" si="7"/>
        <v/>
      </c>
      <c r="AA33" s="492" t="str">
        <f t="shared" si="7"/>
        <v/>
      </c>
      <c r="AB33" s="492" t="str">
        <f t="shared" si="7"/>
        <v/>
      </c>
      <c r="AC33" s="492" t="str">
        <f t="shared" si="7"/>
        <v/>
      </c>
      <c r="AD33" s="492" t="str">
        <f t="shared" si="7"/>
        <v/>
      </c>
      <c r="AE33" s="492" t="str">
        <f t="shared" si="7"/>
        <v/>
      </c>
      <c r="AF33" s="492" t="str">
        <f t="shared" si="7"/>
        <v/>
      </c>
      <c r="AG33" s="492" t="str">
        <f t="shared" si="7"/>
        <v/>
      </c>
      <c r="AH33" s="492" t="str">
        <f t="shared" si="7"/>
        <v/>
      </c>
      <c r="AI33" s="492" t="str">
        <f t="shared" si="7"/>
        <v/>
      </c>
      <c r="AJ33" s="492" t="str">
        <f t="shared" si="7"/>
        <v/>
      </c>
      <c r="AK33" s="493" t="str">
        <f t="shared" si="7"/>
        <v/>
      </c>
      <c r="AL33" s="492" t="str">
        <f t="shared" si="7"/>
        <v/>
      </c>
      <c r="AM33" s="492" t="str">
        <f t="shared" si="7"/>
        <v/>
      </c>
      <c r="AN33" s="492" t="str">
        <f t="shared" si="7"/>
        <v/>
      </c>
      <c r="AO33" s="493" t="str">
        <f t="shared" si="7"/>
        <v/>
      </c>
      <c r="AP33" s="492">
        <f t="shared" si="7"/>
        <v>79</v>
      </c>
      <c r="AQ33" s="492" t="str">
        <f t="shared" si="7"/>
        <v/>
      </c>
      <c r="AR33" s="492" t="str">
        <f t="shared" si="7"/>
        <v/>
      </c>
      <c r="AS33" s="492" t="str">
        <f t="shared" si="7"/>
        <v/>
      </c>
      <c r="AT33" s="492" t="str">
        <f t="shared" si="7"/>
        <v/>
      </c>
      <c r="AU33" s="492">
        <f t="shared" si="7"/>
        <v>4</v>
      </c>
      <c r="AV33" s="492">
        <f t="shared" si="7"/>
        <v>4</v>
      </c>
      <c r="AW33" s="492" t="str">
        <f t="shared" si="7"/>
        <v/>
      </c>
      <c r="AX33" s="492">
        <f t="shared" si="7"/>
        <v>3348</v>
      </c>
      <c r="AY33" s="492" t="str">
        <f t="shared" si="7"/>
        <v/>
      </c>
      <c r="AZ33" s="492" t="str">
        <f t="shared" si="7"/>
        <v/>
      </c>
      <c r="BA33" s="492" t="str">
        <f t="shared" si="7"/>
        <v/>
      </c>
      <c r="BB33" s="492" t="str">
        <f t="shared" si="7"/>
        <v/>
      </c>
      <c r="BC33" s="493" t="str">
        <f t="shared" si="7"/>
        <v/>
      </c>
      <c r="BD33" s="492" t="str">
        <f t="shared" si="7"/>
        <v/>
      </c>
      <c r="BE33" s="492" t="str">
        <f t="shared" si="7"/>
        <v/>
      </c>
      <c r="BF33" s="492" t="str">
        <f>IF(BF32=TRUE,IF(BF$14&gt;0,MIN(BF$17,BF20),MAX(BF$17,BF20)),"")</f>
        <v/>
      </c>
      <c r="BG33" s="492" t="str">
        <f>IF(BG32=TRUE,IF(BG$14&gt;0,MIN(BG$17,BG20),MAX(BG$17,BG20)),"")</f>
        <v/>
      </c>
      <c r="BH33" s="492" t="str">
        <f t="shared" si="7"/>
        <v/>
      </c>
      <c r="BI33" s="492" t="str">
        <f t="shared" si="7"/>
        <v/>
      </c>
      <c r="BJ33" s="492" t="str">
        <f t="shared" si="7"/>
        <v/>
      </c>
      <c r="BK33" s="492" t="str">
        <f t="shared" si="7"/>
        <v/>
      </c>
      <c r="BL33" s="492" t="str">
        <f t="shared" si="7"/>
        <v/>
      </c>
      <c r="BM33" s="492" t="str">
        <f t="shared" si="7"/>
        <v/>
      </c>
      <c r="BN33" s="492" t="str">
        <f t="shared" si="7"/>
        <v/>
      </c>
      <c r="BO33" s="492" t="str">
        <f t="shared" si="7"/>
        <v/>
      </c>
      <c r="BP33" s="492" t="str">
        <f t="shared" si="7"/>
        <v/>
      </c>
      <c r="BQ33" s="492" t="str">
        <f t="shared" si="7"/>
        <v/>
      </c>
      <c r="BR33" s="492" t="str">
        <f t="shared" si="7"/>
        <v/>
      </c>
      <c r="BS33" s="492" t="str">
        <f t="shared" si="7"/>
        <v/>
      </c>
    </row>
    <row r="34" spans="1:71" s="202" customFormat="1" ht="13.15">
      <c r="A34" s="453"/>
      <c r="B34" s="453"/>
      <c r="C34" s="453"/>
      <c r="D34" s="453"/>
      <c r="E34" s="453" t="s">
        <v>1207</v>
      </c>
      <c r="F34" s="453"/>
      <c r="G34" s="453" t="str">
        <f>G7</f>
        <v>Performance commitment unit</v>
      </c>
      <c r="H34" s="453"/>
      <c r="I34" s="453"/>
      <c r="J34" s="492" t="str">
        <f>IF(J32=TRUE,ABS(IF(J21&lt;&gt;"",J21,J22)-J33),"")</f>
        <v/>
      </c>
      <c r="K34" s="492" t="str">
        <f t="shared" ref="K34:BS34" si="8">IF(K32=TRUE,ABS(IF(K21&lt;&gt;"",K21,K22)-K33),"")</f>
        <v/>
      </c>
      <c r="L34" s="492" t="str">
        <f t="shared" si="8"/>
        <v/>
      </c>
      <c r="M34" s="492" t="str">
        <f>IF(M32=TRUE,ABS(IF(M21&lt;&gt;"",M21,M22)-M33),"")</f>
        <v/>
      </c>
      <c r="N34" s="492" t="str">
        <f t="shared" si="8"/>
        <v/>
      </c>
      <c r="O34" s="492" t="str">
        <f>IF(O32=TRUE,ABS(IF(O21&lt;&gt;"",O21,O22)-O33),"")</f>
        <v/>
      </c>
      <c r="P34" s="492" t="str">
        <f t="shared" si="8"/>
        <v/>
      </c>
      <c r="Q34" s="493" t="str">
        <f t="shared" si="8"/>
        <v/>
      </c>
      <c r="R34" s="492" t="str">
        <f t="shared" si="8"/>
        <v/>
      </c>
      <c r="S34" s="492" t="str">
        <f t="shared" si="8"/>
        <v/>
      </c>
      <c r="T34" s="492">
        <f t="shared" si="8"/>
        <v>1</v>
      </c>
      <c r="U34" s="492" t="str">
        <f t="shared" si="8"/>
        <v/>
      </c>
      <c r="V34" s="492" t="str">
        <f t="shared" si="8"/>
        <v/>
      </c>
      <c r="W34" s="492" t="str">
        <f t="shared" si="8"/>
        <v/>
      </c>
      <c r="X34" s="492" t="str">
        <f t="shared" si="8"/>
        <v/>
      </c>
      <c r="Y34" s="492" t="str">
        <f t="shared" si="8"/>
        <v/>
      </c>
      <c r="Z34" s="492" t="str">
        <f t="shared" si="8"/>
        <v/>
      </c>
      <c r="AA34" s="492" t="str">
        <f t="shared" si="8"/>
        <v/>
      </c>
      <c r="AB34" s="492" t="str">
        <f t="shared" si="8"/>
        <v/>
      </c>
      <c r="AC34" s="492" t="str">
        <f t="shared" si="8"/>
        <v/>
      </c>
      <c r="AD34" s="492" t="str">
        <f t="shared" si="8"/>
        <v/>
      </c>
      <c r="AE34" s="492" t="str">
        <f t="shared" si="8"/>
        <v/>
      </c>
      <c r="AF34" s="492" t="str">
        <f t="shared" si="8"/>
        <v/>
      </c>
      <c r="AG34" s="492" t="str">
        <f t="shared" si="8"/>
        <v/>
      </c>
      <c r="AH34" s="492" t="str">
        <f t="shared" si="8"/>
        <v/>
      </c>
      <c r="AI34" s="492" t="str">
        <f t="shared" si="8"/>
        <v/>
      </c>
      <c r="AJ34" s="492" t="str">
        <f t="shared" si="8"/>
        <v/>
      </c>
      <c r="AK34" s="493" t="str">
        <f t="shared" si="8"/>
        <v/>
      </c>
      <c r="AL34" s="492" t="str">
        <f t="shared" si="8"/>
        <v/>
      </c>
      <c r="AM34" s="492" t="str">
        <f t="shared" si="8"/>
        <v/>
      </c>
      <c r="AN34" s="492" t="str">
        <f t="shared" si="8"/>
        <v/>
      </c>
      <c r="AO34" s="493" t="str">
        <f t="shared" si="8"/>
        <v/>
      </c>
      <c r="AP34" s="492">
        <f t="shared" si="8"/>
        <v>79</v>
      </c>
      <c r="AQ34" s="492" t="str">
        <f t="shared" si="8"/>
        <v/>
      </c>
      <c r="AR34" s="492" t="str">
        <f t="shared" si="8"/>
        <v/>
      </c>
      <c r="AS34" s="492" t="str">
        <f t="shared" si="8"/>
        <v/>
      </c>
      <c r="AT34" s="492" t="str">
        <f t="shared" si="8"/>
        <v/>
      </c>
      <c r="AU34" s="492">
        <f t="shared" si="8"/>
        <v>2</v>
      </c>
      <c r="AV34" s="492">
        <f t="shared" si="8"/>
        <v>3</v>
      </c>
      <c r="AW34" s="492" t="str">
        <f t="shared" si="8"/>
        <v/>
      </c>
      <c r="AX34" s="492">
        <f t="shared" si="8"/>
        <v>354</v>
      </c>
      <c r="AY34" s="492" t="str">
        <f t="shared" si="8"/>
        <v/>
      </c>
      <c r="AZ34" s="492" t="str">
        <f t="shared" si="8"/>
        <v/>
      </c>
      <c r="BA34" s="492" t="str">
        <f t="shared" si="8"/>
        <v/>
      </c>
      <c r="BB34" s="492" t="str">
        <f t="shared" si="8"/>
        <v/>
      </c>
      <c r="BC34" s="493" t="str">
        <f t="shared" si="8"/>
        <v/>
      </c>
      <c r="BD34" s="492" t="str">
        <f t="shared" si="8"/>
        <v/>
      </c>
      <c r="BE34" s="492" t="str">
        <f t="shared" si="8"/>
        <v/>
      </c>
      <c r="BF34" s="492" t="str">
        <f>IF(BF32=TRUE,ABS(IF(BF21&lt;&gt;"",BF21,BF22)-BF33),"")</f>
        <v/>
      </c>
      <c r="BG34" s="492" t="str">
        <f>IF(BG32=TRUE,ABS(IF(BG21&lt;&gt;"",BG21,BG22)-BG33),"")</f>
        <v/>
      </c>
      <c r="BH34" s="492" t="str">
        <f t="shared" si="8"/>
        <v/>
      </c>
      <c r="BI34" s="492" t="str">
        <f t="shared" si="8"/>
        <v/>
      </c>
      <c r="BJ34" s="492" t="str">
        <f t="shared" si="8"/>
        <v/>
      </c>
      <c r="BK34" s="492" t="str">
        <f t="shared" si="8"/>
        <v/>
      </c>
      <c r="BL34" s="492" t="str">
        <f t="shared" si="8"/>
        <v/>
      </c>
      <c r="BM34" s="492" t="str">
        <f t="shared" si="8"/>
        <v/>
      </c>
      <c r="BN34" s="492" t="str">
        <f t="shared" si="8"/>
        <v/>
      </c>
      <c r="BO34" s="492" t="str">
        <f t="shared" si="8"/>
        <v/>
      </c>
      <c r="BP34" s="492" t="str">
        <f t="shared" si="8"/>
        <v/>
      </c>
      <c r="BQ34" s="492" t="str">
        <f t="shared" si="8"/>
        <v/>
      </c>
      <c r="BR34" s="492" t="str">
        <f t="shared" si="8"/>
        <v/>
      </c>
      <c r="BS34" s="492" t="str">
        <f t="shared" si="8"/>
        <v/>
      </c>
    </row>
    <row r="35" spans="1:71" s="202" customFormat="1" ht="13.15">
      <c r="A35" s="453"/>
      <c r="B35" s="453"/>
      <c r="C35" s="453"/>
      <c r="D35" s="453"/>
      <c r="E35" s="453"/>
      <c r="F35" s="453"/>
      <c r="G35" s="453"/>
      <c r="H35" s="453"/>
      <c r="I35" s="453"/>
      <c r="J35" s="598"/>
      <c r="K35" s="598"/>
      <c r="L35" s="598"/>
      <c r="M35" s="598"/>
      <c r="N35" s="598"/>
      <c r="O35" s="598"/>
      <c r="P35" s="598"/>
      <c r="Q35" s="599"/>
      <c r="R35" s="598"/>
      <c r="S35" s="598"/>
      <c r="T35" s="598"/>
      <c r="U35" s="598"/>
      <c r="V35" s="598"/>
      <c r="W35" s="598"/>
      <c r="X35" s="598"/>
      <c r="Y35" s="598"/>
      <c r="Z35" s="598"/>
      <c r="AA35" s="598"/>
      <c r="AB35" s="598"/>
      <c r="AC35" s="598"/>
      <c r="AD35" s="598"/>
      <c r="AE35" s="598"/>
      <c r="AF35" s="598"/>
      <c r="AG35" s="598"/>
      <c r="AH35" s="598"/>
      <c r="AI35" s="598"/>
      <c r="AJ35" s="598"/>
      <c r="AK35" s="599"/>
      <c r="AL35" s="598"/>
      <c r="AM35" s="598"/>
      <c r="AN35" s="598"/>
      <c r="AO35" s="599"/>
      <c r="AP35" s="598"/>
      <c r="AQ35" s="598"/>
      <c r="AR35" s="598"/>
      <c r="AS35" s="598"/>
      <c r="AT35" s="598"/>
      <c r="AU35" s="598"/>
      <c r="AV35" s="598"/>
      <c r="AW35" s="598"/>
      <c r="AX35" s="598"/>
      <c r="AY35" s="598"/>
      <c r="AZ35" s="598"/>
      <c r="BA35" s="598"/>
      <c r="BB35" s="598"/>
      <c r="BC35" s="599"/>
      <c r="BD35" s="598"/>
      <c r="BE35" s="598"/>
      <c r="BF35" s="598"/>
      <c r="BG35" s="598"/>
      <c r="BH35" s="598"/>
      <c r="BI35" s="598"/>
      <c r="BJ35" s="598"/>
      <c r="BK35" s="598"/>
      <c r="BL35" s="598"/>
      <c r="BM35" s="598"/>
      <c r="BN35" s="598"/>
      <c r="BO35" s="598"/>
      <c r="BP35" s="598"/>
      <c r="BQ35" s="598"/>
      <c r="BR35" s="598"/>
      <c r="BS35" s="598"/>
    </row>
    <row r="36" spans="1:71" s="202" customFormat="1" ht="13.15">
      <c r="A36" s="453"/>
      <c r="B36" s="453"/>
      <c r="C36" s="453"/>
      <c r="D36" s="463" t="s">
        <v>1208</v>
      </c>
      <c r="E36" s="453"/>
      <c r="F36" s="453"/>
      <c r="G36" s="453"/>
      <c r="H36" s="453"/>
      <c r="I36" s="453"/>
      <c r="J36" s="598"/>
      <c r="K36" s="598"/>
      <c r="L36" s="598"/>
      <c r="M36" s="598"/>
      <c r="N36" s="598"/>
      <c r="O36" s="598"/>
      <c r="P36" s="598"/>
      <c r="Q36" s="599"/>
      <c r="R36" s="598"/>
      <c r="S36" s="598"/>
      <c r="T36" s="598"/>
      <c r="U36" s="598"/>
      <c r="V36" s="598"/>
      <c r="W36" s="598"/>
      <c r="X36" s="598"/>
      <c r="Y36" s="598"/>
      <c r="Z36" s="598"/>
      <c r="AA36" s="598"/>
      <c r="AB36" s="598"/>
      <c r="AC36" s="598"/>
      <c r="AD36" s="598"/>
      <c r="AE36" s="598"/>
      <c r="AF36" s="598"/>
      <c r="AG36" s="598"/>
      <c r="AH36" s="598"/>
      <c r="AI36" s="598"/>
      <c r="AJ36" s="598"/>
      <c r="AK36" s="599"/>
      <c r="AL36" s="598"/>
      <c r="AM36" s="598"/>
      <c r="AN36" s="598"/>
      <c r="AO36" s="599"/>
      <c r="AP36" s="598"/>
      <c r="AQ36" s="598"/>
      <c r="AR36" s="598"/>
      <c r="AS36" s="598"/>
      <c r="AT36" s="598"/>
      <c r="AU36" s="598"/>
      <c r="AV36" s="598"/>
      <c r="AW36" s="598"/>
      <c r="AX36" s="598"/>
      <c r="AY36" s="598"/>
      <c r="AZ36" s="598"/>
      <c r="BA36" s="598"/>
      <c r="BB36" s="598"/>
      <c r="BC36" s="599"/>
      <c r="BD36" s="598"/>
      <c r="BE36" s="598"/>
      <c r="BF36" s="598"/>
      <c r="BG36" s="598"/>
      <c r="BH36" s="598"/>
      <c r="BI36" s="598"/>
      <c r="BJ36" s="598"/>
      <c r="BK36" s="598"/>
      <c r="BL36" s="598"/>
      <c r="BM36" s="598"/>
      <c r="BN36" s="598"/>
      <c r="BO36" s="598"/>
      <c r="BP36" s="598"/>
      <c r="BQ36" s="598"/>
      <c r="BR36" s="598"/>
      <c r="BS36" s="598"/>
    </row>
    <row r="37" spans="1:71" s="202" customFormat="1" ht="13.15">
      <c r="A37" s="453"/>
      <c r="B37" s="453"/>
      <c r="C37" s="453"/>
      <c r="D37" s="453"/>
      <c r="E37" s="583" t="str">
        <f>InpPerformance!E$19</f>
        <v>ODI is calculated in decimal minutes, but the performance commitment is specified in HH:MM:SS</v>
      </c>
      <c r="F37" s="583"/>
      <c r="G37" s="583" t="str">
        <f>InpPerformance!G$19</f>
        <v>TRUE or FALSE</v>
      </c>
      <c r="H37" s="583"/>
      <c r="I37" s="583"/>
      <c r="J37" s="591" t="b">
        <f>InpPerformance!J$19</f>
        <v>0</v>
      </c>
      <c r="K37" s="591" t="b">
        <f>InpPerformance!K$19</f>
        <v>1</v>
      </c>
      <c r="L37" s="591" t="b">
        <f>InpPerformance!L$19</f>
        <v>0</v>
      </c>
      <c r="M37" s="591" t="b">
        <f>InpPerformance!M$19</f>
        <v>0</v>
      </c>
      <c r="N37" s="591" t="b">
        <f>InpPerformance!N$19</f>
        <v>0</v>
      </c>
      <c r="O37" s="591" t="b">
        <f>InpPerformance!O$19</f>
        <v>0</v>
      </c>
      <c r="P37" s="591" t="b">
        <f>InpPerformance!P$19</f>
        <v>0</v>
      </c>
      <c r="Q37" s="592" t="b">
        <f>InpPerformance!Q$19</f>
        <v>0</v>
      </c>
      <c r="R37" s="591" t="b">
        <f>InpPerformance!R$19</f>
        <v>0</v>
      </c>
      <c r="S37" s="591" t="b">
        <f>InpPerformance!S$19</f>
        <v>0</v>
      </c>
      <c r="T37" s="591" t="b">
        <f>InpPerformance!T$19</f>
        <v>0</v>
      </c>
      <c r="U37" s="591" t="b">
        <f>InpPerformance!U$19</f>
        <v>0</v>
      </c>
      <c r="V37" s="591" t="b">
        <f>InpPerformance!V$19</f>
        <v>0</v>
      </c>
      <c r="W37" s="591" t="b">
        <f>InpPerformance!W$19</f>
        <v>0</v>
      </c>
      <c r="X37" s="591" t="b">
        <f>InpPerformance!X$19</f>
        <v>0</v>
      </c>
      <c r="Y37" s="591" t="b">
        <f>InpPerformance!Y$19</f>
        <v>0</v>
      </c>
      <c r="Z37" s="591" t="b">
        <f>InpPerformance!Z$19</f>
        <v>0</v>
      </c>
      <c r="AA37" s="591" t="b">
        <f>InpPerformance!AA$19</f>
        <v>0</v>
      </c>
      <c r="AB37" s="591" t="b">
        <f>InpPerformance!AB$19</f>
        <v>0</v>
      </c>
      <c r="AC37" s="591" t="b">
        <f>InpPerformance!AC$19</f>
        <v>0</v>
      </c>
      <c r="AD37" s="591" t="b">
        <f>InpPerformance!AD$19</f>
        <v>0</v>
      </c>
      <c r="AE37" s="591" t="b">
        <f>InpPerformance!AE$19</f>
        <v>0</v>
      </c>
      <c r="AF37" s="591" t="b">
        <f>InpPerformance!AF$19</f>
        <v>0</v>
      </c>
      <c r="AG37" s="591" t="b">
        <f>InpPerformance!AG$19</f>
        <v>0</v>
      </c>
      <c r="AH37" s="591" t="b">
        <f>InpPerformance!AH$19</f>
        <v>0</v>
      </c>
      <c r="AI37" s="591" t="b">
        <f>InpPerformance!AI$19</f>
        <v>0</v>
      </c>
      <c r="AJ37" s="591" t="b">
        <f>InpPerformance!AJ$19</f>
        <v>0</v>
      </c>
      <c r="AK37" s="592" t="b">
        <f>InpPerformance!AK$19</f>
        <v>0</v>
      </c>
      <c r="AL37" s="591" t="b">
        <f>InpPerformance!AL$19</f>
        <v>0</v>
      </c>
      <c r="AM37" s="591" t="b">
        <f>InpPerformance!AM$19</f>
        <v>0</v>
      </c>
      <c r="AN37" s="591" t="b">
        <f>InpPerformance!AN$19</f>
        <v>0</v>
      </c>
      <c r="AO37" s="592" t="b">
        <f>InpPerformance!AO$19</f>
        <v>0</v>
      </c>
      <c r="AP37" s="591" t="b">
        <f>InpPerformance!AP$19</f>
        <v>0</v>
      </c>
      <c r="AQ37" s="591" t="b">
        <f>InpPerformance!AQ$19</f>
        <v>0</v>
      </c>
      <c r="AR37" s="591" t="b">
        <f>InpPerformance!AR$19</f>
        <v>0</v>
      </c>
      <c r="AS37" s="591" t="b">
        <f>InpPerformance!AS$19</f>
        <v>0</v>
      </c>
      <c r="AT37" s="591" t="b">
        <f>InpPerformance!AT$19</f>
        <v>0</v>
      </c>
      <c r="AU37" s="591" t="b">
        <f>InpPerformance!AU$19</f>
        <v>0</v>
      </c>
      <c r="AV37" s="591" t="b">
        <f>InpPerformance!AV$19</f>
        <v>0</v>
      </c>
      <c r="AW37" s="591" t="b">
        <f>InpPerformance!AW$19</f>
        <v>0</v>
      </c>
      <c r="AX37" s="591" t="b">
        <f>InpPerformance!AX$19</f>
        <v>0</v>
      </c>
      <c r="AY37" s="591" t="b">
        <f>InpPerformance!AY$19</f>
        <v>0</v>
      </c>
      <c r="AZ37" s="591" t="b">
        <f>InpPerformance!AZ$19</f>
        <v>0</v>
      </c>
      <c r="BA37" s="591" t="b">
        <f>InpPerformance!BA$19</f>
        <v>0</v>
      </c>
      <c r="BB37" s="591" t="b">
        <f>InpPerformance!BB$19</f>
        <v>0</v>
      </c>
      <c r="BC37" s="592" t="b">
        <f>InpPerformance!BC$19</f>
        <v>0</v>
      </c>
      <c r="BD37" s="591" t="b">
        <f>InpPerformance!BD$19</f>
        <v>0</v>
      </c>
      <c r="BE37" s="591" t="b">
        <f>InpPerformance!BE$19</f>
        <v>0</v>
      </c>
      <c r="BF37" s="591" t="b">
        <f>InpPerformance!BF$19</f>
        <v>0</v>
      </c>
      <c r="BG37" s="591" t="b">
        <f>InpPerformance!BG$19</f>
        <v>0</v>
      </c>
      <c r="BH37" s="591" t="b">
        <f>InpPerformance!BH$19</f>
        <v>0</v>
      </c>
      <c r="BI37" s="591" t="b">
        <f>InpPerformance!BI$19</f>
        <v>0</v>
      </c>
      <c r="BJ37" s="591" t="b">
        <f>InpPerformance!BJ$19</f>
        <v>0</v>
      </c>
      <c r="BK37" s="591" t="b">
        <f>InpPerformance!BK$19</f>
        <v>0</v>
      </c>
      <c r="BL37" s="591" t="b">
        <f>InpPerformance!BL$19</f>
        <v>0</v>
      </c>
      <c r="BM37" s="591" t="b">
        <f>InpPerformance!BM$19</f>
        <v>0</v>
      </c>
      <c r="BN37" s="591" t="b">
        <f>InpPerformance!BN$19</f>
        <v>0</v>
      </c>
      <c r="BO37" s="591" t="b">
        <f>InpPerformance!BO$19</f>
        <v>0</v>
      </c>
      <c r="BP37" s="591" t="b">
        <f>InpPerformance!BP$19</f>
        <v>0</v>
      </c>
      <c r="BQ37" s="591" t="b">
        <f>InpPerformance!BQ$19</f>
        <v>0</v>
      </c>
      <c r="BR37" s="591" t="b">
        <f>InpPerformance!BR$19</f>
        <v>0</v>
      </c>
      <c r="BS37" s="591" t="b">
        <f>InpPerformance!BS$19</f>
        <v>0</v>
      </c>
    </row>
    <row r="38" spans="1:71" s="202" customFormat="1" ht="13.15">
      <c r="A38" s="453"/>
      <c r="B38" s="453"/>
      <c r="C38" s="453"/>
      <c r="D38" s="453"/>
      <c r="E38" s="453" t="s">
        <v>1209</v>
      </c>
      <c r="F38" s="453"/>
      <c r="G38" s="453" t="s">
        <v>1158</v>
      </c>
      <c r="H38" s="453"/>
      <c r="I38" s="453"/>
      <c r="J38" s="600" t="str">
        <f>IF(AND(J37=TRUE,J32=TRUE),J34*24*60,J34)</f>
        <v/>
      </c>
      <c r="K38" s="600" t="str">
        <f t="shared" ref="K38:BS38" si="9">IF(AND(K37=TRUE,K32=TRUE),K34*24*60,K34)</f>
        <v/>
      </c>
      <c r="L38" s="600" t="str">
        <f t="shared" si="9"/>
        <v/>
      </c>
      <c r="M38" s="600" t="str">
        <f>IF(AND(M37=TRUE,M32=TRUE),M34*24*60,M34)</f>
        <v/>
      </c>
      <c r="N38" s="600" t="str">
        <f t="shared" si="9"/>
        <v/>
      </c>
      <c r="O38" s="600" t="str">
        <f>IF(AND(O37=TRUE,O32=TRUE),O34*24*60,O34)</f>
        <v/>
      </c>
      <c r="P38" s="600" t="str">
        <f t="shared" si="9"/>
        <v/>
      </c>
      <c r="Q38" s="601" t="str">
        <f t="shared" si="9"/>
        <v/>
      </c>
      <c r="R38" s="600" t="str">
        <f t="shared" si="9"/>
        <v/>
      </c>
      <c r="S38" s="600" t="str">
        <f t="shared" si="9"/>
        <v/>
      </c>
      <c r="T38" s="600">
        <f t="shared" si="9"/>
        <v>1</v>
      </c>
      <c r="U38" s="600" t="str">
        <f t="shared" si="9"/>
        <v/>
      </c>
      <c r="V38" s="600" t="str">
        <f t="shared" si="9"/>
        <v/>
      </c>
      <c r="W38" s="600" t="str">
        <f t="shared" si="9"/>
        <v/>
      </c>
      <c r="X38" s="600" t="str">
        <f t="shared" si="9"/>
        <v/>
      </c>
      <c r="Y38" s="600" t="str">
        <f t="shared" si="9"/>
        <v/>
      </c>
      <c r="Z38" s="600" t="str">
        <f t="shared" si="9"/>
        <v/>
      </c>
      <c r="AA38" s="600" t="str">
        <f t="shared" si="9"/>
        <v/>
      </c>
      <c r="AB38" s="600" t="str">
        <f t="shared" si="9"/>
        <v/>
      </c>
      <c r="AC38" s="600" t="str">
        <f t="shared" si="9"/>
        <v/>
      </c>
      <c r="AD38" s="600" t="str">
        <f t="shared" si="9"/>
        <v/>
      </c>
      <c r="AE38" s="600" t="str">
        <f t="shared" si="9"/>
        <v/>
      </c>
      <c r="AF38" s="600" t="str">
        <f t="shared" si="9"/>
        <v/>
      </c>
      <c r="AG38" s="600" t="str">
        <f t="shared" si="9"/>
        <v/>
      </c>
      <c r="AH38" s="600" t="str">
        <f t="shared" si="9"/>
        <v/>
      </c>
      <c r="AI38" s="600" t="str">
        <f t="shared" si="9"/>
        <v/>
      </c>
      <c r="AJ38" s="600" t="str">
        <f t="shared" si="9"/>
        <v/>
      </c>
      <c r="AK38" s="601" t="str">
        <f t="shared" si="9"/>
        <v/>
      </c>
      <c r="AL38" s="600" t="str">
        <f t="shared" si="9"/>
        <v/>
      </c>
      <c r="AM38" s="600" t="str">
        <f t="shared" si="9"/>
        <v/>
      </c>
      <c r="AN38" s="600" t="str">
        <f t="shared" si="9"/>
        <v/>
      </c>
      <c r="AO38" s="601" t="str">
        <f t="shared" si="9"/>
        <v/>
      </c>
      <c r="AP38" s="600">
        <f t="shared" si="9"/>
        <v>79</v>
      </c>
      <c r="AQ38" s="600" t="str">
        <f t="shared" si="9"/>
        <v/>
      </c>
      <c r="AR38" s="600" t="str">
        <f t="shared" si="9"/>
        <v/>
      </c>
      <c r="AS38" s="600" t="str">
        <f t="shared" si="9"/>
        <v/>
      </c>
      <c r="AT38" s="600" t="str">
        <f t="shared" si="9"/>
        <v/>
      </c>
      <c r="AU38" s="600">
        <f t="shared" si="9"/>
        <v>2</v>
      </c>
      <c r="AV38" s="600">
        <f t="shared" si="9"/>
        <v>3</v>
      </c>
      <c r="AW38" s="600" t="str">
        <f t="shared" si="9"/>
        <v/>
      </c>
      <c r="AX38" s="600">
        <f t="shared" si="9"/>
        <v>354</v>
      </c>
      <c r="AY38" s="600" t="str">
        <f t="shared" si="9"/>
        <v/>
      </c>
      <c r="AZ38" s="600" t="str">
        <f t="shared" si="9"/>
        <v/>
      </c>
      <c r="BA38" s="600" t="str">
        <f t="shared" si="9"/>
        <v/>
      </c>
      <c r="BB38" s="600" t="str">
        <f t="shared" si="9"/>
        <v/>
      </c>
      <c r="BC38" s="601" t="str">
        <f t="shared" si="9"/>
        <v/>
      </c>
      <c r="BD38" s="600" t="str">
        <f t="shared" si="9"/>
        <v/>
      </c>
      <c r="BE38" s="600" t="str">
        <f t="shared" si="9"/>
        <v/>
      </c>
      <c r="BF38" s="600" t="str">
        <f>IF(AND(BF37=TRUE,BF32=TRUE),BF34*24*60,BF34)</f>
        <v/>
      </c>
      <c r="BG38" s="600" t="str">
        <f>IF(AND(BG37=TRUE,BG32=TRUE),BG34*24*60,BG34)</f>
        <v/>
      </c>
      <c r="BH38" s="600" t="str">
        <f t="shared" si="9"/>
        <v/>
      </c>
      <c r="BI38" s="600" t="str">
        <f t="shared" si="9"/>
        <v/>
      </c>
      <c r="BJ38" s="600" t="str">
        <f t="shared" si="9"/>
        <v/>
      </c>
      <c r="BK38" s="600" t="str">
        <f t="shared" si="9"/>
        <v/>
      </c>
      <c r="BL38" s="600" t="str">
        <f t="shared" si="9"/>
        <v/>
      </c>
      <c r="BM38" s="600" t="str">
        <f t="shared" si="9"/>
        <v/>
      </c>
      <c r="BN38" s="600" t="str">
        <f t="shared" si="9"/>
        <v/>
      </c>
      <c r="BO38" s="600" t="str">
        <f t="shared" si="9"/>
        <v/>
      </c>
      <c r="BP38" s="600" t="str">
        <f t="shared" si="9"/>
        <v/>
      </c>
      <c r="BQ38" s="600" t="str">
        <f t="shared" si="9"/>
        <v/>
      </c>
      <c r="BR38" s="600" t="str">
        <f t="shared" si="9"/>
        <v/>
      </c>
      <c r="BS38" s="600" t="str">
        <f t="shared" si="9"/>
        <v/>
      </c>
    </row>
    <row r="39" spans="1:71" s="202" customFormat="1" ht="13.15">
      <c r="A39" s="583"/>
      <c r="B39" s="583"/>
      <c r="C39" s="583"/>
      <c r="D39" s="583"/>
      <c r="E39" s="583" t="str">
        <f>InpPerformance!E$20</f>
        <v>ODI is calculated as a percentage difference to a baseline</v>
      </c>
      <c r="F39" s="583"/>
      <c r="G39" s="583" t="str">
        <f>InpPerformance!G$20</f>
        <v>TRUE or FALSE</v>
      </c>
      <c r="H39" s="583"/>
      <c r="I39" s="583"/>
      <c r="J39" s="591" t="b">
        <f>InpPerformance!J$20</f>
        <v>0</v>
      </c>
      <c r="K39" s="591" t="b">
        <f>InpPerformance!K$20</f>
        <v>0</v>
      </c>
      <c r="L39" s="591" t="b">
        <f>InpPerformance!L$20</f>
        <v>1</v>
      </c>
      <c r="M39" s="591" t="b">
        <f>InpPerformance!M$20</f>
        <v>1</v>
      </c>
      <c r="N39" s="591" t="b">
        <f>InpPerformance!N$20</f>
        <v>1</v>
      </c>
      <c r="O39" s="591" t="b">
        <f>InpPerformance!O$20</f>
        <v>1</v>
      </c>
      <c r="P39" s="591" t="b">
        <f>InpPerformance!P$20</f>
        <v>0</v>
      </c>
      <c r="Q39" s="592" t="b">
        <f>InpPerformance!Q$20</f>
        <v>0</v>
      </c>
      <c r="R39" s="591" t="b">
        <f>InpPerformance!R$20</f>
        <v>0</v>
      </c>
      <c r="S39" s="591" t="b">
        <f>InpPerformance!S$20</f>
        <v>0</v>
      </c>
      <c r="T39" s="591" t="b">
        <f>InpPerformance!T$20</f>
        <v>0</v>
      </c>
      <c r="U39" s="591" t="b">
        <f>InpPerformance!U$20</f>
        <v>0</v>
      </c>
      <c r="V39" s="591" t="b">
        <f>InpPerformance!V$20</f>
        <v>0</v>
      </c>
      <c r="W39" s="591" t="b">
        <f>InpPerformance!W$20</f>
        <v>0</v>
      </c>
      <c r="X39" s="591" t="b">
        <f>InpPerformance!X$20</f>
        <v>0</v>
      </c>
      <c r="Y39" s="591" t="b">
        <f>InpPerformance!Y$20</f>
        <v>0</v>
      </c>
      <c r="Z39" s="591" t="b">
        <f>InpPerformance!Z$20</f>
        <v>0</v>
      </c>
      <c r="AA39" s="591" t="b">
        <f>InpPerformance!AA$20</f>
        <v>0</v>
      </c>
      <c r="AB39" s="591" t="b">
        <f>InpPerformance!AB$20</f>
        <v>0</v>
      </c>
      <c r="AC39" s="591" t="b">
        <f>InpPerformance!AC$20</f>
        <v>0</v>
      </c>
      <c r="AD39" s="591" t="b">
        <f>InpPerformance!AD$20</f>
        <v>0</v>
      </c>
      <c r="AE39" s="591" t="b">
        <f>InpPerformance!AE$20</f>
        <v>0</v>
      </c>
      <c r="AF39" s="591" t="b">
        <f>InpPerformance!AF$20</f>
        <v>0</v>
      </c>
      <c r="AG39" s="591" t="b">
        <f>InpPerformance!AG$20</f>
        <v>0</v>
      </c>
      <c r="AH39" s="591" t="b">
        <f>InpPerformance!AH$20</f>
        <v>0</v>
      </c>
      <c r="AI39" s="591" t="b">
        <f>InpPerformance!AI$20</f>
        <v>0</v>
      </c>
      <c r="AJ39" s="591" t="b">
        <f>InpPerformance!AJ$20</f>
        <v>0</v>
      </c>
      <c r="AK39" s="592" t="b">
        <f>InpPerformance!AK$20</f>
        <v>0</v>
      </c>
      <c r="AL39" s="591" t="b">
        <f>InpPerformance!AL$20</f>
        <v>0</v>
      </c>
      <c r="AM39" s="591" t="b">
        <f>InpPerformance!AM$20</f>
        <v>0</v>
      </c>
      <c r="AN39" s="591" t="b">
        <f>InpPerformance!AN$20</f>
        <v>0</v>
      </c>
      <c r="AO39" s="592" t="b">
        <f>InpPerformance!AO$20</f>
        <v>0</v>
      </c>
      <c r="AP39" s="591" t="b">
        <f>InpPerformance!AP$20</f>
        <v>0</v>
      </c>
      <c r="AQ39" s="591" t="b">
        <f>InpPerformance!AQ$20</f>
        <v>0</v>
      </c>
      <c r="AR39" s="591" t="b">
        <f>InpPerformance!AR$20</f>
        <v>0</v>
      </c>
      <c r="AS39" s="591" t="b">
        <f>InpPerformance!AS$20</f>
        <v>0</v>
      </c>
      <c r="AT39" s="591" t="b">
        <f>InpPerformance!AT$20</f>
        <v>0</v>
      </c>
      <c r="AU39" s="591" t="b">
        <f>InpPerformance!AU$20</f>
        <v>0</v>
      </c>
      <c r="AV39" s="591" t="b">
        <f>InpPerformance!AV$20</f>
        <v>0</v>
      </c>
      <c r="AW39" s="591" t="b">
        <f>InpPerformance!AW$20</f>
        <v>0</v>
      </c>
      <c r="AX39" s="591" t="b">
        <f>InpPerformance!AX$20</f>
        <v>0</v>
      </c>
      <c r="AY39" s="591" t="b">
        <f>InpPerformance!AY$20</f>
        <v>0</v>
      </c>
      <c r="AZ39" s="591" t="b">
        <f>InpPerformance!AZ$20</f>
        <v>0</v>
      </c>
      <c r="BA39" s="591" t="b">
        <f>InpPerformance!BA$20</f>
        <v>0</v>
      </c>
      <c r="BB39" s="591" t="b">
        <f>InpPerformance!BB$20</f>
        <v>0</v>
      </c>
      <c r="BC39" s="592" t="b">
        <f>InpPerformance!BC$20</f>
        <v>0</v>
      </c>
      <c r="BD39" s="591" t="b">
        <f>InpPerformance!BD$20</f>
        <v>0</v>
      </c>
      <c r="BE39" s="591" t="b">
        <f>InpPerformance!BE$20</f>
        <v>0</v>
      </c>
      <c r="BF39" s="591" t="b">
        <f>InpPerformance!BF$20</f>
        <v>0</v>
      </c>
      <c r="BG39" s="591" t="b">
        <f>InpPerformance!BG$20</f>
        <v>0</v>
      </c>
      <c r="BH39" s="591" t="b">
        <f>InpPerformance!BH$20</f>
        <v>0</v>
      </c>
      <c r="BI39" s="591" t="b">
        <f>InpPerformance!BI$20</f>
        <v>0</v>
      </c>
      <c r="BJ39" s="591" t="b">
        <f>InpPerformance!BJ$20</f>
        <v>0</v>
      </c>
      <c r="BK39" s="591" t="b">
        <f>InpPerformance!BK$20</f>
        <v>0</v>
      </c>
      <c r="BL39" s="591" t="b">
        <f>InpPerformance!BL$20</f>
        <v>0</v>
      </c>
      <c r="BM39" s="591" t="b">
        <f>InpPerformance!BM$20</f>
        <v>0</v>
      </c>
      <c r="BN39" s="591" t="b">
        <f>InpPerformance!BN$20</f>
        <v>0</v>
      </c>
      <c r="BO39" s="591" t="b">
        <f>InpPerformance!BO$20</f>
        <v>0</v>
      </c>
      <c r="BP39" s="591" t="b">
        <f>InpPerformance!BP$20</f>
        <v>0</v>
      </c>
      <c r="BQ39" s="591" t="b">
        <f>InpPerformance!BQ$20</f>
        <v>0</v>
      </c>
      <c r="BR39" s="591" t="b">
        <f>InpPerformance!BR$20</f>
        <v>0</v>
      </c>
      <c r="BS39" s="591" t="b">
        <f>InpPerformance!BS$20</f>
        <v>0</v>
      </c>
    </row>
    <row r="40" spans="1:71" s="228" customFormat="1" ht="13.15">
      <c r="A40" s="583"/>
      <c r="B40" s="583"/>
      <c r="C40" s="583"/>
      <c r="D40" s="583"/>
      <c r="E40" s="583" t="str">
        <f>InpPerformance!E$8</f>
        <v>Baseline (if applicable)</v>
      </c>
      <c r="F40" s="583"/>
      <c r="G40" s="583" t="str">
        <f>InpPerformance!G$8</f>
        <v>Baseline unit</v>
      </c>
      <c r="H40" s="583"/>
      <c r="I40" s="583"/>
      <c r="J40" s="588" t="str">
        <f>IF(InpPerformance!J$8&lt;&gt;"",ROUND(InpPerformance!J$8,1),"")</f>
        <v/>
      </c>
      <c r="K40" s="588" t="str">
        <f>IF(InpPerformance!K$8&lt;&gt;"",ROUND(InpPerformance!K$8,1),"")</f>
        <v/>
      </c>
      <c r="L40" s="588">
        <f>IF(InpPerformance!L$8&lt;&gt;"",ROUND(InpPerformance!L$8,1),"")</f>
        <v>99.9</v>
      </c>
      <c r="M40" s="588" t="str">
        <f>IF(InpPerformance!M$8&lt;&gt;"",ROUND(InpPerformance!M$8,1),"")</f>
        <v/>
      </c>
      <c r="N40" s="588">
        <f>IF(InpPerformance!N$8&lt;&gt;"",ROUND(InpPerformance!N$8,1),"")</f>
        <v>128</v>
      </c>
      <c r="O40" s="588" t="str">
        <f>IF(InpPerformance!O$8&lt;&gt;"",ROUND(InpPerformance!O$8,1),"")</f>
        <v/>
      </c>
      <c r="P40" s="588" t="str">
        <f>IF(InpPerformance!P$8&lt;&gt;"",ROUND(InpPerformance!P$8,1),"")</f>
        <v/>
      </c>
      <c r="Q40" s="590" t="str">
        <f>IF(InpPerformance!Q$8&lt;&gt;"",ROUND(InpPerformance!Q$8,1),"")</f>
        <v/>
      </c>
      <c r="R40" s="588" t="str">
        <f>IF(InpPerformance!R$8&lt;&gt;"",ROUND(InpPerformance!R$8,1),"")</f>
        <v/>
      </c>
      <c r="S40" s="588" t="str">
        <f>IF(InpPerformance!S$8&lt;&gt;"",ROUND(InpPerformance!S$8,1),"")</f>
        <v/>
      </c>
      <c r="T40" s="588" t="str">
        <f>IF(InpPerformance!T$8&lt;&gt;"",ROUND(InpPerformance!T$8,1),"")</f>
        <v/>
      </c>
      <c r="U40" s="588" t="str">
        <f>IF(InpPerformance!U$8&lt;&gt;"",ROUND(InpPerformance!U$8,1),"")</f>
        <v/>
      </c>
      <c r="V40" s="588" t="str">
        <f>IF(InpPerformance!V$8&lt;&gt;"",ROUND(InpPerformance!V$8,1),"")</f>
        <v/>
      </c>
      <c r="W40" s="588" t="str">
        <f>IF(InpPerformance!W$8&lt;&gt;"",ROUND(InpPerformance!W$8,1),"")</f>
        <v/>
      </c>
      <c r="X40" s="588" t="str">
        <f>IF(InpPerformance!X$8&lt;&gt;"",ROUND(InpPerformance!X$8,1),"")</f>
        <v/>
      </c>
      <c r="Y40" s="588" t="str">
        <f>IF(InpPerformance!Y$8&lt;&gt;"",ROUND(InpPerformance!Y$8,1),"")</f>
        <v/>
      </c>
      <c r="Z40" s="588" t="str">
        <f>IF(InpPerformance!Z$8&lt;&gt;"",ROUND(InpPerformance!Z$8,1),"")</f>
        <v/>
      </c>
      <c r="AA40" s="588" t="str">
        <f>IF(InpPerformance!AA$8&lt;&gt;"",ROUND(InpPerformance!AA$8,1),"")</f>
        <v/>
      </c>
      <c r="AB40" s="588" t="str">
        <f>IF(InpPerformance!AB$8&lt;&gt;"",ROUND(InpPerformance!AB$8,1),"")</f>
        <v/>
      </c>
      <c r="AC40" s="588" t="str">
        <f>IF(InpPerformance!AC$8&lt;&gt;"",ROUND(InpPerformance!AC$8,1),"")</f>
        <v/>
      </c>
      <c r="AD40" s="588" t="str">
        <f>IF(InpPerformance!AD$8&lt;&gt;"",ROUND(InpPerformance!AD$8,1),"")</f>
        <v/>
      </c>
      <c r="AE40" s="588" t="str">
        <f>IF(InpPerformance!AE$8&lt;&gt;"",ROUND(InpPerformance!AE$8,1),"")</f>
        <v/>
      </c>
      <c r="AF40" s="588" t="str">
        <f>IF(InpPerformance!AF$8&lt;&gt;"",ROUND(InpPerformance!AF$8,1),"")</f>
        <v/>
      </c>
      <c r="AG40" s="588" t="str">
        <f>IF(InpPerformance!AG$8&lt;&gt;"",ROUND(InpPerformance!AG$8,1),"")</f>
        <v/>
      </c>
      <c r="AH40" s="588" t="str">
        <f>IF(InpPerformance!AH$8&lt;&gt;"",ROUND(InpPerformance!AH$8,1),"")</f>
        <v/>
      </c>
      <c r="AI40" s="588" t="str">
        <f>IF(InpPerformance!AI$8&lt;&gt;"",ROUND(InpPerformance!AI$8,1),"")</f>
        <v/>
      </c>
      <c r="AJ40" s="588" t="str">
        <f>IF(InpPerformance!AJ$8&lt;&gt;"",ROUND(InpPerformance!AJ$8,1),"")</f>
        <v/>
      </c>
      <c r="AK40" s="590" t="str">
        <f>IF(InpPerformance!AK$8&lt;&gt;"",ROUND(InpPerformance!AK$8,1),"")</f>
        <v/>
      </c>
      <c r="AL40" s="588" t="str">
        <f>IF(InpPerformance!AL$8&lt;&gt;"",ROUND(InpPerformance!AL$8,1),"")</f>
        <v/>
      </c>
      <c r="AM40" s="588" t="str">
        <f>IF(InpPerformance!AM$8&lt;&gt;"",ROUND(InpPerformance!AM$8,1),"")</f>
        <v/>
      </c>
      <c r="AN40" s="588" t="str">
        <f>IF(InpPerformance!AN$8&lt;&gt;"",ROUND(InpPerformance!AN$8,1),"")</f>
        <v/>
      </c>
      <c r="AO40" s="590" t="str">
        <f>IF(InpPerformance!AO$8&lt;&gt;"",ROUND(InpPerformance!AO$8,1),"")</f>
        <v/>
      </c>
      <c r="AP40" s="588" t="str">
        <f>IF(InpPerformance!AP$8&lt;&gt;"",ROUND(InpPerformance!AP$8,1),"")</f>
        <v/>
      </c>
      <c r="AQ40" s="588" t="str">
        <f>IF(InpPerformance!AQ$8&lt;&gt;"",ROUND(InpPerformance!AQ$8,1),"")</f>
        <v/>
      </c>
      <c r="AR40" s="588" t="str">
        <f>IF(InpPerformance!AR$8&lt;&gt;"",ROUND(InpPerformance!AR$8,1),"")</f>
        <v/>
      </c>
      <c r="AS40" s="588" t="str">
        <f>IF(InpPerformance!AS$8&lt;&gt;"",ROUND(InpPerformance!AS$8,1),"")</f>
        <v/>
      </c>
      <c r="AT40" s="588" t="str">
        <f>IF(InpPerformance!AT$8&lt;&gt;"",ROUND(InpPerformance!AT$8,1),"")</f>
        <v/>
      </c>
      <c r="AU40" s="588" t="str">
        <f>IF(InpPerformance!AU$8&lt;&gt;"",ROUND(InpPerformance!AU$8,1),"")</f>
        <v/>
      </c>
      <c r="AV40" s="588" t="str">
        <f>IF(InpPerformance!AV$8&lt;&gt;"",ROUND(InpPerformance!AV$8,1),"")</f>
        <v/>
      </c>
      <c r="AW40" s="588" t="str">
        <f>IF(InpPerformance!AW$8&lt;&gt;"",ROUND(InpPerformance!AW$8,1),"")</f>
        <v/>
      </c>
      <c r="AX40" s="588" t="str">
        <f>IF(InpPerformance!AX$8&lt;&gt;"",ROUND(InpPerformance!AX$8,1),"")</f>
        <v/>
      </c>
      <c r="AY40" s="588" t="str">
        <f>IF(InpPerformance!AY$8&lt;&gt;"",ROUND(InpPerformance!AY$8,1),"")</f>
        <v/>
      </c>
      <c r="AZ40" s="588" t="str">
        <f>IF(InpPerformance!AZ$8&lt;&gt;"",ROUND(InpPerformance!AZ$8,1),"")</f>
        <v/>
      </c>
      <c r="BA40" s="588" t="str">
        <f>IF(InpPerformance!BA$8&lt;&gt;"",ROUND(InpPerformance!BA$8,1),"")</f>
        <v/>
      </c>
      <c r="BB40" s="588" t="str">
        <f>IF(InpPerformance!BB$8&lt;&gt;"",ROUND(InpPerformance!BB$8,1),"")</f>
        <v/>
      </c>
      <c r="BC40" s="590" t="str">
        <f>IF(InpPerformance!BC$8&lt;&gt;"",ROUND(InpPerformance!BC$8,1),"")</f>
        <v/>
      </c>
      <c r="BD40" s="588" t="str">
        <f>IF(InpPerformance!BD$8&lt;&gt;"",ROUND(InpPerformance!BD$8,1),"")</f>
        <v/>
      </c>
      <c r="BE40" s="588" t="str">
        <f>IF(InpPerformance!BE$8&lt;&gt;"",ROUND(InpPerformance!BE$8,1),"")</f>
        <v/>
      </c>
      <c r="BF40" s="588" t="str">
        <f>IF(InpPerformance!BF$8&lt;&gt;"",ROUND(InpPerformance!BF$8,1),"")</f>
        <v/>
      </c>
      <c r="BG40" s="588" t="str">
        <f>IF(InpPerformance!BG$8&lt;&gt;"",ROUND(InpPerformance!BG$8,1),"")</f>
        <v/>
      </c>
      <c r="BH40" s="588" t="str">
        <f>IF(InpPerformance!BH$8&lt;&gt;"",ROUND(InpPerformance!BH$8,1),"")</f>
        <v/>
      </c>
      <c r="BI40" s="588" t="str">
        <f>IF(InpPerformance!BI$8&lt;&gt;"",ROUND(InpPerformance!BI$8,1),"")</f>
        <v/>
      </c>
      <c r="BJ40" s="588" t="str">
        <f>IF(InpPerformance!BJ$8&lt;&gt;"",ROUND(InpPerformance!BJ$8,1),"")</f>
        <v/>
      </c>
      <c r="BK40" s="588" t="str">
        <f>IF(InpPerformance!BK$8&lt;&gt;"",ROUND(InpPerformance!BK$8,1),"")</f>
        <v/>
      </c>
      <c r="BL40" s="588" t="str">
        <f>IF(InpPerformance!BL$8&lt;&gt;"",ROUND(InpPerformance!BL$8,1),"")</f>
        <v/>
      </c>
      <c r="BM40" s="588" t="str">
        <f>IF(InpPerformance!BM$8&lt;&gt;"",ROUND(InpPerformance!BM$8,1),"")</f>
        <v/>
      </c>
      <c r="BN40" s="588" t="str">
        <f>IF(InpPerformance!BN$8&lt;&gt;"",ROUND(InpPerformance!BN$8,1),"")</f>
        <v/>
      </c>
      <c r="BO40" s="588" t="str">
        <f>IF(InpPerformance!BO$8&lt;&gt;"",ROUND(InpPerformance!BO$8,1),"")</f>
        <v/>
      </c>
      <c r="BP40" s="588" t="str">
        <f>IF(InpPerformance!BP$8&lt;&gt;"",ROUND(InpPerformance!BP$8,1),"")</f>
        <v/>
      </c>
      <c r="BQ40" s="588" t="str">
        <f>IF(InpPerformance!BQ$8&lt;&gt;"",ROUND(InpPerformance!BQ$8,1),"")</f>
        <v/>
      </c>
      <c r="BR40" s="588" t="str">
        <f>IF(InpPerformance!BR$8&lt;&gt;"",ROUND(InpPerformance!BR$8,1),"")</f>
        <v/>
      </c>
      <c r="BS40" s="588" t="str">
        <f>IF(InpPerformance!BS$8&lt;&gt;"",ROUND(InpPerformance!BS$8,1),"")</f>
        <v/>
      </c>
    </row>
    <row r="41" spans="1:71" s="202" customFormat="1" ht="13.15">
      <c r="A41" s="453"/>
      <c r="B41" s="453"/>
      <c r="C41" s="453"/>
      <c r="D41" s="453"/>
      <c r="E41" s="453" t="s">
        <v>1210</v>
      </c>
      <c r="F41" s="453"/>
      <c r="G41" s="453" t="s">
        <v>1158</v>
      </c>
      <c r="H41" s="453"/>
      <c r="I41" s="453"/>
      <c r="J41" s="600" t="str">
        <f>IF(AND(J39=TRUE,J32=TRUE),ROUND((J38/100)*J40,1),J38)</f>
        <v/>
      </c>
      <c r="K41" s="600" t="str">
        <f t="shared" ref="K41:BS41" si="10">IF(AND(K39=TRUE,K32=TRUE),ROUND((K38/100)*K40,1),K38)</f>
        <v/>
      </c>
      <c r="L41" s="600" t="str">
        <f>IF(AND(L39=TRUE,L32=TRUE),ROUND((L38/100)*L40,1),L38)</f>
        <v/>
      </c>
      <c r="M41" s="600" t="str">
        <f>IF(AND(M39=TRUE,M32=TRUE),ROUND((M38/100)*M40,1),M38)</f>
        <v/>
      </c>
      <c r="N41" s="600" t="str">
        <f t="shared" si="10"/>
        <v/>
      </c>
      <c r="O41" s="600" t="str">
        <f>IF(AND(O39=TRUE,O32=TRUE),ROUND((O38/100)*O40,1),O38)</f>
        <v/>
      </c>
      <c r="P41" s="600" t="str">
        <f t="shared" si="10"/>
        <v/>
      </c>
      <c r="Q41" s="601" t="str">
        <f t="shared" si="10"/>
        <v/>
      </c>
      <c r="R41" s="600" t="str">
        <f t="shared" si="10"/>
        <v/>
      </c>
      <c r="S41" s="600" t="str">
        <f t="shared" si="10"/>
        <v/>
      </c>
      <c r="T41" s="600">
        <f t="shared" si="10"/>
        <v>1</v>
      </c>
      <c r="U41" s="600" t="str">
        <f t="shared" si="10"/>
        <v/>
      </c>
      <c r="V41" s="600" t="str">
        <f t="shared" si="10"/>
        <v/>
      </c>
      <c r="W41" s="600" t="str">
        <f t="shared" si="10"/>
        <v/>
      </c>
      <c r="X41" s="600" t="str">
        <f t="shared" si="10"/>
        <v/>
      </c>
      <c r="Y41" s="600" t="str">
        <f t="shared" si="10"/>
        <v/>
      </c>
      <c r="Z41" s="600" t="str">
        <f t="shared" si="10"/>
        <v/>
      </c>
      <c r="AA41" s="600" t="str">
        <f t="shared" si="10"/>
        <v/>
      </c>
      <c r="AB41" s="600" t="str">
        <f t="shared" si="10"/>
        <v/>
      </c>
      <c r="AC41" s="600" t="str">
        <f t="shared" si="10"/>
        <v/>
      </c>
      <c r="AD41" s="600" t="str">
        <f t="shared" si="10"/>
        <v/>
      </c>
      <c r="AE41" s="600" t="str">
        <f t="shared" si="10"/>
        <v/>
      </c>
      <c r="AF41" s="600" t="str">
        <f t="shared" si="10"/>
        <v/>
      </c>
      <c r="AG41" s="600" t="str">
        <f t="shared" si="10"/>
        <v/>
      </c>
      <c r="AH41" s="600" t="str">
        <f t="shared" si="10"/>
        <v/>
      </c>
      <c r="AI41" s="600" t="str">
        <f t="shared" si="10"/>
        <v/>
      </c>
      <c r="AJ41" s="600" t="str">
        <f t="shared" si="10"/>
        <v/>
      </c>
      <c r="AK41" s="601" t="str">
        <f t="shared" si="10"/>
        <v/>
      </c>
      <c r="AL41" s="600" t="str">
        <f t="shared" si="10"/>
        <v/>
      </c>
      <c r="AM41" s="600" t="str">
        <f t="shared" si="10"/>
        <v/>
      </c>
      <c r="AN41" s="600" t="str">
        <f t="shared" si="10"/>
        <v/>
      </c>
      <c r="AO41" s="601" t="str">
        <f t="shared" si="10"/>
        <v/>
      </c>
      <c r="AP41" s="600">
        <f t="shared" si="10"/>
        <v>79</v>
      </c>
      <c r="AQ41" s="600" t="str">
        <f t="shared" si="10"/>
        <v/>
      </c>
      <c r="AR41" s="600" t="str">
        <f t="shared" si="10"/>
        <v/>
      </c>
      <c r="AS41" s="600" t="str">
        <f t="shared" si="10"/>
        <v/>
      </c>
      <c r="AT41" s="600" t="str">
        <f t="shared" si="10"/>
        <v/>
      </c>
      <c r="AU41" s="600">
        <f t="shared" si="10"/>
        <v>2</v>
      </c>
      <c r="AV41" s="600">
        <f t="shared" si="10"/>
        <v>3</v>
      </c>
      <c r="AW41" s="600" t="str">
        <f t="shared" si="10"/>
        <v/>
      </c>
      <c r="AX41" s="600">
        <f t="shared" si="10"/>
        <v>354</v>
      </c>
      <c r="AY41" s="600" t="str">
        <f t="shared" si="10"/>
        <v/>
      </c>
      <c r="AZ41" s="600" t="str">
        <f t="shared" si="10"/>
        <v/>
      </c>
      <c r="BA41" s="600" t="str">
        <f t="shared" si="10"/>
        <v/>
      </c>
      <c r="BB41" s="600" t="str">
        <f t="shared" si="10"/>
        <v/>
      </c>
      <c r="BC41" s="601" t="str">
        <f t="shared" si="10"/>
        <v/>
      </c>
      <c r="BD41" s="600" t="str">
        <f t="shared" si="10"/>
        <v/>
      </c>
      <c r="BE41" s="600" t="str">
        <f t="shared" si="10"/>
        <v/>
      </c>
      <c r="BF41" s="600" t="str">
        <f>IF(AND(BF39=TRUE,BF32=TRUE),ROUND((BF38/100)*BF40,1),BF38)</f>
        <v/>
      </c>
      <c r="BG41" s="600" t="str">
        <f>IF(AND(BG39=TRUE,BG32=TRUE),ROUND((BG38/100)*BG40,1),BG38)</f>
        <v/>
      </c>
      <c r="BH41" s="600" t="str">
        <f t="shared" si="10"/>
        <v/>
      </c>
      <c r="BI41" s="600" t="str">
        <f t="shared" si="10"/>
        <v/>
      </c>
      <c r="BJ41" s="600" t="str">
        <f t="shared" si="10"/>
        <v/>
      </c>
      <c r="BK41" s="600" t="str">
        <f t="shared" si="10"/>
        <v/>
      </c>
      <c r="BL41" s="600" t="str">
        <f t="shared" si="10"/>
        <v/>
      </c>
      <c r="BM41" s="600" t="str">
        <f t="shared" si="10"/>
        <v/>
      </c>
      <c r="BN41" s="600" t="str">
        <f t="shared" si="10"/>
        <v/>
      </c>
      <c r="BO41" s="600" t="str">
        <f t="shared" si="10"/>
        <v/>
      </c>
      <c r="BP41" s="600" t="str">
        <f t="shared" si="10"/>
        <v/>
      </c>
      <c r="BQ41" s="600" t="str">
        <f t="shared" si="10"/>
        <v/>
      </c>
      <c r="BR41" s="600" t="str">
        <f t="shared" si="10"/>
        <v/>
      </c>
      <c r="BS41" s="600" t="str">
        <f t="shared" si="10"/>
        <v/>
      </c>
    </row>
    <row r="42" spans="1:71" s="202" customFormat="1" ht="13.15">
      <c r="A42" s="453"/>
      <c r="B42" s="453"/>
      <c r="C42" s="453"/>
      <c r="D42" s="453"/>
      <c r="E42" s="453"/>
      <c r="F42" s="453"/>
      <c r="G42" s="453"/>
      <c r="H42" s="453"/>
      <c r="I42" s="453"/>
      <c r="J42" s="494"/>
      <c r="K42" s="494"/>
      <c r="L42" s="494"/>
      <c r="M42" s="494"/>
      <c r="N42" s="494"/>
      <c r="O42" s="494"/>
      <c r="P42" s="494"/>
      <c r="Q42" s="496"/>
      <c r="R42" s="494"/>
      <c r="S42" s="494"/>
      <c r="T42" s="494"/>
      <c r="U42" s="494"/>
      <c r="V42" s="494"/>
      <c r="W42" s="494"/>
      <c r="X42" s="494"/>
      <c r="Y42" s="494"/>
      <c r="Z42" s="494"/>
      <c r="AA42" s="494"/>
      <c r="AB42" s="494"/>
      <c r="AC42" s="494"/>
      <c r="AD42" s="494"/>
      <c r="AE42" s="494"/>
      <c r="AF42" s="494"/>
      <c r="AG42" s="494"/>
      <c r="AH42" s="494"/>
      <c r="AI42" s="494"/>
      <c r="AJ42" s="494"/>
      <c r="AK42" s="496"/>
      <c r="AL42" s="494"/>
      <c r="AM42" s="494"/>
      <c r="AN42" s="494"/>
      <c r="AO42" s="496"/>
      <c r="AP42" s="494"/>
      <c r="AQ42" s="494"/>
      <c r="AR42" s="494"/>
      <c r="AS42" s="494"/>
      <c r="AT42" s="494"/>
      <c r="AU42" s="494"/>
      <c r="AV42" s="494"/>
      <c r="AW42" s="494"/>
      <c r="AX42" s="494"/>
      <c r="AY42" s="494"/>
      <c r="AZ42" s="494"/>
      <c r="BA42" s="494"/>
      <c r="BB42" s="494"/>
      <c r="BC42" s="496"/>
      <c r="BD42" s="494"/>
      <c r="BE42" s="494"/>
      <c r="BF42" s="494"/>
      <c r="BG42" s="494"/>
      <c r="BH42" s="494"/>
      <c r="BI42" s="494"/>
      <c r="BJ42" s="494"/>
      <c r="BK42" s="494"/>
      <c r="BL42" s="494"/>
      <c r="BM42" s="494"/>
      <c r="BN42" s="494"/>
      <c r="BO42" s="494"/>
      <c r="BP42" s="494"/>
      <c r="BQ42" s="494"/>
      <c r="BR42" s="494"/>
      <c r="BS42" s="494"/>
    </row>
    <row r="43" spans="1:71" s="202" customFormat="1" ht="13.15">
      <c r="A43" s="453"/>
      <c r="B43" s="453"/>
      <c r="C43" s="453"/>
      <c r="D43" s="463" t="s">
        <v>1211</v>
      </c>
      <c r="E43" s="453"/>
      <c r="F43" s="453"/>
      <c r="G43" s="453"/>
      <c r="H43" s="453"/>
      <c r="I43" s="453"/>
      <c r="J43" s="494"/>
      <c r="K43" s="494"/>
      <c r="L43" s="494"/>
      <c r="M43" s="494"/>
      <c r="N43" s="494"/>
      <c r="O43" s="494"/>
      <c r="P43" s="494"/>
      <c r="Q43" s="496"/>
      <c r="R43" s="494"/>
      <c r="S43" s="494"/>
      <c r="T43" s="494"/>
      <c r="U43" s="494"/>
      <c r="V43" s="494"/>
      <c r="W43" s="494"/>
      <c r="X43" s="494"/>
      <c r="Y43" s="494"/>
      <c r="Z43" s="494"/>
      <c r="AA43" s="494"/>
      <c r="AB43" s="494"/>
      <c r="AC43" s="494"/>
      <c r="AD43" s="494"/>
      <c r="AE43" s="494"/>
      <c r="AF43" s="494"/>
      <c r="AG43" s="494"/>
      <c r="AH43" s="494"/>
      <c r="AI43" s="494"/>
      <c r="AJ43" s="494"/>
      <c r="AK43" s="496"/>
      <c r="AL43" s="494"/>
      <c r="AM43" s="494"/>
      <c r="AN43" s="494"/>
      <c r="AO43" s="496"/>
      <c r="AP43" s="494"/>
      <c r="AQ43" s="494"/>
      <c r="AR43" s="494"/>
      <c r="AS43" s="494"/>
      <c r="AT43" s="494"/>
      <c r="AU43" s="494"/>
      <c r="AV43" s="494"/>
      <c r="AW43" s="494"/>
      <c r="AX43" s="494"/>
      <c r="AY43" s="494"/>
      <c r="AZ43" s="494"/>
      <c r="BA43" s="494"/>
      <c r="BB43" s="494"/>
      <c r="BC43" s="496"/>
      <c r="BD43" s="494"/>
      <c r="BE43" s="494"/>
      <c r="BF43" s="494"/>
      <c r="BG43" s="494"/>
      <c r="BH43" s="494"/>
      <c r="BI43" s="494"/>
      <c r="BJ43" s="494"/>
      <c r="BK43" s="494"/>
      <c r="BL43" s="494"/>
      <c r="BM43" s="494"/>
      <c r="BN43" s="494"/>
      <c r="BO43" s="494"/>
      <c r="BP43" s="494"/>
      <c r="BQ43" s="494"/>
      <c r="BR43" s="494"/>
      <c r="BS43" s="494"/>
    </row>
    <row r="44" spans="1:71" s="202" customFormat="1" ht="13.15">
      <c r="A44" s="453"/>
      <c r="B44" s="453"/>
      <c r="C44" s="453"/>
      <c r="D44" s="453"/>
      <c r="E44" s="583" t="str">
        <f>InpPerformance!E49</f>
        <v>Standard outperformance rate</v>
      </c>
      <c r="F44" s="453"/>
      <c r="G44" s="583" t="str">
        <f>InpPerformance!G49</f>
        <v>£m/unit (2017-18 prices)</v>
      </c>
      <c r="H44" s="453"/>
      <c r="I44" s="453"/>
      <c r="J44" s="596">
        <f>InpPerformance!J49</f>
        <v>0</v>
      </c>
      <c r="K44" s="596">
        <f>InpPerformance!K49</f>
        <v>0.24399999999999999</v>
      </c>
      <c r="L44" s="596">
        <f>InpPerformance!L49</f>
        <v>0.13700000000000001</v>
      </c>
      <c r="M44" s="596" t="str">
        <f>InpPerformance!M49</f>
        <v/>
      </c>
      <c r="N44" s="596">
        <f>InpPerformance!N49</f>
        <v>7.0000000000000007E-2</v>
      </c>
      <c r="O44" s="596" t="str">
        <f>InpPerformance!O49</f>
        <v/>
      </c>
      <c r="P44" s="596">
        <f>InpPerformance!P49</f>
        <v>5.5E-2</v>
      </c>
      <c r="Q44" s="597" t="str">
        <f>InpPerformance!Q49</f>
        <v/>
      </c>
      <c r="R44" s="596">
        <f>InpPerformance!R49</f>
        <v>3.85</v>
      </c>
      <c r="S44" s="596">
        <f>InpPerformance!S49</f>
        <v>3.85</v>
      </c>
      <c r="T44" s="596">
        <f>InpPerformance!T49</f>
        <v>0.51100000000000001</v>
      </c>
      <c r="U44" s="596">
        <f>InpPerformance!U49</f>
        <v>3.63E-6</v>
      </c>
      <c r="V44" s="596">
        <f>InpPerformance!V49</f>
        <v>1.2</v>
      </c>
      <c r="W44" s="596">
        <f>InpPerformance!W49</f>
        <v>2.5000000000000001E-5</v>
      </c>
      <c r="X44" s="596" t="str">
        <f>InpPerformance!X49</f>
        <v/>
      </c>
      <c r="Y44" s="596" t="str">
        <f>InpPerformance!Y49</f>
        <v/>
      </c>
      <c r="Z44" s="596" t="str">
        <f>InpPerformance!Z49</f>
        <v/>
      </c>
      <c r="AA44" s="596" t="str">
        <f>InpPerformance!AA49</f>
        <v/>
      </c>
      <c r="AB44" s="596" t="str">
        <f>InpPerformance!AB49</f>
        <v/>
      </c>
      <c r="AC44" s="596" t="str">
        <f>InpPerformance!AC49</f>
        <v/>
      </c>
      <c r="AD44" s="596" t="str">
        <f>InpPerformance!AD49</f>
        <v/>
      </c>
      <c r="AE44" s="596" t="str">
        <f>InpPerformance!AE49</f>
        <v/>
      </c>
      <c r="AF44" s="596" t="str">
        <f>InpPerformance!AF49</f>
        <v/>
      </c>
      <c r="AG44" s="596" t="str">
        <f>InpPerformance!AG49</f>
        <v/>
      </c>
      <c r="AH44" s="596" t="str">
        <f>InpPerformance!AH49</f>
        <v/>
      </c>
      <c r="AI44" s="596" t="str">
        <f>InpPerformance!AI49</f>
        <v/>
      </c>
      <c r="AJ44" s="596" t="str">
        <f>InpPerformance!AJ49</f>
        <v/>
      </c>
      <c r="AK44" s="597" t="str">
        <f>InpPerformance!AK49</f>
        <v/>
      </c>
      <c r="AL44" s="596">
        <f>InpPerformance!AL49</f>
        <v>5.5570000000000004</v>
      </c>
      <c r="AM44" s="596">
        <f>InpPerformance!AM49</f>
        <v>0.27</v>
      </c>
      <c r="AN44" s="596" t="str">
        <f>InpPerformance!AN49</f>
        <v/>
      </c>
      <c r="AO44" s="597" t="str">
        <f>InpPerformance!AO49</f>
        <v/>
      </c>
      <c r="AP44" s="596">
        <f>InpPerformance!AP49</f>
        <v>3.2899999999999998E-6</v>
      </c>
      <c r="AQ44" s="596">
        <f>InpPerformance!AQ49</f>
        <v>0.221</v>
      </c>
      <c r="AR44" s="596" t="str">
        <f>InpPerformance!AR49</f>
        <v/>
      </c>
      <c r="AS44" s="596" t="str">
        <f>InpPerformance!AS49</f>
        <v/>
      </c>
      <c r="AT44" s="596" t="str">
        <f>InpPerformance!AT49</f>
        <v/>
      </c>
      <c r="AU44" s="596">
        <f>InpPerformance!AU49</f>
        <v>1.1910000000000001</v>
      </c>
      <c r="AV44" s="596">
        <f>InpPerformance!AV49</f>
        <v>1.1910000000000001</v>
      </c>
      <c r="AW44" s="596">
        <f>InpPerformance!AW49</f>
        <v>2.08E-6</v>
      </c>
      <c r="AX44" s="596">
        <f>InpPerformance!AX49</f>
        <v>4.81E-3</v>
      </c>
      <c r="AY44" s="596" t="str">
        <f>InpPerformance!AY49</f>
        <v/>
      </c>
      <c r="AZ44" s="596" t="str">
        <f>InpPerformance!AZ49</f>
        <v/>
      </c>
      <c r="BA44" s="596" t="str">
        <f>InpPerformance!BA49</f>
        <v/>
      </c>
      <c r="BB44" s="596" t="str">
        <f>InpPerformance!BB49</f>
        <v/>
      </c>
      <c r="BC44" s="597" t="str">
        <f>InpPerformance!BC49</f>
        <v/>
      </c>
      <c r="BD44" s="596" t="str">
        <f>InpPerformance!BD49</f>
        <v/>
      </c>
      <c r="BE44" s="596" t="str">
        <f>InpPerformance!BE49</f>
        <v/>
      </c>
      <c r="BF44" s="596" t="str">
        <f>InpPerformance!BF49</f>
        <v/>
      </c>
      <c r="BG44" s="596" t="str">
        <f>InpPerformance!BG49</f>
        <v/>
      </c>
      <c r="BH44" s="596" t="str">
        <f>InpPerformance!BH49</f>
        <v/>
      </c>
      <c r="BI44" s="596" t="str">
        <f>InpPerformance!BI49</f>
        <v/>
      </c>
      <c r="BJ44" s="596" t="str">
        <f>InpPerformance!BJ49</f>
        <v/>
      </c>
      <c r="BK44" s="596" t="str">
        <f>InpPerformance!BK49</f>
        <v/>
      </c>
      <c r="BL44" s="596" t="str">
        <f>InpPerformance!BL49</f>
        <v/>
      </c>
      <c r="BM44" s="596" t="str">
        <f>InpPerformance!BM49</f>
        <v/>
      </c>
      <c r="BN44" s="596" t="str">
        <f>InpPerformance!BN49</f>
        <v/>
      </c>
      <c r="BO44" s="596" t="str">
        <f>InpPerformance!BO49</f>
        <v/>
      </c>
      <c r="BP44" s="596" t="str">
        <f>InpPerformance!BP49</f>
        <v/>
      </c>
      <c r="BQ44" s="596" t="str">
        <f>InpPerformance!BQ49</f>
        <v/>
      </c>
      <c r="BR44" s="596" t="str">
        <f>InpPerformance!BR49</f>
        <v/>
      </c>
      <c r="BS44" s="596" t="str">
        <f>InpPerformance!BS49</f>
        <v/>
      </c>
    </row>
    <row r="45" spans="1:71" s="202" customFormat="1" ht="12" customHeight="1">
      <c r="A45" s="453"/>
      <c r="B45" s="453"/>
      <c r="C45" s="453"/>
      <c r="D45" s="453"/>
      <c r="E45" s="453" t="s">
        <v>1212</v>
      </c>
      <c r="F45" s="453"/>
      <c r="G45" s="602" t="str">
        <f>InpCompany!$F$11</f>
        <v>£m (2017-18 prices)</v>
      </c>
      <c r="H45" s="453"/>
      <c r="I45" s="453"/>
      <c r="J45" s="576">
        <f>IF(J32=TRUE,J41*J44,0)</f>
        <v>0</v>
      </c>
      <c r="K45" s="576">
        <f t="shared" ref="K45:BS45" si="11">IF(K32=TRUE,K41*K44,0)</f>
        <v>0</v>
      </c>
      <c r="L45" s="576">
        <f t="shared" si="11"/>
        <v>0</v>
      </c>
      <c r="M45" s="576">
        <f>IF(M32=TRUE,M41*M44,0)</f>
        <v>0</v>
      </c>
      <c r="N45" s="576">
        <f t="shared" si="11"/>
        <v>0</v>
      </c>
      <c r="O45" s="576">
        <f>IF(O32=TRUE,O41*O44,0)</f>
        <v>0</v>
      </c>
      <c r="P45" s="576">
        <f t="shared" si="11"/>
        <v>0</v>
      </c>
      <c r="Q45" s="577">
        <f t="shared" si="11"/>
        <v>0</v>
      </c>
      <c r="R45" s="576">
        <f t="shared" si="11"/>
        <v>0</v>
      </c>
      <c r="S45" s="576">
        <f t="shared" si="11"/>
        <v>0</v>
      </c>
      <c r="T45" s="576">
        <f t="shared" si="11"/>
        <v>0.51100000000000001</v>
      </c>
      <c r="U45" s="576">
        <f t="shared" si="11"/>
        <v>0</v>
      </c>
      <c r="V45" s="576">
        <f t="shared" si="11"/>
        <v>0</v>
      </c>
      <c r="W45" s="576">
        <f t="shared" si="11"/>
        <v>0</v>
      </c>
      <c r="X45" s="576">
        <f t="shared" si="11"/>
        <v>0</v>
      </c>
      <c r="Y45" s="576">
        <f t="shared" si="11"/>
        <v>0</v>
      </c>
      <c r="Z45" s="576">
        <f t="shared" si="11"/>
        <v>0</v>
      </c>
      <c r="AA45" s="576">
        <f t="shared" si="11"/>
        <v>0</v>
      </c>
      <c r="AB45" s="576">
        <f t="shared" si="11"/>
        <v>0</v>
      </c>
      <c r="AC45" s="576">
        <f t="shared" si="11"/>
        <v>0</v>
      </c>
      <c r="AD45" s="576">
        <f t="shared" si="11"/>
        <v>0</v>
      </c>
      <c r="AE45" s="576">
        <f t="shared" si="11"/>
        <v>0</v>
      </c>
      <c r="AF45" s="576">
        <f t="shared" si="11"/>
        <v>0</v>
      </c>
      <c r="AG45" s="576">
        <f t="shared" si="11"/>
        <v>0</v>
      </c>
      <c r="AH45" s="576">
        <f t="shared" si="11"/>
        <v>0</v>
      </c>
      <c r="AI45" s="576">
        <f t="shared" si="11"/>
        <v>0</v>
      </c>
      <c r="AJ45" s="576">
        <f t="shared" si="11"/>
        <v>0</v>
      </c>
      <c r="AK45" s="577">
        <f t="shared" si="11"/>
        <v>0</v>
      </c>
      <c r="AL45" s="576">
        <f t="shared" si="11"/>
        <v>0</v>
      </c>
      <c r="AM45" s="576">
        <f t="shared" si="11"/>
        <v>0</v>
      </c>
      <c r="AN45" s="576">
        <f t="shared" si="11"/>
        <v>0</v>
      </c>
      <c r="AO45" s="577">
        <f t="shared" si="11"/>
        <v>0</v>
      </c>
      <c r="AP45" s="576">
        <f t="shared" si="11"/>
        <v>2.5990999999999997E-4</v>
      </c>
      <c r="AQ45" s="576">
        <f t="shared" si="11"/>
        <v>0</v>
      </c>
      <c r="AR45" s="576">
        <f t="shared" si="11"/>
        <v>0</v>
      </c>
      <c r="AS45" s="576">
        <f t="shared" si="11"/>
        <v>0</v>
      </c>
      <c r="AT45" s="576">
        <f t="shared" si="11"/>
        <v>0</v>
      </c>
      <c r="AU45" s="576">
        <f t="shared" si="11"/>
        <v>2.3820000000000001</v>
      </c>
      <c r="AV45" s="576">
        <f t="shared" si="11"/>
        <v>3.5730000000000004</v>
      </c>
      <c r="AW45" s="576">
        <f t="shared" si="11"/>
        <v>0</v>
      </c>
      <c r="AX45" s="576">
        <f t="shared" si="11"/>
        <v>1.7027399999999999</v>
      </c>
      <c r="AY45" s="576">
        <f t="shared" si="11"/>
        <v>0</v>
      </c>
      <c r="AZ45" s="576">
        <f t="shared" si="11"/>
        <v>0</v>
      </c>
      <c r="BA45" s="576">
        <f t="shared" si="11"/>
        <v>0</v>
      </c>
      <c r="BB45" s="576">
        <f t="shared" si="11"/>
        <v>0</v>
      </c>
      <c r="BC45" s="577">
        <f t="shared" si="11"/>
        <v>0</v>
      </c>
      <c r="BD45" s="576">
        <f t="shared" si="11"/>
        <v>0</v>
      </c>
      <c r="BE45" s="576">
        <f t="shared" si="11"/>
        <v>0</v>
      </c>
      <c r="BF45" s="576">
        <f>IF(BF32=TRUE,BF41*BF44,0)</f>
        <v>0</v>
      </c>
      <c r="BG45" s="576">
        <f>IF(BG32=TRUE,BG41*BG44,0)</f>
        <v>0</v>
      </c>
      <c r="BH45" s="576">
        <f t="shared" si="11"/>
        <v>0</v>
      </c>
      <c r="BI45" s="576">
        <f t="shared" si="11"/>
        <v>0</v>
      </c>
      <c r="BJ45" s="576">
        <f t="shared" si="11"/>
        <v>0</v>
      </c>
      <c r="BK45" s="576">
        <f t="shared" si="11"/>
        <v>0</v>
      </c>
      <c r="BL45" s="576">
        <f t="shared" si="11"/>
        <v>0</v>
      </c>
      <c r="BM45" s="576">
        <f t="shared" si="11"/>
        <v>0</v>
      </c>
      <c r="BN45" s="576">
        <f t="shared" si="11"/>
        <v>0</v>
      </c>
      <c r="BO45" s="576">
        <f t="shared" si="11"/>
        <v>0</v>
      </c>
      <c r="BP45" s="576">
        <f t="shared" si="11"/>
        <v>0</v>
      </c>
      <c r="BQ45" s="576">
        <f t="shared" si="11"/>
        <v>0</v>
      </c>
      <c r="BR45" s="576">
        <f t="shared" si="11"/>
        <v>0</v>
      </c>
      <c r="BS45" s="576">
        <f t="shared" si="11"/>
        <v>0</v>
      </c>
    </row>
    <row r="46" spans="1:71" s="202" customFormat="1" ht="12" customHeight="1">
      <c r="A46" s="453"/>
      <c r="B46" s="453"/>
      <c r="C46" s="453"/>
      <c r="D46" s="453"/>
      <c r="E46" s="453"/>
      <c r="F46" s="453"/>
      <c r="G46" s="453"/>
      <c r="H46" s="453"/>
      <c r="I46" s="453"/>
      <c r="J46" s="576"/>
      <c r="K46" s="576"/>
      <c r="L46" s="576"/>
      <c r="M46" s="576"/>
      <c r="N46" s="576"/>
      <c r="O46" s="576"/>
      <c r="P46" s="576"/>
      <c r="Q46" s="577"/>
      <c r="R46" s="576"/>
      <c r="S46" s="576"/>
      <c r="T46" s="576"/>
      <c r="U46" s="576"/>
      <c r="V46" s="576"/>
      <c r="W46" s="576"/>
      <c r="X46" s="576"/>
      <c r="Y46" s="576"/>
      <c r="Z46" s="576"/>
      <c r="AA46" s="576"/>
      <c r="AB46" s="576"/>
      <c r="AC46" s="576"/>
      <c r="AD46" s="576"/>
      <c r="AE46" s="576"/>
      <c r="AF46" s="576"/>
      <c r="AG46" s="576"/>
      <c r="AH46" s="576"/>
      <c r="AI46" s="576"/>
      <c r="AJ46" s="576"/>
      <c r="AK46" s="577"/>
      <c r="AL46" s="576"/>
      <c r="AM46" s="576"/>
      <c r="AN46" s="576"/>
      <c r="AO46" s="577"/>
      <c r="AP46" s="576"/>
      <c r="AQ46" s="576"/>
      <c r="AR46" s="576"/>
      <c r="AS46" s="576"/>
      <c r="AT46" s="576"/>
      <c r="AU46" s="576"/>
      <c r="AV46" s="576"/>
      <c r="AW46" s="576"/>
      <c r="AX46" s="576"/>
      <c r="AY46" s="576"/>
      <c r="AZ46" s="576"/>
      <c r="BA46" s="576"/>
      <c r="BB46" s="576"/>
      <c r="BC46" s="577"/>
      <c r="BD46" s="576"/>
      <c r="BE46" s="576"/>
      <c r="BF46" s="576"/>
      <c r="BG46" s="576"/>
      <c r="BH46" s="576"/>
      <c r="BI46" s="576"/>
      <c r="BJ46" s="576"/>
      <c r="BK46" s="576"/>
      <c r="BL46" s="576"/>
      <c r="BM46" s="576"/>
      <c r="BN46" s="576"/>
      <c r="BO46" s="576"/>
      <c r="BP46" s="576"/>
      <c r="BQ46" s="576"/>
      <c r="BR46" s="576"/>
      <c r="BS46" s="576"/>
    </row>
    <row r="47" spans="1:71" s="202" customFormat="1" ht="13.15">
      <c r="A47" s="453"/>
      <c r="B47" s="453"/>
      <c r="C47" s="463" t="s">
        <v>1213</v>
      </c>
      <c r="D47" s="453"/>
      <c r="E47" s="453"/>
      <c r="F47" s="453"/>
      <c r="G47" s="453"/>
      <c r="H47" s="453"/>
      <c r="I47" s="453"/>
      <c r="J47" s="490"/>
      <c r="K47" s="490"/>
      <c r="L47" s="490"/>
      <c r="M47" s="490"/>
      <c r="N47" s="490"/>
      <c r="O47" s="490"/>
      <c r="P47" s="490"/>
      <c r="Q47" s="491"/>
      <c r="R47" s="490"/>
      <c r="S47" s="490"/>
      <c r="T47" s="490"/>
      <c r="U47" s="490"/>
      <c r="V47" s="490"/>
      <c r="W47" s="490"/>
      <c r="X47" s="490"/>
      <c r="Y47" s="490"/>
      <c r="Z47" s="490"/>
      <c r="AA47" s="490"/>
      <c r="AB47" s="490"/>
      <c r="AC47" s="490"/>
      <c r="AD47" s="490"/>
      <c r="AE47" s="490"/>
      <c r="AF47" s="490"/>
      <c r="AG47" s="490"/>
      <c r="AH47" s="490"/>
      <c r="AI47" s="490"/>
      <c r="AJ47" s="490"/>
      <c r="AK47" s="491"/>
      <c r="AL47" s="490"/>
      <c r="AM47" s="490"/>
      <c r="AN47" s="490"/>
      <c r="AO47" s="491"/>
      <c r="AP47" s="490"/>
      <c r="AQ47" s="490"/>
      <c r="AR47" s="490"/>
      <c r="AS47" s="490"/>
      <c r="AT47" s="490"/>
      <c r="AU47" s="490"/>
      <c r="AV47" s="490"/>
      <c r="AW47" s="490"/>
      <c r="AX47" s="490"/>
      <c r="AY47" s="490"/>
      <c r="AZ47" s="490"/>
      <c r="BA47" s="490"/>
      <c r="BB47" s="490"/>
      <c r="BC47" s="491"/>
      <c r="BD47" s="490"/>
      <c r="BE47" s="490"/>
      <c r="BF47" s="490"/>
      <c r="BG47" s="490"/>
      <c r="BH47" s="490"/>
      <c r="BI47" s="490"/>
      <c r="BJ47" s="490"/>
      <c r="BK47" s="490"/>
      <c r="BL47" s="490"/>
      <c r="BM47" s="490"/>
      <c r="BN47" s="490"/>
      <c r="BO47" s="490"/>
      <c r="BP47" s="490"/>
      <c r="BQ47" s="490"/>
      <c r="BR47" s="490"/>
      <c r="BS47" s="490"/>
    </row>
    <row r="48" spans="1:71" s="202" customFormat="1" ht="13.15">
      <c r="A48" s="453"/>
      <c r="B48" s="453"/>
      <c r="C48" s="453"/>
      <c r="D48" s="453"/>
      <c r="E48" s="453" t="s">
        <v>1214</v>
      </c>
      <c r="F48" s="453"/>
      <c r="G48" s="453" t="s">
        <v>418</v>
      </c>
      <c r="H48" s="453"/>
      <c r="I48" s="453"/>
      <c r="J48" s="523" t="b">
        <f>IF(J27&lt;&gt;"",TRUE,FALSE)</f>
        <v>1</v>
      </c>
      <c r="K48" s="523" t="b">
        <f t="shared" ref="K48:BS48" si="12">IF(K27&lt;&gt;"",TRUE,FALSE)</f>
        <v>1</v>
      </c>
      <c r="L48" s="523" t="b">
        <f t="shared" si="12"/>
        <v>1</v>
      </c>
      <c r="M48" s="523" t="b">
        <f>IF(M27&lt;&gt;"",TRUE,FALSE)</f>
        <v>0</v>
      </c>
      <c r="N48" s="523" t="b">
        <f t="shared" si="12"/>
        <v>1</v>
      </c>
      <c r="O48" s="523" t="b">
        <f>IF(O27&lt;&gt;"",TRUE,FALSE)</f>
        <v>0</v>
      </c>
      <c r="P48" s="523" t="b">
        <f t="shared" si="12"/>
        <v>1</v>
      </c>
      <c r="Q48" s="524" t="b">
        <f t="shared" si="12"/>
        <v>1</v>
      </c>
      <c r="R48" s="523" t="b">
        <f t="shared" si="12"/>
        <v>1</v>
      </c>
      <c r="S48" s="523" t="b">
        <f t="shared" si="12"/>
        <v>1</v>
      </c>
      <c r="T48" s="523" t="b">
        <f t="shared" si="12"/>
        <v>1</v>
      </c>
      <c r="U48" s="523" t="b">
        <f t="shared" si="12"/>
        <v>0</v>
      </c>
      <c r="V48" s="523" t="b">
        <f t="shared" si="12"/>
        <v>1</v>
      </c>
      <c r="W48" s="523" t="b">
        <f t="shared" si="12"/>
        <v>0</v>
      </c>
      <c r="X48" s="523" t="b">
        <f t="shared" si="12"/>
        <v>1</v>
      </c>
      <c r="Y48" s="523" t="b">
        <f t="shared" si="12"/>
        <v>1</v>
      </c>
      <c r="Z48" s="523" t="b">
        <f t="shared" si="12"/>
        <v>1</v>
      </c>
      <c r="AA48" s="523" t="b">
        <f t="shared" si="12"/>
        <v>0</v>
      </c>
      <c r="AB48" s="523" t="b">
        <f t="shared" si="12"/>
        <v>0</v>
      </c>
      <c r="AC48" s="523" t="b">
        <f t="shared" si="12"/>
        <v>0</v>
      </c>
      <c r="AD48" s="523" t="b">
        <f t="shared" si="12"/>
        <v>0</v>
      </c>
      <c r="AE48" s="523" t="b">
        <f t="shared" si="12"/>
        <v>0</v>
      </c>
      <c r="AF48" s="523" t="b">
        <f t="shared" si="12"/>
        <v>0</v>
      </c>
      <c r="AG48" s="523" t="b">
        <f t="shared" si="12"/>
        <v>0</v>
      </c>
      <c r="AH48" s="523" t="b">
        <f t="shared" si="12"/>
        <v>0</v>
      </c>
      <c r="AI48" s="523" t="b">
        <f t="shared" si="12"/>
        <v>0</v>
      </c>
      <c r="AJ48" s="523" t="b">
        <f t="shared" si="12"/>
        <v>0</v>
      </c>
      <c r="AK48" s="524" t="b">
        <f t="shared" si="12"/>
        <v>0</v>
      </c>
      <c r="AL48" s="523" t="b">
        <f t="shared" si="12"/>
        <v>1</v>
      </c>
      <c r="AM48" s="523" t="b">
        <f t="shared" si="12"/>
        <v>1</v>
      </c>
      <c r="AN48" s="523" t="b">
        <f t="shared" si="12"/>
        <v>1</v>
      </c>
      <c r="AO48" s="524" t="b">
        <f t="shared" si="12"/>
        <v>1</v>
      </c>
      <c r="AP48" s="523" t="b">
        <f t="shared" si="12"/>
        <v>0</v>
      </c>
      <c r="AQ48" s="523" t="b">
        <f t="shared" si="12"/>
        <v>1</v>
      </c>
      <c r="AR48" s="523" t="b">
        <f t="shared" si="12"/>
        <v>1</v>
      </c>
      <c r="AS48" s="523" t="b">
        <f t="shared" si="12"/>
        <v>1</v>
      </c>
      <c r="AT48" s="523" t="b">
        <f t="shared" si="12"/>
        <v>1</v>
      </c>
      <c r="AU48" s="523" t="b">
        <f t="shared" si="12"/>
        <v>1</v>
      </c>
      <c r="AV48" s="523" t="b">
        <f t="shared" si="12"/>
        <v>1</v>
      </c>
      <c r="AW48" s="523" t="b">
        <f t="shared" si="12"/>
        <v>1</v>
      </c>
      <c r="AX48" s="523" t="b">
        <f t="shared" si="12"/>
        <v>1</v>
      </c>
      <c r="AY48" s="523" t="b">
        <f t="shared" si="12"/>
        <v>1</v>
      </c>
      <c r="AZ48" s="523" t="b">
        <f t="shared" si="12"/>
        <v>0</v>
      </c>
      <c r="BA48" s="523" t="b">
        <f t="shared" si="12"/>
        <v>0</v>
      </c>
      <c r="BB48" s="523" t="b">
        <f t="shared" si="12"/>
        <v>0</v>
      </c>
      <c r="BC48" s="524" t="b">
        <f t="shared" si="12"/>
        <v>0</v>
      </c>
      <c r="BD48" s="523" t="b">
        <f t="shared" si="12"/>
        <v>0</v>
      </c>
      <c r="BE48" s="523" t="b">
        <f t="shared" si="12"/>
        <v>0</v>
      </c>
      <c r="BF48" s="523" t="b">
        <f>IF(BF27&lt;&gt;"",TRUE,FALSE)</f>
        <v>0</v>
      </c>
      <c r="BG48" s="523" t="b">
        <f>IF(BG27&lt;&gt;"",TRUE,FALSE)</f>
        <v>0</v>
      </c>
      <c r="BH48" s="523" t="b">
        <f t="shared" si="12"/>
        <v>0</v>
      </c>
      <c r="BI48" s="523" t="b">
        <f t="shared" si="12"/>
        <v>0</v>
      </c>
      <c r="BJ48" s="523" t="b">
        <f t="shared" si="12"/>
        <v>0</v>
      </c>
      <c r="BK48" s="523" t="b">
        <f t="shared" si="12"/>
        <v>0</v>
      </c>
      <c r="BL48" s="523" t="b">
        <f t="shared" si="12"/>
        <v>0</v>
      </c>
      <c r="BM48" s="523" t="b">
        <f t="shared" si="12"/>
        <v>0</v>
      </c>
      <c r="BN48" s="523" t="b">
        <f t="shared" si="12"/>
        <v>0</v>
      </c>
      <c r="BO48" s="523" t="b">
        <f t="shared" si="12"/>
        <v>0</v>
      </c>
      <c r="BP48" s="523" t="b">
        <f t="shared" si="12"/>
        <v>0</v>
      </c>
      <c r="BQ48" s="523" t="b">
        <f t="shared" si="12"/>
        <v>0</v>
      </c>
      <c r="BR48" s="523" t="b">
        <f t="shared" si="12"/>
        <v>0</v>
      </c>
      <c r="BS48" s="523" t="b">
        <f t="shared" si="12"/>
        <v>0</v>
      </c>
    </row>
    <row r="49" spans="1:71" s="202" customFormat="1" ht="13.15">
      <c r="A49" s="453"/>
      <c r="B49" s="453"/>
      <c r="C49" s="453"/>
      <c r="D49" s="453"/>
      <c r="E49" s="453" t="s">
        <v>1215</v>
      </c>
      <c r="F49" s="453"/>
      <c r="G49" s="453" t="s">
        <v>418</v>
      </c>
      <c r="H49" s="453"/>
      <c r="I49" s="453"/>
      <c r="J49" s="495" t="b">
        <f t="shared" ref="J49:O49" si="13">IF(J48=TRUE,IF(((J$17-J$22)*J$14)&lt;0,TRUE,FALSE),FALSE)</f>
        <v>1</v>
      </c>
      <c r="K49" s="494" t="b">
        <f t="shared" si="13"/>
        <v>1</v>
      </c>
      <c r="L49" s="494" t="b">
        <f t="shared" si="13"/>
        <v>1</v>
      </c>
      <c r="M49" s="494" t="b">
        <f t="shared" si="13"/>
        <v>0</v>
      </c>
      <c r="N49" s="494" t="b">
        <f t="shared" si="13"/>
        <v>1</v>
      </c>
      <c r="O49" s="494" t="b">
        <f t="shared" si="13"/>
        <v>0</v>
      </c>
      <c r="P49" s="494" t="b">
        <f t="shared" ref="P49:BS49" si="14">IF(P48=TRUE,IF(((P$17-P$22)*P$14)&lt;0,TRUE,FALSE),FALSE)</f>
        <v>1</v>
      </c>
      <c r="Q49" s="496" t="b">
        <f t="shared" si="14"/>
        <v>0</v>
      </c>
      <c r="R49" s="494" t="b">
        <f t="shared" si="14"/>
        <v>1</v>
      </c>
      <c r="S49" s="494" t="b">
        <f t="shared" si="14"/>
        <v>1</v>
      </c>
      <c r="T49" s="494" t="b">
        <f t="shared" si="14"/>
        <v>0</v>
      </c>
      <c r="U49" s="494" t="b">
        <f t="shared" si="14"/>
        <v>0</v>
      </c>
      <c r="V49" s="494" t="b">
        <f t="shared" si="14"/>
        <v>1</v>
      </c>
      <c r="W49" s="494" t="b">
        <f t="shared" si="14"/>
        <v>0</v>
      </c>
      <c r="X49" s="494" t="b">
        <f t="shared" si="14"/>
        <v>0</v>
      </c>
      <c r="Y49" s="494" t="b">
        <f t="shared" si="14"/>
        <v>1</v>
      </c>
      <c r="Z49" s="494" t="b">
        <f t="shared" si="14"/>
        <v>1</v>
      </c>
      <c r="AA49" s="494" t="b">
        <f t="shared" si="14"/>
        <v>0</v>
      </c>
      <c r="AB49" s="494" t="b">
        <f t="shared" si="14"/>
        <v>0</v>
      </c>
      <c r="AC49" s="494" t="b">
        <f t="shared" si="14"/>
        <v>0</v>
      </c>
      <c r="AD49" s="494" t="b">
        <f t="shared" si="14"/>
        <v>0</v>
      </c>
      <c r="AE49" s="494" t="b">
        <f t="shared" si="14"/>
        <v>0</v>
      </c>
      <c r="AF49" s="494" t="b">
        <f t="shared" si="14"/>
        <v>0</v>
      </c>
      <c r="AG49" s="494" t="b">
        <f t="shared" si="14"/>
        <v>0</v>
      </c>
      <c r="AH49" s="494" t="b">
        <f t="shared" si="14"/>
        <v>0</v>
      </c>
      <c r="AI49" s="494" t="b">
        <f t="shared" si="14"/>
        <v>0</v>
      </c>
      <c r="AJ49" s="494" t="b">
        <f t="shared" si="14"/>
        <v>0</v>
      </c>
      <c r="AK49" s="496" t="b">
        <f t="shared" si="14"/>
        <v>0</v>
      </c>
      <c r="AL49" s="494" t="b">
        <f t="shared" si="14"/>
        <v>1</v>
      </c>
      <c r="AM49" s="494" t="b">
        <f t="shared" si="14"/>
        <v>1</v>
      </c>
      <c r="AN49" s="494" t="b">
        <f t="shared" si="14"/>
        <v>1</v>
      </c>
      <c r="AO49" s="496" t="b">
        <f t="shared" si="14"/>
        <v>1</v>
      </c>
      <c r="AP49" s="494" t="b">
        <f t="shared" si="14"/>
        <v>0</v>
      </c>
      <c r="AQ49" s="494" t="b">
        <f t="shared" si="14"/>
        <v>1</v>
      </c>
      <c r="AR49" s="494" t="b">
        <f t="shared" si="14"/>
        <v>0</v>
      </c>
      <c r="AS49" s="494" t="b">
        <f t="shared" si="14"/>
        <v>0</v>
      </c>
      <c r="AT49" s="494" t="b">
        <f t="shared" si="14"/>
        <v>1</v>
      </c>
      <c r="AU49" s="494" t="b">
        <f t="shared" si="14"/>
        <v>0</v>
      </c>
      <c r="AV49" s="494" t="b">
        <f t="shared" si="14"/>
        <v>0</v>
      </c>
      <c r="AW49" s="494" t="b">
        <f t="shared" si="14"/>
        <v>1</v>
      </c>
      <c r="AX49" s="494" t="b">
        <f t="shared" si="14"/>
        <v>0</v>
      </c>
      <c r="AY49" s="494" t="b">
        <f t="shared" si="14"/>
        <v>0</v>
      </c>
      <c r="AZ49" s="494" t="b">
        <f t="shared" si="14"/>
        <v>0</v>
      </c>
      <c r="BA49" s="494" t="b">
        <f t="shared" si="14"/>
        <v>0</v>
      </c>
      <c r="BB49" s="494" t="b">
        <f t="shared" si="14"/>
        <v>0</v>
      </c>
      <c r="BC49" s="496" t="b">
        <f t="shared" si="14"/>
        <v>0</v>
      </c>
      <c r="BD49" s="494" t="b">
        <f t="shared" si="14"/>
        <v>0</v>
      </c>
      <c r="BE49" s="494" t="b">
        <f t="shared" si="14"/>
        <v>0</v>
      </c>
      <c r="BF49" s="494" t="b">
        <f>IF(BF48=TRUE,IF(((BF$17-BF$22)*BF$14)&lt;0,TRUE,FALSE),FALSE)</f>
        <v>0</v>
      </c>
      <c r="BG49" s="494" t="b">
        <f>IF(BG48=TRUE,IF(((BG$17-BG$22)*BG$14)&lt;0,TRUE,FALSE),FALSE)</f>
        <v>0</v>
      </c>
      <c r="BH49" s="494" t="b">
        <f t="shared" si="14"/>
        <v>0</v>
      </c>
      <c r="BI49" s="494" t="b">
        <f t="shared" si="14"/>
        <v>0</v>
      </c>
      <c r="BJ49" s="494" t="b">
        <f t="shared" si="14"/>
        <v>0</v>
      </c>
      <c r="BK49" s="494" t="b">
        <f t="shared" si="14"/>
        <v>0</v>
      </c>
      <c r="BL49" s="494" t="b">
        <f t="shared" si="14"/>
        <v>0</v>
      </c>
      <c r="BM49" s="494" t="b">
        <f t="shared" si="14"/>
        <v>0</v>
      </c>
      <c r="BN49" s="494" t="b">
        <f t="shared" si="14"/>
        <v>0</v>
      </c>
      <c r="BO49" s="494" t="b">
        <f t="shared" si="14"/>
        <v>0</v>
      </c>
      <c r="BP49" s="494" t="b">
        <f t="shared" si="14"/>
        <v>0</v>
      </c>
      <c r="BQ49" s="494" t="b">
        <f t="shared" si="14"/>
        <v>0</v>
      </c>
      <c r="BR49" s="494" t="b">
        <f t="shared" si="14"/>
        <v>0</v>
      </c>
      <c r="BS49" s="494" t="b">
        <f t="shared" si="14"/>
        <v>0</v>
      </c>
    </row>
    <row r="50" spans="1:71" s="202" customFormat="1" ht="13.15">
      <c r="A50" s="453"/>
      <c r="B50" s="453"/>
      <c r="C50" s="453"/>
      <c r="D50" s="453"/>
      <c r="E50" s="453" t="s">
        <v>1216</v>
      </c>
      <c r="F50" s="453"/>
      <c r="G50" s="453" t="s">
        <v>418</v>
      </c>
      <c r="H50" s="453"/>
      <c r="I50" s="453"/>
      <c r="J50" s="515" t="b">
        <f>IF(J49=TRUE,IF(J23="",TRUE,ABS(J$17-J$22)&gt;ABS(J23-J22)),FALSE)</f>
        <v>1</v>
      </c>
      <c r="K50" s="494" t="b">
        <f t="shared" ref="K50:BS50" si="15">IF(K49=TRUE,IF(K23="",TRUE,ABS(K$17-K$22)&gt;ABS(K23-K22)),FALSE)</f>
        <v>1</v>
      </c>
      <c r="L50" s="494" t="b">
        <f t="shared" si="15"/>
        <v>1</v>
      </c>
      <c r="M50" s="494" t="b">
        <f>IF(M49=TRUE,IF(M23="",TRUE,ABS(M$17-M$22)&gt;ABS(M23-M22)),FALSE)</f>
        <v>0</v>
      </c>
      <c r="N50" s="494" t="b">
        <f t="shared" si="15"/>
        <v>1</v>
      </c>
      <c r="O50" s="494" t="b">
        <f>IF(O49=TRUE,IF(O23="",TRUE,ABS(O$17-O$22)&gt;ABS(O23-O22)),FALSE)</f>
        <v>0</v>
      </c>
      <c r="P50" s="494" t="b">
        <f t="shared" si="15"/>
        <v>1</v>
      </c>
      <c r="Q50" s="496" t="b">
        <f t="shared" si="15"/>
        <v>0</v>
      </c>
      <c r="R50" s="494" t="b">
        <f t="shared" si="15"/>
        <v>1</v>
      </c>
      <c r="S50" s="494" t="b">
        <f t="shared" si="15"/>
        <v>1</v>
      </c>
      <c r="T50" s="494" t="b">
        <f t="shared" si="15"/>
        <v>0</v>
      </c>
      <c r="U50" s="494" t="b">
        <f t="shared" si="15"/>
        <v>0</v>
      </c>
      <c r="V50" s="494" t="b">
        <f t="shared" si="15"/>
        <v>1</v>
      </c>
      <c r="W50" s="494" t="b">
        <f t="shared" si="15"/>
        <v>0</v>
      </c>
      <c r="X50" s="494" t="b">
        <f t="shared" si="15"/>
        <v>0</v>
      </c>
      <c r="Y50" s="494" t="b">
        <f t="shared" si="15"/>
        <v>1</v>
      </c>
      <c r="Z50" s="494" t="b">
        <f t="shared" si="15"/>
        <v>1</v>
      </c>
      <c r="AA50" s="494" t="b">
        <f t="shared" si="15"/>
        <v>0</v>
      </c>
      <c r="AB50" s="494" t="b">
        <f t="shared" si="15"/>
        <v>0</v>
      </c>
      <c r="AC50" s="494" t="b">
        <f t="shared" si="15"/>
        <v>0</v>
      </c>
      <c r="AD50" s="494" t="b">
        <f t="shared" si="15"/>
        <v>0</v>
      </c>
      <c r="AE50" s="494" t="b">
        <f t="shared" si="15"/>
        <v>0</v>
      </c>
      <c r="AF50" s="494" t="b">
        <f t="shared" si="15"/>
        <v>0</v>
      </c>
      <c r="AG50" s="494" t="b">
        <f t="shared" si="15"/>
        <v>0</v>
      </c>
      <c r="AH50" s="494" t="b">
        <f t="shared" si="15"/>
        <v>0</v>
      </c>
      <c r="AI50" s="494" t="b">
        <f t="shared" si="15"/>
        <v>0</v>
      </c>
      <c r="AJ50" s="494" t="b">
        <f t="shared" si="15"/>
        <v>0</v>
      </c>
      <c r="AK50" s="496" t="b">
        <f t="shared" si="15"/>
        <v>0</v>
      </c>
      <c r="AL50" s="494" t="b">
        <f t="shared" si="15"/>
        <v>1</v>
      </c>
      <c r="AM50" s="494" t="b">
        <f t="shared" si="15"/>
        <v>1</v>
      </c>
      <c r="AN50" s="494" t="b">
        <f t="shared" si="15"/>
        <v>1</v>
      </c>
      <c r="AO50" s="496" t="b">
        <f t="shared" si="15"/>
        <v>0</v>
      </c>
      <c r="AP50" s="494" t="b">
        <f t="shared" si="15"/>
        <v>0</v>
      </c>
      <c r="AQ50" s="494" t="b">
        <f t="shared" si="15"/>
        <v>1</v>
      </c>
      <c r="AR50" s="494" t="b">
        <f t="shared" si="15"/>
        <v>0</v>
      </c>
      <c r="AS50" s="494" t="b">
        <f t="shared" si="15"/>
        <v>0</v>
      </c>
      <c r="AT50" s="494" t="b">
        <f t="shared" si="15"/>
        <v>1</v>
      </c>
      <c r="AU50" s="494" t="b">
        <f t="shared" si="15"/>
        <v>0</v>
      </c>
      <c r="AV50" s="494" t="b">
        <f t="shared" si="15"/>
        <v>0</v>
      </c>
      <c r="AW50" s="494" t="b">
        <f t="shared" si="15"/>
        <v>1</v>
      </c>
      <c r="AX50" s="494" t="b">
        <f t="shared" si="15"/>
        <v>0</v>
      </c>
      <c r="AY50" s="494" t="b">
        <f t="shared" si="15"/>
        <v>0</v>
      </c>
      <c r="AZ50" s="494" t="b">
        <f t="shared" si="15"/>
        <v>0</v>
      </c>
      <c r="BA50" s="494" t="b">
        <f t="shared" si="15"/>
        <v>0</v>
      </c>
      <c r="BB50" s="494" t="b">
        <f t="shared" si="15"/>
        <v>0</v>
      </c>
      <c r="BC50" s="496" t="b">
        <f t="shared" si="15"/>
        <v>0</v>
      </c>
      <c r="BD50" s="494" t="b">
        <f t="shared" si="15"/>
        <v>0</v>
      </c>
      <c r="BE50" s="494" t="b">
        <f t="shared" si="15"/>
        <v>0</v>
      </c>
      <c r="BF50" s="494" t="b">
        <f>IF(BF49=TRUE,IF(BF23="",TRUE,ABS(BF$17-BF$22)&gt;ABS(BF23-BF22)),FALSE)</f>
        <v>0</v>
      </c>
      <c r="BG50" s="494" t="b">
        <f>IF(BG49=TRUE,IF(BG23="",TRUE,ABS(BG$17-BG$22)&gt;ABS(BG23-BG22)),FALSE)</f>
        <v>0</v>
      </c>
      <c r="BH50" s="494" t="b">
        <f t="shared" si="15"/>
        <v>0</v>
      </c>
      <c r="BI50" s="494" t="b">
        <f t="shared" si="15"/>
        <v>0</v>
      </c>
      <c r="BJ50" s="494" t="b">
        <f t="shared" si="15"/>
        <v>0</v>
      </c>
      <c r="BK50" s="494" t="b">
        <f t="shared" si="15"/>
        <v>0</v>
      </c>
      <c r="BL50" s="494" t="b">
        <f t="shared" si="15"/>
        <v>0</v>
      </c>
      <c r="BM50" s="494" t="b">
        <f t="shared" si="15"/>
        <v>0</v>
      </c>
      <c r="BN50" s="494" t="b">
        <f t="shared" si="15"/>
        <v>0</v>
      </c>
      <c r="BO50" s="494" t="b">
        <f t="shared" si="15"/>
        <v>0</v>
      </c>
      <c r="BP50" s="494" t="b">
        <f t="shared" si="15"/>
        <v>0</v>
      </c>
      <c r="BQ50" s="494" t="b">
        <f t="shared" si="15"/>
        <v>0</v>
      </c>
      <c r="BR50" s="494" t="b">
        <f t="shared" si="15"/>
        <v>0</v>
      </c>
      <c r="BS50" s="494" t="b">
        <f t="shared" si="15"/>
        <v>0</v>
      </c>
    </row>
    <row r="51" spans="1:71" s="202" customFormat="1" ht="13.15">
      <c r="A51" s="453"/>
      <c r="B51" s="453"/>
      <c r="C51" s="453"/>
      <c r="D51" s="453"/>
      <c r="E51" s="453" t="s">
        <v>1217</v>
      </c>
      <c r="F51" s="453"/>
      <c r="G51" s="453" t="str">
        <f>G7</f>
        <v>Performance commitment unit</v>
      </c>
      <c r="H51" s="453"/>
      <c r="I51" s="453"/>
      <c r="J51" s="492">
        <f t="shared" ref="J51:O51" si="16">IF(J50=TRUE,IF(J14&gt;0,MAX(J17,J24),MIN(J17,J24)),"")</f>
        <v>3.07</v>
      </c>
      <c r="K51" s="492">
        <f t="shared" si="16"/>
        <v>1.5798611111111114E-2</v>
      </c>
      <c r="L51" s="492">
        <f t="shared" si="16"/>
        <v>-4.404404404404394</v>
      </c>
      <c r="M51" s="492" t="str">
        <f t="shared" si="16"/>
        <v/>
      </c>
      <c r="N51" s="492">
        <f t="shared" si="16"/>
        <v>-1.2499999999999956</v>
      </c>
      <c r="O51" s="492" t="str">
        <f t="shared" si="16"/>
        <v/>
      </c>
      <c r="P51" s="492">
        <f t="shared" ref="P51:BS51" si="17">IF(P50=TRUE,IF(P14&gt;0,MAX(P17,P24),MIN(P17,P24)),"")</f>
        <v>121.1</v>
      </c>
      <c r="Q51" s="493" t="str">
        <f t="shared" si="17"/>
        <v/>
      </c>
      <c r="R51" s="492">
        <f t="shared" si="17"/>
        <v>1</v>
      </c>
      <c r="S51" s="492">
        <f t="shared" si="17"/>
        <v>0.24</v>
      </c>
      <c r="T51" s="492" t="str">
        <f t="shared" si="17"/>
        <v/>
      </c>
      <c r="U51" s="492" t="str">
        <f t="shared" si="17"/>
        <v/>
      </c>
      <c r="V51" s="492">
        <f t="shared" si="17"/>
        <v>2.62</v>
      </c>
      <c r="W51" s="492" t="str">
        <f t="shared" si="17"/>
        <v/>
      </c>
      <c r="X51" s="492" t="str">
        <f t="shared" si="17"/>
        <v/>
      </c>
      <c r="Y51" s="492">
        <f t="shared" si="17"/>
        <v>51</v>
      </c>
      <c r="Z51" s="492">
        <f t="shared" si="17"/>
        <v>0</v>
      </c>
      <c r="AA51" s="492" t="str">
        <f t="shared" si="17"/>
        <v/>
      </c>
      <c r="AB51" s="492" t="str">
        <f t="shared" si="17"/>
        <v/>
      </c>
      <c r="AC51" s="492" t="str">
        <f t="shared" si="17"/>
        <v/>
      </c>
      <c r="AD51" s="492" t="str">
        <f t="shared" si="17"/>
        <v/>
      </c>
      <c r="AE51" s="492" t="str">
        <f t="shared" si="17"/>
        <v/>
      </c>
      <c r="AF51" s="492" t="str">
        <f t="shared" si="17"/>
        <v/>
      </c>
      <c r="AG51" s="492" t="str">
        <f t="shared" si="17"/>
        <v/>
      </c>
      <c r="AH51" s="492" t="str">
        <f t="shared" si="17"/>
        <v/>
      </c>
      <c r="AI51" s="492" t="str">
        <f t="shared" si="17"/>
        <v/>
      </c>
      <c r="AJ51" s="492" t="str">
        <f t="shared" si="17"/>
        <v/>
      </c>
      <c r="AK51" s="493" t="str">
        <f t="shared" si="17"/>
        <v/>
      </c>
      <c r="AL51" s="492">
        <f t="shared" si="17"/>
        <v>2.57</v>
      </c>
      <c r="AM51" s="492">
        <f t="shared" si="17"/>
        <v>49.01</v>
      </c>
      <c r="AN51" s="492">
        <f t="shared" si="17"/>
        <v>5.85</v>
      </c>
      <c r="AO51" s="493" t="str">
        <f t="shared" si="17"/>
        <v/>
      </c>
      <c r="AP51" s="492" t="str">
        <f t="shared" si="17"/>
        <v/>
      </c>
      <c r="AQ51" s="492">
        <f t="shared" si="17"/>
        <v>21</v>
      </c>
      <c r="AR51" s="492" t="str">
        <f t="shared" si="17"/>
        <v/>
      </c>
      <c r="AS51" s="492" t="str">
        <f t="shared" si="17"/>
        <v/>
      </c>
      <c r="AT51" s="492">
        <f t="shared" si="17"/>
        <v>48</v>
      </c>
      <c r="AU51" s="492" t="str">
        <f t="shared" si="17"/>
        <v/>
      </c>
      <c r="AV51" s="492" t="str">
        <f t="shared" si="17"/>
        <v/>
      </c>
      <c r="AW51" s="492">
        <f t="shared" si="17"/>
        <v>14625</v>
      </c>
      <c r="AX51" s="492" t="str">
        <f t="shared" si="17"/>
        <v/>
      </c>
      <c r="AY51" s="492" t="str">
        <f t="shared" si="17"/>
        <v/>
      </c>
      <c r="AZ51" s="492" t="str">
        <f t="shared" si="17"/>
        <v/>
      </c>
      <c r="BA51" s="492" t="str">
        <f t="shared" si="17"/>
        <v/>
      </c>
      <c r="BB51" s="492" t="str">
        <f t="shared" si="17"/>
        <v/>
      </c>
      <c r="BC51" s="493" t="str">
        <f t="shared" si="17"/>
        <v/>
      </c>
      <c r="BD51" s="492" t="str">
        <f t="shared" si="17"/>
        <v/>
      </c>
      <c r="BE51" s="492" t="str">
        <f t="shared" si="17"/>
        <v/>
      </c>
      <c r="BF51" s="492" t="str">
        <f>IF(BF50=TRUE,IF(BF14&gt;0,MAX(BF17,BF24),MIN(BF17,BF24)),"")</f>
        <v/>
      </c>
      <c r="BG51" s="492" t="str">
        <f>IF(BG50=TRUE,IF(BG14&gt;0,MAX(BG17,BG24),MIN(BG17,BG24)),"")</f>
        <v/>
      </c>
      <c r="BH51" s="492" t="str">
        <f t="shared" si="17"/>
        <v/>
      </c>
      <c r="BI51" s="492" t="str">
        <f t="shared" si="17"/>
        <v/>
      </c>
      <c r="BJ51" s="492" t="str">
        <f t="shared" si="17"/>
        <v/>
      </c>
      <c r="BK51" s="492" t="str">
        <f t="shared" si="17"/>
        <v/>
      </c>
      <c r="BL51" s="492" t="str">
        <f t="shared" si="17"/>
        <v/>
      </c>
      <c r="BM51" s="492" t="str">
        <f t="shared" si="17"/>
        <v/>
      </c>
      <c r="BN51" s="492" t="str">
        <f t="shared" si="17"/>
        <v/>
      </c>
      <c r="BO51" s="492" t="str">
        <f t="shared" si="17"/>
        <v/>
      </c>
      <c r="BP51" s="492" t="str">
        <f t="shared" si="17"/>
        <v/>
      </c>
      <c r="BQ51" s="492" t="str">
        <f t="shared" si="17"/>
        <v/>
      </c>
      <c r="BR51" s="492" t="str">
        <f t="shared" si="17"/>
        <v/>
      </c>
      <c r="BS51" s="492" t="str">
        <f t="shared" si="17"/>
        <v/>
      </c>
    </row>
    <row r="52" spans="1:71" s="202" customFormat="1" ht="13.15">
      <c r="A52" s="453"/>
      <c r="B52" s="453"/>
      <c r="C52" s="453"/>
      <c r="D52" s="453"/>
      <c r="E52" s="453" t="s">
        <v>1218</v>
      </c>
      <c r="F52" s="453"/>
      <c r="G52" s="453" t="str">
        <f>G7</f>
        <v>Performance commitment unit</v>
      </c>
      <c r="H52" s="453"/>
      <c r="I52" s="453"/>
      <c r="J52" s="492">
        <f>IF(J50=TRUE,ABS(IF(J23&lt;&gt;"",J23,J22)-J51),"")</f>
        <v>1.0699999999999998</v>
      </c>
      <c r="K52" s="492">
        <f t="shared" ref="K52:BS52" si="18">IF(K50=TRUE,ABS(IF(K23&lt;&gt;"",K23,K22)-K51),"")</f>
        <v>1.2060185185185188E-2</v>
      </c>
      <c r="L52" s="492">
        <f t="shared" si="18"/>
        <v>16.404404404404396</v>
      </c>
      <c r="M52" s="492" t="str">
        <f>IF(M50=TRUE,ABS(IF(M23&lt;&gt;"",M23,M22)-M51),"")</f>
        <v/>
      </c>
      <c r="N52" s="492">
        <f t="shared" si="18"/>
        <v>7.2499999999999956</v>
      </c>
      <c r="O52" s="492" t="str">
        <f>IF(O50=TRUE,ABS(IF(O23&lt;&gt;"",O23,O22)-O51),"")</f>
        <v/>
      </c>
      <c r="P52" s="492">
        <f t="shared" si="18"/>
        <v>23.699999999999989</v>
      </c>
      <c r="Q52" s="493" t="str">
        <f t="shared" si="18"/>
        <v/>
      </c>
      <c r="R52" s="492">
        <f t="shared" si="18"/>
        <v>0.44999999999999996</v>
      </c>
      <c r="S52" s="492">
        <f t="shared" si="18"/>
        <v>1.999999999999999E-2</v>
      </c>
      <c r="T52" s="492" t="str">
        <f t="shared" si="18"/>
        <v/>
      </c>
      <c r="U52" s="492" t="str">
        <f t="shared" si="18"/>
        <v/>
      </c>
      <c r="V52" s="492">
        <f t="shared" si="18"/>
        <v>0.5</v>
      </c>
      <c r="W52" s="492" t="str">
        <f t="shared" si="18"/>
        <v/>
      </c>
      <c r="X52" s="492" t="str">
        <f t="shared" si="18"/>
        <v/>
      </c>
      <c r="Y52" s="492">
        <f t="shared" si="18"/>
        <v>51</v>
      </c>
      <c r="Z52" s="492">
        <f t="shared" si="18"/>
        <v>48.8</v>
      </c>
      <c r="AA52" s="492" t="str">
        <f t="shared" si="18"/>
        <v/>
      </c>
      <c r="AB52" s="492" t="str">
        <f t="shared" si="18"/>
        <v/>
      </c>
      <c r="AC52" s="492" t="str">
        <f t="shared" si="18"/>
        <v/>
      </c>
      <c r="AD52" s="492" t="str">
        <f t="shared" si="18"/>
        <v/>
      </c>
      <c r="AE52" s="492" t="str">
        <f t="shared" si="18"/>
        <v/>
      </c>
      <c r="AF52" s="492" t="str">
        <f t="shared" si="18"/>
        <v/>
      </c>
      <c r="AG52" s="492" t="str">
        <f t="shared" si="18"/>
        <v/>
      </c>
      <c r="AH52" s="492" t="str">
        <f t="shared" si="18"/>
        <v/>
      </c>
      <c r="AI52" s="492" t="str">
        <f t="shared" si="18"/>
        <v/>
      </c>
      <c r="AJ52" s="492" t="str">
        <f t="shared" si="18"/>
        <v/>
      </c>
      <c r="AK52" s="493" t="str">
        <f t="shared" si="18"/>
        <v/>
      </c>
      <c r="AL52" s="492">
        <f t="shared" si="18"/>
        <v>1.1299999999999999</v>
      </c>
      <c r="AM52" s="492">
        <f t="shared" si="18"/>
        <v>26.61</v>
      </c>
      <c r="AN52" s="492">
        <f t="shared" si="18"/>
        <v>0.3199999999999994</v>
      </c>
      <c r="AO52" s="493" t="str">
        <f t="shared" si="18"/>
        <v/>
      </c>
      <c r="AP52" s="492" t="str">
        <f t="shared" si="18"/>
        <v/>
      </c>
      <c r="AQ52" s="492">
        <f t="shared" si="18"/>
        <v>3</v>
      </c>
      <c r="AR52" s="492" t="str">
        <f t="shared" si="18"/>
        <v/>
      </c>
      <c r="AS52" s="492" t="str">
        <f t="shared" si="18"/>
        <v/>
      </c>
      <c r="AT52" s="492">
        <f t="shared" si="18"/>
        <v>9</v>
      </c>
      <c r="AU52" s="492" t="str">
        <f t="shared" si="18"/>
        <v/>
      </c>
      <c r="AV52" s="492" t="str">
        <f t="shared" si="18"/>
        <v/>
      </c>
      <c r="AW52" s="492">
        <f t="shared" si="18"/>
        <v>25105</v>
      </c>
      <c r="AX52" s="492" t="str">
        <f t="shared" si="18"/>
        <v/>
      </c>
      <c r="AY52" s="492" t="str">
        <f t="shared" si="18"/>
        <v/>
      </c>
      <c r="AZ52" s="492" t="str">
        <f t="shared" si="18"/>
        <v/>
      </c>
      <c r="BA52" s="492" t="str">
        <f t="shared" si="18"/>
        <v/>
      </c>
      <c r="BB52" s="492" t="str">
        <f t="shared" si="18"/>
        <v/>
      </c>
      <c r="BC52" s="493" t="str">
        <f t="shared" si="18"/>
        <v/>
      </c>
      <c r="BD52" s="492" t="str">
        <f t="shared" si="18"/>
        <v/>
      </c>
      <c r="BE52" s="492" t="str">
        <f t="shared" si="18"/>
        <v/>
      </c>
      <c r="BF52" s="492" t="str">
        <f>IF(BF50=TRUE,ABS(IF(BF23&lt;&gt;"",BF23,BF22)-BF51),"")</f>
        <v/>
      </c>
      <c r="BG52" s="492" t="str">
        <f>IF(BG50=TRUE,ABS(IF(BG23&lt;&gt;"",BG23,BG22)-BG51),"")</f>
        <v/>
      </c>
      <c r="BH52" s="492" t="str">
        <f t="shared" si="18"/>
        <v/>
      </c>
      <c r="BI52" s="492" t="str">
        <f t="shared" si="18"/>
        <v/>
      </c>
      <c r="BJ52" s="492" t="str">
        <f t="shared" si="18"/>
        <v/>
      </c>
      <c r="BK52" s="492" t="str">
        <f t="shared" si="18"/>
        <v/>
      </c>
      <c r="BL52" s="492" t="str">
        <f t="shared" si="18"/>
        <v/>
      </c>
      <c r="BM52" s="492" t="str">
        <f t="shared" si="18"/>
        <v/>
      </c>
      <c r="BN52" s="492" t="str">
        <f t="shared" si="18"/>
        <v/>
      </c>
      <c r="BO52" s="492" t="str">
        <f t="shared" si="18"/>
        <v/>
      </c>
      <c r="BP52" s="492" t="str">
        <f t="shared" si="18"/>
        <v/>
      </c>
      <c r="BQ52" s="492" t="str">
        <f t="shared" si="18"/>
        <v/>
      </c>
      <c r="BR52" s="492" t="str">
        <f t="shared" si="18"/>
        <v/>
      </c>
      <c r="BS52" s="492" t="str">
        <f t="shared" si="18"/>
        <v/>
      </c>
    </row>
    <row r="53" spans="1:71" s="202" customFormat="1" ht="13.15">
      <c r="A53" s="453"/>
      <c r="B53" s="453"/>
      <c r="C53" s="453"/>
      <c r="D53" s="453"/>
      <c r="E53" s="453"/>
      <c r="F53" s="453"/>
      <c r="G53" s="453"/>
      <c r="H53" s="453"/>
      <c r="I53" s="453"/>
      <c r="J53" s="492"/>
      <c r="K53" s="492"/>
      <c r="L53" s="492"/>
      <c r="M53" s="492"/>
      <c r="N53" s="492"/>
      <c r="O53" s="492"/>
      <c r="P53" s="492"/>
      <c r="Q53" s="493"/>
      <c r="R53" s="492"/>
      <c r="S53" s="492"/>
      <c r="T53" s="492"/>
      <c r="U53" s="492"/>
      <c r="V53" s="492"/>
      <c r="W53" s="492"/>
      <c r="X53" s="492"/>
      <c r="Y53" s="492"/>
      <c r="Z53" s="492"/>
      <c r="AA53" s="492"/>
      <c r="AB53" s="492"/>
      <c r="AC53" s="492"/>
      <c r="AD53" s="492"/>
      <c r="AE53" s="492"/>
      <c r="AF53" s="492"/>
      <c r="AG53" s="492"/>
      <c r="AH53" s="492"/>
      <c r="AI53" s="492"/>
      <c r="AJ53" s="492"/>
      <c r="AK53" s="493"/>
      <c r="AL53" s="492"/>
      <c r="AM53" s="492"/>
      <c r="AN53" s="492"/>
      <c r="AO53" s="493"/>
      <c r="AP53" s="492"/>
      <c r="AQ53" s="492"/>
      <c r="AR53" s="492"/>
      <c r="AS53" s="492"/>
      <c r="AT53" s="492"/>
      <c r="AU53" s="492"/>
      <c r="AV53" s="492"/>
      <c r="AW53" s="492"/>
      <c r="AX53" s="492"/>
      <c r="AY53" s="492"/>
      <c r="AZ53" s="492"/>
      <c r="BA53" s="492"/>
      <c r="BB53" s="492"/>
      <c r="BC53" s="493"/>
      <c r="BD53" s="492"/>
      <c r="BE53" s="492"/>
      <c r="BF53" s="492"/>
      <c r="BG53" s="492"/>
      <c r="BH53" s="492"/>
      <c r="BI53" s="492"/>
      <c r="BJ53" s="492"/>
      <c r="BK53" s="492"/>
      <c r="BL53" s="492"/>
      <c r="BM53" s="492"/>
      <c r="BN53" s="492"/>
      <c r="BO53" s="492"/>
      <c r="BP53" s="492"/>
      <c r="BQ53" s="492"/>
      <c r="BR53" s="492"/>
      <c r="BS53" s="492"/>
    </row>
    <row r="54" spans="1:71" s="202" customFormat="1" ht="13.15">
      <c r="A54" s="453"/>
      <c r="B54" s="453"/>
      <c r="C54" s="453"/>
      <c r="D54" s="463" t="s">
        <v>1208</v>
      </c>
      <c r="E54" s="453"/>
      <c r="F54" s="453"/>
      <c r="G54" s="453"/>
      <c r="H54" s="453"/>
      <c r="I54" s="453"/>
      <c r="J54" s="598"/>
      <c r="K54" s="603"/>
      <c r="L54" s="598"/>
      <c r="M54" s="598"/>
      <c r="N54" s="598"/>
      <c r="O54" s="598"/>
      <c r="P54" s="598"/>
      <c r="Q54" s="599"/>
      <c r="R54" s="598"/>
      <c r="S54" s="598"/>
      <c r="T54" s="598"/>
      <c r="U54" s="598"/>
      <c r="V54" s="598"/>
      <c r="W54" s="598"/>
      <c r="X54" s="598"/>
      <c r="Y54" s="598"/>
      <c r="Z54" s="598"/>
      <c r="AA54" s="598"/>
      <c r="AB54" s="598"/>
      <c r="AC54" s="598"/>
      <c r="AD54" s="598"/>
      <c r="AE54" s="598"/>
      <c r="AF54" s="598"/>
      <c r="AG54" s="598"/>
      <c r="AH54" s="598"/>
      <c r="AI54" s="598"/>
      <c r="AJ54" s="598"/>
      <c r="AK54" s="599"/>
      <c r="AL54" s="598"/>
      <c r="AM54" s="598"/>
      <c r="AN54" s="598"/>
      <c r="AO54" s="599"/>
      <c r="AP54" s="598"/>
      <c r="AQ54" s="598"/>
      <c r="AR54" s="598"/>
      <c r="AS54" s="598"/>
      <c r="AT54" s="598"/>
      <c r="AU54" s="598"/>
      <c r="AV54" s="598"/>
      <c r="AW54" s="598"/>
      <c r="AX54" s="598"/>
      <c r="AY54" s="598"/>
      <c r="AZ54" s="598"/>
      <c r="BA54" s="598"/>
      <c r="BB54" s="598"/>
      <c r="BC54" s="599"/>
      <c r="BD54" s="598"/>
      <c r="BE54" s="598"/>
      <c r="BF54" s="598"/>
      <c r="BG54" s="598"/>
      <c r="BH54" s="598"/>
      <c r="BI54" s="598"/>
      <c r="BJ54" s="598"/>
      <c r="BK54" s="598"/>
      <c r="BL54" s="598"/>
      <c r="BM54" s="598"/>
      <c r="BN54" s="598"/>
      <c r="BO54" s="598"/>
      <c r="BP54" s="598"/>
      <c r="BQ54" s="598"/>
      <c r="BR54" s="598"/>
      <c r="BS54" s="598"/>
    </row>
    <row r="55" spans="1:71" s="202" customFormat="1" ht="13.15">
      <c r="A55" s="453"/>
      <c r="B55" s="453"/>
      <c r="C55" s="453"/>
      <c r="D55" s="453"/>
      <c r="E55" s="583" t="str">
        <f>InpPerformance!E$19</f>
        <v>ODI is calculated in decimal minutes, but the performance commitment is specified in HH:MM:SS</v>
      </c>
      <c r="F55" s="583"/>
      <c r="G55" s="583" t="str">
        <f>InpPerformance!G$19</f>
        <v>TRUE or FALSE</v>
      </c>
      <c r="H55" s="583"/>
      <c r="I55" s="583"/>
      <c r="J55" s="591" t="b">
        <f>InpPerformance!J$19</f>
        <v>0</v>
      </c>
      <c r="K55" s="591" t="b">
        <f>InpPerformance!K$19</f>
        <v>1</v>
      </c>
      <c r="L55" s="591" t="b">
        <f>InpPerformance!L$19</f>
        <v>0</v>
      </c>
      <c r="M55" s="591" t="b">
        <f>InpPerformance!M$19</f>
        <v>0</v>
      </c>
      <c r="N55" s="591" t="b">
        <f>InpPerformance!N$19</f>
        <v>0</v>
      </c>
      <c r="O55" s="591" t="b">
        <f>InpPerformance!O$19</f>
        <v>0</v>
      </c>
      <c r="P55" s="591" t="b">
        <f>InpPerformance!P$19</f>
        <v>0</v>
      </c>
      <c r="Q55" s="592" t="b">
        <f>InpPerformance!Q$19</f>
        <v>0</v>
      </c>
      <c r="R55" s="591" t="b">
        <f>InpPerformance!R$19</f>
        <v>0</v>
      </c>
      <c r="S55" s="591" t="b">
        <f>InpPerformance!S$19</f>
        <v>0</v>
      </c>
      <c r="T55" s="591" t="b">
        <f>InpPerformance!T$19</f>
        <v>0</v>
      </c>
      <c r="U55" s="591" t="b">
        <f>InpPerformance!U$19</f>
        <v>0</v>
      </c>
      <c r="V55" s="591" t="b">
        <f>InpPerformance!V$19</f>
        <v>0</v>
      </c>
      <c r="W55" s="591" t="b">
        <f>InpPerformance!W$19</f>
        <v>0</v>
      </c>
      <c r="X55" s="591" t="b">
        <f>InpPerformance!X$19</f>
        <v>0</v>
      </c>
      <c r="Y55" s="591" t="b">
        <f>InpPerformance!Y$19</f>
        <v>0</v>
      </c>
      <c r="Z55" s="591" t="b">
        <f>InpPerformance!Z$19</f>
        <v>0</v>
      </c>
      <c r="AA55" s="591" t="b">
        <f>InpPerformance!AA$19</f>
        <v>0</v>
      </c>
      <c r="AB55" s="591" t="b">
        <f>InpPerformance!AB$19</f>
        <v>0</v>
      </c>
      <c r="AC55" s="591" t="b">
        <f>InpPerformance!AC$19</f>
        <v>0</v>
      </c>
      <c r="AD55" s="591" t="b">
        <f>InpPerformance!AD$19</f>
        <v>0</v>
      </c>
      <c r="AE55" s="591" t="b">
        <f>InpPerformance!AE$19</f>
        <v>0</v>
      </c>
      <c r="AF55" s="591" t="b">
        <f>InpPerformance!AF$19</f>
        <v>0</v>
      </c>
      <c r="AG55" s="591" t="b">
        <f>InpPerformance!AG$19</f>
        <v>0</v>
      </c>
      <c r="AH55" s="591" t="b">
        <f>InpPerformance!AH$19</f>
        <v>0</v>
      </c>
      <c r="AI55" s="591" t="b">
        <f>InpPerformance!AI$19</f>
        <v>0</v>
      </c>
      <c r="AJ55" s="591" t="b">
        <f>InpPerformance!AJ$19</f>
        <v>0</v>
      </c>
      <c r="AK55" s="592" t="b">
        <f>InpPerformance!AK$19</f>
        <v>0</v>
      </c>
      <c r="AL55" s="591" t="b">
        <f>InpPerformance!AL$19</f>
        <v>0</v>
      </c>
      <c r="AM55" s="591" t="b">
        <f>InpPerformance!AM$19</f>
        <v>0</v>
      </c>
      <c r="AN55" s="591" t="b">
        <f>InpPerformance!AN$19</f>
        <v>0</v>
      </c>
      <c r="AO55" s="592" t="b">
        <f>InpPerformance!AO$19</f>
        <v>0</v>
      </c>
      <c r="AP55" s="591" t="b">
        <f>InpPerformance!AP$19</f>
        <v>0</v>
      </c>
      <c r="AQ55" s="591" t="b">
        <f>InpPerformance!AQ$19</f>
        <v>0</v>
      </c>
      <c r="AR55" s="591" t="b">
        <f>InpPerformance!AR$19</f>
        <v>0</v>
      </c>
      <c r="AS55" s="591" t="b">
        <f>InpPerformance!AS$19</f>
        <v>0</v>
      </c>
      <c r="AT55" s="591" t="b">
        <f>InpPerformance!AT$19</f>
        <v>0</v>
      </c>
      <c r="AU55" s="591" t="b">
        <f>InpPerformance!AU$19</f>
        <v>0</v>
      </c>
      <c r="AV55" s="591" t="b">
        <f>InpPerformance!AV$19</f>
        <v>0</v>
      </c>
      <c r="AW55" s="591" t="b">
        <f>InpPerformance!AW$19</f>
        <v>0</v>
      </c>
      <c r="AX55" s="591" t="b">
        <f>InpPerformance!AX$19</f>
        <v>0</v>
      </c>
      <c r="AY55" s="591" t="b">
        <f>InpPerformance!AY$19</f>
        <v>0</v>
      </c>
      <c r="AZ55" s="591" t="b">
        <f>InpPerformance!AZ$19</f>
        <v>0</v>
      </c>
      <c r="BA55" s="591" t="b">
        <f>InpPerformance!BA$19</f>
        <v>0</v>
      </c>
      <c r="BB55" s="591" t="b">
        <f>InpPerformance!BB$19</f>
        <v>0</v>
      </c>
      <c r="BC55" s="592" t="b">
        <f>InpPerformance!BC$19</f>
        <v>0</v>
      </c>
      <c r="BD55" s="591" t="b">
        <f>InpPerformance!BD$19</f>
        <v>0</v>
      </c>
      <c r="BE55" s="591" t="b">
        <f>InpPerformance!BE$19</f>
        <v>0</v>
      </c>
      <c r="BF55" s="591" t="b">
        <f>InpPerformance!BF$19</f>
        <v>0</v>
      </c>
      <c r="BG55" s="591" t="b">
        <f>InpPerformance!BG$19</f>
        <v>0</v>
      </c>
      <c r="BH55" s="591" t="b">
        <f>InpPerformance!BH$19</f>
        <v>0</v>
      </c>
      <c r="BI55" s="591" t="b">
        <f>InpPerformance!BI$19</f>
        <v>0</v>
      </c>
      <c r="BJ55" s="591" t="b">
        <f>InpPerformance!BJ$19</f>
        <v>0</v>
      </c>
      <c r="BK55" s="591" t="b">
        <f>InpPerformance!BK$19</f>
        <v>0</v>
      </c>
      <c r="BL55" s="591" t="b">
        <f>InpPerformance!BL$19</f>
        <v>0</v>
      </c>
      <c r="BM55" s="591" t="b">
        <f>InpPerformance!BM$19</f>
        <v>0</v>
      </c>
      <c r="BN55" s="591" t="b">
        <f>InpPerformance!BN$19</f>
        <v>0</v>
      </c>
      <c r="BO55" s="591" t="b">
        <f>InpPerformance!BO$19</f>
        <v>0</v>
      </c>
      <c r="BP55" s="591" t="b">
        <f>InpPerformance!BP$19</f>
        <v>0</v>
      </c>
      <c r="BQ55" s="591" t="b">
        <f>InpPerformance!BQ$19</f>
        <v>0</v>
      </c>
      <c r="BR55" s="591" t="b">
        <f>InpPerformance!BR$19</f>
        <v>0</v>
      </c>
      <c r="BS55" s="591" t="b">
        <f>InpPerformance!BS$19</f>
        <v>0</v>
      </c>
    </row>
    <row r="56" spans="1:71" s="202" customFormat="1" ht="13.15">
      <c r="A56" s="453"/>
      <c r="B56" s="453"/>
      <c r="C56" s="453"/>
      <c r="D56" s="453"/>
      <c r="E56" s="453" t="s">
        <v>1209</v>
      </c>
      <c r="F56" s="453"/>
      <c r="G56" s="453" t="s">
        <v>1158</v>
      </c>
      <c r="H56" s="453"/>
      <c r="I56" s="453"/>
      <c r="J56" s="600">
        <f>IF(AND(J55=TRUE,J50=TRUE),J52*24*60,J52)</f>
        <v>1.0699999999999998</v>
      </c>
      <c r="K56" s="603">
        <f>IF(AND(K55=TRUE,K50=TRUE),K52*24*60,K52)</f>
        <v>17.366666666666671</v>
      </c>
      <c r="L56" s="600">
        <f t="shared" ref="L56:BS56" si="19">IF(AND(L55=TRUE,L50=TRUE),L52*24*60,L52)</f>
        <v>16.404404404404396</v>
      </c>
      <c r="M56" s="600" t="str">
        <f>IF(AND(M55=TRUE,M50=TRUE),M52*24*60,M52)</f>
        <v/>
      </c>
      <c r="N56" s="600">
        <f t="shared" si="19"/>
        <v>7.2499999999999956</v>
      </c>
      <c r="O56" s="600" t="str">
        <f>IF(AND(O55=TRUE,O50=TRUE),O52*24*60,O52)</f>
        <v/>
      </c>
      <c r="P56" s="600">
        <f t="shared" si="19"/>
        <v>23.699999999999989</v>
      </c>
      <c r="Q56" s="601" t="str">
        <f t="shared" si="19"/>
        <v/>
      </c>
      <c r="R56" s="600">
        <f t="shared" si="19"/>
        <v>0.44999999999999996</v>
      </c>
      <c r="S56" s="600">
        <f t="shared" si="19"/>
        <v>1.999999999999999E-2</v>
      </c>
      <c r="T56" s="600" t="str">
        <f t="shared" si="19"/>
        <v/>
      </c>
      <c r="U56" s="600" t="str">
        <f t="shared" si="19"/>
        <v/>
      </c>
      <c r="V56" s="600">
        <f t="shared" si="19"/>
        <v>0.5</v>
      </c>
      <c r="W56" s="600" t="str">
        <f t="shared" si="19"/>
        <v/>
      </c>
      <c r="X56" s="600" t="str">
        <f t="shared" si="19"/>
        <v/>
      </c>
      <c r="Y56" s="600">
        <f t="shared" si="19"/>
        <v>51</v>
      </c>
      <c r="Z56" s="600">
        <f t="shared" si="19"/>
        <v>48.8</v>
      </c>
      <c r="AA56" s="600" t="str">
        <f t="shared" si="19"/>
        <v/>
      </c>
      <c r="AB56" s="600" t="str">
        <f t="shared" si="19"/>
        <v/>
      </c>
      <c r="AC56" s="600" t="str">
        <f t="shared" si="19"/>
        <v/>
      </c>
      <c r="AD56" s="600" t="str">
        <f t="shared" si="19"/>
        <v/>
      </c>
      <c r="AE56" s="600" t="str">
        <f t="shared" si="19"/>
        <v/>
      </c>
      <c r="AF56" s="600" t="str">
        <f t="shared" si="19"/>
        <v/>
      </c>
      <c r="AG56" s="600" t="str">
        <f t="shared" si="19"/>
        <v/>
      </c>
      <c r="AH56" s="600" t="str">
        <f t="shared" si="19"/>
        <v/>
      </c>
      <c r="AI56" s="600" t="str">
        <f t="shared" si="19"/>
        <v/>
      </c>
      <c r="AJ56" s="600" t="str">
        <f t="shared" si="19"/>
        <v/>
      </c>
      <c r="AK56" s="601" t="str">
        <f t="shared" si="19"/>
        <v/>
      </c>
      <c r="AL56" s="600">
        <f t="shared" si="19"/>
        <v>1.1299999999999999</v>
      </c>
      <c r="AM56" s="600">
        <f t="shared" si="19"/>
        <v>26.61</v>
      </c>
      <c r="AN56" s="600">
        <f t="shared" si="19"/>
        <v>0.3199999999999994</v>
      </c>
      <c r="AO56" s="601" t="str">
        <f t="shared" si="19"/>
        <v/>
      </c>
      <c r="AP56" s="600" t="str">
        <f t="shared" si="19"/>
        <v/>
      </c>
      <c r="AQ56" s="600">
        <f t="shared" si="19"/>
        <v>3</v>
      </c>
      <c r="AR56" s="600" t="str">
        <f t="shared" si="19"/>
        <v/>
      </c>
      <c r="AS56" s="600" t="str">
        <f t="shared" si="19"/>
        <v/>
      </c>
      <c r="AT56" s="600">
        <f t="shared" si="19"/>
        <v>9</v>
      </c>
      <c r="AU56" s="600" t="str">
        <f t="shared" si="19"/>
        <v/>
      </c>
      <c r="AV56" s="600" t="str">
        <f t="shared" si="19"/>
        <v/>
      </c>
      <c r="AW56" s="600">
        <f t="shared" si="19"/>
        <v>25105</v>
      </c>
      <c r="AX56" s="600" t="str">
        <f t="shared" si="19"/>
        <v/>
      </c>
      <c r="AY56" s="600" t="str">
        <f t="shared" si="19"/>
        <v/>
      </c>
      <c r="AZ56" s="600" t="str">
        <f t="shared" si="19"/>
        <v/>
      </c>
      <c r="BA56" s="600" t="str">
        <f t="shared" si="19"/>
        <v/>
      </c>
      <c r="BB56" s="600" t="str">
        <f t="shared" si="19"/>
        <v/>
      </c>
      <c r="BC56" s="601" t="str">
        <f t="shared" si="19"/>
        <v/>
      </c>
      <c r="BD56" s="600" t="str">
        <f t="shared" si="19"/>
        <v/>
      </c>
      <c r="BE56" s="600" t="str">
        <f t="shared" si="19"/>
        <v/>
      </c>
      <c r="BF56" s="600" t="str">
        <f>IF(AND(BF55=TRUE,BF50=TRUE),BF52*24*60,BF52)</f>
        <v/>
      </c>
      <c r="BG56" s="600" t="str">
        <f>IF(AND(BG55=TRUE,BG50=TRUE),BG52*24*60,BG52)</f>
        <v/>
      </c>
      <c r="BH56" s="600" t="str">
        <f t="shared" si="19"/>
        <v/>
      </c>
      <c r="BI56" s="600" t="str">
        <f t="shared" si="19"/>
        <v/>
      </c>
      <c r="BJ56" s="600" t="str">
        <f t="shared" si="19"/>
        <v/>
      </c>
      <c r="BK56" s="600" t="str">
        <f t="shared" si="19"/>
        <v/>
      </c>
      <c r="BL56" s="600" t="str">
        <f t="shared" si="19"/>
        <v/>
      </c>
      <c r="BM56" s="600" t="str">
        <f t="shared" si="19"/>
        <v/>
      </c>
      <c r="BN56" s="600" t="str">
        <f t="shared" si="19"/>
        <v/>
      </c>
      <c r="BO56" s="600" t="str">
        <f t="shared" si="19"/>
        <v/>
      </c>
      <c r="BP56" s="600" t="str">
        <f t="shared" si="19"/>
        <v/>
      </c>
      <c r="BQ56" s="600" t="str">
        <f t="shared" si="19"/>
        <v/>
      </c>
      <c r="BR56" s="600" t="str">
        <f t="shared" si="19"/>
        <v/>
      </c>
      <c r="BS56" s="600" t="str">
        <f t="shared" si="19"/>
        <v/>
      </c>
    </row>
    <row r="57" spans="1:71" s="202" customFormat="1" ht="13.15">
      <c r="A57" s="583"/>
      <c r="B57" s="583"/>
      <c r="C57" s="583"/>
      <c r="D57" s="583"/>
      <c r="E57" s="583" t="str">
        <f>InpPerformance!E$20</f>
        <v>ODI is calculated as a percentage difference to a baseline</v>
      </c>
      <c r="F57" s="583"/>
      <c r="G57" s="583" t="str">
        <f>InpPerformance!G$20</f>
        <v>TRUE or FALSE</v>
      </c>
      <c r="H57" s="583"/>
      <c r="I57" s="583"/>
      <c r="J57" s="591" t="b">
        <f>InpPerformance!J$20</f>
        <v>0</v>
      </c>
      <c r="K57" s="591" t="b">
        <f>InpPerformance!K$20</f>
        <v>0</v>
      </c>
      <c r="L57" s="591" t="b">
        <f>InpPerformance!L$20</f>
        <v>1</v>
      </c>
      <c r="M57" s="591" t="b">
        <f>InpPerformance!M$20</f>
        <v>1</v>
      </c>
      <c r="N57" s="591" t="b">
        <f>InpPerformance!N$20</f>
        <v>1</v>
      </c>
      <c r="O57" s="591" t="b">
        <f>InpPerformance!O$20</f>
        <v>1</v>
      </c>
      <c r="P57" s="591" t="b">
        <f>InpPerformance!P$20</f>
        <v>0</v>
      </c>
      <c r="Q57" s="592" t="b">
        <f>InpPerformance!Q$20</f>
        <v>0</v>
      </c>
      <c r="R57" s="591" t="b">
        <f>InpPerformance!R$20</f>
        <v>0</v>
      </c>
      <c r="S57" s="591" t="b">
        <f>InpPerformance!S$20</f>
        <v>0</v>
      </c>
      <c r="T57" s="591" t="b">
        <f>InpPerformance!T$20</f>
        <v>0</v>
      </c>
      <c r="U57" s="591" t="b">
        <f>InpPerformance!U$20</f>
        <v>0</v>
      </c>
      <c r="V57" s="591" t="b">
        <f>InpPerformance!V$20</f>
        <v>0</v>
      </c>
      <c r="W57" s="591" t="b">
        <f>InpPerformance!W$20</f>
        <v>0</v>
      </c>
      <c r="X57" s="591" t="b">
        <f>InpPerformance!X$20</f>
        <v>0</v>
      </c>
      <c r="Y57" s="591" t="b">
        <f>InpPerformance!Y$20</f>
        <v>0</v>
      </c>
      <c r="Z57" s="591" t="b">
        <f>InpPerformance!Z$20</f>
        <v>0</v>
      </c>
      <c r="AA57" s="591" t="b">
        <f>InpPerformance!AA$20</f>
        <v>0</v>
      </c>
      <c r="AB57" s="591" t="b">
        <f>InpPerformance!AB$20</f>
        <v>0</v>
      </c>
      <c r="AC57" s="591" t="b">
        <f>InpPerformance!AC$20</f>
        <v>0</v>
      </c>
      <c r="AD57" s="591" t="b">
        <f>InpPerformance!AD$20</f>
        <v>0</v>
      </c>
      <c r="AE57" s="591" t="b">
        <f>InpPerformance!AE$20</f>
        <v>0</v>
      </c>
      <c r="AF57" s="591" t="b">
        <f>InpPerformance!AF$20</f>
        <v>0</v>
      </c>
      <c r="AG57" s="591" t="b">
        <f>InpPerformance!AG$20</f>
        <v>0</v>
      </c>
      <c r="AH57" s="591" t="b">
        <f>InpPerformance!AH$20</f>
        <v>0</v>
      </c>
      <c r="AI57" s="591" t="b">
        <f>InpPerformance!AI$20</f>
        <v>0</v>
      </c>
      <c r="AJ57" s="591" t="b">
        <f>InpPerformance!AJ$20</f>
        <v>0</v>
      </c>
      <c r="AK57" s="592" t="b">
        <f>InpPerformance!AK$20</f>
        <v>0</v>
      </c>
      <c r="AL57" s="591" t="b">
        <f>InpPerformance!AL$20</f>
        <v>0</v>
      </c>
      <c r="AM57" s="591" t="b">
        <f>InpPerformance!AM$20</f>
        <v>0</v>
      </c>
      <c r="AN57" s="591" t="b">
        <f>InpPerformance!AN$20</f>
        <v>0</v>
      </c>
      <c r="AO57" s="592" t="b">
        <f>InpPerformance!AO$20</f>
        <v>0</v>
      </c>
      <c r="AP57" s="591" t="b">
        <f>InpPerformance!AP$20</f>
        <v>0</v>
      </c>
      <c r="AQ57" s="591" t="b">
        <f>InpPerformance!AQ$20</f>
        <v>0</v>
      </c>
      <c r="AR57" s="591" t="b">
        <f>InpPerformance!AR$20</f>
        <v>0</v>
      </c>
      <c r="AS57" s="591" t="b">
        <f>InpPerformance!AS$20</f>
        <v>0</v>
      </c>
      <c r="AT57" s="591" t="b">
        <f>InpPerformance!AT$20</f>
        <v>0</v>
      </c>
      <c r="AU57" s="591" t="b">
        <f>InpPerformance!AU$20</f>
        <v>0</v>
      </c>
      <c r="AV57" s="591" t="b">
        <f>InpPerformance!AV$20</f>
        <v>0</v>
      </c>
      <c r="AW57" s="591" t="b">
        <f>InpPerformance!AW$20</f>
        <v>0</v>
      </c>
      <c r="AX57" s="591" t="b">
        <f>InpPerformance!AX$20</f>
        <v>0</v>
      </c>
      <c r="AY57" s="591" t="b">
        <f>InpPerformance!AY$20</f>
        <v>0</v>
      </c>
      <c r="AZ57" s="591" t="b">
        <f>InpPerformance!AZ$20</f>
        <v>0</v>
      </c>
      <c r="BA57" s="591" t="b">
        <f>InpPerformance!BA$20</f>
        <v>0</v>
      </c>
      <c r="BB57" s="591" t="b">
        <f>InpPerformance!BB$20</f>
        <v>0</v>
      </c>
      <c r="BC57" s="592" t="b">
        <f>InpPerformance!BC$20</f>
        <v>0</v>
      </c>
      <c r="BD57" s="591" t="b">
        <f>InpPerformance!BD$20</f>
        <v>0</v>
      </c>
      <c r="BE57" s="591" t="b">
        <f>InpPerformance!BE$20</f>
        <v>0</v>
      </c>
      <c r="BF57" s="591" t="b">
        <f>InpPerformance!BF$20</f>
        <v>0</v>
      </c>
      <c r="BG57" s="591" t="b">
        <f>InpPerformance!BG$20</f>
        <v>0</v>
      </c>
      <c r="BH57" s="591" t="b">
        <f>InpPerformance!BH$20</f>
        <v>0</v>
      </c>
      <c r="BI57" s="591" t="b">
        <f>InpPerformance!BI$20</f>
        <v>0</v>
      </c>
      <c r="BJ57" s="591" t="b">
        <f>InpPerformance!BJ$20</f>
        <v>0</v>
      </c>
      <c r="BK57" s="591" t="b">
        <f>InpPerformance!BK$20</f>
        <v>0</v>
      </c>
      <c r="BL57" s="591" t="b">
        <f>InpPerformance!BL$20</f>
        <v>0</v>
      </c>
      <c r="BM57" s="591" t="b">
        <f>InpPerformance!BM$20</f>
        <v>0</v>
      </c>
      <c r="BN57" s="591" t="b">
        <f>InpPerformance!BN$20</f>
        <v>0</v>
      </c>
      <c r="BO57" s="591" t="b">
        <f>InpPerformance!BO$20</f>
        <v>0</v>
      </c>
      <c r="BP57" s="591" t="b">
        <f>InpPerformance!BP$20</f>
        <v>0</v>
      </c>
      <c r="BQ57" s="591" t="b">
        <f>InpPerformance!BQ$20</f>
        <v>0</v>
      </c>
      <c r="BR57" s="591" t="b">
        <f>InpPerformance!BR$20</f>
        <v>0</v>
      </c>
      <c r="BS57" s="591" t="b">
        <f>InpPerformance!BS$20</f>
        <v>0</v>
      </c>
    </row>
    <row r="58" spans="1:71" s="228" customFormat="1" ht="13.15">
      <c r="A58" s="583"/>
      <c r="B58" s="583"/>
      <c r="C58" s="583"/>
      <c r="D58" s="583"/>
      <c r="E58" s="583" t="str">
        <f>InpPerformance!E$8</f>
        <v>Baseline (if applicable)</v>
      </c>
      <c r="F58" s="583"/>
      <c r="G58" s="583" t="str">
        <f>InpPerformance!G$8</f>
        <v>Baseline unit</v>
      </c>
      <c r="H58" s="583"/>
      <c r="I58" s="583"/>
      <c r="J58" s="588" t="str">
        <f>IF(InpPerformance!J$8&lt;&gt;"",ROUND(InpPerformance!J$8,1),"")</f>
        <v/>
      </c>
      <c r="K58" s="588" t="str">
        <f>IF(InpPerformance!K$8&lt;&gt;"",ROUND(InpPerformance!K$8,1),"")</f>
        <v/>
      </c>
      <c r="L58" s="588">
        <f>IF(InpPerformance!L$8&lt;&gt;"",ROUND(InpPerformance!L$8,1),"")</f>
        <v>99.9</v>
      </c>
      <c r="M58" s="588" t="str">
        <f>IF(InpPerformance!M$8&lt;&gt;"",ROUND(InpPerformance!M$8,1),"")</f>
        <v/>
      </c>
      <c r="N58" s="588">
        <f>IF(InpPerformance!N$8&lt;&gt;"",ROUND(InpPerformance!N$8,1),"")</f>
        <v>128</v>
      </c>
      <c r="O58" s="588" t="str">
        <f>IF(InpPerformance!O$8&lt;&gt;"",ROUND(InpPerformance!O$8,1),"")</f>
        <v/>
      </c>
      <c r="P58" s="588" t="str">
        <f>IF(InpPerformance!P$8&lt;&gt;"",ROUND(InpPerformance!P$8,1),"")</f>
        <v/>
      </c>
      <c r="Q58" s="590" t="str">
        <f>IF(InpPerformance!Q$8&lt;&gt;"",ROUND(InpPerformance!Q$8,1),"")</f>
        <v/>
      </c>
      <c r="R58" s="588" t="str">
        <f>IF(InpPerformance!R$8&lt;&gt;"",ROUND(InpPerformance!R$8,1),"")</f>
        <v/>
      </c>
      <c r="S58" s="588" t="str">
        <f>IF(InpPerformance!S$8&lt;&gt;"",ROUND(InpPerformance!S$8,1),"")</f>
        <v/>
      </c>
      <c r="T58" s="588" t="str">
        <f>IF(InpPerformance!T$8&lt;&gt;"",ROUND(InpPerformance!T$8,1),"")</f>
        <v/>
      </c>
      <c r="U58" s="588" t="str">
        <f>IF(InpPerformance!U$8&lt;&gt;"",ROUND(InpPerformance!U$8,1),"")</f>
        <v/>
      </c>
      <c r="V58" s="588" t="str">
        <f>IF(InpPerformance!V$8&lt;&gt;"",ROUND(InpPerformance!V$8,1),"")</f>
        <v/>
      </c>
      <c r="W58" s="588" t="str">
        <f>IF(InpPerformance!W$8&lt;&gt;"",ROUND(InpPerformance!W$8,1),"")</f>
        <v/>
      </c>
      <c r="X58" s="588" t="str">
        <f>IF(InpPerformance!X$8&lt;&gt;"",ROUND(InpPerformance!X$8,1),"")</f>
        <v/>
      </c>
      <c r="Y58" s="588" t="str">
        <f>IF(InpPerformance!Y$8&lt;&gt;"",ROUND(InpPerformance!Y$8,1),"")</f>
        <v/>
      </c>
      <c r="Z58" s="588" t="str">
        <f>IF(InpPerformance!Z$8&lt;&gt;"",ROUND(InpPerformance!Z$8,1),"")</f>
        <v/>
      </c>
      <c r="AA58" s="588" t="str">
        <f>IF(InpPerformance!AA$8&lt;&gt;"",ROUND(InpPerformance!AA$8,1),"")</f>
        <v/>
      </c>
      <c r="AB58" s="588" t="str">
        <f>IF(InpPerformance!AB$8&lt;&gt;"",ROUND(InpPerformance!AB$8,1),"")</f>
        <v/>
      </c>
      <c r="AC58" s="588" t="str">
        <f>IF(InpPerformance!AC$8&lt;&gt;"",ROUND(InpPerformance!AC$8,1),"")</f>
        <v/>
      </c>
      <c r="AD58" s="588" t="str">
        <f>IF(InpPerformance!AD$8&lt;&gt;"",ROUND(InpPerformance!AD$8,1),"")</f>
        <v/>
      </c>
      <c r="AE58" s="588" t="str">
        <f>IF(InpPerformance!AE$8&lt;&gt;"",ROUND(InpPerformance!AE$8,1),"")</f>
        <v/>
      </c>
      <c r="AF58" s="588" t="str">
        <f>IF(InpPerformance!AF$8&lt;&gt;"",ROUND(InpPerformance!AF$8,1),"")</f>
        <v/>
      </c>
      <c r="AG58" s="588" t="str">
        <f>IF(InpPerformance!AG$8&lt;&gt;"",ROUND(InpPerformance!AG$8,1),"")</f>
        <v/>
      </c>
      <c r="AH58" s="588" t="str">
        <f>IF(InpPerformance!AH$8&lt;&gt;"",ROUND(InpPerformance!AH$8,1),"")</f>
        <v/>
      </c>
      <c r="AI58" s="588" t="str">
        <f>IF(InpPerformance!AI$8&lt;&gt;"",ROUND(InpPerformance!AI$8,1),"")</f>
        <v/>
      </c>
      <c r="AJ58" s="588" t="str">
        <f>IF(InpPerformance!AJ$8&lt;&gt;"",ROUND(InpPerformance!AJ$8,1),"")</f>
        <v/>
      </c>
      <c r="AK58" s="590" t="str">
        <f>IF(InpPerformance!AK$8&lt;&gt;"",ROUND(InpPerformance!AK$8,1),"")</f>
        <v/>
      </c>
      <c r="AL58" s="588" t="str">
        <f>IF(InpPerformance!AL$8&lt;&gt;"",ROUND(InpPerformance!AL$8,1),"")</f>
        <v/>
      </c>
      <c r="AM58" s="588" t="str">
        <f>IF(InpPerformance!AM$8&lt;&gt;"",ROUND(InpPerformance!AM$8,1),"")</f>
        <v/>
      </c>
      <c r="AN58" s="588" t="str">
        <f>IF(InpPerformance!AN$8&lt;&gt;"",ROUND(InpPerformance!AN$8,1),"")</f>
        <v/>
      </c>
      <c r="AO58" s="590" t="str">
        <f>IF(InpPerformance!AO$8&lt;&gt;"",ROUND(InpPerformance!AO$8,1),"")</f>
        <v/>
      </c>
      <c r="AP58" s="588" t="str">
        <f>IF(InpPerformance!AP$8&lt;&gt;"",ROUND(InpPerformance!AP$8,1),"")</f>
        <v/>
      </c>
      <c r="AQ58" s="588" t="str">
        <f>IF(InpPerformance!AQ$8&lt;&gt;"",ROUND(InpPerformance!AQ$8,1),"")</f>
        <v/>
      </c>
      <c r="AR58" s="588" t="str">
        <f>IF(InpPerformance!AR$8&lt;&gt;"",ROUND(InpPerformance!AR$8,1),"")</f>
        <v/>
      </c>
      <c r="AS58" s="588" t="str">
        <f>IF(InpPerformance!AS$8&lt;&gt;"",ROUND(InpPerformance!AS$8,1),"")</f>
        <v/>
      </c>
      <c r="AT58" s="588" t="str">
        <f>IF(InpPerformance!AT$8&lt;&gt;"",ROUND(InpPerformance!AT$8,1),"")</f>
        <v/>
      </c>
      <c r="AU58" s="588" t="str">
        <f>IF(InpPerformance!AU$8&lt;&gt;"",ROUND(InpPerformance!AU$8,1),"")</f>
        <v/>
      </c>
      <c r="AV58" s="588" t="str">
        <f>IF(InpPerformance!AV$8&lt;&gt;"",ROUND(InpPerformance!AV$8,1),"")</f>
        <v/>
      </c>
      <c r="AW58" s="588" t="str">
        <f>IF(InpPerformance!AW$8&lt;&gt;"",ROUND(InpPerformance!AW$8,1),"")</f>
        <v/>
      </c>
      <c r="AX58" s="588" t="str">
        <f>IF(InpPerformance!AX$8&lt;&gt;"",ROUND(InpPerformance!AX$8,1),"")</f>
        <v/>
      </c>
      <c r="AY58" s="588" t="str">
        <f>IF(InpPerformance!AY$8&lt;&gt;"",ROUND(InpPerformance!AY$8,1),"")</f>
        <v/>
      </c>
      <c r="AZ58" s="588" t="str">
        <f>IF(InpPerformance!AZ$8&lt;&gt;"",ROUND(InpPerformance!AZ$8,1),"")</f>
        <v/>
      </c>
      <c r="BA58" s="588" t="str">
        <f>IF(InpPerformance!BA$8&lt;&gt;"",ROUND(InpPerformance!BA$8,1),"")</f>
        <v/>
      </c>
      <c r="BB58" s="588" t="str">
        <f>IF(InpPerformance!BB$8&lt;&gt;"",ROUND(InpPerformance!BB$8,1),"")</f>
        <v/>
      </c>
      <c r="BC58" s="590" t="str">
        <f>IF(InpPerformance!BC$8&lt;&gt;"",ROUND(InpPerformance!BC$8,1),"")</f>
        <v/>
      </c>
      <c r="BD58" s="588" t="str">
        <f>IF(InpPerformance!BD$8&lt;&gt;"",ROUND(InpPerformance!BD$8,1),"")</f>
        <v/>
      </c>
      <c r="BE58" s="588" t="str">
        <f>IF(InpPerformance!BE$8&lt;&gt;"",ROUND(InpPerformance!BE$8,1),"")</f>
        <v/>
      </c>
      <c r="BF58" s="588" t="str">
        <f>IF(InpPerformance!BF$8&lt;&gt;"",ROUND(InpPerformance!BF$8,1),"")</f>
        <v/>
      </c>
      <c r="BG58" s="588" t="str">
        <f>IF(InpPerformance!BG$8&lt;&gt;"",ROUND(InpPerformance!BG$8,1),"")</f>
        <v/>
      </c>
      <c r="BH58" s="588" t="str">
        <f>IF(InpPerformance!BH$8&lt;&gt;"",ROUND(InpPerformance!BH$8,1),"")</f>
        <v/>
      </c>
      <c r="BI58" s="588" t="str">
        <f>IF(InpPerformance!BI$8&lt;&gt;"",ROUND(InpPerformance!BI$8,1),"")</f>
        <v/>
      </c>
      <c r="BJ58" s="588" t="str">
        <f>IF(InpPerformance!BJ$8&lt;&gt;"",ROUND(InpPerformance!BJ$8,1),"")</f>
        <v/>
      </c>
      <c r="BK58" s="588" t="str">
        <f>IF(InpPerformance!BK$8&lt;&gt;"",ROUND(InpPerformance!BK$8,1),"")</f>
        <v/>
      </c>
      <c r="BL58" s="588" t="str">
        <f>IF(InpPerformance!BL$8&lt;&gt;"",ROUND(InpPerformance!BL$8,1),"")</f>
        <v/>
      </c>
      <c r="BM58" s="588" t="str">
        <f>IF(InpPerformance!BM$8&lt;&gt;"",ROUND(InpPerformance!BM$8,1),"")</f>
        <v/>
      </c>
      <c r="BN58" s="588" t="str">
        <f>IF(InpPerformance!BN$8&lt;&gt;"",ROUND(InpPerformance!BN$8,1),"")</f>
        <v/>
      </c>
      <c r="BO58" s="588" t="str">
        <f>IF(InpPerformance!BO$8&lt;&gt;"",ROUND(InpPerformance!BO$8,1),"")</f>
        <v/>
      </c>
      <c r="BP58" s="588" t="str">
        <f>IF(InpPerformance!BP$8&lt;&gt;"",ROUND(InpPerformance!BP$8,1),"")</f>
        <v/>
      </c>
      <c r="BQ58" s="588" t="str">
        <f>IF(InpPerformance!BQ$8&lt;&gt;"",ROUND(InpPerformance!BQ$8,1),"")</f>
        <v/>
      </c>
      <c r="BR58" s="588" t="str">
        <f>IF(InpPerformance!BR$8&lt;&gt;"",ROUND(InpPerformance!BR$8,1),"")</f>
        <v/>
      </c>
      <c r="BS58" s="588" t="str">
        <f>IF(InpPerformance!BS$8&lt;&gt;"",ROUND(InpPerformance!BS$8,1),"")</f>
        <v/>
      </c>
    </row>
    <row r="59" spans="1:71" s="202" customFormat="1" ht="13.15">
      <c r="A59" s="453"/>
      <c r="B59" s="453"/>
      <c r="C59" s="453"/>
      <c r="D59" s="453"/>
      <c r="E59" s="453" t="s">
        <v>1210</v>
      </c>
      <c r="F59" s="453"/>
      <c r="G59" s="453" t="s">
        <v>1158</v>
      </c>
      <c r="H59" s="453"/>
      <c r="I59" s="453"/>
      <c r="J59" s="600">
        <f>IF(AND(J57=TRUE,J50=TRUE),ROUND((J56/100)*J58,1),J56)</f>
        <v>1.0699999999999998</v>
      </c>
      <c r="K59" s="604">
        <f t="shared" ref="K59:BS59" si="20">IF(AND(K57=TRUE,K50=TRUE),ROUND((K56/100)*K58,1),K56)</f>
        <v>17.366666666666671</v>
      </c>
      <c r="L59" s="600">
        <f>IF(AND(L57=TRUE,L50=TRUE),ROUND((L56/100)*L58,1),L56)</f>
        <v>16.399999999999999</v>
      </c>
      <c r="M59" s="600" t="str">
        <f>IF(AND(M57=TRUE,M50=TRUE),ROUND((M56/100)*M58,1),M56)</f>
        <v/>
      </c>
      <c r="N59" s="600">
        <f t="shared" si="20"/>
        <v>9.3000000000000007</v>
      </c>
      <c r="O59" s="600" t="str">
        <f>IF(AND(O57=TRUE,O50=TRUE),ROUND((O56/100)*O58,1),O56)</f>
        <v/>
      </c>
      <c r="P59" s="600">
        <f t="shared" si="20"/>
        <v>23.699999999999989</v>
      </c>
      <c r="Q59" s="601" t="str">
        <f t="shared" si="20"/>
        <v/>
      </c>
      <c r="R59" s="600">
        <f t="shared" si="20"/>
        <v>0.44999999999999996</v>
      </c>
      <c r="S59" s="600">
        <f t="shared" si="20"/>
        <v>1.999999999999999E-2</v>
      </c>
      <c r="T59" s="600" t="str">
        <f t="shared" si="20"/>
        <v/>
      </c>
      <c r="U59" s="600" t="str">
        <f t="shared" si="20"/>
        <v/>
      </c>
      <c r="V59" s="600">
        <f t="shared" si="20"/>
        <v>0.5</v>
      </c>
      <c r="W59" s="600" t="str">
        <f t="shared" si="20"/>
        <v/>
      </c>
      <c r="X59" s="600" t="str">
        <f t="shared" si="20"/>
        <v/>
      </c>
      <c r="Y59" s="600">
        <f t="shared" si="20"/>
        <v>51</v>
      </c>
      <c r="Z59" s="600">
        <f t="shared" si="20"/>
        <v>48.8</v>
      </c>
      <c r="AA59" s="600" t="str">
        <f t="shared" si="20"/>
        <v/>
      </c>
      <c r="AB59" s="600" t="str">
        <f t="shared" si="20"/>
        <v/>
      </c>
      <c r="AC59" s="600" t="str">
        <f t="shared" si="20"/>
        <v/>
      </c>
      <c r="AD59" s="600" t="str">
        <f t="shared" si="20"/>
        <v/>
      </c>
      <c r="AE59" s="600" t="str">
        <f t="shared" si="20"/>
        <v/>
      </c>
      <c r="AF59" s="600" t="str">
        <f t="shared" si="20"/>
        <v/>
      </c>
      <c r="AG59" s="600" t="str">
        <f t="shared" si="20"/>
        <v/>
      </c>
      <c r="AH59" s="600" t="str">
        <f t="shared" si="20"/>
        <v/>
      </c>
      <c r="AI59" s="600" t="str">
        <f t="shared" si="20"/>
        <v/>
      </c>
      <c r="AJ59" s="600" t="str">
        <f t="shared" si="20"/>
        <v/>
      </c>
      <c r="AK59" s="601" t="str">
        <f t="shared" si="20"/>
        <v/>
      </c>
      <c r="AL59" s="600">
        <f t="shared" si="20"/>
        <v>1.1299999999999999</v>
      </c>
      <c r="AM59" s="600">
        <f t="shared" si="20"/>
        <v>26.61</v>
      </c>
      <c r="AN59" s="600">
        <f t="shared" si="20"/>
        <v>0.3199999999999994</v>
      </c>
      <c r="AO59" s="601" t="str">
        <f t="shared" si="20"/>
        <v/>
      </c>
      <c r="AP59" s="600" t="str">
        <f t="shared" si="20"/>
        <v/>
      </c>
      <c r="AQ59" s="600">
        <f t="shared" si="20"/>
        <v>3</v>
      </c>
      <c r="AR59" s="600" t="str">
        <f t="shared" si="20"/>
        <v/>
      </c>
      <c r="AS59" s="600" t="str">
        <f t="shared" si="20"/>
        <v/>
      </c>
      <c r="AT59" s="600">
        <f t="shared" si="20"/>
        <v>9</v>
      </c>
      <c r="AU59" s="600" t="str">
        <f t="shared" si="20"/>
        <v/>
      </c>
      <c r="AV59" s="600" t="str">
        <f t="shared" si="20"/>
        <v/>
      </c>
      <c r="AW59" s="600">
        <f t="shared" si="20"/>
        <v>25105</v>
      </c>
      <c r="AX59" s="600" t="str">
        <f t="shared" si="20"/>
        <v/>
      </c>
      <c r="AY59" s="600" t="str">
        <f t="shared" si="20"/>
        <v/>
      </c>
      <c r="AZ59" s="600" t="str">
        <f t="shared" si="20"/>
        <v/>
      </c>
      <c r="BA59" s="600" t="str">
        <f t="shared" si="20"/>
        <v/>
      </c>
      <c r="BB59" s="600" t="str">
        <f t="shared" si="20"/>
        <v/>
      </c>
      <c r="BC59" s="601" t="str">
        <f t="shared" si="20"/>
        <v/>
      </c>
      <c r="BD59" s="600" t="str">
        <f t="shared" si="20"/>
        <v/>
      </c>
      <c r="BE59" s="600" t="str">
        <f t="shared" si="20"/>
        <v/>
      </c>
      <c r="BF59" s="600" t="str">
        <f>IF(AND(BF57=TRUE,BF50=TRUE),ROUND((BF56/100)*BF58,1),BF56)</f>
        <v/>
      </c>
      <c r="BG59" s="600" t="str">
        <f>IF(AND(BG57=TRUE,BG50=TRUE),ROUND((BG56/100)*BG58,1),BG56)</f>
        <v/>
      </c>
      <c r="BH59" s="600" t="str">
        <f t="shared" si="20"/>
        <v/>
      </c>
      <c r="BI59" s="600" t="str">
        <f t="shared" si="20"/>
        <v/>
      </c>
      <c r="BJ59" s="600" t="str">
        <f t="shared" si="20"/>
        <v/>
      </c>
      <c r="BK59" s="600" t="str">
        <f t="shared" si="20"/>
        <v/>
      </c>
      <c r="BL59" s="600" t="str">
        <f t="shared" si="20"/>
        <v/>
      </c>
      <c r="BM59" s="600" t="str">
        <f t="shared" si="20"/>
        <v/>
      </c>
      <c r="BN59" s="600" t="str">
        <f t="shared" si="20"/>
        <v/>
      </c>
      <c r="BO59" s="600" t="str">
        <f t="shared" si="20"/>
        <v/>
      </c>
      <c r="BP59" s="600" t="str">
        <f t="shared" si="20"/>
        <v/>
      </c>
      <c r="BQ59" s="600" t="str">
        <f t="shared" si="20"/>
        <v/>
      </c>
      <c r="BR59" s="600" t="str">
        <f t="shared" si="20"/>
        <v/>
      </c>
      <c r="BS59" s="600" t="str">
        <f t="shared" si="20"/>
        <v/>
      </c>
    </row>
    <row r="60" spans="1:71" s="202" customFormat="1" ht="13.15">
      <c r="A60" s="453"/>
      <c r="B60" s="453"/>
      <c r="C60" s="453"/>
      <c r="D60" s="453"/>
      <c r="E60" s="453"/>
      <c r="F60" s="453"/>
      <c r="G60" s="453"/>
      <c r="H60" s="453"/>
      <c r="I60" s="453"/>
      <c r="J60" s="598"/>
      <c r="K60" s="598"/>
      <c r="L60" s="598"/>
      <c r="M60" s="598"/>
      <c r="N60" s="598"/>
      <c r="O60" s="598"/>
      <c r="P60" s="598"/>
      <c r="Q60" s="599"/>
      <c r="R60" s="598"/>
      <c r="S60" s="598"/>
      <c r="T60" s="598"/>
      <c r="U60" s="598"/>
      <c r="V60" s="598"/>
      <c r="W60" s="598"/>
      <c r="X60" s="598"/>
      <c r="Y60" s="598"/>
      <c r="Z60" s="598"/>
      <c r="AA60" s="598"/>
      <c r="AB60" s="598"/>
      <c r="AC60" s="598"/>
      <c r="AD60" s="598"/>
      <c r="AE60" s="598"/>
      <c r="AF60" s="598"/>
      <c r="AG60" s="598"/>
      <c r="AH60" s="598"/>
      <c r="AI60" s="598"/>
      <c r="AJ60" s="598"/>
      <c r="AK60" s="599"/>
      <c r="AL60" s="598"/>
      <c r="AM60" s="598"/>
      <c r="AN60" s="598"/>
      <c r="AO60" s="599"/>
      <c r="AP60" s="598"/>
      <c r="AQ60" s="598"/>
      <c r="AR60" s="598"/>
      <c r="AS60" s="598"/>
      <c r="AT60" s="598"/>
      <c r="AU60" s="598"/>
      <c r="AV60" s="598"/>
      <c r="AW60" s="598"/>
      <c r="AX60" s="598"/>
      <c r="AY60" s="598"/>
      <c r="AZ60" s="598"/>
      <c r="BA60" s="598"/>
      <c r="BB60" s="598"/>
      <c r="BC60" s="599"/>
      <c r="BD60" s="598"/>
      <c r="BE60" s="598"/>
      <c r="BF60" s="598"/>
      <c r="BG60" s="598"/>
      <c r="BH60" s="598"/>
      <c r="BI60" s="598"/>
      <c r="BJ60" s="598"/>
      <c r="BK60" s="598"/>
      <c r="BL60" s="598"/>
      <c r="BM60" s="598"/>
      <c r="BN60" s="598"/>
      <c r="BO60" s="598"/>
      <c r="BP60" s="598"/>
      <c r="BQ60" s="598"/>
      <c r="BR60" s="598"/>
      <c r="BS60" s="598"/>
    </row>
    <row r="61" spans="1:71" s="202" customFormat="1" ht="11.65" customHeight="1">
      <c r="A61" s="453"/>
      <c r="B61" s="453"/>
      <c r="C61" s="453"/>
      <c r="D61" s="463" t="s">
        <v>1219</v>
      </c>
      <c r="E61" s="453"/>
      <c r="F61" s="453"/>
      <c r="G61" s="453"/>
      <c r="H61" s="453"/>
      <c r="I61" s="453"/>
      <c r="J61" s="598"/>
      <c r="K61" s="598"/>
      <c r="L61" s="598"/>
      <c r="M61" s="598"/>
      <c r="N61" s="598"/>
      <c r="O61" s="598"/>
      <c r="P61" s="598"/>
      <c r="Q61" s="599"/>
      <c r="R61" s="598"/>
      <c r="S61" s="598"/>
      <c r="T61" s="598"/>
      <c r="U61" s="598"/>
      <c r="V61" s="598"/>
      <c r="W61" s="598"/>
      <c r="X61" s="598"/>
      <c r="Y61" s="598"/>
      <c r="Z61" s="598"/>
      <c r="AA61" s="598"/>
      <c r="AB61" s="598"/>
      <c r="AC61" s="598"/>
      <c r="AD61" s="598"/>
      <c r="AE61" s="598"/>
      <c r="AF61" s="598"/>
      <c r="AG61" s="598"/>
      <c r="AH61" s="598"/>
      <c r="AI61" s="598"/>
      <c r="AJ61" s="598"/>
      <c r="AK61" s="599"/>
      <c r="AL61" s="598"/>
      <c r="AM61" s="598"/>
      <c r="AN61" s="598"/>
      <c r="AO61" s="599"/>
      <c r="AP61" s="598"/>
      <c r="AQ61" s="598"/>
      <c r="AR61" s="598"/>
      <c r="AS61" s="598"/>
      <c r="AT61" s="598"/>
      <c r="AU61" s="598"/>
      <c r="AV61" s="598"/>
      <c r="AW61" s="598"/>
      <c r="AX61" s="598"/>
      <c r="AY61" s="598"/>
      <c r="AZ61" s="598"/>
      <c r="BA61" s="598"/>
      <c r="BB61" s="598"/>
      <c r="BC61" s="599"/>
      <c r="BD61" s="598"/>
      <c r="BE61" s="598"/>
      <c r="BF61" s="598"/>
      <c r="BG61" s="598"/>
      <c r="BH61" s="598"/>
      <c r="BI61" s="598"/>
      <c r="BJ61" s="598"/>
      <c r="BK61" s="598"/>
      <c r="BL61" s="598"/>
      <c r="BM61" s="598"/>
      <c r="BN61" s="598"/>
      <c r="BO61" s="598"/>
      <c r="BP61" s="598"/>
      <c r="BQ61" s="598"/>
      <c r="BR61" s="598"/>
      <c r="BS61" s="598"/>
    </row>
    <row r="62" spans="1:71" s="202" customFormat="1" ht="13.15">
      <c r="A62" s="453"/>
      <c r="B62" s="453"/>
      <c r="C62" s="453"/>
      <c r="D62" s="463"/>
      <c r="E62" s="583" t="str">
        <f>InpPerformance!E50</f>
        <v>Standard underperformance rate</v>
      </c>
      <c r="F62" s="453"/>
      <c r="G62" s="583" t="str">
        <f>InpPerformance!G50</f>
        <v>£m/unit (2017-18 prices)</v>
      </c>
      <c r="H62" s="453"/>
      <c r="I62" s="453"/>
      <c r="J62" s="596">
        <f>InpPerformance!J50</f>
        <v>-0.628</v>
      </c>
      <c r="K62" s="596">
        <f>InpPerformance!K50</f>
        <v>-0.24399999999999999</v>
      </c>
      <c r="L62" s="596">
        <f>InpPerformance!L50</f>
        <v>-0.26500000000000001</v>
      </c>
      <c r="M62" s="596" t="str">
        <f>InpPerformance!M50</f>
        <v/>
      </c>
      <c r="N62" s="596">
        <f>InpPerformance!N50</f>
        <v>-0.17799999999999999</v>
      </c>
      <c r="O62" s="596" t="str">
        <f>InpPerformance!O50</f>
        <v/>
      </c>
      <c r="P62" s="596">
        <f>InpPerformance!P50</f>
        <v>-8.4000000000000005E-2</v>
      </c>
      <c r="Q62" s="597">
        <f>InpPerformance!Q50</f>
        <v>-0.89600000000000002</v>
      </c>
      <c r="R62" s="596">
        <f>InpPerformance!R50</f>
        <v>-4.62</v>
      </c>
      <c r="S62" s="596">
        <f>InpPerformance!S50</f>
        <v>-4.62</v>
      </c>
      <c r="T62" s="596">
        <f>InpPerformance!T50</f>
        <v>-0.63400000000000001</v>
      </c>
      <c r="U62" s="596" t="str">
        <f>InpPerformance!U50</f>
        <v/>
      </c>
      <c r="V62" s="596">
        <f>InpPerformance!V50</f>
        <v>-1.2</v>
      </c>
      <c r="W62" s="596" t="str">
        <f>InpPerformance!W50</f>
        <v/>
      </c>
      <c r="X62" s="596">
        <f>InpPerformance!X50</f>
        <v>-1.73E-3</v>
      </c>
      <c r="Y62" s="596">
        <f>InpPerformance!Y50</f>
        <v>-0.70430000000000004</v>
      </c>
      <c r="Z62" s="596">
        <f>InpPerformance!Z50</f>
        <v>-6.6299999999999996E-3</v>
      </c>
      <c r="AA62" s="596" t="str">
        <f>InpPerformance!AA50</f>
        <v/>
      </c>
      <c r="AB62" s="596" t="str">
        <f>InpPerformance!AB50</f>
        <v/>
      </c>
      <c r="AC62" s="596" t="str">
        <f>InpPerformance!AC50</f>
        <v/>
      </c>
      <c r="AD62" s="596" t="str">
        <f>InpPerformance!AD50</f>
        <v/>
      </c>
      <c r="AE62" s="596" t="str">
        <f>InpPerformance!AE50</f>
        <v/>
      </c>
      <c r="AF62" s="596" t="str">
        <f>InpPerformance!AF50</f>
        <v/>
      </c>
      <c r="AG62" s="596" t="str">
        <f>InpPerformance!AG50</f>
        <v/>
      </c>
      <c r="AH62" s="596" t="str">
        <f>InpPerformance!AH50</f>
        <v/>
      </c>
      <c r="AI62" s="596" t="str">
        <f>InpPerformance!AI50</f>
        <v/>
      </c>
      <c r="AJ62" s="596" t="str">
        <f>InpPerformance!AJ50</f>
        <v/>
      </c>
      <c r="AK62" s="597" t="str">
        <f>InpPerformance!AK50</f>
        <v/>
      </c>
      <c r="AL62" s="596">
        <f>InpPerformance!AL50</f>
        <v>-5.5570000000000004</v>
      </c>
      <c r="AM62" s="596">
        <f>InpPerformance!AM50</f>
        <v>-0.315</v>
      </c>
      <c r="AN62" s="596">
        <f>InpPerformance!AN50</f>
        <v>-1.843</v>
      </c>
      <c r="AO62" s="597">
        <f>InpPerformance!AO50</f>
        <v>-10</v>
      </c>
      <c r="AP62" s="596" t="str">
        <f>InpPerformance!AP50</f>
        <v/>
      </c>
      <c r="AQ62" s="596">
        <f>InpPerformance!AQ50</f>
        <v>-0.442</v>
      </c>
      <c r="AR62" s="596">
        <f>InpPerformance!AR50</f>
        <v>-0.41699999999999998</v>
      </c>
      <c r="AS62" s="596">
        <f>InpPerformance!AS50</f>
        <v>-0.248</v>
      </c>
      <c r="AT62" s="596">
        <f>InpPerformance!AT50</f>
        <v>-0.45</v>
      </c>
      <c r="AU62" s="596">
        <f>InpPerformance!AU50</f>
        <v>-1.8520000000000001</v>
      </c>
      <c r="AV62" s="596">
        <f>InpPerformance!AV50</f>
        <v>-1.7</v>
      </c>
      <c r="AW62" s="596">
        <f>InpPerformance!AW50</f>
        <v>-2.08E-6</v>
      </c>
      <c r="AX62" s="596">
        <f>InpPerformance!AX50</f>
        <v>-7.2700000000000004E-3</v>
      </c>
      <c r="AY62" s="596">
        <f>InpPerformance!AY50</f>
        <v>-0.1807</v>
      </c>
      <c r="AZ62" s="596" t="str">
        <f>InpPerformance!AZ50</f>
        <v/>
      </c>
      <c r="BA62" s="596" t="str">
        <f>InpPerformance!BA50</f>
        <v/>
      </c>
      <c r="BB62" s="596" t="str">
        <f>InpPerformance!BB50</f>
        <v/>
      </c>
      <c r="BC62" s="597" t="str">
        <f>InpPerformance!BC50</f>
        <v/>
      </c>
      <c r="BD62" s="596" t="str">
        <f>InpPerformance!BD50</f>
        <v/>
      </c>
      <c r="BE62" s="596" t="str">
        <f>InpPerformance!BE50</f>
        <v/>
      </c>
      <c r="BF62" s="596" t="str">
        <f>InpPerformance!BF50</f>
        <v/>
      </c>
      <c r="BG62" s="596" t="str">
        <f>InpPerformance!BG50</f>
        <v/>
      </c>
      <c r="BH62" s="596" t="str">
        <f>InpPerformance!BH50</f>
        <v/>
      </c>
      <c r="BI62" s="596" t="str">
        <f>InpPerformance!BI50</f>
        <v/>
      </c>
      <c r="BJ62" s="596" t="str">
        <f>InpPerformance!BJ50</f>
        <v/>
      </c>
      <c r="BK62" s="596" t="str">
        <f>InpPerformance!BK50</f>
        <v/>
      </c>
      <c r="BL62" s="596" t="str">
        <f>InpPerformance!BL50</f>
        <v/>
      </c>
      <c r="BM62" s="596" t="str">
        <f>InpPerformance!BM50</f>
        <v/>
      </c>
      <c r="BN62" s="596" t="str">
        <f>InpPerformance!BN50</f>
        <v/>
      </c>
      <c r="BO62" s="596" t="str">
        <f>InpPerformance!BO50</f>
        <v/>
      </c>
      <c r="BP62" s="596" t="str">
        <f>InpPerformance!BP50</f>
        <v/>
      </c>
      <c r="BQ62" s="596" t="str">
        <f>InpPerformance!BQ50</f>
        <v/>
      </c>
      <c r="BR62" s="596" t="str">
        <f>InpPerformance!BR50</f>
        <v/>
      </c>
      <c r="BS62" s="596" t="str">
        <f>InpPerformance!BS50</f>
        <v/>
      </c>
    </row>
    <row r="63" spans="1:71" s="202" customFormat="1" ht="13.15">
      <c r="A63" s="453"/>
      <c r="B63" s="453"/>
      <c r="C63" s="453"/>
      <c r="D63" s="453"/>
      <c r="E63" s="453" t="s">
        <v>1220</v>
      </c>
      <c r="F63" s="453"/>
      <c r="G63" s="602" t="str">
        <f>InpCompany!$F$11</f>
        <v>£m (2017-18 prices)</v>
      </c>
      <c r="H63" s="453"/>
      <c r="I63" s="453"/>
      <c r="J63" s="576">
        <f>IF(J50=TRUE,J59*J62,0)</f>
        <v>-0.67195999999999989</v>
      </c>
      <c r="K63" s="576">
        <f t="shared" ref="K63:BS63" si="21">IF(K50=TRUE,K59*K62,0)</f>
        <v>-4.2374666666666672</v>
      </c>
      <c r="L63" s="576">
        <f t="shared" si="21"/>
        <v>-4.3460000000000001</v>
      </c>
      <c r="M63" s="576">
        <f>IF(M50=TRUE,M59*M62,0)</f>
        <v>0</v>
      </c>
      <c r="N63" s="576">
        <f t="shared" si="21"/>
        <v>-1.6554</v>
      </c>
      <c r="O63" s="576">
        <f>IF(O50=TRUE,O59*O62,0)</f>
        <v>0</v>
      </c>
      <c r="P63" s="576">
        <f t="shared" si="21"/>
        <v>-1.9907999999999992</v>
      </c>
      <c r="Q63" s="577">
        <f t="shared" si="21"/>
        <v>0</v>
      </c>
      <c r="R63" s="576">
        <f t="shared" si="21"/>
        <v>-2.0789999999999997</v>
      </c>
      <c r="S63" s="576">
        <f t="shared" si="21"/>
        <v>-9.2399999999999954E-2</v>
      </c>
      <c r="T63" s="576">
        <f t="shared" si="21"/>
        <v>0</v>
      </c>
      <c r="U63" s="576">
        <f t="shared" si="21"/>
        <v>0</v>
      </c>
      <c r="V63" s="576">
        <f t="shared" si="21"/>
        <v>-0.6</v>
      </c>
      <c r="W63" s="576">
        <f t="shared" si="21"/>
        <v>0</v>
      </c>
      <c r="X63" s="576">
        <f t="shared" si="21"/>
        <v>0</v>
      </c>
      <c r="Y63" s="576">
        <f t="shared" si="21"/>
        <v>-35.9193</v>
      </c>
      <c r="Z63" s="576">
        <f t="shared" si="21"/>
        <v>-0.32354399999999994</v>
      </c>
      <c r="AA63" s="576">
        <f t="shared" si="21"/>
        <v>0</v>
      </c>
      <c r="AB63" s="576">
        <f t="shared" si="21"/>
        <v>0</v>
      </c>
      <c r="AC63" s="576">
        <f t="shared" si="21"/>
        <v>0</v>
      </c>
      <c r="AD63" s="576">
        <f t="shared" si="21"/>
        <v>0</v>
      </c>
      <c r="AE63" s="576">
        <f t="shared" si="21"/>
        <v>0</v>
      </c>
      <c r="AF63" s="576">
        <f t="shared" si="21"/>
        <v>0</v>
      </c>
      <c r="AG63" s="576">
        <f t="shared" si="21"/>
        <v>0</v>
      </c>
      <c r="AH63" s="576">
        <f t="shared" si="21"/>
        <v>0</v>
      </c>
      <c r="AI63" s="576">
        <f t="shared" si="21"/>
        <v>0</v>
      </c>
      <c r="AJ63" s="576">
        <f t="shared" si="21"/>
        <v>0</v>
      </c>
      <c r="AK63" s="577">
        <f t="shared" si="21"/>
        <v>0</v>
      </c>
      <c r="AL63" s="576">
        <f t="shared" si="21"/>
        <v>-6.2794099999999995</v>
      </c>
      <c r="AM63" s="576">
        <f t="shared" si="21"/>
        <v>-8.3821499999999993</v>
      </c>
      <c r="AN63" s="576">
        <f t="shared" si="21"/>
        <v>-0.58975999999999884</v>
      </c>
      <c r="AO63" s="577">
        <f t="shared" si="21"/>
        <v>0</v>
      </c>
      <c r="AP63" s="576">
        <f t="shared" si="21"/>
        <v>0</v>
      </c>
      <c r="AQ63" s="576">
        <f t="shared" si="21"/>
        <v>-1.3260000000000001</v>
      </c>
      <c r="AR63" s="576">
        <f t="shared" si="21"/>
        <v>0</v>
      </c>
      <c r="AS63" s="576">
        <f t="shared" si="21"/>
        <v>0</v>
      </c>
      <c r="AT63" s="576">
        <f t="shared" si="21"/>
        <v>-4.05</v>
      </c>
      <c r="AU63" s="576">
        <f t="shared" si="21"/>
        <v>0</v>
      </c>
      <c r="AV63" s="576">
        <f t="shared" si="21"/>
        <v>0</v>
      </c>
      <c r="AW63" s="576">
        <f t="shared" si="21"/>
        <v>-5.2218399999999998E-2</v>
      </c>
      <c r="AX63" s="576">
        <f t="shared" si="21"/>
        <v>0</v>
      </c>
      <c r="AY63" s="576">
        <f t="shared" si="21"/>
        <v>0</v>
      </c>
      <c r="AZ63" s="576">
        <f t="shared" si="21"/>
        <v>0</v>
      </c>
      <c r="BA63" s="576">
        <f t="shared" si="21"/>
        <v>0</v>
      </c>
      <c r="BB63" s="576">
        <f t="shared" si="21"/>
        <v>0</v>
      </c>
      <c r="BC63" s="577">
        <f t="shared" si="21"/>
        <v>0</v>
      </c>
      <c r="BD63" s="576">
        <f t="shared" si="21"/>
        <v>0</v>
      </c>
      <c r="BE63" s="576">
        <f t="shared" si="21"/>
        <v>0</v>
      </c>
      <c r="BF63" s="576">
        <f>IF(BF50=TRUE,BF59*BF62,0)</f>
        <v>0</v>
      </c>
      <c r="BG63" s="576">
        <f>IF(BG50=TRUE,BG59*BG62,0)</f>
        <v>0</v>
      </c>
      <c r="BH63" s="576">
        <f t="shared" si="21"/>
        <v>0</v>
      </c>
      <c r="BI63" s="576">
        <f t="shared" si="21"/>
        <v>0</v>
      </c>
      <c r="BJ63" s="576">
        <f t="shared" si="21"/>
        <v>0</v>
      </c>
      <c r="BK63" s="576">
        <f t="shared" si="21"/>
        <v>0</v>
      </c>
      <c r="BL63" s="576">
        <f t="shared" si="21"/>
        <v>0</v>
      </c>
      <c r="BM63" s="576">
        <f t="shared" si="21"/>
        <v>0</v>
      </c>
      <c r="BN63" s="576">
        <f t="shared" si="21"/>
        <v>0</v>
      </c>
      <c r="BO63" s="576">
        <f t="shared" si="21"/>
        <v>0</v>
      </c>
      <c r="BP63" s="576">
        <f t="shared" si="21"/>
        <v>0</v>
      </c>
      <c r="BQ63" s="576">
        <f t="shared" si="21"/>
        <v>0</v>
      </c>
      <c r="BR63" s="576">
        <f t="shared" si="21"/>
        <v>0</v>
      </c>
      <c r="BS63" s="576">
        <f t="shared" si="21"/>
        <v>0</v>
      </c>
    </row>
    <row r="64" spans="1:71" s="202" customFormat="1" ht="13.15">
      <c r="A64" s="453"/>
      <c r="B64" s="453"/>
      <c r="C64" s="453"/>
      <c r="D64" s="453"/>
      <c r="E64" s="453"/>
      <c r="F64" s="453"/>
      <c r="G64" s="453"/>
      <c r="H64" s="453"/>
      <c r="I64" s="453"/>
      <c r="J64" s="494"/>
      <c r="K64" s="494"/>
      <c r="L64" s="494"/>
      <c r="M64" s="494"/>
      <c r="N64" s="494"/>
      <c r="O64" s="494"/>
      <c r="P64" s="494"/>
      <c r="Q64" s="496"/>
      <c r="R64" s="494"/>
      <c r="S64" s="494"/>
      <c r="T64" s="494"/>
      <c r="U64" s="494"/>
      <c r="V64" s="494"/>
      <c r="W64" s="494"/>
      <c r="X64" s="494"/>
      <c r="Y64" s="494"/>
      <c r="Z64" s="494"/>
      <c r="AA64" s="494"/>
      <c r="AB64" s="494"/>
      <c r="AC64" s="494"/>
      <c r="AD64" s="494"/>
      <c r="AE64" s="494"/>
      <c r="AF64" s="494"/>
      <c r="AG64" s="494"/>
      <c r="AH64" s="494"/>
      <c r="AI64" s="494"/>
      <c r="AJ64" s="494"/>
      <c r="AK64" s="496"/>
      <c r="AL64" s="494"/>
      <c r="AM64" s="494"/>
      <c r="AN64" s="494"/>
      <c r="AO64" s="496"/>
      <c r="AP64" s="494"/>
      <c r="AQ64" s="494"/>
      <c r="AR64" s="494"/>
      <c r="AS64" s="494"/>
      <c r="AT64" s="494"/>
      <c r="AU64" s="494"/>
      <c r="AV64" s="494"/>
      <c r="AW64" s="494"/>
      <c r="AX64" s="494"/>
      <c r="AY64" s="494"/>
      <c r="AZ64" s="494"/>
      <c r="BA64" s="494"/>
      <c r="BB64" s="494"/>
      <c r="BC64" s="496"/>
      <c r="BD64" s="494"/>
      <c r="BE64" s="494"/>
      <c r="BF64" s="494"/>
      <c r="BG64" s="494"/>
      <c r="BH64" s="494"/>
      <c r="BI64" s="494"/>
      <c r="BJ64" s="494"/>
      <c r="BK64" s="494"/>
      <c r="BL64" s="494"/>
      <c r="BM64" s="494"/>
      <c r="BN64" s="494"/>
      <c r="BO64" s="494"/>
      <c r="BP64" s="494"/>
      <c r="BQ64" s="494"/>
      <c r="BR64" s="494"/>
      <c r="BS64" s="494"/>
    </row>
    <row r="65" spans="1:71" s="202" customFormat="1" ht="13.15">
      <c r="A65" s="453"/>
      <c r="B65" s="473" t="s">
        <v>1221</v>
      </c>
      <c r="C65" s="463"/>
      <c r="D65" s="453"/>
      <c r="E65" s="510"/>
      <c r="F65" s="510"/>
      <c r="G65" s="602"/>
      <c r="H65" s="510"/>
      <c r="I65" s="453"/>
      <c r="J65" s="494"/>
      <c r="K65" s="494"/>
      <c r="L65" s="494"/>
      <c r="M65" s="494"/>
      <c r="N65" s="494"/>
      <c r="O65" s="494"/>
      <c r="P65" s="494"/>
      <c r="Q65" s="496"/>
      <c r="R65" s="494"/>
      <c r="S65" s="494"/>
      <c r="T65" s="494"/>
      <c r="U65" s="494"/>
      <c r="V65" s="494"/>
      <c r="W65" s="494"/>
      <c r="X65" s="494"/>
      <c r="Y65" s="494"/>
      <c r="Z65" s="494"/>
      <c r="AA65" s="494"/>
      <c r="AB65" s="494"/>
      <c r="AC65" s="494"/>
      <c r="AD65" s="494"/>
      <c r="AE65" s="494"/>
      <c r="AF65" s="494"/>
      <c r="AG65" s="494"/>
      <c r="AH65" s="494"/>
      <c r="AI65" s="494"/>
      <c r="AJ65" s="494"/>
      <c r="AK65" s="496"/>
      <c r="AL65" s="494"/>
      <c r="AM65" s="494"/>
      <c r="AN65" s="494"/>
      <c r="AO65" s="496"/>
      <c r="AP65" s="494"/>
      <c r="AQ65" s="494"/>
      <c r="AR65" s="494"/>
      <c r="AS65" s="494"/>
      <c r="AT65" s="494"/>
      <c r="AU65" s="494"/>
      <c r="AV65" s="494"/>
      <c r="AW65" s="494"/>
      <c r="AX65" s="494"/>
      <c r="AY65" s="494"/>
      <c r="AZ65" s="494"/>
      <c r="BA65" s="494"/>
      <c r="BB65" s="494"/>
      <c r="BC65" s="496"/>
      <c r="BD65" s="494"/>
      <c r="BE65" s="494"/>
      <c r="BF65" s="494"/>
      <c r="BG65" s="494"/>
      <c r="BH65" s="494"/>
      <c r="BI65" s="494"/>
      <c r="BJ65" s="494"/>
      <c r="BK65" s="494"/>
      <c r="BL65" s="494"/>
      <c r="BM65" s="494"/>
      <c r="BN65" s="494"/>
      <c r="BO65" s="494"/>
      <c r="BP65" s="494"/>
      <c r="BQ65" s="494"/>
      <c r="BR65" s="494"/>
      <c r="BS65" s="494"/>
    </row>
    <row r="66" spans="1:71" s="202" customFormat="1" ht="13.15">
      <c r="A66" s="453"/>
      <c r="B66" s="453"/>
      <c r="C66" s="453"/>
      <c r="D66" s="463"/>
      <c r="E66" s="510"/>
      <c r="F66" s="510"/>
      <c r="G66" s="510"/>
      <c r="H66" s="510"/>
      <c r="I66" s="453"/>
      <c r="J66" s="494"/>
      <c r="K66" s="494"/>
      <c r="L66" s="494"/>
      <c r="M66" s="494"/>
      <c r="N66" s="494"/>
      <c r="O66" s="494"/>
      <c r="P66" s="494"/>
      <c r="Q66" s="496"/>
      <c r="R66" s="494"/>
      <c r="S66" s="494"/>
      <c r="T66" s="494"/>
      <c r="U66" s="494"/>
      <c r="V66" s="494"/>
      <c r="W66" s="494"/>
      <c r="X66" s="494"/>
      <c r="Y66" s="494"/>
      <c r="Z66" s="494"/>
      <c r="AA66" s="494"/>
      <c r="AB66" s="494"/>
      <c r="AC66" s="494"/>
      <c r="AD66" s="494"/>
      <c r="AE66" s="494"/>
      <c r="AF66" s="494"/>
      <c r="AG66" s="494"/>
      <c r="AH66" s="494"/>
      <c r="AI66" s="494"/>
      <c r="AJ66" s="494"/>
      <c r="AK66" s="496"/>
      <c r="AL66" s="494"/>
      <c r="AM66" s="494"/>
      <c r="AN66" s="494"/>
      <c r="AO66" s="496"/>
      <c r="AP66" s="494"/>
      <c r="AQ66" s="494"/>
      <c r="AR66" s="494"/>
      <c r="AS66" s="494"/>
      <c r="AT66" s="494"/>
      <c r="AU66" s="494"/>
      <c r="AV66" s="494"/>
      <c r="AW66" s="494"/>
      <c r="AX66" s="494"/>
      <c r="AY66" s="494"/>
      <c r="AZ66" s="494"/>
      <c r="BA66" s="494"/>
      <c r="BB66" s="494"/>
      <c r="BC66" s="496"/>
      <c r="BD66" s="494"/>
      <c r="BE66" s="494"/>
      <c r="BF66" s="494"/>
      <c r="BG66" s="494"/>
      <c r="BH66" s="494"/>
      <c r="BI66" s="494"/>
      <c r="BJ66" s="494"/>
      <c r="BK66" s="494"/>
      <c r="BL66" s="494"/>
      <c r="BM66" s="494"/>
      <c r="BN66" s="494"/>
      <c r="BO66" s="494"/>
      <c r="BP66" s="494"/>
      <c r="BQ66" s="494"/>
      <c r="BR66" s="494"/>
      <c r="BS66" s="494"/>
    </row>
    <row r="67" spans="1:71" s="202" customFormat="1" ht="13.15">
      <c r="A67" s="453"/>
      <c r="B67" s="453"/>
      <c r="C67" s="463" t="s">
        <v>1222</v>
      </c>
      <c r="D67" s="453"/>
      <c r="E67" s="510"/>
      <c r="F67" s="510"/>
      <c r="G67" s="510"/>
      <c r="H67" s="510"/>
      <c r="I67" s="453"/>
      <c r="J67" s="494"/>
      <c r="K67" s="494"/>
      <c r="L67" s="494"/>
      <c r="M67" s="494"/>
      <c r="N67" s="494"/>
      <c r="O67" s="494"/>
      <c r="P67" s="494"/>
      <c r="Q67" s="496"/>
      <c r="R67" s="494"/>
      <c r="S67" s="494"/>
      <c r="T67" s="494"/>
      <c r="U67" s="494"/>
      <c r="V67" s="494"/>
      <c r="W67" s="494"/>
      <c r="X67" s="494"/>
      <c r="Y67" s="494"/>
      <c r="Z67" s="494"/>
      <c r="AA67" s="494"/>
      <c r="AB67" s="494"/>
      <c r="AC67" s="494"/>
      <c r="AD67" s="494"/>
      <c r="AE67" s="494"/>
      <c r="AF67" s="494"/>
      <c r="AG67" s="494"/>
      <c r="AH67" s="494"/>
      <c r="AI67" s="494"/>
      <c r="AJ67" s="494"/>
      <c r="AK67" s="496"/>
      <c r="AL67" s="494"/>
      <c r="AM67" s="494"/>
      <c r="AN67" s="494"/>
      <c r="AO67" s="496"/>
      <c r="AP67" s="494"/>
      <c r="AQ67" s="494"/>
      <c r="AR67" s="494"/>
      <c r="AS67" s="494"/>
      <c r="AT67" s="494"/>
      <c r="AU67" s="494"/>
      <c r="AV67" s="494"/>
      <c r="AW67" s="494"/>
      <c r="AX67" s="494"/>
      <c r="AY67" s="494"/>
      <c r="AZ67" s="494"/>
      <c r="BA67" s="494"/>
      <c r="BB67" s="494"/>
      <c r="BC67" s="496"/>
      <c r="BD67" s="494"/>
      <c r="BE67" s="494"/>
      <c r="BF67" s="494"/>
      <c r="BG67" s="494"/>
      <c r="BH67" s="494"/>
      <c r="BI67" s="494"/>
      <c r="BJ67" s="494"/>
      <c r="BK67" s="494"/>
      <c r="BL67" s="494"/>
      <c r="BM67" s="494"/>
      <c r="BN67" s="494"/>
      <c r="BO67" s="494"/>
      <c r="BP67" s="494"/>
      <c r="BQ67" s="494"/>
      <c r="BR67" s="494"/>
      <c r="BS67" s="494"/>
    </row>
    <row r="68" spans="1:71" s="202" customFormat="1" ht="13.15">
      <c r="A68" s="453"/>
      <c r="B68" s="453"/>
      <c r="C68" s="453"/>
      <c r="D68" s="453"/>
      <c r="E68" s="605" t="str">
        <f>InpPerformance!E$53</f>
        <v>Enhanced (or two tiered ODI)?</v>
      </c>
      <c r="F68" s="510"/>
      <c r="G68" s="605" t="str">
        <f>InpPerformance!G$53</f>
        <v>TRUE or FALSE</v>
      </c>
      <c r="H68" s="510"/>
      <c r="I68" s="453"/>
      <c r="J68" s="606" t="b">
        <f>InpPerformance!J$53</f>
        <v>0</v>
      </c>
      <c r="K68" s="606" t="b">
        <f>InpPerformance!K$53</f>
        <v>0</v>
      </c>
      <c r="L68" s="606" t="b">
        <f>InpPerformance!L$53</f>
        <v>0</v>
      </c>
      <c r="M68" s="606" t="b">
        <f>InpPerformance!M$53</f>
        <v>0</v>
      </c>
      <c r="N68" s="606" t="b">
        <f>InpPerformance!N$53</f>
        <v>0</v>
      </c>
      <c r="O68" s="606" t="b">
        <f>InpPerformance!O$53</f>
        <v>0</v>
      </c>
      <c r="P68" s="606" t="b">
        <f>InpPerformance!P$53</f>
        <v>0</v>
      </c>
      <c r="Q68" s="607" t="b">
        <f>InpPerformance!Q$53</f>
        <v>0</v>
      </c>
      <c r="R68" s="606" t="b">
        <f>InpPerformance!R$53</f>
        <v>0</v>
      </c>
      <c r="S68" s="606" t="b">
        <f>InpPerformance!S$53</f>
        <v>0</v>
      </c>
      <c r="T68" s="606" t="b">
        <f>InpPerformance!T$53</f>
        <v>0</v>
      </c>
      <c r="U68" s="606" t="b">
        <f>InpPerformance!U$53</f>
        <v>0</v>
      </c>
      <c r="V68" s="606" t="b">
        <f>InpPerformance!V$53</f>
        <v>0</v>
      </c>
      <c r="W68" s="606" t="b">
        <f>InpPerformance!W$53</f>
        <v>0</v>
      </c>
      <c r="X68" s="606" t="b">
        <f>InpPerformance!X$53</f>
        <v>0</v>
      </c>
      <c r="Y68" s="606" t="b">
        <f>InpPerformance!Y$53</f>
        <v>0</v>
      </c>
      <c r="Z68" s="606" t="b">
        <f>InpPerformance!Z$53</f>
        <v>0</v>
      </c>
      <c r="AA68" s="606" t="b">
        <f>InpPerformance!AA$53</f>
        <v>0</v>
      </c>
      <c r="AB68" s="606" t="b">
        <f>InpPerformance!AB$53</f>
        <v>0</v>
      </c>
      <c r="AC68" s="606" t="b">
        <f>InpPerformance!AC$53</f>
        <v>0</v>
      </c>
      <c r="AD68" s="606" t="b">
        <f>InpPerformance!AD$53</f>
        <v>0</v>
      </c>
      <c r="AE68" s="606" t="b">
        <f>InpPerformance!AE$53</f>
        <v>0</v>
      </c>
      <c r="AF68" s="606" t="b">
        <f>InpPerformance!AF$53</f>
        <v>0</v>
      </c>
      <c r="AG68" s="606" t="b">
        <f>InpPerformance!AG$53</f>
        <v>0</v>
      </c>
      <c r="AH68" s="606" t="b">
        <f>InpPerformance!AH$53</f>
        <v>0</v>
      </c>
      <c r="AI68" s="606" t="b">
        <f>InpPerformance!AI$53</f>
        <v>0</v>
      </c>
      <c r="AJ68" s="606" t="b">
        <f>InpPerformance!AJ$53</f>
        <v>0</v>
      </c>
      <c r="AK68" s="607" t="b">
        <f>InpPerformance!AK$53</f>
        <v>0</v>
      </c>
      <c r="AL68" s="606" t="b">
        <f>InpPerformance!AL$53</f>
        <v>0</v>
      </c>
      <c r="AM68" s="606" t="b">
        <f>InpPerformance!AM$53</f>
        <v>0</v>
      </c>
      <c r="AN68" s="606" t="b">
        <f>InpPerformance!AN$53</f>
        <v>0</v>
      </c>
      <c r="AO68" s="607" t="b">
        <f>InpPerformance!AO$53</f>
        <v>0</v>
      </c>
      <c r="AP68" s="606" t="b">
        <f>InpPerformance!AP$53</f>
        <v>0</v>
      </c>
      <c r="AQ68" s="606" t="b">
        <f>InpPerformance!AQ$53</f>
        <v>0</v>
      </c>
      <c r="AR68" s="606" t="b">
        <f>InpPerformance!AR$53</f>
        <v>0</v>
      </c>
      <c r="AS68" s="606" t="b">
        <f>InpPerformance!AS$53</f>
        <v>0</v>
      </c>
      <c r="AT68" s="606" t="b">
        <f>InpPerformance!AT$53</f>
        <v>0</v>
      </c>
      <c r="AU68" s="606" t="b">
        <f>InpPerformance!AU$53</f>
        <v>0</v>
      </c>
      <c r="AV68" s="606" t="b">
        <f>InpPerformance!AV$53</f>
        <v>0</v>
      </c>
      <c r="AW68" s="606" t="b">
        <f>InpPerformance!AW$53</f>
        <v>0</v>
      </c>
      <c r="AX68" s="606" t="b">
        <f>InpPerformance!AX$53</f>
        <v>0</v>
      </c>
      <c r="AY68" s="606" t="b">
        <f>InpPerformance!AY$53</f>
        <v>0</v>
      </c>
      <c r="AZ68" s="606" t="b">
        <f>InpPerformance!AZ$53</f>
        <v>0</v>
      </c>
      <c r="BA68" s="606" t="b">
        <f>InpPerformance!BA$53</f>
        <v>0</v>
      </c>
      <c r="BB68" s="606" t="b">
        <f>InpPerformance!BB$53</f>
        <v>0</v>
      </c>
      <c r="BC68" s="607" t="b">
        <f>InpPerformance!BC$53</f>
        <v>0</v>
      </c>
      <c r="BD68" s="606" t="b">
        <f>InpPerformance!BD$53</f>
        <v>0</v>
      </c>
      <c r="BE68" s="606" t="b">
        <f>InpPerformance!BE$53</f>
        <v>0</v>
      </c>
      <c r="BF68" s="606" t="b">
        <f>InpPerformance!BF$53</f>
        <v>0</v>
      </c>
      <c r="BG68" s="606" t="b">
        <f>InpPerformance!BG$53</f>
        <v>0</v>
      </c>
      <c r="BH68" s="606" t="b">
        <f>InpPerformance!BH$53</f>
        <v>0</v>
      </c>
      <c r="BI68" s="606" t="b">
        <f>InpPerformance!BI$53</f>
        <v>0</v>
      </c>
      <c r="BJ68" s="606" t="b">
        <f>InpPerformance!BJ$53</f>
        <v>0</v>
      </c>
      <c r="BK68" s="606" t="b">
        <f>InpPerformance!BK$53</f>
        <v>0</v>
      </c>
      <c r="BL68" s="606" t="b">
        <f>InpPerformance!BL$53</f>
        <v>0</v>
      </c>
      <c r="BM68" s="606" t="b">
        <f>InpPerformance!BM$53</f>
        <v>0</v>
      </c>
      <c r="BN68" s="606" t="b">
        <f>InpPerformance!BN$53</f>
        <v>0</v>
      </c>
      <c r="BO68" s="606" t="b">
        <f>InpPerformance!BO$53</f>
        <v>0</v>
      </c>
      <c r="BP68" s="606" t="b">
        <f>InpPerformance!BP$53</f>
        <v>0</v>
      </c>
      <c r="BQ68" s="606" t="b">
        <f>InpPerformance!BQ$53</f>
        <v>0</v>
      </c>
      <c r="BR68" s="606" t="b">
        <f>InpPerformance!BR$53</f>
        <v>0</v>
      </c>
      <c r="BS68" s="606" t="b">
        <f>InpPerformance!BS$53</f>
        <v>0</v>
      </c>
    </row>
    <row r="69" spans="1:71" s="202" customFormat="1" ht="13.15">
      <c r="A69" s="453"/>
      <c r="B69" s="453"/>
      <c r="C69" s="453"/>
      <c r="D69" s="453"/>
      <c r="E69" s="605" t="str">
        <f>InpPerformance!E56</f>
        <v>Enhanced outperformance cap (Note not normally required)</v>
      </c>
      <c r="F69" s="510"/>
      <c r="G69" s="605" t="str">
        <f>InpPerformance!G56</f>
        <v>Performance commitment unit</v>
      </c>
      <c r="H69" s="510"/>
      <c r="I69" s="453"/>
      <c r="J69" s="588" t="str">
        <f>IF(InpPerformance!J56&lt;&gt;"",InpPerformance!J56,"")</f>
        <v/>
      </c>
      <c r="K69" s="588" t="str">
        <f>IF(InpPerformance!K56&lt;&gt;"",InpPerformance!K56,"")</f>
        <v/>
      </c>
      <c r="L69" s="588" t="str">
        <f>IF(InpPerformance!L56&lt;&gt;"",InpPerformance!L56,"")</f>
        <v/>
      </c>
      <c r="M69" s="588" t="str">
        <f>IF(InpPerformance!M56&lt;&gt;"",InpPerformance!M56,"")</f>
        <v/>
      </c>
      <c r="N69" s="588" t="str">
        <f>IF(InpPerformance!N56&lt;&gt;"",InpPerformance!N56,"")</f>
        <v>*</v>
      </c>
      <c r="O69" s="588" t="str">
        <f>IF(InpPerformance!O56&lt;&gt;"",InpPerformance!O56,"")</f>
        <v/>
      </c>
      <c r="P69" s="588" t="str">
        <f>IF(InpPerformance!P56&lt;&gt;"",InpPerformance!P56,"")</f>
        <v/>
      </c>
      <c r="Q69" s="590" t="str">
        <f>IF(InpPerformance!Q56&lt;&gt;"",InpPerformance!Q56,"")</f>
        <v/>
      </c>
      <c r="R69" s="588" t="str">
        <f>IF(InpPerformance!R56&lt;&gt;"",InpPerformance!R56,"")</f>
        <v/>
      </c>
      <c r="S69" s="588" t="str">
        <f>IF(InpPerformance!S56&lt;&gt;"",InpPerformance!S56,"")</f>
        <v/>
      </c>
      <c r="T69" s="588" t="str">
        <f>IF(InpPerformance!T56&lt;&gt;"",InpPerformance!T56,"")</f>
        <v/>
      </c>
      <c r="U69" s="588" t="str">
        <f>IF(InpPerformance!U56&lt;&gt;"",InpPerformance!U56,"")</f>
        <v/>
      </c>
      <c r="V69" s="588" t="str">
        <f>IF(InpPerformance!V56&lt;&gt;"",InpPerformance!V56,"")</f>
        <v/>
      </c>
      <c r="W69" s="588" t="str">
        <f>IF(InpPerformance!W56&lt;&gt;"",InpPerformance!W56,"")</f>
        <v/>
      </c>
      <c r="X69" s="588" t="str">
        <f>IF(InpPerformance!X56&lt;&gt;"",InpPerformance!X56,"")</f>
        <v/>
      </c>
      <c r="Y69" s="588" t="str">
        <f>IF(InpPerformance!Y56&lt;&gt;"",InpPerformance!Y56,"")</f>
        <v/>
      </c>
      <c r="Z69" s="588" t="str">
        <f>IF(InpPerformance!Z56&lt;&gt;"",InpPerformance!Z56,"")</f>
        <v/>
      </c>
      <c r="AA69" s="588" t="str">
        <f>IF(InpPerformance!AA56&lt;&gt;"",InpPerformance!AA56,"")</f>
        <v/>
      </c>
      <c r="AB69" s="588" t="str">
        <f>IF(InpPerformance!AB56&lt;&gt;"",InpPerformance!AB56,"")</f>
        <v/>
      </c>
      <c r="AC69" s="588" t="str">
        <f>IF(InpPerformance!AC56&lt;&gt;"",InpPerformance!AC56,"")</f>
        <v/>
      </c>
      <c r="AD69" s="588" t="str">
        <f>IF(InpPerformance!AD56&lt;&gt;"",InpPerformance!AD56,"")</f>
        <v/>
      </c>
      <c r="AE69" s="588" t="str">
        <f>IF(InpPerformance!AE56&lt;&gt;"",InpPerformance!AE56,"")</f>
        <v/>
      </c>
      <c r="AF69" s="588" t="str">
        <f>IF(InpPerformance!AF56&lt;&gt;"",InpPerformance!AF56,"")</f>
        <v/>
      </c>
      <c r="AG69" s="588" t="str">
        <f>IF(InpPerformance!AG56&lt;&gt;"",InpPerformance!AG56,"")</f>
        <v/>
      </c>
      <c r="AH69" s="588" t="str">
        <f>IF(InpPerformance!AH56&lt;&gt;"",InpPerformance!AH56,"")</f>
        <v/>
      </c>
      <c r="AI69" s="588" t="str">
        <f>IF(InpPerformance!AI56&lt;&gt;"",InpPerformance!AI56,"")</f>
        <v/>
      </c>
      <c r="AJ69" s="588" t="str">
        <f>IF(InpPerformance!AJ56&lt;&gt;"",InpPerformance!AJ56,"")</f>
        <v/>
      </c>
      <c r="AK69" s="590" t="str">
        <f>IF(InpPerformance!AK56&lt;&gt;"",InpPerformance!AK56,"")</f>
        <v/>
      </c>
      <c r="AL69" s="588" t="str">
        <f>IF(InpPerformance!AL56&lt;&gt;"",InpPerformance!AL56,"")</f>
        <v/>
      </c>
      <c r="AM69" s="588" t="str">
        <f>IF(InpPerformance!AM56&lt;&gt;"",InpPerformance!AM56,"")</f>
        <v/>
      </c>
      <c r="AN69" s="588" t="str">
        <f>IF(InpPerformance!AN56&lt;&gt;"",InpPerformance!AN56,"")</f>
        <v/>
      </c>
      <c r="AO69" s="590" t="str">
        <f>IF(InpPerformance!AO56&lt;&gt;"",InpPerformance!AO56,"")</f>
        <v/>
      </c>
      <c r="AP69" s="588" t="str">
        <f>IF(InpPerformance!AP56&lt;&gt;"",InpPerformance!AP56,"")</f>
        <v/>
      </c>
      <c r="AQ69" s="588" t="str">
        <f>IF(InpPerformance!AQ56&lt;&gt;"",InpPerformance!AQ56,"")</f>
        <v/>
      </c>
      <c r="AR69" s="588" t="str">
        <f>IF(InpPerformance!AR56&lt;&gt;"",InpPerformance!AR56,"")</f>
        <v/>
      </c>
      <c r="AS69" s="588" t="str">
        <f>IF(InpPerformance!AS56&lt;&gt;"",InpPerformance!AS56,"")</f>
        <v/>
      </c>
      <c r="AT69" s="588" t="str">
        <f>IF(InpPerformance!AT56&lt;&gt;"",InpPerformance!AT56,"")</f>
        <v/>
      </c>
      <c r="AU69" s="588" t="str">
        <f>IF(InpPerformance!AU56&lt;&gt;"",InpPerformance!AU56,"")</f>
        <v/>
      </c>
      <c r="AV69" s="588" t="str">
        <f>IF(InpPerformance!AV56&lt;&gt;"",InpPerformance!AV56,"")</f>
        <v/>
      </c>
      <c r="AW69" s="588" t="str">
        <f>IF(InpPerformance!AW56&lt;&gt;"",InpPerformance!AW56,"")</f>
        <v/>
      </c>
      <c r="AX69" s="588" t="str">
        <f>IF(InpPerformance!AX56&lt;&gt;"",InpPerformance!AX56,"")</f>
        <v/>
      </c>
      <c r="AY69" s="588" t="str">
        <f>IF(InpPerformance!AY56&lt;&gt;"",InpPerformance!AY56,"")</f>
        <v/>
      </c>
      <c r="AZ69" s="588" t="str">
        <f>IF(InpPerformance!AZ56&lt;&gt;"",InpPerformance!AZ56,"")</f>
        <v/>
      </c>
      <c r="BA69" s="588" t="str">
        <f>IF(InpPerformance!BA56&lt;&gt;"",InpPerformance!BA56,"")</f>
        <v/>
      </c>
      <c r="BB69" s="588" t="str">
        <f>IF(InpPerformance!BB56&lt;&gt;"",InpPerformance!BB56,"")</f>
        <v/>
      </c>
      <c r="BC69" s="590" t="str">
        <f>IF(InpPerformance!BC56&lt;&gt;"",InpPerformance!BC56,"")</f>
        <v/>
      </c>
      <c r="BD69" s="588" t="str">
        <f>IF(InpPerformance!BD56&lt;&gt;"",InpPerformance!BD56,"")</f>
        <v/>
      </c>
      <c r="BE69" s="588" t="str">
        <f>IF(InpPerformance!BE56&lt;&gt;"",InpPerformance!BE56,"")</f>
        <v/>
      </c>
      <c r="BF69" s="588" t="str">
        <f>IF(InpPerformance!BF56&lt;&gt;"",InpPerformance!BF56,"")</f>
        <v/>
      </c>
      <c r="BG69" s="588" t="str">
        <f>IF(InpPerformance!BG56&lt;&gt;"",InpPerformance!BG56,"")</f>
        <v/>
      </c>
      <c r="BH69" s="588" t="str">
        <f>IF(InpPerformance!BH56&lt;&gt;"",InpPerformance!BH56,"")</f>
        <v/>
      </c>
      <c r="BI69" s="588" t="str">
        <f>IF(InpPerformance!BI56&lt;&gt;"",InpPerformance!BI56,"")</f>
        <v/>
      </c>
      <c r="BJ69" s="588" t="str">
        <f>IF(InpPerformance!BJ56&lt;&gt;"",InpPerformance!BJ56,"")</f>
        <v/>
      </c>
      <c r="BK69" s="588" t="str">
        <f>IF(InpPerformance!BK56&lt;&gt;"",InpPerformance!BK56,"")</f>
        <v/>
      </c>
      <c r="BL69" s="588" t="str">
        <f>IF(InpPerformance!BL56&lt;&gt;"",InpPerformance!BL56,"")</f>
        <v/>
      </c>
      <c r="BM69" s="588" t="str">
        <f>IF(InpPerformance!BM56&lt;&gt;"",InpPerformance!BM56,"")</f>
        <v/>
      </c>
      <c r="BN69" s="588" t="str">
        <f>IF(InpPerformance!BN56&lt;&gt;"",InpPerformance!BN56,"")</f>
        <v/>
      </c>
      <c r="BO69" s="588" t="str">
        <f>IF(InpPerformance!BO56&lt;&gt;"",InpPerformance!BO56,"")</f>
        <v/>
      </c>
      <c r="BP69" s="588" t="str">
        <f>IF(InpPerformance!BP56&lt;&gt;"",InpPerformance!BP56,"")</f>
        <v/>
      </c>
      <c r="BQ69" s="588" t="str">
        <f>IF(InpPerformance!BQ56&lt;&gt;"",InpPerformance!BQ56,"")</f>
        <v/>
      </c>
      <c r="BR69" s="588" t="str">
        <f>IF(InpPerformance!BR56&lt;&gt;"",InpPerformance!BR56,"")</f>
        <v/>
      </c>
      <c r="BS69" s="588" t="str">
        <f>IF(InpPerformance!BS56&lt;&gt;"",InpPerformance!BS56,"")</f>
        <v/>
      </c>
    </row>
    <row r="70" spans="1:71" s="202" customFormat="1" ht="13.15">
      <c r="A70" s="453"/>
      <c r="B70" s="453"/>
      <c r="C70" s="453"/>
      <c r="D70" s="453"/>
      <c r="E70" s="583" t="str">
        <f>InpPerformance!E$43</f>
        <v>Standard outperformance cap</v>
      </c>
      <c r="F70" s="453"/>
      <c r="G70" s="583" t="str">
        <f>InpPerformance!G$43</f>
        <v>Performance commitment unit</v>
      </c>
      <c r="H70" s="453"/>
      <c r="I70" s="453"/>
      <c r="J70" s="588" t="str">
        <f>IF(InpPerformance!J$43&lt;&gt;"",InpPerformance!J$43,"")</f>
        <v/>
      </c>
      <c r="K70" s="588">
        <f>IF(InpPerformance!K$43&lt;&gt;"",InpPerformance!K$43,"")</f>
        <v>1.6550925925925928E-3</v>
      </c>
      <c r="L70" s="588">
        <f>IF(InpPerformance!L$43&lt;&gt;"",InpPerformance!L$43,"")</f>
        <v>20.7</v>
      </c>
      <c r="M70" s="588" t="str">
        <f>IF(InpPerformance!M$43&lt;&gt;"",InpPerformance!M$43,"")</f>
        <v/>
      </c>
      <c r="N70" s="588">
        <f>IF(InpPerformance!N$43&lt;&gt;"",InpPerformance!N$43,"")</f>
        <v>7.5</v>
      </c>
      <c r="O70" s="588" t="str">
        <f>IF(InpPerformance!O$43&lt;&gt;"",InpPerformance!O$43,"")</f>
        <v/>
      </c>
      <c r="P70" s="588">
        <f>IF(InpPerformance!P$43&lt;&gt;"",InpPerformance!P$43,"")</f>
        <v>75</v>
      </c>
      <c r="Q70" s="590" t="str">
        <f>IF(InpPerformance!Q$43&lt;&gt;"",InpPerformance!Q$43,"")</f>
        <v/>
      </c>
      <c r="R70" s="588" t="str">
        <f>IF(InpPerformance!R$43&lt;&gt;"",InpPerformance!R$43,"")</f>
        <v/>
      </c>
      <c r="S70" s="588">
        <f>IF(InpPerformance!S$43&lt;&gt;"",InpPerformance!S$43,"")</f>
        <v>0.16</v>
      </c>
      <c r="T70" s="588">
        <f>IF(InpPerformance!T$43&lt;&gt;"",InpPerformance!T$43,"")</f>
        <v>-16</v>
      </c>
      <c r="U70" s="588">
        <f>IF(InpPerformance!U$43&lt;&gt;"",InpPerformance!U$43,"")</f>
        <v>17644</v>
      </c>
      <c r="V70" s="588">
        <f>IF(InpPerformance!V$43&lt;&gt;"",InpPerformance!V$43,"")</f>
        <v>1.62</v>
      </c>
      <c r="W70" s="588">
        <f>IF(InpPerformance!W$43&lt;&gt;"",InpPerformance!W$43,"")</f>
        <v>2158</v>
      </c>
      <c r="X70" s="588" t="str">
        <f>IF(InpPerformance!X$43&lt;&gt;"",InpPerformance!X$43,"")</f>
        <v/>
      </c>
      <c r="Y70" s="588" t="str">
        <f>IF(InpPerformance!Y$43&lt;&gt;"",InpPerformance!Y$43,"")</f>
        <v/>
      </c>
      <c r="Z70" s="588" t="str">
        <f>IF(InpPerformance!Z$43&lt;&gt;"",InpPerformance!Z$43,"")</f>
        <v/>
      </c>
      <c r="AA70" s="588" t="str">
        <f>IF(InpPerformance!AA$43&lt;&gt;"",InpPerformance!AA$43,"")</f>
        <v/>
      </c>
      <c r="AB70" s="588" t="str">
        <f>IF(InpPerformance!AB$43&lt;&gt;"",InpPerformance!AB$43,"")</f>
        <v/>
      </c>
      <c r="AC70" s="588" t="str">
        <f>IF(InpPerformance!AC$43&lt;&gt;"",InpPerformance!AC$43,"")</f>
        <v/>
      </c>
      <c r="AD70" s="588" t="str">
        <f>IF(InpPerformance!AD$43&lt;&gt;"",InpPerformance!AD$43,"")</f>
        <v/>
      </c>
      <c r="AE70" s="588" t="str">
        <f>IF(InpPerformance!AE$43&lt;&gt;"",InpPerformance!AE$43,"")</f>
        <v/>
      </c>
      <c r="AF70" s="588" t="str">
        <f>IF(InpPerformance!AF$43&lt;&gt;"",InpPerformance!AF$43,"")</f>
        <v/>
      </c>
      <c r="AG70" s="588" t="str">
        <f>IF(InpPerformance!AG$43&lt;&gt;"",InpPerformance!AG$43,"")</f>
        <v/>
      </c>
      <c r="AH70" s="588" t="str">
        <f>IF(InpPerformance!AH$43&lt;&gt;"",InpPerformance!AH$43,"")</f>
        <v/>
      </c>
      <c r="AI70" s="588" t="str">
        <f>IF(InpPerformance!AI$43&lt;&gt;"",InpPerformance!AI$43,"")</f>
        <v/>
      </c>
      <c r="AJ70" s="588" t="str">
        <f>IF(InpPerformance!AJ$43&lt;&gt;"",InpPerformance!AJ$43,"")</f>
        <v/>
      </c>
      <c r="AK70" s="590" t="str">
        <f>IF(InpPerformance!AK$43&lt;&gt;"",InpPerformance!AK$43,"")</f>
        <v/>
      </c>
      <c r="AL70" s="588">
        <f>IF(InpPerformance!AL$43&lt;&gt;"",InpPerformance!AL$43,"")</f>
        <v>1.1399999999999999</v>
      </c>
      <c r="AM70" s="588">
        <f>IF(InpPerformance!AM$43&lt;&gt;"",InpPerformance!AM$43,"")</f>
        <v>16.47</v>
      </c>
      <c r="AN70" s="588" t="str">
        <f>IF(InpPerformance!AN$43&lt;&gt;"",InpPerformance!AN$43,"")</f>
        <v/>
      </c>
      <c r="AO70" s="590" t="str">
        <f>IF(InpPerformance!AO$43&lt;&gt;"",InpPerformance!AO$43,"")</f>
        <v/>
      </c>
      <c r="AP70" s="588">
        <f>IF(InpPerformance!AP$43&lt;&gt;"",InpPerformance!AP$43,"")</f>
        <v>5070</v>
      </c>
      <c r="AQ70" s="588">
        <f>IF(InpPerformance!AQ$43&lt;&gt;"",InpPerformance!AQ$43,"")</f>
        <v>27</v>
      </c>
      <c r="AR70" s="588" t="str">
        <f>IF(InpPerformance!AR$43&lt;&gt;"",InpPerformance!AR$43,"")</f>
        <v/>
      </c>
      <c r="AS70" s="588" t="str">
        <f>IF(InpPerformance!AS$43&lt;&gt;"",InpPerformance!AS$43,"")</f>
        <v/>
      </c>
      <c r="AT70" s="588" t="str">
        <f>IF(InpPerformance!AT$43&lt;&gt;"",InpPerformance!AT$43,"")</f>
        <v/>
      </c>
      <c r="AU70" s="588" t="str">
        <f>IF(InpPerformance!AU$43&lt;&gt;"",InpPerformance!AU$43,"")</f>
        <v/>
      </c>
      <c r="AV70" s="588" t="str">
        <f>IF(InpPerformance!AV$43&lt;&gt;"",InpPerformance!AV$43,"")</f>
        <v/>
      </c>
      <c r="AW70" s="588">
        <f>IF(InpPerformance!AW$43&lt;&gt;"",InpPerformance!AW$43,"")</f>
        <v>64835</v>
      </c>
      <c r="AX70" s="588">
        <f>IF(InpPerformance!AX$43&lt;&gt;"",InpPerformance!AX$43,"")</f>
        <v>3348</v>
      </c>
      <c r="AY70" s="588" t="str">
        <f>IF(InpPerformance!AY$43&lt;&gt;"",InpPerformance!AY$43,"")</f>
        <v/>
      </c>
      <c r="AZ70" s="588" t="str">
        <f>IF(InpPerformance!AZ$43&lt;&gt;"",InpPerformance!AZ$43,"")</f>
        <v/>
      </c>
      <c r="BA70" s="588" t="str">
        <f>IF(InpPerformance!BA$43&lt;&gt;"",InpPerformance!BA$43,"")</f>
        <v/>
      </c>
      <c r="BB70" s="588" t="str">
        <f>IF(InpPerformance!BB$43&lt;&gt;"",InpPerformance!BB$43,"")</f>
        <v/>
      </c>
      <c r="BC70" s="590" t="str">
        <f>IF(InpPerformance!BC$43&lt;&gt;"",InpPerformance!BC$43,"")</f>
        <v/>
      </c>
      <c r="BD70" s="588" t="str">
        <f>IF(InpPerformance!BD$43&lt;&gt;"",InpPerformance!BD$43,"")</f>
        <v/>
      </c>
      <c r="BE70" s="588" t="str">
        <f>IF(InpPerformance!BE$43&lt;&gt;"",InpPerformance!BE$43,"")</f>
        <v/>
      </c>
      <c r="BF70" s="588" t="str">
        <f>IF(InpPerformance!BF$43&lt;&gt;"",InpPerformance!BF$43,"")</f>
        <v/>
      </c>
      <c r="BG70" s="588" t="str">
        <f>IF(InpPerformance!BG$43&lt;&gt;"",InpPerformance!BG$43,"")</f>
        <v/>
      </c>
      <c r="BH70" s="588" t="str">
        <f>IF(InpPerformance!BH$43&lt;&gt;"",InpPerformance!BH$43,"")</f>
        <v/>
      </c>
      <c r="BI70" s="588" t="str">
        <f>IF(InpPerformance!BI$43&lt;&gt;"",InpPerformance!BI$43,"")</f>
        <v/>
      </c>
      <c r="BJ70" s="588" t="str">
        <f>IF(InpPerformance!BJ$43&lt;&gt;"",InpPerformance!BJ$43,"")</f>
        <v/>
      </c>
      <c r="BK70" s="588" t="str">
        <f>IF(InpPerformance!BK$43&lt;&gt;"",InpPerformance!BK$43,"")</f>
        <v/>
      </c>
      <c r="BL70" s="588" t="str">
        <f>IF(InpPerformance!BL$43&lt;&gt;"",InpPerformance!BL$43,"")</f>
        <v/>
      </c>
      <c r="BM70" s="588" t="str">
        <f>IF(InpPerformance!BM$43&lt;&gt;"",InpPerformance!BM$43,"")</f>
        <v/>
      </c>
      <c r="BN70" s="588" t="str">
        <f>IF(InpPerformance!BN$43&lt;&gt;"",InpPerformance!BN$43,"")</f>
        <v/>
      </c>
      <c r="BO70" s="588" t="str">
        <f>IF(InpPerformance!BO$43&lt;&gt;"",InpPerformance!BO$43,"")</f>
        <v/>
      </c>
      <c r="BP70" s="588" t="str">
        <f>IF(InpPerformance!BP$43&lt;&gt;"",InpPerformance!BP$43,"")</f>
        <v/>
      </c>
      <c r="BQ70" s="588" t="str">
        <f>IF(InpPerformance!BQ$43&lt;&gt;"",InpPerformance!BQ$43,"")</f>
        <v/>
      </c>
      <c r="BR70" s="588" t="str">
        <f>IF(InpPerformance!BR$43&lt;&gt;"",InpPerformance!BR$43,"")</f>
        <v/>
      </c>
      <c r="BS70" s="588" t="str">
        <f>IF(InpPerformance!BS$43&lt;&gt;"",InpPerformance!BS$43,"")</f>
        <v/>
      </c>
    </row>
    <row r="71" spans="1:71" s="202" customFormat="1" ht="13.15">
      <c r="A71" s="453"/>
      <c r="B71" s="453"/>
      <c r="C71" s="453"/>
      <c r="D71" s="453"/>
      <c r="E71" s="605" t="str">
        <f>InpPerformance!E59</f>
        <v>Enhanced outperformance rate</v>
      </c>
      <c r="F71" s="510"/>
      <c r="G71" s="605" t="str">
        <f>InpPerformance!G59</f>
        <v>£m/unit (2017-18 prices)</v>
      </c>
      <c r="H71" s="510"/>
      <c r="I71" s="453"/>
      <c r="J71" s="608" t="str">
        <f>IF(InpPerformance!J59&lt;&gt;"",InpPerformance!J59,"")</f>
        <v/>
      </c>
      <c r="K71" s="608" t="str">
        <f>IF(InpPerformance!K59&lt;&gt;"",InpPerformance!K59,"")</f>
        <v/>
      </c>
      <c r="L71" s="608" t="str">
        <f>IF(InpPerformance!L59&lt;&gt;"",InpPerformance!L59,"")</f>
        <v/>
      </c>
      <c r="M71" s="608" t="str">
        <f>IF(InpPerformance!M59&lt;&gt;"",InpPerformance!M59,"")</f>
        <v/>
      </c>
      <c r="N71" s="608">
        <f>IF(InpPerformance!N59&lt;&gt;"",InpPerformance!N59,"")</f>
        <v>0.35599999999999998</v>
      </c>
      <c r="O71" s="608" t="str">
        <f>IF(InpPerformance!O59&lt;&gt;"",InpPerformance!O59,"")</f>
        <v/>
      </c>
      <c r="P71" s="608" t="str">
        <f>IF(InpPerformance!P59&lt;&gt;"",InpPerformance!P59,"")</f>
        <v/>
      </c>
      <c r="Q71" s="609" t="str">
        <f>IF(InpPerformance!Q59&lt;&gt;"",InpPerformance!Q59,"")</f>
        <v/>
      </c>
      <c r="R71" s="608" t="str">
        <f>IF(InpPerformance!R59&lt;&gt;"",InpPerformance!R59,"")</f>
        <v/>
      </c>
      <c r="S71" s="608" t="str">
        <f>IF(InpPerformance!S59&lt;&gt;"",InpPerformance!S59,"")</f>
        <v/>
      </c>
      <c r="T71" s="608" t="str">
        <f>IF(InpPerformance!T59&lt;&gt;"",InpPerformance!T59,"")</f>
        <v/>
      </c>
      <c r="U71" s="608" t="str">
        <f>IF(InpPerformance!U59&lt;&gt;"",InpPerformance!U59,"")</f>
        <v/>
      </c>
      <c r="V71" s="608" t="str">
        <f>IF(InpPerformance!V59&lt;&gt;"",InpPerformance!V59,"")</f>
        <v/>
      </c>
      <c r="W71" s="608" t="str">
        <f>IF(InpPerformance!W59&lt;&gt;"",InpPerformance!W59,"")</f>
        <v/>
      </c>
      <c r="X71" s="608" t="str">
        <f>IF(InpPerformance!X59&lt;&gt;"",InpPerformance!X59,"")</f>
        <v/>
      </c>
      <c r="Y71" s="608" t="str">
        <f>IF(InpPerformance!Y59&lt;&gt;"",InpPerformance!Y59,"")</f>
        <v/>
      </c>
      <c r="Z71" s="608" t="str">
        <f>IF(InpPerformance!Z59&lt;&gt;"",InpPerformance!Z59,"")</f>
        <v/>
      </c>
      <c r="AA71" s="608" t="str">
        <f>IF(InpPerformance!AA59&lt;&gt;"",InpPerformance!AA59,"")</f>
        <v/>
      </c>
      <c r="AB71" s="608" t="str">
        <f>IF(InpPerformance!AB59&lt;&gt;"",InpPerformance!AB59,"")</f>
        <v/>
      </c>
      <c r="AC71" s="608" t="str">
        <f>IF(InpPerformance!AC59&lt;&gt;"",InpPerformance!AC59,"")</f>
        <v/>
      </c>
      <c r="AD71" s="608" t="str">
        <f>IF(InpPerformance!AD59&lt;&gt;"",InpPerformance!AD59,"")</f>
        <v/>
      </c>
      <c r="AE71" s="608" t="str">
        <f>IF(InpPerformance!AE59&lt;&gt;"",InpPerformance!AE59,"")</f>
        <v/>
      </c>
      <c r="AF71" s="608" t="str">
        <f>IF(InpPerformance!AF59&lt;&gt;"",InpPerformance!AF59,"")</f>
        <v/>
      </c>
      <c r="AG71" s="608" t="str">
        <f>IF(InpPerformance!AG59&lt;&gt;"",InpPerformance!AG59,"")</f>
        <v/>
      </c>
      <c r="AH71" s="608" t="str">
        <f>IF(InpPerformance!AH59&lt;&gt;"",InpPerformance!AH59,"")</f>
        <v/>
      </c>
      <c r="AI71" s="608" t="str">
        <f>IF(InpPerformance!AI59&lt;&gt;"",InpPerformance!AI59,"")</f>
        <v/>
      </c>
      <c r="AJ71" s="608" t="str">
        <f>IF(InpPerformance!AJ59&lt;&gt;"",InpPerformance!AJ59,"")</f>
        <v/>
      </c>
      <c r="AK71" s="609" t="str">
        <f>IF(InpPerformance!AK59&lt;&gt;"",InpPerformance!AK59,"")</f>
        <v/>
      </c>
      <c r="AL71" s="608" t="str">
        <f>IF(InpPerformance!AL59&lt;&gt;"",InpPerformance!AL59,"")</f>
        <v/>
      </c>
      <c r="AM71" s="608" t="str">
        <f>IF(InpPerformance!AM59&lt;&gt;"",InpPerformance!AM59,"")</f>
        <v/>
      </c>
      <c r="AN71" s="608" t="str">
        <f>IF(InpPerformance!AN59&lt;&gt;"",InpPerformance!AN59,"")</f>
        <v/>
      </c>
      <c r="AO71" s="609" t="str">
        <f>IF(InpPerformance!AO59&lt;&gt;"",InpPerformance!AO59,"")</f>
        <v/>
      </c>
      <c r="AP71" s="608" t="str">
        <f>IF(InpPerformance!AP59&lt;&gt;"",InpPerformance!AP59,"")</f>
        <v/>
      </c>
      <c r="AQ71" s="608" t="str">
        <f>IF(InpPerformance!AQ59&lt;&gt;"",InpPerformance!AQ59,"")</f>
        <v/>
      </c>
      <c r="AR71" s="608" t="str">
        <f>IF(InpPerformance!AR59&lt;&gt;"",InpPerformance!AR59,"")</f>
        <v/>
      </c>
      <c r="AS71" s="608" t="str">
        <f>IF(InpPerformance!AS59&lt;&gt;"",InpPerformance!AS59,"")</f>
        <v/>
      </c>
      <c r="AT71" s="608" t="str">
        <f>IF(InpPerformance!AT59&lt;&gt;"",InpPerformance!AT59,"")</f>
        <v/>
      </c>
      <c r="AU71" s="608" t="str">
        <f>IF(InpPerformance!AU59&lt;&gt;"",InpPerformance!AU59,"")</f>
        <v/>
      </c>
      <c r="AV71" s="608" t="str">
        <f>IF(InpPerformance!AV59&lt;&gt;"",InpPerformance!AV59,"")</f>
        <v/>
      </c>
      <c r="AW71" s="608" t="str">
        <f>IF(InpPerformance!AW59&lt;&gt;"",InpPerformance!AW59,"")</f>
        <v/>
      </c>
      <c r="AX71" s="608" t="str">
        <f>IF(InpPerformance!AX59&lt;&gt;"",InpPerformance!AX59,"")</f>
        <v/>
      </c>
      <c r="AY71" s="608" t="str">
        <f>IF(InpPerformance!AY59&lt;&gt;"",InpPerformance!AY59,"")</f>
        <v/>
      </c>
      <c r="AZ71" s="608" t="str">
        <f>IF(InpPerformance!AZ59&lt;&gt;"",InpPerformance!AZ59,"")</f>
        <v/>
      </c>
      <c r="BA71" s="608" t="str">
        <f>IF(InpPerformance!BA59&lt;&gt;"",InpPerformance!BA59,"")</f>
        <v/>
      </c>
      <c r="BB71" s="608" t="str">
        <f>IF(InpPerformance!BB59&lt;&gt;"",InpPerformance!BB59,"")</f>
        <v/>
      </c>
      <c r="BC71" s="609" t="str">
        <f>IF(InpPerformance!BC59&lt;&gt;"",InpPerformance!BC59,"")</f>
        <v/>
      </c>
      <c r="BD71" s="608" t="str">
        <f>IF(InpPerformance!BD59&lt;&gt;"",InpPerformance!BD59,"")</f>
        <v/>
      </c>
      <c r="BE71" s="608" t="str">
        <f>IF(InpPerformance!BE59&lt;&gt;"",InpPerformance!BE59,"")</f>
        <v/>
      </c>
      <c r="BF71" s="608" t="str">
        <f>IF(InpPerformance!BF59&lt;&gt;"",InpPerformance!BF59,"")</f>
        <v/>
      </c>
      <c r="BG71" s="608" t="str">
        <f>IF(InpPerformance!BG59&lt;&gt;"",InpPerformance!BG59,"")</f>
        <v/>
      </c>
      <c r="BH71" s="608" t="str">
        <f>IF(InpPerformance!BH59&lt;&gt;"",InpPerformance!BH59,"")</f>
        <v/>
      </c>
      <c r="BI71" s="608" t="str">
        <f>IF(InpPerformance!BI59&lt;&gt;"",InpPerformance!BI59,"")</f>
        <v/>
      </c>
      <c r="BJ71" s="608" t="str">
        <f>IF(InpPerformance!BJ59&lt;&gt;"",InpPerformance!BJ59,"")</f>
        <v/>
      </c>
      <c r="BK71" s="608" t="str">
        <f>IF(InpPerformance!BK59&lt;&gt;"",InpPerformance!BK59,"")</f>
        <v/>
      </c>
      <c r="BL71" s="608" t="str">
        <f>IF(InpPerformance!BL59&lt;&gt;"",InpPerformance!BL59,"")</f>
        <v/>
      </c>
      <c r="BM71" s="608" t="str">
        <f>IF(InpPerformance!BM59&lt;&gt;"",InpPerformance!BM59,"")</f>
        <v/>
      </c>
      <c r="BN71" s="608" t="str">
        <f>IF(InpPerformance!BN59&lt;&gt;"",InpPerformance!BN59,"")</f>
        <v/>
      </c>
      <c r="BO71" s="608" t="str">
        <f>IF(InpPerformance!BO59&lt;&gt;"",InpPerformance!BO59,"")</f>
        <v/>
      </c>
      <c r="BP71" s="608" t="str">
        <f>IF(InpPerformance!BP59&lt;&gt;"",InpPerformance!BP59,"")</f>
        <v/>
      </c>
      <c r="BQ71" s="608" t="str">
        <f>IF(InpPerformance!BQ59&lt;&gt;"",InpPerformance!BQ59,"")</f>
        <v/>
      </c>
      <c r="BR71" s="608" t="str">
        <f>IF(InpPerformance!BR59&lt;&gt;"",InpPerformance!BR59,"")</f>
        <v/>
      </c>
      <c r="BS71" s="608" t="str">
        <f>IF(InpPerformance!BS59&lt;&gt;"",InpPerformance!BS59,"")</f>
        <v/>
      </c>
    </row>
    <row r="72" spans="1:71" s="202" customFormat="1" ht="13.15">
      <c r="A72" s="453"/>
      <c r="B72" s="453"/>
      <c r="C72" s="453"/>
      <c r="D72" s="453"/>
      <c r="E72" s="510" t="str">
        <f>E$14</f>
        <v>Up or down is good?</v>
      </c>
      <c r="F72" s="510"/>
      <c r="G72" s="510" t="str">
        <f>G$14</f>
        <v>Number</v>
      </c>
      <c r="H72" s="510"/>
      <c r="I72" s="510"/>
      <c r="J72" s="511">
        <f>J$14</f>
        <v>-1</v>
      </c>
      <c r="K72" s="511">
        <f t="shared" ref="K72:BS72" si="22">K$14</f>
        <v>-1</v>
      </c>
      <c r="L72" s="511">
        <f t="shared" si="22"/>
        <v>1</v>
      </c>
      <c r="M72" s="511">
        <f t="shared" si="22"/>
        <v>-1</v>
      </c>
      <c r="N72" s="511">
        <f t="shared" si="22"/>
        <v>1</v>
      </c>
      <c r="O72" s="511">
        <f t="shared" si="22"/>
        <v>-1</v>
      </c>
      <c r="P72" s="511">
        <f t="shared" si="22"/>
        <v>-1</v>
      </c>
      <c r="Q72" s="512">
        <f t="shared" si="22"/>
        <v>-1</v>
      </c>
      <c r="R72" s="511">
        <f t="shared" si="22"/>
        <v>-1</v>
      </c>
      <c r="S72" s="511">
        <f t="shared" si="22"/>
        <v>-1</v>
      </c>
      <c r="T72" s="511">
        <f t="shared" si="22"/>
        <v>-1</v>
      </c>
      <c r="U72" s="511">
        <f t="shared" si="22"/>
        <v>1</v>
      </c>
      <c r="V72" s="511">
        <f t="shared" si="22"/>
        <v>-1</v>
      </c>
      <c r="W72" s="511">
        <f t="shared" si="22"/>
        <v>1</v>
      </c>
      <c r="X72" s="511">
        <f t="shared" si="22"/>
        <v>-1</v>
      </c>
      <c r="Y72" s="511">
        <f t="shared" si="22"/>
        <v>-1</v>
      </c>
      <c r="Z72" s="511">
        <f t="shared" si="22"/>
        <v>1</v>
      </c>
      <c r="AA72" s="511">
        <f t="shared" si="22"/>
        <v>-1</v>
      </c>
      <c r="AB72" s="511">
        <f t="shared" si="22"/>
        <v>-1</v>
      </c>
      <c r="AC72" s="511">
        <f t="shared" si="22"/>
        <v>-1</v>
      </c>
      <c r="AD72" s="511">
        <f t="shared" si="22"/>
        <v>-1</v>
      </c>
      <c r="AE72" s="511">
        <f t="shared" si="22"/>
        <v>-1</v>
      </c>
      <c r="AF72" s="511">
        <f t="shared" si="22"/>
        <v>-1</v>
      </c>
      <c r="AG72" s="511">
        <f t="shared" si="22"/>
        <v>-1</v>
      </c>
      <c r="AH72" s="511">
        <f t="shared" si="22"/>
        <v>-1</v>
      </c>
      <c r="AI72" s="511">
        <f t="shared" si="22"/>
        <v>-1</v>
      </c>
      <c r="AJ72" s="511">
        <f t="shared" si="22"/>
        <v>-1</v>
      </c>
      <c r="AK72" s="512">
        <f t="shared" si="22"/>
        <v>-1</v>
      </c>
      <c r="AL72" s="511">
        <f t="shared" si="22"/>
        <v>-1</v>
      </c>
      <c r="AM72" s="511">
        <f t="shared" si="22"/>
        <v>-1</v>
      </c>
      <c r="AN72" s="511">
        <f t="shared" si="22"/>
        <v>-1</v>
      </c>
      <c r="AO72" s="512">
        <f t="shared" si="22"/>
        <v>1</v>
      </c>
      <c r="AP72" s="511">
        <f t="shared" si="22"/>
        <v>1</v>
      </c>
      <c r="AQ72" s="511">
        <f t="shared" si="22"/>
        <v>1</v>
      </c>
      <c r="AR72" s="511">
        <f t="shared" si="22"/>
        <v>1</v>
      </c>
      <c r="AS72" s="511">
        <f t="shared" si="22"/>
        <v>1</v>
      </c>
      <c r="AT72" s="511">
        <f t="shared" si="22"/>
        <v>1</v>
      </c>
      <c r="AU72" s="511">
        <f t="shared" si="22"/>
        <v>1</v>
      </c>
      <c r="AV72" s="511">
        <f t="shared" si="22"/>
        <v>1</v>
      </c>
      <c r="AW72" s="511">
        <f t="shared" si="22"/>
        <v>1</v>
      </c>
      <c r="AX72" s="511">
        <f t="shared" si="22"/>
        <v>-1</v>
      </c>
      <c r="AY72" s="511">
        <f t="shared" si="22"/>
        <v>1</v>
      </c>
      <c r="AZ72" s="511">
        <f t="shared" si="22"/>
        <v>-1</v>
      </c>
      <c r="BA72" s="511">
        <f t="shared" si="22"/>
        <v>-1</v>
      </c>
      <c r="BB72" s="511">
        <f t="shared" si="22"/>
        <v>-1</v>
      </c>
      <c r="BC72" s="512">
        <f t="shared" si="22"/>
        <v>-1</v>
      </c>
      <c r="BD72" s="511">
        <f t="shared" si="22"/>
        <v>-1</v>
      </c>
      <c r="BE72" s="511">
        <f t="shared" si="22"/>
        <v>-1</v>
      </c>
      <c r="BF72" s="511">
        <f t="shared" si="22"/>
        <v>-1</v>
      </c>
      <c r="BG72" s="511">
        <f t="shared" si="22"/>
        <v>-1</v>
      </c>
      <c r="BH72" s="511">
        <f t="shared" si="22"/>
        <v>-1</v>
      </c>
      <c r="BI72" s="511">
        <f t="shared" si="22"/>
        <v>-1</v>
      </c>
      <c r="BJ72" s="511">
        <f t="shared" si="22"/>
        <v>-1</v>
      </c>
      <c r="BK72" s="511">
        <f t="shared" si="22"/>
        <v>-1</v>
      </c>
      <c r="BL72" s="511">
        <f t="shared" si="22"/>
        <v>-1</v>
      </c>
      <c r="BM72" s="511">
        <f t="shared" si="22"/>
        <v>-1</v>
      </c>
      <c r="BN72" s="511">
        <f t="shared" si="22"/>
        <v>-1</v>
      </c>
      <c r="BO72" s="511">
        <f t="shared" si="22"/>
        <v>-1</v>
      </c>
      <c r="BP72" s="511">
        <f t="shared" si="22"/>
        <v>-1</v>
      </c>
      <c r="BQ72" s="511">
        <f t="shared" si="22"/>
        <v>-1</v>
      </c>
      <c r="BR72" s="511">
        <f t="shared" si="22"/>
        <v>-1</v>
      </c>
      <c r="BS72" s="511">
        <f t="shared" si="22"/>
        <v>-1</v>
      </c>
    </row>
    <row r="73" spans="1:71" s="202" customFormat="1" ht="13.15">
      <c r="A73" s="453"/>
      <c r="B73" s="453"/>
      <c r="C73" s="453"/>
      <c r="D73" s="453"/>
      <c r="E73" s="510" t="str">
        <f>E$17</f>
        <v>Actual performance (rounded unless HH:MM:SS unit is used or ODI is calculated as a % difference to a baseline)</v>
      </c>
      <c r="F73" s="510"/>
      <c r="G73" s="510" t="str">
        <f>G$17</f>
        <v>Performance commitment unit</v>
      </c>
      <c r="H73" s="510"/>
      <c r="I73" s="453"/>
      <c r="J73" s="610">
        <f>J$17</f>
        <v>3.07</v>
      </c>
      <c r="K73" s="610">
        <f t="shared" ref="K73:BS73" si="23">K$17</f>
        <v>5.6635957305140185E-2</v>
      </c>
      <c r="L73" s="610">
        <f t="shared" si="23"/>
        <v>-4.404404404404394</v>
      </c>
      <c r="M73" s="610" t="str">
        <f t="shared" si="23"/>
        <v/>
      </c>
      <c r="N73" s="610">
        <f t="shared" si="23"/>
        <v>-1.2499999999999956</v>
      </c>
      <c r="O73" s="610" t="str">
        <f t="shared" si="23"/>
        <v/>
      </c>
      <c r="P73" s="610">
        <f t="shared" si="23"/>
        <v>121.1</v>
      </c>
      <c r="Q73" s="611">
        <f t="shared" si="23"/>
        <v>5.68</v>
      </c>
      <c r="R73" s="610">
        <f t="shared" si="23"/>
        <v>1</v>
      </c>
      <c r="S73" s="610">
        <f t="shared" si="23"/>
        <v>0.24</v>
      </c>
      <c r="T73" s="610">
        <f t="shared" si="23"/>
        <v>-19</v>
      </c>
      <c r="U73" s="610">
        <f t="shared" si="23"/>
        <v>0</v>
      </c>
      <c r="V73" s="610">
        <f t="shared" si="23"/>
        <v>2.97</v>
      </c>
      <c r="W73" s="610">
        <f t="shared" si="23"/>
        <v>0</v>
      </c>
      <c r="X73" s="610">
        <f t="shared" si="23"/>
        <v>173</v>
      </c>
      <c r="Y73" s="610">
        <f t="shared" si="23"/>
        <v>51</v>
      </c>
      <c r="Z73" s="610">
        <f t="shared" si="23"/>
        <v>0</v>
      </c>
      <c r="AA73" s="610" t="str">
        <f t="shared" si="23"/>
        <v/>
      </c>
      <c r="AB73" s="610" t="str">
        <f t="shared" si="23"/>
        <v/>
      </c>
      <c r="AC73" s="610" t="str">
        <f t="shared" si="23"/>
        <v/>
      </c>
      <c r="AD73" s="610" t="str">
        <f t="shared" si="23"/>
        <v/>
      </c>
      <c r="AE73" s="610" t="str">
        <f t="shared" si="23"/>
        <v/>
      </c>
      <c r="AF73" s="610" t="str">
        <f t="shared" si="23"/>
        <v/>
      </c>
      <c r="AG73" s="610" t="str">
        <f t="shared" si="23"/>
        <v/>
      </c>
      <c r="AH73" s="610" t="str">
        <f t="shared" si="23"/>
        <v/>
      </c>
      <c r="AI73" s="610" t="str">
        <f t="shared" si="23"/>
        <v/>
      </c>
      <c r="AJ73" s="610" t="str">
        <f t="shared" si="23"/>
        <v/>
      </c>
      <c r="AK73" s="611" t="str">
        <f t="shared" si="23"/>
        <v/>
      </c>
      <c r="AL73" s="610">
        <f t="shared" si="23"/>
        <v>2.57</v>
      </c>
      <c r="AM73" s="610">
        <f t="shared" si="23"/>
        <v>58.9</v>
      </c>
      <c r="AN73" s="610">
        <f t="shared" si="23"/>
        <v>5.85</v>
      </c>
      <c r="AO73" s="611">
        <f t="shared" si="23"/>
        <v>99.36</v>
      </c>
      <c r="AP73" s="610">
        <f t="shared" si="23"/>
        <v>79</v>
      </c>
      <c r="AQ73" s="610">
        <f t="shared" si="23"/>
        <v>13.32</v>
      </c>
      <c r="AR73" s="610">
        <f t="shared" si="23"/>
        <v>100</v>
      </c>
      <c r="AS73" s="610">
        <f t="shared" si="23"/>
        <v>102.7</v>
      </c>
      <c r="AT73" s="610">
        <f t="shared" si="23"/>
        <v>48</v>
      </c>
      <c r="AU73" s="610">
        <f t="shared" si="23"/>
        <v>4</v>
      </c>
      <c r="AV73" s="610">
        <f t="shared" si="23"/>
        <v>4</v>
      </c>
      <c r="AW73" s="610">
        <f t="shared" si="23"/>
        <v>0</v>
      </c>
      <c r="AX73" s="610">
        <f t="shared" si="23"/>
        <v>3245</v>
      </c>
      <c r="AY73" s="610">
        <f t="shared" si="23"/>
        <v>0</v>
      </c>
      <c r="AZ73" s="610" t="str">
        <f t="shared" si="23"/>
        <v/>
      </c>
      <c r="BA73" s="610" t="str">
        <f t="shared" si="23"/>
        <v/>
      </c>
      <c r="BB73" s="610" t="str">
        <f t="shared" si="23"/>
        <v/>
      </c>
      <c r="BC73" s="611" t="str">
        <f t="shared" si="23"/>
        <v/>
      </c>
      <c r="BD73" s="610" t="str">
        <f t="shared" si="23"/>
        <v/>
      </c>
      <c r="BE73" s="610" t="str">
        <f t="shared" si="23"/>
        <v/>
      </c>
      <c r="BF73" s="610" t="str">
        <f t="shared" si="23"/>
        <v/>
      </c>
      <c r="BG73" s="610" t="str">
        <f t="shared" si="23"/>
        <v/>
      </c>
      <c r="BH73" s="610" t="str">
        <f t="shared" si="23"/>
        <v/>
      </c>
      <c r="BI73" s="610" t="str">
        <f t="shared" si="23"/>
        <v/>
      </c>
      <c r="BJ73" s="610" t="str">
        <f t="shared" si="23"/>
        <v/>
      </c>
      <c r="BK73" s="610" t="str">
        <f t="shared" si="23"/>
        <v/>
      </c>
      <c r="BL73" s="610" t="str">
        <f t="shared" si="23"/>
        <v/>
      </c>
      <c r="BM73" s="610" t="str">
        <f t="shared" si="23"/>
        <v/>
      </c>
      <c r="BN73" s="610" t="str">
        <f t="shared" si="23"/>
        <v/>
      </c>
      <c r="BO73" s="610" t="str">
        <f t="shared" si="23"/>
        <v/>
      </c>
      <c r="BP73" s="610" t="str">
        <f t="shared" si="23"/>
        <v/>
      </c>
      <c r="BQ73" s="610" t="str">
        <f t="shared" si="23"/>
        <v/>
      </c>
      <c r="BR73" s="610" t="str">
        <f t="shared" si="23"/>
        <v/>
      </c>
      <c r="BS73" s="610" t="str">
        <f t="shared" si="23"/>
        <v/>
      </c>
    </row>
    <row r="74" spans="1:71" s="202" customFormat="1" ht="13.15">
      <c r="A74" s="453"/>
      <c r="B74" s="453"/>
      <c r="C74" s="453"/>
      <c r="D74" s="453"/>
      <c r="E74" s="510"/>
      <c r="F74" s="510"/>
      <c r="G74" s="510"/>
      <c r="H74" s="510"/>
      <c r="I74" s="453"/>
      <c r="J74" s="494"/>
      <c r="K74" s="494"/>
      <c r="L74" s="494"/>
      <c r="M74" s="494"/>
      <c r="N74" s="494"/>
      <c r="O74" s="494"/>
      <c r="P74" s="494"/>
      <c r="Q74" s="496"/>
      <c r="R74" s="494"/>
      <c r="S74" s="494"/>
      <c r="T74" s="494"/>
      <c r="U74" s="494"/>
      <c r="V74" s="494"/>
      <c r="W74" s="494"/>
      <c r="X74" s="494"/>
      <c r="Y74" s="494"/>
      <c r="Z74" s="494"/>
      <c r="AA74" s="494"/>
      <c r="AB74" s="494"/>
      <c r="AC74" s="494"/>
      <c r="AD74" s="494"/>
      <c r="AE74" s="494"/>
      <c r="AF74" s="494"/>
      <c r="AG74" s="494"/>
      <c r="AH74" s="494"/>
      <c r="AI74" s="494"/>
      <c r="AJ74" s="494"/>
      <c r="AK74" s="496"/>
      <c r="AL74" s="494"/>
      <c r="AM74" s="494"/>
      <c r="AN74" s="494"/>
      <c r="AO74" s="496"/>
      <c r="AP74" s="494"/>
      <c r="AQ74" s="494"/>
      <c r="AR74" s="494"/>
      <c r="AS74" s="494"/>
      <c r="AT74" s="494"/>
      <c r="AU74" s="494"/>
      <c r="AV74" s="494"/>
      <c r="AW74" s="494"/>
      <c r="AX74" s="494"/>
      <c r="AY74" s="494"/>
      <c r="AZ74" s="494"/>
      <c r="BA74" s="494"/>
      <c r="BB74" s="494"/>
      <c r="BC74" s="496"/>
      <c r="BD74" s="494"/>
      <c r="BE74" s="494"/>
      <c r="BF74" s="494"/>
      <c r="BG74" s="494"/>
      <c r="BH74" s="494"/>
      <c r="BI74" s="494"/>
      <c r="BJ74" s="494"/>
      <c r="BK74" s="494"/>
      <c r="BL74" s="494"/>
      <c r="BM74" s="494"/>
      <c r="BN74" s="494"/>
      <c r="BO74" s="494"/>
      <c r="BP74" s="494"/>
      <c r="BQ74" s="494"/>
      <c r="BR74" s="494"/>
      <c r="BS74" s="494"/>
    </row>
    <row r="75" spans="1:71" s="202" customFormat="1" ht="13.15">
      <c r="A75" s="453"/>
      <c r="B75" s="453"/>
      <c r="C75" s="453"/>
      <c r="D75" s="453"/>
      <c r="E75" s="510" t="s">
        <v>1223</v>
      </c>
      <c r="F75" s="510"/>
      <c r="G75" s="510" t="s">
        <v>418</v>
      </c>
      <c r="H75" s="510"/>
      <c r="I75" s="453"/>
      <c r="J75" s="494" t="b">
        <f t="shared" ref="J75:O75" si="24">IF(J$68=TRUE,IF(((J$73-J$70)*J$72)&gt;0,TRUE,FALSE),FALSE)</f>
        <v>0</v>
      </c>
      <c r="K75" s="494" t="b">
        <f t="shared" si="24"/>
        <v>0</v>
      </c>
      <c r="L75" s="494" t="b">
        <f t="shared" si="24"/>
        <v>0</v>
      </c>
      <c r="M75" s="494" t="b">
        <f t="shared" si="24"/>
        <v>0</v>
      </c>
      <c r="N75" s="494" t="b">
        <f t="shared" si="24"/>
        <v>0</v>
      </c>
      <c r="O75" s="494" t="b">
        <f t="shared" si="24"/>
        <v>0</v>
      </c>
      <c r="P75" s="494" t="b">
        <f t="shared" ref="P75:BS75" si="25">IF(P$68=TRUE,IF(((P$73-P$70)*P$72)&gt;0,TRUE,FALSE),FALSE)</f>
        <v>0</v>
      </c>
      <c r="Q75" s="496" t="b">
        <f t="shared" si="25"/>
        <v>0</v>
      </c>
      <c r="R75" s="494" t="b">
        <f t="shared" si="25"/>
        <v>0</v>
      </c>
      <c r="S75" s="494" t="b">
        <f t="shared" si="25"/>
        <v>0</v>
      </c>
      <c r="T75" s="494" t="b">
        <f t="shared" si="25"/>
        <v>0</v>
      </c>
      <c r="U75" s="494" t="b">
        <f t="shared" si="25"/>
        <v>0</v>
      </c>
      <c r="V75" s="494" t="b">
        <f t="shared" si="25"/>
        <v>0</v>
      </c>
      <c r="W75" s="494" t="b">
        <f t="shared" si="25"/>
        <v>0</v>
      </c>
      <c r="X75" s="494" t="b">
        <f t="shared" si="25"/>
        <v>0</v>
      </c>
      <c r="Y75" s="494" t="b">
        <f t="shared" si="25"/>
        <v>0</v>
      </c>
      <c r="Z75" s="494" t="b">
        <f t="shared" si="25"/>
        <v>0</v>
      </c>
      <c r="AA75" s="494" t="b">
        <f t="shared" si="25"/>
        <v>0</v>
      </c>
      <c r="AB75" s="494" t="b">
        <f t="shared" si="25"/>
        <v>0</v>
      </c>
      <c r="AC75" s="494" t="b">
        <f t="shared" si="25"/>
        <v>0</v>
      </c>
      <c r="AD75" s="494" t="b">
        <f t="shared" si="25"/>
        <v>0</v>
      </c>
      <c r="AE75" s="494" t="b">
        <f t="shared" si="25"/>
        <v>0</v>
      </c>
      <c r="AF75" s="494" t="b">
        <f t="shared" si="25"/>
        <v>0</v>
      </c>
      <c r="AG75" s="494" t="b">
        <f t="shared" si="25"/>
        <v>0</v>
      </c>
      <c r="AH75" s="494" t="b">
        <f t="shared" si="25"/>
        <v>0</v>
      </c>
      <c r="AI75" s="494" t="b">
        <f t="shared" si="25"/>
        <v>0</v>
      </c>
      <c r="AJ75" s="494" t="b">
        <f t="shared" si="25"/>
        <v>0</v>
      </c>
      <c r="AK75" s="496" t="b">
        <f t="shared" si="25"/>
        <v>0</v>
      </c>
      <c r="AL75" s="494" t="b">
        <f t="shared" si="25"/>
        <v>0</v>
      </c>
      <c r="AM75" s="494" t="b">
        <f t="shared" si="25"/>
        <v>0</v>
      </c>
      <c r="AN75" s="494" t="b">
        <f t="shared" si="25"/>
        <v>0</v>
      </c>
      <c r="AO75" s="496" t="b">
        <f t="shared" si="25"/>
        <v>0</v>
      </c>
      <c r="AP75" s="494" t="b">
        <f t="shared" si="25"/>
        <v>0</v>
      </c>
      <c r="AQ75" s="494" t="b">
        <f t="shared" si="25"/>
        <v>0</v>
      </c>
      <c r="AR75" s="494" t="b">
        <f t="shared" si="25"/>
        <v>0</v>
      </c>
      <c r="AS75" s="494" t="b">
        <f t="shared" si="25"/>
        <v>0</v>
      </c>
      <c r="AT75" s="494" t="b">
        <f t="shared" si="25"/>
        <v>0</v>
      </c>
      <c r="AU75" s="494" t="b">
        <f t="shared" si="25"/>
        <v>0</v>
      </c>
      <c r="AV75" s="494" t="b">
        <f t="shared" si="25"/>
        <v>0</v>
      </c>
      <c r="AW75" s="494" t="b">
        <f t="shared" si="25"/>
        <v>0</v>
      </c>
      <c r="AX75" s="494" t="b">
        <f t="shared" si="25"/>
        <v>0</v>
      </c>
      <c r="AY75" s="494" t="b">
        <f t="shared" si="25"/>
        <v>0</v>
      </c>
      <c r="AZ75" s="494" t="b">
        <f t="shared" si="25"/>
        <v>0</v>
      </c>
      <c r="BA75" s="494" t="b">
        <f t="shared" si="25"/>
        <v>0</v>
      </c>
      <c r="BB75" s="494" t="b">
        <f t="shared" si="25"/>
        <v>0</v>
      </c>
      <c r="BC75" s="496" t="b">
        <f t="shared" si="25"/>
        <v>0</v>
      </c>
      <c r="BD75" s="494" t="b">
        <f t="shared" si="25"/>
        <v>0</v>
      </c>
      <c r="BE75" s="494" t="b">
        <f t="shared" si="25"/>
        <v>0</v>
      </c>
      <c r="BF75" s="494" t="b">
        <f t="shared" si="25"/>
        <v>0</v>
      </c>
      <c r="BG75" s="494" t="b">
        <f t="shared" si="25"/>
        <v>0</v>
      </c>
      <c r="BH75" s="494" t="b">
        <f t="shared" si="25"/>
        <v>0</v>
      </c>
      <c r="BI75" s="494" t="b">
        <f t="shared" si="25"/>
        <v>0</v>
      </c>
      <c r="BJ75" s="494" t="b">
        <f t="shared" si="25"/>
        <v>0</v>
      </c>
      <c r="BK75" s="494" t="b">
        <f t="shared" si="25"/>
        <v>0</v>
      </c>
      <c r="BL75" s="494" t="b">
        <f t="shared" si="25"/>
        <v>0</v>
      </c>
      <c r="BM75" s="494" t="b">
        <f t="shared" si="25"/>
        <v>0</v>
      </c>
      <c r="BN75" s="494" t="b">
        <f t="shared" si="25"/>
        <v>0</v>
      </c>
      <c r="BO75" s="494" t="b">
        <f t="shared" si="25"/>
        <v>0</v>
      </c>
      <c r="BP75" s="494" t="b">
        <f t="shared" si="25"/>
        <v>0</v>
      </c>
      <c r="BQ75" s="494" t="b">
        <f t="shared" si="25"/>
        <v>0</v>
      </c>
      <c r="BR75" s="494" t="b">
        <f t="shared" si="25"/>
        <v>0</v>
      </c>
      <c r="BS75" s="494" t="b">
        <f t="shared" si="25"/>
        <v>0</v>
      </c>
    </row>
    <row r="76" spans="1:71" s="202" customFormat="1" ht="13.15">
      <c r="A76" s="453"/>
      <c r="B76" s="453"/>
      <c r="C76" s="453"/>
      <c r="D76" s="453"/>
      <c r="E76" s="510"/>
      <c r="F76" s="510"/>
      <c r="G76" s="510"/>
      <c r="H76" s="510"/>
      <c r="I76" s="453"/>
      <c r="J76" s="494"/>
      <c r="K76" s="494"/>
      <c r="L76" s="494"/>
      <c r="M76" s="494"/>
      <c r="N76" s="494"/>
      <c r="O76" s="494"/>
      <c r="P76" s="494"/>
      <c r="Q76" s="496"/>
      <c r="R76" s="494"/>
      <c r="S76" s="494"/>
      <c r="T76" s="494"/>
      <c r="U76" s="494"/>
      <c r="V76" s="494"/>
      <c r="W76" s="494"/>
      <c r="X76" s="494"/>
      <c r="Y76" s="494"/>
      <c r="Z76" s="494"/>
      <c r="AA76" s="494"/>
      <c r="AB76" s="494"/>
      <c r="AC76" s="494"/>
      <c r="AD76" s="494"/>
      <c r="AE76" s="494"/>
      <c r="AF76" s="494"/>
      <c r="AG76" s="494"/>
      <c r="AH76" s="494"/>
      <c r="AI76" s="494"/>
      <c r="AJ76" s="494"/>
      <c r="AK76" s="496"/>
      <c r="AL76" s="494"/>
      <c r="AM76" s="494"/>
      <c r="AN76" s="494"/>
      <c r="AO76" s="496"/>
      <c r="AP76" s="494"/>
      <c r="AQ76" s="494"/>
      <c r="AR76" s="494"/>
      <c r="AS76" s="494"/>
      <c r="AT76" s="494"/>
      <c r="AU76" s="494"/>
      <c r="AV76" s="494"/>
      <c r="AW76" s="494"/>
      <c r="AX76" s="494"/>
      <c r="AY76" s="494"/>
      <c r="AZ76" s="494"/>
      <c r="BA76" s="494"/>
      <c r="BB76" s="494"/>
      <c r="BC76" s="496"/>
      <c r="BD76" s="494"/>
      <c r="BE76" s="494"/>
      <c r="BF76" s="494"/>
      <c r="BG76" s="494"/>
      <c r="BH76" s="494"/>
      <c r="BI76" s="494"/>
      <c r="BJ76" s="494"/>
      <c r="BK76" s="494"/>
      <c r="BL76" s="494"/>
      <c r="BM76" s="494"/>
      <c r="BN76" s="494"/>
      <c r="BO76" s="494"/>
      <c r="BP76" s="494"/>
      <c r="BQ76" s="494"/>
      <c r="BR76" s="494"/>
      <c r="BS76" s="494"/>
    </row>
    <row r="77" spans="1:71" s="202" customFormat="1" ht="13.15">
      <c r="A77" s="453"/>
      <c r="B77" s="453"/>
      <c r="C77" s="453"/>
      <c r="D77" s="463" t="s">
        <v>1224</v>
      </c>
      <c r="E77" s="510"/>
      <c r="F77" s="510"/>
      <c r="G77" s="510"/>
      <c r="H77" s="510"/>
      <c r="I77" s="453"/>
      <c r="J77" s="494"/>
      <c r="K77" s="494"/>
      <c r="L77" s="494"/>
      <c r="M77" s="494"/>
      <c r="N77" s="494"/>
      <c r="O77" s="494"/>
      <c r="P77" s="494"/>
      <c r="Q77" s="496"/>
      <c r="R77" s="494"/>
      <c r="S77" s="494"/>
      <c r="T77" s="494"/>
      <c r="U77" s="494"/>
      <c r="V77" s="494"/>
      <c r="W77" s="494"/>
      <c r="X77" s="494"/>
      <c r="Y77" s="494"/>
      <c r="Z77" s="494"/>
      <c r="AA77" s="494"/>
      <c r="AB77" s="494"/>
      <c r="AC77" s="494"/>
      <c r="AD77" s="494"/>
      <c r="AE77" s="494"/>
      <c r="AF77" s="494"/>
      <c r="AG77" s="494"/>
      <c r="AH77" s="494"/>
      <c r="AI77" s="494"/>
      <c r="AJ77" s="494"/>
      <c r="AK77" s="496"/>
      <c r="AL77" s="494"/>
      <c r="AM77" s="494"/>
      <c r="AN77" s="494"/>
      <c r="AO77" s="496"/>
      <c r="AP77" s="494"/>
      <c r="AQ77" s="494"/>
      <c r="AR77" s="494"/>
      <c r="AS77" s="494"/>
      <c r="AT77" s="494"/>
      <c r="AU77" s="494"/>
      <c r="AV77" s="494"/>
      <c r="AW77" s="494"/>
      <c r="AX77" s="494"/>
      <c r="AY77" s="494"/>
      <c r="AZ77" s="494"/>
      <c r="BA77" s="494"/>
      <c r="BB77" s="494"/>
      <c r="BC77" s="496"/>
      <c r="BD77" s="494"/>
      <c r="BE77" s="494"/>
      <c r="BF77" s="494"/>
      <c r="BG77" s="494"/>
      <c r="BH77" s="494"/>
      <c r="BI77" s="494"/>
      <c r="BJ77" s="494"/>
      <c r="BK77" s="494"/>
      <c r="BL77" s="494"/>
      <c r="BM77" s="494"/>
      <c r="BN77" s="494"/>
      <c r="BO77" s="494"/>
      <c r="BP77" s="494"/>
      <c r="BQ77" s="494"/>
      <c r="BR77" s="494"/>
      <c r="BS77" s="494"/>
    </row>
    <row r="78" spans="1:71" s="202" customFormat="1" ht="13.15">
      <c r="A78" s="453"/>
      <c r="B78" s="453"/>
      <c r="C78" s="453"/>
      <c r="D78" s="453"/>
      <c r="E78" s="605" t="str">
        <f>InpPerformance!E54</f>
        <v>For enhanced ODIs: wholesale water or wholesale wastewater?</v>
      </c>
      <c r="F78" s="510"/>
      <c r="G78" s="605" t="str">
        <f>InpPerformance!G54</f>
        <v>Water or Wastewater</v>
      </c>
      <c r="H78" s="510"/>
      <c r="I78" s="453"/>
      <c r="J78" s="606" t="str">
        <f>InpPerformance!J54</f>
        <v/>
      </c>
      <c r="K78" s="606" t="str">
        <f>InpPerformance!K54</f>
        <v/>
      </c>
      <c r="L78" s="606" t="str">
        <f>InpPerformance!L54</f>
        <v/>
      </c>
      <c r="M78" s="606" t="str">
        <f>InpPerformance!M54</f>
        <v/>
      </c>
      <c r="N78" s="606" t="str">
        <f>InpPerformance!N54</f>
        <v/>
      </c>
      <c r="O78" s="606" t="str">
        <f>InpPerformance!O54</f>
        <v/>
      </c>
      <c r="P78" s="606" t="str">
        <f>InpPerformance!P54</f>
        <v/>
      </c>
      <c r="Q78" s="607" t="str">
        <f>InpPerformance!Q54</f>
        <v/>
      </c>
      <c r="R78" s="606" t="str">
        <f>InpPerformance!R54</f>
        <v/>
      </c>
      <c r="S78" s="606" t="str">
        <f>InpPerformance!S54</f>
        <v/>
      </c>
      <c r="T78" s="606" t="str">
        <f>InpPerformance!T54</f>
        <v/>
      </c>
      <c r="U78" s="606" t="str">
        <f>InpPerformance!U54</f>
        <v/>
      </c>
      <c r="V78" s="606" t="str">
        <f>InpPerformance!V54</f>
        <v/>
      </c>
      <c r="W78" s="606" t="str">
        <f>InpPerformance!W54</f>
        <v/>
      </c>
      <c r="X78" s="606" t="str">
        <f>InpPerformance!X54</f>
        <v/>
      </c>
      <c r="Y78" s="606" t="str">
        <f>InpPerformance!Y54</f>
        <v/>
      </c>
      <c r="Z78" s="606" t="str">
        <f>InpPerformance!Z54</f>
        <v/>
      </c>
      <c r="AA78" s="606" t="str">
        <f>InpPerformance!AA54</f>
        <v/>
      </c>
      <c r="AB78" s="606" t="str">
        <f>InpPerformance!AB54</f>
        <v/>
      </c>
      <c r="AC78" s="606" t="str">
        <f>InpPerformance!AC54</f>
        <v/>
      </c>
      <c r="AD78" s="606" t="str">
        <f>InpPerformance!AD54</f>
        <v/>
      </c>
      <c r="AE78" s="606" t="str">
        <f>InpPerformance!AE54</f>
        <v/>
      </c>
      <c r="AF78" s="606" t="str">
        <f>InpPerformance!AF54</f>
        <v/>
      </c>
      <c r="AG78" s="606" t="str">
        <f>InpPerformance!AG54</f>
        <v/>
      </c>
      <c r="AH78" s="606" t="str">
        <f>InpPerformance!AH54</f>
        <v/>
      </c>
      <c r="AI78" s="606" t="str">
        <f>InpPerformance!AI54</f>
        <v/>
      </c>
      <c r="AJ78" s="606" t="str">
        <f>InpPerformance!AJ54</f>
        <v/>
      </c>
      <c r="AK78" s="607" t="str">
        <f>InpPerformance!AK54</f>
        <v/>
      </c>
      <c r="AL78" s="606" t="str">
        <f>InpPerformance!AL54</f>
        <v/>
      </c>
      <c r="AM78" s="606" t="str">
        <f>InpPerformance!AM54</f>
        <v/>
      </c>
      <c r="AN78" s="606" t="str">
        <f>InpPerformance!AN54</f>
        <v/>
      </c>
      <c r="AO78" s="607" t="str">
        <f>InpPerformance!AO54</f>
        <v/>
      </c>
      <c r="AP78" s="606" t="str">
        <f>InpPerformance!AP54</f>
        <v/>
      </c>
      <c r="AQ78" s="606" t="str">
        <f>InpPerformance!AQ54</f>
        <v/>
      </c>
      <c r="AR78" s="606" t="str">
        <f>InpPerformance!AR54</f>
        <v/>
      </c>
      <c r="AS78" s="606" t="str">
        <f>InpPerformance!AS54</f>
        <v/>
      </c>
      <c r="AT78" s="606" t="str">
        <f>InpPerformance!AT54</f>
        <v/>
      </c>
      <c r="AU78" s="606" t="str">
        <f>InpPerformance!AU54</f>
        <v/>
      </c>
      <c r="AV78" s="606" t="str">
        <f>InpPerformance!AV54</f>
        <v/>
      </c>
      <c r="AW78" s="606" t="str">
        <f>InpPerformance!AW54</f>
        <v/>
      </c>
      <c r="AX78" s="606" t="str">
        <f>InpPerformance!AX54</f>
        <v/>
      </c>
      <c r="AY78" s="606" t="str">
        <f>InpPerformance!AY54</f>
        <v/>
      </c>
      <c r="AZ78" s="606" t="str">
        <f>InpPerformance!AZ54</f>
        <v/>
      </c>
      <c r="BA78" s="606" t="str">
        <f>InpPerformance!BA54</f>
        <v/>
      </c>
      <c r="BB78" s="606" t="str">
        <f>InpPerformance!BB54</f>
        <v/>
      </c>
      <c r="BC78" s="607" t="str">
        <f>InpPerformance!BC54</f>
        <v/>
      </c>
      <c r="BD78" s="606" t="str">
        <f>InpPerformance!BD54</f>
        <v/>
      </c>
      <c r="BE78" s="606" t="str">
        <f>InpPerformance!BE54</f>
        <v/>
      </c>
      <c r="BF78" s="606" t="str">
        <f>InpPerformance!BF54</f>
        <v/>
      </c>
      <c r="BG78" s="606" t="str">
        <f>InpPerformance!BG54</f>
        <v/>
      </c>
      <c r="BH78" s="606" t="str">
        <f>InpPerformance!BH54</f>
        <v/>
      </c>
      <c r="BI78" s="606" t="str">
        <f>InpPerformance!BI54</f>
        <v/>
      </c>
      <c r="BJ78" s="606" t="str">
        <f>InpPerformance!BJ54</f>
        <v/>
      </c>
      <c r="BK78" s="606" t="str">
        <f>InpPerformance!BK54</f>
        <v/>
      </c>
      <c r="BL78" s="606" t="str">
        <f>InpPerformance!BL54</f>
        <v/>
      </c>
      <c r="BM78" s="606" t="str">
        <f>InpPerformance!BM54</f>
        <v/>
      </c>
      <c r="BN78" s="606" t="str">
        <f>InpPerformance!BN54</f>
        <v/>
      </c>
      <c r="BO78" s="606" t="str">
        <f>InpPerformance!BO54</f>
        <v/>
      </c>
      <c r="BP78" s="606" t="str">
        <f>InpPerformance!BP54</f>
        <v/>
      </c>
      <c r="BQ78" s="606" t="str">
        <f>InpPerformance!BQ54</f>
        <v/>
      </c>
      <c r="BR78" s="606" t="str">
        <f>InpPerformance!BR54</f>
        <v/>
      </c>
      <c r="BS78" s="606" t="str">
        <f>InpPerformance!BS54</f>
        <v/>
      </c>
    </row>
    <row r="79" spans="1:71" s="202" customFormat="1" ht="13.15">
      <c r="A79" s="453"/>
      <c r="B79" s="453"/>
      <c r="C79" s="453"/>
      <c r="D79" s="453"/>
      <c r="E79" s="605" t="str">
        <f>InpCompany!E17</f>
        <v>Wholesale water RCV (financial year average)</v>
      </c>
      <c r="F79" s="605"/>
      <c r="G79" s="605" t="str">
        <f>InpCompany!G$17</f>
        <v>£m (2017-18 prices)</v>
      </c>
      <c r="H79" s="605"/>
      <c r="I79" s="583"/>
      <c r="J79" s="588">
        <f>InpCompany!$F17</f>
        <v>1313.0260000000001</v>
      </c>
      <c r="K79" s="588">
        <f>InpCompany!$F17</f>
        <v>1313.0260000000001</v>
      </c>
      <c r="L79" s="588">
        <f>InpCompany!$F17</f>
        <v>1313.0260000000001</v>
      </c>
      <c r="M79" s="588">
        <f>InpCompany!$F17</f>
        <v>1313.0260000000001</v>
      </c>
      <c r="N79" s="588">
        <f>InpCompany!$F17</f>
        <v>1313.0260000000001</v>
      </c>
      <c r="O79" s="588">
        <f>InpCompany!$F17</f>
        <v>1313.0260000000001</v>
      </c>
      <c r="P79" s="588">
        <f>InpCompany!$F17</f>
        <v>1313.0260000000001</v>
      </c>
      <c r="Q79" s="590">
        <f>InpCompany!$F17</f>
        <v>1313.0260000000001</v>
      </c>
      <c r="R79" s="588">
        <f>InpCompany!$F17</f>
        <v>1313.0260000000001</v>
      </c>
      <c r="S79" s="588">
        <f>InpCompany!$F17</f>
        <v>1313.0260000000001</v>
      </c>
      <c r="T79" s="588">
        <f>InpCompany!$F17</f>
        <v>1313.0260000000001</v>
      </c>
      <c r="U79" s="588">
        <f>InpCompany!$F17</f>
        <v>1313.0260000000001</v>
      </c>
      <c r="V79" s="588">
        <f>InpCompany!$F17</f>
        <v>1313.0260000000001</v>
      </c>
      <c r="W79" s="588">
        <f>InpCompany!$F17</f>
        <v>1313.0260000000001</v>
      </c>
      <c r="X79" s="588">
        <f>InpCompany!$F17</f>
        <v>1313.0260000000001</v>
      </c>
      <c r="Y79" s="588">
        <f>InpCompany!$F17</f>
        <v>1313.0260000000001</v>
      </c>
      <c r="Z79" s="588">
        <f>InpCompany!$F17</f>
        <v>1313.0260000000001</v>
      </c>
      <c r="AA79" s="588">
        <f>InpCompany!$F17</f>
        <v>1313.0260000000001</v>
      </c>
      <c r="AB79" s="588">
        <f>InpCompany!$F17</f>
        <v>1313.0260000000001</v>
      </c>
      <c r="AC79" s="588">
        <f>InpCompany!$F17</f>
        <v>1313.0260000000001</v>
      </c>
      <c r="AD79" s="588">
        <f>InpCompany!$F17</f>
        <v>1313.0260000000001</v>
      </c>
      <c r="AE79" s="588">
        <f>InpCompany!$F17</f>
        <v>1313.0260000000001</v>
      </c>
      <c r="AF79" s="588">
        <f>InpCompany!$F17</f>
        <v>1313.0260000000001</v>
      </c>
      <c r="AG79" s="588">
        <f>InpCompany!$F17</f>
        <v>1313.0260000000001</v>
      </c>
      <c r="AH79" s="588">
        <f>InpCompany!$F17</f>
        <v>1313.0260000000001</v>
      </c>
      <c r="AI79" s="588">
        <f>InpCompany!$F17</f>
        <v>1313.0260000000001</v>
      </c>
      <c r="AJ79" s="588">
        <f>InpCompany!$F17</f>
        <v>1313.0260000000001</v>
      </c>
      <c r="AK79" s="590">
        <f>InpCompany!$F17</f>
        <v>1313.0260000000001</v>
      </c>
      <c r="AL79" s="588">
        <f>InpCompany!$F17</f>
        <v>1313.0260000000001</v>
      </c>
      <c r="AM79" s="588">
        <f>InpCompany!$F17</f>
        <v>1313.0260000000001</v>
      </c>
      <c r="AN79" s="588">
        <f>InpCompany!$F17</f>
        <v>1313.0260000000001</v>
      </c>
      <c r="AO79" s="590">
        <f>InpCompany!$F17</f>
        <v>1313.0260000000001</v>
      </c>
      <c r="AP79" s="588">
        <f>InpCompany!$F17</f>
        <v>1313.0260000000001</v>
      </c>
      <c r="AQ79" s="588">
        <f>InpCompany!$F17</f>
        <v>1313.0260000000001</v>
      </c>
      <c r="AR79" s="588">
        <f>InpCompany!$F17</f>
        <v>1313.0260000000001</v>
      </c>
      <c r="AS79" s="588">
        <f>InpCompany!$F17</f>
        <v>1313.0260000000001</v>
      </c>
      <c r="AT79" s="588">
        <f>InpCompany!$F17</f>
        <v>1313.0260000000001</v>
      </c>
      <c r="AU79" s="588">
        <f>InpCompany!$F17</f>
        <v>1313.0260000000001</v>
      </c>
      <c r="AV79" s="588">
        <f>InpCompany!$F17</f>
        <v>1313.0260000000001</v>
      </c>
      <c r="AW79" s="588">
        <f>InpCompany!$F17</f>
        <v>1313.0260000000001</v>
      </c>
      <c r="AX79" s="588">
        <f>InpCompany!$F17</f>
        <v>1313.0260000000001</v>
      </c>
      <c r="AY79" s="588">
        <f>InpCompany!$F17</f>
        <v>1313.0260000000001</v>
      </c>
      <c r="AZ79" s="588">
        <f>InpCompany!$F17</f>
        <v>1313.0260000000001</v>
      </c>
      <c r="BA79" s="588">
        <f>InpCompany!$F17</f>
        <v>1313.0260000000001</v>
      </c>
      <c r="BB79" s="588">
        <f>InpCompany!$F17</f>
        <v>1313.0260000000001</v>
      </c>
      <c r="BC79" s="590">
        <f>InpCompany!$F17</f>
        <v>1313.0260000000001</v>
      </c>
      <c r="BD79" s="588">
        <f>InpCompany!$F17</f>
        <v>1313.0260000000001</v>
      </c>
      <c r="BE79" s="588">
        <f>InpCompany!$F17</f>
        <v>1313.0260000000001</v>
      </c>
      <c r="BF79" s="588">
        <f>InpCompany!$F17</f>
        <v>1313.0260000000001</v>
      </c>
      <c r="BG79" s="588">
        <f>InpCompany!$F17</f>
        <v>1313.0260000000001</v>
      </c>
      <c r="BH79" s="588">
        <f>InpCompany!$F17</f>
        <v>1313.0260000000001</v>
      </c>
      <c r="BI79" s="588">
        <f>InpCompany!$F17</f>
        <v>1313.0260000000001</v>
      </c>
      <c r="BJ79" s="588">
        <f>InpCompany!$F17</f>
        <v>1313.0260000000001</v>
      </c>
      <c r="BK79" s="588">
        <f>InpCompany!$F17</f>
        <v>1313.0260000000001</v>
      </c>
      <c r="BL79" s="588">
        <f>InpCompany!$F17</f>
        <v>1313.0260000000001</v>
      </c>
      <c r="BM79" s="588">
        <f>InpCompany!$F17</f>
        <v>1313.0260000000001</v>
      </c>
      <c r="BN79" s="588">
        <f>InpCompany!$F17</f>
        <v>1313.0260000000001</v>
      </c>
      <c r="BO79" s="588">
        <f>InpCompany!$F17</f>
        <v>1313.0260000000001</v>
      </c>
      <c r="BP79" s="588">
        <f>InpCompany!$F17</f>
        <v>1313.0260000000001</v>
      </c>
      <c r="BQ79" s="588">
        <f>InpCompany!$F17</f>
        <v>1313.0260000000001</v>
      </c>
      <c r="BR79" s="588">
        <f>InpCompany!$F17</f>
        <v>1313.0260000000001</v>
      </c>
      <c r="BS79" s="588">
        <f>InpCompany!$F17</f>
        <v>1313.0260000000001</v>
      </c>
    </row>
    <row r="80" spans="1:71" s="202" customFormat="1" ht="13.15">
      <c r="A80" s="453"/>
      <c r="B80" s="453"/>
      <c r="C80" s="453"/>
      <c r="D80" s="453"/>
      <c r="E80" s="605" t="str">
        <f>InpCompany!E21</f>
        <v>Wholesale wastewater RCV (financial year average)</v>
      </c>
      <c r="F80" s="605"/>
      <c r="G80" s="605" t="str">
        <f>InpCompany!G$21</f>
        <v>£m (2017-18 prices)</v>
      </c>
      <c r="H80" s="605"/>
      <c r="I80" s="583"/>
      <c r="J80" s="588">
        <f>InpCompany!$F21</f>
        <v>4038.5769999999998</v>
      </c>
      <c r="K80" s="588">
        <f>InpCompany!$F21</f>
        <v>4038.5769999999998</v>
      </c>
      <c r="L80" s="588">
        <f>InpCompany!$F21</f>
        <v>4038.5769999999998</v>
      </c>
      <c r="M80" s="588">
        <f>InpCompany!$F21</f>
        <v>4038.5769999999998</v>
      </c>
      <c r="N80" s="588">
        <f>InpCompany!$F21</f>
        <v>4038.5769999999998</v>
      </c>
      <c r="O80" s="588">
        <f>InpCompany!$F21</f>
        <v>4038.5769999999998</v>
      </c>
      <c r="P80" s="588">
        <f>InpCompany!$F21</f>
        <v>4038.5769999999998</v>
      </c>
      <c r="Q80" s="590">
        <f>InpCompany!$F21</f>
        <v>4038.5769999999998</v>
      </c>
      <c r="R80" s="588">
        <f>InpCompany!$F21</f>
        <v>4038.5769999999998</v>
      </c>
      <c r="S80" s="588">
        <f>InpCompany!$F21</f>
        <v>4038.5769999999998</v>
      </c>
      <c r="T80" s="588">
        <f>InpCompany!$F21</f>
        <v>4038.5769999999998</v>
      </c>
      <c r="U80" s="588">
        <f>InpCompany!$F21</f>
        <v>4038.5769999999998</v>
      </c>
      <c r="V80" s="588">
        <f>InpCompany!$F21</f>
        <v>4038.5769999999998</v>
      </c>
      <c r="W80" s="588">
        <f>InpCompany!$F21</f>
        <v>4038.5769999999998</v>
      </c>
      <c r="X80" s="588">
        <f>InpCompany!$F21</f>
        <v>4038.5769999999998</v>
      </c>
      <c r="Y80" s="588">
        <f>InpCompany!$F21</f>
        <v>4038.5769999999998</v>
      </c>
      <c r="Z80" s="588">
        <f>InpCompany!$F21</f>
        <v>4038.5769999999998</v>
      </c>
      <c r="AA80" s="588">
        <f>InpCompany!$F21</f>
        <v>4038.5769999999998</v>
      </c>
      <c r="AB80" s="588">
        <f>InpCompany!$F21</f>
        <v>4038.5769999999998</v>
      </c>
      <c r="AC80" s="588">
        <f>InpCompany!$F21</f>
        <v>4038.5769999999998</v>
      </c>
      <c r="AD80" s="588">
        <f>InpCompany!$F21</f>
        <v>4038.5769999999998</v>
      </c>
      <c r="AE80" s="588">
        <f>InpCompany!$F21</f>
        <v>4038.5769999999998</v>
      </c>
      <c r="AF80" s="588">
        <f>InpCompany!$F21</f>
        <v>4038.5769999999998</v>
      </c>
      <c r="AG80" s="588">
        <f>InpCompany!$F21</f>
        <v>4038.5769999999998</v>
      </c>
      <c r="AH80" s="588">
        <f>InpCompany!$F21</f>
        <v>4038.5769999999998</v>
      </c>
      <c r="AI80" s="588">
        <f>InpCompany!$F21</f>
        <v>4038.5769999999998</v>
      </c>
      <c r="AJ80" s="588">
        <f>InpCompany!$F21</f>
        <v>4038.5769999999998</v>
      </c>
      <c r="AK80" s="590">
        <f>InpCompany!$F21</f>
        <v>4038.5769999999998</v>
      </c>
      <c r="AL80" s="588">
        <f>InpCompany!$F21</f>
        <v>4038.5769999999998</v>
      </c>
      <c r="AM80" s="588">
        <f>InpCompany!$F21</f>
        <v>4038.5769999999998</v>
      </c>
      <c r="AN80" s="588">
        <f>InpCompany!$F21</f>
        <v>4038.5769999999998</v>
      </c>
      <c r="AO80" s="590">
        <f>InpCompany!$F21</f>
        <v>4038.5769999999998</v>
      </c>
      <c r="AP80" s="588">
        <f>InpCompany!$F21</f>
        <v>4038.5769999999998</v>
      </c>
      <c r="AQ80" s="588">
        <f>InpCompany!$F21</f>
        <v>4038.5769999999998</v>
      </c>
      <c r="AR80" s="588">
        <f>InpCompany!$F21</f>
        <v>4038.5769999999998</v>
      </c>
      <c r="AS80" s="588">
        <f>InpCompany!$F21</f>
        <v>4038.5769999999998</v>
      </c>
      <c r="AT80" s="588">
        <f>InpCompany!$F21</f>
        <v>4038.5769999999998</v>
      </c>
      <c r="AU80" s="588">
        <f>InpCompany!$F21</f>
        <v>4038.5769999999998</v>
      </c>
      <c r="AV80" s="588">
        <f>InpCompany!$F21</f>
        <v>4038.5769999999998</v>
      </c>
      <c r="AW80" s="588">
        <f>InpCompany!$F21</f>
        <v>4038.5769999999998</v>
      </c>
      <c r="AX80" s="588">
        <f>InpCompany!$F21</f>
        <v>4038.5769999999998</v>
      </c>
      <c r="AY80" s="588">
        <f>InpCompany!$F21</f>
        <v>4038.5769999999998</v>
      </c>
      <c r="AZ80" s="588">
        <f>InpCompany!$F21</f>
        <v>4038.5769999999998</v>
      </c>
      <c r="BA80" s="588">
        <f>InpCompany!$F21</f>
        <v>4038.5769999999998</v>
      </c>
      <c r="BB80" s="588">
        <f>InpCompany!$F21</f>
        <v>4038.5769999999998</v>
      </c>
      <c r="BC80" s="590">
        <f>InpCompany!$F21</f>
        <v>4038.5769999999998</v>
      </c>
      <c r="BD80" s="588">
        <f>InpCompany!$F21</f>
        <v>4038.5769999999998</v>
      </c>
      <c r="BE80" s="588">
        <f>InpCompany!$F21</f>
        <v>4038.5769999999998</v>
      </c>
      <c r="BF80" s="588">
        <f>InpCompany!$F21</f>
        <v>4038.5769999999998</v>
      </c>
      <c r="BG80" s="588">
        <f>InpCompany!$F21</f>
        <v>4038.5769999999998</v>
      </c>
      <c r="BH80" s="588">
        <f>InpCompany!$F21</f>
        <v>4038.5769999999998</v>
      </c>
      <c r="BI80" s="588">
        <f>InpCompany!$F21</f>
        <v>4038.5769999999998</v>
      </c>
      <c r="BJ80" s="588">
        <f>InpCompany!$F21</f>
        <v>4038.5769999999998</v>
      </c>
      <c r="BK80" s="588">
        <f>InpCompany!$F21</f>
        <v>4038.5769999999998</v>
      </c>
      <c r="BL80" s="588">
        <f>InpCompany!$F21</f>
        <v>4038.5769999999998</v>
      </c>
      <c r="BM80" s="588">
        <f>InpCompany!$F21</f>
        <v>4038.5769999999998</v>
      </c>
      <c r="BN80" s="588">
        <f>InpCompany!$F21</f>
        <v>4038.5769999999998</v>
      </c>
      <c r="BO80" s="588">
        <f>InpCompany!$F21</f>
        <v>4038.5769999999998</v>
      </c>
      <c r="BP80" s="588">
        <f>InpCompany!$F21</f>
        <v>4038.5769999999998</v>
      </c>
      <c r="BQ80" s="588">
        <f>InpCompany!$F21</f>
        <v>4038.5769999999998</v>
      </c>
      <c r="BR80" s="588">
        <f>InpCompany!$F21</f>
        <v>4038.5769999999998</v>
      </c>
      <c r="BS80" s="588">
        <f>InpCompany!$F21</f>
        <v>4038.5769999999998</v>
      </c>
    </row>
    <row r="81" spans="1:71" s="202" customFormat="1" ht="13.15">
      <c r="A81" s="453"/>
      <c r="B81" s="453"/>
      <c r="C81" s="453"/>
      <c r="D81" s="453"/>
      <c r="E81" s="510" t="s">
        <v>1225</v>
      </c>
      <c r="F81" s="510"/>
      <c r="G81" s="602" t="str">
        <f>InpCompany!$F$11</f>
        <v>£m (2017-18 prices)</v>
      </c>
      <c r="H81" s="510"/>
      <c r="I81" s="453"/>
      <c r="J81" s="490" t="str">
        <f>IF(J78="water",J$79,IF(J78="wastewater",J$80,""))</f>
        <v/>
      </c>
      <c r="K81" s="490" t="str">
        <f t="shared" ref="K81:BS81" si="26">IF(K78="water",K$79,IF(K78="wastewater",K$80,""))</f>
        <v/>
      </c>
      <c r="L81" s="490" t="str">
        <f t="shared" si="26"/>
        <v/>
      </c>
      <c r="M81" s="490" t="str">
        <f>IF(M78="water",M$79,IF(M78="wastewater",M$80,""))</f>
        <v/>
      </c>
      <c r="N81" s="490" t="str">
        <f t="shared" si="26"/>
        <v/>
      </c>
      <c r="O81" s="490" t="str">
        <f>IF(O78="water",O$79,IF(O78="wastewater",O$80,""))</f>
        <v/>
      </c>
      <c r="P81" s="490" t="str">
        <f t="shared" si="26"/>
        <v/>
      </c>
      <c r="Q81" s="491" t="str">
        <f t="shared" si="26"/>
        <v/>
      </c>
      <c r="R81" s="490" t="str">
        <f t="shared" si="26"/>
        <v/>
      </c>
      <c r="S81" s="490" t="str">
        <f t="shared" si="26"/>
        <v/>
      </c>
      <c r="T81" s="490" t="str">
        <f t="shared" si="26"/>
        <v/>
      </c>
      <c r="U81" s="490" t="str">
        <f t="shared" si="26"/>
        <v/>
      </c>
      <c r="V81" s="490" t="str">
        <f t="shared" si="26"/>
        <v/>
      </c>
      <c r="W81" s="490" t="str">
        <f t="shared" si="26"/>
        <v/>
      </c>
      <c r="X81" s="490" t="str">
        <f t="shared" si="26"/>
        <v/>
      </c>
      <c r="Y81" s="490" t="str">
        <f t="shared" si="26"/>
        <v/>
      </c>
      <c r="Z81" s="490" t="str">
        <f t="shared" si="26"/>
        <v/>
      </c>
      <c r="AA81" s="490" t="str">
        <f t="shared" si="26"/>
        <v/>
      </c>
      <c r="AB81" s="490" t="str">
        <f t="shared" si="26"/>
        <v/>
      </c>
      <c r="AC81" s="490" t="str">
        <f t="shared" si="26"/>
        <v/>
      </c>
      <c r="AD81" s="490" t="str">
        <f t="shared" si="26"/>
        <v/>
      </c>
      <c r="AE81" s="490" t="str">
        <f t="shared" si="26"/>
        <v/>
      </c>
      <c r="AF81" s="490" t="str">
        <f t="shared" si="26"/>
        <v/>
      </c>
      <c r="AG81" s="490" t="str">
        <f t="shared" si="26"/>
        <v/>
      </c>
      <c r="AH81" s="490" t="str">
        <f t="shared" si="26"/>
        <v/>
      </c>
      <c r="AI81" s="490" t="str">
        <f t="shared" si="26"/>
        <v/>
      </c>
      <c r="AJ81" s="490" t="str">
        <f t="shared" si="26"/>
        <v/>
      </c>
      <c r="AK81" s="491" t="str">
        <f t="shared" si="26"/>
        <v/>
      </c>
      <c r="AL81" s="490" t="str">
        <f t="shared" si="26"/>
        <v/>
      </c>
      <c r="AM81" s="490" t="str">
        <f t="shared" si="26"/>
        <v/>
      </c>
      <c r="AN81" s="490" t="str">
        <f t="shared" si="26"/>
        <v/>
      </c>
      <c r="AO81" s="491" t="str">
        <f t="shared" si="26"/>
        <v/>
      </c>
      <c r="AP81" s="490" t="str">
        <f t="shared" si="26"/>
        <v/>
      </c>
      <c r="AQ81" s="490" t="str">
        <f t="shared" si="26"/>
        <v/>
      </c>
      <c r="AR81" s="490" t="str">
        <f t="shared" si="26"/>
        <v/>
      </c>
      <c r="AS81" s="490" t="str">
        <f t="shared" si="26"/>
        <v/>
      </c>
      <c r="AT81" s="490" t="str">
        <f t="shared" si="26"/>
        <v/>
      </c>
      <c r="AU81" s="490" t="str">
        <f t="shared" si="26"/>
        <v/>
      </c>
      <c r="AV81" s="490" t="str">
        <f t="shared" si="26"/>
        <v/>
      </c>
      <c r="AW81" s="490" t="str">
        <f t="shared" si="26"/>
        <v/>
      </c>
      <c r="AX81" s="490" t="str">
        <f t="shared" si="26"/>
        <v/>
      </c>
      <c r="AY81" s="490" t="str">
        <f t="shared" si="26"/>
        <v/>
      </c>
      <c r="AZ81" s="490" t="str">
        <f t="shared" si="26"/>
        <v/>
      </c>
      <c r="BA81" s="490" t="str">
        <f t="shared" si="26"/>
        <v/>
      </c>
      <c r="BB81" s="490" t="str">
        <f t="shared" si="26"/>
        <v/>
      </c>
      <c r="BC81" s="491" t="str">
        <f t="shared" si="26"/>
        <v/>
      </c>
      <c r="BD81" s="490" t="str">
        <f t="shared" si="26"/>
        <v/>
      </c>
      <c r="BE81" s="490" t="str">
        <f t="shared" si="26"/>
        <v/>
      </c>
      <c r="BF81" s="490" t="str">
        <f>IF(BF78="water",BF$79,IF(BF78="wastewater",BF$80,""))</f>
        <v/>
      </c>
      <c r="BG81" s="490" t="str">
        <f>IF(BG78="water",BG$79,IF(BG78="wastewater",BG$80,""))</f>
        <v/>
      </c>
      <c r="BH81" s="490" t="str">
        <f t="shared" si="26"/>
        <v/>
      </c>
      <c r="BI81" s="490" t="str">
        <f t="shared" si="26"/>
        <v/>
      </c>
      <c r="BJ81" s="490" t="str">
        <f t="shared" si="26"/>
        <v/>
      </c>
      <c r="BK81" s="490" t="str">
        <f t="shared" si="26"/>
        <v/>
      </c>
      <c r="BL81" s="490" t="str">
        <f t="shared" si="26"/>
        <v/>
      </c>
      <c r="BM81" s="490" t="str">
        <f t="shared" si="26"/>
        <v/>
      </c>
      <c r="BN81" s="490" t="str">
        <f t="shared" si="26"/>
        <v/>
      </c>
      <c r="BO81" s="490" t="str">
        <f t="shared" si="26"/>
        <v/>
      </c>
      <c r="BP81" s="490" t="str">
        <f t="shared" si="26"/>
        <v/>
      </c>
      <c r="BQ81" s="490" t="str">
        <f t="shared" si="26"/>
        <v/>
      </c>
      <c r="BR81" s="490" t="str">
        <f t="shared" si="26"/>
        <v/>
      </c>
      <c r="BS81" s="490" t="str">
        <f t="shared" si="26"/>
        <v/>
      </c>
    </row>
    <row r="82" spans="1:71" s="202" customFormat="1" ht="13.15">
      <c r="A82" s="453"/>
      <c r="B82" s="453"/>
      <c r="C82" s="453"/>
      <c r="D82" s="453"/>
      <c r="E82" s="510"/>
      <c r="F82" s="510"/>
      <c r="G82" s="510"/>
      <c r="H82" s="510"/>
      <c r="I82" s="453"/>
      <c r="J82" s="490"/>
      <c r="K82" s="490"/>
      <c r="L82" s="490"/>
      <c r="M82" s="490"/>
      <c r="N82" s="490"/>
      <c r="O82" s="490"/>
      <c r="P82" s="490"/>
      <c r="Q82" s="491"/>
      <c r="R82" s="490"/>
      <c r="S82" s="490"/>
      <c r="T82" s="490"/>
      <c r="U82" s="490"/>
      <c r="V82" s="490"/>
      <c r="W82" s="490"/>
      <c r="X82" s="490"/>
      <c r="Y82" s="490"/>
      <c r="Z82" s="490"/>
      <c r="AA82" s="490"/>
      <c r="AB82" s="490"/>
      <c r="AC82" s="490"/>
      <c r="AD82" s="490"/>
      <c r="AE82" s="490"/>
      <c r="AF82" s="490"/>
      <c r="AG82" s="490"/>
      <c r="AH82" s="490"/>
      <c r="AI82" s="490"/>
      <c r="AJ82" s="490"/>
      <c r="AK82" s="491"/>
      <c r="AL82" s="490"/>
      <c r="AM82" s="490"/>
      <c r="AN82" s="490"/>
      <c r="AO82" s="491"/>
      <c r="AP82" s="490"/>
      <c r="AQ82" s="490"/>
      <c r="AR82" s="490"/>
      <c r="AS82" s="490"/>
      <c r="AT82" s="490"/>
      <c r="AU82" s="490"/>
      <c r="AV82" s="490"/>
      <c r="AW82" s="490"/>
      <c r="AX82" s="490"/>
      <c r="AY82" s="490"/>
      <c r="AZ82" s="490"/>
      <c r="BA82" s="490"/>
      <c r="BB82" s="490"/>
      <c r="BC82" s="491"/>
      <c r="BD82" s="490"/>
      <c r="BE82" s="490"/>
      <c r="BF82" s="490"/>
      <c r="BG82" s="490"/>
      <c r="BH82" s="490"/>
      <c r="BI82" s="490"/>
      <c r="BJ82" s="490"/>
      <c r="BK82" s="490"/>
      <c r="BL82" s="490"/>
      <c r="BM82" s="490"/>
      <c r="BN82" s="490"/>
      <c r="BO82" s="490"/>
      <c r="BP82" s="490"/>
      <c r="BQ82" s="490"/>
      <c r="BR82" s="490"/>
      <c r="BS82" s="490"/>
    </row>
    <row r="83" spans="1:71" s="202" customFormat="1" ht="13.15">
      <c r="A83" s="453"/>
      <c r="B83" s="453"/>
      <c r="C83" s="453"/>
      <c r="D83" s="453"/>
      <c r="E83" s="605" t="str">
        <f>InpCompany!E24</f>
        <v>Regulatory equity (notional)</v>
      </c>
      <c r="F83" s="605"/>
      <c r="G83" s="605" t="str">
        <f>InpCompany!G24</f>
        <v>Percentage</v>
      </c>
      <c r="H83" s="605"/>
      <c r="I83" s="583"/>
      <c r="J83" s="612">
        <f>InpCompany!$F24</f>
        <v>0.4</v>
      </c>
      <c r="K83" s="612">
        <f>InpCompany!$F24</f>
        <v>0.4</v>
      </c>
      <c r="L83" s="612">
        <f>InpCompany!$F24</f>
        <v>0.4</v>
      </c>
      <c r="M83" s="612">
        <f>InpCompany!$F24</f>
        <v>0.4</v>
      </c>
      <c r="N83" s="612">
        <f>InpCompany!$F24</f>
        <v>0.4</v>
      </c>
      <c r="O83" s="612">
        <f>InpCompany!$F24</f>
        <v>0.4</v>
      </c>
      <c r="P83" s="612">
        <f>InpCompany!$F24</f>
        <v>0.4</v>
      </c>
      <c r="Q83" s="613">
        <f>InpCompany!$F24</f>
        <v>0.4</v>
      </c>
      <c r="R83" s="612">
        <f>InpCompany!$F24</f>
        <v>0.4</v>
      </c>
      <c r="S83" s="612">
        <f>InpCompany!$F24</f>
        <v>0.4</v>
      </c>
      <c r="T83" s="612">
        <f>InpCompany!$F24</f>
        <v>0.4</v>
      </c>
      <c r="U83" s="612">
        <f>InpCompany!$F24</f>
        <v>0.4</v>
      </c>
      <c r="V83" s="612">
        <f>InpCompany!$F24</f>
        <v>0.4</v>
      </c>
      <c r="W83" s="612">
        <f>InpCompany!$F24</f>
        <v>0.4</v>
      </c>
      <c r="X83" s="612">
        <f>InpCompany!$F24</f>
        <v>0.4</v>
      </c>
      <c r="Y83" s="612">
        <f>InpCompany!$F24</f>
        <v>0.4</v>
      </c>
      <c r="Z83" s="612">
        <f>InpCompany!$F24</f>
        <v>0.4</v>
      </c>
      <c r="AA83" s="612">
        <f>InpCompany!$F24</f>
        <v>0.4</v>
      </c>
      <c r="AB83" s="612">
        <f>InpCompany!$F24</f>
        <v>0.4</v>
      </c>
      <c r="AC83" s="612">
        <f>InpCompany!$F24</f>
        <v>0.4</v>
      </c>
      <c r="AD83" s="612">
        <f>InpCompany!$F24</f>
        <v>0.4</v>
      </c>
      <c r="AE83" s="612">
        <f>InpCompany!$F24</f>
        <v>0.4</v>
      </c>
      <c r="AF83" s="612">
        <f>InpCompany!$F24</f>
        <v>0.4</v>
      </c>
      <c r="AG83" s="612">
        <f>InpCompany!$F24</f>
        <v>0.4</v>
      </c>
      <c r="AH83" s="612">
        <f>InpCompany!$F24</f>
        <v>0.4</v>
      </c>
      <c r="AI83" s="612">
        <f>InpCompany!$F24</f>
        <v>0.4</v>
      </c>
      <c r="AJ83" s="612">
        <f>InpCompany!$F24</f>
        <v>0.4</v>
      </c>
      <c r="AK83" s="613">
        <f>InpCompany!$F24</f>
        <v>0.4</v>
      </c>
      <c r="AL83" s="612">
        <f>InpCompany!$F24</f>
        <v>0.4</v>
      </c>
      <c r="AM83" s="612">
        <f>InpCompany!$F24</f>
        <v>0.4</v>
      </c>
      <c r="AN83" s="612">
        <f>InpCompany!$F24</f>
        <v>0.4</v>
      </c>
      <c r="AO83" s="613">
        <f>InpCompany!$F24</f>
        <v>0.4</v>
      </c>
      <c r="AP83" s="612">
        <f>InpCompany!$F24</f>
        <v>0.4</v>
      </c>
      <c r="AQ83" s="612">
        <f>InpCompany!$F24</f>
        <v>0.4</v>
      </c>
      <c r="AR83" s="612">
        <f>InpCompany!$F24</f>
        <v>0.4</v>
      </c>
      <c r="AS83" s="612">
        <f>InpCompany!$F24</f>
        <v>0.4</v>
      </c>
      <c r="AT83" s="612">
        <f>InpCompany!$F24</f>
        <v>0.4</v>
      </c>
      <c r="AU83" s="612">
        <f>InpCompany!$F24</f>
        <v>0.4</v>
      </c>
      <c r="AV83" s="612">
        <f>InpCompany!$F24</f>
        <v>0.4</v>
      </c>
      <c r="AW83" s="612">
        <f>InpCompany!$F24</f>
        <v>0.4</v>
      </c>
      <c r="AX83" s="612">
        <f>InpCompany!$F24</f>
        <v>0.4</v>
      </c>
      <c r="AY83" s="612">
        <f>InpCompany!$F24</f>
        <v>0.4</v>
      </c>
      <c r="AZ83" s="612">
        <f>InpCompany!$F24</f>
        <v>0.4</v>
      </c>
      <c r="BA83" s="612">
        <f>InpCompany!$F24</f>
        <v>0.4</v>
      </c>
      <c r="BB83" s="612">
        <f>InpCompany!$F24</f>
        <v>0.4</v>
      </c>
      <c r="BC83" s="613">
        <f>InpCompany!$F24</f>
        <v>0.4</v>
      </c>
      <c r="BD83" s="612">
        <f>InpCompany!$F24</f>
        <v>0.4</v>
      </c>
      <c r="BE83" s="612">
        <f>InpCompany!$F24</f>
        <v>0.4</v>
      </c>
      <c r="BF83" s="612">
        <f>InpCompany!$F24</f>
        <v>0.4</v>
      </c>
      <c r="BG83" s="612">
        <f>InpCompany!$F24</f>
        <v>0.4</v>
      </c>
      <c r="BH83" s="1203">
        <f>InpCompany!$F24</f>
        <v>0.4</v>
      </c>
      <c r="BI83" s="612">
        <f>InpCompany!$F24</f>
        <v>0.4</v>
      </c>
      <c r="BJ83" s="612">
        <f>InpCompany!$F24</f>
        <v>0.4</v>
      </c>
      <c r="BK83" s="612">
        <f>InpCompany!$F24</f>
        <v>0.4</v>
      </c>
      <c r="BL83" s="612">
        <f>InpCompany!$F24</f>
        <v>0.4</v>
      </c>
      <c r="BM83" s="612">
        <f>InpCompany!$F24</f>
        <v>0.4</v>
      </c>
      <c r="BN83" s="612">
        <f>InpCompany!$F24</f>
        <v>0.4</v>
      </c>
      <c r="BO83" s="612">
        <f>InpCompany!$F24</f>
        <v>0.4</v>
      </c>
      <c r="BP83" s="612">
        <f>InpCompany!$F24</f>
        <v>0.4</v>
      </c>
      <c r="BQ83" s="612">
        <f>InpCompany!$F24</f>
        <v>0.4</v>
      </c>
      <c r="BR83" s="612">
        <f>InpCompany!$F24</f>
        <v>0.4</v>
      </c>
      <c r="BS83" s="612">
        <f>InpCompany!$F24</f>
        <v>0.4</v>
      </c>
    </row>
    <row r="84" spans="1:71" s="202" customFormat="1" ht="13.15">
      <c r="A84" s="453"/>
      <c r="B84" s="453"/>
      <c r="C84" s="453"/>
      <c r="D84" s="453"/>
      <c r="E84" s="605" t="str">
        <f>InpCompany!E25</f>
        <v>Enhanced ODI caps (% of water or wastewater RoRE)</v>
      </c>
      <c r="F84" s="605"/>
      <c r="G84" s="605" t="str">
        <f>InpCompany!G25</f>
        <v>Percentage</v>
      </c>
      <c r="H84" s="605"/>
      <c r="I84" s="583"/>
      <c r="J84" s="612">
        <f>InpCompany!$F25</f>
        <v>0.01</v>
      </c>
      <c r="K84" s="612">
        <f>InpCompany!$F25</f>
        <v>0.01</v>
      </c>
      <c r="L84" s="612">
        <f>InpCompany!$F25</f>
        <v>0.01</v>
      </c>
      <c r="M84" s="612">
        <f>InpCompany!$F25</f>
        <v>0.01</v>
      </c>
      <c r="N84" s="612">
        <f>InpCompany!$F25</f>
        <v>0.01</v>
      </c>
      <c r="O84" s="612">
        <f>InpCompany!$F25</f>
        <v>0.01</v>
      </c>
      <c r="P84" s="612">
        <f>InpCompany!$F25</f>
        <v>0.01</v>
      </c>
      <c r="Q84" s="613">
        <f>InpCompany!$F25</f>
        <v>0.01</v>
      </c>
      <c r="R84" s="612">
        <f>InpCompany!$F25</f>
        <v>0.01</v>
      </c>
      <c r="S84" s="612">
        <f>InpCompany!$F25</f>
        <v>0.01</v>
      </c>
      <c r="T84" s="612">
        <f>InpCompany!$F25</f>
        <v>0.01</v>
      </c>
      <c r="U84" s="612">
        <f>InpCompany!$F25</f>
        <v>0.01</v>
      </c>
      <c r="V84" s="612">
        <f>InpCompany!$F25</f>
        <v>0.01</v>
      </c>
      <c r="W84" s="612">
        <f>InpCompany!$F25</f>
        <v>0.01</v>
      </c>
      <c r="X84" s="612">
        <f>InpCompany!$F25</f>
        <v>0.01</v>
      </c>
      <c r="Y84" s="612">
        <f>InpCompany!$F25</f>
        <v>0.01</v>
      </c>
      <c r="Z84" s="612">
        <f>InpCompany!$F25</f>
        <v>0.01</v>
      </c>
      <c r="AA84" s="612">
        <f>InpCompany!$F25</f>
        <v>0.01</v>
      </c>
      <c r="AB84" s="612">
        <f>InpCompany!$F25</f>
        <v>0.01</v>
      </c>
      <c r="AC84" s="612">
        <f>InpCompany!$F25</f>
        <v>0.01</v>
      </c>
      <c r="AD84" s="612">
        <f>InpCompany!$F25</f>
        <v>0.01</v>
      </c>
      <c r="AE84" s="612">
        <f>InpCompany!$F25</f>
        <v>0.01</v>
      </c>
      <c r="AF84" s="612">
        <f>InpCompany!$F25</f>
        <v>0.01</v>
      </c>
      <c r="AG84" s="612">
        <f>InpCompany!$F25</f>
        <v>0.01</v>
      </c>
      <c r="AH84" s="612">
        <f>InpCompany!$F25</f>
        <v>0.01</v>
      </c>
      <c r="AI84" s="612">
        <f>InpCompany!$F25</f>
        <v>0.01</v>
      </c>
      <c r="AJ84" s="612">
        <f>InpCompany!$F25</f>
        <v>0.01</v>
      </c>
      <c r="AK84" s="613">
        <f>InpCompany!$F25</f>
        <v>0.01</v>
      </c>
      <c r="AL84" s="612">
        <f>InpCompany!$F25</f>
        <v>0.01</v>
      </c>
      <c r="AM84" s="612">
        <f>InpCompany!$F25</f>
        <v>0.01</v>
      </c>
      <c r="AN84" s="612">
        <f>InpCompany!$F25</f>
        <v>0.01</v>
      </c>
      <c r="AO84" s="613">
        <f>InpCompany!$F25</f>
        <v>0.01</v>
      </c>
      <c r="AP84" s="612">
        <f>InpCompany!$F25</f>
        <v>0.01</v>
      </c>
      <c r="AQ84" s="612">
        <f>InpCompany!$F25</f>
        <v>0.01</v>
      </c>
      <c r="AR84" s="612">
        <f>InpCompany!$F25</f>
        <v>0.01</v>
      </c>
      <c r="AS84" s="612">
        <f>InpCompany!$F25</f>
        <v>0.01</v>
      </c>
      <c r="AT84" s="612">
        <f>InpCompany!$F25</f>
        <v>0.01</v>
      </c>
      <c r="AU84" s="612">
        <f>InpCompany!$F25</f>
        <v>0.01</v>
      </c>
      <c r="AV84" s="612">
        <f>InpCompany!$F25</f>
        <v>0.01</v>
      </c>
      <c r="AW84" s="612">
        <f>InpCompany!$F25</f>
        <v>0.01</v>
      </c>
      <c r="AX84" s="612">
        <f>InpCompany!$F25</f>
        <v>0.01</v>
      </c>
      <c r="AY84" s="612">
        <f>InpCompany!$F25</f>
        <v>0.01</v>
      </c>
      <c r="AZ84" s="612">
        <f>InpCompany!$F25</f>
        <v>0.01</v>
      </c>
      <c r="BA84" s="612">
        <f>InpCompany!$F25</f>
        <v>0.01</v>
      </c>
      <c r="BB84" s="612">
        <f>InpCompany!$F25</f>
        <v>0.01</v>
      </c>
      <c r="BC84" s="613">
        <f>InpCompany!$F25</f>
        <v>0.01</v>
      </c>
      <c r="BD84" s="612">
        <f>InpCompany!$F25</f>
        <v>0.01</v>
      </c>
      <c r="BE84" s="612">
        <f>InpCompany!$F25</f>
        <v>0.01</v>
      </c>
      <c r="BF84" s="612">
        <f>InpCompany!$F25</f>
        <v>0.01</v>
      </c>
      <c r="BG84" s="612">
        <f>InpCompany!$F25</f>
        <v>0.01</v>
      </c>
      <c r="BH84" s="1203">
        <f>InpCompany!$F25</f>
        <v>0.01</v>
      </c>
      <c r="BI84" s="612">
        <f>InpCompany!$F25</f>
        <v>0.01</v>
      </c>
      <c r="BJ84" s="612">
        <f>InpCompany!$F25</f>
        <v>0.01</v>
      </c>
      <c r="BK84" s="612">
        <f>InpCompany!$F25</f>
        <v>0.01</v>
      </c>
      <c r="BL84" s="612">
        <f>InpCompany!$F25</f>
        <v>0.01</v>
      </c>
      <c r="BM84" s="612">
        <f>InpCompany!$F25</f>
        <v>0.01</v>
      </c>
      <c r="BN84" s="612">
        <f>InpCompany!$F25</f>
        <v>0.01</v>
      </c>
      <c r="BO84" s="612">
        <f>InpCompany!$F25</f>
        <v>0.01</v>
      </c>
      <c r="BP84" s="612">
        <f>InpCompany!$F25</f>
        <v>0.01</v>
      </c>
      <c r="BQ84" s="612">
        <f>InpCompany!$F25</f>
        <v>0.01</v>
      </c>
      <c r="BR84" s="612">
        <f>InpCompany!$F25</f>
        <v>0.01</v>
      </c>
      <c r="BS84" s="612">
        <f>InpCompany!$F25</f>
        <v>0.01</v>
      </c>
    </row>
    <row r="85" spans="1:71" s="202" customFormat="1" ht="13.15">
      <c r="A85" s="453"/>
      <c r="B85" s="453"/>
      <c r="C85" s="453"/>
      <c r="D85" s="453"/>
      <c r="E85" s="510" t="s">
        <v>1226</v>
      </c>
      <c r="F85" s="510"/>
      <c r="G85" s="602" t="str">
        <f>InpCompany!$F$11</f>
        <v>£m (2017-18 prices)</v>
      </c>
      <c r="H85" s="510"/>
      <c r="I85" s="453"/>
      <c r="J85" s="600" t="str">
        <f>IF(J$68=TRUE,(J81*J83*J84),"")</f>
        <v/>
      </c>
      <c r="K85" s="600" t="str">
        <f t="shared" ref="K85:BS85" si="27">IF(K$68=TRUE,(K81*K83*K84),"")</f>
        <v/>
      </c>
      <c r="L85" s="600" t="str">
        <f t="shared" si="27"/>
        <v/>
      </c>
      <c r="M85" s="600" t="str">
        <f>IF(M$68=TRUE,(M81*M83*M84),"")</f>
        <v/>
      </c>
      <c r="N85" s="600" t="str">
        <f t="shared" si="27"/>
        <v/>
      </c>
      <c r="O85" s="600" t="str">
        <f>IF(O$68=TRUE,(O81*O83*O84),"")</f>
        <v/>
      </c>
      <c r="P85" s="600" t="str">
        <f t="shared" si="27"/>
        <v/>
      </c>
      <c r="Q85" s="601" t="str">
        <f t="shared" si="27"/>
        <v/>
      </c>
      <c r="R85" s="600" t="str">
        <f t="shared" si="27"/>
        <v/>
      </c>
      <c r="S85" s="600" t="str">
        <f t="shared" si="27"/>
        <v/>
      </c>
      <c r="T85" s="600" t="str">
        <f t="shared" si="27"/>
        <v/>
      </c>
      <c r="U85" s="600" t="str">
        <f t="shared" si="27"/>
        <v/>
      </c>
      <c r="V85" s="600" t="str">
        <f t="shared" si="27"/>
        <v/>
      </c>
      <c r="W85" s="600" t="str">
        <f t="shared" si="27"/>
        <v/>
      </c>
      <c r="X85" s="600" t="str">
        <f t="shared" si="27"/>
        <v/>
      </c>
      <c r="Y85" s="600" t="str">
        <f t="shared" si="27"/>
        <v/>
      </c>
      <c r="Z85" s="600" t="str">
        <f t="shared" si="27"/>
        <v/>
      </c>
      <c r="AA85" s="600" t="str">
        <f t="shared" si="27"/>
        <v/>
      </c>
      <c r="AB85" s="600" t="str">
        <f t="shared" si="27"/>
        <v/>
      </c>
      <c r="AC85" s="600" t="str">
        <f t="shared" si="27"/>
        <v/>
      </c>
      <c r="AD85" s="600" t="str">
        <f t="shared" si="27"/>
        <v/>
      </c>
      <c r="AE85" s="600" t="str">
        <f t="shared" si="27"/>
        <v/>
      </c>
      <c r="AF85" s="600" t="str">
        <f t="shared" si="27"/>
        <v/>
      </c>
      <c r="AG85" s="600" t="str">
        <f t="shared" si="27"/>
        <v/>
      </c>
      <c r="AH85" s="600" t="str">
        <f t="shared" si="27"/>
        <v/>
      </c>
      <c r="AI85" s="600" t="str">
        <f t="shared" si="27"/>
        <v/>
      </c>
      <c r="AJ85" s="600" t="str">
        <f t="shared" si="27"/>
        <v/>
      </c>
      <c r="AK85" s="601" t="str">
        <f t="shared" si="27"/>
        <v/>
      </c>
      <c r="AL85" s="600" t="str">
        <f t="shared" si="27"/>
        <v/>
      </c>
      <c r="AM85" s="600" t="str">
        <f t="shared" si="27"/>
        <v/>
      </c>
      <c r="AN85" s="600" t="str">
        <f t="shared" si="27"/>
        <v/>
      </c>
      <c r="AO85" s="601" t="str">
        <f t="shared" si="27"/>
        <v/>
      </c>
      <c r="AP85" s="600" t="str">
        <f t="shared" si="27"/>
        <v/>
      </c>
      <c r="AQ85" s="600" t="str">
        <f t="shared" si="27"/>
        <v/>
      </c>
      <c r="AR85" s="600" t="str">
        <f t="shared" si="27"/>
        <v/>
      </c>
      <c r="AS85" s="600" t="str">
        <f t="shared" si="27"/>
        <v/>
      </c>
      <c r="AT85" s="600" t="str">
        <f t="shared" si="27"/>
        <v/>
      </c>
      <c r="AU85" s="600" t="str">
        <f t="shared" si="27"/>
        <v/>
      </c>
      <c r="AV85" s="600" t="str">
        <f t="shared" si="27"/>
        <v/>
      </c>
      <c r="AW85" s="600" t="str">
        <f t="shared" si="27"/>
        <v/>
      </c>
      <c r="AX85" s="600" t="str">
        <f t="shared" si="27"/>
        <v/>
      </c>
      <c r="AY85" s="600" t="str">
        <f t="shared" si="27"/>
        <v/>
      </c>
      <c r="AZ85" s="600" t="str">
        <f t="shared" si="27"/>
        <v/>
      </c>
      <c r="BA85" s="600" t="str">
        <f t="shared" si="27"/>
        <v/>
      </c>
      <c r="BB85" s="600" t="str">
        <f t="shared" si="27"/>
        <v/>
      </c>
      <c r="BC85" s="601" t="str">
        <f t="shared" si="27"/>
        <v/>
      </c>
      <c r="BD85" s="600" t="str">
        <f t="shared" si="27"/>
        <v/>
      </c>
      <c r="BE85" s="600" t="str">
        <f t="shared" si="27"/>
        <v/>
      </c>
      <c r="BF85" s="600" t="str">
        <f>IF(BF$68=TRUE,(BF81*BF83*BF84),"")</f>
        <v/>
      </c>
      <c r="BG85" s="600" t="str">
        <f>IF(BG$68=TRUE,(BG81*BG83*BG84),"")</f>
        <v/>
      </c>
      <c r="BH85" s="600" t="str">
        <f t="shared" si="27"/>
        <v/>
      </c>
      <c r="BI85" s="600" t="str">
        <f t="shared" si="27"/>
        <v/>
      </c>
      <c r="BJ85" s="600" t="str">
        <f t="shared" si="27"/>
        <v/>
      </c>
      <c r="BK85" s="600" t="str">
        <f t="shared" si="27"/>
        <v/>
      </c>
      <c r="BL85" s="600" t="str">
        <f t="shared" si="27"/>
        <v/>
      </c>
      <c r="BM85" s="600" t="str">
        <f t="shared" si="27"/>
        <v/>
      </c>
      <c r="BN85" s="600" t="str">
        <f t="shared" si="27"/>
        <v/>
      </c>
      <c r="BO85" s="600" t="str">
        <f t="shared" si="27"/>
        <v/>
      </c>
      <c r="BP85" s="600" t="str">
        <f t="shared" si="27"/>
        <v/>
      </c>
      <c r="BQ85" s="600" t="str">
        <f t="shared" si="27"/>
        <v/>
      </c>
      <c r="BR85" s="600" t="str">
        <f t="shared" si="27"/>
        <v/>
      </c>
      <c r="BS85" s="600" t="str">
        <f t="shared" si="27"/>
        <v/>
      </c>
    </row>
    <row r="86" spans="1:71" s="202" customFormat="1" ht="13.15">
      <c r="A86" s="453"/>
      <c r="B86" s="453"/>
      <c r="C86" s="453"/>
      <c r="D86" s="453"/>
      <c r="E86" s="510"/>
      <c r="F86" s="510"/>
      <c r="G86" s="510"/>
      <c r="H86" s="510"/>
      <c r="I86" s="453"/>
      <c r="J86" s="492"/>
      <c r="K86" s="492"/>
      <c r="L86" s="492"/>
      <c r="M86" s="492"/>
      <c r="N86" s="492"/>
      <c r="O86" s="492"/>
      <c r="P86" s="492"/>
      <c r="Q86" s="493"/>
      <c r="R86" s="492"/>
      <c r="S86" s="492"/>
      <c r="T86" s="492"/>
      <c r="U86" s="492"/>
      <c r="V86" s="492"/>
      <c r="W86" s="492"/>
      <c r="X86" s="492"/>
      <c r="Y86" s="492"/>
      <c r="Z86" s="492"/>
      <c r="AA86" s="492"/>
      <c r="AB86" s="492"/>
      <c r="AC86" s="492"/>
      <c r="AD86" s="492"/>
      <c r="AE86" s="492"/>
      <c r="AF86" s="492"/>
      <c r="AG86" s="492"/>
      <c r="AH86" s="492"/>
      <c r="AI86" s="492"/>
      <c r="AJ86" s="492"/>
      <c r="AK86" s="493"/>
      <c r="AL86" s="492"/>
      <c r="AM86" s="492"/>
      <c r="AN86" s="492"/>
      <c r="AO86" s="493"/>
      <c r="AP86" s="492"/>
      <c r="AQ86" s="492"/>
      <c r="AR86" s="492"/>
      <c r="AS86" s="492"/>
      <c r="AT86" s="492"/>
      <c r="AU86" s="492"/>
      <c r="AV86" s="492"/>
      <c r="AW86" s="492"/>
      <c r="AX86" s="492"/>
      <c r="AY86" s="492"/>
      <c r="AZ86" s="492"/>
      <c r="BA86" s="492"/>
      <c r="BB86" s="492"/>
      <c r="BC86" s="493"/>
      <c r="BD86" s="492"/>
      <c r="BE86" s="492"/>
      <c r="BF86" s="492"/>
      <c r="BG86" s="492"/>
      <c r="BH86" s="492"/>
      <c r="BI86" s="492"/>
      <c r="BJ86" s="492"/>
      <c r="BK86" s="492"/>
      <c r="BL86" s="492"/>
      <c r="BM86" s="492"/>
      <c r="BN86" s="492"/>
      <c r="BO86" s="492"/>
      <c r="BP86" s="492"/>
      <c r="BQ86" s="492"/>
      <c r="BR86" s="492"/>
      <c r="BS86" s="492"/>
    </row>
    <row r="87" spans="1:71" s="202" customFormat="1" ht="13.15">
      <c r="A87" s="453"/>
      <c r="B87" s="453"/>
      <c r="C87" s="453"/>
      <c r="D87" s="453"/>
      <c r="E87" s="510" t="s">
        <v>1227</v>
      </c>
      <c r="F87" s="510"/>
      <c r="G87" s="453" t="s">
        <v>1158</v>
      </c>
      <c r="H87" s="510"/>
      <c r="I87" s="453"/>
      <c r="J87" s="492" t="str">
        <f t="shared" ref="J87:BS87" si="28">IF(J$75=TRUE,(((J85/J71)*J14)+J70),"")</f>
        <v/>
      </c>
      <c r="K87" s="492" t="str">
        <f t="shared" si="28"/>
        <v/>
      </c>
      <c r="L87" s="492" t="str">
        <f t="shared" si="28"/>
        <v/>
      </c>
      <c r="M87" s="492" t="str">
        <f>IF(M$75=TRUE,(((M85/M71)*M14)+M70),"")</f>
        <v/>
      </c>
      <c r="N87" s="492" t="str">
        <f t="shared" si="28"/>
        <v/>
      </c>
      <c r="O87" s="492" t="str">
        <f>IF(O$75=TRUE,(((O85/O71)*O14)+O70),"")</f>
        <v/>
      </c>
      <c r="P87" s="492" t="str">
        <f t="shared" si="28"/>
        <v/>
      </c>
      <c r="Q87" s="493" t="str">
        <f t="shared" si="28"/>
        <v/>
      </c>
      <c r="R87" s="492" t="str">
        <f t="shared" si="28"/>
        <v/>
      </c>
      <c r="S87" s="492" t="str">
        <f t="shared" si="28"/>
        <v/>
      </c>
      <c r="T87" s="492" t="str">
        <f t="shared" si="28"/>
        <v/>
      </c>
      <c r="U87" s="492" t="str">
        <f t="shared" si="28"/>
        <v/>
      </c>
      <c r="V87" s="492" t="str">
        <f t="shared" si="28"/>
        <v/>
      </c>
      <c r="W87" s="492" t="str">
        <f t="shared" si="28"/>
        <v/>
      </c>
      <c r="X87" s="492" t="str">
        <f t="shared" si="28"/>
        <v/>
      </c>
      <c r="Y87" s="492" t="str">
        <f t="shared" si="28"/>
        <v/>
      </c>
      <c r="Z87" s="492" t="str">
        <f t="shared" si="28"/>
        <v/>
      </c>
      <c r="AA87" s="492" t="str">
        <f t="shared" si="28"/>
        <v/>
      </c>
      <c r="AB87" s="492" t="str">
        <f t="shared" si="28"/>
        <v/>
      </c>
      <c r="AC87" s="492" t="str">
        <f t="shared" si="28"/>
        <v/>
      </c>
      <c r="AD87" s="492" t="str">
        <f t="shared" si="28"/>
        <v/>
      </c>
      <c r="AE87" s="492" t="str">
        <f t="shared" si="28"/>
        <v/>
      </c>
      <c r="AF87" s="492" t="str">
        <f t="shared" si="28"/>
        <v/>
      </c>
      <c r="AG87" s="492" t="str">
        <f t="shared" si="28"/>
        <v/>
      </c>
      <c r="AH87" s="492" t="str">
        <f t="shared" si="28"/>
        <v/>
      </c>
      <c r="AI87" s="492" t="str">
        <f t="shared" si="28"/>
        <v/>
      </c>
      <c r="AJ87" s="492" t="str">
        <f t="shared" si="28"/>
        <v/>
      </c>
      <c r="AK87" s="493" t="str">
        <f t="shared" si="28"/>
        <v/>
      </c>
      <c r="AL87" s="492" t="str">
        <f t="shared" si="28"/>
        <v/>
      </c>
      <c r="AM87" s="492" t="str">
        <f t="shared" si="28"/>
        <v/>
      </c>
      <c r="AN87" s="492" t="str">
        <f t="shared" si="28"/>
        <v/>
      </c>
      <c r="AO87" s="493" t="str">
        <f t="shared" si="28"/>
        <v/>
      </c>
      <c r="AP87" s="492" t="str">
        <f t="shared" si="28"/>
        <v/>
      </c>
      <c r="AQ87" s="492" t="str">
        <f t="shared" si="28"/>
        <v/>
      </c>
      <c r="AR87" s="492" t="str">
        <f t="shared" si="28"/>
        <v/>
      </c>
      <c r="AS87" s="492" t="str">
        <f t="shared" si="28"/>
        <v/>
      </c>
      <c r="AT87" s="492" t="str">
        <f t="shared" si="28"/>
        <v/>
      </c>
      <c r="AU87" s="492" t="str">
        <f t="shared" si="28"/>
        <v/>
      </c>
      <c r="AV87" s="492" t="str">
        <f t="shared" si="28"/>
        <v/>
      </c>
      <c r="AW87" s="492" t="str">
        <f t="shared" si="28"/>
        <v/>
      </c>
      <c r="AX87" s="492" t="str">
        <f t="shared" si="28"/>
        <v/>
      </c>
      <c r="AY87" s="492" t="str">
        <f t="shared" si="28"/>
        <v/>
      </c>
      <c r="AZ87" s="492" t="str">
        <f t="shared" si="28"/>
        <v/>
      </c>
      <c r="BA87" s="492" t="str">
        <f t="shared" si="28"/>
        <v/>
      </c>
      <c r="BB87" s="492" t="str">
        <f t="shared" si="28"/>
        <v/>
      </c>
      <c r="BC87" s="493" t="str">
        <f t="shared" si="28"/>
        <v/>
      </c>
      <c r="BD87" s="492" t="str">
        <f t="shared" si="28"/>
        <v/>
      </c>
      <c r="BE87" s="492" t="str">
        <f t="shared" si="28"/>
        <v/>
      </c>
      <c r="BF87" s="492" t="str">
        <f>IF(BF$75=TRUE,(((BF85/BF71)*BF14)+BF70),"")</f>
        <v/>
      </c>
      <c r="BG87" s="492" t="str">
        <f>IF(BG$75=TRUE,(((BG85/BG71)*BG14)+BG70),"")</f>
        <v/>
      </c>
      <c r="BH87" s="492" t="str">
        <f t="shared" si="28"/>
        <v/>
      </c>
      <c r="BI87" s="492" t="str">
        <f t="shared" si="28"/>
        <v/>
      </c>
      <c r="BJ87" s="492" t="str">
        <f t="shared" si="28"/>
        <v/>
      </c>
      <c r="BK87" s="492" t="str">
        <f t="shared" si="28"/>
        <v/>
      </c>
      <c r="BL87" s="492" t="str">
        <f t="shared" si="28"/>
        <v/>
      </c>
      <c r="BM87" s="492" t="str">
        <f t="shared" si="28"/>
        <v/>
      </c>
      <c r="BN87" s="492" t="str">
        <f t="shared" si="28"/>
        <v/>
      </c>
      <c r="BO87" s="492" t="str">
        <f t="shared" si="28"/>
        <v/>
      </c>
      <c r="BP87" s="492" t="str">
        <f t="shared" si="28"/>
        <v/>
      </c>
      <c r="BQ87" s="492" t="str">
        <f t="shared" si="28"/>
        <v/>
      </c>
      <c r="BR87" s="492" t="str">
        <f t="shared" si="28"/>
        <v/>
      </c>
      <c r="BS87" s="492" t="str">
        <f t="shared" si="28"/>
        <v/>
      </c>
    </row>
    <row r="88" spans="1:71" s="202" customFormat="1" ht="13.15">
      <c r="A88" s="453"/>
      <c r="B88" s="453"/>
      <c r="C88" s="453"/>
      <c r="D88" s="453"/>
      <c r="E88" s="510"/>
      <c r="F88" s="510"/>
      <c r="G88" s="510"/>
      <c r="H88" s="510"/>
      <c r="I88" s="453"/>
      <c r="J88" s="492"/>
      <c r="K88" s="492"/>
      <c r="L88" s="492"/>
      <c r="M88" s="492"/>
      <c r="N88" s="492"/>
      <c r="O88" s="492"/>
      <c r="P88" s="492"/>
      <c r="Q88" s="493"/>
      <c r="R88" s="492"/>
      <c r="S88" s="492"/>
      <c r="T88" s="492"/>
      <c r="U88" s="492"/>
      <c r="V88" s="492"/>
      <c r="W88" s="492"/>
      <c r="X88" s="492"/>
      <c r="Y88" s="492"/>
      <c r="Z88" s="492"/>
      <c r="AA88" s="492"/>
      <c r="AB88" s="492"/>
      <c r="AC88" s="492"/>
      <c r="AD88" s="492"/>
      <c r="AE88" s="492"/>
      <c r="AF88" s="492"/>
      <c r="AG88" s="492"/>
      <c r="AH88" s="492"/>
      <c r="AI88" s="492"/>
      <c r="AJ88" s="492"/>
      <c r="AK88" s="493"/>
      <c r="AL88" s="492"/>
      <c r="AM88" s="492"/>
      <c r="AN88" s="492"/>
      <c r="AO88" s="493"/>
      <c r="AP88" s="492"/>
      <c r="AQ88" s="492"/>
      <c r="AR88" s="492"/>
      <c r="AS88" s="492"/>
      <c r="AT88" s="492"/>
      <c r="AU88" s="492"/>
      <c r="AV88" s="492"/>
      <c r="AW88" s="492"/>
      <c r="AX88" s="492"/>
      <c r="AY88" s="492"/>
      <c r="AZ88" s="492"/>
      <c r="BA88" s="492"/>
      <c r="BB88" s="492"/>
      <c r="BC88" s="493"/>
      <c r="BD88" s="492"/>
      <c r="BE88" s="492"/>
      <c r="BF88" s="492"/>
      <c r="BG88" s="492"/>
      <c r="BH88" s="492"/>
      <c r="BI88" s="492"/>
      <c r="BJ88" s="492"/>
      <c r="BK88" s="492"/>
      <c r="BL88" s="492"/>
      <c r="BM88" s="492"/>
      <c r="BN88" s="492"/>
      <c r="BO88" s="492"/>
      <c r="BP88" s="492"/>
      <c r="BQ88" s="492"/>
      <c r="BR88" s="492"/>
      <c r="BS88" s="492"/>
    </row>
    <row r="89" spans="1:71" s="202" customFormat="1" ht="13.15">
      <c r="A89" s="453"/>
      <c r="B89" s="453"/>
      <c r="C89" s="453"/>
      <c r="D89" s="463" t="s">
        <v>1208</v>
      </c>
      <c r="E89" s="453"/>
      <c r="F89" s="453"/>
      <c r="G89" s="453"/>
      <c r="H89" s="453"/>
      <c r="I89" s="453"/>
      <c r="J89" s="598"/>
      <c r="K89" s="598"/>
      <c r="L89" s="598"/>
      <c r="M89" s="598"/>
      <c r="N89" s="598"/>
      <c r="O89" s="598"/>
      <c r="P89" s="598"/>
      <c r="Q89" s="599"/>
      <c r="R89" s="598"/>
      <c r="S89" s="598"/>
      <c r="T89" s="598"/>
      <c r="U89" s="598"/>
      <c r="V89" s="598"/>
      <c r="W89" s="598"/>
      <c r="X89" s="598"/>
      <c r="Y89" s="598"/>
      <c r="Z89" s="598"/>
      <c r="AA89" s="598"/>
      <c r="AB89" s="598"/>
      <c r="AC89" s="598"/>
      <c r="AD89" s="598"/>
      <c r="AE89" s="598"/>
      <c r="AF89" s="598"/>
      <c r="AG89" s="598"/>
      <c r="AH89" s="598"/>
      <c r="AI89" s="598"/>
      <c r="AJ89" s="598"/>
      <c r="AK89" s="599"/>
      <c r="AL89" s="598"/>
      <c r="AM89" s="598"/>
      <c r="AN89" s="598"/>
      <c r="AO89" s="599"/>
      <c r="AP89" s="598"/>
      <c r="AQ89" s="598"/>
      <c r="AR89" s="598"/>
      <c r="AS89" s="598"/>
      <c r="AT89" s="598"/>
      <c r="AU89" s="598"/>
      <c r="AV89" s="598"/>
      <c r="AW89" s="598"/>
      <c r="AX89" s="598"/>
      <c r="AY89" s="598"/>
      <c r="AZ89" s="598"/>
      <c r="BA89" s="598"/>
      <c r="BB89" s="598"/>
      <c r="BC89" s="599"/>
      <c r="BD89" s="598"/>
      <c r="BE89" s="598"/>
      <c r="BF89" s="598"/>
      <c r="BG89" s="598"/>
      <c r="BH89" s="598"/>
      <c r="BI89" s="598"/>
      <c r="BJ89" s="598"/>
      <c r="BK89" s="598"/>
      <c r="BL89" s="598"/>
      <c r="BM89" s="598"/>
      <c r="BN89" s="598"/>
      <c r="BO89" s="598"/>
      <c r="BP89" s="598"/>
      <c r="BQ89" s="598"/>
      <c r="BR89" s="598"/>
      <c r="BS89" s="598"/>
    </row>
    <row r="90" spans="1:71" s="202" customFormat="1" ht="13.15">
      <c r="A90" s="453"/>
      <c r="B90" s="453"/>
      <c r="C90" s="453"/>
      <c r="D90" s="453"/>
      <c r="E90" s="583" t="str">
        <f>InpPerformance!E$19</f>
        <v>ODI is calculated in decimal minutes, but the performance commitment is specified in HH:MM:SS</v>
      </c>
      <c r="F90" s="583"/>
      <c r="G90" s="583" t="str">
        <f>InpPerformance!G$19</f>
        <v>TRUE or FALSE</v>
      </c>
      <c r="H90" s="583"/>
      <c r="I90" s="583"/>
      <c r="J90" s="591" t="b">
        <f>InpPerformance!J$19</f>
        <v>0</v>
      </c>
      <c r="K90" s="591" t="b">
        <f>InpPerformance!K$19</f>
        <v>1</v>
      </c>
      <c r="L90" s="591" t="b">
        <f>InpPerformance!L$19</f>
        <v>0</v>
      </c>
      <c r="M90" s="591" t="b">
        <f>InpPerformance!M$19</f>
        <v>0</v>
      </c>
      <c r="N90" s="591" t="b">
        <f>InpPerformance!N$19</f>
        <v>0</v>
      </c>
      <c r="O90" s="591" t="b">
        <f>InpPerformance!O$19</f>
        <v>0</v>
      </c>
      <c r="P90" s="591" t="b">
        <f>InpPerformance!P$19</f>
        <v>0</v>
      </c>
      <c r="Q90" s="592" t="b">
        <f>InpPerformance!Q$19</f>
        <v>0</v>
      </c>
      <c r="R90" s="591" t="b">
        <f>InpPerformance!R$19</f>
        <v>0</v>
      </c>
      <c r="S90" s="591" t="b">
        <f>InpPerformance!S$19</f>
        <v>0</v>
      </c>
      <c r="T90" s="591" t="b">
        <f>InpPerformance!T$19</f>
        <v>0</v>
      </c>
      <c r="U90" s="591" t="b">
        <f>InpPerformance!U$19</f>
        <v>0</v>
      </c>
      <c r="V90" s="591" t="b">
        <f>InpPerformance!V$19</f>
        <v>0</v>
      </c>
      <c r="W90" s="591" t="b">
        <f>InpPerformance!W$19</f>
        <v>0</v>
      </c>
      <c r="X90" s="591" t="b">
        <f>InpPerformance!X$19</f>
        <v>0</v>
      </c>
      <c r="Y90" s="591" t="b">
        <f>InpPerformance!Y$19</f>
        <v>0</v>
      </c>
      <c r="Z90" s="591" t="b">
        <f>InpPerformance!Z$19</f>
        <v>0</v>
      </c>
      <c r="AA90" s="591" t="b">
        <f>InpPerformance!AA$19</f>
        <v>0</v>
      </c>
      <c r="AB90" s="591" t="b">
        <f>InpPerformance!AB$19</f>
        <v>0</v>
      </c>
      <c r="AC90" s="591" t="b">
        <f>InpPerformance!AC$19</f>
        <v>0</v>
      </c>
      <c r="AD90" s="591" t="b">
        <f>InpPerformance!AD$19</f>
        <v>0</v>
      </c>
      <c r="AE90" s="591" t="b">
        <f>InpPerformance!AE$19</f>
        <v>0</v>
      </c>
      <c r="AF90" s="591" t="b">
        <f>InpPerformance!AF$19</f>
        <v>0</v>
      </c>
      <c r="AG90" s="591" t="b">
        <f>InpPerformance!AG$19</f>
        <v>0</v>
      </c>
      <c r="AH90" s="591" t="b">
        <f>InpPerformance!AH$19</f>
        <v>0</v>
      </c>
      <c r="AI90" s="591" t="b">
        <f>InpPerformance!AI$19</f>
        <v>0</v>
      </c>
      <c r="AJ90" s="591" t="b">
        <f>InpPerformance!AJ$19</f>
        <v>0</v>
      </c>
      <c r="AK90" s="592" t="b">
        <f>InpPerformance!AK$19</f>
        <v>0</v>
      </c>
      <c r="AL90" s="591" t="b">
        <f>InpPerformance!AL$19</f>
        <v>0</v>
      </c>
      <c r="AM90" s="591" t="b">
        <f>InpPerformance!AM$19</f>
        <v>0</v>
      </c>
      <c r="AN90" s="591" t="b">
        <f>InpPerformance!AN$19</f>
        <v>0</v>
      </c>
      <c r="AO90" s="592" t="b">
        <f>InpPerformance!AO$19</f>
        <v>0</v>
      </c>
      <c r="AP90" s="591" t="b">
        <f>InpPerformance!AP$19</f>
        <v>0</v>
      </c>
      <c r="AQ90" s="591" t="b">
        <f>InpPerformance!AQ$19</f>
        <v>0</v>
      </c>
      <c r="AR90" s="591" t="b">
        <f>InpPerformance!AR$19</f>
        <v>0</v>
      </c>
      <c r="AS90" s="591" t="b">
        <f>InpPerformance!AS$19</f>
        <v>0</v>
      </c>
      <c r="AT90" s="591" t="b">
        <f>InpPerformance!AT$19</f>
        <v>0</v>
      </c>
      <c r="AU90" s="591" t="b">
        <f>InpPerformance!AU$19</f>
        <v>0</v>
      </c>
      <c r="AV90" s="591" t="b">
        <f>InpPerformance!AV$19</f>
        <v>0</v>
      </c>
      <c r="AW90" s="591" t="b">
        <f>InpPerformance!AW$19</f>
        <v>0</v>
      </c>
      <c r="AX90" s="591" t="b">
        <f>InpPerformance!AX$19</f>
        <v>0</v>
      </c>
      <c r="AY90" s="591" t="b">
        <f>InpPerformance!AY$19</f>
        <v>0</v>
      </c>
      <c r="AZ90" s="591" t="b">
        <f>InpPerformance!AZ$19</f>
        <v>0</v>
      </c>
      <c r="BA90" s="591" t="b">
        <f>InpPerformance!BA$19</f>
        <v>0</v>
      </c>
      <c r="BB90" s="591" t="b">
        <f>InpPerformance!BB$19</f>
        <v>0</v>
      </c>
      <c r="BC90" s="592" t="b">
        <f>InpPerformance!BC$19</f>
        <v>0</v>
      </c>
      <c r="BD90" s="591" t="b">
        <f>InpPerformance!BD$19</f>
        <v>0</v>
      </c>
      <c r="BE90" s="591" t="b">
        <f>InpPerformance!BE$19</f>
        <v>0</v>
      </c>
      <c r="BF90" s="591" t="b">
        <f>InpPerformance!BF$19</f>
        <v>0</v>
      </c>
      <c r="BG90" s="591" t="b">
        <f>InpPerformance!BG$19</f>
        <v>0</v>
      </c>
      <c r="BH90" s="591" t="b">
        <f>InpPerformance!BH$19</f>
        <v>0</v>
      </c>
      <c r="BI90" s="591" t="b">
        <f>InpPerformance!BI$19</f>
        <v>0</v>
      </c>
      <c r="BJ90" s="591" t="b">
        <f>InpPerformance!BJ$19</f>
        <v>0</v>
      </c>
      <c r="BK90" s="591" t="b">
        <f>InpPerformance!BK$19</f>
        <v>0</v>
      </c>
      <c r="BL90" s="591" t="b">
        <f>InpPerformance!BL$19</f>
        <v>0</v>
      </c>
      <c r="BM90" s="591" t="b">
        <f>InpPerformance!BM$19</f>
        <v>0</v>
      </c>
      <c r="BN90" s="591" t="b">
        <f>InpPerformance!BN$19</f>
        <v>0</v>
      </c>
      <c r="BO90" s="591" t="b">
        <f>InpPerformance!BO$19</f>
        <v>0</v>
      </c>
      <c r="BP90" s="591" t="b">
        <f>InpPerformance!BP$19</f>
        <v>0</v>
      </c>
      <c r="BQ90" s="591" t="b">
        <f>InpPerformance!BQ$19</f>
        <v>0</v>
      </c>
      <c r="BR90" s="591" t="b">
        <f>InpPerformance!BR$19</f>
        <v>0</v>
      </c>
      <c r="BS90" s="591" t="b">
        <f>InpPerformance!BS$19</f>
        <v>0</v>
      </c>
    </row>
    <row r="91" spans="1:71" s="202" customFormat="1" ht="13.15">
      <c r="A91" s="453"/>
      <c r="B91" s="453"/>
      <c r="C91" s="453"/>
      <c r="D91" s="453"/>
      <c r="E91" s="453" t="s">
        <v>1209</v>
      </c>
      <c r="F91" s="453"/>
      <c r="G91" s="510" t="s">
        <v>1228</v>
      </c>
      <c r="H91" s="453"/>
      <c r="I91" s="453"/>
      <c r="J91" s="492" t="str">
        <f t="shared" ref="J91:BS91" si="29">IF(AND(J90=TRUE,J75=TRUE),(J85/J109)*J14/(24*60)+J70,"")</f>
        <v/>
      </c>
      <c r="K91" s="492" t="str">
        <f t="shared" si="29"/>
        <v/>
      </c>
      <c r="L91" s="492" t="str">
        <f t="shared" si="29"/>
        <v/>
      </c>
      <c r="M91" s="492" t="str">
        <f>IF(AND(M90=TRUE,M75=TRUE),(M85/M109)*M14/(24*60)+M70,"")</f>
        <v/>
      </c>
      <c r="N91" s="492" t="str">
        <f t="shared" si="29"/>
        <v/>
      </c>
      <c r="O91" s="492" t="str">
        <f>IF(AND(O90=TRUE,O75=TRUE),(O85/O109)*O14/(24*60)+O70,"")</f>
        <v/>
      </c>
      <c r="P91" s="492" t="str">
        <f t="shared" si="29"/>
        <v/>
      </c>
      <c r="Q91" s="493" t="str">
        <f t="shared" si="29"/>
        <v/>
      </c>
      <c r="R91" s="492" t="str">
        <f t="shared" si="29"/>
        <v/>
      </c>
      <c r="S91" s="492" t="str">
        <f t="shared" si="29"/>
        <v/>
      </c>
      <c r="T91" s="492" t="str">
        <f t="shared" si="29"/>
        <v/>
      </c>
      <c r="U91" s="492" t="str">
        <f t="shared" si="29"/>
        <v/>
      </c>
      <c r="V91" s="492" t="str">
        <f t="shared" si="29"/>
        <v/>
      </c>
      <c r="W91" s="492" t="str">
        <f t="shared" si="29"/>
        <v/>
      </c>
      <c r="X91" s="492" t="str">
        <f t="shared" si="29"/>
        <v/>
      </c>
      <c r="Y91" s="492" t="str">
        <f t="shared" si="29"/>
        <v/>
      </c>
      <c r="Z91" s="492" t="str">
        <f t="shared" si="29"/>
        <v/>
      </c>
      <c r="AA91" s="492" t="str">
        <f t="shared" si="29"/>
        <v/>
      </c>
      <c r="AB91" s="492" t="str">
        <f t="shared" si="29"/>
        <v/>
      </c>
      <c r="AC91" s="492" t="str">
        <f t="shared" si="29"/>
        <v/>
      </c>
      <c r="AD91" s="492" t="str">
        <f t="shared" si="29"/>
        <v/>
      </c>
      <c r="AE91" s="492" t="str">
        <f t="shared" si="29"/>
        <v/>
      </c>
      <c r="AF91" s="492" t="str">
        <f t="shared" si="29"/>
        <v/>
      </c>
      <c r="AG91" s="492" t="str">
        <f t="shared" si="29"/>
        <v/>
      </c>
      <c r="AH91" s="492" t="str">
        <f t="shared" si="29"/>
        <v/>
      </c>
      <c r="AI91" s="492" t="str">
        <f t="shared" si="29"/>
        <v/>
      </c>
      <c r="AJ91" s="492" t="str">
        <f t="shared" si="29"/>
        <v/>
      </c>
      <c r="AK91" s="493" t="str">
        <f t="shared" si="29"/>
        <v/>
      </c>
      <c r="AL91" s="492" t="str">
        <f t="shared" si="29"/>
        <v/>
      </c>
      <c r="AM91" s="492" t="str">
        <f t="shared" si="29"/>
        <v/>
      </c>
      <c r="AN91" s="492" t="str">
        <f t="shared" si="29"/>
        <v/>
      </c>
      <c r="AO91" s="493" t="str">
        <f t="shared" si="29"/>
        <v/>
      </c>
      <c r="AP91" s="492" t="str">
        <f t="shared" si="29"/>
        <v/>
      </c>
      <c r="AQ91" s="492" t="str">
        <f t="shared" si="29"/>
        <v/>
      </c>
      <c r="AR91" s="492" t="str">
        <f t="shared" si="29"/>
        <v/>
      </c>
      <c r="AS91" s="492" t="str">
        <f t="shared" si="29"/>
        <v/>
      </c>
      <c r="AT91" s="492" t="str">
        <f t="shared" si="29"/>
        <v/>
      </c>
      <c r="AU91" s="492" t="str">
        <f t="shared" si="29"/>
        <v/>
      </c>
      <c r="AV91" s="492" t="str">
        <f t="shared" si="29"/>
        <v/>
      </c>
      <c r="AW91" s="492" t="str">
        <f t="shared" si="29"/>
        <v/>
      </c>
      <c r="AX91" s="492" t="str">
        <f t="shared" si="29"/>
        <v/>
      </c>
      <c r="AY91" s="492" t="str">
        <f t="shared" si="29"/>
        <v/>
      </c>
      <c r="AZ91" s="492" t="str">
        <f t="shared" si="29"/>
        <v/>
      </c>
      <c r="BA91" s="492" t="str">
        <f t="shared" si="29"/>
        <v/>
      </c>
      <c r="BB91" s="492" t="str">
        <f t="shared" si="29"/>
        <v/>
      </c>
      <c r="BC91" s="493" t="str">
        <f t="shared" si="29"/>
        <v/>
      </c>
      <c r="BD91" s="492" t="str">
        <f t="shared" si="29"/>
        <v/>
      </c>
      <c r="BE91" s="492" t="str">
        <f t="shared" si="29"/>
        <v/>
      </c>
      <c r="BF91" s="492" t="str">
        <f>IF(AND(BF90=TRUE,BF75=TRUE),(BF85/BF109)*BF14/(24*60)+BF70,"")</f>
        <v/>
      </c>
      <c r="BG91" s="492" t="str">
        <f>IF(AND(BG90=TRUE,BG75=TRUE),(BG85/BG109)*BG14/(24*60)+BG70,"")</f>
        <v/>
      </c>
      <c r="BH91" s="492" t="str">
        <f t="shared" si="29"/>
        <v/>
      </c>
      <c r="BI91" s="492" t="str">
        <f t="shared" si="29"/>
        <v/>
      </c>
      <c r="BJ91" s="492" t="str">
        <f t="shared" si="29"/>
        <v/>
      </c>
      <c r="BK91" s="492" t="str">
        <f t="shared" si="29"/>
        <v/>
      </c>
      <c r="BL91" s="492" t="str">
        <f t="shared" si="29"/>
        <v/>
      </c>
      <c r="BM91" s="492" t="str">
        <f t="shared" si="29"/>
        <v/>
      </c>
      <c r="BN91" s="492" t="str">
        <f t="shared" si="29"/>
        <v/>
      </c>
      <c r="BO91" s="492" t="str">
        <f t="shared" si="29"/>
        <v/>
      </c>
      <c r="BP91" s="492" t="str">
        <f t="shared" si="29"/>
        <v/>
      </c>
      <c r="BQ91" s="492" t="str">
        <f t="shared" si="29"/>
        <v/>
      </c>
      <c r="BR91" s="492" t="str">
        <f t="shared" si="29"/>
        <v/>
      </c>
      <c r="BS91" s="492" t="str">
        <f t="shared" si="29"/>
        <v/>
      </c>
    </row>
    <row r="92" spans="1:71" s="202" customFormat="1" ht="13.15">
      <c r="A92" s="583"/>
      <c r="B92" s="583"/>
      <c r="C92" s="583"/>
      <c r="D92" s="583"/>
      <c r="E92" s="583" t="str">
        <f>InpPerformance!E$20</f>
        <v>ODI is calculated as a percentage difference to a baseline</v>
      </c>
      <c r="F92" s="583"/>
      <c r="G92" s="583" t="str">
        <f>InpPerformance!G$20</f>
        <v>TRUE or FALSE</v>
      </c>
      <c r="H92" s="583"/>
      <c r="I92" s="583"/>
      <c r="J92" s="591" t="b">
        <f>InpPerformance!J$20</f>
        <v>0</v>
      </c>
      <c r="K92" s="591" t="b">
        <f>InpPerformance!K$20</f>
        <v>0</v>
      </c>
      <c r="L92" s="591" t="b">
        <f>InpPerformance!L$20</f>
        <v>1</v>
      </c>
      <c r="M92" s="591" t="b">
        <f>InpPerformance!M$20</f>
        <v>1</v>
      </c>
      <c r="N92" s="591" t="b">
        <f>InpPerformance!N$20</f>
        <v>1</v>
      </c>
      <c r="O92" s="591" t="b">
        <f>InpPerformance!O$20</f>
        <v>1</v>
      </c>
      <c r="P92" s="591" t="b">
        <f>InpPerformance!P$20</f>
        <v>0</v>
      </c>
      <c r="Q92" s="592" t="b">
        <f>InpPerformance!Q$20</f>
        <v>0</v>
      </c>
      <c r="R92" s="591" t="b">
        <f>InpPerformance!R$20</f>
        <v>0</v>
      </c>
      <c r="S92" s="591" t="b">
        <f>InpPerformance!S$20</f>
        <v>0</v>
      </c>
      <c r="T92" s="591" t="b">
        <f>InpPerformance!T$20</f>
        <v>0</v>
      </c>
      <c r="U92" s="591" t="b">
        <f>InpPerformance!U$20</f>
        <v>0</v>
      </c>
      <c r="V92" s="591" t="b">
        <f>InpPerformance!V$20</f>
        <v>0</v>
      </c>
      <c r="W92" s="591" t="b">
        <f>InpPerformance!W$20</f>
        <v>0</v>
      </c>
      <c r="X92" s="591" t="b">
        <f>InpPerformance!X$20</f>
        <v>0</v>
      </c>
      <c r="Y92" s="591" t="b">
        <f>InpPerformance!Y$20</f>
        <v>0</v>
      </c>
      <c r="Z92" s="591" t="b">
        <f>InpPerformance!Z$20</f>
        <v>0</v>
      </c>
      <c r="AA92" s="591" t="b">
        <f>InpPerformance!AA$20</f>
        <v>0</v>
      </c>
      <c r="AB92" s="591" t="b">
        <f>InpPerformance!AB$20</f>
        <v>0</v>
      </c>
      <c r="AC92" s="591" t="b">
        <f>InpPerformance!AC$20</f>
        <v>0</v>
      </c>
      <c r="AD92" s="591" t="b">
        <f>InpPerformance!AD$20</f>
        <v>0</v>
      </c>
      <c r="AE92" s="591" t="b">
        <f>InpPerformance!AE$20</f>
        <v>0</v>
      </c>
      <c r="AF92" s="591" t="b">
        <f>InpPerformance!AF$20</f>
        <v>0</v>
      </c>
      <c r="AG92" s="591" t="b">
        <f>InpPerformance!AG$20</f>
        <v>0</v>
      </c>
      <c r="AH92" s="591" t="b">
        <f>InpPerformance!AH$20</f>
        <v>0</v>
      </c>
      <c r="AI92" s="591" t="b">
        <f>InpPerformance!AI$20</f>
        <v>0</v>
      </c>
      <c r="AJ92" s="591" t="b">
        <f>InpPerformance!AJ$20</f>
        <v>0</v>
      </c>
      <c r="AK92" s="592" t="b">
        <f>InpPerformance!AK$20</f>
        <v>0</v>
      </c>
      <c r="AL92" s="591" t="b">
        <f>InpPerformance!AL$20</f>
        <v>0</v>
      </c>
      <c r="AM92" s="591" t="b">
        <f>InpPerformance!AM$20</f>
        <v>0</v>
      </c>
      <c r="AN92" s="591" t="b">
        <f>InpPerformance!AN$20</f>
        <v>0</v>
      </c>
      <c r="AO92" s="592" t="b">
        <f>InpPerformance!AO$20</f>
        <v>0</v>
      </c>
      <c r="AP92" s="591" t="b">
        <f>InpPerformance!AP$20</f>
        <v>0</v>
      </c>
      <c r="AQ92" s="591" t="b">
        <f>InpPerformance!AQ$20</f>
        <v>0</v>
      </c>
      <c r="AR92" s="591" t="b">
        <f>InpPerformance!AR$20</f>
        <v>0</v>
      </c>
      <c r="AS92" s="591" t="b">
        <f>InpPerformance!AS$20</f>
        <v>0</v>
      </c>
      <c r="AT92" s="591" t="b">
        <f>InpPerformance!AT$20</f>
        <v>0</v>
      </c>
      <c r="AU92" s="591" t="b">
        <f>InpPerformance!AU$20</f>
        <v>0</v>
      </c>
      <c r="AV92" s="591" t="b">
        <f>InpPerformance!AV$20</f>
        <v>0</v>
      </c>
      <c r="AW92" s="591" t="b">
        <f>InpPerformance!AW$20</f>
        <v>0</v>
      </c>
      <c r="AX92" s="591" t="b">
        <f>InpPerformance!AX$20</f>
        <v>0</v>
      </c>
      <c r="AY92" s="591" t="b">
        <f>InpPerformance!AY$20</f>
        <v>0</v>
      </c>
      <c r="AZ92" s="591" t="b">
        <f>InpPerformance!AZ$20</f>
        <v>0</v>
      </c>
      <c r="BA92" s="591" t="b">
        <f>InpPerformance!BA$20</f>
        <v>0</v>
      </c>
      <c r="BB92" s="591" t="b">
        <f>InpPerformance!BB$20</f>
        <v>0</v>
      </c>
      <c r="BC92" s="592" t="b">
        <f>InpPerformance!BC$20</f>
        <v>0</v>
      </c>
      <c r="BD92" s="591" t="b">
        <f>InpPerformance!BD$20</f>
        <v>0</v>
      </c>
      <c r="BE92" s="591" t="b">
        <f>InpPerformance!BE$20</f>
        <v>0</v>
      </c>
      <c r="BF92" s="591" t="b">
        <f>InpPerformance!BF$20</f>
        <v>0</v>
      </c>
      <c r="BG92" s="591" t="b">
        <f>InpPerformance!BG$20</f>
        <v>0</v>
      </c>
      <c r="BH92" s="591" t="b">
        <f>InpPerformance!BH$20</f>
        <v>0</v>
      </c>
      <c r="BI92" s="591" t="b">
        <f>InpPerformance!BI$20</f>
        <v>0</v>
      </c>
      <c r="BJ92" s="591" t="b">
        <f>InpPerformance!BJ$20</f>
        <v>0</v>
      </c>
      <c r="BK92" s="591" t="b">
        <f>InpPerformance!BK$20</f>
        <v>0</v>
      </c>
      <c r="BL92" s="591" t="b">
        <f>InpPerformance!BL$20</f>
        <v>0</v>
      </c>
      <c r="BM92" s="591" t="b">
        <f>InpPerformance!BM$20</f>
        <v>0</v>
      </c>
      <c r="BN92" s="591" t="b">
        <f>InpPerformance!BN$20</f>
        <v>0</v>
      </c>
      <c r="BO92" s="591" t="b">
        <f>InpPerformance!BO$20</f>
        <v>0</v>
      </c>
      <c r="BP92" s="591" t="b">
        <f>InpPerformance!BP$20</f>
        <v>0</v>
      </c>
      <c r="BQ92" s="591" t="b">
        <f>InpPerformance!BQ$20</f>
        <v>0</v>
      </c>
      <c r="BR92" s="591" t="b">
        <f>InpPerformance!BR$20</f>
        <v>0</v>
      </c>
      <c r="BS92" s="591" t="b">
        <f>InpPerformance!BS$20</f>
        <v>0</v>
      </c>
    </row>
    <row r="93" spans="1:71" s="228" customFormat="1" ht="13.15">
      <c r="A93" s="583"/>
      <c r="B93" s="583"/>
      <c r="C93" s="583"/>
      <c r="D93" s="583"/>
      <c r="E93" s="583" t="str">
        <f>InpPerformance!E$8</f>
        <v>Baseline (if applicable)</v>
      </c>
      <c r="F93" s="583"/>
      <c r="G93" s="583" t="str">
        <f>InpPerformance!G$8</f>
        <v>Baseline unit</v>
      </c>
      <c r="H93" s="583"/>
      <c r="I93" s="583"/>
      <c r="J93" s="588" t="str">
        <f>IF(InpPerformance!J$8&lt;&gt;"",ROUND(InpPerformance!J$8,1),"")</f>
        <v/>
      </c>
      <c r="K93" s="588" t="str">
        <f>IF(InpPerformance!K$8&lt;&gt;"",ROUND(InpPerformance!K$8,1),"")</f>
        <v/>
      </c>
      <c r="L93" s="588">
        <f>IF(InpPerformance!L$8&lt;&gt;"",ROUND(InpPerformance!L$8,1),"")</f>
        <v>99.9</v>
      </c>
      <c r="M93" s="588" t="str">
        <f>IF(InpPerformance!M$8&lt;&gt;"",ROUND(InpPerformance!M$8,1),"")</f>
        <v/>
      </c>
      <c r="N93" s="588">
        <f>IF(InpPerformance!N$8&lt;&gt;"",ROUND(InpPerformance!N$8,1),"")</f>
        <v>128</v>
      </c>
      <c r="O93" s="588" t="str">
        <f>IF(InpPerformance!O$8&lt;&gt;"",ROUND(InpPerformance!O$8,1),"")</f>
        <v/>
      </c>
      <c r="P93" s="588" t="str">
        <f>IF(InpPerformance!P$8&lt;&gt;"",ROUND(InpPerformance!P$8,1),"")</f>
        <v/>
      </c>
      <c r="Q93" s="590" t="str">
        <f>IF(InpPerformance!Q$8&lt;&gt;"",ROUND(InpPerformance!Q$8,1),"")</f>
        <v/>
      </c>
      <c r="R93" s="588" t="str">
        <f>IF(InpPerformance!R$8&lt;&gt;"",ROUND(InpPerformance!R$8,1),"")</f>
        <v/>
      </c>
      <c r="S93" s="588" t="str">
        <f>IF(InpPerformance!S$8&lt;&gt;"",ROUND(InpPerformance!S$8,1),"")</f>
        <v/>
      </c>
      <c r="T93" s="588" t="str">
        <f>IF(InpPerformance!T$8&lt;&gt;"",ROUND(InpPerformance!T$8,1),"")</f>
        <v/>
      </c>
      <c r="U93" s="588" t="str">
        <f>IF(InpPerformance!U$8&lt;&gt;"",ROUND(InpPerformance!U$8,1),"")</f>
        <v/>
      </c>
      <c r="V93" s="588" t="str">
        <f>IF(InpPerformance!V$8&lt;&gt;"",ROUND(InpPerformance!V$8,1),"")</f>
        <v/>
      </c>
      <c r="W93" s="588" t="str">
        <f>IF(InpPerformance!W$8&lt;&gt;"",ROUND(InpPerformance!W$8,1),"")</f>
        <v/>
      </c>
      <c r="X93" s="588" t="str">
        <f>IF(InpPerformance!X$8&lt;&gt;"",ROUND(InpPerformance!X$8,1),"")</f>
        <v/>
      </c>
      <c r="Y93" s="588" t="str">
        <f>IF(InpPerformance!Y$8&lt;&gt;"",ROUND(InpPerformance!Y$8,1),"")</f>
        <v/>
      </c>
      <c r="Z93" s="588" t="str">
        <f>IF(InpPerformance!Z$8&lt;&gt;"",ROUND(InpPerformance!Z$8,1),"")</f>
        <v/>
      </c>
      <c r="AA93" s="588" t="str">
        <f>IF(InpPerformance!AA$8&lt;&gt;"",ROUND(InpPerformance!AA$8,1),"")</f>
        <v/>
      </c>
      <c r="AB93" s="588" t="str">
        <f>IF(InpPerformance!AB$8&lt;&gt;"",ROUND(InpPerformance!AB$8,1),"")</f>
        <v/>
      </c>
      <c r="AC93" s="588" t="str">
        <f>IF(InpPerformance!AC$8&lt;&gt;"",ROUND(InpPerformance!AC$8,1),"")</f>
        <v/>
      </c>
      <c r="AD93" s="588" t="str">
        <f>IF(InpPerformance!AD$8&lt;&gt;"",ROUND(InpPerformance!AD$8,1),"")</f>
        <v/>
      </c>
      <c r="AE93" s="588" t="str">
        <f>IF(InpPerformance!AE$8&lt;&gt;"",ROUND(InpPerformance!AE$8,1),"")</f>
        <v/>
      </c>
      <c r="AF93" s="588" t="str">
        <f>IF(InpPerformance!AF$8&lt;&gt;"",ROUND(InpPerformance!AF$8,1),"")</f>
        <v/>
      </c>
      <c r="AG93" s="588" t="str">
        <f>IF(InpPerformance!AG$8&lt;&gt;"",ROUND(InpPerformance!AG$8,1),"")</f>
        <v/>
      </c>
      <c r="AH93" s="588" t="str">
        <f>IF(InpPerformance!AH$8&lt;&gt;"",ROUND(InpPerformance!AH$8,1),"")</f>
        <v/>
      </c>
      <c r="AI93" s="588" t="str">
        <f>IF(InpPerformance!AI$8&lt;&gt;"",ROUND(InpPerformance!AI$8,1),"")</f>
        <v/>
      </c>
      <c r="AJ93" s="588" t="str">
        <f>IF(InpPerformance!AJ$8&lt;&gt;"",ROUND(InpPerformance!AJ$8,1),"")</f>
        <v/>
      </c>
      <c r="AK93" s="590" t="str">
        <f>IF(InpPerformance!AK$8&lt;&gt;"",ROUND(InpPerformance!AK$8,1),"")</f>
        <v/>
      </c>
      <c r="AL93" s="588" t="str">
        <f>IF(InpPerformance!AL$8&lt;&gt;"",ROUND(InpPerformance!AL$8,1),"")</f>
        <v/>
      </c>
      <c r="AM93" s="588" t="str">
        <f>IF(InpPerformance!AM$8&lt;&gt;"",ROUND(InpPerformance!AM$8,1),"")</f>
        <v/>
      </c>
      <c r="AN93" s="588" t="str">
        <f>IF(InpPerformance!AN$8&lt;&gt;"",ROUND(InpPerformance!AN$8,1),"")</f>
        <v/>
      </c>
      <c r="AO93" s="590" t="str">
        <f>IF(InpPerformance!AO$8&lt;&gt;"",ROUND(InpPerformance!AO$8,1),"")</f>
        <v/>
      </c>
      <c r="AP93" s="588" t="str">
        <f>IF(InpPerformance!AP$8&lt;&gt;"",ROUND(InpPerformance!AP$8,1),"")</f>
        <v/>
      </c>
      <c r="AQ93" s="588" t="str">
        <f>IF(InpPerformance!AQ$8&lt;&gt;"",ROUND(InpPerformance!AQ$8,1),"")</f>
        <v/>
      </c>
      <c r="AR93" s="588" t="str">
        <f>IF(InpPerformance!AR$8&lt;&gt;"",ROUND(InpPerformance!AR$8,1),"")</f>
        <v/>
      </c>
      <c r="AS93" s="588" t="str">
        <f>IF(InpPerformance!AS$8&lt;&gt;"",ROUND(InpPerformance!AS$8,1),"")</f>
        <v/>
      </c>
      <c r="AT93" s="588" t="str">
        <f>IF(InpPerformance!AT$8&lt;&gt;"",ROUND(InpPerformance!AT$8,1),"")</f>
        <v/>
      </c>
      <c r="AU93" s="588" t="str">
        <f>IF(InpPerformance!AU$8&lt;&gt;"",ROUND(InpPerformance!AU$8,1),"")</f>
        <v/>
      </c>
      <c r="AV93" s="588" t="str">
        <f>IF(InpPerformance!AV$8&lt;&gt;"",ROUND(InpPerformance!AV$8,1),"")</f>
        <v/>
      </c>
      <c r="AW93" s="588" t="str">
        <f>IF(InpPerformance!AW$8&lt;&gt;"",ROUND(InpPerformance!AW$8,1),"")</f>
        <v/>
      </c>
      <c r="AX93" s="588" t="str">
        <f>IF(InpPerformance!AX$8&lt;&gt;"",ROUND(InpPerformance!AX$8,1),"")</f>
        <v/>
      </c>
      <c r="AY93" s="588" t="str">
        <f>IF(InpPerformance!AY$8&lt;&gt;"",ROUND(InpPerformance!AY$8,1),"")</f>
        <v/>
      </c>
      <c r="AZ93" s="588" t="str">
        <f>IF(InpPerformance!AZ$8&lt;&gt;"",ROUND(InpPerformance!AZ$8,1),"")</f>
        <v/>
      </c>
      <c r="BA93" s="588" t="str">
        <f>IF(InpPerformance!BA$8&lt;&gt;"",ROUND(InpPerformance!BA$8,1),"")</f>
        <v/>
      </c>
      <c r="BB93" s="588" t="str">
        <f>IF(InpPerformance!BB$8&lt;&gt;"",ROUND(InpPerformance!BB$8,1),"")</f>
        <v/>
      </c>
      <c r="BC93" s="590" t="str">
        <f>IF(InpPerformance!BC$8&lt;&gt;"",ROUND(InpPerformance!BC$8,1),"")</f>
        <v/>
      </c>
      <c r="BD93" s="588" t="str">
        <f>IF(InpPerformance!BD$8&lt;&gt;"",ROUND(InpPerformance!BD$8,1),"")</f>
        <v/>
      </c>
      <c r="BE93" s="588" t="str">
        <f>IF(InpPerformance!BE$8&lt;&gt;"",ROUND(InpPerformance!BE$8,1),"")</f>
        <v/>
      </c>
      <c r="BF93" s="588" t="str">
        <f>IF(InpPerformance!BF$8&lt;&gt;"",ROUND(InpPerformance!BF$8,1),"")</f>
        <v/>
      </c>
      <c r="BG93" s="588" t="str">
        <f>IF(InpPerformance!BG$8&lt;&gt;"",ROUND(InpPerformance!BG$8,1),"")</f>
        <v/>
      </c>
      <c r="BH93" s="588" t="str">
        <f>IF(InpPerformance!BH$8&lt;&gt;"",ROUND(InpPerformance!BH$8,1),"")</f>
        <v/>
      </c>
      <c r="BI93" s="588" t="str">
        <f>IF(InpPerformance!BI$8&lt;&gt;"",ROUND(InpPerformance!BI$8,1),"")</f>
        <v/>
      </c>
      <c r="BJ93" s="588" t="str">
        <f>IF(InpPerformance!BJ$8&lt;&gt;"",ROUND(InpPerformance!BJ$8,1),"")</f>
        <v/>
      </c>
      <c r="BK93" s="588" t="str">
        <f>IF(InpPerformance!BK$8&lt;&gt;"",ROUND(InpPerformance!BK$8,1),"")</f>
        <v/>
      </c>
      <c r="BL93" s="588" t="str">
        <f>IF(InpPerformance!BL$8&lt;&gt;"",ROUND(InpPerformance!BL$8,1),"")</f>
        <v/>
      </c>
      <c r="BM93" s="588" t="str">
        <f>IF(InpPerformance!BM$8&lt;&gt;"",ROUND(InpPerformance!BM$8,1),"")</f>
        <v/>
      </c>
      <c r="BN93" s="588" t="str">
        <f>IF(InpPerformance!BN$8&lt;&gt;"",ROUND(InpPerformance!BN$8,1),"")</f>
        <v/>
      </c>
      <c r="BO93" s="588" t="str">
        <f>IF(InpPerformance!BO$8&lt;&gt;"",ROUND(InpPerformance!BO$8,1),"")</f>
        <v/>
      </c>
      <c r="BP93" s="588" t="str">
        <f>IF(InpPerformance!BP$8&lt;&gt;"",ROUND(InpPerformance!BP$8,1),"")</f>
        <v/>
      </c>
      <c r="BQ93" s="588" t="str">
        <f>IF(InpPerformance!BQ$8&lt;&gt;"",ROUND(InpPerformance!BQ$8,1),"")</f>
        <v/>
      </c>
      <c r="BR93" s="588" t="str">
        <f>IF(InpPerformance!BR$8&lt;&gt;"",ROUND(InpPerformance!BR$8,1),"")</f>
        <v/>
      </c>
      <c r="BS93" s="588" t="str">
        <f>IF(InpPerformance!BS$8&lt;&gt;"",ROUND(InpPerformance!BS$8,1),"")</f>
        <v/>
      </c>
    </row>
    <row r="94" spans="1:71" s="202" customFormat="1" ht="13.15">
      <c r="A94" s="453"/>
      <c r="B94" s="453"/>
      <c r="C94" s="453"/>
      <c r="D94" s="453"/>
      <c r="E94" s="453" t="s">
        <v>1210</v>
      </c>
      <c r="F94" s="453"/>
      <c r="G94" s="510" t="s">
        <v>1228</v>
      </c>
      <c r="H94" s="453"/>
      <c r="I94" s="453"/>
      <c r="J94" s="492" t="str">
        <f t="shared" ref="J94:BS94" si="30">IF(AND(J92=TRUE,J75=TRUE),(J85/J109)*J14*(100/J93)+J70,"")</f>
        <v/>
      </c>
      <c r="K94" s="492" t="str">
        <f t="shared" si="30"/>
        <v/>
      </c>
      <c r="L94" s="492" t="str">
        <f t="shared" si="30"/>
        <v/>
      </c>
      <c r="M94" s="492" t="str">
        <f>IF(AND(M92=TRUE,M75=TRUE),(M85/M109)*M14*(100/M93)+M70,"")</f>
        <v/>
      </c>
      <c r="N94" s="492" t="str">
        <f t="shared" si="30"/>
        <v/>
      </c>
      <c r="O94" s="492" t="str">
        <f>IF(AND(O92=TRUE,O75=TRUE),(O85/O109)*O14*(100/O93)+O70,"")</f>
        <v/>
      </c>
      <c r="P94" s="492" t="str">
        <f t="shared" si="30"/>
        <v/>
      </c>
      <c r="Q94" s="493" t="str">
        <f t="shared" si="30"/>
        <v/>
      </c>
      <c r="R94" s="492" t="str">
        <f t="shared" si="30"/>
        <v/>
      </c>
      <c r="S94" s="492" t="str">
        <f t="shared" si="30"/>
        <v/>
      </c>
      <c r="T94" s="492" t="str">
        <f t="shared" si="30"/>
        <v/>
      </c>
      <c r="U94" s="492" t="str">
        <f t="shared" si="30"/>
        <v/>
      </c>
      <c r="V94" s="492" t="str">
        <f t="shared" si="30"/>
        <v/>
      </c>
      <c r="W94" s="492" t="str">
        <f t="shared" si="30"/>
        <v/>
      </c>
      <c r="X94" s="492" t="str">
        <f t="shared" si="30"/>
        <v/>
      </c>
      <c r="Y94" s="492" t="str">
        <f t="shared" si="30"/>
        <v/>
      </c>
      <c r="Z94" s="492" t="str">
        <f t="shared" si="30"/>
        <v/>
      </c>
      <c r="AA94" s="492" t="str">
        <f t="shared" si="30"/>
        <v/>
      </c>
      <c r="AB94" s="492" t="str">
        <f t="shared" si="30"/>
        <v/>
      </c>
      <c r="AC94" s="492" t="str">
        <f t="shared" si="30"/>
        <v/>
      </c>
      <c r="AD94" s="492" t="str">
        <f t="shared" si="30"/>
        <v/>
      </c>
      <c r="AE94" s="492" t="str">
        <f t="shared" si="30"/>
        <v/>
      </c>
      <c r="AF94" s="492" t="str">
        <f t="shared" si="30"/>
        <v/>
      </c>
      <c r="AG94" s="492" t="str">
        <f t="shared" si="30"/>
        <v/>
      </c>
      <c r="AH94" s="492" t="str">
        <f t="shared" si="30"/>
        <v/>
      </c>
      <c r="AI94" s="492" t="str">
        <f t="shared" si="30"/>
        <v/>
      </c>
      <c r="AJ94" s="492" t="str">
        <f t="shared" si="30"/>
        <v/>
      </c>
      <c r="AK94" s="493" t="str">
        <f t="shared" si="30"/>
        <v/>
      </c>
      <c r="AL94" s="492" t="str">
        <f t="shared" si="30"/>
        <v/>
      </c>
      <c r="AM94" s="492" t="str">
        <f t="shared" si="30"/>
        <v/>
      </c>
      <c r="AN94" s="492" t="str">
        <f t="shared" si="30"/>
        <v/>
      </c>
      <c r="AO94" s="493" t="str">
        <f t="shared" si="30"/>
        <v/>
      </c>
      <c r="AP94" s="492" t="str">
        <f t="shared" si="30"/>
        <v/>
      </c>
      <c r="AQ94" s="492" t="str">
        <f t="shared" si="30"/>
        <v/>
      </c>
      <c r="AR94" s="492" t="str">
        <f t="shared" si="30"/>
        <v/>
      </c>
      <c r="AS94" s="492" t="str">
        <f t="shared" si="30"/>
        <v/>
      </c>
      <c r="AT94" s="492" t="str">
        <f t="shared" si="30"/>
        <v/>
      </c>
      <c r="AU94" s="492" t="str">
        <f t="shared" si="30"/>
        <v/>
      </c>
      <c r="AV94" s="492" t="str">
        <f t="shared" si="30"/>
        <v/>
      </c>
      <c r="AW94" s="492" t="str">
        <f t="shared" si="30"/>
        <v/>
      </c>
      <c r="AX94" s="492" t="str">
        <f t="shared" si="30"/>
        <v/>
      </c>
      <c r="AY94" s="492" t="str">
        <f t="shared" si="30"/>
        <v/>
      </c>
      <c r="AZ94" s="492" t="str">
        <f t="shared" si="30"/>
        <v/>
      </c>
      <c r="BA94" s="492" t="str">
        <f t="shared" si="30"/>
        <v/>
      </c>
      <c r="BB94" s="492" t="str">
        <f t="shared" si="30"/>
        <v/>
      </c>
      <c r="BC94" s="493" t="str">
        <f t="shared" si="30"/>
        <v/>
      </c>
      <c r="BD94" s="492" t="str">
        <f t="shared" si="30"/>
        <v/>
      </c>
      <c r="BE94" s="492" t="str">
        <f t="shared" si="30"/>
        <v/>
      </c>
      <c r="BF94" s="492" t="str">
        <f>IF(AND(BF92=TRUE,BF75=TRUE),(BF85/BF109)*BF14*(100/BF93)+BF70,"")</f>
        <v/>
      </c>
      <c r="BG94" s="492" t="str">
        <f>IF(AND(BG92=TRUE,BG75=TRUE),(BG85/BG109)*BG14*(100/BG93)+BG70,"")</f>
        <v/>
      </c>
      <c r="BH94" s="492" t="str">
        <f t="shared" si="30"/>
        <v/>
      </c>
      <c r="BI94" s="492" t="str">
        <f t="shared" si="30"/>
        <v/>
      </c>
      <c r="BJ94" s="492" t="str">
        <f t="shared" si="30"/>
        <v/>
      </c>
      <c r="BK94" s="492" t="str">
        <f t="shared" si="30"/>
        <v/>
      </c>
      <c r="BL94" s="492" t="str">
        <f t="shared" si="30"/>
        <v/>
      </c>
      <c r="BM94" s="492" t="str">
        <f t="shared" si="30"/>
        <v/>
      </c>
      <c r="BN94" s="492" t="str">
        <f t="shared" si="30"/>
        <v/>
      </c>
      <c r="BO94" s="492" t="str">
        <f t="shared" si="30"/>
        <v/>
      </c>
      <c r="BP94" s="492" t="str">
        <f t="shared" si="30"/>
        <v/>
      </c>
      <c r="BQ94" s="492" t="str">
        <f t="shared" si="30"/>
        <v/>
      </c>
      <c r="BR94" s="492" t="str">
        <f t="shared" si="30"/>
        <v/>
      </c>
      <c r="BS94" s="492" t="str">
        <f t="shared" si="30"/>
        <v/>
      </c>
    </row>
    <row r="95" spans="1:71" s="202" customFormat="1" ht="13.15">
      <c r="A95" s="453"/>
      <c r="B95" s="453"/>
      <c r="C95" s="453"/>
      <c r="D95" s="453"/>
      <c r="E95" s="510"/>
      <c r="F95" s="510"/>
      <c r="G95" s="510"/>
      <c r="H95" s="510"/>
      <c r="I95" s="453"/>
      <c r="J95" s="492"/>
      <c r="K95" s="492"/>
      <c r="L95" s="492"/>
      <c r="M95" s="492"/>
      <c r="N95" s="492"/>
      <c r="O95" s="492"/>
      <c r="P95" s="492"/>
      <c r="Q95" s="493"/>
      <c r="R95" s="492"/>
      <c r="S95" s="492"/>
      <c r="T95" s="492"/>
      <c r="U95" s="492"/>
      <c r="V95" s="492"/>
      <c r="W95" s="492"/>
      <c r="X95" s="492"/>
      <c r="Y95" s="492"/>
      <c r="Z95" s="492"/>
      <c r="AA95" s="492"/>
      <c r="AB95" s="492"/>
      <c r="AC95" s="492"/>
      <c r="AD95" s="492"/>
      <c r="AE95" s="492"/>
      <c r="AF95" s="492"/>
      <c r="AG95" s="492"/>
      <c r="AH95" s="492"/>
      <c r="AI95" s="492"/>
      <c r="AJ95" s="492"/>
      <c r="AK95" s="493"/>
      <c r="AL95" s="492"/>
      <c r="AM95" s="492"/>
      <c r="AN95" s="492"/>
      <c r="AO95" s="493"/>
      <c r="AP95" s="492"/>
      <c r="AQ95" s="492"/>
      <c r="AR95" s="492"/>
      <c r="AS95" s="492"/>
      <c r="AT95" s="492"/>
      <c r="AU95" s="492"/>
      <c r="AV95" s="492"/>
      <c r="AW95" s="492"/>
      <c r="AX95" s="492"/>
      <c r="AY95" s="492"/>
      <c r="AZ95" s="492"/>
      <c r="BA95" s="492"/>
      <c r="BB95" s="492"/>
      <c r="BC95" s="493"/>
      <c r="BD95" s="492"/>
      <c r="BE95" s="492"/>
      <c r="BF95" s="492"/>
      <c r="BG95" s="492"/>
      <c r="BH95" s="492"/>
      <c r="BI95" s="492"/>
      <c r="BJ95" s="492"/>
      <c r="BK95" s="492"/>
      <c r="BL95" s="492"/>
      <c r="BM95" s="492"/>
      <c r="BN95" s="492"/>
      <c r="BO95" s="492"/>
      <c r="BP95" s="492"/>
      <c r="BQ95" s="492"/>
      <c r="BR95" s="492"/>
      <c r="BS95" s="492"/>
    </row>
    <row r="96" spans="1:71" s="202" customFormat="1" ht="13.15">
      <c r="A96" s="453"/>
      <c r="B96" s="453"/>
      <c r="C96" s="453"/>
      <c r="D96" s="453"/>
      <c r="E96" s="510" t="s">
        <v>1226</v>
      </c>
      <c r="F96" s="510"/>
      <c r="G96" s="510" t="s">
        <v>1228</v>
      </c>
      <c r="H96" s="510"/>
      <c r="I96" s="453"/>
      <c r="J96" s="492" t="str">
        <f>IF(J69&lt;&gt;"",J69,IF(J94&lt;&gt;"",J94,IF(J91&lt;&gt;"",J91,J87)))</f>
        <v/>
      </c>
      <c r="K96" s="492" t="str">
        <f t="shared" ref="K96:BS96" si="31">IF(K69&lt;&gt;"",K69,IF(K94&lt;&gt;"",K94,IF(K91&lt;&gt;"",K91,K87)))</f>
        <v/>
      </c>
      <c r="L96" s="492" t="str">
        <f t="shared" si="31"/>
        <v/>
      </c>
      <c r="M96" s="492" t="str">
        <f>IF(M69&lt;&gt;"",M69,IF(M94&lt;&gt;"",M94,IF(M91&lt;&gt;"",M91,M87)))</f>
        <v/>
      </c>
      <c r="N96" s="492" t="str">
        <f t="shared" si="31"/>
        <v>*</v>
      </c>
      <c r="O96" s="492" t="str">
        <f>IF(O69&lt;&gt;"",O69,IF(O94&lt;&gt;"",O94,IF(O91&lt;&gt;"",O91,O87)))</f>
        <v/>
      </c>
      <c r="P96" s="492" t="str">
        <f t="shared" si="31"/>
        <v/>
      </c>
      <c r="Q96" s="493" t="str">
        <f t="shared" si="31"/>
        <v/>
      </c>
      <c r="R96" s="492" t="str">
        <f t="shared" si="31"/>
        <v/>
      </c>
      <c r="S96" s="492" t="str">
        <f t="shared" si="31"/>
        <v/>
      </c>
      <c r="T96" s="492" t="str">
        <f t="shared" si="31"/>
        <v/>
      </c>
      <c r="U96" s="492" t="str">
        <f t="shared" si="31"/>
        <v/>
      </c>
      <c r="V96" s="492" t="str">
        <f t="shared" si="31"/>
        <v/>
      </c>
      <c r="W96" s="492" t="str">
        <f t="shared" si="31"/>
        <v/>
      </c>
      <c r="X96" s="492" t="str">
        <f t="shared" si="31"/>
        <v/>
      </c>
      <c r="Y96" s="492" t="str">
        <f t="shared" si="31"/>
        <v/>
      </c>
      <c r="Z96" s="492" t="str">
        <f t="shared" si="31"/>
        <v/>
      </c>
      <c r="AA96" s="492" t="str">
        <f t="shared" si="31"/>
        <v/>
      </c>
      <c r="AB96" s="492" t="str">
        <f t="shared" si="31"/>
        <v/>
      </c>
      <c r="AC96" s="492" t="str">
        <f t="shared" si="31"/>
        <v/>
      </c>
      <c r="AD96" s="492" t="str">
        <f t="shared" si="31"/>
        <v/>
      </c>
      <c r="AE96" s="492" t="str">
        <f t="shared" si="31"/>
        <v/>
      </c>
      <c r="AF96" s="492" t="str">
        <f t="shared" si="31"/>
        <v/>
      </c>
      <c r="AG96" s="492" t="str">
        <f t="shared" si="31"/>
        <v/>
      </c>
      <c r="AH96" s="492" t="str">
        <f t="shared" si="31"/>
        <v/>
      </c>
      <c r="AI96" s="492" t="str">
        <f t="shared" si="31"/>
        <v/>
      </c>
      <c r="AJ96" s="492" t="str">
        <f t="shared" si="31"/>
        <v/>
      </c>
      <c r="AK96" s="493" t="str">
        <f t="shared" si="31"/>
        <v/>
      </c>
      <c r="AL96" s="492" t="str">
        <f t="shared" si="31"/>
        <v/>
      </c>
      <c r="AM96" s="492" t="str">
        <f t="shared" si="31"/>
        <v/>
      </c>
      <c r="AN96" s="492" t="str">
        <f t="shared" si="31"/>
        <v/>
      </c>
      <c r="AO96" s="493" t="str">
        <f t="shared" si="31"/>
        <v/>
      </c>
      <c r="AP96" s="492" t="str">
        <f t="shared" si="31"/>
        <v/>
      </c>
      <c r="AQ96" s="492" t="str">
        <f t="shared" si="31"/>
        <v/>
      </c>
      <c r="AR96" s="492" t="str">
        <f t="shared" si="31"/>
        <v/>
      </c>
      <c r="AS96" s="492" t="str">
        <f t="shared" si="31"/>
        <v/>
      </c>
      <c r="AT96" s="492" t="str">
        <f t="shared" si="31"/>
        <v/>
      </c>
      <c r="AU96" s="492" t="str">
        <f t="shared" si="31"/>
        <v/>
      </c>
      <c r="AV96" s="492" t="str">
        <f t="shared" si="31"/>
        <v/>
      </c>
      <c r="AW96" s="492" t="str">
        <f t="shared" si="31"/>
        <v/>
      </c>
      <c r="AX96" s="492" t="str">
        <f t="shared" si="31"/>
        <v/>
      </c>
      <c r="AY96" s="492" t="str">
        <f t="shared" si="31"/>
        <v/>
      </c>
      <c r="AZ96" s="492" t="str">
        <f t="shared" si="31"/>
        <v/>
      </c>
      <c r="BA96" s="492" t="str">
        <f t="shared" si="31"/>
        <v/>
      </c>
      <c r="BB96" s="492" t="str">
        <f t="shared" si="31"/>
        <v/>
      </c>
      <c r="BC96" s="493" t="str">
        <f t="shared" si="31"/>
        <v/>
      </c>
      <c r="BD96" s="492" t="str">
        <f t="shared" si="31"/>
        <v/>
      </c>
      <c r="BE96" s="492" t="str">
        <f t="shared" si="31"/>
        <v/>
      </c>
      <c r="BF96" s="492" t="str">
        <f>IF(BF69&lt;&gt;"",BF69,IF(BF94&lt;&gt;"",BF94,IF(BF91&lt;&gt;"",BF91,BF87)))</f>
        <v/>
      </c>
      <c r="BG96" s="492" t="str">
        <f>IF(BG69&lt;&gt;"",BG69,IF(BG94&lt;&gt;"",BG94,IF(BG91&lt;&gt;"",BG91,BG87)))</f>
        <v/>
      </c>
      <c r="BH96" s="492" t="str">
        <f t="shared" si="31"/>
        <v/>
      </c>
      <c r="BI96" s="492" t="str">
        <f t="shared" si="31"/>
        <v/>
      </c>
      <c r="BJ96" s="492" t="str">
        <f t="shared" si="31"/>
        <v/>
      </c>
      <c r="BK96" s="492" t="str">
        <f t="shared" si="31"/>
        <v/>
      </c>
      <c r="BL96" s="492" t="str">
        <f t="shared" si="31"/>
        <v/>
      </c>
      <c r="BM96" s="492" t="str">
        <f t="shared" si="31"/>
        <v/>
      </c>
      <c r="BN96" s="492" t="str">
        <f t="shared" si="31"/>
        <v/>
      </c>
      <c r="BO96" s="492" t="str">
        <f t="shared" si="31"/>
        <v/>
      </c>
      <c r="BP96" s="492" t="str">
        <f t="shared" si="31"/>
        <v/>
      </c>
      <c r="BQ96" s="492" t="str">
        <f t="shared" si="31"/>
        <v/>
      </c>
      <c r="BR96" s="492" t="str">
        <f t="shared" si="31"/>
        <v/>
      </c>
      <c r="BS96" s="492" t="str">
        <f t="shared" si="31"/>
        <v/>
      </c>
    </row>
    <row r="97" spans="1:71" s="202" customFormat="1" ht="13.15">
      <c r="A97" s="453"/>
      <c r="B97" s="453"/>
      <c r="C97" s="453"/>
      <c r="D97" s="453"/>
      <c r="E97" s="510" t="str">
        <f>E17</f>
        <v>Actual performance (rounded unless HH:MM:SS unit is used or ODI is calculated as a % difference to a baseline)</v>
      </c>
      <c r="F97" s="510"/>
      <c r="G97" s="510" t="str">
        <f>G17</f>
        <v>Performance commitment unit</v>
      </c>
      <c r="H97" s="510"/>
      <c r="I97" s="453"/>
      <c r="J97" s="492">
        <f t="shared" ref="J97:BS97" si="32">J17</f>
        <v>3.07</v>
      </c>
      <c r="K97" s="492">
        <f t="shared" si="32"/>
        <v>5.6635957305140185E-2</v>
      </c>
      <c r="L97" s="492">
        <f t="shared" si="32"/>
        <v>-4.404404404404394</v>
      </c>
      <c r="M97" s="492" t="str">
        <f>M17</f>
        <v/>
      </c>
      <c r="N97" s="492">
        <f t="shared" si="32"/>
        <v>-1.2499999999999956</v>
      </c>
      <c r="O97" s="492" t="str">
        <f>O17</f>
        <v/>
      </c>
      <c r="P97" s="492">
        <f t="shared" si="32"/>
        <v>121.1</v>
      </c>
      <c r="Q97" s="493">
        <f t="shared" si="32"/>
        <v>5.68</v>
      </c>
      <c r="R97" s="492">
        <f t="shared" si="32"/>
        <v>1</v>
      </c>
      <c r="S97" s="492">
        <f t="shared" si="32"/>
        <v>0.24</v>
      </c>
      <c r="T97" s="492">
        <f t="shared" si="32"/>
        <v>-19</v>
      </c>
      <c r="U97" s="492">
        <f t="shared" si="32"/>
        <v>0</v>
      </c>
      <c r="V97" s="492">
        <f t="shared" si="32"/>
        <v>2.97</v>
      </c>
      <c r="W97" s="492">
        <f t="shared" si="32"/>
        <v>0</v>
      </c>
      <c r="X97" s="492">
        <f t="shared" si="32"/>
        <v>173</v>
      </c>
      <c r="Y97" s="492">
        <f t="shared" si="32"/>
        <v>51</v>
      </c>
      <c r="Z97" s="492">
        <f t="shared" si="32"/>
        <v>0</v>
      </c>
      <c r="AA97" s="492" t="str">
        <f t="shared" si="32"/>
        <v/>
      </c>
      <c r="AB97" s="492" t="str">
        <f t="shared" si="32"/>
        <v/>
      </c>
      <c r="AC97" s="492" t="str">
        <f t="shared" si="32"/>
        <v/>
      </c>
      <c r="AD97" s="492" t="str">
        <f t="shared" si="32"/>
        <v/>
      </c>
      <c r="AE97" s="492" t="str">
        <f t="shared" si="32"/>
        <v/>
      </c>
      <c r="AF97" s="492" t="str">
        <f t="shared" si="32"/>
        <v/>
      </c>
      <c r="AG97" s="492" t="str">
        <f t="shared" si="32"/>
        <v/>
      </c>
      <c r="AH97" s="492" t="str">
        <f t="shared" si="32"/>
        <v/>
      </c>
      <c r="AI97" s="492" t="str">
        <f t="shared" si="32"/>
        <v/>
      </c>
      <c r="AJ97" s="492" t="str">
        <f t="shared" si="32"/>
        <v/>
      </c>
      <c r="AK97" s="493" t="str">
        <f t="shared" si="32"/>
        <v/>
      </c>
      <c r="AL97" s="492">
        <f t="shared" si="32"/>
        <v>2.57</v>
      </c>
      <c r="AM97" s="492">
        <f t="shared" si="32"/>
        <v>58.9</v>
      </c>
      <c r="AN97" s="492">
        <f t="shared" si="32"/>
        <v>5.85</v>
      </c>
      <c r="AO97" s="493">
        <f t="shared" si="32"/>
        <v>99.36</v>
      </c>
      <c r="AP97" s="492">
        <f t="shared" si="32"/>
        <v>79</v>
      </c>
      <c r="AQ97" s="492">
        <f t="shared" si="32"/>
        <v>13.32</v>
      </c>
      <c r="AR97" s="492">
        <f t="shared" si="32"/>
        <v>100</v>
      </c>
      <c r="AS97" s="492">
        <f t="shared" si="32"/>
        <v>102.7</v>
      </c>
      <c r="AT97" s="492">
        <f t="shared" si="32"/>
        <v>48</v>
      </c>
      <c r="AU97" s="492">
        <f t="shared" si="32"/>
        <v>4</v>
      </c>
      <c r="AV97" s="492">
        <f t="shared" si="32"/>
        <v>4</v>
      </c>
      <c r="AW97" s="492">
        <f t="shared" si="32"/>
        <v>0</v>
      </c>
      <c r="AX97" s="492">
        <f t="shared" si="32"/>
        <v>3245</v>
      </c>
      <c r="AY97" s="492">
        <f t="shared" si="32"/>
        <v>0</v>
      </c>
      <c r="AZ97" s="492" t="str">
        <f t="shared" si="32"/>
        <v/>
      </c>
      <c r="BA97" s="492" t="str">
        <f t="shared" si="32"/>
        <v/>
      </c>
      <c r="BB97" s="492" t="str">
        <f t="shared" si="32"/>
        <v/>
      </c>
      <c r="BC97" s="493" t="str">
        <f t="shared" si="32"/>
        <v/>
      </c>
      <c r="BD97" s="492" t="str">
        <f t="shared" si="32"/>
        <v/>
      </c>
      <c r="BE97" s="492" t="str">
        <f t="shared" si="32"/>
        <v/>
      </c>
      <c r="BF97" s="492" t="str">
        <f>BF17</f>
        <v/>
      </c>
      <c r="BG97" s="492" t="str">
        <f>BG17</f>
        <v/>
      </c>
      <c r="BH97" s="492" t="str">
        <f t="shared" si="32"/>
        <v/>
      </c>
      <c r="BI97" s="492" t="str">
        <f t="shared" si="32"/>
        <v/>
      </c>
      <c r="BJ97" s="492" t="str">
        <f t="shared" si="32"/>
        <v/>
      </c>
      <c r="BK97" s="492" t="str">
        <f t="shared" si="32"/>
        <v/>
      </c>
      <c r="BL97" s="492" t="str">
        <f t="shared" si="32"/>
        <v/>
      </c>
      <c r="BM97" s="492" t="str">
        <f t="shared" si="32"/>
        <v/>
      </c>
      <c r="BN97" s="492" t="str">
        <f t="shared" si="32"/>
        <v/>
      </c>
      <c r="BO97" s="492" t="str">
        <f t="shared" si="32"/>
        <v/>
      </c>
      <c r="BP97" s="492" t="str">
        <f t="shared" si="32"/>
        <v/>
      </c>
      <c r="BQ97" s="492" t="str">
        <f t="shared" si="32"/>
        <v/>
      </c>
      <c r="BR97" s="492" t="str">
        <f t="shared" si="32"/>
        <v/>
      </c>
      <c r="BS97" s="492" t="str">
        <f t="shared" si="32"/>
        <v/>
      </c>
    </row>
    <row r="98" spans="1:71" s="202" customFormat="1" ht="13.15">
      <c r="A98" s="453"/>
      <c r="B98" s="453"/>
      <c r="C98" s="453"/>
      <c r="D98" s="453"/>
      <c r="E98" s="510" t="s">
        <v>1229</v>
      </c>
      <c r="F98" s="510"/>
      <c r="G98" s="510" t="str">
        <f>G7</f>
        <v>Performance commitment unit</v>
      </c>
      <c r="H98" s="510"/>
      <c r="I98" s="453"/>
      <c r="J98" s="492" t="str">
        <f t="shared" ref="J98:BS98" si="33">IF(J75=TRUE,IF(J$14&gt;0,MIN(J$17,J96),MAX(J$17,J96)),"")</f>
        <v/>
      </c>
      <c r="K98" s="492" t="str">
        <f t="shared" si="33"/>
        <v/>
      </c>
      <c r="L98" s="492" t="str">
        <f t="shared" si="33"/>
        <v/>
      </c>
      <c r="M98" s="492" t="str">
        <f>IF(M75=TRUE,IF(M$14&gt;0,MIN(M$17,M96),MAX(M$17,M96)),"")</f>
        <v/>
      </c>
      <c r="N98" s="492" t="str">
        <f t="shared" si="33"/>
        <v/>
      </c>
      <c r="O98" s="492" t="str">
        <f>IF(O75=TRUE,IF(O$14&gt;0,MIN(O$17,O96),MAX(O$17,O96)),"")</f>
        <v/>
      </c>
      <c r="P98" s="492" t="str">
        <f t="shared" si="33"/>
        <v/>
      </c>
      <c r="Q98" s="493" t="str">
        <f t="shared" si="33"/>
        <v/>
      </c>
      <c r="R98" s="492" t="str">
        <f t="shared" si="33"/>
        <v/>
      </c>
      <c r="S98" s="492" t="str">
        <f t="shared" si="33"/>
        <v/>
      </c>
      <c r="T98" s="492" t="str">
        <f t="shared" si="33"/>
        <v/>
      </c>
      <c r="U98" s="492" t="str">
        <f t="shared" si="33"/>
        <v/>
      </c>
      <c r="V98" s="492" t="str">
        <f t="shared" si="33"/>
        <v/>
      </c>
      <c r="W98" s="492" t="str">
        <f t="shared" si="33"/>
        <v/>
      </c>
      <c r="X98" s="492" t="str">
        <f t="shared" si="33"/>
        <v/>
      </c>
      <c r="Y98" s="492" t="str">
        <f t="shared" si="33"/>
        <v/>
      </c>
      <c r="Z98" s="492" t="str">
        <f t="shared" si="33"/>
        <v/>
      </c>
      <c r="AA98" s="492" t="str">
        <f t="shared" si="33"/>
        <v/>
      </c>
      <c r="AB98" s="492" t="str">
        <f t="shared" si="33"/>
        <v/>
      </c>
      <c r="AC98" s="492" t="str">
        <f t="shared" si="33"/>
        <v/>
      </c>
      <c r="AD98" s="492" t="str">
        <f t="shared" si="33"/>
        <v/>
      </c>
      <c r="AE98" s="492" t="str">
        <f t="shared" si="33"/>
        <v/>
      </c>
      <c r="AF98" s="492" t="str">
        <f t="shared" si="33"/>
        <v/>
      </c>
      <c r="AG98" s="492" t="str">
        <f t="shared" si="33"/>
        <v/>
      </c>
      <c r="AH98" s="492" t="str">
        <f t="shared" si="33"/>
        <v/>
      </c>
      <c r="AI98" s="492" t="str">
        <f t="shared" si="33"/>
        <v/>
      </c>
      <c r="AJ98" s="492" t="str">
        <f t="shared" si="33"/>
        <v/>
      </c>
      <c r="AK98" s="493" t="str">
        <f t="shared" si="33"/>
        <v/>
      </c>
      <c r="AL98" s="492" t="str">
        <f t="shared" si="33"/>
        <v/>
      </c>
      <c r="AM98" s="492" t="str">
        <f t="shared" si="33"/>
        <v/>
      </c>
      <c r="AN98" s="492" t="str">
        <f t="shared" si="33"/>
        <v/>
      </c>
      <c r="AO98" s="493" t="str">
        <f t="shared" si="33"/>
        <v/>
      </c>
      <c r="AP98" s="492" t="str">
        <f t="shared" si="33"/>
        <v/>
      </c>
      <c r="AQ98" s="492" t="str">
        <f t="shared" si="33"/>
        <v/>
      </c>
      <c r="AR98" s="492" t="str">
        <f t="shared" si="33"/>
        <v/>
      </c>
      <c r="AS98" s="492" t="str">
        <f t="shared" si="33"/>
        <v/>
      </c>
      <c r="AT98" s="492" t="str">
        <f t="shared" si="33"/>
        <v/>
      </c>
      <c r="AU98" s="492" t="str">
        <f t="shared" si="33"/>
        <v/>
      </c>
      <c r="AV98" s="492" t="str">
        <f t="shared" si="33"/>
        <v/>
      </c>
      <c r="AW98" s="492" t="str">
        <f t="shared" si="33"/>
        <v/>
      </c>
      <c r="AX98" s="492" t="str">
        <f t="shared" si="33"/>
        <v/>
      </c>
      <c r="AY98" s="492" t="str">
        <f t="shared" si="33"/>
        <v/>
      </c>
      <c r="AZ98" s="492" t="str">
        <f t="shared" si="33"/>
        <v/>
      </c>
      <c r="BA98" s="492" t="str">
        <f t="shared" si="33"/>
        <v/>
      </c>
      <c r="BB98" s="492" t="str">
        <f t="shared" si="33"/>
        <v/>
      </c>
      <c r="BC98" s="493" t="str">
        <f t="shared" si="33"/>
        <v/>
      </c>
      <c r="BD98" s="492" t="str">
        <f t="shared" si="33"/>
        <v/>
      </c>
      <c r="BE98" s="492" t="str">
        <f t="shared" si="33"/>
        <v/>
      </c>
      <c r="BF98" s="492" t="str">
        <f>IF(BF75=TRUE,IF(BF$14&gt;0,MIN(BF$17,BF96),MAX(BF$17,BF96)),"")</f>
        <v/>
      </c>
      <c r="BG98" s="492" t="str">
        <f>IF(BG75=TRUE,IF(BG$14&gt;0,MIN(BG$17,BG96),MAX(BG$17,BG96)),"")</f>
        <v/>
      </c>
      <c r="BH98" s="492" t="str">
        <f t="shared" si="33"/>
        <v/>
      </c>
      <c r="BI98" s="492" t="str">
        <f t="shared" si="33"/>
        <v/>
      </c>
      <c r="BJ98" s="492" t="str">
        <f t="shared" si="33"/>
        <v/>
      </c>
      <c r="BK98" s="492" t="str">
        <f t="shared" si="33"/>
        <v/>
      </c>
      <c r="BL98" s="492" t="str">
        <f t="shared" si="33"/>
        <v/>
      </c>
      <c r="BM98" s="492" t="str">
        <f t="shared" si="33"/>
        <v/>
      </c>
      <c r="BN98" s="492" t="str">
        <f t="shared" si="33"/>
        <v/>
      </c>
      <c r="BO98" s="492" t="str">
        <f t="shared" si="33"/>
        <v/>
      </c>
      <c r="BP98" s="492" t="str">
        <f t="shared" si="33"/>
        <v/>
      </c>
      <c r="BQ98" s="492" t="str">
        <f t="shared" si="33"/>
        <v/>
      </c>
      <c r="BR98" s="492" t="str">
        <f t="shared" si="33"/>
        <v/>
      </c>
      <c r="BS98" s="492" t="str">
        <f t="shared" si="33"/>
        <v/>
      </c>
    </row>
    <row r="99" spans="1:71" s="202" customFormat="1" ht="13.15">
      <c r="A99" s="453"/>
      <c r="B99" s="453"/>
      <c r="C99" s="453"/>
      <c r="D99" s="453"/>
      <c r="E99" s="453"/>
      <c r="F99" s="453"/>
      <c r="G99" s="453"/>
      <c r="H99" s="453"/>
      <c r="I99" s="453"/>
      <c r="J99" s="494"/>
      <c r="K99" s="494"/>
      <c r="L99" s="494"/>
      <c r="M99" s="494"/>
      <c r="N99" s="494"/>
      <c r="O99" s="494"/>
      <c r="P99" s="494"/>
      <c r="Q99" s="496"/>
      <c r="R99" s="494"/>
      <c r="S99" s="494"/>
      <c r="T99" s="494"/>
      <c r="U99" s="494"/>
      <c r="V99" s="494"/>
      <c r="W99" s="494"/>
      <c r="X99" s="494"/>
      <c r="Y99" s="494"/>
      <c r="Z99" s="494"/>
      <c r="AA99" s="494"/>
      <c r="AB99" s="494"/>
      <c r="AC99" s="494"/>
      <c r="AD99" s="494"/>
      <c r="AE99" s="494"/>
      <c r="AF99" s="494"/>
      <c r="AG99" s="494"/>
      <c r="AH99" s="494"/>
      <c r="AI99" s="494"/>
      <c r="AJ99" s="494"/>
      <c r="AK99" s="496"/>
      <c r="AL99" s="494"/>
      <c r="AM99" s="494"/>
      <c r="AN99" s="494"/>
      <c r="AO99" s="496"/>
      <c r="AP99" s="494"/>
      <c r="AQ99" s="494"/>
      <c r="AR99" s="494"/>
      <c r="AS99" s="494"/>
      <c r="AT99" s="494"/>
      <c r="AU99" s="494"/>
      <c r="AV99" s="494"/>
      <c r="AW99" s="494"/>
      <c r="AX99" s="494"/>
      <c r="AY99" s="494"/>
      <c r="AZ99" s="494"/>
      <c r="BA99" s="494"/>
      <c r="BB99" s="494"/>
      <c r="BC99" s="496"/>
      <c r="BD99" s="494"/>
      <c r="BE99" s="494"/>
      <c r="BF99" s="494"/>
      <c r="BG99" s="494"/>
      <c r="BH99" s="494"/>
      <c r="BI99" s="494"/>
      <c r="BJ99" s="494"/>
      <c r="BK99" s="494"/>
      <c r="BL99" s="494"/>
      <c r="BM99" s="494"/>
      <c r="BN99" s="494"/>
      <c r="BO99" s="494"/>
      <c r="BP99" s="494"/>
      <c r="BQ99" s="494"/>
      <c r="BR99" s="494"/>
      <c r="BS99" s="494"/>
    </row>
    <row r="100" spans="1:71" s="202" customFormat="1" ht="13.15">
      <c r="A100" s="453"/>
      <c r="B100" s="453"/>
      <c r="C100" s="453"/>
      <c r="D100" s="453"/>
      <c r="E100" s="510" t="s">
        <v>1230</v>
      </c>
      <c r="F100" s="510"/>
      <c r="G100" s="510" t="str">
        <f>G7</f>
        <v>Performance commitment unit</v>
      </c>
      <c r="H100" s="510"/>
      <c r="I100" s="453"/>
      <c r="J100" s="492">
        <f t="shared" ref="J100:BS100" si="34">IF(J75=TRUE,ABS(J98-J70),0)</f>
        <v>0</v>
      </c>
      <c r="K100" s="492">
        <f t="shared" si="34"/>
        <v>0</v>
      </c>
      <c r="L100" s="492">
        <f t="shared" si="34"/>
        <v>0</v>
      </c>
      <c r="M100" s="492">
        <f>IF(M75=TRUE,ABS(M98-M70),0)</f>
        <v>0</v>
      </c>
      <c r="N100" s="492">
        <f t="shared" si="34"/>
        <v>0</v>
      </c>
      <c r="O100" s="492">
        <f>IF(O75=TRUE,ABS(O98-O70),0)</f>
        <v>0</v>
      </c>
      <c r="P100" s="492">
        <f t="shared" si="34"/>
        <v>0</v>
      </c>
      <c r="Q100" s="493">
        <f t="shared" si="34"/>
        <v>0</v>
      </c>
      <c r="R100" s="492">
        <f t="shared" si="34"/>
        <v>0</v>
      </c>
      <c r="S100" s="492">
        <f t="shared" si="34"/>
        <v>0</v>
      </c>
      <c r="T100" s="492">
        <f t="shared" si="34"/>
        <v>0</v>
      </c>
      <c r="U100" s="492">
        <f t="shared" si="34"/>
        <v>0</v>
      </c>
      <c r="V100" s="492">
        <f t="shared" si="34"/>
        <v>0</v>
      </c>
      <c r="W100" s="492">
        <f t="shared" si="34"/>
        <v>0</v>
      </c>
      <c r="X100" s="492">
        <f t="shared" si="34"/>
        <v>0</v>
      </c>
      <c r="Y100" s="492">
        <f t="shared" si="34"/>
        <v>0</v>
      </c>
      <c r="Z100" s="492">
        <f t="shared" si="34"/>
        <v>0</v>
      </c>
      <c r="AA100" s="492">
        <f t="shared" si="34"/>
        <v>0</v>
      </c>
      <c r="AB100" s="492">
        <f t="shared" si="34"/>
        <v>0</v>
      </c>
      <c r="AC100" s="492">
        <f t="shared" si="34"/>
        <v>0</v>
      </c>
      <c r="AD100" s="492">
        <f t="shared" si="34"/>
        <v>0</v>
      </c>
      <c r="AE100" s="492">
        <f t="shared" si="34"/>
        <v>0</v>
      </c>
      <c r="AF100" s="492">
        <f t="shared" si="34"/>
        <v>0</v>
      </c>
      <c r="AG100" s="492">
        <f t="shared" si="34"/>
        <v>0</v>
      </c>
      <c r="AH100" s="492">
        <f t="shared" si="34"/>
        <v>0</v>
      </c>
      <c r="AI100" s="492">
        <f t="shared" si="34"/>
        <v>0</v>
      </c>
      <c r="AJ100" s="492">
        <f t="shared" si="34"/>
        <v>0</v>
      </c>
      <c r="AK100" s="493">
        <f t="shared" si="34"/>
        <v>0</v>
      </c>
      <c r="AL100" s="492">
        <f t="shared" si="34"/>
        <v>0</v>
      </c>
      <c r="AM100" s="492">
        <f t="shared" si="34"/>
        <v>0</v>
      </c>
      <c r="AN100" s="492">
        <f t="shared" si="34"/>
        <v>0</v>
      </c>
      <c r="AO100" s="493">
        <f t="shared" si="34"/>
        <v>0</v>
      </c>
      <c r="AP100" s="492">
        <f t="shared" si="34"/>
        <v>0</v>
      </c>
      <c r="AQ100" s="492">
        <f t="shared" si="34"/>
        <v>0</v>
      </c>
      <c r="AR100" s="492">
        <f t="shared" si="34"/>
        <v>0</v>
      </c>
      <c r="AS100" s="492">
        <f t="shared" si="34"/>
        <v>0</v>
      </c>
      <c r="AT100" s="492">
        <f t="shared" si="34"/>
        <v>0</v>
      </c>
      <c r="AU100" s="492">
        <f t="shared" si="34"/>
        <v>0</v>
      </c>
      <c r="AV100" s="492">
        <f t="shared" si="34"/>
        <v>0</v>
      </c>
      <c r="AW100" s="492">
        <f t="shared" si="34"/>
        <v>0</v>
      </c>
      <c r="AX100" s="492">
        <f t="shared" si="34"/>
        <v>0</v>
      </c>
      <c r="AY100" s="492">
        <f t="shared" si="34"/>
        <v>0</v>
      </c>
      <c r="AZ100" s="492">
        <f t="shared" si="34"/>
        <v>0</v>
      </c>
      <c r="BA100" s="492">
        <f t="shared" si="34"/>
        <v>0</v>
      </c>
      <c r="BB100" s="492">
        <f t="shared" si="34"/>
        <v>0</v>
      </c>
      <c r="BC100" s="493">
        <f t="shared" si="34"/>
        <v>0</v>
      </c>
      <c r="BD100" s="492">
        <f t="shared" si="34"/>
        <v>0</v>
      </c>
      <c r="BE100" s="492">
        <f t="shared" si="34"/>
        <v>0</v>
      </c>
      <c r="BF100" s="492">
        <f>IF(BF75=TRUE,ABS(BF98-BF70),0)</f>
        <v>0</v>
      </c>
      <c r="BG100" s="492">
        <f>IF(BG75=TRUE,ABS(BG98-BG70),0)</f>
        <v>0</v>
      </c>
      <c r="BH100" s="492">
        <f t="shared" si="34"/>
        <v>0</v>
      </c>
      <c r="BI100" s="492">
        <f t="shared" si="34"/>
        <v>0</v>
      </c>
      <c r="BJ100" s="492">
        <f t="shared" si="34"/>
        <v>0</v>
      </c>
      <c r="BK100" s="492">
        <f t="shared" si="34"/>
        <v>0</v>
      </c>
      <c r="BL100" s="492">
        <f t="shared" si="34"/>
        <v>0</v>
      </c>
      <c r="BM100" s="492">
        <f t="shared" si="34"/>
        <v>0</v>
      </c>
      <c r="BN100" s="492">
        <f t="shared" si="34"/>
        <v>0</v>
      </c>
      <c r="BO100" s="492">
        <f t="shared" si="34"/>
        <v>0</v>
      </c>
      <c r="BP100" s="492">
        <f t="shared" si="34"/>
        <v>0</v>
      </c>
      <c r="BQ100" s="492">
        <f t="shared" si="34"/>
        <v>0</v>
      </c>
      <c r="BR100" s="492">
        <f t="shared" si="34"/>
        <v>0</v>
      </c>
      <c r="BS100" s="492">
        <f t="shared" si="34"/>
        <v>0</v>
      </c>
    </row>
    <row r="101" spans="1:71" s="202" customFormat="1" ht="13.15">
      <c r="A101" s="453"/>
      <c r="B101" s="453"/>
      <c r="C101" s="453"/>
      <c r="D101" s="453"/>
      <c r="E101" s="510"/>
      <c r="F101" s="510"/>
      <c r="G101" s="510"/>
      <c r="H101" s="510"/>
      <c r="I101" s="453"/>
      <c r="J101" s="492"/>
      <c r="K101" s="492"/>
      <c r="L101" s="492"/>
      <c r="M101" s="492"/>
      <c r="N101" s="492"/>
      <c r="O101" s="492"/>
      <c r="P101" s="492"/>
      <c r="Q101" s="493"/>
      <c r="R101" s="492"/>
      <c r="S101" s="492"/>
      <c r="T101" s="492"/>
      <c r="U101" s="492"/>
      <c r="V101" s="492"/>
      <c r="W101" s="492"/>
      <c r="X101" s="492"/>
      <c r="Y101" s="492"/>
      <c r="Z101" s="492"/>
      <c r="AA101" s="492"/>
      <c r="AB101" s="492"/>
      <c r="AC101" s="492"/>
      <c r="AD101" s="492"/>
      <c r="AE101" s="492"/>
      <c r="AF101" s="492"/>
      <c r="AG101" s="492"/>
      <c r="AH101" s="492"/>
      <c r="AI101" s="492"/>
      <c r="AJ101" s="492"/>
      <c r="AK101" s="493"/>
      <c r="AL101" s="492"/>
      <c r="AM101" s="492"/>
      <c r="AN101" s="492"/>
      <c r="AO101" s="493"/>
      <c r="AP101" s="492"/>
      <c r="AQ101" s="492"/>
      <c r="AR101" s="492"/>
      <c r="AS101" s="492"/>
      <c r="AT101" s="492"/>
      <c r="AU101" s="492"/>
      <c r="AV101" s="492"/>
      <c r="AW101" s="492"/>
      <c r="AX101" s="492"/>
      <c r="AY101" s="492"/>
      <c r="AZ101" s="492"/>
      <c r="BA101" s="492"/>
      <c r="BB101" s="492"/>
      <c r="BC101" s="493"/>
      <c r="BD101" s="492"/>
      <c r="BE101" s="492"/>
      <c r="BF101" s="492"/>
      <c r="BG101" s="492"/>
      <c r="BH101" s="492"/>
      <c r="BI101" s="492"/>
      <c r="BJ101" s="492"/>
      <c r="BK101" s="492"/>
      <c r="BL101" s="492"/>
      <c r="BM101" s="492"/>
      <c r="BN101" s="492"/>
      <c r="BO101" s="492"/>
      <c r="BP101" s="492"/>
      <c r="BQ101" s="492"/>
      <c r="BR101" s="492"/>
      <c r="BS101" s="492"/>
    </row>
    <row r="102" spans="1:71" s="202" customFormat="1" ht="13.15">
      <c r="A102" s="453"/>
      <c r="B102" s="453"/>
      <c r="C102" s="453"/>
      <c r="D102" s="463" t="s">
        <v>1208</v>
      </c>
      <c r="E102" s="453"/>
      <c r="F102" s="453"/>
      <c r="G102" s="453"/>
      <c r="H102" s="453"/>
      <c r="I102" s="453"/>
      <c r="J102" s="598"/>
      <c r="K102" s="598"/>
      <c r="L102" s="598"/>
      <c r="M102" s="598"/>
      <c r="N102" s="598"/>
      <c r="O102" s="598"/>
      <c r="P102" s="598"/>
      <c r="Q102" s="599"/>
      <c r="R102" s="598"/>
      <c r="S102" s="598"/>
      <c r="T102" s="598"/>
      <c r="U102" s="598"/>
      <c r="V102" s="598"/>
      <c r="W102" s="598"/>
      <c r="X102" s="598"/>
      <c r="Y102" s="598"/>
      <c r="Z102" s="598"/>
      <c r="AA102" s="598"/>
      <c r="AB102" s="598"/>
      <c r="AC102" s="598"/>
      <c r="AD102" s="598"/>
      <c r="AE102" s="598"/>
      <c r="AF102" s="598"/>
      <c r="AG102" s="598"/>
      <c r="AH102" s="598"/>
      <c r="AI102" s="598"/>
      <c r="AJ102" s="598"/>
      <c r="AK102" s="599"/>
      <c r="AL102" s="598"/>
      <c r="AM102" s="598"/>
      <c r="AN102" s="598"/>
      <c r="AO102" s="599"/>
      <c r="AP102" s="598"/>
      <c r="AQ102" s="598"/>
      <c r="AR102" s="598"/>
      <c r="AS102" s="598"/>
      <c r="AT102" s="598"/>
      <c r="AU102" s="598"/>
      <c r="AV102" s="598"/>
      <c r="AW102" s="598"/>
      <c r="AX102" s="598"/>
      <c r="AY102" s="598"/>
      <c r="AZ102" s="598"/>
      <c r="BA102" s="598"/>
      <c r="BB102" s="598"/>
      <c r="BC102" s="599"/>
      <c r="BD102" s="598"/>
      <c r="BE102" s="598"/>
      <c r="BF102" s="598"/>
      <c r="BG102" s="598"/>
      <c r="BH102" s="598"/>
      <c r="BI102" s="598"/>
      <c r="BJ102" s="598"/>
      <c r="BK102" s="598"/>
      <c r="BL102" s="598"/>
      <c r="BM102" s="598"/>
      <c r="BN102" s="598"/>
      <c r="BO102" s="598"/>
      <c r="BP102" s="598"/>
      <c r="BQ102" s="598"/>
      <c r="BR102" s="598"/>
      <c r="BS102" s="598"/>
    </row>
    <row r="103" spans="1:71" s="202" customFormat="1" ht="13.15">
      <c r="A103" s="453"/>
      <c r="B103" s="453"/>
      <c r="C103" s="453"/>
      <c r="D103" s="453"/>
      <c r="E103" s="583" t="str">
        <f>InpPerformance!E$19</f>
        <v>ODI is calculated in decimal minutes, but the performance commitment is specified in HH:MM:SS</v>
      </c>
      <c r="F103" s="583"/>
      <c r="G103" s="583" t="str">
        <f>InpPerformance!G$19</f>
        <v>TRUE or FALSE</v>
      </c>
      <c r="H103" s="583"/>
      <c r="I103" s="583"/>
      <c r="J103" s="591" t="b">
        <f>InpPerformance!J$19</f>
        <v>0</v>
      </c>
      <c r="K103" s="591" t="b">
        <f>InpPerformance!K$19</f>
        <v>1</v>
      </c>
      <c r="L103" s="591" t="b">
        <f>InpPerformance!L$19</f>
        <v>0</v>
      </c>
      <c r="M103" s="591" t="b">
        <f>InpPerformance!M$19</f>
        <v>0</v>
      </c>
      <c r="N103" s="591" t="b">
        <f>InpPerformance!N$19</f>
        <v>0</v>
      </c>
      <c r="O103" s="591" t="b">
        <f>InpPerformance!O$19</f>
        <v>0</v>
      </c>
      <c r="P103" s="591" t="b">
        <f>InpPerformance!P$19</f>
        <v>0</v>
      </c>
      <c r="Q103" s="592" t="b">
        <f>InpPerformance!Q$19</f>
        <v>0</v>
      </c>
      <c r="R103" s="591" t="b">
        <f>InpPerformance!R$19</f>
        <v>0</v>
      </c>
      <c r="S103" s="591" t="b">
        <f>InpPerformance!S$19</f>
        <v>0</v>
      </c>
      <c r="T103" s="591" t="b">
        <f>InpPerformance!T$19</f>
        <v>0</v>
      </c>
      <c r="U103" s="591" t="b">
        <f>InpPerformance!U$19</f>
        <v>0</v>
      </c>
      <c r="V103" s="591" t="b">
        <f>InpPerformance!V$19</f>
        <v>0</v>
      </c>
      <c r="W103" s="591" t="b">
        <f>InpPerformance!W$19</f>
        <v>0</v>
      </c>
      <c r="X103" s="591" t="b">
        <f>InpPerformance!X$19</f>
        <v>0</v>
      </c>
      <c r="Y103" s="591" t="b">
        <f>InpPerformance!Y$19</f>
        <v>0</v>
      </c>
      <c r="Z103" s="591" t="b">
        <f>InpPerformance!Z$19</f>
        <v>0</v>
      </c>
      <c r="AA103" s="591" t="b">
        <f>InpPerformance!AA$19</f>
        <v>0</v>
      </c>
      <c r="AB103" s="591" t="b">
        <f>InpPerformance!AB$19</f>
        <v>0</v>
      </c>
      <c r="AC103" s="591" t="b">
        <f>InpPerformance!AC$19</f>
        <v>0</v>
      </c>
      <c r="AD103" s="591" t="b">
        <f>InpPerformance!AD$19</f>
        <v>0</v>
      </c>
      <c r="AE103" s="591" t="b">
        <f>InpPerformance!AE$19</f>
        <v>0</v>
      </c>
      <c r="AF103" s="591" t="b">
        <f>InpPerformance!AF$19</f>
        <v>0</v>
      </c>
      <c r="AG103" s="591" t="b">
        <f>InpPerformance!AG$19</f>
        <v>0</v>
      </c>
      <c r="AH103" s="591" t="b">
        <f>InpPerformance!AH$19</f>
        <v>0</v>
      </c>
      <c r="AI103" s="591" t="b">
        <f>InpPerformance!AI$19</f>
        <v>0</v>
      </c>
      <c r="AJ103" s="591" t="b">
        <f>InpPerformance!AJ$19</f>
        <v>0</v>
      </c>
      <c r="AK103" s="592" t="b">
        <f>InpPerformance!AK$19</f>
        <v>0</v>
      </c>
      <c r="AL103" s="591" t="b">
        <f>InpPerformance!AL$19</f>
        <v>0</v>
      </c>
      <c r="AM103" s="591" t="b">
        <f>InpPerformance!AM$19</f>
        <v>0</v>
      </c>
      <c r="AN103" s="591" t="b">
        <f>InpPerformance!AN$19</f>
        <v>0</v>
      </c>
      <c r="AO103" s="592" t="b">
        <f>InpPerformance!AO$19</f>
        <v>0</v>
      </c>
      <c r="AP103" s="591" t="b">
        <f>InpPerformance!AP$19</f>
        <v>0</v>
      </c>
      <c r="AQ103" s="591" t="b">
        <f>InpPerformance!AQ$19</f>
        <v>0</v>
      </c>
      <c r="AR103" s="591" t="b">
        <f>InpPerformance!AR$19</f>
        <v>0</v>
      </c>
      <c r="AS103" s="591" t="b">
        <f>InpPerformance!AS$19</f>
        <v>0</v>
      </c>
      <c r="AT103" s="591" t="b">
        <f>InpPerformance!AT$19</f>
        <v>0</v>
      </c>
      <c r="AU103" s="591" t="b">
        <f>InpPerformance!AU$19</f>
        <v>0</v>
      </c>
      <c r="AV103" s="591" t="b">
        <f>InpPerformance!AV$19</f>
        <v>0</v>
      </c>
      <c r="AW103" s="591" t="b">
        <f>InpPerformance!AW$19</f>
        <v>0</v>
      </c>
      <c r="AX103" s="591" t="b">
        <f>InpPerformance!AX$19</f>
        <v>0</v>
      </c>
      <c r="AY103" s="591" t="b">
        <f>InpPerformance!AY$19</f>
        <v>0</v>
      </c>
      <c r="AZ103" s="591" t="b">
        <f>InpPerformance!AZ$19</f>
        <v>0</v>
      </c>
      <c r="BA103" s="591" t="b">
        <f>InpPerformance!BA$19</f>
        <v>0</v>
      </c>
      <c r="BB103" s="591" t="b">
        <f>InpPerformance!BB$19</f>
        <v>0</v>
      </c>
      <c r="BC103" s="592" t="b">
        <f>InpPerformance!BC$19</f>
        <v>0</v>
      </c>
      <c r="BD103" s="591" t="b">
        <f>InpPerformance!BD$19</f>
        <v>0</v>
      </c>
      <c r="BE103" s="591" t="b">
        <f>InpPerformance!BE$19</f>
        <v>0</v>
      </c>
      <c r="BF103" s="591" t="b">
        <f>InpPerformance!BF$19</f>
        <v>0</v>
      </c>
      <c r="BG103" s="591" t="b">
        <f>InpPerformance!BG$19</f>
        <v>0</v>
      </c>
      <c r="BH103" s="591" t="b">
        <f>InpPerformance!BH$19</f>
        <v>0</v>
      </c>
      <c r="BI103" s="591" t="b">
        <f>InpPerformance!BI$19</f>
        <v>0</v>
      </c>
      <c r="BJ103" s="591" t="b">
        <f>InpPerformance!BJ$19</f>
        <v>0</v>
      </c>
      <c r="BK103" s="591" t="b">
        <f>InpPerformance!BK$19</f>
        <v>0</v>
      </c>
      <c r="BL103" s="591" t="b">
        <f>InpPerformance!BL$19</f>
        <v>0</v>
      </c>
      <c r="BM103" s="591" t="b">
        <f>InpPerformance!BM$19</f>
        <v>0</v>
      </c>
      <c r="BN103" s="591" t="b">
        <f>InpPerformance!BN$19</f>
        <v>0</v>
      </c>
      <c r="BO103" s="591" t="b">
        <f>InpPerformance!BO$19</f>
        <v>0</v>
      </c>
      <c r="BP103" s="591" t="b">
        <f>InpPerformance!BP$19</f>
        <v>0</v>
      </c>
      <c r="BQ103" s="591" t="b">
        <f>InpPerformance!BQ$19</f>
        <v>0</v>
      </c>
      <c r="BR103" s="591" t="b">
        <f>InpPerformance!BR$19</f>
        <v>0</v>
      </c>
      <c r="BS103" s="591" t="b">
        <f>InpPerformance!BS$19</f>
        <v>0</v>
      </c>
    </row>
    <row r="104" spans="1:71" s="202" customFormat="1" ht="13.15">
      <c r="A104" s="453"/>
      <c r="B104" s="453"/>
      <c r="C104" s="453"/>
      <c r="D104" s="453"/>
      <c r="E104" s="453" t="s">
        <v>1209</v>
      </c>
      <c r="F104" s="453"/>
      <c r="G104" s="453" t="s">
        <v>1158</v>
      </c>
      <c r="H104" s="453"/>
      <c r="I104" s="453"/>
      <c r="J104" s="600">
        <f>IF(AND(J103=TRUE,J75=TRUE),J100*24*60,J100)</f>
        <v>0</v>
      </c>
      <c r="K104" s="600">
        <f t="shared" ref="K104:BS104" si="35">IF(AND(K103=TRUE,K75=TRUE),K100*24*60,K100)</f>
        <v>0</v>
      </c>
      <c r="L104" s="600">
        <f t="shared" si="35"/>
        <v>0</v>
      </c>
      <c r="M104" s="600">
        <f>IF(AND(M103=TRUE,M75=TRUE),M100*24*60,M100)</f>
        <v>0</v>
      </c>
      <c r="N104" s="600">
        <f t="shared" si="35"/>
        <v>0</v>
      </c>
      <c r="O104" s="600">
        <f>IF(AND(O103=TRUE,O75=TRUE),O100*24*60,O100)</f>
        <v>0</v>
      </c>
      <c r="P104" s="600">
        <f t="shared" si="35"/>
        <v>0</v>
      </c>
      <c r="Q104" s="601">
        <f t="shared" si="35"/>
        <v>0</v>
      </c>
      <c r="R104" s="600">
        <f t="shared" si="35"/>
        <v>0</v>
      </c>
      <c r="S104" s="600">
        <f t="shared" si="35"/>
        <v>0</v>
      </c>
      <c r="T104" s="600">
        <f t="shared" si="35"/>
        <v>0</v>
      </c>
      <c r="U104" s="600">
        <f t="shared" si="35"/>
        <v>0</v>
      </c>
      <c r="V104" s="600">
        <f t="shared" si="35"/>
        <v>0</v>
      </c>
      <c r="W104" s="600">
        <f t="shared" si="35"/>
        <v>0</v>
      </c>
      <c r="X104" s="600">
        <f t="shared" si="35"/>
        <v>0</v>
      </c>
      <c r="Y104" s="600">
        <f t="shared" si="35"/>
        <v>0</v>
      </c>
      <c r="Z104" s="600">
        <f t="shared" si="35"/>
        <v>0</v>
      </c>
      <c r="AA104" s="600">
        <f t="shared" si="35"/>
        <v>0</v>
      </c>
      <c r="AB104" s="600">
        <f t="shared" si="35"/>
        <v>0</v>
      </c>
      <c r="AC104" s="600">
        <f t="shared" si="35"/>
        <v>0</v>
      </c>
      <c r="AD104" s="600">
        <f t="shared" si="35"/>
        <v>0</v>
      </c>
      <c r="AE104" s="600">
        <f t="shared" si="35"/>
        <v>0</v>
      </c>
      <c r="AF104" s="600">
        <f t="shared" si="35"/>
        <v>0</v>
      </c>
      <c r="AG104" s="600">
        <f t="shared" si="35"/>
        <v>0</v>
      </c>
      <c r="AH104" s="600">
        <f t="shared" si="35"/>
        <v>0</v>
      </c>
      <c r="AI104" s="600">
        <f t="shared" si="35"/>
        <v>0</v>
      </c>
      <c r="AJ104" s="600">
        <f t="shared" si="35"/>
        <v>0</v>
      </c>
      <c r="AK104" s="601">
        <f t="shared" si="35"/>
        <v>0</v>
      </c>
      <c r="AL104" s="600">
        <f t="shared" si="35"/>
        <v>0</v>
      </c>
      <c r="AM104" s="600">
        <f t="shared" si="35"/>
        <v>0</v>
      </c>
      <c r="AN104" s="600">
        <f t="shared" si="35"/>
        <v>0</v>
      </c>
      <c r="AO104" s="601">
        <f t="shared" si="35"/>
        <v>0</v>
      </c>
      <c r="AP104" s="600">
        <f t="shared" si="35"/>
        <v>0</v>
      </c>
      <c r="AQ104" s="600">
        <f t="shared" si="35"/>
        <v>0</v>
      </c>
      <c r="AR104" s="600">
        <f t="shared" si="35"/>
        <v>0</v>
      </c>
      <c r="AS104" s="600">
        <f t="shared" si="35"/>
        <v>0</v>
      </c>
      <c r="AT104" s="600">
        <f t="shared" si="35"/>
        <v>0</v>
      </c>
      <c r="AU104" s="600">
        <f t="shared" si="35"/>
        <v>0</v>
      </c>
      <c r="AV104" s="600">
        <f t="shared" si="35"/>
        <v>0</v>
      </c>
      <c r="AW104" s="600">
        <f t="shared" si="35"/>
        <v>0</v>
      </c>
      <c r="AX104" s="600">
        <f t="shared" si="35"/>
        <v>0</v>
      </c>
      <c r="AY104" s="600">
        <f t="shared" si="35"/>
        <v>0</v>
      </c>
      <c r="AZ104" s="600">
        <f t="shared" si="35"/>
        <v>0</v>
      </c>
      <c r="BA104" s="600">
        <f t="shared" si="35"/>
        <v>0</v>
      </c>
      <c r="BB104" s="600">
        <f t="shared" si="35"/>
        <v>0</v>
      </c>
      <c r="BC104" s="601">
        <f t="shared" si="35"/>
        <v>0</v>
      </c>
      <c r="BD104" s="600">
        <f t="shared" si="35"/>
        <v>0</v>
      </c>
      <c r="BE104" s="600">
        <f t="shared" si="35"/>
        <v>0</v>
      </c>
      <c r="BF104" s="600">
        <f>IF(AND(BF103=TRUE,BF75=TRUE),BF100*24*60,BF100)</f>
        <v>0</v>
      </c>
      <c r="BG104" s="600">
        <f>IF(AND(BG103=TRUE,BG75=TRUE),BG100*24*60,BG100)</f>
        <v>0</v>
      </c>
      <c r="BH104" s="600">
        <f t="shared" si="35"/>
        <v>0</v>
      </c>
      <c r="BI104" s="600">
        <f t="shared" si="35"/>
        <v>0</v>
      </c>
      <c r="BJ104" s="600">
        <f t="shared" si="35"/>
        <v>0</v>
      </c>
      <c r="BK104" s="600">
        <f t="shared" si="35"/>
        <v>0</v>
      </c>
      <c r="BL104" s="600">
        <f t="shared" si="35"/>
        <v>0</v>
      </c>
      <c r="BM104" s="600">
        <f t="shared" si="35"/>
        <v>0</v>
      </c>
      <c r="BN104" s="600">
        <f t="shared" si="35"/>
        <v>0</v>
      </c>
      <c r="BO104" s="600">
        <f t="shared" si="35"/>
        <v>0</v>
      </c>
      <c r="BP104" s="600">
        <f t="shared" si="35"/>
        <v>0</v>
      </c>
      <c r="BQ104" s="600">
        <f t="shared" si="35"/>
        <v>0</v>
      </c>
      <c r="BR104" s="600">
        <f t="shared" si="35"/>
        <v>0</v>
      </c>
      <c r="BS104" s="600">
        <f t="shared" si="35"/>
        <v>0</v>
      </c>
    </row>
    <row r="105" spans="1:71" s="202" customFormat="1" ht="13.15">
      <c r="A105" s="583"/>
      <c r="B105" s="583"/>
      <c r="C105" s="583"/>
      <c r="D105" s="583"/>
      <c r="E105" s="583" t="str">
        <f>InpPerformance!E$20</f>
        <v>ODI is calculated as a percentage difference to a baseline</v>
      </c>
      <c r="F105" s="583"/>
      <c r="G105" s="583" t="str">
        <f>InpPerformance!G$20</f>
        <v>TRUE or FALSE</v>
      </c>
      <c r="H105" s="583"/>
      <c r="I105" s="583"/>
      <c r="J105" s="591" t="b">
        <f>InpPerformance!J$20</f>
        <v>0</v>
      </c>
      <c r="K105" s="591" t="b">
        <f>InpPerformance!K$20</f>
        <v>0</v>
      </c>
      <c r="L105" s="591" t="b">
        <f>InpPerformance!L$20</f>
        <v>1</v>
      </c>
      <c r="M105" s="591" t="b">
        <f>InpPerformance!M$20</f>
        <v>1</v>
      </c>
      <c r="N105" s="591" t="b">
        <f>InpPerformance!N$20</f>
        <v>1</v>
      </c>
      <c r="O105" s="591" t="b">
        <f>InpPerformance!O$20</f>
        <v>1</v>
      </c>
      <c r="P105" s="591" t="b">
        <f>InpPerformance!P$20</f>
        <v>0</v>
      </c>
      <c r="Q105" s="592" t="b">
        <f>InpPerformance!Q$20</f>
        <v>0</v>
      </c>
      <c r="R105" s="591" t="b">
        <f>InpPerformance!R$20</f>
        <v>0</v>
      </c>
      <c r="S105" s="591" t="b">
        <f>InpPerformance!S$20</f>
        <v>0</v>
      </c>
      <c r="T105" s="591" t="b">
        <f>InpPerformance!T$20</f>
        <v>0</v>
      </c>
      <c r="U105" s="591" t="b">
        <f>InpPerformance!U$20</f>
        <v>0</v>
      </c>
      <c r="V105" s="591" t="b">
        <f>InpPerformance!V$20</f>
        <v>0</v>
      </c>
      <c r="W105" s="591" t="b">
        <f>InpPerformance!W$20</f>
        <v>0</v>
      </c>
      <c r="X105" s="591" t="b">
        <f>InpPerformance!X$20</f>
        <v>0</v>
      </c>
      <c r="Y105" s="591" t="b">
        <f>InpPerformance!Y$20</f>
        <v>0</v>
      </c>
      <c r="Z105" s="591" t="b">
        <f>InpPerformance!Z$20</f>
        <v>0</v>
      </c>
      <c r="AA105" s="591" t="b">
        <f>InpPerformance!AA$20</f>
        <v>0</v>
      </c>
      <c r="AB105" s="591" t="b">
        <f>InpPerformance!AB$20</f>
        <v>0</v>
      </c>
      <c r="AC105" s="591" t="b">
        <f>InpPerformance!AC$20</f>
        <v>0</v>
      </c>
      <c r="AD105" s="591" t="b">
        <f>InpPerformance!AD$20</f>
        <v>0</v>
      </c>
      <c r="AE105" s="591" t="b">
        <f>InpPerformance!AE$20</f>
        <v>0</v>
      </c>
      <c r="AF105" s="591" t="b">
        <f>InpPerformance!AF$20</f>
        <v>0</v>
      </c>
      <c r="AG105" s="591" t="b">
        <f>InpPerformance!AG$20</f>
        <v>0</v>
      </c>
      <c r="AH105" s="591" t="b">
        <f>InpPerformance!AH$20</f>
        <v>0</v>
      </c>
      <c r="AI105" s="591" t="b">
        <f>InpPerformance!AI$20</f>
        <v>0</v>
      </c>
      <c r="AJ105" s="591" t="b">
        <f>InpPerformance!AJ$20</f>
        <v>0</v>
      </c>
      <c r="AK105" s="592" t="b">
        <f>InpPerformance!AK$20</f>
        <v>0</v>
      </c>
      <c r="AL105" s="591" t="b">
        <f>InpPerformance!AL$20</f>
        <v>0</v>
      </c>
      <c r="AM105" s="591" t="b">
        <f>InpPerformance!AM$20</f>
        <v>0</v>
      </c>
      <c r="AN105" s="591" t="b">
        <f>InpPerformance!AN$20</f>
        <v>0</v>
      </c>
      <c r="AO105" s="592" t="b">
        <f>InpPerformance!AO$20</f>
        <v>0</v>
      </c>
      <c r="AP105" s="591" t="b">
        <f>InpPerformance!AP$20</f>
        <v>0</v>
      </c>
      <c r="AQ105" s="591" t="b">
        <f>InpPerformance!AQ$20</f>
        <v>0</v>
      </c>
      <c r="AR105" s="591" t="b">
        <f>InpPerformance!AR$20</f>
        <v>0</v>
      </c>
      <c r="AS105" s="591" t="b">
        <f>InpPerformance!AS$20</f>
        <v>0</v>
      </c>
      <c r="AT105" s="591" t="b">
        <f>InpPerformance!AT$20</f>
        <v>0</v>
      </c>
      <c r="AU105" s="591" t="b">
        <f>InpPerformance!AU$20</f>
        <v>0</v>
      </c>
      <c r="AV105" s="591" t="b">
        <f>InpPerformance!AV$20</f>
        <v>0</v>
      </c>
      <c r="AW105" s="591" t="b">
        <f>InpPerformance!AW$20</f>
        <v>0</v>
      </c>
      <c r="AX105" s="591" t="b">
        <f>InpPerformance!AX$20</f>
        <v>0</v>
      </c>
      <c r="AY105" s="591" t="b">
        <f>InpPerformance!AY$20</f>
        <v>0</v>
      </c>
      <c r="AZ105" s="591" t="b">
        <f>InpPerformance!AZ$20</f>
        <v>0</v>
      </c>
      <c r="BA105" s="591" t="b">
        <f>InpPerformance!BA$20</f>
        <v>0</v>
      </c>
      <c r="BB105" s="591" t="b">
        <f>InpPerformance!BB$20</f>
        <v>0</v>
      </c>
      <c r="BC105" s="592" t="b">
        <f>InpPerformance!BC$20</f>
        <v>0</v>
      </c>
      <c r="BD105" s="591" t="b">
        <f>InpPerformance!BD$20</f>
        <v>0</v>
      </c>
      <c r="BE105" s="591" t="b">
        <f>InpPerformance!BE$20</f>
        <v>0</v>
      </c>
      <c r="BF105" s="591" t="b">
        <f>InpPerformance!BF$20</f>
        <v>0</v>
      </c>
      <c r="BG105" s="591" t="b">
        <f>InpPerformance!BG$20</f>
        <v>0</v>
      </c>
      <c r="BH105" s="591" t="b">
        <f>InpPerformance!BH$20</f>
        <v>0</v>
      </c>
      <c r="BI105" s="591" t="b">
        <f>InpPerformance!BI$20</f>
        <v>0</v>
      </c>
      <c r="BJ105" s="591" t="b">
        <f>InpPerformance!BJ$20</f>
        <v>0</v>
      </c>
      <c r="BK105" s="591" t="b">
        <f>InpPerformance!BK$20</f>
        <v>0</v>
      </c>
      <c r="BL105" s="591" t="b">
        <f>InpPerformance!BL$20</f>
        <v>0</v>
      </c>
      <c r="BM105" s="591" t="b">
        <f>InpPerformance!BM$20</f>
        <v>0</v>
      </c>
      <c r="BN105" s="591" t="b">
        <f>InpPerformance!BN$20</f>
        <v>0</v>
      </c>
      <c r="BO105" s="591" t="b">
        <f>InpPerformance!BO$20</f>
        <v>0</v>
      </c>
      <c r="BP105" s="591" t="b">
        <f>InpPerformance!BP$20</f>
        <v>0</v>
      </c>
      <c r="BQ105" s="591" t="b">
        <f>InpPerformance!BQ$20</f>
        <v>0</v>
      </c>
      <c r="BR105" s="591" t="b">
        <f>InpPerformance!BR$20</f>
        <v>0</v>
      </c>
      <c r="BS105" s="591" t="b">
        <f>InpPerformance!BS$20</f>
        <v>0</v>
      </c>
    </row>
    <row r="106" spans="1:71" s="228" customFormat="1" ht="13.15">
      <c r="A106" s="583"/>
      <c r="B106" s="583"/>
      <c r="C106" s="583"/>
      <c r="D106" s="583"/>
      <c r="E106" s="583" t="str">
        <f>InpPerformance!E$8</f>
        <v>Baseline (if applicable)</v>
      </c>
      <c r="F106" s="583"/>
      <c r="G106" s="583" t="str">
        <f>InpPerformance!G$8</f>
        <v>Baseline unit</v>
      </c>
      <c r="H106" s="583"/>
      <c r="I106" s="583"/>
      <c r="J106" s="588" t="str">
        <f>IF(InpPerformance!J$8&lt;&gt;"",ROUND(InpPerformance!J$8,1),"")</f>
        <v/>
      </c>
      <c r="K106" s="588" t="str">
        <f>IF(InpPerformance!K$8&lt;&gt;"",ROUND(InpPerformance!K$8,1),"")</f>
        <v/>
      </c>
      <c r="L106" s="588">
        <f>IF(InpPerformance!L$8&lt;&gt;"",ROUND(InpPerformance!L$8,1),"")</f>
        <v>99.9</v>
      </c>
      <c r="M106" s="588" t="str">
        <f>IF(InpPerformance!M$8&lt;&gt;"",ROUND(InpPerformance!M$8,1),"")</f>
        <v/>
      </c>
      <c r="N106" s="588">
        <f>IF(InpPerformance!N$8&lt;&gt;"",ROUND(InpPerformance!N$8,1),"")</f>
        <v>128</v>
      </c>
      <c r="O106" s="588" t="str">
        <f>IF(InpPerformance!O$8&lt;&gt;"",ROUND(InpPerformance!O$8,1),"")</f>
        <v/>
      </c>
      <c r="P106" s="588" t="str">
        <f>IF(InpPerformance!P$8&lt;&gt;"",ROUND(InpPerformance!P$8,1),"")</f>
        <v/>
      </c>
      <c r="Q106" s="590" t="str">
        <f>IF(InpPerformance!Q$8&lt;&gt;"",ROUND(InpPerformance!Q$8,1),"")</f>
        <v/>
      </c>
      <c r="R106" s="588" t="str">
        <f>IF(InpPerformance!R$8&lt;&gt;"",ROUND(InpPerformance!R$8,1),"")</f>
        <v/>
      </c>
      <c r="S106" s="588" t="str">
        <f>IF(InpPerformance!S$8&lt;&gt;"",ROUND(InpPerformance!S$8,1),"")</f>
        <v/>
      </c>
      <c r="T106" s="588" t="str">
        <f>IF(InpPerformance!T$8&lt;&gt;"",ROUND(InpPerformance!T$8,1),"")</f>
        <v/>
      </c>
      <c r="U106" s="588" t="str">
        <f>IF(InpPerformance!U$8&lt;&gt;"",ROUND(InpPerformance!U$8,1),"")</f>
        <v/>
      </c>
      <c r="V106" s="588" t="str">
        <f>IF(InpPerformance!V$8&lt;&gt;"",ROUND(InpPerformance!V$8,1),"")</f>
        <v/>
      </c>
      <c r="W106" s="588" t="str">
        <f>IF(InpPerformance!W$8&lt;&gt;"",ROUND(InpPerformance!W$8,1),"")</f>
        <v/>
      </c>
      <c r="X106" s="588" t="str">
        <f>IF(InpPerformance!X$8&lt;&gt;"",ROUND(InpPerformance!X$8,1),"")</f>
        <v/>
      </c>
      <c r="Y106" s="588" t="str">
        <f>IF(InpPerformance!Y$8&lt;&gt;"",ROUND(InpPerformance!Y$8,1),"")</f>
        <v/>
      </c>
      <c r="Z106" s="588" t="str">
        <f>IF(InpPerformance!Z$8&lt;&gt;"",ROUND(InpPerformance!Z$8,1),"")</f>
        <v/>
      </c>
      <c r="AA106" s="588" t="str">
        <f>IF(InpPerformance!AA$8&lt;&gt;"",ROUND(InpPerformance!AA$8,1),"")</f>
        <v/>
      </c>
      <c r="AB106" s="588" t="str">
        <f>IF(InpPerformance!AB$8&lt;&gt;"",ROUND(InpPerformance!AB$8,1),"")</f>
        <v/>
      </c>
      <c r="AC106" s="588" t="str">
        <f>IF(InpPerformance!AC$8&lt;&gt;"",ROUND(InpPerformance!AC$8,1),"")</f>
        <v/>
      </c>
      <c r="AD106" s="588" t="str">
        <f>IF(InpPerformance!AD$8&lt;&gt;"",ROUND(InpPerformance!AD$8,1),"")</f>
        <v/>
      </c>
      <c r="AE106" s="588" t="str">
        <f>IF(InpPerformance!AE$8&lt;&gt;"",ROUND(InpPerformance!AE$8,1),"")</f>
        <v/>
      </c>
      <c r="AF106" s="588" t="str">
        <f>IF(InpPerformance!AF$8&lt;&gt;"",ROUND(InpPerformance!AF$8,1),"")</f>
        <v/>
      </c>
      <c r="AG106" s="588" t="str">
        <f>IF(InpPerformance!AG$8&lt;&gt;"",ROUND(InpPerformance!AG$8,1),"")</f>
        <v/>
      </c>
      <c r="AH106" s="588" t="str">
        <f>IF(InpPerformance!AH$8&lt;&gt;"",ROUND(InpPerformance!AH$8,1),"")</f>
        <v/>
      </c>
      <c r="AI106" s="588" t="str">
        <f>IF(InpPerformance!AI$8&lt;&gt;"",ROUND(InpPerformance!AI$8,1),"")</f>
        <v/>
      </c>
      <c r="AJ106" s="588" t="str">
        <f>IF(InpPerformance!AJ$8&lt;&gt;"",ROUND(InpPerformance!AJ$8,1),"")</f>
        <v/>
      </c>
      <c r="AK106" s="590" t="str">
        <f>IF(InpPerformance!AK$8&lt;&gt;"",ROUND(InpPerformance!AK$8,1),"")</f>
        <v/>
      </c>
      <c r="AL106" s="588" t="str">
        <f>IF(InpPerformance!AL$8&lt;&gt;"",ROUND(InpPerformance!AL$8,1),"")</f>
        <v/>
      </c>
      <c r="AM106" s="588" t="str">
        <f>IF(InpPerformance!AM$8&lt;&gt;"",ROUND(InpPerformance!AM$8,1),"")</f>
        <v/>
      </c>
      <c r="AN106" s="588" t="str">
        <f>IF(InpPerformance!AN$8&lt;&gt;"",ROUND(InpPerformance!AN$8,1),"")</f>
        <v/>
      </c>
      <c r="AO106" s="590" t="str">
        <f>IF(InpPerformance!AO$8&lt;&gt;"",ROUND(InpPerformance!AO$8,1),"")</f>
        <v/>
      </c>
      <c r="AP106" s="588" t="str">
        <f>IF(InpPerformance!AP$8&lt;&gt;"",ROUND(InpPerformance!AP$8,1),"")</f>
        <v/>
      </c>
      <c r="AQ106" s="588" t="str">
        <f>IF(InpPerformance!AQ$8&lt;&gt;"",ROUND(InpPerformance!AQ$8,1),"")</f>
        <v/>
      </c>
      <c r="AR106" s="588" t="str">
        <f>IF(InpPerformance!AR$8&lt;&gt;"",ROUND(InpPerformance!AR$8,1),"")</f>
        <v/>
      </c>
      <c r="AS106" s="588" t="str">
        <f>IF(InpPerformance!AS$8&lt;&gt;"",ROUND(InpPerformance!AS$8,1),"")</f>
        <v/>
      </c>
      <c r="AT106" s="588" t="str">
        <f>IF(InpPerformance!AT$8&lt;&gt;"",ROUND(InpPerformance!AT$8,1),"")</f>
        <v/>
      </c>
      <c r="AU106" s="588" t="str">
        <f>IF(InpPerformance!AU$8&lt;&gt;"",ROUND(InpPerformance!AU$8,1),"")</f>
        <v/>
      </c>
      <c r="AV106" s="588" t="str">
        <f>IF(InpPerformance!AV$8&lt;&gt;"",ROUND(InpPerformance!AV$8,1),"")</f>
        <v/>
      </c>
      <c r="AW106" s="588" t="str">
        <f>IF(InpPerformance!AW$8&lt;&gt;"",ROUND(InpPerformance!AW$8,1),"")</f>
        <v/>
      </c>
      <c r="AX106" s="588" t="str">
        <f>IF(InpPerformance!AX$8&lt;&gt;"",ROUND(InpPerformance!AX$8,1),"")</f>
        <v/>
      </c>
      <c r="AY106" s="588" t="str">
        <f>IF(InpPerformance!AY$8&lt;&gt;"",ROUND(InpPerformance!AY$8,1),"")</f>
        <v/>
      </c>
      <c r="AZ106" s="588" t="str">
        <f>IF(InpPerformance!AZ$8&lt;&gt;"",ROUND(InpPerformance!AZ$8,1),"")</f>
        <v/>
      </c>
      <c r="BA106" s="588" t="str">
        <f>IF(InpPerformance!BA$8&lt;&gt;"",ROUND(InpPerformance!BA$8,1),"")</f>
        <v/>
      </c>
      <c r="BB106" s="588" t="str">
        <f>IF(InpPerformance!BB$8&lt;&gt;"",ROUND(InpPerformance!BB$8,1),"")</f>
        <v/>
      </c>
      <c r="BC106" s="590" t="str">
        <f>IF(InpPerformance!BC$8&lt;&gt;"",ROUND(InpPerformance!BC$8,1),"")</f>
        <v/>
      </c>
      <c r="BD106" s="588" t="str">
        <f>IF(InpPerformance!BD$8&lt;&gt;"",ROUND(InpPerformance!BD$8,1),"")</f>
        <v/>
      </c>
      <c r="BE106" s="588" t="str">
        <f>IF(InpPerformance!BE$8&lt;&gt;"",ROUND(InpPerformance!BE$8,1),"")</f>
        <v/>
      </c>
      <c r="BF106" s="588" t="str">
        <f>IF(InpPerformance!BF$8&lt;&gt;"",ROUND(InpPerformance!BF$8,1),"")</f>
        <v/>
      </c>
      <c r="BG106" s="588" t="str">
        <f>IF(InpPerformance!BG$8&lt;&gt;"",ROUND(InpPerformance!BG$8,1),"")</f>
        <v/>
      </c>
      <c r="BH106" s="588" t="str">
        <f>IF(InpPerformance!BH$8&lt;&gt;"",ROUND(InpPerformance!BH$8,1),"")</f>
        <v/>
      </c>
      <c r="BI106" s="588" t="str">
        <f>IF(InpPerformance!BI$8&lt;&gt;"",ROUND(InpPerformance!BI$8,1),"")</f>
        <v/>
      </c>
      <c r="BJ106" s="588" t="str">
        <f>IF(InpPerformance!BJ$8&lt;&gt;"",ROUND(InpPerformance!BJ$8,1),"")</f>
        <v/>
      </c>
      <c r="BK106" s="588" t="str">
        <f>IF(InpPerformance!BK$8&lt;&gt;"",ROUND(InpPerformance!BK$8,1),"")</f>
        <v/>
      </c>
      <c r="BL106" s="588" t="str">
        <f>IF(InpPerformance!BL$8&lt;&gt;"",ROUND(InpPerformance!BL$8,1),"")</f>
        <v/>
      </c>
      <c r="BM106" s="588" t="str">
        <f>IF(InpPerformance!BM$8&lt;&gt;"",ROUND(InpPerformance!BM$8,1),"")</f>
        <v/>
      </c>
      <c r="BN106" s="588" t="str">
        <f>IF(InpPerformance!BN$8&lt;&gt;"",ROUND(InpPerformance!BN$8,1),"")</f>
        <v/>
      </c>
      <c r="BO106" s="588" t="str">
        <f>IF(InpPerformance!BO$8&lt;&gt;"",ROUND(InpPerformance!BO$8,1),"")</f>
        <v/>
      </c>
      <c r="BP106" s="588" t="str">
        <f>IF(InpPerformance!BP$8&lt;&gt;"",ROUND(InpPerformance!BP$8,1),"")</f>
        <v/>
      </c>
      <c r="BQ106" s="588" t="str">
        <f>IF(InpPerformance!BQ$8&lt;&gt;"",ROUND(InpPerformance!BQ$8,1),"")</f>
        <v/>
      </c>
      <c r="BR106" s="588" t="str">
        <f>IF(InpPerformance!BR$8&lt;&gt;"",ROUND(InpPerformance!BR$8,1),"")</f>
        <v/>
      </c>
      <c r="BS106" s="588" t="str">
        <f>IF(InpPerformance!BS$8&lt;&gt;"",ROUND(InpPerformance!BS$8,1),"")</f>
        <v/>
      </c>
    </row>
    <row r="107" spans="1:71" s="202" customFormat="1" ht="13.15">
      <c r="A107" s="453"/>
      <c r="B107" s="453"/>
      <c r="C107" s="453"/>
      <c r="D107" s="453"/>
      <c r="E107" s="453" t="s">
        <v>1210</v>
      </c>
      <c r="F107" s="453"/>
      <c r="G107" s="453" t="s">
        <v>1158</v>
      </c>
      <c r="H107" s="453"/>
      <c r="I107" s="453"/>
      <c r="J107" s="600">
        <f>IF(AND(J105=TRUE,J75=TRUE),ROUND((J104/100)*J106,1),J104)</f>
        <v>0</v>
      </c>
      <c r="K107" s="600">
        <f t="shared" ref="K107:BS107" si="36">IF(AND(K105=TRUE,K75=TRUE),ROUND((K104/100)*K106,1),K104)</f>
        <v>0</v>
      </c>
      <c r="L107" s="600">
        <f t="shared" si="36"/>
        <v>0</v>
      </c>
      <c r="M107" s="600">
        <f>IF(AND(M105=TRUE,M75=TRUE),ROUND((M104/100)*M106,1),M104)</f>
        <v>0</v>
      </c>
      <c r="N107" s="600">
        <f t="shared" si="36"/>
        <v>0</v>
      </c>
      <c r="O107" s="600">
        <f>IF(AND(O105=TRUE,O75=TRUE),ROUND((O104/100)*O106,1),O104)</f>
        <v>0</v>
      </c>
      <c r="P107" s="600">
        <f t="shared" si="36"/>
        <v>0</v>
      </c>
      <c r="Q107" s="601">
        <f t="shared" si="36"/>
        <v>0</v>
      </c>
      <c r="R107" s="600">
        <f t="shared" si="36"/>
        <v>0</v>
      </c>
      <c r="S107" s="600">
        <f t="shared" si="36"/>
        <v>0</v>
      </c>
      <c r="T107" s="600">
        <f t="shared" si="36"/>
        <v>0</v>
      </c>
      <c r="U107" s="600">
        <f t="shared" si="36"/>
        <v>0</v>
      </c>
      <c r="V107" s="600">
        <f t="shared" si="36"/>
        <v>0</v>
      </c>
      <c r="W107" s="600">
        <f t="shared" si="36"/>
        <v>0</v>
      </c>
      <c r="X107" s="600">
        <f t="shared" si="36"/>
        <v>0</v>
      </c>
      <c r="Y107" s="600">
        <f t="shared" si="36"/>
        <v>0</v>
      </c>
      <c r="Z107" s="600">
        <f t="shared" si="36"/>
        <v>0</v>
      </c>
      <c r="AA107" s="600">
        <f t="shared" si="36"/>
        <v>0</v>
      </c>
      <c r="AB107" s="600">
        <f t="shared" si="36"/>
        <v>0</v>
      </c>
      <c r="AC107" s="600">
        <f t="shared" si="36"/>
        <v>0</v>
      </c>
      <c r="AD107" s="600">
        <f t="shared" si="36"/>
        <v>0</v>
      </c>
      <c r="AE107" s="600">
        <f t="shared" si="36"/>
        <v>0</v>
      </c>
      <c r="AF107" s="600">
        <f t="shared" si="36"/>
        <v>0</v>
      </c>
      <c r="AG107" s="600">
        <f t="shared" si="36"/>
        <v>0</v>
      </c>
      <c r="AH107" s="600">
        <f t="shared" si="36"/>
        <v>0</v>
      </c>
      <c r="AI107" s="600">
        <f t="shared" si="36"/>
        <v>0</v>
      </c>
      <c r="AJ107" s="600">
        <f t="shared" si="36"/>
        <v>0</v>
      </c>
      <c r="AK107" s="601">
        <f t="shared" si="36"/>
        <v>0</v>
      </c>
      <c r="AL107" s="600">
        <f t="shared" si="36"/>
        <v>0</v>
      </c>
      <c r="AM107" s="600">
        <f t="shared" si="36"/>
        <v>0</v>
      </c>
      <c r="AN107" s="600">
        <f t="shared" si="36"/>
        <v>0</v>
      </c>
      <c r="AO107" s="601">
        <f t="shared" si="36"/>
        <v>0</v>
      </c>
      <c r="AP107" s="600">
        <f t="shared" si="36"/>
        <v>0</v>
      </c>
      <c r="AQ107" s="600">
        <f t="shared" si="36"/>
        <v>0</v>
      </c>
      <c r="AR107" s="600">
        <f t="shared" si="36"/>
        <v>0</v>
      </c>
      <c r="AS107" s="600">
        <f t="shared" si="36"/>
        <v>0</v>
      </c>
      <c r="AT107" s="600">
        <f t="shared" si="36"/>
        <v>0</v>
      </c>
      <c r="AU107" s="600">
        <f t="shared" si="36"/>
        <v>0</v>
      </c>
      <c r="AV107" s="600">
        <f t="shared" si="36"/>
        <v>0</v>
      </c>
      <c r="AW107" s="600">
        <f t="shared" si="36"/>
        <v>0</v>
      </c>
      <c r="AX107" s="600">
        <f t="shared" si="36"/>
        <v>0</v>
      </c>
      <c r="AY107" s="600">
        <f t="shared" si="36"/>
        <v>0</v>
      </c>
      <c r="AZ107" s="600">
        <f t="shared" si="36"/>
        <v>0</v>
      </c>
      <c r="BA107" s="600">
        <f t="shared" si="36"/>
        <v>0</v>
      </c>
      <c r="BB107" s="600">
        <f t="shared" si="36"/>
        <v>0</v>
      </c>
      <c r="BC107" s="601">
        <f t="shared" si="36"/>
        <v>0</v>
      </c>
      <c r="BD107" s="600">
        <f t="shared" si="36"/>
        <v>0</v>
      </c>
      <c r="BE107" s="600">
        <f t="shared" si="36"/>
        <v>0</v>
      </c>
      <c r="BF107" s="600">
        <f>IF(AND(BF105=TRUE,BF75=TRUE),ROUND((BF104/100)*BF106,1),BF104)</f>
        <v>0</v>
      </c>
      <c r="BG107" s="600">
        <f>IF(AND(BG105=TRUE,BG75=TRUE),ROUND((BG104/100)*BG106,1),BG104)</f>
        <v>0</v>
      </c>
      <c r="BH107" s="600">
        <f t="shared" si="36"/>
        <v>0</v>
      </c>
      <c r="BI107" s="600">
        <f t="shared" si="36"/>
        <v>0</v>
      </c>
      <c r="BJ107" s="600">
        <f t="shared" si="36"/>
        <v>0</v>
      </c>
      <c r="BK107" s="600">
        <f t="shared" si="36"/>
        <v>0</v>
      </c>
      <c r="BL107" s="600">
        <f t="shared" si="36"/>
        <v>0</v>
      </c>
      <c r="BM107" s="600">
        <f t="shared" si="36"/>
        <v>0</v>
      </c>
      <c r="BN107" s="600">
        <f t="shared" si="36"/>
        <v>0</v>
      </c>
      <c r="BO107" s="600">
        <f t="shared" si="36"/>
        <v>0</v>
      </c>
      <c r="BP107" s="600">
        <f t="shared" si="36"/>
        <v>0</v>
      </c>
      <c r="BQ107" s="600">
        <f t="shared" si="36"/>
        <v>0</v>
      </c>
      <c r="BR107" s="600">
        <f t="shared" si="36"/>
        <v>0</v>
      </c>
      <c r="BS107" s="600">
        <f t="shared" si="36"/>
        <v>0</v>
      </c>
    </row>
    <row r="108" spans="1:71" s="202" customFormat="1" ht="13.15">
      <c r="A108" s="453"/>
      <c r="B108" s="453"/>
      <c r="C108" s="453"/>
      <c r="D108" s="453"/>
      <c r="E108" s="510"/>
      <c r="F108" s="510"/>
      <c r="G108" s="510"/>
      <c r="H108" s="510"/>
      <c r="I108" s="453"/>
      <c r="J108" s="523"/>
      <c r="K108" s="523"/>
      <c r="L108" s="523"/>
      <c r="M108" s="523"/>
      <c r="N108" s="523"/>
      <c r="O108" s="523"/>
      <c r="P108" s="523"/>
      <c r="Q108" s="524"/>
      <c r="R108" s="523"/>
      <c r="S108" s="523"/>
      <c r="T108" s="523"/>
      <c r="U108" s="523"/>
      <c r="V108" s="523"/>
      <c r="W108" s="523"/>
      <c r="X108" s="523"/>
      <c r="Y108" s="523"/>
      <c r="Z108" s="523"/>
      <c r="AA108" s="523"/>
      <c r="AB108" s="523"/>
      <c r="AC108" s="523"/>
      <c r="AD108" s="523"/>
      <c r="AE108" s="523"/>
      <c r="AF108" s="523"/>
      <c r="AG108" s="523"/>
      <c r="AH108" s="523"/>
      <c r="AI108" s="523"/>
      <c r="AJ108" s="523"/>
      <c r="AK108" s="524"/>
      <c r="AL108" s="523"/>
      <c r="AM108" s="523"/>
      <c r="AN108" s="523"/>
      <c r="AO108" s="524"/>
      <c r="AP108" s="523"/>
      <c r="AQ108" s="523"/>
      <c r="AR108" s="523"/>
      <c r="AS108" s="523"/>
      <c r="AT108" s="523"/>
      <c r="AU108" s="523"/>
      <c r="AV108" s="523"/>
      <c r="AW108" s="523"/>
      <c r="AX108" s="523"/>
      <c r="AY108" s="523"/>
      <c r="AZ108" s="523"/>
      <c r="BA108" s="523"/>
      <c r="BB108" s="523"/>
      <c r="BC108" s="524"/>
      <c r="BD108" s="523"/>
      <c r="BE108" s="523"/>
      <c r="BF108" s="523"/>
      <c r="BG108" s="523"/>
      <c r="BH108" s="523"/>
      <c r="BI108" s="523"/>
      <c r="BJ108" s="523"/>
      <c r="BK108" s="523"/>
      <c r="BL108" s="523"/>
      <c r="BM108" s="523"/>
      <c r="BN108" s="523"/>
      <c r="BO108" s="523"/>
      <c r="BP108" s="523"/>
      <c r="BQ108" s="523"/>
      <c r="BR108" s="523"/>
      <c r="BS108" s="523"/>
    </row>
    <row r="109" spans="1:71" s="202" customFormat="1" ht="13.15">
      <c r="A109" s="453"/>
      <c r="B109" s="453"/>
      <c r="C109" s="453"/>
      <c r="D109" s="453"/>
      <c r="E109" s="614" t="str">
        <f>E71</f>
        <v>Enhanced outperformance rate</v>
      </c>
      <c r="F109" s="510"/>
      <c r="G109" s="614" t="str">
        <f>G71</f>
        <v>£m/unit (2017-18 prices)</v>
      </c>
      <c r="H109" s="510"/>
      <c r="I109" s="453"/>
      <c r="J109" s="576" t="str">
        <f>J71</f>
        <v/>
      </c>
      <c r="K109" s="576" t="str">
        <f t="shared" ref="K109:BS109" si="37">K71</f>
        <v/>
      </c>
      <c r="L109" s="576" t="str">
        <f t="shared" si="37"/>
        <v/>
      </c>
      <c r="M109" s="576" t="str">
        <f>M71</f>
        <v/>
      </c>
      <c r="N109" s="576">
        <f t="shared" si="37"/>
        <v>0.35599999999999998</v>
      </c>
      <c r="O109" s="576" t="str">
        <f>O71</f>
        <v/>
      </c>
      <c r="P109" s="576" t="str">
        <f t="shared" si="37"/>
        <v/>
      </c>
      <c r="Q109" s="577" t="str">
        <f t="shared" si="37"/>
        <v/>
      </c>
      <c r="R109" s="576" t="str">
        <f t="shared" si="37"/>
        <v/>
      </c>
      <c r="S109" s="576" t="str">
        <f t="shared" si="37"/>
        <v/>
      </c>
      <c r="T109" s="576" t="str">
        <f t="shared" si="37"/>
        <v/>
      </c>
      <c r="U109" s="576" t="str">
        <f t="shared" si="37"/>
        <v/>
      </c>
      <c r="V109" s="576" t="str">
        <f t="shared" si="37"/>
        <v/>
      </c>
      <c r="W109" s="576" t="str">
        <f t="shared" si="37"/>
        <v/>
      </c>
      <c r="X109" s="576" t="str">
        <f t="shared" si="37"/>
        <v/>
      </c>
      <c r="Y109" s="576" t="str">
        <f t="shared" si="37"/>
        <v/>
      </c>
      <c r="Z109" s="576" t="str">
        <f t="shared" si="37"/>
        <v/>
      </c>
      <c r="AA109" s="576" t="str">
        <f t="shared" si="37"/>
        <v/>
      </c>
      <c r="AB109" s="576" t="str">
        <f t="shared" si="37"/>
        <v/>
      </c>
      <c r="AC109" s="576" t="str">
        <f t="shared" si="37"/>
        <v/>
      </c>
      <c r="AD109" s="576" t="str">
        <f t="shared" si="37"/>
        <v/>
      </c>
      <c r="AE109" s="576" t="str">
        <f t="shared" si="37"/>
        <v/>
      </c>
      <c r="AF109" s="576" t="str">
        <f t="shared" si="37"/>
        <v/>
      </c>
      <c r="AG109" s="576" t="str">
        <f t="shared" si="37"/>
        <v/>
      </c>
      <c r="AH109" s="576" t="str">
        <f t="shared" si="37"/>
        <v/>
      </c>
      <c r="AI109" s="576" t="str">
        <f t="shared" si="37"/>
        <v/>
      </c>
      <c r="AJ109" s="576" t="str">
        <f t="shared" si="37"/>
        <v/>
      </c>
      <c r="AK109" s="577" t="str">
        <f t="shared" si="37"/>
        <v/>
      </c>
      <c r="AL109" s="576" t="str">
        <f t="shared" si="37"/>
        <v/>
      </c>
      <c r="AM109" s="576" t="str">
        <f t="shared" si="37"/>
        <v/>
      </c>
      <c r="AN109" s="576" t="str">
        <f t="shared" si="37"/>
        <v/>
      </c>
      <c r="AO109" s="577" t="str">
        <f t="shared" si="37"/>
        <v/>
      </c>
      <c r="AP109" s="576" t="str">
        <f t="shared" si="37"/>
        <v/>
      </c>
      <c r="AQ109" s="576" t="str">
        <f t="shared" si="37"/>
        <v/>
      </c>
      <c r="AR109" s="576" t="str">
        <f t="shared" si="37"/>
        <v/>
      </c>
      <c r="AS109" s="576" t="str">
        <f t="shared" si="37"/>
        <v/>
      </c>
      <c r="AT109" s="576" t="str">
        <f t="shared" si="37"/>
        <v/>
      </c>
      <c r="AU109" s="576" t="str">
        <f t="shared" si="37"/>
        <v/>
      </c>
      <c r="AV109" s="576" t="str">
        <f t="shared" si="37"/>
        <v/>
      </c>
      <c r="AW109" s="576" t="str">
        <f t="shared" si="37"/>
        <v/>
      </c>
      <c r="AX109" s="576" t="str">
        <f t="shared" si="37"/>
        <v/>
      </c>
      <c r="AY109" s="576" t="str">
        <f t="shared" si="37"/>
        <v/>
      </c>
      <c r="AZ109" s="576" t="str">
        <f t="shared" si="37"/>
        <v/>
      </c>
      <c r="BA109" s="576" t="str">
        <f t="shared" si="37"/>
        <v/>
      </c>
      <c r="BB109" s="576" t="str">
        <f t="shared" si="37"/>
        <v/>
      </c>
      <c r="BC109" s="577" t="str">
        <f t="shared" si="37"/>
        <v/>
      </c>
      <c r="BD109" s="576" t="str">
        <f t="shared" si="37"/>
        <v/>
      </c>
      <c r="BE109" s="576" t="str">
        <f t="shared" si="37"/>
        <v/>
      </c>
      <c r="BF109" s="576" t="str">
        <f>BF71</f>
        <v/>
      </c>
      <c r="BG109" s="576" t="str">
        <f>BG71</f>
        <v/>
      </c>
      <c r="BH109" s="576" t="str">
        <f t="shared" si="37"/>
        <v/>
      </c>
      <c r="BI109" s="576" t="str">
        <f t="shared" si="37"/>
        <v/>
      </c>
      <c r="BJ109" s="576" t="str">
        <f t="shared" si="37"/>
        <v/>
      </c>
      <c r="BK109" s="576" t="str">
        <f t="shared" si="37"/>
        <v/>
      </c>
      <c r="BL109" s="576" t="str">
        <f t="shared" si="37"/>
        <v/>
      </c>
      <c r="BM109" s="576" t="str">
        <f t="shared" si="37"/>
        <v/>
      </c>
      <c r="BN109" s="576" t="str">
        <f t="shared" si="37"/>
        <v/>
      </c>
      <c r="BO109" s="576" t="str">
        <f t="shared" si="37"/>
        <v/>
      </c>
      <c r="BP109" s="576" t="str">
        <f t="shared" si="37"/>
        <v/>
      </c>
      <c r="BQ109" s="576" t="str">
        <f t="shared" si="37"/>
        <v/>
      </c>
      <c r="BR109" s="576" t="str">
        <f t="shared" si="37"/>
        <v/>
      </c>
      <c r="BS109" s="576" t="str">
        <f t="shared" si="37"/>
        <v/>
      </c>
    </row>
    <row r="110" spans="1:71" s="202" customFormat="1" ht="13.15">
      <c r="A110" s="453"/>
      <c r="B110" s="453"/>
      <c r="C110" s="453"/>
      <c r="D110" s="453"/>
      <c r="E110" s="510" t="s">
        <v>1231</v>
      </c>
      <c r="F110" s="510"/>
      <c r="G110" s="510" t="str">
        <f>InpCompany!$F$11</f>
        <v>£m (2017-18 prices)</v>
      </c>
      <c r="H110" s="510"/>
      <c r="I110" s="453"/>
      <c r="J110" s="576">
        <f>IF(J68=TRUE,J107*J109,0)</f>
        <v>0</v>
      </c>
      <c r="K110" s="576">
        <f t="shared" ref="K110:BS110" si="38">IF(K68=TRUE,K107*K109,0)</f>
        <v>0</v>
      </c>
      <c r="L110" s="576">
        <f t="shared" si="38"/>
        <v>0</v>
      </c>
      <c r="M110" s="576">
        <f>IF(M68=TRUE,M107*M109,0)</f>
        <v>0</v>
      </c>
      <c r="N110" s="576">
        <f t="shared" si="38"/>
        <v>0</v>
      </c>
      <c r="O110" s="576">
        <f>IF(O68=TRUE,O107*O109,0)</f>
        <v>0</v>
      </c>
      <c r="P110" s="576">
        <f t="shared" si="38"/>
        <v>0</v>
      </c>
      <c r="Q110" s="577">
        <f t="shared" si="38"/>
        <v>0</v>
      </c>
      <c r="R110" s="576">
        <f t="shared" si="38"/>
        <v>0</v>
      </c>
      <c r="S110" s="576">
        <f t="shared" si="38"/>
        <v>0</v>
      </c>
      <c r="T110" s="576">
        <f t="shared" si="38"/>
        <v>0</v>
      </c>
      <c r="U110" s="576">
        <f t="shared" si="38"/>
        <v>0</v>
      </c>
      <c r="V110" s="576">
        <f t="shared" si="38"/>
        <v>0</v>
      </c>
      <c r="W110" s="576">
        <f t="shared" si="38"/>
        <v>0</v>
      </c>
      <c r="X110" s="576">
        <f t="shared" si="38"/>
        <v>0</v>
      </c>
      <c r="Y110" s="576">
        <f t="shared" si="38"/>
        <v>0</v>
      </c>
      <c r="Z110" s="576">
        <f t="shared" si="38"/>
        <v>0</v>
      </c>
      <c r="AA110" s="576">
        <f t="shared" si="38"/>
        <v>0</v>
      </c>
      <c r="AB110" s="576">
        <f t="shared" si="38"/>
        <v>0</v>
      </c>
      <c r="AC110" s="576">
        <f t="shared" si="38"/>
        <v>0</v>
      </c>
      <c r="AD110" s="576">
        <f t="shared" si="38"/>
        <v>0</v>
      </c>
      <c r="AE110" s="576">
        <f t="shared" si="38"/>
        <v>0</v>
      </c>
      <c r="AF110" s="576">
        <f t="shared" si="38"/>
        <v>0</v>
      </c>
      <c r="AG110" s="576">
        <f t="shared" si="38"/>
        <v>0</v>
      </c>
      <c r="AH110" s="576">
        <f t="shared" si="38"/>
        <v>0</v>
      </c>
      <c r="AI110" s="576">
        <f t="shared" si="38"/>
        <v>0</v>
      </c>
      <c r="AJ110" s="576">
        <f t="shared" si="38"/>
        <v>0</v>
      </c>
      <c r="AK110" s="577">
        <f t="shared" si="38"/>
        <v>0</v>
      </c>
      <c r="AL110" s="576">
        <f t="shared" si="38"/>
        <v>0</v>
      </c>
      <c r="AM110" s="576">
        <f t="shared" si="38"/>
        <v>0</v>
      </c>
      <c r="AN110" s="576">
        <f t="shared" si="38"/>
        <v>0</v>
      </c>
      <c r="AO110" s="577">
        <f t="shared" si="38"/>
        <v>0</v>
      </c>
      <c r="AP110" s="576">
        <f t="shared" si="38"/>
        <v>0</v>
      </c>
      <c r="AQ110" s="576">
        <f t="shared" si="38"/>
        <v>0</v>
      </c>
      <c r="AR110" s="576">
        <f t="shared" si="38"/>
        <v>0</v>
      </c>
      <c r="AS110" s="576">
        <f t="shared" si="38"/>
        <v>0</v>
      </c>
      <c r="AT110" s="576">
        <f t="shared" si="38"/>
        <v>0</v>
      </c>
      <c r="AU110" s="576">
        <f t="shared" si="38"/>
        <v>0</v>
      </c>
      <c r="AV110" s="576">
        <f t="shared" si="38"/>
        <v>0</v>
      </c>
      <c r="AW110" s="576">
        <f t="shared" si="38"/>
        <v>0</v>
      </c>
      <c r="AX110" s="576">
        <f t="shared" si="38"/>
        <v>0</v>
      </c>
      <c r="AY110" s="576">
        <f t="shared" si="38"/>
        <v>0</v>
      </c>
      <c r="AZ110" s="576">
        <f t="shared" si="38"/>
        <v>0</v>
      </c>
      <c r="BA110" s="576">
        <f t="shared" si="38"/>
        <v>0</v>
      </c>
      <c r="BB110" s="576">
        <f t="shared" si="38"/>
        <v>0</v>
      </c>
      <c r="BC110" s="577">
        <f t="shared" si="38"/>
        <v>0</v>
      </c>
      <c r="BD110" s="576">
        <f t="shared" si="38"/>
        <v>0</v>
      </c>
      <c r="BE110" s="576">
        <f t="shared" si="38"/>
        <v>0</v>
      </c>
      <c r="BF110" s="576">
        <f>IF(BF68=TRUE,BF107*BF109,0)</f>
        <v>0</v>
      </c>
      <c r="BG110" s="576">
        <f>IF(BG68=TRUE,BG107*BG109,0)</f>
        <v>0</v>
      </c>
      <c r="BH110" s="576">
        <f t="shared" si="38"/>
        <v>0</v>
      </c>
      <c r="BI110" s="576">
        <f t="shared" si="38"/>
        <v>0</v>
      </c>
      <c r="BJ110" s="576">
        <f t="shared" si="38"/>
        <v>0</v>
      </c>
      <c r="BK110" s="576">
        <f t="shared" si="38"/>
        <v>0</v>
      </c>
      <c r="BL110" s="576">
        <f t="shared" si="38"/>
        <v>0</v>
      </c>
      <c r="BM110" s="576">
        <f t="shared" si="38"/>
        <v>0</v>
      </c>
      <c r="BN110" s="576">
        <f t="shared" si="38"/>
        <v>0</v>
      </c>
      <c r="BO110" s="576">
        <f t="shared" si="38"/>
        <v>0</v>
      </c>
      <c r="BP110" s="576">
        <f t="shared" si="38"/>
        <v>0</v>
      </c>
      <c r="BQ110" s="576">
        <f t="shared" si="38"/>
        <v>0</v>
      </c>
      <c r="BR110" s="576">
        <f t="shared" si="38"/>
        <v>0</v>
      </c>
      <c r="BS110" s="576">
        <f t="shared" si="38"/>
        <v>0</v>
      </c>
    </row>
    <row r="111" spans="1:71" s="202" customFormat="1" ht="13.15">
      <c r="A111" s="453"/>
      <c r="B111" s="453"/>
      <c r="C111" s="453"/>
      <c r="D111" s="453"/>
      <c r="E111" s="510"/>
      <c r="F111" s="510"/>
      <c r="G111" s="510"/>
      <c r="H111" s="510"/>
      <c r="I111" s="453"/>
      <c r="J111" s="523"/>
      <c r="K111" s="523"/>
      <c r="L111" s="523"/>
      <c r="M111" s="523"/>
      <c r="N111" s="523"/>
      <c r="O111" s="523"/>
      <c r="P111" s="523"/>
      <c r="Q111" s="524"/>
      <c r="R111" s="523"/>
      <c r="S111" s="523"/>
      <c r="T111" s="523"/>
      <c r="U111" s="523"/>
      <c r="V111" s="523"/>
      <c r="W111" s="523"/>
      <c r="X111" s="523"/>
      <c r="Y111" s="523"/>
      <c r="Z111" s="523"/>
      <c r="AA111" s="523"/>
      <c r="AB111" s="523"/>
      <c r="AC111" s="523"/>
      <c r="AD111" s="523"/>
      <c r="AE111" s="523"/>
      <c r="AF111" s="523"/>
      <c r="AG111" s="523"/>
      <c r="AH111" s="523"/>
      <c r="AI111" s="523"/>
      <c r="AJ111" s="523"/>
      <c r="AK111" s="524"/>
      <c r="AL111" s="523"/>
      <c r="AM111" s="523"/>
      <c r="AN111" s="523"/>
      <c r="AO111" s="524"/>
      <c r="AP111" s="523"/>
      <c r="AQ111" s="523"/>
      <c r="AR111" s="523"/>
      <c r="AS111" s="523"/>
      <c r="AT111" s="523"/>
      <c r="AU111" s="523"/>
      <c r="AV111" s="523"/>
      <c r="AW111" s="523"/>
      <c r="AX111" s="523"/>
      <c r="AY111" s="523"/>
      <c r="AZ111" s="523"/>
      <c r="BA111" s="523"/>
      <c r="BB111" s="523"/>
      <c r="BC111" s="524"/>
      <c r="BD111" s="523"/>
      <c r="BE111" s="523"/>
      <c r="BF111" s="523"/>
      <c r="BG111" s="523"/>
      <c r="BH111" s="523"/>
      <c r="BI111" s="523"/>
      <c r="BJ111" s="523"/>
      <c r="BK111" s="523"/>
      <c r="BL111" s="523"/>
      <c r="BM111" s="523"/>
      <c r="BN111" s="523"/>
      <c r="BO111" s="523"/>
      <c r="BP111" s="523"/>
      <c r="BQ111" s="523"/>
      <c r="BR111" s="523"/>
      <c r="BS111" s="523"/>
    </row>
    <row r="112" spans="1:71" s="202" customFormat="1" ht="13.15">
      <c r="A112" s="453"/>
      <c r="B112" s="453"/>
      <c r="C112" s="463" t="s">
        <v>1232</v>
      </c>
      <c r="D112" s="453"/>
      <c r="E112" s="510"/>
      <c r="F112" s="510"/>
      <c r="G112" s="510"/>
      <c r="H112" s="510"/>
      <c r="I112" s="453"/>
      <c r="J112" s="523"/>
      <c r="K112" s="523"/>
      <c r="L112" s="523"/>
      <c r="M112" s="523"/>
      <c r="N112" s="523"/>
      <c r="O112" s="523"/>
      <c r="P112" s="523"/>
      <c r="Q112" s="524"/>
      <c r="R112" s="523"/>
      <c r="S112" s="523"/>
      <c r="T112" s="523"/>
      <c r="U112" s="523"/>
      <c r="V112" s="523"/>
      <c r="W112" s="523"/>
      <c r="X112" s="523"/>
      <c r="Y112" s="523"/>
      <c r="Z112" s="523"/>
      <c r="AA112" s="523"/>
      <c r="AB112" s="523"/>
      <c r="AC112" s="523"/>
      <c r="AD112" s="523"/>
      <c r="AE112" s="523"/>
      <c r="AF112" s="523"/>
      <c r="AG112" s="523"/>
      <c r="AH112" s="523"/>
      <c r="AI112" s="523"/>
      <c r="AJ112" s="523"/>
      <c r="AK112" s="524"/>
      <c r="AL112" s="523"/>
      <c r="AM112" s="523"/>
      <c r="AN112" s="523"/>
      <c r="AO112" s="524"/>
      <c r="AP112" s="523"/>
      <c r="AQ112" s="523"/>
      <c r="AR112" s="523"/>
      <c r="AS112" s="523"/>
      <c r="AT112" s="523"/>
      <c r="AU112" s="523"/>
      <c r="AV112" s="523"/>
      <c r="AW112" s="523"/>
      <c r="AX112" s="523"/>
      <c r="AY112" s="523"/>
      <c r="AZ112" s="523"/>
      <c r="BA112" s="523"/>
      <c r="BB112" s="523"/>
      <c r="BC112" s="524"/>
      <c r="BD112" s="523"/>
      <c r="BE112" s="523"/>
      <c r="BF112" s="523"/>
      <c r="BG112" s="523"/>
      <c r="BH112" s="523"/>
      <c r="BI112" s="523"/>
      <c r="BJ112" s="523"/>
      <c r="BK112" s="523"/>
      <c r="BL112" s="523"/>
      <c r="BM112" s="523"/>
      <c r="BN112" s="523"/>
      <c r="BO112" s="523"/>
      <c r="BP112" s="523"/>
      <c r="BQ112" s="523"/>
      <c r="BR112" s="523"/>
      <c r="BS112" s="523"/>
    </row>
    <row r="113" spans="1:71" s="202" customFormat="1" ht="13.15">
      <c r="A113" s="453"/>
      <c r="B113" s="453"/>
      <c r="C113" s="453"/>
      <c r="D113" s="463"/>
      <c r="E113" s="605" t="str">
        <f>InpPerformance!E$53</f>
        <v>Enhanced (or two tiered ODI)?</v>
      </c>
      <c r="F113" s="510"/>
      <c r="G113" s="605" t="str">
        <f>InpPerformance!G$53</f>
        <v>TRUE or FALSE</v>
      </c>
      <c r="H113" s="510"/>
      <c r="I113" s="453"/>
      <c r="J113" s="606" t="b">
        <f>InpPerformance!J$53</f>
        <v>0</v>
      </c>
      <c r="K113" s="606" t="b">
        <f>InpPerformance!K$53</f>
        <v>0</v>
      </c>
      <c r="L113" s="606" t="b">
        <f>InpPerformance!L$53</f>
        <v>0</v>
      </c>
      <c r="M113" s="606" t="b">
        <f>InpPerformance!M$53</f>
        <v>0</v>
      </c>
      <c r="N113" s="606" t="b">
        <f>InpPerformance!N$53</f>
        <v>0</v>
      </c>
      <c r="O113" s="606" t="b">
        <f>InpPerformance!O$53</f>
        <v>0</v>
      </c>
      <c r="P113" s="606" t="b">
        <f>InpPerformance!P$53</f>
        <v>0</v>
      </c>
      <c r="Q113" s="607" t="b">
        <f>InpPerformance!Q$53</f>
        <v>0</v>
      </c>
      <c r="R113" s="606" t="b">
        <f>InpPerformance!R$53</f>
        <v>0</v>
      </c>
      <c r="S113" s="606" t="b">
        <f>InpPerformance!S$53</f>
        <v>0</v>
      </c>
      <c r="T113" s="606" t="b">
        <f>InpPerformance!T$53</f>
        <v>0</v>
      </c>
      <c r="U113" s="606" t="b">
        <f>InpPerformance!U$53</f>
        <v>0</v>
      </c>
      <c r="V113" s="606" t="b">
        <f>InpPerformance!V$53</f>
        <v>0</v>
      </c>
      <c r="W113" s="606" t="b">
        <f>InpPerformance!W$53</f>
        <v>0</v>
      </c>
      <c r="X113" s="606" t="b">
        <f>InpPerformance!X$53</f>
        <v>0</v>
      </c>
      <c r="Y113" s="606" t="b">
        <f>InpPerformance!Y$53</f>
        <v>0</v>
      </c>
      <c r="Z113" s="606" t="b">
        <f>InpPerformance!Z$53</f>
        <v>0</v>
      </c>
      <c r="AA113" s="606" t="b">
        <f>InpPerformance!AA$53</f>
        <v>0</v>
      </c>
      <c r="AB113" s="606" t="b">
        <f>InpPerformance!AB$53</f>
        <v>0</v>
      </c>
      <c r="AC113" s="606" t="b">
        <f>InpPerformance!AC$53</f>
        <v>0</v>
      </c>
      <c r="AD113" s="606" t="b">
        <f>InpPerformance!AD$53</f>
        <v>0</v>
      </c>
      <c r="AE113" s="606" t="b">
        <f>InpPerformance!AE$53</f>
        <v>0</v>
      </c>
      <c r="AF113" s="606" t="b">
        <f>InpPerformance!AF$53</f>
        <v>0</v>
      </c>
      <c r="AG113" s="606" t="b">
        <f>InpPerformance!AG$53</f>
        <v>0</v>
      </c>
      <c r="AH113" s="606" t="b">
        <f>InpPerformance!AH$53</f>
        <v>0</v>
      </c>
      <c r="AI113" s="606" t="b">
        <f>InpPerformance!AI$53</f>
        <v>0</v>
      </c>
      <c r="AJ113" s="606" t="b">
        <f>InpPerformance!AJ$53</f>
        <v>0</v>
      </c>
      <c r="AK113" s="607" t="b">
        <f>InpPerformance!AK$53</f>
        <v>0</v>
      </c>
      <c r="AL113" s="606" t="b">
        <f>InpPerformance!AL$53</f>
        <v>0</v>
      </c>
      <c r="AM113" s="606" t="b">
        <f>InpPerformance!AM$53</f>
        <v>0</v>
      </c>
      <c r="AN113" s="606" t="b">
        <f>InpPerformance!AN$53</f>
        <v>0</v>
      </c>
      <c r="AO113" s="607" t="b">
        <f>InpPerformance!AO$53</f>
        <v>0</v>
      </c>
      <c r="AP113" s="606" t="b">
        <f>InpPerformance!AP$53</f>
        <v>0</v>
      </c>
      <c r="AQ113" s="606" t="b">
        <f>InpPerformance!AQ$53</f>
        <v>0</v>
      </c>
      <c r="AR113" s="606" t="b">
        <f>InpPerformance!AR$53</f>
        <v>0</v>
      </c>
      <c r="AS113" s="606" t="b">
        <f>InpPerformance!AS$53</f>
        <v>0</v>
      </c>
      <c r="AT113" s="606" t="b">
        <f>InpPerformance!AT$53</f>
        <v>0</v>
      </c>
      <c r="AU113" s="606" t="b">
        <f>InpPerformance!AU$53</f>
        <v>0</v>
      </c>
      <c r="AV113" s="606" t="b">
        <f>InpPerformance!AV$53</f>
        <v>0</v>
      </c>
      <c r="AW113" s="606" t="b">
        <f>InpPerformance!AW$53</f>
        <v>0</v>
      </c>
      <c r="AX113" s="606" t="b">
        <f>InpPerformance!AX$53</f>
        <v>0</v>
      </c>
      <c r="AY113" s="606" t="b">
        <f>InpPerformance!AY$53</f>
        <v>0</v>
      </c>
      <c r="AZ113" s="606" t="b">
        <f>InpPerformance!AZ$53</f>
        <v>0</v>
      </c>
      <c r="BA113" s="606" t="b">
        <f>InpPerformance!BA$53</f>
        <v>0</v>
      </c>
      <c r="BB113" s="606" t="b">
        <f>InpPerformance!BB$53</f>
        <v>0</v>
      </c>
      <c r="BC113" s="607" t="b">
        <f>InpPerformance!BC$53</f>
        <v>0</v>
      </c>
      <c r="BD113" s="606" t="b">
        <f>InpPerformance!BD$53</f>
        <v>0</v>
      </c>
      <c r="BE113" s="606" t="b">
        <f>InpPerformance!BE$53</f>
        <v>0</v>
      </c>
      <c r="BF113" s="606" t="b">
        <f>InpPerformance!BF$53</f>
        <v>0</v>
      </c>
      <c r="BG113" s="606" t="b">
        <f>InpPerformance!BG$53</f>
        <v>0</v>
      </c>
      <c r="BH113" s="606" t="b">
        <f>InpPerformance!BH$53</f>
        <v>0</v>
      </c>
      <c r="BI113" s="606" t="b">
        <f>InpPerformance!BI$53</f>
        <v>0</v>
      </c>
      <c r="BJ113" s="606" t="b">
        <f>InpPerformance!BJ$53</f>
        <v>0</v>
      </c>
      <c r="BK113" s="606" t="b">
        <f>InpPerformance!BK$53</f>
        <v>0</v>
      </c>
      <c r="BL113" s="606" t="b">
        <f>InpPerformance!BL$53</f>
        <v>0</v>
      </c>
      <c r="BM113" s="606" t="b">
        <f>InpPerformance!BM$53</f>
        <v>0</v>
      </c>
      <c r="BN113" s="606" t="b">
        <f>InpPerformance!BN$53</f>
        <v>0</v>
      </c>
      <c r="BO113" s="606" t="b">
        <f>InpPerformance!BO$53</f>
        <v>0</v>
      </c>
      <c r="BP113" s="606" t="b">
        <f>InpPerformance!BP$53</f>
        <v>0</v>
      </c>
      <c r="BQ113" s="606" t="b">
        <f>InpPerformance!BQ$53</f>
        <v>0</v>
      </c>
      <c r="BR113" s="606" t="b">
        <f>InpPerformance!BR$53</f>
        <v>0</v>
      </c>
      <c r="BS113" s="606" t="b">
        <f>InpPerformance!BS$53</f>
        <v>0</v>
      </c>
    </row>
    <row r="114" spans="1:71" s="202" customFormat="1" ht="13.15">
      <c r="A114" s="453"/>
      <c r="B114" s="453"/>
      <c r="C114" s="453"/>
      <c r="D114" s="463"/>
      <c r="E114" s="583" t="str">
        <f>InpPerformance!E$47</f>
        <v>Standard underperformance collar</v>
      </c>
      <c r="F114" s="453"/>
      <c r="G114" s="583" t="str">
        <f>InpPerformance!G$47</f>
        <v>Performance commitment unit</v>
      </c>
      <c r="H114" s="453"/>
      <c r="I114" s="453"/>
      <c r="J114" s="588">
        <f>IF(InpPerformance!J$47&lt;&gt;"",InpPerformance!J$47,"")</f>
        <v>9.5</v>
      </c>
      <c r="K114" s="588">
        <f>IF(InpPerformance!K$47&lt;&gt;"",InpPerformance!K$47,"")</f>
        <v>1.5798611111111114E-2</v>
      </c>
      <c r="L114" s="588">
        <f>IF(InpPerformance!L$47&lt;&gt;"",InpPerformance!L$47,"")</f>
        <v>-5</v>
      </c>
      <c r="M114" s="588" t="str">
        <f>IF(InpPerformance!M$47&lt;&gt;"",InpPerformance!M$47,"")</f>
        <v/>
      </c>
      <c r="N114" s="588">
        <f>IF(InpPerformance!N$47&lt;&gt;"",InpPerformance!N$47,"")</f>
        <v>-16.7</v>
      </c>
      <c r="O114" s="588" t="str">
        <f>IF(InpPerformance!O$47&lt;&gt;"",InpPerformance!O$47,"")</f>
        <v/>
      </c>
      <c r="P114" s="588">
        <f>IF(InpPerformance!P$47&lt;&gt;"",InpPerformance!P$47,"")</f>
        <v>180.8</v>
      </c>
      <c r="Q114" s="590">
        <f>IF(InpPerformance!Q$47&lt;&gt;"",InpPerformance!Q$47,"")</f>
        <v>18.88</v>
      </c>
      <c r="R114" s="588" t="str">
        <f>IF(InpPerformance!R$47&lt;&gt;"",InpPerformance!R$47,"")</f>
        <v/>
      </c>
      <c r="S114" s="588" t="str">
        <f>IF(InpPerformance!S$47&lt;&gt;"",InpPerformance!S$47,"")</f>
        <v/>
      </c>
      <c r="T114" s="588">
        <f>IF(InpPerformance!T$47&lt;&gt;"",InpPerformance!T$47,"")</f>
        <v>-14</v>
      </c>
      <c r="U114" s="588" t="str">
        <f>IF(InpPerformance!U$47&lt;&gt;"",InpPerformance!U$47,"")</f>
        <v/>
      </c>
      <c r="V114" s="588">
        <f>IF(InpPerformance!V$47&lt;&gt;"",InpPerformance!V$47,"")</f>
        <v>2.62</v>
      </c>
      <c r="W114" s="588" t="str">
        <f>IF(InpPerformance!W$47&lt;&gt;"",InpPerformance!W$47,"")</f>
        <v/>
      </c>
      <c r="X114" s="588" t="str">
        <f>IF(InpPerformance!X$47&lt;&gt;"",InpPerformance!X$47,"")</f>
        <v/>
      </c>
      <c r="Y114" s="588" t="str">
        <f>IF(InpPerformance!Y$47&lt;&gt;"",InpPerformance!Y$47,"")</f>
        <v/>
      </c>
      <c r="Z114" s="588" t="str">
        <f>IF(InpPerformance!Z$47&lt;&gt;"",InpPerformance!Z$47,"")</f>
        <v/>
      </c>
      <c r="AA114" s="588" t="str">
        <f>IF(InpPerformance!AA$47&lt;&gt;"",InpPerformance!AA$47,"")</f>
        <v/>
      </c>
      <c r="AB114" s="588" t="str">
        <f>IF(InpPerformance!AB$47&lt;&gt;"",InpPerformance!AB$47,"")</f>
        <v/>
      </c>
      <c r="AC114" s="588" t="str">
        <f>IF(InpPerformance!AC$47&lt;&gt;"",InpPerformance!AC$47,"")</f>
        <v/>
      </c>
      <c r="AD114" s="588" t="str">
        <f>IF(InpPerformance!AD$47&lt;&gt;"",InpPerformance!AD$47,"")</f>
        <v/>
      </c>
      <c r="AE114" s="588" t="str">
        <f>IF(InpPerformance!AE$47&lt;&gt;"",InpPerformance!AE$47,"")</f>
        <v/>
      </c>
      <c r="AF114" s="588" t="str">
        <f>IF(InpPerformance!AF$47&lt;&gt;"",InpPerformance!AF$47,"")</f>
        <v/>
      </c>
      <c r="AG114" s="588" t="str">
        <f>IF(InpPerformance!AG$47&lt;&gt;"",InpPerformance!AG$47,"")</f>
        <v/>
      </c>
      <c r="AH114" s="588" t="str">
        <f>IF(InpPerformance!AH$47&lt;&gt;"",InpPerformance!AH$47,"")</f>
        <v/>
      </c>
      <c r="AI114" s="588" t="str">
        <f>IF(InpPerformance!AI$47&lt;&gt;"",InpPerformance!AI$47,"")</f>
        <v/>
      </c>
      <c r="AJ114" s="588" t="str">
        <f>IF(InpPerformance!AJ$47&lt;&gt;"",InpPerformance!AJ$47,"")</f>
        <v/>
      </c>
      <c r="AK114" s="590" t="str">
        <f>IF(InpPerformance!AK$47&lt;&gt;"",InpPerformance!AK$47,"")</f>
        <v/>
      </c>
      <c r="AL114" s="588">
        <f>IF(InpPerformance!AL$47&lt;&gt;"",InpPerformance!AL$47,"")</f>
        <v>3.35</v>
      </c>
      <c r="AM114" s="588">
        <f>IF(InpPerformance!AM$47&lt;&gt;"",InpPerformance!AM$47,"")</f>
        <v>49.01</v>
      </c>
      <c r="AN114" s="588" t="str">
        <f>IF(InpPerformance!AN$47&lt;&gt;"",InpPerformance!AN$47,"")</f>
        <v/>
      </c>
      <c r="AO114" s="590">
        <f>IF(InpPerformance!AO$47&lt;&gt;"",InpPerformance!AO$47,"")</f>
        <v>97</v>
      </c>
      <c r="AP114" s="588" t="str">
        <f>IF(InpPerformance!AP$47&lt;&gt;"",InpPerformance!AP$47,"")</f>
        <v/>
      </c>
      <c r="AQ114" s="588">
        <f>IF(InpPerformance!AQ$47&lt;&gt;"",InpPerformance!AQ$47,"")</f>
        <v>21</v>
      </c>
      <c r="AR114" s="588" t="str">
        <f>IF(InpPerformance!AR$47&lt;&gt;"",InpPerformance!AR$47,"")</f>
        <v/>
      </c>
      <c r="AS114" s="588" t="str">
        <f>IF(InpPerformance!AS$47&lt;&gt;"",InpPerformance!AS$47,"")</f>
        <v/>
      </c>
      <c r="AT114" s="588" t="str">
        <f>IF(InpPerformance!AT$47&lt;&gt;"",InpPerformance!AT$47,"")</f>
        <v/>
      </c>
      <c r="AU114" s="588" t="str">
        <f>IF(InpPerformance!AU$47&lt;&gt;"",InpPerformance!AU$47,"")</f>
        <v/>
      </c>
      <c r="AV114" s="588" t="str">
        <f>IF(InpPerformance!AV$47&lt;&gt;"",InpPerformance!AV$47,"")</f>
        <v/>
      </c>
      <c r="AW114" s="588">
        <f>IF(InpPerformance!AW$47&lt;&gt;"",InpPerformance!AW$47,"")</f>
        <v>14625</v>
      </c>
      <c r="AX114" s="588">
        <f>IF(InpPerformance!AX$47&lt;&gt;"",InpPerformance!AX$47,"")</f>
        <v>6618</v>
      </c>
      <c r="AY114" s="588" t="str">
        <f>IF(InpPerformance!AY$47&lt;&gt;"",InpPerformance!AY$47,"")</f>
        <v/>
      </c>
      <c r="AZ114" s="588" t="str">
        <f>IF(InpPerformance!AZ$47&lt;&gt;"",InpPerformance!AZ$47,"")</f>
        <v/>
      </c>
      <c r="BA114" s="588" t="str">
        <f>IF(InpPerformance!BA$47&lt;&gt;"",InpPerformance!BA$47,"")</f>
        <v/>
      </c>
      <c r="BB114" s="588" t="str">
        <f>IF(InpPerformance!BB$47&lt;&gt;"",InpPerformance!BB$47,"")</f>
        <v/>
      </c>
      <c r="BC114" s="590" t="str">
        <f>IF(InpPerformance!BC$47&lt;&gt;"",InpPerformance!BC$47,"")</f>
        <v/>
      </c>
      <c r="BD114" s="588" t="str">
        <f>IF(InpPerformance!BD$47&lt;&gt;"",InpPerformance!BD$47,"")</f>
        <v/>
      </c>
      <c r="BE114" s="588" t="str">
        <f>IF(InpPerformance!BE$47&lt;&gt;"",InpPerformance!BE$47,"")</f>
        <v/>
      </c>
      <c r="BF114" s="588" t="str">
        <f>IF(InpPerformance!BF$47&lt;&gt;"",InpPerformance!BF$47,"")</f>
        <v/>
      </c>
      <c r="BG114" s="588" t="str">
        <f>IF(InpPerformance!BG$47&lt;&gt;"",InpPerformance!BG$47,"")</f>
        <v/>
      </c>
      <c r="BH114" s="588" t="str">
        <f>IF(InpPerformance!BH$47&lt;&gt;"",InpPerformance!BH$47,"")</f>
        <v/>
      </c>
      <c r="BI114" s="588" t="str">
        <f>IF(InpPerformance!BI$47&lt;&gt;"",InpPerformance!BI$47,"")</f>
        <v/>
      </c>
      <c r="BJ114" s="588" t="str">
        <f>IF(InpPerformance!BJ$47&lt;&gt;"",InpPerformance!BJ$47,"")</f>
        <v/>
      </c>
      <c r="BK114" s="588" t="str">
        <f>IF(InpPerformance!BK$47&lt;&gt;"",InpPerformance!BK$47,"")</f>
        <v/>
      </c>
      <c r="BL114" s="588" t="str">
        <f>IF(InpPerformance!BL$47&lt;&gt;"",InpPerformance!BL$47,"")</f>
        <v/>
      </c>
      <c r="BM114" s="588" t="str">
        <f>IF(InpPerformance!BM$47&lt;&gt;"",InpPerformance!BM$47,"")</f>
        <v/>
      </c>
      <c r="BN114" s="588" t="str">
        <f>IF(InpPerformance!BN$47&lt;&gt;"",InpPerformance!BN$47,"")</f>
        <v/>
      </c>
      <c r="BO114" s="588" t="str">
        <f>IF(InpPerformance!BO$47&lt;&gt;"",InpPerformance!BO$47,"")</f>
        <v/>
      </c>
      <c r="BP114" s="588" t="str">
        <f>IF(InpPerformance!BP$47&lt;&gt;"",InpPerformance!BP$47,"")</f>
        <v/>
      </c>
      <c r="BQ114" s="588" t="str">
        <f>IF(InpPerformance!BQ$47&lt;&gt;"",InpPerformance!BQ$47,"")</f>
        <v/>
      </c>
      <c r="BR114" s="588" t="str">
        <f>IF(InpPerformance!BR$47&lt;&gt;"",InpPerformance!BR$47,"")</f>
        <v/>
      </c>
      <c r="BS114" s="588" t="str">
        <f>IF(InpPerformance!BS$47&lt;&gt;"",InpPerformance!BS$47,"")</f>
        <v/>
      </c>
    </row>
    <row r="115" spans="1:71" s="202" customFormat="1" ht="13.15">
      <c r="A115" s="453"/>
      <c r="B115" s="453"/>
      <c r="C115" s="453"/>
      <c r="D115" s="463"/>
      <c r="E115" s="605" t="str">
        <f>InpPerformance!E57</f>
        <v>Enhanced underperformance collar</v>
      </c>
      <c r="F115" s="510"/>
      <c r="G115" s="605" t="str">
        <f>InpPerformance!G57</f>
        <v>Performance commitment unit</v>
      </c>
      <c r="H115" s="510"/>
      <c r="I115" s="453"/>
      <c r="J115" s="615" t="str">
        <f>InpPerformance!J57</f>
        <v/>
      </c>
      <c r="K115" s="615" t="str">
        <f>InpPerformance!K57</f>
        <v/>
      </c>
      <c r="L115" s="615" t="str">
        <f>InpPerformance!L57</f>
        <v/>
      </c>
      <c r="M115" s="615" t="str">
        <f>InpPerformance!M57</f>
        <v/>
      </c>
      <c r="N115" s="615">
        <f>InpPerformance!N57</f>
        <v>-18.3</v>
      </c>
      <c r="O115" s="615" t="str">
        <f>InpPerformance!O57</f>
        <v/>
      </c>
      <c r="P115" s="615" t="str">
        <f>InpPerformance!P57</f>
        <v/>
      </c>
      <c r="Q115" s="616" t="str">
        <f>InpPerformance!Q57</f>
        <v/>
      </c>
      <c r="R115" s="615" t="str">
        <f>InpPerformance!R57</f>
        <v/>
      </c>
      <c r="S115" s="615" t="str">
        <f>InpPerformance!S57</f>
        <v/>
      </c>
      <c r="T115" s="615" t="str">
        <f>InpPerformance!T57</f>
        <v/>
      </c>
      <c r="U115" s="615" t="str">
        <f>InpPerformance!U57</f>
        <v/>
      </c>
      <c r="V115" s="615" t="str">
        <f>InpPerformance!V57</f>
        <v/>
      </c>
      <c r="W115" s="615" t="str">
        <f>InpPerformance!W57</f>
        <v/>
      </c>
      <c r="X115" s="615" t="str">
        <f>InpPerformance!X57</f>
        <v/>
      </c>
      <c r="Y115" s="615" t="str">
        <f>InpPerformance!Y57</f>
        <v/>
      </c>
      <c r="Z115" s="615" t="str">
        <f>InpPerformance!Z57</f>
        <v/>
      </c>
      <c r="AA115" s="615" t="str">
        <f>InpPerformance!AA57</f>
        <v/>
      </c>
      <c r="AB115" s="615" t="str">
        <f>InpPerformance!AB57</f>
        <v/>
      </c>
      <c r="AC115" s="615" t="str">
        <f>InpPerformance!AC57</f>
        <v/>
      </c>
      <c r="AD115" s="615" t="str">
        <f>InpPerformance!AD57</f>
        <v/>
      </c>
      <c r="AE115" s="615" t="str">
        <f>InpPerformance!AE57</f>
        <v/>
      </c>
      <c r="AF115" s="615" t="str">
        <f>InpPerformance!AF57</f>
        <v/>
      </c>
      <c r="AG115" s="615" t="str">
        <f>InpPerformance!AG57</f>
        <v/>
      </c>
      <c r="AH115" s="615" t="str">
        <f>InpPerformance!AH57</f>
        <v/>
      </c>
      <c r="AI115" s="615" t="str">
        <f>InpPerformance!AI57</f>
        <v/>
      </c>
      <c r="AJ115" s="615" t="str">
        <f>InpPerformance!AJ57</f>
        <v/>
      </c>
      <c r="AK115" s="616" t="str">
        <f>InpPerformance!AK57</f>
        <v/>
      </c>
      <c r="AL115" s="615" t="str">
        <f>InpPerformance!AL57</f>
        <v/>
      </c>
      <c r="AM115" s="615" t="str">
        <f>InpPerformance!AM57</f>
        <v/>
      </c>
      <c r="AN115" s="615" t="str">
        <f>InpPerformance!AN57</f>
        <v/>
      </c>
      <c r="AO115" s="616" t="str">
        <f>InpPerformance!AO57</f>
        <v/>
      </c>
      <c r="AP115" s="615" t="str">
        <f>InpPerformance!AP57</f>
        <v/>
      </c>
      <c r="AQ115" s="615" t="str">
        <f>InpPerformance!AQ57</f>
        <v/>
      </c>
      <c r="AR115" s="615" t="str">
        <f>InpPerformance!AR57</f>
        <v/>
      </c>
      <c r="AS115" s="615" t="str">
        <f>InpPerformance!AS57</f>
        <v/>
      </c>
      <c r="AT115" s="615" t="str">
        <f>InpPerformance!AT57</f>
        <v/>
      </c>
      <c r="AU115" s="615" t="str">
        <f>InpPerformance!AU57</f>
        <v/>
      </c>
      <c r="AV115" s="615" t="str">
        <f>InpPerformance!AV57</f>
        <v/>
      </c>
      <c r="AW115" s="615" t="str">
        <f>InpPerformance!AW57</f>
        <v/>
      </c>
      <c r="AX115" s="615" t="str">
        <f>InpPerformance!AX57</f>
        <v/>
      </c>
      <c r="AY115" s="615" t="str">
        <f>InpPerformance!AY57</f>
        <v/>
      </c>
      <c r="AZ115" s="615" t="str">
        <f>InpPerformance!AZ57</f>
        <v/>
      </c>
      <c r="BA115" s="615" t="str">
        <f>InpPerformance!BA57</f>
        <v/>
      </c>
      <c r="BB115" s="615" t="str">
        <f>InpPerformance!BB57</f>
        <v/>
      </c>
      <c r="BC115" s="616" t="str">
        <f>InpPerformance!BC57</f>
        <v/>
      </c>
      <c r="BD115" s="615" t="str">
        <f>InpPerformance!BD57</f>
        <v/>
      </c>
      <c r="BE115" s="615" t="str">
        <f>InpPerformance!BE57</f>
        <v/>
      </c>
      <c r="BF115" s="615" t="str">
        <f>InpPerformance!BF57</f>
        <v/>
      </c>
      <c r="BG115" s="615" t="str">
        <f>InpPerformance!BG57</f>
        <v/>
      </c>
      <c r="BH115" s="615" t="str">
        <f>InpPerformance!BH57</f>
        <v/>
      </c>
      <c r="BI115" s="615" t="str">
        <f>InpPerformance!BI57</f>
        <v/>
      </c>
      <c r="BJ115" s="615" t="str">
        <f>InpPerformance!BJ57</f>
        <v/>
      </c>
      <c r="BK115" s="615" t="str">
        <f>InpPerformance!BK57</f>
        <v/>
      </c>
      <c r="BL115" s="615" t="str">
        <f>InpPerformance!BL57</f>
        <v/>
      </c>
      <c r="BM115" s="615" t="str">
        <f>InpPerformance!BM57</f>
        <v/>
      </c>
      <c r="BN115" s="615" t="str">
        <f>InpPerformance!BN57</f>
        <v/>
      </c>
      <c r="BO115" s="615" t="str">
        <f>InpPerformance!BO57</f>
        <v/>
      </c>
      <c r="BP115" s="615" t="str">
        <f>InpPerformance!BP57</f>
        <v/>
      </c>
      <c r="BQ115" s="615" t="str">
        <f>InpPerformance!BQ57</f>
        <v/>
      </c>
      <c r="BR115" s="615" t="str">
        <f>InpPerformance!BR57</f>
        <v/>
      </c>
      <c r="BS115" s="615" t="str">
        <f>InpPerformance!BS57</f>
        <v/>
      </c>
    </row>
    <row r="116" spans="1:71" s="202" customFormat="1" ht="13.15">
      <c r="A116" s="453"/>
      <c r="B116" s="453"/>
      <c r="C116" s="453"/>
      <c r="D116" s="463"/>
      <c r="E116" s="510" t="str">
        <f>E$14</f>
        <v>Up or down is good?</v>
      </c>
      <c r="F116" s="510"/>
      <c r="G116" s="510" t="str">
        <f>G$14</f>
        <v>Number</v>
      </c>
      <c r="H116" s="510"/>
      <c r="I116" s="510"/>
      <c r="J116" s="511">
        <f>J$14</f>
        <v>-1</v>
      </c>
      <c r="K116" s="511">
        <f t="shared" ref="K116:BS116" si="39">K$14</f>
        <v>-1</v>
      </c>
      <c r="L116" s="511">
        <f t="shared" si="39"/>
        <v>1</v>
      </c>
      <c r="M116" s="511">
        <f t="shared" si="39"/>
        <v>-1</v>
      </c>
      <c r="N116" s="511">
        <f t="shared" si="39"/>
        <v>1</v>
      </c>
      <c r="O116" s="511">
        <f t="shared" si="39"/>
        <v>-1</v>
      </c>
      <c r="P116" s="511">
        <f t="shared" si="39"/>
        <v>-1</v>
      </c>
      <c r="Q116" s="512">
        <f t="shared" si="39"/>
        <v>-1</v>
      </c>
      <c r="R116" s="511">
        <f t="shared" si="39"/>
        <v>-1</v>
      </c>
      <c r="S116" s="511">
        <f t="shared" si="39"/>
        <v>-1</v>
      </c>
      <c r="T116" s="511">
        <f t="shared" si="39"/>
        <v>-1</v>
      </c>
      <c r="U116" s="511">
        <f t="shared" si="39"/>
        <v>1</v>
      </c>
      <c r="V116" s="511">
        <f t="shared" si="39"/>
        <v>-1</v>
      </c>
      <c r="W116" s="511">
        <f t="shared" si="39"/>
        <v>1</v>
      </c>
      <c r="X116" s="511">
        <f t="shared" si="39"/>
        <v>-1</v>
      </c>
      <c r="Y116" s="511">
        <f t="shared" si="39"/>
        <v>-1</v>
      </c>
      <c r="Z116" s="511">
        <f t="shared" si="39"/>
        <v>1</v>
      </c>
      <c r="AA116" s="511">
        <f t="shared" si="39"/>
        <v>-1</v>
      </c>
      <c r="AB116" s="511">
        <f t="shared" si="39"/>
        <v>-1</v>
      </c>
      <c r="AC116" s="511">
        <f t="shared" si="39"/>
        <v>-1</v>
      </c>
      <c r="AD116" s="511">
        <f t="shared" si="39"/>
        <v>-1</v>
      </c>
      <c r="AE116" s="511">
        <f t="shared" si="39"/>
        <v>-1</v>
      </c>
      <c r="AF116" s="511">
        <f t="shared" si="39"/>
        <v>-1</v>
      </c>
      <c r="AG116" s="511">
        <f t="shared" si="39"/>
        <v>-1</v>
      </c>
      <c r="AH116" s="511">
        <f t="shared" si="39"/>
        <v>-1</v>
      </c>
      <c r="AI116" s="511">
        <f t="shared" si="39"/>
        <v>-1</v>
      </c>
      <c r="AJ116" s="511">
        <f t="shared" si="39"/>
        <v>-1</v>
      </c>
      <c r="AK116" s="512">
        <f t="shared" si="39"/>
        <v>-1</v>
      </c>
      <c r="AL116" s="511">
        <f t="shared" si="39"/>
        <v>-1</v>
      </c>
      <c r="AM116" s="511">
        <f t="shared" si="39"/>
        <v>-1</v>
      </c>
      <c r="AN116" s="511">
        <f t="shared" si="39"/>
        <v>-1</v>
      </c>
      <c r="AO116" s="512">
        <f t="shared" si="39"/>
        <v>1</v>
      </c>
      <c r="AP116" s="511">
        <f t="shared" si="39"/>
        <v>1</v>
      </c>
      <c r="AQ116" s="511">
        <f t="shared" si="39"/>
        <v>1</v>
      </c>
      <c r="AR116" s="511">
        <f t="shared" si="39"/>
        <v>1</v>
      </c>
      <c r="AS116" s="511">
        <f t="shared" si="39"/>
        <v>1</v>
      </c>
      <c r="AT116" s="511">
        <f t="shared" si="39"/>
        <v>1</v>
      </c>
      <c r="AU116" s="511">
        <f t="shared" si="39"/>
        <v>1</v>
      </c>
      <c r="AV116" s="511">
        <f t="shared" si="39"/>
        <v>1</v>
      </c>
      <c r="AW116" s="511">
        <f t="shared" si="39"/>
        <v>1</v>
      </c>
      <c r="AX116" s="511">
        <f t="shared" si="39"/>
        <v>-1</v>
      </c>
      <c r="AY116" s="511">
        <f t="shared" si="39"/>
        <v>1</v>
      </c>
      <c r="AZ116" s="511">
        <f t="shared" si="39"/>
        <v>-1</v>
      </c>
      <c r="BA116" s="511">
        <f t="shared" si="39"/>
        <v>-1</v>
      </c>
      <c r="BB116" s="511">
        <f t="shared" si="39"/>
        <v>-1</v>
      </c>
      <c r="BC116" s="512">
        <f t="shared" si="39"/>
        <v>-1</v>
      </c>
      <c r="BD116" s="511">
        <f t="shared" si="39"/>
        <v>-1</v>
      </c>
      <c r="BE116" s="511">
        <f t="shared" si="39"/>
        <v>-1</v>
      </c>
      <c r="BF116" s="511">
        <f t="shared" si="39"/>
        <v>-1</v>
      </c>
      <c r="BG116" s="511">
        <f t="shared" si="39"/>
        <v>-1</v>
      </c>
      <c r="BH116" s="511">
        <f t="shared" si="39"/>
        <v>-1</v>
      </c>
      <c r="BI116" s="511">
        <f t="shared" si="39"/>
        <v>-1</v>
      </c>
      <c r="BJ116" s="511">
        <f t="shared" si="39"/>
        <v>-1</v>
      </c>
      <c r="BK116" s="511">
        <f t="shared" si="39"/>
        <v>-1</v>
      </c>
      <c r="BL116" s="511">
        <f t="shared" si="39"/>
        <v>-1</v>
      </c>
      <c r="BM116" s="511">
        <f t="shared" si="39"/>
        <v>-1</v>
      </c>
      <c r="BN116" s="511">
        <f t="shared" si="39"/>
        <v>-1</v>
      </c>
      <c r="BO116" s="511">
        <f t="shared" si="39"/>
        <v>-1</v>
      </c>
      <c r="BP116" s="511">
        <f t="shared" si="39"/>
        <v>-1</v>
      </c>
      <c r="BQ116" s="511">
        <f t="shared" si="39"/>
        <v>-1</v>
      </c>
      <c r="BR116" s="511">
        <f t="shared" si="39"/>
        <v>-1</v>
      </c>
      <c r="BS116" s="511">
        <f t="shared" si="39"/>
        <v>-1</v>
      </c>
    </row>
    <row r="117" spans="1:71" s="202" customFormat="1" ht="13.15">
      <c r="A117" s="453"/>
      <c r="B117" s="453"/>
      <c r="C117" s="453"/>
      <c r="D117" s="463"/>
      <c r="E117" s="510" t="str">
        <f>E$17</f>
        <v>Actual performance (rounded unless HH:MM:SS unit is used or ODI is calculated as a % difference to a baseline)</v>
      </c>
      <c r="F117" s="510"/>
      <c r="G117" s="510" t="str">
        <f>G$17</f>
        <v>Performance commitment unit</v>
      </c>
      <c r="H117" s="510"/>
      <c r="I117" s="453"/>
      <c r="J117" s="610">
        <f>J$17</f>
        <v>3.07</v>
      </c>
      <c r="K117" s="610">
        <f t="shared" ref="K117:BS117" si="40">K$17</f>
        <v>5.6635957305140185E-2</v>
      </c>
      <c r="L117" s="610">
        <f t="shared" si="40"/>
        <v>-4.404404404404394</v>
      </c>
      <c r="M117" s="610" t="str">
        <f t="shared" si="40"/>
        <v/>
      </c>
      <c r="N117" s="610">
        <f t="shared" si="40"/>
        <v>-1.2499999999999956</v>
      </c>
      <c r="O117" s="610" t="str">
        <f t="shared" si="40"/>
        <v/>
      </c>
      <c r="P117" s="610">
        <f t="shared" si="40"/>
        <v>121.1</v>
      </c>
      <c r="Q117" s="611">
        <f t="shared" si="40"/>
        <v>5.68</v>
      </c>
      <c r="R117" s="610">
        <f t="shared" si="40"/>
        <v>1</v>
      </c>
      <c r="S117" s="610">
        <f t="shared" si="40"/>
        <v>0.24</v>
      </c>
      <c r="T117" s="610">
        <f t="shared" si="40"/>
        <v>-19</v>
      </c>
      <c r="U117" s="610">
        <f t="shared" si="40"/>
        <v>0</v>
      </c>
      <c r="V117" s="610">
        <f t="shared" si="40"/>
        <v>2.97</v>
      </c>
      <c r="W117" s="610">
        <f t="shared" si="40"/>
        <v>0</v>
      </c>
      <c r="X117" s="610">
        <f t="shared" si="40"/>
        <v>173</v>
      </c>
      <c r="Y117" s="610">
        <f t="shared" si="40"/>
        <v>51</v>
      </c>
      <c r="Z117" s="610">
        <f t="shared" si="40"/>
        <v>0</v>
      </c>
      <c r="AA117" s="610" t="str">
        <f t="shared" si="40"/>
        <v/>
      </c>
      <c r="AB117" s="610" t="str">
        <f t="shared" si="40"/>
        <v/>
      </c>
      <c r="AC117" s="610" t="str">
        <f t="shared" si="40"/>
        <v/>
      </c>
      <c r="AD117" s="610" t="str">
        <f t="shared" si="40"/>
        <v/>
      </c>
      <c r="AE117" s="610" t="str">
        <f t="shared" si="40"/>
        <v/>
      </c>
      <c r="AF117" s="610" t="str">
        <f t="shared" si="40"/>
        <v/>
      </c>
      <c r="AG117" s="610" t="str">
        <f t="shared" si="40"/>
        <v/>
      </c>
      <c r="AH117" s="610" t="str">
        <f t="shared" si="40"/>
        <v/>
      </c>
      <c r="AI117" s="610" t="str">
        <f t="shared" si="40"/>
        <v/>
      </c>
      <c r="AJ117" s="610" t="str">
        <f t="shared" si="40"/>
        <v/>
      </c>
      <c r="AK117" s="611" t="str">
        <f t="shared" si="40"/>
        <v/>
      </c>
      <c r="AL117" s="610">
        <f t="shared" si="40"/>
        <v>2.57</v>
      </c>
      <c r="AM117" s="610">
        <f t="shared" si="40"/>
        <v>58.9</v>
      </c>
      <c r="AN117" s="610">
        <f t="shared" si="40"/>
        <v>5.85</v>
      </c>
      <c r="AO117" s="611">
        <f t="shared" si="40"/>
        <v>99.36</v>
      </c>
      <c r="AP117" s="610">
        <f t="shared" si="40"/>
        <v>79</v>
      </c>
      <c r="AQ117" s="610">
        <f t="shared" si="40"/>
        <v>13.32</v>
      </c>
      <c r="AR117" s="610">
        <f t="shared" si="40"/>
        <v>100</v>
      </c>
      <c r="AS117" s="610">
        <f t="shared" si="40"/>
        <v>102.7</v>
      </c>
      <c r="AT117" s="610">
        <f t="shared" si="40"/>
        <v>48</v>
      </c>
      <c r="AU117" s="610">
        <f t="shared" si="40"/>
        <v>4</v>
      </c>
      <c r="AV117" s="610">
        <f t="shared" si="40"/>
        <v>4</v>
      </c>
      <c r="AW117" s="610">
        <f t="shared" si="40"/>
        <v>0</v>
      </c>
      <c r="AX117" s="610">
        <f t="shared" si="40"/>
        <v>3245</v>
      </c>
      <c r="AY117" s="610">
        <f t="shared" si="40"/>
        <v>0</v>
      </c>
      <c r="AZ117" s="610" t="str">
        <f t="shared" si="40"/>
        <v/>
      </c>
      <c r="BA117" s="610" t="str">
        <f t="shared" si="40"/>
        <v/>
      </c>
      <c r="BB117" s="610" t="str">
        <f t="shared" si="40"/>
        <v/>
      </c>
      <c r="BC117" s="611" t="str">
        <f t="shared" si="40"/>
        <v/>
      </c>
      <c r="BD117" s="610" t="str">
        <f t="shared" si="40"/>
        <v/>
      </c>
      <c r="BE117" s="610" t="str">
        <f t="shared" si="40"/>
        <v/>
      </c>
      <c r="BF117" s="610" t="str">
        <f t="shared" si="40"/>
        <v/>
      </c>
      <c r="BG117" s="610" t="str">
        <f t="shared" si="40"/>
        <v/>
      </c>
      <c r="BH117" s="610" t="str">
        <f t="shared" si="40"/>
        <v/>
      </c>
      <c r="BI117" s="610" t="str">
        <f t="shared" si="40"/>
        <v/>
      </c>
      <c r="BJ117" s="610" t="str">
        <f t="shared" si="40"/>
        <v/>
      </c>
      <c r="BK117" s="610" t="str">
        <f t="shared" si="40"/>
        <v/>
      </c>
      <c r="BL117" s="610" t="str">
        <f t="shared" si="40"/>
        <v/>
      </c>
      <c r="BM117" s="610" t="str">
        <f t="shared" si="40"/>
        <v/>
      </c>
      <c r="BN117" s="610" t="str">
        <f t="shared" si="40"/>
        <v/>
      </c>
      <c r="BO117" s="610" t="str">
        <f t="shared" si="40"/>
        <v/>
      </c>
      <c r="BP117" s="610" t="str">
        <f t="shared" si="40"/>
        <v/>
      </c>
      <c r="BQ117" s="610" t="str">
        <f t="shared" si="40"/>
        <v/>
      </c>
      <c r="BR117" s="610" t="str">
        <f t="shared" si="40"/>
        <v/>
      </c>
      <c r="BS117" s="610" t="str">
        <f t="shared" si="40"/>
        <v/>
      </c>
    </row>
    <row r="118" spans="1:71" s="202" customFormat="1" ht="13.15">
      <c r="A118" s="453"/>
      <c r="B118" s="453"/>
      <c r="C118" s="453"/>
      <c r="D118" s="463"/>
      <c r="E118" s="510"/>
      <c r="F118" s="510"/>
      <c r="G118" s="510"/>
      <c r="H118" s="510"/>
      <c r="I118" s="453"/>
      <c r="J118" s="610"/>
      <c r="K118" s="610"/>
      <c r="L118" s="610"/>
      <c r="M118" s="610"/>
      <c r="N118" s="610"/>
      <c r="O118" s="610"/>
      <c r="P118" s="610"/>
      <c r="Q118" s="611"/>
      <c r="R118" s="610"/>
      <c r="S118" s="610"/>
      <c r="T118" s="610"/>
      <c r="U118" s="610"/>
      <c r="V118" s="610"/>
      <c r="W118" s="610"/>
      <c r="X118" s="610"/>
      <c r="Y118" s="610"/>
      <c r="Z118" s="610"/>
      <c r="AA118" s="610"/>
      <c r="AB118" s="610"/>
      <c r="AC118" s="610"/>
      <c r="AD118" s="610"/>
      <c r="AE118" s="610"/>
      <c r="AF118" s="610"/>
      <c r="AG118" s="610"/>
      <c r="AH118" s="610"/>
      <c r="AI118" s="610"/>
      <c r="AJ118" s="610"/>
      <c r="AK118" s="611"/>
      <c r="AL118" s="610"/>
      <c r="AM118" s="610"/>
      <c r="AN118" s="610"/>
      <c r="AO118" s="611"/>
      <c r="AP118" s="610"/>
      <c r="AQ118" s="610"/>
      <c r="AR118" s="610"/>
      <c r="AS118" s="610"/>
      <c r="AT118" s="610"/>
      <c r="AU118" s="610"/>
      <c r="AV118" s="610"/>
      <c r="AW118" s="610"/>
      <c r="AX118" s="610"/>
      <c r="AY118" s="610"/>
      <c r="AZ118" s="610"/>
      <c r="BA118" s="610"/>
      <c r="BB118" s="610"/>
      <c r="BC118" s="611"/>
      <c r="BD118" s="610"/>
      <c r="BE118" s="610"/>
      <c r="BF118" s="610"/>
      <c r="BG118" s="610"/>
      <c r="BH118" s="610"/>
      <c r="BI118" s="610"/>
      <c r="BJ118" s="610"/>
      <c r="BK118" s="610"/>
      <c r="BL118" s="610"/>
      <c r="BM118" s="610"/>
      <c r="BN118" s="610"/>
      <c r="BO118" s="610"/>
      <c r="BP118" s="610"/>
      <c r="BQ118" s="610"/>
      <c r="BR118" s="610"/>
      <c r="BS118" s="610"/>
    </row>
    <row r="119" spans="1:71" s="202" customFormat="1" ht="13.15">
      <c r="A119" s="453"/>
      <c r="B119" s="453"/>
      <c r="C119" s="453"/>
      <c r="D119" s="453"/>
      <c r="E119" s="510" t="s">
        <v>1233</v>
      </c>
      <c r="F119" s="510"/>
      <c r="G119" s="510" t="s">
        <v>418</v>
      </c>
      <c r="H119" s="510"/>
      <c r="I119" s="453"/>
      <c r="J119" s="494" t="b">
        <f>IF(J113=TRUE,IF(((J117-J114)*J116)&lt;0,TRUE,FALSE),FALSE)</f>
        <v>0</v>
      </c>
      <c r="K119" s="494" t="b">
        <f t="shared" ref="K119:BS119" si="41">IF(K113=TRUE,IF(((K117-K114)*K116)&lt;0,TRUE,FALSE),FALSE)</f>
        <v>0</v>
      </c>
      <c r="L119" s="494" t="b">
        <f t="shared" si="41"/>
        <v>0</v>
      </c>
      <c r="M119" s="494" t="b">
        <f>IF(M113=TRUE,IF(((M117-M114)*M116)&lt;0,TRUE,FALSE),FALSE)</f>
        <v>0</v>
      </c>
      <c r="N119" s="494" t="b">
        <f t="shared" si="41"/>
        <v>0</v>
      </c>
      <c r="O119" s="494" t="b">
        <f>IF(O113=TRUE,IF(((O117-O114)*O116)&lt;0,TRUE,FALSE),FALSE)</f>
        <v>0</v>
      </c>
      <c r="P119" s="494" t="b">
        <f t="shared" si="41"/>
        <v>0</v>
      </c>
      <c r="Q119" s="496" t="b">
        <f t="shared" si="41"/>
        <v>0</v>
      </c>
      <c r="R119" s="494" t="b">
        <f t="shared" si="41"/>
        <v>0</v>
      </c>
      <c r="S119" s="494" t="b">
        <f t="shared" si="41"/>
        <v>0</v>
      </c>
      <c r="T119" s="494" t="b">
        <f t="shared" si="41"/>
        <v>0</v>
      </c>
      <c r="U119" s="494" t="b">
        <f t="shared" si="41"/>
        <v>0</v>
      </c>
      <c r="V119" s="494" t="b">
        <f t="shared" si="41"/>
        <v>0</v>
      </c>
      <c r="W119" s="494" t="b">
        <f t="shared" si="41"/>
        <v>0</v>
      </c>
      <c r="X119" s="494" t="b">
        <f t="shared" si="41"/>
        <v>0</v>
      </c>
      <c r="Y119" s="494" t="b">
        <f t="shared" si="41"/>
        <v>0</v>
      </c>
      <c r="Z119" s="494" t="b">
        <f t="shared" si="41"/>
        <v>0</v>
      </c>
      <c r="AA119" s="494" t="b">
        <f t="shared" si="41"/>
        <v>0</v>
      </c>
      <c r="AB119" s="494" t="b">
        <f t="shared" si="41"/>
        <v>0</v>
      </c>
      <c r="AC119" s="494" t="b">
        <f t="shared" si="41"/>
        <v>0</v>
      </c>
      <c r="AD119" s="494" t="b">
        <f t="shared" si="41"/>
        <v>0</v>
      </c>
      <c r="AE119" s="494" t="b">
        <f t="shared" si="41"/>
        <v>0</v>
      </c>
      <c r="AF119" s="494" t="b">
        <f t="shared" si="41"/>
        <v>0</v>
      </c>
      <c r="AG119" s="494" t="b">
        <f t="shared" si="41"/>
        <v>0</v>
      </c>
      <c r="AH119" s="494" t="b">
        <f t="shared" si="41"/>
        <v>0</v>
      </c>
      <c r="AI119" s="494" t="b">
        <f t="shared" si="41"/>
        <v>0</v>
      </c>
      <c r="AJ119" s="494" t="b">
        <f t="shared" si="41"/>
        <v>0</v>
      </c>
      <c r="AK119" s="496" t="b">
        <f t="shared" si="41"/>
        <v>0</v>
      </c>
      <c r="AL119" s="494" t="b">
        <f t="shared" si="41"/>
        <v>0</v>
      </c>
      <c r="AM119" s="494" t="b">
        <f t="shared" si="41"/>
        <v>0</v>
      </c>
      <c r="AN119" s="494" t="b">
        <f t="shared" si="41"/>
        <v>0</v>
      </c>
      <c r="AO119" s="496" t="b">
        <f t="shared" si="41"/>
        <v>0</v>
      </c>
      <c r="AP119" s="494" t="b">
        <f t="shared" si="41"/>
        <v>0</v>
      </c>
      <c r="AQ119" s="494" t="b">
        <f t="shared" si="41"/>
        <v>0</v>
      </c>
      <c r="AR119" s="494" t="b">
        <f t="shared" si="41"/>
        <v>0</v>
      </c>
      <c r="AS119" s="494" t="b">
        <f t="shared" si="41"/>
        <v>0</v>
      </c>
      <c r="AT119" s="494" t="b">
        <f t="shared" si="41"/>
        <v>0</v>
      </c>
      <c r="AU119" s="494" t="b">
        <f t="shared" si="41"/>
        <v>0</v>
      </c>
      <c r="AV119" s="494" t="b">
        <f t="shared" si="41"/>
        <v>0</v>
      </c>
      <c r="AW119" s="494" t="b">
        <f t="shared" si="41"/>
        <v>0</v>
      </c>
      <c r="AX119" s="494" t="b">
        <f t="shared" si="41"/>
        <v>0</v>
      </c>
      <c r="AY119" s="494" t="b">
        <f t="shared" si="41"/>
        <v>0</v>
      </c>
      <c r="AZ119" s="494" t="b">
        <f t="shared" si="41"/>
        <v>0</v>
      </c>
      <c r="BA119" s="494" t="b">
        <f t="shared" si="41"/>
        <v>0</v>
      </c>
      <c r="BB119" s="494" t="b">
        <f t="shared" si="41"/>
        <v>0</v>
      </c>
      <c r="BC119" s="496" t="b">
        <f t="shared" si="41"/>
        <v>0</v>
      </c>
      <c r="BD119" s="494" t="b">
        <f t="shared" si="41"/>
        <v>0</v>
      </c>
      <c r="BE119" s="494" t="b">
        <f t="shared" si="41"/>
        <v>0</v>
      </c>
      <c r="BF119" s="494" t="b">
        <f>IF(BF113=TRUE,IF(((BF117-BF114)*BF116)&lt;0,TRUE,FALSE),FALSE)</f>
        <v>0</v>
      </c>
      <c r="BG119" s="494" t="b">
        <f>IF(BG113=TRUE,IF(((BG117-BG114)*BG116)&lt;0,TRUE,FALSE),FALSE)</f>
        <v>0</v>
      </c>
      <c r="BH119" s="494" t="b">
        <f t="shared" si="41"/>
        <v>0</v>
      </c>
      <c r="BI119" s="494" t="b">
        <f t="shared" si="41"/>
        <v>0</v>
      </c>
      <c r="BJ119" s="494" t="b">
        <f t="shared" si="41"/>
        <v>0</v>
      </c>
      <c r="BK119" s="494" t="b">
        <f t="shared" si="41"/>
        <v>0</v>
      </c>
      <c r="BL119" s="494" t="b">
        <f t="shared" si="41"/>
        <v>0</v>
      </c>
      <c r="BM119" s="494" t="b">
        <f t="shared" si="41"/>
        <v>0</v>
      </c>
      <c r="BN119" s="494" t="b">
        <f t="shared" si="41"/>
        <v>0</v>
      </c>
      <c r="BO119" s="494" t="b">
        <f t="shared" si="41"/>
        <v>0</v>
      </c>
      <c r="BP119" s="494" t="b">
        <f t="shared" si="41"/>
        <v>0</v>
      </c>
      <c r="BQ119" s="494" t="b">
        <f t="shared" si="41"/>
        <v>0</v>
      </c>
      <c r="BR119" s="494" t="b">
        <f t="shared" si="41"/>
        <v>0</v>
      </c>
      <c r="BS119" s="494" t="b">
        <f t="shared" si="41"/>
        <v>0</v>
      </c>
    </row>
    <row r="120" spans="1:71" s="202" customFormat="1" ht="13.15">
      <c r="A120" s="453"/>
      <c r="B120" s="453"/>
      <c r="C120" s="453"/>
      <c r="D120" s="453"/>
      <c r="E120" s="510" t="s">
        <v>1234</v>
      </c>
      <c r="F120" s="510"/>
      <c r="G120" s="510" t="str">
        <f>G7</f>
        <v>Performance commitment unit</v>
      </c>
      <c r="H120" s="510"/>
      <c r="I120" s="453"/>
      <c r="J120" s="492">
        <f>IF(J116&gt;0,MAX(J115,J117),MIN(J115,J117))</f>
        <v>3.07</v>
      </c>
      <c r="K120" s="492">
        <f t="shared" ref="K120:BS120" si="42">IF(K116&gt;0,MAX(K115,K117),MIN(K115,K117))</f>
        <v>5.6635957305140185E-2</v>
      </c>
      <c r="L120" s="492">
        <f t="shared" si="42"/>
        <v>-4.404404404404394</v>
      </c>
      <c r="M120" s="492">
        <f>IF(M116&gt;0,MAX(M115,M117),MIN(M115,M117))</f>
        <v>0</v>
      </c>
      <c r="N120" s="492">
        <f t="shared" si="42"/>
        <v>-1.2499999999999956</v>
      </c>
      <c r="O120" s="492">
        <f>IF(O116&gt;0,MAX(O115,O117),MIN(O115,O117))</f>
        <v>0</v>
      </c>
      <c r="P120" s="492">
        <f t="shared" si="42"/>
        <v>121.1</v>
      </c>
      <c r="Q120" s="493">
        <f t="shared" si="42"/>
        <v>5.68</v>
      </c>
      <c r="R120" s="492">
        <f t="shared" si="42"/>
        <v>1</v>
      </c>
      <c r="S120" s="492">
        <f t="shared" si="42"/>
        <v>0.24</v>
      </c>
      <c r="T120" s="492">
        <f t="shared" si="42"/>
        <v>-19</v>
      </c>
      <c r="U120" s="492">
        <f t="shared" si="42"/>
        <v>0</v>
      </c>
      <c r="V120" s="492">
        <f t="shared" si="42"/>
        <v>2.97</v>
      </c>
      <c r="W120" s="492">
        <f t="shared" si="42"/>
        <v>0</v>
      </c>
      <c r="X120" s="492">
        <f t="shared" si="42"/>
        <v>173</v>
      </c>
      <c r="Y120" s="492">
        <f t="shared" si="42"/>
        <v>51</v>
      </c>
      <c r="Z120" s="492">
        <f t="shared" si="42"/>
        <v>0</v>
      </c>
      <c r="AA120" s="492">
        <f t="shared" si="42"/>
        <v>0</v>
      </c>
      <c r="AB120" s="492">
        <f t="shared" si="42"/>
        <v>0</v>
      </c>
      <c r="AC120" s="492">
        <f t="shared" si="42"/>
        <v>0</v>
      </c>
      <c r="AD120" s="492">
        <f t="shared" si="42"/>
        <v>0</v>
      </c>
      <c r="AE120" s="492">
        <f t="shared" si="42"/>
        <v>0</v>
      </c>
      <c r="AF120" s="492">
        <f t="shared" si="42"/>
        <v>0</v>
      </c>
      <c r="AG120" s="492">
        <f t="shared" si="42"/>
        <v>0</v>
      </c>
      <c r="AH120" s="492">
        <f t="shared" si="42"/>
        <v>0</v>
      </c>
      <c r="AI120" s="492">
        <f t="shared" si="42"/>
        <v>0</v>
      </c>
      <c r="AJ120" s="492">
        <f t="shared" si="42"/>
        <v>0</v>
      </c>
      <c r="AK120" s="493">
        <f t="shared" si="42"/>
        <v>0</v>
      </c>
      <c r="AL120" s="492">
        <f t="shared" si="42"/>
        <v>2.57</v>
      </c>
      <c r="AM120" s="492">
        <f t="shared" si="42"/>
        <v>58.9</v>
      </c>
      <c r="AN120" s="492">
        <f t="shared" si="42"/>
        <v>5.85</v>
      </c>
      <c r="AO120" s="493">
        <f t="shared" si="42"/>
        <v>99.36</v>
      </c>
      <c r="AP120" s="492">
        <f t="shared" si="42"/>
        <v>79</v>
      </c>
      <c r="AQ120" s="492">
        <f t="shared" si="42"/>
        <v>13.32</v>
      </c>
      <c r="AR120" s="492">
        <f t="shared" si="42"/>
        <v>100</v>
      </c>
      <c r="AS120" s="492">
        <f t="shared" si="42"/>
        <v>102.7</v>
      </c>
      <c r="AT120" s="492">
        <f t="shared" si="42"/>
        <v>48</v>
      </c>
      <c r="AU120" s="492">
        <f t="shared" si="42"/>
        <v>4</v>
      </c>
      <c r="AV120" s="492">
        <f t="shared" si="42"/>
        <v>4</v>
      </c>
      <c r="AW120" s="492">
        <f t="shared" si="42"/>
        <v>0</v>
      </c>
      <c r="AX120" s="492">
        <f t="shared" si="42"/>
        <v>3245</v>
      </c>
      <c r="AY120" s="492">
        <f t="shared" si="42"/>
        <v>0</v>
      </c>
      <c r="AZ120" s="492">
        <f t="shared" si="42"/>
        <v>0</v>
      </c>
      <c r="BA120" s="492">
        <f t="shared" si="42"/>
        <v>0</v>
      </c>
      <c r="BB120" s="492">
        <f t="shared" si="42"/>
        <v>0</v>
      </c>
      <c r="BC120" s="493">
        <f t="shared" si="42"/>
        <v>0</v>
      </c>
      <c r="BD120" s="492">
        <f t="shared" si="42"/>
        <v>0</v>
      </c>
      <c r="BE120" s="492">
        <f t="shared" si="42"/>
        <v>0</v>
      </c>
      <c r="BF120" s="492">
        <f>IF(BF116&gt;0,MAX(BF115,BF117),MIN(BF115,BF117))</f>
        <v>0</v>
      </c>
      <c r="BG120" s="492">
        <f>IF(BG116&gt;0,MAX(BG115,BG117),MIN(BG115,BG117))</f>
        <v>0</v>
      </c>
      <c r="BH120" s="492">
        <f t="shared" si="42"/>
        <v>0</v>
      </c>
      <c r="BI120" s="492">
        <f t="shared" si="42"/>
        <v>0</v>
      </c>
      <c r="BJ120" s="492">
        <f t="shared" si="42"/>
        <v>0</v>
      </c>
      <c r="BK120" s="492">
        <f t="shared" si="42"/>
        <v>0</v>
      </c>
      <c r="BL120" s="492">
        <f t="shared" si="42"/>
        <v>0</v>
      </c>
      <c r="BM120" s="492">
        <f t="shared" si="42"/>
        <v>0</v>
      </c>
      <c r="BN120" s="492">
        <f t="shared" si="42"/>
        <v>0</v>
      </c>
      <c r="BO120" s="492">
        <f t="shared" si="42"/>
        <v>0</v>
      </c>
      <c r="BP120" s="492">
        <f t="shared" si="42"/>
        <v>0</v>
      </c>
      <c r="BQ120" s="492">
        <f t="shared" si="42"/>
        <v>0</v>
      </c>
      <c r="BR120" s="492">
        <f t="shared" si="42"/>
        <v>0</v>
      </c>
      <c r="BS120" s="492">
        <f t="shared" si="42"/>
        <v>0</v>
      </c>
    </row>
    <row r="121" spans="1:71" s="202" customFormat="1" ht="13.15">
      <c r="A121" s="453"/>
      <c r="B121" s="453"/>
      <c r="C121" s="453"/>
      <c r="D121" s="453"/>
      <c r="E121" s="510" t="s">
        <v>1235</v>
      </c>
      <c r="F121" s="510"/>
      <c r="G121" s="510" t="str">
        <f>G7</f>
        <v>Performance commitment unit</v>
      </c>
      <c r="H121" s="510"/>
      <c r="I121" s="453"/>
      <c r="J121" s="492">
        <f>IF(J119=TRUE,ABS(J120-J114),0)</f>
        <v>0</v>
      </c>
      <c r="K121" s="492">
        <f t="shared" ref="K121:BS121" si="43">IF(K119=TRUE,ABS(K120-K114),0)</f>
        <v>0</v>
      </c>
      <c r="L121" s="492">
        <f t="shared" si="43"/>
        <v>0</v>
      </c>
      <c r="M121" s="492">
        <f>IF(M119=TRUE,ABS(M120-M114),0)</f>
        <v>0</v>
      </c>
      <c r="N121" s="492">
        <f t="shared" si="43"/>
        <v>0</v>
      </c>
      <c r="O121" s="492">
        <f>IF(O119=TRUE,ABS(O120-O114),0)</f>
        <v>0</v>
      </c>
      <c r="P121" s="492">
        <f t="shared" si="43"/>
        <v>0</v>
      </c>
      <c r="Q121" s="493">
        <f t="shared" si="43"/>
        <v>0</v>
      </c>
      <c r="R121" s="492">
        <f t="shared" si="43"/>
        <v>0</v>
      </c>
      <c r="S121" s="492">
        <f t="shared" si="43"/>
        <v>0</v>
      </c>
      <c r="T121" s="492">
        <f t="shared" si="43"/>
        <v>0</v>
      </c>
      <c r="U121" s="492">
        <f t="shared" si="43"/>
        <v>0</v>
      </c>
      <c r="V121" s="492">
        <f t="shared" si="43"/>
        <v>0</v>
      </c>
      <c r="W121" s="492">
        <f t="shared" si="43"/>
        <v>0</v>
      </c>
      <c r="X121" s="492">
        <f t="shared" si="43"/>
        <v>0</v>
      </c>
      <c r="Y121" s="492">
        <f t="shared" si="43"/>
        <v>0</v>
      </c>
      <c r="Z121" s="492">
        <f t="shared" si="43"/>
        <v>0</v>
      </c>
      <c r="AA121" s="492">
        <f t="shared" si="43"/>
        <v>0</v>
      </c>
      <c r="AB121" s="492">
        <f t="shared" si="43"/>
        <v>0</v>
      </c>
      <c r="AC121" s="492">
        <f t="shared" si="43"/>
        <v>0</v>
      </c>
      <c r="AD121" s="492">
        <f t="shared" si="43"/>
        <v>0</v>
      </c>
      <c r="AE121" s="492">
        <f t="shared" si="43"/>
        <v>0</v>
      </c>
      <c r="AF121" s="492">
        <f t="shared" si="43"/>
        <v>0</v>
      </c>
      <c r="AG121" s="492">
        <f t="shared" si="43"/>
        <v>0</v>
      </c>
      <c r="AH121" s="492">
        <f t="shared" si="43"/>
        <v>0</v>
      </c>
      <c r="AI121" s="492">
        <f t="shared" si="43"/>
        <v>0</v>
      </c>
      <c r="AJ121" s="492">
        <f t="shared" si="43"/>
        <v>0</v>
      </c>
      <c r="AK121" s="493">
        <f t="shared" si="43"/>
        <v>0</v>
      </c>
      <c r="AL121" s="492">
        <f t="shared" si="43"/>
        <v>0</v>
      </c>
      <c r="AM121" s="492">
        <f t="shared" si="43"/>
        <v>0</v>
      </c>
      <c r="AN121" s="492">
        <f t="shared" si="43"/>
        <v>0</v>
      </c>
      <c r="AO121" s="493">
        <f t="shared" si="43"/>
        <v>0</v>
      </c>
      <c r="AP121" s="492">
        <f t="shared" si="43"/>
        <v>0</v>
      </c>
      <c r="AQ121" s="492">
        <f t="shared" si="43"/>
        <v>0</v>
      </c>
      <c r="AR121" s="492">
        <f t="shared" si="43"/>
        <v>0</v>
      </c>
      <c r="AS121" s="492">
        <f t="shared" si="43"/>
        <v>0</v>
      </c>
      <c r="AT121" s="492">
        <f t="shared" si="43"/>
        <v>0</v>
      </c>
      <c r="AU121" s="492">
        <f t="shared" si="43"/>
        <v>0</v>
      </c>
      <c r="AV121" s="492">
        <f t="shared" si="43"/>
        <v>0</v>
      </c>
      <c r="AW121" s="492">
        <f t="shared" si="43"/>
        <v>0</v>
      </c>
      <c r="AX121" s="492">
        <f t="shared" si="43"/>
        <v>0</v>
      </c>
      <c r="AY121" s="492">
        <f t="shared" si="43"/>
        <v>0</v>
      </c>
      <c r="AZ121" s="492">
        <f t="shared" si="43"/>
        <v>0</v>
      </c>
      <c r="BA121" s="492">
        <f t="shared" si="43"/>
        <v>0</v>
      </c>
      <c r="BB121" s="492">
        <f t="shared" si="43"/>
        <v>0</v>
      </c>
      <c r="BC121" s="493">
        <f t="shared" si="43"/>
        <v>0</v>
      </c>
      <c r="BD121" s="492">
        <f t="shared" si="43"/>
        <v>0</v>
      </c>
      <c r="BE121" s="492">
        <f t="shared" si="43"/>
        <v>0</v>
      </c>
      <c r="BF121" s="492">
        <f>IF(BF119=TRUE,ABS(BF120-BF114),0)</f>
        <v>0</v>
      </c>
      <c r="BG121" s="492">
        <f>IF(BG119=TRUE,ABS(BG120-BG114),0)</f>
        <v>0</v>
      </c>
      <c r="BH121" s="492">
        <f t="shared" si="43"/>
        <v>0</v>
      </c>
      <c r="BI121" s="492">
        <f t="shared" si="43"/>
        <v>0</v>
      </c>
      <c r="BJ121" s="492">
        <f t="shared" si="43"/>
        <v>0</v>
      </c>
      <c r="BK121" s="492">
        <f t="shared" si="43"/>
        <v>0</v>
      </c>
      <c r="BL121" s="492">
        <f t="shared" si="43"/>
        <v>0</v>
      </c>
      <c r="BM121" s="492">
        <f t="shared" si="43"/>
        <v>0</v>
      </c>
      <c r="BN121" s="492">
        <f t="shared" si="43"/>
        <v>0</v>
      </c>
      <c r="BO121" s="492">
        <f t="shared" si="43"/>
        <v>0</v>
      </c>
      <c r="BP121" s="492">
        <f t="shared" si="43"/>
        <v>0</v>
      </c>
      <c r="BQ121" s="492">
        <f t="shared" si="43"/>
        <v>0</v>
      </c>
      <c r="BR121" s="492">
        <f t="shared" si="43"/>
        <v>0</v>
      </c>
      <c r="BS121" s="492">
        <f t="shared" si="43"/>
        <v>0</v>
      </c>
    </row>
    <row r="122" spans="1:71" s="202" customFormat="1" ht="13.15">
      <c r="A122" s="453"/>
      <c r="B122" s="453"/>
      <c r="C122" s="453"/>
      <c r="D122" s="453"/>
      <c r="E122" s="510"/>
      <c r="F122" s="510"/>
      <c r="G122" s="510"/>
      <c r="H122" s="510"/>
      <c r="I122" s="453"/>
      <c r="J122" s="492"/>
      <c r="K122" s="492"/>
      <c r="L122" s="492"/>
      <c r="M122" s="492"/>
      <c r="N122" s="492"/>
      <c r="O122" s="492"/>
      <c r="P122" s="492"/>
      <c r="Q122" s="493"/>
      <c r="R122" s="492"/>
      <c r="S122" s="492"/>
      <c r="T122" s="492"/>
      <c r="U122" s="492"/>
      <c r="V122" s="492"/>
      <c r="W122" s="492"/>
      <c r="X122" s="492"/>
      <c r="Y122" s="492"/>
      <c r="Z122" s="492"/>
      <c r="AA122" s="492"/>
      <c r="AB122" s="492"/>
      <c r="AC122" s="492"/>
      <c r="AD122" s="492"/>
      <c r="AE122" s="492"/>
      <c r="AF122" s="492"/>
      <c r="AG122" s="492"/>
      <c r="AH122" s="492"/>
      <c r="AI122" s="492"/>
      <c r="AJ122" s="492"/>
      <c r="AK122" s="493"/>
      <c r="AL122" s="492"/>
      <c r="AM122" s="492"/>
      <c r="AN122" s="492"/>
      <c r="AO122" s="493"/>
      <c r="AP122" s="492"/>
      <c r="AQ122" s="492"/>
      <c r="AR122" s="492"/>
      <c r="AS122" s="492"/>
      <c r="AT122" s="492"/>
      <c r="AU122" s="492"/>
      <c r="AV122" s="492"/>
      <c r="AW122" s="492"/>
      <c r="AX122" s="492"/>
      <c r="AY122" s="492"/>
      <c r="AZ122" s="492"/>
      <c r="BA122" s="492"/>
      <c r="BB122" s="492"/>
      <c r="BC122" s="493"/>
      <c r="BD122" s="492"/>
      <c r="BE122" s="492"/>
      <c r="BF122" s="492"/>
      <c r="BG122" s="492"/>
      <c r="BH122" s="492"/>
      <c r="BI122" s="492"/>
      <c r="BJ122" s="492"/>
      <c r="BK122" s="492"/>
      <c r="BL122" s="492"/>
      <c r="BM122" s="492"/>
      <c r="BN122" s="492"/>
      <c r="BO122" s="492"/>
      <c r="BP122" s="492"/>
      <c r="BQ122" s="492"/>
      <c r="BR122" s="492"/>
      <c r="BS122" s="492"/>
    </row>
    <row r="123" spans="1:71" s="202" customFormat="1" ht="13.15">
      <c r="A123" s="453"/>
      <c r="B123" s="453"/>
      <c r="C123" s="453"/>
      <c r="D123" s="463" t="s">
        <v>1208</v>
      </c>
      <c r="E123" s="453"/>
      <c r="F123" s="453"/>
      <c r="G123" s="453"/>
      <c r="H123" s="453"/>
      <c r="I123" s="453"/>
      <c r="J123" s="598"/>
      <c r="K123" s="598"/>
      <c r="L123" s="598"/>
      <c r="M123" s="598"/>
      <c r="N123" s="598"/>
      <c r="O123" s="598"/>
      <c r="P123" s="598"/>
      <c r="Q123" s="599"/>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598"/>
      <c r="AM123" s="598"/>
      <c r="AN123" s="598"/>
      <c r="AO123" s="599"/>
      <c r="AP123" s="598"/>
      <c r="AQ123" s="598"/>
      <c r="AR123" s="598"/>
      <c r="AS123" s="598"/>
      <c r="AT123" s="598"/>
      <c r="AU123" s="598"/>
      <c r="AV123" s="598"/>
      <c r="AW123" s="598"/>
      <c r="AX123" s="598"/>
      <c r="AY123" s="598"/>
      <c r="AZ123" s="598"/>
      <c r="BA123" s="598"/>
      <c r="BB123" s="598"/>
      <c r="BC123" s="599"/>
      <c r="BD123" s="598"/>
      <c r="BE123" s="598"/>
      <c r="BF123" s="598"/>
      <c r="BG123" s="598"/>
      <c r="BH123" s="598"/>
      <c r="BI123" s="598"/>
      <c r="BJ123" s="598"/>
      <c r="BK123" s="598"/>
      <c r="BL123" s="598"/>
      <c r="BM123" s="598"/>
      <c r="BN123" s="598"/>
      <c r="BO123" s="598"/>
      <c r="BP123" s="598"/>
      <c r="BQ123" s="598"/>
      <c r="BR123" s="598"/>
      <c r="BS123" s="598"/>
    </row>
    <row r="124" spans="1:71" s="202" customFormat="1" ht="13.15">
      <c r="A124" s="453"/>
      <c r="B124" s="453"/>
      <c r="C124" s="453"/>
      <c r="D124" s="453"/>
      <c r="E124" s="583" t="str">
        <f>InpPerformance!E$19</f>
        <v>ODI is calculated in decimal minutes, but the performance commitment is specified in HH:MM:SS</v>
      </c>
      <c r="F124" s="583"/>
      <c r="G124" s="583" t="str">
        <f>InpPerformance!G$19</f>
        <v>TRUE or FALSE</v>
      </c>
      <c r="H124" s="583"/>
      <c r="I124" s="583"/>
      <c r="J124" s="591" t="b">
        <f>InpPerformance!J$19</f>
        <v>0</v>
      </c>
      <c r="K124" s="591" t="b">
        <f>InpPerformance!K$19</f>
        <v>1</v>
      </c>
      <c r="L124" s="591" t="b">
        <f>InpPerformance!L$19</f>
        <v>0</v>
      </c>
      <c r="M124" s="591" t="b">
        <f>InpPerformance!M$19</f>
        <v>0</v>
      </c>
      <c r="N124" s="591" t="b">
        <f>InpPerformance!N$19</f>
        <v>0</v>
      </c>
      <c r="O124" s="591" t="b">
        <f>InpPerformance!O$19</f>
        <v>0</v>
      </c>
      <c r="P124" s="591" t="b">
        <f>InpPerformance!P$19</f>
        <v>0</v>
      </c>
      <c r="Q124" s="592" t="b">
        <f>InpPerformance!Q$19</f>
        <v>0</v>
      </c>
      <c r="R124" s="591" t="b">
        <f>InpPerformance!R$19</f>
        <v>0</v>
      </c>
      <c r="S124" s="591" t="b">
        <f>InpPerformance!S$19</f>
        <v>0</v>
      </c>
      <c r="T124" s="591" t="b">
        <f>InpPerformance!T$19</f>
        <v>0</v>
      </c>
      <c r="U124" s="591" t="b">
        <f>InpPerformance!U$19</f>
        <v>0</v>
      </c>
      <c r="V124" s="591" t="b">
        <f>InpPerformance!V$19</f>
        <v>0</v>
      </c>
      <c r="W124" s="591" t="b">
        <f>InpPerformance!W$19</f>
        <v>0</v>
      </c>
      <c r="X124" s="591" t="b">
        <f>InpPerformance!X$19</f>
        <v>0</v>
      </c>
      <c r="Y124" s="591" t="b">
        <f>InpPerformance!Y$19</f>
        <v>0</v>
      </c>
      <c r="Z124" s="591" t="b">
        <f>InpPerformance!Z$19</f>
        <v>0</v>
      </c>
      <c r="AA124" s="591" t="b">
        <f>InpPerformance!AA$19</f>
        <v>0</v>
      </c>
      <c r="AB124" s="591" t="b">
        <f>InpPerformance!AB$19</f>
        <v>0</v>
      </c>
      <c r="AC124" s="591" t="b">
        <f>InpPerformance!AC$19</f>
        <v>0</v>
      </c>
      <c r="AD124" s="591" t="b">
        <f>InpPerformance!AD$19</f>
        <v>0</v>
      </c>
      <c r="AE124" s="591" t="b">
        <f>InpPerformance!AE$19</f>
        <v>0</v>
      </c>
      <c r="AF124" s="591" t="b">
        <f>InpPerformance!AF$19</f>
        <v>0</v>
      </c>
      <c r="AG124" s="591" t="b">
        <f>InpPerformance!AG$19</f>
        <v>0</v>
      </c>
      <c r="AH124" s="591" t="b">
        <f>InpPerformance!AH$19</f>
        <v>0</v>
      </c>
      <c r="AI124" s="591" t="b">
        <f>InpPerformance!AI$19</f>
        <v>0</v>
      </c>
      <c r="AJ124" s="591" t="b">
        <f>InpPerformance!AJ$19</f>
        <v>0</v>
      </c>
      <c r="AK124" s="592" t="b">
        <f>InpPerformance!AK$19</f>
        <v>0</v>
      </c>
      <c r="AL124" s="591" t="b">
        <f>InpPerformance!AL$19</f>
        <v>0</v>
      </c>
      <c r="AM124" s="591" t="b">
        <f>InpPerformance!AM$19</f>
        <v>0</v>
      </c>
      <c r="AN124" s="591" t="b">
        <f>InpPerformance!AN$19</f>
        <v>0</v>
      </c>
      <c r="AO124" s="592" t="b">
        <f>InpPerformance!AO$19</f>
        <v>0</v>
      </c>
      <c r="AP124" s="591" t="b">
        <f>InpPerformance!AP$19</f>
        <v>0</v>
      </c>
      <c r="AQ124" s="591" t="b">
        <f>InpPerformance!AQ$19</f>
        <v>0</v>
      </c>
      <c r="AR124" s="591" t="b">
        <f>InpPerformance!AR$19</f>
        <v>0</v>
      </c>
      <c r="AS124" s="591" t="b">
        <f>InpPerformance!AS$19</f>
        <v>0</v>
      </c>
      <c r="AT124" s="591" t="b">
        <f>InpPerformance!AT$19</f>
        <v>0</v>
      </c>
      <c r="AU124" s="591" t="b">
        <f>InpPerformance!AU$19</f>
        <v>0</v>
      </c>
      <c r="AV124" s="591" t="b">
        <f>InpPerformance!AV$19</f>
        <v>0</v>
      </c>
      <c r="AW124" s="591" t="b">
        <f>InpPerformance!AW$19</f>
        <v>0</v>
      </c>
      <c r="AX124" s="591" t="b">
        <f>InpPerformance!AX$19</f>
        <v>0</v>
      </c>
      <c r="AY124" s="591" t="b">
        <f>InpPerformance!AY$19</f>
        <v>0</v>
      </c>
      <c r="AZ124" s="591" t="b">
        <f>InpPerformance!AZ$19</f>
        <v>0</v>
      </c>
      <c r="BA124" s="591" t="b">
        <f>InpPerformance!BA$19</f>
        <v>0</v>
      </c>
      <c r="BB124" s="591" t="b">
        <f>InpPerformance!BB$19</f>
        <v>0</v>
      </c>
      <c r="BC124" s="592" t="b">
        <f>InpPerformance!BC$19</f>
        <v>0</v>
      </c>
      <c r="BD124" s="591" t="b">
        <f>InpPerformance!BD$19</f>
        <v>0</v>
      </c>
      <c r="BE124" s="591" t="b">
        <f>InpPerformance!BE$19</f>
        <v>0</v>
      </c>
      <c r="BF124" s="591" t="b">
        <f>InpPerformance!BF$19</f>
        <v>0</v>
      </c>
      <c r="BG124" s="591" t="b">
        <f>InpPerformance!BG$19</f>
        <v>0</v>
      </c>
      <c r="BH124" s="591" t="b">
        <f>InpPerformance!BH$19</f>
        <v>0</v>
      </c>
      <c r="BI124" s="591" t="b">
        <f>InpPerformance!BI$19</f>
        <v>0</v>
      </c>
      <c r="BJ124" s="591" t="b">
        <f>InpPerformance!BJ$19</f>
        <v>0</v>
      </c>
      <c r="BK124" s="591" t="b">
        <f>InpPerformance!BK$19</f>
        <v>0</v>
      </c>
      <c r="BL124" s="591" t="b">
        <f>InpPerformance!BL$19</f>
        <v>0</v>
      </c>
      <c r="BM124" s="591" t="b">
        <f>InpPerformance!BM$19</f>
        <v>0</v>
      </c>
      <c r="BN124" s="591" t="b">
        <f>InpPerformance!BN$19</f>
        <v>0</v>
      </c>
      <c r="BO124" s="591" t="b">
        <f>InpPerformance!BO$19</f>
        <v>0</v>
      </c>
      <c r="BP124" s="591" t="b">
        <f>InpPerformance!BP$19</f>
        <v>0</v>
      </c>
      <c r="BQ124" s="591" t="b">
        <f>InpPerformance!BQ$19</f>
        <v>0</v>
      </c>
      <c r="BR124" s="591" t="b">
        <f>InpPerformance!BR$19</f>
        <v>0</v>
      </c>
      <c r="BS124" s="591" t="b">
        <f>InpPerformance!BS$19</f>
        <v>0</v>
      </c>
    </row>
    <row r="125" spans="1:71" s="202" customFormat="1" ht="13.15">
      <c r="A125" s="453"/>
      <c r="B125" s="453"/>
      <c r="C125" s="453"/>
      <c r="D125" s="453"/>
      <c r="E125" s="453" t="s">
        <v>1209</v>
      </c>
      <c r="F125" s="453"/>
      <c r="G125" s="453" t="s">
        <v>1158</v>
      </c>
      <c r="H125" s="453"/>
      <c r="I125" s="453"/>
      <c r="J125" s="600">
        <f>IF(AND(J124=TRUE,J119=TRUE),J121*24*60,J121)</f>
        <v>0</v>
      </c>
      <c r="K125" s="600">
        <f t="shared" ref="K125:BS125" si="44">IF(AND(K124=TRUE,K119=TRUE),K121*24*60,K121)</f>
        <v>0</v>
      </c>
      <c r="L125" s="600">
        <f t="shared" si="44"/>
        <v>0</v>
      </c>
      <c r="M125" s="600">
        <f>IF(AND(M124=TRUE,M119=TRUE),M121*24*60,M121)</f>
        <v>0</v>
      </c>
      <c r="N125" s="600">
        <f t="shared" si="44"/>
        <v>0</v>
      </c>
      <c r="O125" s="600">
        <f>IF(AND(O124=TRUE,O119=TRUE),O121*24*60,O121)</f>
        <v>0</v>
      </c>
      <c r="P125" s="600">
        <f t="shared" si="44"/>
        <v>0</v>
      </c>
      <c r="Q125" s="601">
        <f t="shared" si="44"/>
        <v>0</v>
      </c>
      <c r="R125" s="600">
        <f t="shared" si="44"/>
        <v>0</v>
      </c>
      <c r="S125" s="600">
        <f t="shared" si="44"/>
        <v>0</v>
      </c>
      <c r="T125" s="600">
        <f t="shared" si="44"/>
        <v>0</v>
      </c>
      <c r="U125" s="600">
        <f t="shared" si="44"/>
        <v>0</v>
      </c>
      <c r="V125" s="600">
        <f t="shared" si="44"/>
        <v>0</v>
      </c>
      <c r="W125" s="600">
        <f t="shared" si="44"/>
        <v>0</v>
      </c>
      <c r="X125" s="600">
        <f t="shared" si="44"/>
        <v>0</v>
      </c>
      <c r="Y125" s="600">
        <f t="shared" si="44"/>
        <v>0</v>
      </c>
      <c r="Z125" s="600">
        <f t="shared" si="44"/>
        <v>0</v>
      </c>
      <c r="AA125" s="600">
        <f t="shared" si="44"/>
        <v>0</v>
      </c>
      <c r="AB125" s="600">
        <f t="shared" si="44"/>
        <v>0</v>
      </c>
      <c r="AC125" s="600">
        <f t="shared" si="44"/>
        <v>0</v>
      </c>
      <c r="AD125" s="600">
        <f t="shared" si="44"/>
        <v>0</v>
      </c>
      <c r="AE125" s="600">
        <f t="shared" si="44"/>
        <v>0</v>
      </c>
      <c r="AF125" s="600">
        <f t="shared" si="44"/>
        <v>0</v>
      </c>
      <c r="AG125" s="600">
        <f t="shared" si="44"/>
        <v>0</v>
      </c>
      <c r="AH125" s="600">
        <f t="shared" si="44"/>
        <v>0</v>
      </c>
      <c r="AI125" s="600">
        <f t="shared" si="44"/>
        <v>0</v>
      </c>
      <c r="AJ125" s="600">
        <f t="shared" si="44"/>
        <v>0</v>
      </c>
      <c r="AK125" s="601">
        <f t="shared" si="44"/>
        <v>0</v>
      </c>
      <c r="AL125" s="600">
        <f t="shared" si="44"/>
        <v>0</v>
      </c>
      <c r="AM125" s="600">
        <f t="shared" si="44"/>
        <v>0</v>
      </c>
      <c r="AN125" s="600">
        <f t="shared" si="44"/>
        <v>0</v>
      </c>
      <c r="AO125" s="601">
        <f t="shared" si="44"/>
        <v>0</v>
      </c>
      <c r="AP125" s="600">
        <f t="shared" si="44"/>
        <v>0</v>
      </c>
      <c r="AQ125" s="600">
        <f t="shared" si="44"/>
        <v>0</v>
      </c>
      <c r="AR125" s="600">
        <f t="shared" si="44"/>
        <v>0</v>
      </c>
      <c r="AS125" s="600">
        <f t="shared" si="44"/>
        <v>0</v>
      </c>
      <c r="AT125" s="600">
        <f t="shared" si="44"/>
        <v>0</v>
      </c>
      <c r="AU125" s="600">
        <f t="shared" si="44"/>
        <v>0</v>
      </c>
      <c r="AV125" s="600">
        <f t="shared" si="44"/>
        <v>0</v>
      </c>
      <c r="AW125" s="600">
        <f t="shared" si="44"/>
        <v>0</v>
      </c>
      <c r="AX125" s="600">
        <f t="shared" si="44"/>
        <v>0</v>
      </c>
      <c r="AY125" s="600">
        <f t="shared" si="44"/>
        <v>0</v>
      </c>
      <c r="AZ125" s="600">
        <f t="shared" si="44"/>
        <v>0</v>
      </c>
      <c r="BA125" s="600">
        <f t="shared" si="44"/>
        <v>0</v>
      </c>
      <c r="BB125" s="600">
        <f t="shared" si="44"/>
        <v>0</v>
      </c>
      <c r="BC125" s="601">
        <f t="shared" si="44"/>
        <v>0</v>
      </c>
      <c r="BD125" s="600">
        <f t="shared" si="44"/>
        <v>0</v>
      </c>
      <c r="BE125" s="600">
        <f t="shared" si="44"/>
        <v>0</v>
      </c>
      <c r="BF125" s="600">
        <f>IF(AND(BF124=TRUE,BF119=TRUE),BF121*24*60,BF121)</f>
        <v>0</v>
      </c>
      <c r="BG125" s="600">
        <f>IF(AND(BG124=TRUE,BG119=TRUE),BG121*24*60,BG121)</f>
        <v>0</v>
      </c>
      <c r="BH125" s="600">
        <f t="shared" si="44"/>
        <v>0</v>
      </c>
      <c r="BI125" s="600">
        <f t="shared" si="44"/>
        <v>0</v>
      </c>
      <c r="BJ125" s="600">
        <f t="shared" si="44"/>
        <v>0</v>
      </c>
      <c r="BK125" s="600">
        <f t="shared" si="44"/>
        <v>0</v>
      </c>
      <c r="BL125" s="600">
        <f t="shared" si="44"/>
        <v>0</v>
      </c>
      <c r="BM125" s="600">
        <f t="shared" si="44"/>
        <v>0</v>
      </c>
      <c r="BN125" s="600">
        <f t="shared" si="44"/>
        <v>0</v>
      </c>
      <c r="BO125" s="600">
        <f t="shared" si="44"/>
        <v>0</v>
      </c>
      <c r="BP125" s="600">
        <f t="shared" si="44"/>
        <v>0</v>
      </c>
      <c r="BQ125" s="600">
        <f t="shared" si="44"/>
        <v>0</v>
      </c>
      <c r="BR125" s="600">
        <f t="shared" si="44"/>
        <v>0</v>
      </c>
      <c r="BS125" s="600">
        <f t="shared" si="44"/>
        <v>0</v>
      </c>
    </row>
    <row r="126" spans="1:71" s="202" customFormat="1" ht="13.15">
      <c r="A126" s="583"/>
      <c r="B126" s="583"/>
      <c r="C126" s="583"/>
      <c r="D126" s="583"/>
      <c r="E126" s="583" t="str">
        <f>InpPerformance!E$20</f>
        <v>ODI is calculated as a percentage difference to a baseline</v>
      </c>
      <c r="F126" s="583"/>
      <c r="G126" s="583" t="str">
        <f>InpPerformance!G$20</f>
        <v>TRUE or FALSE</v>
      </c>
      <c r="H126" s="583"/>
      <c r="I126" s="583"/>
      <c r="J126" s="591" t="b">
        <f>InpPerformance!J$20</f>
        <v>0</v>
      </c>
      <c r="K126" s="591" t="b">
        <f>InpPerformance!K$20</f>
        <v>0</v>
      </c>
      <c r="L126" s="591" t="b">
        <f>InpPerformance!L$20</f>
        <v>1</v>
      </c>
      <c r="M126" s="591" t="b">
        <f>InpPerformance!M$20</f>
        <v>1</v>
      </c>
      <c r="N126" s="591" t="b">
        <f>InpPerformance!N$20</f>
        <v>1</v>
      </c>
      <c r="O126" s="591" t="b">
        <f>InpPerformance!O$20</f>
        <v>1</v>
      </c>
      <c r="P126" s="591" t="b">
        <f>InpPerformance!P$20</f>
        <v>0</v>
      </c>
      <c r="Q126" s="592" t="b">
        <f>InpPerformance!Q$20</f>
        <v>0</v>
      </c>
      <c r="R126" s="591" t="b">
        <f>InpPerformance!R$20</f>
        <v>0</v>
      </c>
      <c r="S126" s="591" t="b">
        <f>InpPerformance!S$20</f>
        <v>0</v>
      </c>
      <c r="T126" s="591" t="b">
        <f>InpPerformance!T$20</f>
        <v>0</v>
      </c>
      <c r="U126" s="591" t="b">
        <f>InpPerformance!U$20</f>
        <v>0</v>
      </c>
      <c r="V126" s="591" t="b">
        <f>InpPerformance!V$20</f>
        <v>0</v>
      </c>
      <c r="W126" s="591" t="b">
        <f>InpPerformance!W$20</f>
        <v>0</v>
      </c>
      <c r="X126" s="591" t="b">
        <f>InpPerformance!X$20</f>
        <v>0</v>
      </c>
      <c r="Y126" s="591" t="b">
        <f>InpPerformance!Y$20</f>
        <v>0</v>
      </c>
      <c r="Z126" s="591" t="b">
        <f>InpPerformance!Z$20</f>
        <v>0</v>
      </c>
      <c r="AA126" s="591" t="b">
        <f>InpPerformance!AA$20</f>
        <v>0</v>
      </c>
      <c r="AB126" s="591" t="b">
        <f>InpPerformance!AB$20</f>
        <v>0</v>
      </c>
      <c r="AC126" s="591" t="b">
        <f>InpPerformance!AC$20</f>
        <v>0</v>
      </c>
      <c r="AD126" s="591" t="b">
        <f>InpPerformance!AD$20</f>
        <v>0</v>
      </c>
      <c r="AE126" s="591" t="b">
        <f>InpPerformance!AE$20</f>
        <v>0</v>
      </c>
      <c r="AF126" s="591" t="b">
        <f>InpPerformance!AF$20</f>
        <v>0</v>
      </c>
      <c r="AG126" s="591" t="b">
        <f>InpPerformance!AG$20</f>
        <v>0</v>
      </c>
      <c r="AH126" s="591" t="b">
        <f>InpPerformance!AH$20</f>
        <v>0</v>
      </c>
      <c r="AI126" s="591" t="b">
        <f>InpPerformance!AI$20</f>
        <v>0</v>
      </c>
      <c r="AJ126" s="591" t="b">
        <f>InpPerformance!AJ$20</f>
        <v>0</v>
      </c>
      <c r="AK126" s="592" t="b">
        <f>InpPerformance!AK$20</f>
        <v>0</v>
      </c>
      <c r="AL126" s="591" t="b">
        <f>InpPerformance!AL$20</f>
        <v>0</v>
      </c>
      <c r="AM126" s="591" t="b">
        <f>InpPerformance!AM$20</f>
        <v>0</v>
      </c>
      <c r="AN126" s="591" t="b">
        <f>InpPerformance!AN$20</f>
        <v>0</v>
      </c>
      <c r="AO126" s="592" t="b">
        <f>InpPerformance!AO$20</f>
        <v>0</v>
      </c>
      <c r="AP126" s="591" t="b">
        <f>InpPerformance!AP$20</f>
        <v>0</v>
      </c>
      <c r="AQ126" s="591" t="b">
        <f>InpPerformance!AQ$20</f>
        <v>0</v>
      </c>
      <c r="AR126" s="591" t="b">
        <f>InpPerformance!AR$20</f>
        <v>0</v>
      </c>
      <c r="AS126" s="591" t="b">
        <f>InpPerformance!AS$20</f>
        <v>0</v>
      </c>
      <c r="AT126" s="591" t="b">
        <f>InpPerformance!AT$20</f>
        <v>0</v>
      </c>
      <c r="AU126" s="591" t="b">
        <f>InpPerformance!AU$20</f>
        <v>0</v>
      </c>
      <c r="AV126" s="591" t="b">
        <f>InpPerformance!AV$20</f>
        <v>0</v>
      </c>
      <c r="AW126" s="591" t="b">
        <f>InpPerformance!AW$20</f>
        <v>0</v>
      </c>
      <c r="AX126" s="591" t="b">
        <f>InpPerformance!AX$20</f>
        <v>0</v>
      </c>
      <c r="AY126" s="591" t="b">
        <f>InpPerformance!AY$20</f>
        <v>0</v>
      </c>
      <c r="AZ126" s="591" t="b">
        <f>InpPerformance!AZ$20</f>
        <v>0</v>
      </c>
      <c r="BA126" s="591" t="b">
        <f>InpPerformance!BA$20</f>
        <v>0</v>
      </c>
      <c r="BB126" s="591" t="b">
        <f>InpPerformance!BB$20</f>
        <v>0</v>
      </c>
      <c r="BC126" s="592" t="b">
        <f>InpPerformance!BC$20</f>
        <v>0</v>
      </c>
      <c r="BD126" s="591" t="b">
        <f>InpPerformance!BD$20</f>
        <v>0</v>
      </c>
      <c r="BE126" s="591" t="b">
        <f>InpPerformance!BE$20</f>
        <v>0</v>
      </c>
      <c r="BF126" s="591" t="b">
        <f>InpPerformance!BF$20</f>
        <v>0</v>
      </c>
      <c r="BG126" s="591" t="b">
        <f>InpPerformance!BG$20</f>
        <v>0</v>
      </c>
      <c r="BH126" s="591" t="b">
        <f>InpPerformance!BH$20</f>
        <v>0</v>
      </c>
      <c r="BI126" s="591" t="b">
        <f>InpPerformance!BI$20</f>
        <v>0</v>
      </c>
      <c r="BJ126" s="591" t="b">
        <f>InpPerformance!BJ$20</f>
        <v>0</v>
      </c>
      <c r="BK126" s="591" t="b">
        <f>InpPerformance!BK$20</f>
        <v>0</v>
      </c>
      <c r="BL126" s="591" t="b">
        <f>InpPerformance!BL$20</f>
        <v>0</v>
      </c>
      <c r="BM126" s="591" t="b">
        <f>InpPerformance!BM$20</f>
        <v>0</v>
      </c>
      <c r="BN126" s="591" t="b">
        <f>InpPerformance!BN$20</f>
        <v>0</v>
      </c>
      <c r="BO126" s="591" t="b">
        <f>InpPerformance!BO$20</f>
        <v>0</v>
      </c>
      <c r="BP126" s="591" t="b">
        <f>InpPerformance!BP$20</f>
        <v>0</v>
      </c>
      <c r="BQ126" s="591" t="b">
        <f>InpPerformance!BQ$20</f>
        <v>0</v>
      </c>
      <c r="BR126" s="591" t="b">
        <f>InpPerformance!BR$20</f>
        <v>0</v>
      </c>
      <c r="BS126" s="591" t="b">
        <f>InpPerformance!BS$20</f>
        <v>0</v>
      </c>
    </row>
    <row r="127" spans="1:71" s="228" customFormat="1" ht="13.15">
      <c r="A127" s="583"/>
      <c r="B127" s="583"/>
      <c r="C127" s="583"/>
      <c r="D127" s="583"/>
      <c r="E127" s="583" t="str">
        <f>InpPerformance!E$8</f>
        <v>Baseline (if applicable)</v>
      </c>
      <c r="F127" s="583"/>
      <c r="G127" s="583" t="str">
        <f>InpPerformance!G$8</f>
        <v>Baseline unit</v>
      </c>
      <c r="H127" s="583"/>
      <c r="I127" s="583"/>
      <c r="J127" s="588" t="str">
        <f>IF(InpPerformance!J$8&lt;&gt;"",ROUND(InpPerformance!J$8,1),"")</f>
        <v/>
      </c>
      <c r="K127" s="588" t="str">
        <f>IF(InpPerformance!K$8&lt;&gt;"",ROUND(InpPerformance!K$8,1),"")</f>
        <v/>
      </c>
      <c r="L127" s="588">
        <f>IF(InpPerformance!L$8&lt;&gt;"",ROUND(InpPerformance!L$8,1),"")</f>
        <v>99.9</v>
      </c>
      <c r="M127" s="588" t="str">
        <f>IF(InpPerformance!M$8&lt;&gt;"",ROUND(InpPerformance!M$8,1),"")</f>
        <v/>
      </c>
      <c r="N127" s="588">
        <f>IF(InpPerformance!N$8&lt;&gt;"",ROUND(InpPerformance!N$8,1),"")</f>
        <v>128</v>
      </c>
      <c r="O127" s="588" t="str">
        <f>IF(InpPerformance!O$8&lt;&gt;"",ROUND(InpPerformance!O$8,1),"")</f>
        <v/>
      </c>
      <c r="P127" s="588" t="str">
        <f>IF(InpPerformance!P$8&lt;&gt;"",ROUND(InpPerformance!P$8,1),"")</f>
        <v/>
      </c>
      <c r="Q127" s="590" t="str">
        <f>IF(InpPerformance!Q$8&lt;&gt;"",ROUND(InpPerformance!Q$8,1),"")</f>
        <v/>
      </c>
      <c r="R127" s="588" t="str">
        <f>IF(InpPerformance!R$8&lt;&gt;"",ROUND(InpPerformance!R$8,1),"")</f>
        <v/>
      </c>
      <c r="S127" s="588" t="str">
        <f>IF(InpPerformance!S$8&lt;&gt;"",ROUND(InpPerformance!S$8,1),"")</f>
        <v/>
      </c>
      <c r="T127" s="588" t="str">
        <f>IF(InpPerformance!T$8&lt;&gt;"",ROUND(InpPerformance!T$8,1),"")</f>
        <v/>
      </c>
      <c r="U127" s="588" t="str">
        <f>IF(InpPerformance!U$8&lt;&gt;"",ROUND(InpPerformance!U$8,1),"")</f>
        <v/>
      </c>
      <c r="V127" s="588" t="str">
        <f>IF(InpPerformance!V$8&lt;&gt;"",ROUND(InpPerformance!V$8,1),"")</f>
        <v/>
      </c>
      <c r="W127" s="588" t="str">
        <f>IF(InpPerformance!W$8&lt;&gt;"",ROUND(InpPerformance!W$8,1),"")</f>
        <v/>
      </c>
      <c r="X127" s="588" t="str">
        <f>IF(InpPerformance!X$8&lt;&gt;"",ROUND(InpPerformance!X$8,1),"")</f>
        <v/>
      </c>
      <c r="Y127" s="588" t="str">
        <f>IF(InpPerformance!Y$8&lt;&gt;"",ROUND(InpPerformance!Y$8,1),"")</f>
        <v/>
      </c>
      <c r="Z127" s="588" t="str">
        <f>IF(InpPerformance!Z$8&lt;&gt;"",ROUND(InpPerformance!Z$8,1),"")</f>
        <v/>
      </c>
      <c r="AA127" s="588" t="str">
        <f>IF(InpPerformance!AA$8&lt;&gt;"",ROUND(InpPerformance!AA$8,1),"")</f>
        <v/>
      </c>
      <c r="AB127" s="588" t="str">
        <f>IF(InpPerformance!AB$8&lt;&gt;"",ROUND(InpPerformance!AB$8,1),"")</f>
        <v/>
      </c>
      <c r="AC127" s="588" t="str">
        <f>IF(InpPerformance!AC$8&lt;&gt;"",ROUND(InpPerformance!AC$8,1),"")</f>
        <v/>
      </c>
      <c r="AD127" s="588" t="str">
        <f>IF(InpPerformance!AD$8&lt;&gt;"",ROUND(InpPerformance!AD$8,1),"")</f>
        <v/>
      </c>
      <c r="AE127" s="588" t="str">
        <f>IF(InpPerformance!AE$8&lt;&gt;"",ROUND(InpPerformance!AE$8,1),"")</f>
        <v/>
      </c>
      <c r="AF127" s="588" t="str">
        <f>IF(InpPerformance!AF$8&lt;&gt;"",ROUND(InpPerformance!AF$8,1),"")</f>
        <v/>
      </c>
      <c r="AG127" s="588" t="str">
        <f>IF(InpPerformance!AG$8&lt;&gt;"",ROUND(InpPerformance!AG$8,1),"")</f>
        <v/>
      </c>
      <c r="AH127" s="588" t="str">
        <f>IF(InpPerformance!AH$8&lt;&gt;"",ROUND(InpPerformance!AH$8,1),"")</f>
        <v/>
      </c>
      <c r="AI127" s="588" t="str">
        <f>IF(InpPerformance!AI$8&lt;&gt;"",ROUND(InpPerformance!AI$8,1),"")</f>
        <v/>
      </c>
      <c r="AJ127" s="588" t="str">
        <f>IF(InpPerformance!AJ$8&lt;&gt;"",ROUND(InpPerformance!AJ$8,1),"")</f>
        <v/>
      </c>
      <c r="AK127" s="590" t="str">
        <f>IF(InpPerformance!AK$8&lt;&gt;"",ROUND(InpPerformance!AK$8,1),"")</f>
        <v/>
      </c>
      <c r="AL127" s="588" t="str">
        <f>IF(InpPerformance!AL$8&lt;&gt;"",ROUND(InpPerformance!AL$8,1),"")</f>
        <v/>
      </c>
      <c r="AM127" s="588" t="str">
        <f>IF(InpPerformance!AM$8&lt;&gt;"",ROUND(InpPerformance!AM$8,1),"")</f>
        <v/>
      </c>
      <c r="AN127" s="588" t="str">
        <f>IF(InpPerformance!AN$8&lt;&gt;"",ROUND(InpPerformance!AN$8,1),"")</f>
        <v/>
      </c>
      <c r="AO127" s="590" t="str">
        <f>IF(InpPerformance!AO$8&lt;&gt;"",ROUND(InpPerformance!AO$8,1),"")</f>
        <v/>
      </c>
      <c r="AP127" s="588" t="str">
        <f>IF(InpPerformance!AP$8&lt;&gt;"",ROUND(InpPerformance!AP$8,1),"")</f>
        <v/>
      </c>
      <c r="AQ127" s="588" t="str">
        <f>IF(InpPerformance!AQ$8&lt;&gt;"",ROUND(InpPerformance!AQ$8,1),"")</f>
        <v/>
      </c>
      <c r="AR127" s="588" t="str">
        <f>IF(InpPerformance!AR$8&lt;&gt;"",ROUND(InpPerformance!AR$8,1),"")</f>
        <v/>
      </c>
      <c r="AS127" s="588" t="str">
        <f>IF(InpPerformance!AS$8&lt;&gt;"",ROUND(InpPerformance!AS$8,1),"")</f>
        <v/>
      </c>
      <c r="AT127" s="588" t="str">
        <f>IF(InpPerformance!AT$8&lt;&gt;"",ROUND(InpPerformance!AT$8,1),"")</f>
        <v/>
      </c>
      <c r="AU127" s="588" t="str">
        <f>IF(InpPerformance!AU$8&lt;&gt;"",ROUND(InpPerformance!AU$8,1),"")</f>
        <v/>
      </c>
      <c r="AV127" s="588" t="str">
        <f>IF(InpPerformance!AV$8&lt;&gt;"",ROUND(InpPerformance!AV$8,1),"")</f>
        <v/>
      </c>
      <c r="AW127" s="588" t="str">
        <f>IF(InpPerformance!AW$8&lt;&gt;"",ROUND(InpPerformance!AW$8,1),"")</f>
        <v/>
      </c>
      <c r="AX127" s="588" t="str">
        <f>IF(InpPerformance!AX$8&lt;&gt;"",ROUND(InpPerformance!AX$8,1),"")</f>
        <v/>
      </c>
      <c r="AY127" s="588" t="str">
        <f>IF(InpPerformance!AY$8&lt;&gt;"",ROUND(InpPerformance!AY$8,1),"")</f>
        <v/>
      </c>
      <c r="AZ127" s="588" t="str">
        <f>IF(InpPerformance!AZ$8&lt;&gt;"",ROUND(InpPerformance!AZ$8,1),"")</f>
        <v/>
      </c>
      <c r="BA127" s="588" t="str">
        <f>IF(InpPerformance!BA$8&lt;&gt;"",ROUND(InpPerformance!BA$8,1),"")</f>
        <v/>
      </c>
      <c r="BB127" s="588" t="str">
        <f>IF(InpPerformance!BB$8&lt;&gt;"",ROUND(InpPerformance!BB$8,1),"")</f>
        <v/>
      </c>
      <c r="BC127" s="590" t="str">
        <f>IF(InpPerformance!BC$8&lt;&gt;"",ROUND(InpPerformance!BC$8,1),"")</f>
        <v/>
      </c>
      <c r="BD127" s="588" t="str">
        <f>IF(InpPerformance!BD$8&lt;&gt;"",ROUND(InpPerformance!BD$8,1),"")</f>
        <v/>
      </c>
      <c r="BE127" s="588" t="str">
        <f>IF(InpPerformance!BE$8&lt;&gt;"",ROUND(InpPerformance!BE$8,1),"")</f>
        <v/>
      </c>
      <c r="BF127" s="588" t="str">
        <f>IF(InpPerformance!BF$8&lt;&gt;"",ROUND(InpPerformance!BF$8,1),"")</f>
        <v/>
      </c>
      <c r="BG127" s="588" t="str">
        <f>IF(InpPerformance!BG$8&lt;&gt;"",ROUND(InpPerformance!BG$8,1),"")</f>
        <v/>
      </c>
      <c r="BH127" s="588" t="str">
        <f>IF(InpPerformance!BH$8&lt;&gt;"",ROUND(InpPerformance!BH$8,1),"")</f>
        <v/>
      </c>
      <c r="BI127" s="588" t="str">
        <f>IF(InpPerformance!BI$8&lt;&gt;"",ROUND(InpPerformance!BI$8,1),"")</f>
        <v/>
      </c>
      <c r="BJ127" s="588" t="str">
        <f>IF(InpPerformance!BJ$8&lt;&gt;"",ROUND(InpPerformance!BJ$8,1),"")</f>
        <v/>
      </c>
      <c r="BK127" s="588" t="str">
        <f>IF(InpPerformance!BK$8&lt;&gt;"",ROUND(InpPerformance!BK$8,1),"")</f>
        <v/>
      </c>
      <c r="BL127" s="588" t="str">
        <f>IF(InpPerformance!BL$8&lt;&gt;"",ROUND(InpPerformance!BL$8,1),"")</f>
        <v/>
      </c>
      <c r="BM127" s="588" t="str">
        <f>IF(InpPerformance!BM$8&lt;&gt;"",ROUND(InpPerformance!BM$8,1),"")</f>
        <v/>
      </c>
      <c r="BN127" s="588" t="str">
        <f>IF(InpPerformance!BN$8&lt;&gt;"",ROUND(InpPerformance!BN$8,1),"")</f>
        <v/>
      </c>
      <c r="BO127" s="588" t="str">
        <f>IF(InpPerformance!BO$8&lt;&gt;"",ROUND(InpPerformance!BO$8,1),"")</f>
        <v/>
      </c>
      <c r="BP127" s="588" t="str">
        <f>IF(InpPerformance!BP$8&lt;&gt;"",ROUND(InpPerformance!BP$8,1),"")</f>
        <v/>
      </c>
      <c r="BQ127" s="588" t="str">
        <f>IF(InpPerformance!BQ$8&lt;&gt;"",ROUND(InpPerformance!BQ$8,1),"")</f>
        <v/>
      </c>
      <c r="BR127" s="588" t="str">
        <f>IF(InpPerformance!BR$8&lt;&gt;"",ROUND(InpPerformance!BR$8,1),"")</f>
        <v/>
      </c>
      <c r="BS127" s="588" t="str">
        <f>IF(InpPerformance!BS$8&lt;&gt;"",ROUND(InpPerformance!BS$8,1),"")</f>
        <v/>
      </c>
    </row>
    <row r="128" spans="1:71" s="202" customFormat="1" ht="13.15">
      <c r="A128" s="453"/>
      <c r="B128" s="453"/>
      <c r="C128" s="453"/>
      <c r="D128" s="453"/>
      <c r="E128" s="453" t="s">
        <v>1210</v>
      </c>
      <c r="F128" s="453"/>
      <c r="G128" s="453" t="s">
        <v>1158</v>
      </c>
      <c r="H128" s="453"/>
      <c r="I128" s="453"/>
      <c r="J128" s="600">
        <f>IF(AND(J126=TRUE,J119=TRUE),ROUND((J125/100)*J127,1),J125)</f>
        <v>0</v>
      </c>
      <c r="K128" s="600">
        <f t="shared" ref="K128:BS128" si="45">IF(AND(K126=TRUE,K119=TRUE),ROUND((K125/100)*K127,1),K125)</f>
        <v>0</v>
      </c>
      <c r="L128" s="600">
        <f t="shared" si="45"/>
        <v>0</v>
      </c>
      <c r="M128" s="600">
        <f>IF(AND(M126=TRUE,M119=TRUE),ROUND((M125/100)*M127,1),M125)</f>
        <v>0</v>
      </c>
      <c r="N128" s="600">
        <f t="shared" si="45"/>
        <v>0</v>
      </c>
      <c r="O128" s="600">
        <f>IF(AND(O126=TRUE,O119=TRUE),ROUND((O125/100)*O127,1),O125)</f>
        <v>0</v>
      </c>
      <c r="P128" s="600">
        <f t="shared" si="45"/>
        <v>0</v>
      </c>
      <c r="Q128" s="601">
        <f t="shared" si="45"/>
        <v>0</v>
      </c>
      <c r="R128" s="600">
        <f t="shared" si="45"/>
        <v>0</v>
      </c>
      <c r="S128" s="600">
        <f t="shared" si="45"/>
        <v>0</v>
      </c>
      <c r="T128" s="600">
        <f t="shared" si="45"/>
        <v>0</v>
      </c>
      <c r="U128" s="600">
        <f t="shared" si="45"/>
        <v>0</v>
      </c>
      <c r="V128" s="600">
        <f t="shared" si="45"/>
        <v>0</v>
      </c>
      <c r="W128" s="600">
        <f t="shared" si="45"/>
        <v>0</v>
      </c>
      <c r="X128" s="600">
        <f t="shared" si="45"/>
        <v>0</v>
      </c>
      <c r="Y128" s="600">
        <f t="shared" si="45"/>
        <v>0</v>
      </c>
      <c r="Z128" s="600">
        <f t="shared" si="45"/>
        <v>0</v>
      </c>
      <c r="AA128" s="600">
        <f t="shared" si="45"/>
        <v>0</v>
      </c>
      <c r="AB128" s="600">
        <f t="shared" si="45"/>
        <v>0</v>
      </c>
      <c r="AC128" s="600">
        <f t="shared" si="45"/>
        <v>0</v>
      </c>
      <c r="AD128" s="600">
        <f t="shared" si="45"/>
        <v>0</v>
      </c>
      <c r="AE128" s="600">
        <f t="shared" si="45"/>
        <v>0</v>
      </c>
      <c r="AF128" s="600">
        <f t="shared" si="45"/>
        <v>0</v>
      </c>
      <c r="AG128" s="600">
        <f t="shared" si="45"/>
        <v>0</v>
      </c>
      <c r="AH128" s="600">
        <f t="shared" si="45"/>
        <v>0</v>
      </c>
      <c r="AI128" s="600">
        <f t="shared" si="45"/>
        <v>0</v>
      </c>
      <c r="AJ128" s="600">
        <f t="shared" si="45"/>
        <v>0</v>
      </c>
      <c r="AK128" s="601">
        <f t="shared" si="45"/>
        <v>0</v>
      </c>
      <c r="AL128" s="600">
        <f t="shared" si="45"/>
        <v>0</v>
      </c>
      <c r="AM128" s="600">
        <f t="shared" si="45"/>
        <v>0</v>
      </c>
      <c r="AN128" s="600">
        <f t="shared" si="45"/>
        <v>0</v>
      </c>
      <c r="AO128" s="601">
        <f t="shared" si="45"/>
        <v>0</v>
      </c>
      <c r="AP128" s="600">
        <f t="shared" si="45"/>
        <v>0</v>
      </c>
      <c r="AQ128" s="600">
        <f t="shared" si="45"/>
        <v>0</v>
      </c>
      <c r="AR128" s="600">
        <f t="shared" si="45"/>
        <v>0</v>
      </c>
      <c r="AS128" s="600">
        <f t="shared" si="45"/>
        <v>0</v>
      </c>
      <c r="AT128" s="600">
        <f t="shared" si="45"/>
        <v>0</v>
      </c>
      <c r="AU128" s="600">
        <f t="shared" si="45"/>
        <v>0</v>
      </c>
      <c r="AV128" s="600">
        <f t="shared" si="45"/>
        <v>0</v>
      </c>
      <c r="AW128" s="600">
        <f t="shared" si="45"/>
        <v>0</v>
      </c>
      <c r="AX128" s="600">
        <f t="shared" si="45"/>
        <v>0</v>
      </c>
      <c r="AY128" s="600">
        <f t="shared" si="45"/>
        <v>0</v>
      </c>
      <c r="AZ128" s="600">
        <f t="shared" si="45"/>
        <v>0</v>
      </c>
      <c r="BA128" s="600">
        <f t="shared" si="45"/>
        <v>0</v>
      </c>
      <c r="BB128" s="600">
        <f t="shared" si="45"/>
        <v>0</v>
      </c>
      <c r="BC128" s="601">
        <f t="shared" si="45"/>
        <v>0</v>
      </c>
      <c r="BD128" s="600">
        <f t="shared" si="45"/>
        <v>0</v>
      </c>
      <c r="BE128" s="600">
        <f t="shared" si="45"/>
        <v>0</v>
      </c>
      <c r="BF128" s="600">
        <f>IF(AND(BF126=TRUE,BF119=TRUE),ROUND((BF125/100)*BF127,1),BF125)</f>
        <v>0</v>
      </c>
      <c r="BG128" s="600">
        <f>IF(AND(BG126=TRUE,BG119=TRUE),ROUND((BG125/100)*BG127,1),BG125)</f>
        <v>0</v>
      </c>
      <c r="BH128" s="600">
        <f t="shared" si="45"/>
        <v>0</v>
      </c>
      <c r="BI128" s="600">
        <f t="shared" si="45"/>
        <v>0</v>
      </c>
      <c r="BJ128" s="600">
        <f t="shared" si="45"/>
        <v>0</v>
      </c>
      <c r="BK128" s="600">
        <f t="shared" si="45"/>
        <v>0</v>
      </c>
      <c r="BL128" s="600">
        <f t="shared" si="45"/>
        <v>0</v>
      </c>
      <c r="BM128" s="600">
        <f t="shared" si="45"/>
        <v>0</v>
      </c>
      <c r="BN128" s="600">
        <f t="shared" si="45"/>
        <v>0</v>
      </c>
      <c r="BO128" s="600">
        <f t="shared" si="45"/>
        <v>0</v>
      </c>
      <c r="BP128" s="600">
        <f t="shared" si="45"/>
        <v>0</v>
      </c>
      <c r="BQ128" s="600">
        <f t="shared" si="45"/>
        <v>0</v>
      </c>
      <c r="BR128" s="600">
        <f t="shared" si="45"/>
        <v>0</v>
      </c>
      <c r="BS128" s="600">
        <f t="shared" si="45"/>
        <v>0</v>
      </c>
    </row>
    <row r="129" spans="1:71" s="202" customFormat="1" ht="13.15">
      <c r="A129" s="453"/>
      <c r="B129" s="453"/>
      <c r="C129" s="453"/>
      <c r="D129" s="453"/>
      <c r="E129" s="510"/>
      <c r="F129" s="510"/>
      <c r="G129" s="510"/>
      <c r="H129" s="510"/>
      <c r="I129" s="453"/>
      <c r="J129" s="523"/>
      <c r="K129" s="523"/>
      <c r="L129" s="523"/>
      <c r="M129" s="523"/>
      <c r="N129" s="523"/>
      <c r="O129" s="523"/>
      <c r="P129" s="523"/>
      <c r="Q129" s="524"/>
      <c r="R129" s="523"/>
      <c r="S129" s="523"/>
      <c r="T129" s="523"/>
      <c r="U129" s="523"/>
      <c r="V129" s="523"/>
      <c r="W129" s="523"/>
      <c r="X129" s="523"/>
      <c r="Y129" s="523"/>
      <c r="Z129" s="523"/>
      <c r="AA129" s="523"/>
      <c r="AB129" s="523"/>
      <c r="AC129" s="523"/>
      <c r="AD129" s="523"/>
      <c r="AE129" s="523"/>
      <c r="AF129" s="523"/>
      <c r="AG129" s="523"/>
      <c r="AH129" s="523"/>
      <c r="AI129" s="523"/>
      <c r="AJ129" s="523"/>
      <c r="AK129" s="524"/>
      <c r="AL129" s="523"/>
      <c r="AM129" s="523"/>
      <c r="AN129" s="523"/>
      <c r="AO129" s="524"/>
      <c r="AP129" s="523"/>
      <c r="AQ129" s="523"/>
      <c r="AR129" s="523"/>
      <c r="AS129" s="523"/>
      <c r="AT129" s="523"/>
      <c r="AU129" s="523"/>
      <c r="AV129" s="523"/>
      <c r="AW129" s="523"/>
      <c r="AX129" s="523"/>
      <c r="AY129" s="523"/>
      <c r="AZ129" s="523"/>
      <c r="BA129" s="523"/>
      <c r="BB129" s="523"/>
      <c r="BC129" s="524"/>
      <c r="BD129" s="523"/>
      <c r="BE129" s="523"/>
      <c r="BF129" s="523"/>
      <c r="BG129" s="523"/>
      <c r="BH129" s="523"/>
      <c r="BI129" s="523"/>
      <c r="BJ129" s="523"/>
      <c r="BK129" s="523"/>
      <c r="BL129" s="523"/>
      <c r="BM129" s="523"/>
      <c r="BN129" s="523"/>
      <c r="BO129" s="523"/>
      <c r="BP129" s="523"/>
      <c r="BQ129" s="523"/>
      <c r="BR129" s="523"/>
      <c r="BS129" s="523"/>
    </row>
    <row r="130" spans="1:71" s="202" customFormat="1" ht="13.15">
      <c r="A130" s="453"/>
      <c r="B130" s="453"/>
      <c r="C130" s="453"/>
      <c r="D130" s="453"/>
      <c r="E130" s="605" t="str">
        <f>InpPerformance!E$60</f>
        <v>Enhanced underperformance rate</v>
      </c>
      <c r="F130" s="510"/>
      <c r="G130" s="605" t="str">
        <f>InpPerformance!G$60</f>
        <v>£m/unit (2017-18 prices)</v>
      </c>
      <c r="H130" s="510"/>
      <c r="I130" s="453"/>
      <c r="J130" s="608" t="str">
        <f>InpPerformance!J$60</f>
        <v/>
      </c>
      <c r="K130" s="608" t="str">
        <f>InpPerformance!K$60</f>
        <v/>
      </c>
      <c r="L130" s="608" t="str">
        <f>InpPerformance!L$60</f>
        <v/>
      </c>
      <c r="M130" s="608" t="str">
        <f>InpPerformance!M$60</f>
        <v/>
      </c>
      <c r="N130" s="608">
        <f>InpPerformance!N$60</f>
        <v>-0.35599999999999998</v>
      </c>
      <c r="O130" s="608" t="str">
        <f>InpPerformance!O$60</f>
        <v/>
      </c>
      <c r="P130" s="608" t="str">
        <f>InpPerformance!P$60</f>
        <v/>
      </c>
      <c r="Q130" s="609" t="str">
        <f>InpPerformance!Q$60</f>
        <v/>
      </c>
      <c r="R130" s="608" t="str">
        <f>InpPerformance!R$60</f>
        <v/>
      </c>
      <c r="S130" s="608" t="str">
        <f>InpPerformance!S$60</f>
        <v/>
      </c>
      <c r="T130" s="608" t="str">
        <f>InpPerformance!T$60</f>
        <v/>
      </c>
      <c r="U130" s="608" t="str">
        <f>InpPerformance!U$60</f>
        <v/>
      </c>
      <c r="V130" s="608" t="str">
        <f>InpPerformance!V$60</f>
        <v/>
      </c>
      <c r="W130" s="608" t="str">
        <f>InpPerformance!W$60</f>
        <v/>
      </c>
      <c r="X130" s="608" t="str">
        <f>InpPerformance!X$60</f>
        <v/>
      </c>
      <c r="Y130" s="608" t="str">
        <f>InpPerformance!Y$60</f>
        <v/>
      </c>
      <c r="Z130" s="608" t="str">
        <f>InpPerformance!Z$60</f>
        <v/>
      </c>
      <c r="AA130" s="608" t="str">
        <f>InpPerformance!AA$60</f>
        <v/>
      </c>
      <c r="AB130" s="608" t="str">
        <f>InpPerformance!AB$60</f>
        <v/>
      </c>
      <c r="AC130" s="608" t="str">
        <f>InpPerformance!AC$60</f>
        <v/>
      </c>
      <c r="AD130" s="608" t="str">
        <f>InpPerformance!AD$60</f>
        <v/>
      </c>
      <c r="AE130" s="608" t="str">
        <f>InpPerformance!AE$60</f>
        <v/>
      </c>
      <c r="AF130" s="608" t="str">
        <f>InpPerformance!AF$60</f>
        <v/>
      </c>
      <c r="AG130" s="608" t="str">
        <f>InpPerformance!AG$60</f>
        <v/>
      </c>
      <c r="AH130" s="608" t="str">
        <f>InpPerformance!AH$60</f>
        <v/>
      </c>
      <c r="AI130" s="608" t="str">
        <f>InpPerformance!AI$60</f>
        <v/>
      </c>
      <c r="AJ130" s="608" t="str">
        <f>InpPerformance!AJ$60</f>
        <v/>
      </c>
      <c r="AK130" s="609" t="str">
        <f>InpPerformance!AK$60</f>
        <v/>
      </c>
      <c r="AL130" s="608" t="str">
        <f>InpPerformance!AL$60</f>
        <v/>
      </c>
      <c r="AM130" s="608" t="str">
        <f>InpPerformance!AM$60</f>
        <v/>
      </c>
      <c r="AN130" s="608" t="str">
        <f>InpPerformance!AN$60</f>
        <v/>
      </c>
      <c r="AO130" s="609" t="str">
        <f>InpPerformance!AO$60</f>
        <v/>
      </c>
      <c r="AP130" s="608" t="str">
        <f>InpPerformance!AP$60</f>
        <v/>
      </c>
      <c r="AQ130" s="608" t="str">
        <f>InpPerformance!AQ$60</f>
        <v/>
      </c>
      <c r="AR130" s="608" t="str">
        <f>InpPerformance!AR$60</f>
        <v/>
      </c>
      <c r="AS130" s="608" t="str">
        <f>InpPerformance!AS$60</f>
        <v/>
      </c>
      <c r="AT130" s="608" t="str">
        <f>InpPerformance!AT$60</f>
        <v/>
      </c>
      <c r="AU130" s="608" t="str">
        <f>InpPerformance!AU$60</f>
        <v/>
      </c>
      <c r="AV130" s="608" t="str">
        <f>InpPerformance!AV$60</f>
        <v/>
      </c>
      <c r="AW130" s="608" t="str">
        <f>InpPerformance!AW$60</f>
        <v/>
      </c>
      <c r="AX130" s="608" t="str">
        <f>InpPerformance!AX$60</f>
        <v/>
      </c>
      <c r="AY130" s="608" t="str">
        <f>InpPerformance!AY$60</f>
        <v/>
      </c>
      <c r="AZ130" s="608" t="str">
        <f>InpPerformance!AZ$60</f>
        <v/>
      </c>
      <c r="BA130" s="608" t="str">
        <f>InpPerformance!BA$60</f>
        <v/>
      </c>
      <c r="BB130" s="608" t="str">
        <f>InpPerformance!BB$60</f>
        <v/>
      </c>
      <c r="BC130" s="609" t="str">
        <f>InpPerformance!BC$60</f>
        <v/>
      </c>
      <c r="BD130" s="608" t="str">
        <f>InpPerformance!BD$60</f>
        <v/>
      </c>
      <c r="BE130" s="608" t="str">
        <f>InpPerformance!BE$60</f>
        <v/>
      </c>
      <c r="BF130" s="608" t="str">
        <f>InpPerformance!BF$60</f>
        <v/>
      </c>
      <c r="BG130" s="608" t="str">
        <f>InpPerformance!BG$60</f>
        <v/>
      </c>
      <c r="BH130" s="608" t="str">
        <f>InpPerformance!BH$60</f>
        <v/>
      </c>
      <c r="BI130" s="608" t="str">
        <f>InpPerformance!BI$60</f>
        <v/>
      </c>
      <c r="BJ130" s="608" t="str">
        <f>InpPerformance!BJ$60</f>
        <v/>
      </c>
      <c r="BK130" s="608" t="str">
        <f>InpPerformance!BK$60</f>
        <v/>
      </c>
      <c r="BL130" s="608" t="str">
        <f>InpPerformance!BL$60</f>
        <v/>
      </c>
      <c r="BM130" s="608" t="str">
        <f>InpPerformance!BM$60</f>
        <v/>
      </c>
      <c r="BN130" s="608" t="str">
        <f>InpPerformance!BN$60</f>
        <v/>
      </c>
      <c r="BO130" s="608" t="str">
        <f>InpPerformance!BO$60</f>
        <v/>
      </c>
      <c r="BP130" s="608" t="str">
        <f>InpPerformance!BP$60</f>
        <v/>
      </c>
      <c r="BQ130" s="608" t="str">
        <f>InpPerformance!BQ$60</f>
        <v/>
      </c>
      <c r="BR130" s="608" t="str">
        <f>InpPerformance!BR$60</f>
        <v/>
      </c>
      <c r="BS130" s="608" t="str">
        <f>InpPerformance!BS$60</f>
        <v/>
      </c>
    </row>
    <row r="131" spans="1:71" s="202" customFormat="1" ht="13.15">
      <c r="A131" s="453"/>
      <c r="B131" s="453"/>
      <c r="C131" s="453"/>
      <c r="D131" s="453"/>
      <c r="E131" s="510" t="s">
        <v>1236</v>
      </c>
      <c r="F131" s="510"/>
      <c r="G131" s="510" t="str">
        <f>InpCompany!$F$11</f>
        <v>£m (2017-18 prices)</v>
      </c>
      <c r="H131" s="510"/>
      <c r="I131" s="453"/>
      <c r="J131" s="576">
        <f>IF(J113=TRUE,J128*J130,0)</f>
        <v>0</v>
      </c>
      <c r="K131" s="576">
        <f t="shared" ref="K131:BS131" si="46">IF(K113=TRUE,K128*K130,0)</f>
        <v>0</v>
      </c>
      <c r="L131" s="576">
        <f t="shared" si="46"/>
        <v>0</v>
      </c>
      <c r="M131" s="576">
        <f>IF(M113=TRUE,M128*M130,0)</f>
        <v>0</v>
      </c>
      <c r="N131" s="576">
        <f t="shared" si="46"/>
        <v>0</v>
      </c>
      <c r="O131" s="576">
        <f>IF(O113=TRUE,O128*O130,0)</f>
        <v>0</v>
      </c>
      <c r="P131" s="576">
        <f t="shared" si="46"/>
        <v>0</v>
      </c>
      <c r="Q131" s="577">
        <f t="shared" si="46"/>
        <v>0</v>
      </c>
      <c r="R131" s="576">
        <f t="shared" si="46"/>
        <v>0</v>
      </c>
      <c r="S131" s="576">
        <f t="shared" si="46"/>
        <v>0</v>
      </c>
      <c r="T131" s="576">
        <f t="shared" si="46"/>
        <v>0</v>
      </c>
      <c r="U131" s="576">
        <f t="shared" si="46"/>
        <v>0</v>
      </c>
      <c r="V131" s="576">
        <f t="shared" si="46"/>
        <v>0</v>
      </c>
      <c r="W131" s="576">
        <f t="shared" si="46"/>
        <v>0</v>
      </c>
      <c r="X131" s="576">
        <f t="shared" si="46"/>
        <v>0</v>
      </c>
      <c r="Y131" s="576">
        <f t="shared" si="46"/>
        <v>0</v>
      </c>
      <c r="Z131" s="576">
        <f t="shared" si="46"/>
        <v>0</v>
      </c>
      <c r="AA131" s="576">
        <f t="shared" si="46"/>
        <v>0</v>
      </c>
      <c r="AB131" s="576">
        <f t="shared" si="46"/>
        <v>0</v>
      </c>
      <c r="AC131" s="576">
        <f t="shared" si="46"/>
        <v>0</v>
      </c>
      <c r="AD131" s="576">
        <f t="shared" si="46"/>
        <v>0</v>
      </c>
      <c r="AE131" s="576">
        <f t="shared" si="46"/>
        <v>0</v>
      </c>
      <c r="AF131" s="576">
        <f t="shared" si="46"/>
        <v>0</v>
      </c>
      <c r="AG131" s="576">
        <f t="shared" si="46"/>
        <v>0</v>
      </c>
      <c r="AH131" s="576">
        <f t="shared" si="46"/>
        <v>0</v>
      </c>
      <c r="AI131" s="576">
        <f t="shared" si="46"/>
        <v>0</v>
      </c>
      <c r="AJ131" s="576">
        <f t="shared" si="46"/>
        <v>0</v>
      </c>
      <c r="AK131" s="577">
        <f t="shared" si="46"/>
        <v>0</v>
      </c>
      <c r="AL131" s="576">
        <f t="shared" si="46"/>
        <v>0</v>
      </c>
      <c r="AM131" s="576">
        <f t="shared" si="46"/>
        <v>0</v>
      </c>
      <c r="AN131" s="576">
        <f t="shared" si="46"/>
        <v>0</v>
      </c>
      <c r="AO131" s="577">
        <f t="shared" si="46"/>
        <v>0</v>
      </c>
      <c r="AP131" s="576">
        <f t="shared" si="46"/>
        <v>0</v>
      </c>
      <c r="AQ131" s="576">
        <f t="shared" si="46"/>
        <v>0</v>
      </c>
      <c r="AR131" s="576">
        <f t="shared" si="46"/>
        <v>0</v>
      </c>
      <c r="AS131" s="576">
        <f t="shared" si="46"/>
        <v>0</v>
      </c>
      <c r="AT131" s="576">
        <f t="shared" si="46"/>
        <v>0</v>
      </c>
      <c r="AU131" s="576">
        <f t="shared" si="46"/>
        <v>0</v>
      </c>
      <c r="AV131" s="576">
        <f t="shared" si="46"/>
        <v>0</v>
      </c>
      <c r="AW131" s="576">
        <f t="shared" si="46"/>
        <v>0</v>
      </c>
      <c r="AX131" s="576">
        <f t="shared" si="46"/>
        <v>0</v>
      </c>
      <c r="AY131" s="576">
        <f t="shared" si="46"/>
        <v>0</v>
      </c>
      <c r="AZ131" s="576">
        <f t="shared" si="46"/>
        <v>0</v>
      </c>
      <c r="BA131" s="576">
        <f t="shared" si="46"/>
        <v>0</v>
      </c>
      <c r="BB131" s="576">
        <f t="shared" si="46"/>
        <v>0</v>
      </c>
      <c r="BC131" s="577">
        <f t="shared" si="46"/>
        <v>0</v>
      </c>
      <c r="BD131" s="576">
        <f t="shared" si="46"/>
        <v>0</v>
      </c>
      <c r="BE131" s="576">
        <f t="shared" si="46"/>
        <v>0</v>
      </c>
      <c r="BF131" s="576">
        <f>IF(BF113=TRUE,BF128*BF130,0)</f>
        <v>0</v>
      </c>
      <c r="BG131" s="576">
        <f>IF(BG113=TRUE,BG128*BG130,0)</f>
        <v>0</v>
      </c>
      <c r="BH131" s="576">
        <f t="shared" si="46"/>
        <v>0</v>
      </c>
      <c r="BI131" s="576">
        <f t="shared" si="46"/>
        <v>0</v>
      </c>
      <c r="BJ131" s="576">
        <f t="shared" si="46"/>
        <v>0</v>
      </c>
      <c r="BK131" s="576">
        <f t="shared" si="46"/>
        <v>0</v>
      </c>
      <c r="BL131" s="576">
        <f t="shared" si="46"/>
        <v>0</v>
      </c>
      <c r="BM131" s="576">
        <f t="shared" si="46"/>
        <v>0</v>
      </c>
      <c r="BN131" s="576">
        <f t="shared" si="46"/>
        <v>0</v>
      </c>
      <c r="BO131" s="576">
        <f t="shared" si="46"/>
        <v>0</v>
      </c>
      <c r="BP131" s="576">
        <f t="shared" si="46"/>
        <v>0</v>
      </c>
      <c r="BQ131" s="576">
        <f t="shared" si="46"/>
        <v>0</v>
      </c>
      <c r="BR131" s="576">
        <f t="shared" si="46"/>
        <v>0</v>
      </c>
      <c r="BS131" s="576">
        <f t="shared" si="46"/>
        <v>0</v>
      </c>
    </row>
    <row r="132" spans="1:71" s="202" customFormat="1" ht="13.15">
      <c r="A132" s="453"/>
      <c r="B132" s="453"/>
      <c r="C132" s="453"/>
      <c r="D132" s="453"/>
      <c r="E132" s="453"/>
      <c r="F132" s="453"/>
      <c r="G132" s="453"/>
      <c r="H132" s="453"/>
      <c r="I132" s="453"/>
      <c r="J132" s="490"/>
      <c r="K132" s="490"/>
      <c r="L132" s="490"/>
      <c r="M132" s="490"/>
      <c r="N132" s="490"/>
      <c r="O132" s="490"/>
      <c r="P132" s="490"/>
      <c r="Q132" s="491"/>
      <c r="R132" s="490"/>
      <c r="S132" s="490"/>
      <c r="T132" s="490"/>
      <c r="U132" s="490"/>
      <c r="V132" s="490"/>
      <c r="W132" s="490"/>
      <c r="X132" s="490"/>
      <c r="Y132" s="490"/>
      <c r="Z132" s="490"/>
      <c r="AA132" s="490"/>
      <c r="AB132" s="490"/>
      <c r="AC132" s="490"/>
      <c r="AD132" s="490"/>
      <c r="AE132" s="490"/>
      <c r="AF132" s="490"/>
      <c r="AG132" s="490"/>
      <c r="AH132" s="490"/>
      <c r="AI132" s="490"/>
      <c r="AJ132" s="490"/>
      <c r="AK132" s="491"/>
      <c r="AL132" s="490"/>
      <c r="AM132" s="490"/>
      <c r="AN132" s="490"/>
      <c r="AO132" s="491"/>
      <c r="AP132" s="490"/>
      <c r="AQ132" s="490"/>
      <c r="AR132" s="490"/>
      <c r="AS132" s="490"/>
      <c r="AT132" s="490"/>
      <c r="AU132" s="490"/>
      <c r="AV132" s="490"/>
      <c r="AW132" s="490"/>
      <c r="AX132" s="490"/>
      <c r="AY132" s="490"/>
      <c r="AZ132" s="490"/>
      <c r="BA132" s="490"/>
      <c r="BB132" s="490"/>
      <c r="BC132" s="491"/>
      <c r="BD132" s="490"/>
      <c r="BE132" s="490"/>
      <c r="BF132" s="490"/>
      <c r="BG132" s="490"/>
      <c r="BH132" s="490"/>
      <c r="BI132" s="490"/>
      <c r="BJ132" s="490"/>
      <c r="BK132" s="490"/>
      <c r="BL132" s="490"/>
      <c r="BM132" s="490"/>
      <c r="BN132" s="490"/>
      <c r="BO132" s="490"/>
      <c r="BP132" s="490"/>
      <c r="BQ132" s="490"/>
      <c r="BR132" s="490"/>
      <c r="BS132" s="490"/>
    </row>
    <row r="133" spans="1:71" s="202" customFormat="1" ht="13.15">
      <c r="A133" s="453"/>
      <c r="B133" s="473" t="s">
        <v>1186</v>
      </c>
      <c r="C133" s="463"/>
      <c r="D133" s="453"/>
      <c r="E133" s="453"/>
      <c r="F133" s="453"/>
      <c r="G133" s="453"/>
      <c r="H133" s="453"/>
      <c r="I133" s="453"/>
      <c r="J133" s="490"/>
      <c r="K133" s="490"/>
      <c r="L133" s="490"/>
      <c r="M133" s="490"/>
      <c r="N133" s="490"/>
      <c r="O133" s="490"/>
      <c r="P133" s="490"/>
      <c r="Q133" s="491"/>
      <c r="R133" s="490"/>
      <c r="S133" s="490"/>
      <c r="T133" s="490"/>
      <c r="U133" s="490"/>
      <c r="V133" s="490"/>
      <c r="W133" s="490"/>
      <c r="X133" s="490"/>
      <c r="Y133" s="490"/>
      <c r="Z133" s="490"/>
      <c r="AA133" s="490"/>
      <c r="AB133" s="490"/>
      <c r="AC133" s="490"/>
      <c r="AD133" s="490"/>
      <c r="AE133" s="490"/>
      <c r="AF133" s="490"/>
      <c r="AG133" s="490"/>
      <c r="AH133" s="490"/>
      <c r="AI133" s="490"/>
      <c r="AJ133" s="490"/>
      <c r="AK133" s="491"/>
      <c r="AL133" s="490"/>
      <c r="AM133" s="490"/>
      <c r="AN133" s="490"/>
      <c r="AO133" s="491"/>
      <c r="AP133" s="490"/>
      <c r="AQ133" s="490"/>
      <c r="AR133" s="490"/>
      <c r="AS133" s="490"/>
      <c r="AT133" s="490"/>
      <c r="AU133" s="490"/>
      <c r="AV133" s="490"/>
      <c r="AW133" s="490"/>
      <c r="AX133" s="490"/>
      <c r="AY133" s="490"/>
      <c r="AZ133" s="490"/>
      <c r="BA133" s="490"/>
      <c r="BB133" s="490"/>
      <c r="BC133" s="491"/>
      <c r="BD133" s="490"/>
      <c r="BE133" s="490"/>
      <c r="BF133" s="490"/>
      <c r="BG133" s="490"/>
      <c r="BH133" s="490"/>
      <c r="BI133" s="490"/>
      <c r="BJ133" s="490"/>
      <c r="BK133" s="490"/>
      <c r="BL133" s="490"/>
      <c r="BM133" s="490"/>
      <c r="BN133" s="490"/>
      <c r="BO133" s="490"/>
      <c r="BP133" s="490"/>
      <c r="BQ133" s="490"/>
      <c r="BR133" s="490"/>
      <c r="BS133" s="490"/>
    </row>
    <row r="134" spans="1:71" s="202" customFormat="1" ht="13.15">
      <c r="A134" s="453"/>
      <c r="B134" s="453"/>
      <c r="C134" s="453"/>
      <c r="D134" s="453"/>
      <c r="E134" s="453"/>
      <c r="F134" s="453"/>
      <c r="G134" s="453"/>
      <c r="H134" s="453"/>
      <c r="I134" s="453"/>
      <c r="J134" s="490"/>
      <c r="K134" s="490"/>
      <c r="L134" s="490"/>
      <c r="M134" s="490"/>
      <c r="N134" s="490"/>
      <c r="O134" s="490"/>
      <c r="P134" s="490"/>
      <c r="Q134" s="491"/>
      <c r="R134" s="490"/>
      <c r="S134" s="490"/>
      <c r="T134" s="490"/>
      <c r="U134" s="490"/>
      <c r="V134" s="490"/>
      <c r="W134" s="490"/>
      <c r="X134" s="490"/>
      <c r="Y134" s="490"/>
      <c r="Z134" s="490"/>
      <c r="AA134" s="490"/>
      <c r="AB134" s="490"/>
      <c r="AC134" s="490"/>
      <c r="AD134" s="490"/>
      <c r="AE134" s="490"/>
      <c r="AF134" s="490"/>
      <c r="AG134" s="490"/>
      <c r="AH134" s="490"/>
      <c r="AI134" s="490"/>
      <c r="AJ134" s="490"/>
      <c r="AK134" s="491"/>
      <c r="AL134" s="490"/>
      <c r="AM134" s="490"/>
      <c r="AN134" s="490"/>
      <c r="AO134" s="491"/>
      <c r="AP134" s="490"/>
      <c r="AQ134" s="490"/>
      <c r="AR134" s="490"/>
      <c r="AS134" s="490"/>
      <c r="AT134" s="490"/>
      <c r="AU134" s="490"/>
      <c r="AV134" s="490"/>
      <c r="AW134" s="490"/>
      <c r="AX134" s="490"/>
      <c r="AY134" s="490"/>
      <c r="AZ134" s="490"/>
      <c r="BA134" s="490"/>
      <c r="BB134" s="490"/>
      <c r="BC134" s="491"/>
      <c r="BD134" s="490"/>
      <c r="BE134" s="490"/>
      <c r="BF134" s="490"/>
      <c r="BG134" s="490"/>
      <c r="BH134" s="490"/>
      <c r="BI134" s="490"/>
      <c r="BJ134" s="490"/>
      <c r="BK134" s="490"/>
      <c r="BL134" s="490"/>
      <c r="BM134" s="490"/>
      <c r="BN134" s="490"/>
      <c r="BO134" s="490"/>
      <c r="BP134" s="490"/>
      <c r="BQ134" s="490"/>
      <c r="BR134" s="490"/>
      <c r="BS134" s="490"/>
    </row>
    <row r="135" spans="1:71" s="202" customFormat="1" ht="13.15">
      <c r="A135" s="453"/>
      <c r="B135" s="453"/>
      <c r="C135" s="453"/>
      <c r="D135" s="453"/>
      <c r="E135" s="583" t="str">
        <f>InpPerformance!E63</f>
        <v>Additional ODI rate - out</v>
      </c>
      <c r="F135" s="453"/>
      <c r="G135" s="583" t="str">
        <f>InpPerformance!G63</f>
        <v>£m/unit (2017-18 prices)</v>
      </c>
      <c r="H135" s="453"/>
      <c r="I135" s="453"/>
      <c r="J135" s="596" t="str">
        <f>InpPerformance!J63</f>
        <v/>
      </c>
      <c r="K135" s="596" t="str">
        <f>InpPerformance!K63</f>
        <v/>
      </c>
      <c r="L135" s="596" t="str">
        <f>InpPerformance!L63</f>
        <v/>
      </c>
      <c r="M135" s="596" t="str">
        <f>InpPerformance!M63</f>
        <v/>
      </c>
      <c r="N135" s="596" t="str">
        <f>InpPerformance!N63</f>
        <v/>
      </c>
      <c r="O135" s="596" t="str">
        <f>InpPerformance!O63</f>
        <v/>
      </c>
      <c r="P135" s="596" t="str">
        <f>InpPerformance!P63</f>
        <v/>
      </c>
      <c r="Q135" s="597" t="str">
        <f>InpPerformance!Q63</f>
        <v/>
      </c>
      <c r="R135" s="596" t="str">
        <f>InpPerformance!R63</f>
        <v/>
      </c>
      <c r="S135" s="596" t="str">
        <f>InpPerformance!S63</f>
        <v/>
      </c>
      <c r="T135" s="596" t="str">
        <f>InpPerformance!T63</f>
        <v/>
      </c>
      <c r="U135" s="596" t="str">
        <f>InpPerformance!U63</f>
        <v/>
      </c>
      <c r="V135" s="596" t="str">
        <f>InpPerformance!V63</f>
        <v/>
      </c>
      <c r="W135" s="596" t="str">
        <f>InpPerformance!W63</f>
        <v/>
      </c>
      <c r="X135" s="596" t="str">
        <f>InpPerformance!X63</f>
        <v/>
      </c>
      <c r="Y135" s="596" t="str">
        <f>InpPerformance!Y63</f>
        <v/>
      </c>
      <c r="Z135" s="596" t="str">
        <f>InpPerformance!Z63</f>
        <v/>
      </c>
      <c r="AA135" s="596" t="str">
        <f>InpPerformance!AA63</f>
        <v/>
      </c>
      <c r="AB135" s="596" t="str">
        <f>InpPerformance!AB63</f>
        <v/>
      </c>
      <c r="AC135" s="596" t="str">
        <f>InpPerformance!AC63</f>
        <v/>
      </c>
      <c r="AD135" s="596" t="str">
        <f>InpPerformance!AD63</f>
        <v/>
      </c>
      <c r="AE135" s="596" t="str">
        <f>InpPerformance!AE63</f>
        <v/>
      </c>
      <c r="AF135" s="596" t="str">
        <f>InpPerformance!AF63</f>
        <v/>
      </c>
      <c r="AG135" s="596" t="str">
        <f>InpPerformance!AG63</f>
        <v/>
      </c>
      <c r="AH135" s="596" t="str">
        <f>InpPerformance!AH63</f>
        <v/>
      </c>
      <c r="AI135" s="596" t="str">
        <f>InpPerformance!AI63</f>
        <v/>
      </c>
      <c r="AJ135" s="596" t="str">
        <f>InpPerformance!AJ63</f>
        <v/>
      </c>
      <c r="AK135" s="597" t="str">
        <f>InpPerformance!AK63</f>
        <v/>
      </c>
      <c r="AL135" s="596" t="str">
        <f>InpPerformance!AL63</f>
        <v/>
      </c>
      <c r="AM135" s="596" t="str">
        <f>InpPerformance!AM63</f>
        <v/>
      </c>
      <c r="AN135" s="596" t="str">
        <f>InpPerformance!AN63</f>
        <v/>
      </c>
      <c r="AO135" s="597" t="str">
        <f>InpPerformance!AO63</f>
        <v/>
      </c>
      <c r="AP135" s="596" t="str">
        <f>InpPerformance!AP63</f>
        <v/>
      </c>
      <c r="AQ135" s="596" t="str">
        <f>InpPerformance!AQ63</f>
        <v/>
      </c>
      <c r="AR135" s="596" t="str">
        <f>InpPerformance!AR63</f>
        <v/>
      </c>
      <c r="AS135" s="596" t="str">
        <f>InpPerformance!AS63</f>
        <v/>
      </c>
      <c r="AT135" s="596" t="str">
        <f>InpPerformance!AT63</f>
        <v/>
      </c>
      <c r="AU135" s="596" t="str">
        <f>InpPerformance!AU63</f>
        <v/>
      </c>
      <c r="AV135" s="596" t="str">
        <f>InpPerformance!AV63</f>
        <v/>
      </c>
      <c r="AW135" s="596" t="str">
        <f>InpPerformance!AW63</f>
        <v/>
      </c>
      <c r="AX135" s="596" t="str">
        <f>InpPerformance!AX63</f>
        <v/>
      </c>
      <c r="AY135" s="596" t="str">
        <f>InpPerformance!AY63</f>
        <v/>
      </c>
      <c r="AZ135" s="596" t="str">
        <f>InpPerformance!AZ63</f>
        <v/>
      </c>
      <c r="BA135" s="596" t="str">
        <f>InpPerformance!BA63</f>
        <v/>
      </c>
      <c r="BB135" s="596" t="str">
        <f>InpPerformance!BB63</f>
        <v/>
      </c>
      <c r="BC135" s="597" t="str">
        <f>InpPerformance!BC63</f>
        <v/>
      </c>
      <c r="BD135" s="596" t="str">
        <f>InpPerformance!BD63</f>
        <v/>
      </c>
      <c r="BE135" s="596" t="str">
        <f>InpPerformance!BE63</f>
        <v/>
      </c>
      <c r="BF135" s="596" t="str">
        <f>InpPerformance!BF63</f>
        <v/>
      </c>
      <c r="BG135" s="596" t="str">
        <f>InpPerformance!BG63</f>
        <v/>
      </c>
      <c r="BH135" s="596" t="str">
        <f>InpPerformance!BH63</f>
        <v/>
      </c>
      <c r="BI135" s="596" t="str">
        <f>InpPerformance!BI63</f>
        <v/>
      </c>
      <c r="BJ135" s="596" t="str">
        <f>InpPerformance!BJ63</f>
        <v/>
      </c>
      <c r="BK135" s="596" t="str">
        <f>InpPerformance!BK63</f>
        <v/>
      </c>
      <c r="BL135" s="596" t="str">
        <f>InpPerformance!BL63</f>
        <v/>
      </c>
      <c r="BM135" s="596" t="str">
        <f>InpPerformance!BM63</f>
        <v/>
      </c>
      <c r="BN135" s="596" t="str">
        <f>InpPerformance!BN63</f>
        <v/>
      </c>
      <c r="BO135" s="596" t="str">
        <f>InpPerformance!BO63</f>
        <v/>
      </c>
      <c r="BP135" s="596" t="str">
        <f>InpPerformance!BP63</f>
        <v/>
      </c>
      <c r="BQ135" s="596" t="str">
        <f>InpPerformance!BQ63</f>
        <v/>
      </c>
      <c r="BR135" s="596" t="str">
        <f>InpPerformance!BR63</f>
        <v/>
      </c>
      <c r="BS135" s="596" t="str">
        <f>InpPerformance!BS63</f>
        <v/>
      </c>
    </row>
    <row r="136" spans="1:71" s="202" customFormat="1" ht="13.15">
      <c r="A136" s="453"/>
      <c r="B136" s="453"/>
      <c r="C136" s="453"/>
      <c r="D136" s="453"/>
      <c r="E136" s="583" t="str">
        <f>InpPerformance!E64</f>
        <v>Additional ODI rate - under</v>
      </c>
      <c r="F136" s="453"/>
      <c r="G136" s="583" t="str">
        <f>InpPerformance!G64</f>
        <v>£m/unit (2017-18 prices)</v>
      </c>
      <c r="H136" s="453"/>
      <c r="I136" s="453"/>
      <c r="J136" s="596" t="str">
        <f>InpPerformance!J64</f>
        <v/>
      </c>
      <c r="K136" s="596" t="str">
        <f>InpPerformance!K64</f>
        <v/>
      </c>
      <c r="L136" s="596" t="str">
        <f>InpPerformance!L64</f>
        <v/>
      </c>
      <c r="M136" s="596" t="str">
        <f>InpPerformance!M64</f>
        <v/>
      </c>
      <c r="N136" s="596" t="str">
        <f>InpPerformance!N64</f>
        <v/>
      </c>
      <c r="O136" s="596" t="str">
        <f>InpPerformance!O64</f>
        <v/>
      </c>
      <c r="P136" s="596" t="str">
        <f>InpPerformance!P64</f>
        <v/>
      </c>
      <c r="Q136" s="597" t="str">
        <f>InpPerformance!Q64</f>
        <v/>
      </c>
      <c r="R136" s="596" t="str">
        <f>InpPerformance!R64</f>
        <v/>
      </c>
      <c r="S136" s="596" t="str">
        <f>InpPerformance!S64</f>
        <v/>
      </c>
      <c r="T136" s="596" t="str">
        <f>InpPerformance!T64</f>
        <v/>
      </c>
      <c r="U136" s="596" t="str">
        <f>InpPerformance!U64</f>
        <v/>
      </c>
      <c r="V136" s="596" t="str">
        <f>InpPerformance!V64</f>
        <v/>
      </c>
      <c r="W136" s="596" t="str">
        <f>InpPerformance!W64</f>
        <v/>
      </c>
      <c r="X136" s="596" t="str">
        <f>InpPerformance!X64</f>
        <v/>
      </c>
      <c r="Y136" s="596" t="str">
        <f>InpPerformance!Y64</f>
        <v/>
      </c>
      <c r="Z136" s="596" t="str">
        <f>InpPerformance!Z64</f>
        <v/>
      </c>
      <c r="AA136" s="596" t="str">
        <f>InpPerformance!AA64</f>
        <v/>
      </c>
      <c r="AB136" s="596" t="str">
        <f>InpPerformance!AB64</f>
        <v/>
      </c>
      <c r="AC136" s="596" t="str">
        <f>InpPerformance!AC64</f>
        <v/>
      </c>
      <c r="AD136" s="596" t="str">
        <f>InpPerformance!AD64</f>
        <v/>
      </c>
      <c r="AE136" s="596" t="str">
        <f>InpPerformance!AE64</f>
        <v/>
      </c>
      <c r="AF136" s="596" t="str">
        <f>InpPerformance!AF64</f>
        <v/>
      </c>
      <c r="AG136" s="596" t="str">
        <f>InpPerformance!AG64</f>
        <v/>
      </c>
      <c r="AH136" s="596" t="str">
        <f>InpPerformance!AH64</f>
        <v/>
      </c>
      <c r="AI136" s="596" t="str">
        <f>InpPerformance!AI64</f>
        <v/>
      </c>
      <c r="AJ136" s="596" t="str">
        <f>InpPerformance!AJ64</f>
        <v/>
      </c>
      <c r="AK136" s="597" t="str">
        <f>InpPerformance!AK64</f>
        <v/>
      </c>
      <c r="AL136" s="596" t="str">
        <f>InpPerformance!AL64</f>
        <v/>
      </c>
      <c r="AM136" s="596" t="str">
        <f>InpPerformance!AM64</f>
        <v/>
      </c>
      <c r="AN136" s="596" t="str">
        <f>InpPerformance!AN64</f>
        <v/>
      </c>
      <c r="AO136" s="597" t="str">
        <f>InpPerformance!AO64</f>
        <v/>
      </c>
      <c r="AP136" s="596" t="str">
        <f>InpPerformance!AP64</f>
        <v/>
      </c>
      <c r="AQ136" s="596" t="str">
        <f>InpPerformance!AQ64</f>
        <v/>
      </c>
      <c r="AR136" s="596" t="str">
        <f>InpPerformance!AR64</f>
        <v/>
      </c>
      <c r="AS136" s="596" t="str">
        <f>InpPerformance!AS64</f>
        <v/>
      </c>
      <c r="AT136" s="596" t="str">
        <f>InpPerformance!AT64</f>
        <v/>
      </c>
      <c r="AU136" s="596" t="str">
        <f>InpPerformance!AU64</f>
        <v/>
      </c>
      <c r="AV136" s="596" t="str">
        <f>InpPerformance!AV64</f>
        <v/>
      </c>
      <c r="AW136" s="596" t="str">
        <f>InpPerformance!AW64</f>
        <v/>
      </c>
      <c r="AX136" s="596" t="str">
        <f>InpPerformance!AX64</f>
        <v/>
      </c>
      <c r="AY136" s="596" t="str">
        <f>InpPerformance!AY64</f>
        <v/>
      </c>
      <c r="AZ136" s="596" t="str">
        <f>InpPerformance!AZ64</f>
        <v/>
      </c>
      <c r="BA136" s="596" t="str">
        <f>InpPerformance!BA64</f>
        <v/>
      </c>
      <c r="BB136" s="596" t="str">
        <f>InpPerformance!BB64</f>
        <v/>
      </c>
      <c r="BC136" s="597" t="str">
        <f>InpPerformance!BC64</f>
        <v/>
      </c>
      <c r="BD136" s="596" t="str">
        <f>InpPerformance!BD64</f>
        <v/>
      </c>
      <c r="BE136" s="596" t="str">
        <f>InpPerformance!BE64</f>
        <v/>
      </c>
      <c r="BF136" s="596" t="str">
        <f>InpPerformance!BF64</f>
        <v/>
      </c>
      <c r="BG136" s="596" t="str">
        <f>InpPerformance!BG64</f>
        <v/>
      </c>
      <c r="BH136" s="596" t="str">
        <f>InpPerformance!BH64</f>
        <v/>
      </c>
      <c r="BI136" s="596" t="str">
        <f>InpPerformance!BI64</f>
        <v/>
      </c>
      <c r="BJ136" s="596" t="str">
        <f>InpPerformance!BJ64</f>
        <v/>
      </c>
      <c r="BK136" s="596" t="str">
        <f>InpPerformance!BK64</f>
        <v/>
      </c>
      <c r="BL136" s="596" t="str">
        <f>InpPerformance!BL64</f>
        <v/>
      </c>
      <c r="BM136" s="596" t="str">
        <f>InpPerformance!BM64</f>
        <v/>
      </c>
      <c r="BN136" s="596" t="str">
        <f>InpPerformance!BN64</f>
        <v/>
      </c>
      <c r="BO136" s="596" t="str">
        <f>InpPerformance!BO64</f>
        <v/>
      </c>
      <c r="BP136" s="596" t="str">
        <f>InpPerformance!BP64</f>
        <v/>
      </c>
      <c r="BQ136" s="596" t="str">
        <f>InpPerformance!BQ64</f>
        <v/>
      </c>
      <c r="BR136" s="596" t="str">
        <f>InpPerformance!BR64</f>
        <v/>
      </c>
      <c r="BS136" s="596" t="str">
        <f>InpPerformance!BS64</f>
        <v/>
      </c>
    </row>
    <row r="137" spans="1:71" s="202" customFormat="1" ht="13.15">
      <c r="A137" s="453"/>
      <c r="B137" s="453"/>
      <c r="C137" s="453"/>
      <c r="D137" s="453"/>
      <c r="E137" s="583" t="str">
        <f>InpPerformance!E65</f>
        <v>Cost recovery mechanism applies this year?</v>
      </c>
      <c r="F137" s="453"/>
      <c r="G137" s="583" t="str">
        <f>InpPerformance!G65</f>
        <v>TRUE or FALSE</v>
      </c>
      <c r="H137" s="453"/>
      <c r="I137" s="453"/>
      <c r="J137" s="591" t="b">
        <f>InpPerformance!J65</f>
        <v>0</v>
      </c>
      <c r="K137" s="591" t="b">
        <f>InpPerformance!K65</f>
        <v>0</v>
      </c>
      <c r="L137" s="591" t="b">
        <f>InpPerformance!L65</f>
        <v>0</v>
      </c>
      <c r="M137" s="591" t="b">
        <f>InpPerformance!M65</f>
        <v>0</v>
      </c>
      <c r="N137" s="591" t="b">
        <f>InpPerformance!N65</f>
        <v>0</v>
      </c>
      <c r="O137" s="591" t="b">
        <f>InpPerformance!O65</f>
        <v>0</v>
      </c>
      <c r="P137" s="591" t="b">
        <f>InpPerformance!P65</f>
        <v>0</v>
      </c>
      <c r="Q137" s="592" t="b">
        <f>InpPerformance!Q65</f>
        <v>0</v>
      </c>
      <c r="R137" s="591" t="b">
        <f>InpPerformance!R65</f>
        <v>0</v>
      </c>
      <c r="S137" s="591" t="b">
        <f>InpPerformance!S65</f>
        <v>0</v>
      </c>
      <c r="T137" s="591" t="b">
        <f>InpPerformance!T65</f>
        <v>0</v>
      </c>
      <c r="U137" s="591" t="b">
        <f>InpPerformance!U65</f>
        <v>0</v>
      </c>
      <c r="V137" s="591" t="b">
        <f>InpPerformance!V65</f>
        <v>0</v>
      </c>
      <c r="W137" s="591" t="b">
        <f>InpPerformance!W65</f>
        <v>0</v>
      </c>
      <c r="X137" s="591" t="b">
        <f>InpPerformance!X65</f>
        <v>0</v>
      </c>
      <c r="Y137" s="591" t="b">
        <f>InpPerformance!Y65</f>
        <v>0</v>
      </c>
      <c r="Z137" s="591" t="b">
        <f>InpPerformance!Z65</f>
        <v>0</v>
      </c>
      <c r="AA137" s="591" t="b">
        <f>InpPerformance!AA65</f>
        <v>0</v>
      </c>
      <c r="AB137" s="591" t="b">
        <f>InpPerformance!AB65</f>
        <v>0</v>
      </c>
      <c r="AC137" s="591" t="b">
        <f>InpPerformance!AC65</f>
        <v>0</v>
      </c>
      <c r="AD137" s="591" t="b">
        <f>InpPerformance!AD65</f>
        <v>0</v>
      </c>
      <c r="AE137" s="591" t="b">
        <f>InpPerformance!AE65</f>
        <v>0</v>
      </c>
      <c r="AF137" s="591" t="b">
        <f>InpPerformance!AF65</f>
        <v>0</v>
      </c>
      <c r="AG137" s="591" t="b">
        <f>InpPerformance!AG65</f>
        <v>0</v>
      </c>
      <c r="AH137" s="591" t="b">
        <f>InpPerformance!AH65</f>
        <v>0</v>
      </c>
      <c r="AI137" s="591" t="b">
        <f>InpPerformance!AI65</f>
        <v>0</v>
      </c>
      <c r="AJ137" s="591" t="b">
        <f>InpPerformance!AJ65</f>
        <v>0</v>
      </c>
      <c r="AK137" s="592" t="b">
        <f>InpPerformance!AK65</f>
        <v>0</v>
      </c>
      <c r="AL137" s="591" t="b">
        <f>InpPerformance!AL65</f>
        <v>0</v>
      </c>
      <c r="AM137" s="591" t="b">
        <f>InpPerformance!AM65</f>
        <v>0</v>
      </c>
      <c r="AN137" s="591" t="b">
        <f>InpPerformance!AN65</f>
        <v>0</v>
      </c>
      <c r="AO137" s="592" t="b">
        <f>InpPerformance!AO65</f>
        <v>0</v>
      </c>
      <c r="AP137" s="591" t="b">
        <f>InpPerformance!AP65</f>
        <v>0</v>
      </c>
      <c r="AQ137" s="591" t="b">
        <f>InpPerformance!AQ65</f>
        <v>0</v>
      </c>
      <c r="AR137" s="591" t="b">
        <f>InpPerformance!AR65</f>
        <v>0</v>
      </c>
      <c r="AS137" s="591" t="b">
        <f>InpPerformance!AS65</f>
        <v>0</v>
      </c>
      <c r="AT137" s="591" t="b">
        <f>InpPerformance!AT65</f>
        <v>0</v>
      </c>
      <c r="AU137" s="591" t="b">
        <f>InpPerformance!AU65</f>
        <v>0</v>
      </c>
      <c r="AV137" s="591" t="b">
        <f>InpPerformance!AV65</f>
        <v>0</v>
      </c>
      <c r="AW137" s="591" t="b">
        <f>InpPerformance!AW65</f>
        <v>0</v>
      </c>
      <c r="AX137" s="591" t="b">
        <f>InpPerformance!AX65</f>
        <v>0</v>
      </c>
      <c r="AY137" s="591" t="b">
        <f>InpPerformance!AY65</f>
        <v>0</v>
      </c>
      <c r="AZ137" s="591" t="b">
        <f>InpPerformance!AZ65</f>
        <v>0</v>
      </c>
      <c r="BA137" s="591" t="b">
        <f>InpPerformance!BA65</f>
        <v>0</v>
      </c>
      <c r="BB137" s="591" t="b">
        <f>InpPerformance!BB65</f>
        <v>0</v>
      </c>
      <c r="BC137" s="592" t="b">
        <f>InpPerformance!BC65</f>
        <v>0</v>
      </c>
      <c r="BD137" s="591" t="b">
        <f>InpPerformance!BD65</f>
        <v>0</v>
      </c>
      <c r="BE137" s="591" t="b">
        <f>InpPerformance!BE65</f>
        <v>0</v>
      </c>
      <c r="BF137" s="591" t="b">
        <f>InpPerformance!BF65</f>
        <v>0</v>
      </c>
      <c r="BG137" s="591" t="b">
        <f>InpPerformance!BG65</f>
        <v>0</v>
      </c>
      <c r="BH137" s="591" t="b">
        <f>InpPerformance!BH65</f>
        <v>0</v>
      </c>
      <c r="BI137" s="591" t="b">
        <f>InpPerformance!BI65</f>
        <v>0</v>
      </c>
      <c r="BJ137" s="591" t="b">
        <f>InpPerformance!BJ65</f>
        <v>0</v>
      </c>
      <c r="BK137" s="591" t="b">
        <f>InpPerformance!BK65</f>
        <v>0</v>
      </c>
      <c r="BL137" s="591" t="b">
        <f>InpPerformance!BL65</f>
        <v>0</v>
      </c>
      <c r="BM137" s="591" t="b">
        <f>InpPerformance!BM65</f>
        <v>0</v>
      </c>
      <c r="BN137" s="591" t="b">
        <f>InpPerformance!BN65</f>
        <v>0</v>
      </c>
      <c r="BO137" s="591" t="b">
        <f>InpPerformance!BO65</f>
        <v>0</v>
      </c>
      <c r="BP137" s="591" t="b">
        <f>InpPerformance!BP65</f>
        <v>0</v>
      </c>
      <c r="BQ137" s="591" t="b">
        <f>InpPerformance!BQ65</f>
        <v>0</v>
      </c>
      <c r="BR137" s="591" t="b">
        <f>InpPerformance!BR65</f>
        <v>0</v>
      </c>
      <c r="BS137" s="591" t="b">
        <f>InpPerformance!BS65</f>
        <v>0</v>
      </c>
    </row>
    <row r="138" spans="1:71" s="202" customFormat="1" ht="13.15">
      <c r="A138" s="453"/>
      <c r="B138" s="453"/>
      <c r="C138" s="453"/>
      <c r="D138" s="453"/>
      <c r="E138" s="453"/>
      <c r="F138" s="453"/>
      <c r="G138" s="453"/>
      <c r="H138" s="453"/>
      <c r="I138" s="453"/>
      <c r="J138" s="490"/>
      <c r="K138" s="490"/>
      <c r="L138" s="490"/>
      <c r="M138" s="490"/>
      <c r="N138" s="490"/>
      <c r="O138" s="490"/>
      <c r="P138" s="490"/>
      <c r="Q138" s="491"/>
      <c r="R138" s="490"/>
      <c r="S138" s="490"/>
      <c r="T138" s="490"/>
      <c r="U138" s="490"/>
      <c r="V138" s="490"/>
      <c r="W138" s="490"/>
      <c r="X138" s="490"/>
      <c r="Y138" s="490"/>
      <c r="Z138" s="490"/>
      <c r="AA138" s="490"/>
      <c r="AB138" s="490"/>
      <c r="AC138" s="490"/>
      <c r="AD138" s="490"/>
      <c r="AE138" s="490"/>
      <c r="AF138" s="490"/>
      <c r="AG138" s="490"/>
      <c r="AH138" s="490"/>
      <c r="AI138" s="490"/>
      <c r="AJ138" s="490"/>
      <c r="AK138" s="491"/>
      <c r="AL138" s="490"/>
      <c r="AM138" s="490"/>
      <c r="AN138" s="490"/>
      <c r="AO138" s="491"/>
      <c r="AP138" s="490"/>
      <c r="AQ138" s="490"/>
      <c r="AR138" s="490"/>
      <c r="AS138" s="490"/>
      <c r="AT138" s="490"/>
      <c r="AU138" s="490"/>
      <c r="AV138" s="490"/>
      <c r="AW138" s="490"/>
      <c r="AX138" s="490"/>
      <c r="AY138" s="490"/>
      <c r="AZ138" s="490"/>
      <c r="BA138" s="490"/>
      <c r="BB138" s="490"/>
      <c r="BC138" s="491"/>
      <c r="BD138" s="490"/>
      <c r="BE138" s="490"/>
      <c r="BF138" s="490"/>
      <c r="BG138" s="490"/>
      <c r="BH138" s="490"/>
      <c r="BI138" s="490"/>
      <c r="BJ138" s="490"/>
      <c r="BK138" s="490"/>
      <c r="BL138" s="490"/>
      <c r="BM138" s="490"/>
      <c r="BN138" s="490"/>
      <c r="BO138" s="490"/>
      <c r="BP138" s="490"/>
      <c r="BQ138" s="490"/>
      <c r="BR138" s="490"/>
      <c r="BS138" s="490"/>
    </row>
    <row r="139" spans="1:71" s="202" customFormat="1" ht="13.15">
      <c r="A139" s="453"/>
      <c r="B139" s="453"/>
      <c r="C139" s="453"/>
      <c r="D139" s="453"/>
      <c r="E139" s="453" t="str">
        <f>E34</f>
        <v>Outperformance beyond any deadband</v>
      </c>
      <c r="F139" s="453"/>
      <c r="G139" s="453" t="str">
        <f>G34</f>
        <v>Performance commitment unit</v>
      </c>
      <c r="H139" s="453"/>
      <c r="I139" s="453"/>
      <c r="J139" s="490" t="str">
        <f t="shared" ref="J139:BS139" si="47">J34</f>
        <v/>
      </c>
      <c r="K139" s="490" t="str">
        <f t="shared" si="47"/>
        <v/>
      </c>
      <c r="L139" s="490" t="str">
        <f t="shared" si="47"/>
        <v/>
      </c>
      <c r="M139" s="490" t="str">
        <f>M34</f>
        <v/>
      </c>
      <c r="N139" s="490" t="str">
        <f t="shared" si="47"/>
        <v/>
      </c>
      <c r="O139" s="490" t="str">
        <f>O34</f>
        <v/>
      </c>
      <c r="P139" s="490" t="str">
        <f t="shared" si="47"/>
        <v/>
      </c>
      <c r="Q139" s="491" t="str">
        <f t="shared" si="47"/>
        <v/>
      </c>
      <c r="R139" s="490" t="str">
        <f t="shared" si="47"/>
        <v/>
      </c>
      <c r="S139" s="490" t="str">
        <f t="shared" si="47"/>
        <v/>
      </c>
      <c r="T139" s="490">
        <f t="shared" si="47"/>
        <v>1</v>
      </c>
      <c r="U139" s="490" t="str">
        <f t="shared" si="47"/>
        <v/>
      </c>
      <c r="V139" s="490" t="str">
        <f t="shared" si="47"/>
        <v/>
      </c>
      <c r="W139" s="490" t="str">
        <f t="shared" si="47"/>
        <v/>
      </c>
      <c r="X139" s="490" t="str">
        <f t="shared" si="47"/>
        <v/>
      </c>
      <c r="Y139" s="490" t="str">
        <f t="shared" si="47"/>
        <v/>
      </c>
      <c r="Z139" s="490" t="str">
        <f t="shared" si="47"/>
        <v/>
      </c>
      <c r="AA139" s="490" t="str">
        <f t="shared" si="47"/>
        <v/>
      </c>
      <c r="AB139" s="490" t="str">
        <f t="shared" si="47"/>
        <v/>
      </c>
      <c r="AC139" s="490" t="str">
        <f t="shared" si="47"/>
        <v/>
      </c>
      <c r="AD139" s="490" t="str">
        <f t="shared" si="47"/>
        <v/>
      </c>
      <c r="AE139" s="490" t="str">
        <f t="shared" si="47"/>
        <v/>
      </c>
      <c r="AF139" s="490" t="str">
        <f t="shared" si="47"/>
        <v/>
      </c>
      <c r="AG139" s="490" t="str">
        <f t="shared" si="47"/>
        <v/>
      </c>
      <c r="AH139" s="490" t="str">
        <f t="shared" si="47"/>
        <v/>
      </c>
      <c r="AI139" s="490" t="str">
        <f t="shared" si="47"/>
        <v/>
      </c>
      <c r="AJ139" s="490" t="str">
        <f t="shared" si="47"/>
        <v/>
      </c>
      <c r="AK139" s="491" t="str">
        <f t="shared" si="47"/>
        <v/>
      </c>
      <c r="AL139" s="490" t="str">
        <f t="shared" si="47"/>
        <v/>
      </c>
      <c r="AM139" s="490" t="str">
        <f t="shared" si="47"/>
        <v/>
      </c>
      <c r="AN139" s="490" t="str">
        <f t="shared" si="47"/>
        <v/>
      </c>
      <c r="AO139" s="491" t="str">
        <f t="shared" si="47"/>
        <v/>
      </c>
      <c r="AP139" s="490">
        <f t="shared" si="47"/>
        <v>79</v>
      </c>
      <c r="AQ139" s="490" t="str">
        <f t="shared" si="47"/>
        <v/>
      </c>
      <c r="AR139" s="490" t="str">
        <f t="shared" si="47"/>
        <v/>
      </c>
      <c r="AS139" s="490" t="str">
        <f t="shared" si="47"/>
        <v/>
      </c>
      <c r="AT139" s="490" t="str">
        <f t="shared" si="47"/>
        <v/>
      </c>
      <c r="AU139" s="490">
        <f t="shared" si="47"/>
        <v>2</v>
      </c>
      <c r="AV139" s="490">
        <f t="shared" si="47"/>
        <v>3</v>
      </c>
      <c r="AW139" s="490" t="str">
        <f t="shared" si="47"/>
        <v/>
      </c>
      <c r="AX139" s="490">
        <f t="shared" si="47"/>
        <v>354</v>
      </c>
      <c r="AY139" s="490" t="str">
        <f t="shared" si="47"/>
        <v/>
      </c>
      <c r="AZ139" s="490" t="str">
        <f t="shared" si="47"/>
        <v/>
      </c>
      <c r="BA139" s="490" t="str">
        <f t="shared" si="47"/>
        <v/>
      </c>
      <c r="BB139" s="490" t="str">
        <f t="shared" si="47"/>
        <v/>
      </c>
      <c r="BC139" s="491" t="str">
        <f t="shared" si="47"/>
        <v/>
      </c>
      <c r="BD139" s="490" t="str">
        <f t="shared" si="47"/>
        <v/>
      </c>
      <c r="BE139" s="490" t="str">
        <f t="shared" si="47"/>
        <v/>
      </c>
      <c r="BF139" s="490" t="str">
        <f>BF34</f>
        <v/>
      </c>
      <c r="BG139" s="490" t="str">
        <f>BG34</f>
        <v/>
      </c>
      <c r="BH139" s="490" t="str">
        <f t="shared" si="47"/>
        <v/>
      </c>
      <c r="BI139" s="490" t="str">
        <f t="shared" si="47"/>
        <v/>
      </c>
      <c r="BJ139" s="490" t="str">
        <f t="shared" si="47"/>
        <v/>
      </c>
      <c r="BK139" s="490" t="str">
        <f t="shared" si="47"/>
        <v/>
      </c>
      <c r="BL139" s="490" t="str">
        <f t="shared" si="47"/>
        <v/>
      </c>
      <c r="BM139" s="490" t="str">
        <f t="shared" si="47"/>
        <v/>
      </c>
      <c r="BN139" s="490" t="str">
        <f t="shared" si="47"/>
        <v/>
      </c>
      <c r="BO139" s="490" t="str">
        <f t="shared" si="47"/>
        <v/>
      </c>
      <c r="BP139" s="490" t="str">
        <f t="shared" si="47"/>
        <v/>
      </c>
      <c r="BQ139" s="490" t="str">
        <f t="shared" si="47"/>
        <v/>
      </c>
      <c r="BR139" s="490" t="str">
        <f t="shared" si="47"/>
        <v/>
      </c>
      <c r="BS139" s="490" t="str">
        <f t="shared" si="47"/>
        <v/>
      </c>
    </row>
    <row r="140" spans="1:71" s="202" customFormat="1" ht="13.15">
      <c r="A140" s="453"/>
      <c r="B140" s="453"/>
      <c r="C140" s="453"/>
      <c r="D140" s="453"/>
      <c r="E140" s="453" t="s">
        <v>1237</v>
      </c>
      <c r="F140" s="453"/>
      <c r="G140" s="617" t="str">
        <f>InpCompany!$F$11</f>
        <v>£m (2017-18 prices)</v>
      </c>
      <c r="H140" s="453"/>
      <c r="I140" s="453"/>
      <c r="J140" s="576">
        <f>IF(AND(J$137=TRUE,J135&lt;&gt;""),J139*J135,0)</f>
        <v>0</v>
      </c>
      <c r="K140" s="576">
        <f t="shared" ref="K140:BS140" si="48">IF(AND(K$137=TRUE,K135&lt;&gt;""),K139*K135,0)</f>
        <v>0</v>
      </c>
      <c r="L140" s="576">
        <f t="shared" si="48"/>
        <v>0</v>
      </c>
      <c r="M140" s="576">
        <f>IF(AND(M$137=TRUE,M135&lt;&gt;""),M139*M135,0)</f>
        <v>0</v>
      </c>
      <c r="N140" s="576">
        <f t="shared" si="48"/>
        <v>0</v>
      </c>
      <c r="O140" s="576">
        <f>IF(AND(O$137=TRUE,O135&lt;&gt;""),O139*O135,0)</f>
        <v>0</v>
      </c>
      <c r="P140" s="576">
        <f t="shared" si="48"/>
        <v>0</v>
      </c>
      <c r="Q140" s="577">
        <f t="shared" si="48"/>
        <v>0</v>
      </c>
      <c r="R140" s="576">
        <f t="shared" si="48"/>
        <v>0</v>
      </c>
      <c r="S140" s="576">
        <f t="shared" si="48"/>
        <v>0</v>
      </c>
      <c r="T140" s="576">
        <f t="shared" si="48"/>
        <v>0</v>
      </c>
      <c r="U140" s="576">
        <f t="shared" si="48"/>
        <v>0</v>
      </c>
      <c r="V140" s="576">
        <f t="shared" si="48"/>
        <v>0</v>
      </c>
      <c r="W140" s="576">
        <f t="shared" si="48"/>
        <v>0</v>
      </c>
      <c r="X140" s="576">
        <f t="shared" si="48"/>
        <v>0</v>
      </c>
      <c r="Y140" s="576">
        <f t="shared" si="48"/>
        <v>0</v>
      </c>
      <c r="Z140" s="576">
        <f t="shared" si="48"/>
        <v>0</v>
      </c>
      <c r="AA140" s="576">
        <f t="shared" si="48"/>
        <v>0</v>
      </c>
      <c r="AB140" s="576">
        <f t="shared" si="48"/>
        <v>0</v>
      </c>
      <c r="AC140" s="576">
        <f t="shared" si="48"/>
        <v>0</v>
      </c>
      <c r="AD140" s="576">
        <f t="shared" si="48"/>
        <v>0</v>
      </c>
      <c r="AE140" s="576">
        <f t="shared" si="48"/>
        <v>0</v>
      </c>
      <c r="AF140" s="576">
        <f t="shared" si="48"/>
        <v>0</v>
      </c>
      <c r="AG140" s="576">
        <f t="shared" si="48"/>
        <v>0</v>
      </c>
      <c r="AH140" s="576">
        <f t="shared" si="48"/>
        <v>0</v>
      </c>
      <c r="AI140" s="576">
        <f t="shared" si="48"/>
        <v>0</v>
      </c>
      <c r="AJ140" s="576">
        <f t="shared" si="48"/>
        <v>0</v>
      </c>
      <c r="AK140" s="577">
        <f t="shared" si="48"/>
        <v>0</v>
      </c>
      <c r="AL140" s="576">
        <f t="shared" si="48"/>
        <v>0</v>
      </c>
      <c r="AM140" s="576">
        <f t="shared" si="48"/>
        <v>0</v>
      </c>
      <c r="AN140" s="576">
        <f t="shared" si="48"/>
        <v>0</v>
      </c>
      <c r="AO140" s="577">
        <f t="shared" si="48"/>
        <v>0</v>
      </c>
      <c r="AP140" s="576">
        <f t="shared" si="48"/>
        <v>0</v>
      </c>
      <c r="AQ140" s="576">
        <f t="shared" si="48"/>
        <v>0</v>
      </c>
      <c r="AR140" s="576">
        <f t="shared" si="48"/>
        <v>0</v>
      </c>
      <c r="AS140" s="576">
        <f t="shared" si="48"/>
        <v>0</v>
      </c>
      <c r="AT140" s="576">
        <f t="shared" si="48"/>
        <v>0</v>
      </c>
      <c r="AU140" s="576">
        <f t="shared" si="48"/>
        <v>0</v>
      </c>
      <c r="AV140" s="576">
        <f t="shared" si="48"/>
        <v>0</v>
      </c>
      <c r="AW140" s="576">
        <f t="shared" si="48"/>
        <v>0</v>
      </c>
      <c r="AX140" s="576">
        <f t="shared" si="48"/>
        <v>0</v>
      </c>
      <c r="AY140" s="576">
        <f t="shared" si="48"/>
        <v>0</v>
      </c>
      <c r="AZ140" s="576">
        <f t="shared" si="48"/>
        <v>0</v>
      </c>
      <c r="BA140" s="576">
        <f t="shared" si="48"/>
        <v>0</v>
      </c>
      <c r="BB140" s="576">
        <f t="shared" si="48"/>
        <v>0</v>
      </c>
      <c r="BC140" s="577">
        <f t="shared" si="48"/>
        <v>0</v>
      </c>
      <c r="BD140" s="576">
        <f t="shared" si="48"/>
        <v>0</v>
      </c>
      <c r="BE140" s="576">
        <f t="shared" si="48"/>
        <v>0</v>
      </c>
      <c r="BF140" s="576">
        <f>IF(AND(BF$137=TRUE,BF135&lt;&gt;""),BF139*BF135,0)</f>
        <v>0</v>
      </c>
      <c r="BG140" s="576">
        <f>IF(AND(BG$137=TRUE,BG135&lt;&gt;""),BG139*BG135,0)</f>
        <v>0</v>
      </c>
      <c r="BH140" s="576">
        <f t="shared" si="48"/>
        <v>0</v>
      </c>
      <c r="BI140" s="576">
        <f t="shared" si="48"/>
        <v>0</v>
      </c>
      <c r="BJ140" s="576">
        <f t="shared" si="48"/>
        <v>0</v>
      </c>
      <c r="BK140" s="576">
        <f t="shared" si="48"/>
        <v>0</v>
      </c>
      <c r="BL140" s="576">
        <f t="shared" si="48"/>
        <v>0</v>
      </c>
      <c r="BM140" s="576">
        <f t="shared" si="48"/>
        <v>0</v>
      </c>
      <c r="BN140" s="576">
        <f t="shared" si="48"/>
        <v>0</v>
      </c>
      <c r="BO140" s="576">
        <f t="shared" si="48"/>
        <v>0</v>
      </c>
      <c r="BP140" s="576">
        <f t="shared" si="48"/>
        <v>0</v>
      </c>
      <c r="BQ140" s="576">
        <f t="shared" si="48"/>
        <v>0</v>
      </c>
      <c r="BR140" s="576">
        <f t="shared" si="48"/>
        <v>0</v>
      </c>
      <c r="BS140" s="576">
        <f t="shared" si="48"/>
        <v>0</v>
      </c>
    </row>
    <row r="141" spans="1:71" s="202" customFormat="1" ht="13.15">
      <c r="A141" s="453"/>
      <c r="B141" s="453"/>
      <c r="C141" s="453"/>
      <c r="D141" s="453"/>
      <c r="E141" s="453"/>
      <c r="F141" s="453"/>
      <c r="G141" s="617"/>
      <c r="H141" s="453"/>
      <c r="I141" s="453"/>
      <c r="J141" s="490"/>
      <c r="K141" s="490"/>
      <c r="L141" s="490"/>
      <c r="M141" s="490"/>
      <c r="N141" s="490"/>
      <c r="O141" s="490"/>
      <c r="P141" s="490"/>
      <c r="Q141" s="491"/>
      <c r="R141" s="490"/>
      <c r="S141" s="490"/>
      <c r="T141" s="490"/>
      <c r="U141" s="490"/>
      <c r="V141" s="490"/>
      <c r="W141" s="490"/>
      <c r="X141" s="490"/>
      <c r="Y141" s="490"/>
      <c r="Z141" s="490"/>
      <c r="AA141" s="490"/>
      <c r="AB141" s="490"/>
      <c r="AC141" s="490"/>
      <c r="AD141" s="490"/>
      <c r="AE141" s="490"/>
      <c r="AF141" s="490"/>
      <c r="AG141" s="490"/>
      <c r="AH141" s="490"/>
      <c r="AI141" s="490"/>
      <c r="AJ141" s="490"/>
      <c r="AK141" s="491"/>
      <c r="AL141" s="490"/>
      <c r="AM141" s="490"/>
      <c r="AN141" s="490"/>
      <c r="AO141" s="491"/>
      <c r="AP141" s="490"/>
      <c r="AQ141" s="490"/>
      <c r="AR141" s="490"/>
      <c r="AS141" s="490"/>
      <c r="AT141" s="490"/>
      <c r="AU141" s="490"/>
      <c r="AV141" s="490"/>
      <c r="AW141" s="490"/>
      <c r="AX141" s="490"/>
      <c r="AY141" s="490"/>
      <c r="AZ141" s="490"/>
      <c r="BA141" s="490"/>
      <c r="BB141" s="490"/>
      <c r="BC141" s="491"/>
      <c r="BD141" s="490"/>
      <c r="BE141" s="490"/>
      <c r="BF141" s="490"/>
      <c r="BG141" s="490"/>
      <c r="BH141" s="490"/>
      <c r="BI141" s="490"/>
      <c r="BJ141" s="490"/>
      <c r="BK141" s="490"/>
      <c r="BL141" s="490"/>
      <c r="BM141" s="490"/>
      <c r="BN141" s="490"/>
      <c r="BO141" s="490"/>
      <c r="BP141" s="490"/>
      <c r="BQ141" s="490"/>
      <c r="BR141" s="490"/>
      <c r="BS141" s="490"/>
    </row>
    <row r="142" spans="1:71" s="202" customFormat="1" ht="13.15">
      <c r="A142" s="453"/>
      <c r="B142" s="453"/>
      <c r="C142" s="453"/>
      <c r="D142" s="453"/>
      <c r="E142" s="453" t="str">
        <f>E52</f>
        <v>Underperformance beyond any deadband</v>
      </c>
      <c r="F142" s="453"/>
      <c r="G142" s="453" t="str">
        <f>G52</f>
        <v>Performance commitment unit</v>
      </c>
      <c r="H142" s="453"/>
      <c r="I142" s="453"/>
      <c r="J142" s="490">
        <f t="shared" ref="J142:BS142" si="49">J52</f>
        <v>1.0699999999999998</v>
      </c>
      <c r="K142" s="490">
        <f t="shared" si="49"/>
        <v>1.2060185185185188E-2</v>
      </c>
      <c r="L142" s="490">
        <f t="shared" si="49"/>
        <v>16.404404404404396</v>
      </c>
      <c r="M142" s="490" t="str">
        <f>M52</f>
        <v/>
      </c>
      <c r="N142" s="490">
        <f t="shared" si="49"/>
        <v>7.2499999999999956</v>
      </c>
      <c r="O142" s="490" t="str">
        <f>O52</f>
        <v/>
      </c>
      <c r="P142" s="490">
        <f t="shared" si="49"/>
        <v>23.699999999999989</v>
      </c>
      <c r="Q142" s="491" t="str">
        <f t="shared" si="49"/>
        <v/>
      </c>
      <c r="R142" s="490">
        <f t="shared" si="49"/>
        <v>0.44999999999999996</v>
      </c>
      <c r="S142" s="490">
        <f t="shared" si="49"/>
        <v>1.999999999999999E-2</v>
      </c>
      <c r="T142" s="490" t="str">
        <f t="shared" si="49"/>
        <v/>
      </c>
      <c r="U142" s="490" t="str">
        <f t="shared" si="49"/>
        <v/>
      </c>
      <c r="V142" s="490">
        <f t="shared" si="49"/>
        <v>0.5</v>
      </c>
      <c r="W142" s="490" t="str">
        <f t="shared" si="49"/>
        <v/>
      </c>
      <c r="X142" s="490" t="str">
        <f t="shared" si="49"/>
        <v/>
      </c>
      <c r="Y142" s="490">
        <f t="shared" si="49"/>
        <v>51</v>
      </c>
      <c r="Z142" s="490">
        <f t="shared" si="49"/>
        <v>48.8</v>
      </c>
      <c r="AA142" s="490" t="str">
        <f t="shared" si="49"/>
        <v/>
      </c>
      <c r="AB142" s="490" t="str">
        <f t="shared" si="49"/>
        <v/>
      </c>
      <c r="AC142" s="490" t="str">
        <f t="shared" si="49"/>
        <v/>
      </c>
      <c r="AD142" s="490" t="str">
        <f t="shared" si="49"/>
        <v/>
      </c>
      <c r="AE142" s="490" t="str">
        <f t="shared" si="49"/>
        <v/>
      </c>
      <c r="AF142" s="490" t="str">
        <f t="shared" si="49"/>
        <v/>
      </c>
      <c r="AG142" s="490" t="str">
        <f t="shared" si="49"/>
        <v/>
      </c>
      <c r="AH142" s="490" t="str">
        <f t="shared" si="49"/>
        <v/>
      </c>
      <c r="AI142" s="490" t="str">
        <f t="shared" si="49"/>
        <v/>
      </c>
      <c r="AJ142" s="490" t="str">
        <f t="shared" si="49"/>
        <v/>
      </c>
      <c r="AK142" s="491" t="str">
        <f t="shared" si="49"/>
        <v/>
      </c>
      <c r="AL142" s="490">
        <f t="shared" si="49"/>
        <v>1.1299999999999999</v>
      </c>
      <c r="AM142" s="490">
        <f t="shared" si="49"/>
        <v>26.61</v>
      </c>
      <c r="AN142" s="490">
        <f t="shared" si="49"/>
        <v>0.3199999999999994</v>
      </c>
      <c r="AO142" s="491" t="str">
        <f t="shared" si="49"/>
        <v/>
      </c>
      <c r="AP142" s="490" t="str">
        <f t="shared" si="49"/>
        <v/>
      </c>
      <c r="AQ142" s="490">
        <f t="shared" si="49"/>
        <v>3</v>
      </c>
      <c r="AR142" s="490" t="str">
        <f t="shared" si="49"/>
        <v/>
      </c>
      <c r="AS142" s="490" t="str">
        <f t="shared" si="49"/>
        <v/>
      </c>
      <c r="AT142" s="490">
        <f t="shared" si="49"/>
        <v>9</v>
      </c>
      <c r="AU142" s="490" t="str">
        <f t="shared" si="49"/>
        <v/>
      </c>
      <c r="AV142" s="490" t="str">
        <f t="shared" si="49"/>
        <v/>
      </c>
      <c r="AW142" s="490">
        <f t="shared" si="49"/>
        <v>25105</v>
      </c>
      <c r="AX142" s="490" t="str">
        <f t="shared" si="49"/>
        <v/>
      </c>
      <c r="AY142" s="490" t="str">
        <f t="shared" si="49"/>
        <v/>
      </c>
      <c r="AZ142" s="490" t="str">
        <f t="shared" si="49"/>
        <v/>
      </c>
      <c r="BA142" s="490" t="str">
        <f t="shared" si="49"/>
        <v/>
      </c>
      <c r="BB142" s="490" t="str">
        <f t="shared" si="49"/>
        <v/>
      </c>
      <c r="BC142" s="491" t="str">
        <f t="shared" si="49"/>
        <v/>
      </c>
      <c r="BD142" s="490" t="str">
        <f t="shared" si="49"/>
        <v/>
      </c>
      <c r="BE142" s="490" t="str">
        <f t="shared" si="49"/>
        <v/>
      </c>
      <c r="BF142" s="490" t="str">
        <f>BF52</f>
        <v/>
      </c>
      <c r="BG142" s="490" t="str">
        <f>BG52</f>
        <v/>
      </c>
      <c r="BH142" s="490" t="str">
        <f t="shared" si="49"/>
        <v/>
      </c>
      <c r="BI142" s="490" t="str">
        <f t="shared" si="49"/>
        <v/>
      </c>
      <c r="BJ142" s="490" t="str">
        <f t="shared" si="49"/>
        <v/>
      </c>
      <c r="BK142" s="490" t="str">
        <f t="shared" si="49"/>
        <v/>
      </c>
      <c r="BL142" s="490" t="str">
        <f t="shared" si="49"/>
        <v/>
      </c>
      <c r="BM142" s="490" t="str">
        <f t="shared" si="49"/>
        <v/>
      </c>
      <c r="BN142" s="490" t="str">
        <f t="shared" si="49"/>
        <v/>
      </c>
      <c r="BO142" s="490" t="str">
        <f t="shared" si="49"/>
        <v/>
      </c>
      <c r="BP142" s="490" t="str">
        <f t="shared" si="49"/>
        <v/>
      </c>
      <c r="BQ142" s="490" t="str">
        <f t="shared" si="49"/>
        <v/>
      </c>
      <c r="BR142" s="490" t="str">
        <f t="shared" si="49"/>
        <v/>
      </c>
      <c r="BS142" s="490" t="str">
        <f t="shared" si="49"/>
        <v/>
      </c>
    </row>
    <row r="143" spans="1:71" s="202" customFormat="1" ht="13.15">
      <c r="A143" s="453"/>
      <c r="B143" s="453"/>
      <c r="C143" s="453"/>
      <c r="D143" s="453"/>
      <c r="E143" s="453" t="s">
        <v>1238</v>
      </c>
      <c r="F143" s="453"/>
      <c r="G143" s="617" t="str">
        <f>InpCompany!$F$11</f>
        <v>£m (2017-18 prices)</v>
      </c>
      <c r="H143" s="453"/>
      <c r="I143" s="453"/>
      <c r="J143" s="576">
        <f>IF(AND(J$137=TRUE,J136&lt;&gt;""),J142*J136,0)</f>
        <v>0</v>
      </c>
      <c r="K143" s="576">
        <f t="shared" ref="K143:BS143" si="50">IF(AND(K$137=TRUE,K136&lt;&gt;""),K142*K136,0)</f>
        <v>0</v>
      </c>
      <c r="L143" s="576">
        <f t="shared" si="50"/>
        <v>0</v>
      </c>
      <c r="M143" s="576">
        <f>IF(AND(M$137=TRUE,M136&lt;&gt;""),M142*M136,0)</f>
        <v>0</v>
      </c>
      <c r="N143" s="576">
        <f t="shared" si="50"/>
        <v>0</v>
      </c>
      <c r="O143" s="576">
        <f>IF(AND(O$137=TRUE,O136&lt;&gt;""),O142*O136,0)</f>
        <v>0</v>
      </c>
      <c r="P143" s="576">
        <f t="shared" si="50"/>
        <v>0</v>
      </c>
      <c r="Q143" s="577">
        <f t="shared" si="50"/>
        <v>0</v>
      </c>
      <c r="R143" s="576">
        <f t="shared" si="50"/>
        <v>0</v>
      </c>
      <c r="S143" s="576">
        <f t="shared" si="50"/>
        <v>0</v>
      </c>
      <c r="T143" s="576">
        <f t="shared" si="50"/>
        <v>0</v>
      </c>
      <c r="U143" s="576">
        <f t="shared" si="50"/>
        <v>0</v>
      </c>
      <c r="V143" s="576">
        <f t="shared" si="50"/>
        <v>0</v>
      </c>
      <c r="W143" s="576">
        <f t="shared" si="50"/>
        <v>0</v>
      </c>
      <c r="X143" s="576">
        <f t="shared" si="50"/>
        <v>0</v>
      </c>
      <c r="Y143" s="576">
        <f t="shared" si="50"/>
        <v>0</v>
      </c>
      <c r="Z143" s="576">
        <f t="shared" si="50"/>
        <v>0</v>
      </c>
      <c r="AA143" s="576">
        <f t="shared" si="50"/>
        <v>0</v>
      </c>
      <c r="AB143" s="576">
        <f t="shared" si="50"/>
        <v>0</v>
      </c>
      <c r="AC143" s="576">
        <f t="shared" si="50"/>
        <v>0</v>
      </c>
      <c r="AD143" s="576">
        <f t="shared" si="50"/>
        <v>0</v>
      </c>
      <c r="AE143" s="576">
        <f t="shared" si="50"/>
        <v>0</v>
      </c>
      <c r="AF143" s="576">
        <f t="shared" si="50"/>
        <v>0</v>
      </c>
      <c r="AG143" s="576">
        <f t="shared" si="50"/>
        <v>0</v>
      </c>
      <c r="AH143" s="576">
        <f t="shared" si="50"/>
        <v>0</v>
      </c>
      <c r="AI143" s="576">
        <f t="shared" si="50"/>
        <v>0</v>
      </c>
      <c r="AJ143" s="576">
        <f t="shared" si="50"/>
        <v>0</v>
      </c>
      <c r="AK143" s="577">
        <f t="shared" si="50"/>
        <v>0</v>
      </c>
      <c r="AL143" s="576">
        <f t="shared" si="50"/>
        <v>0</v>
      </c>
      <c r="AM143" s="576">
        <f t="shared" si="50"/>
        <v>0</v>
      </c>
      <c r="AN143" s="576">
        <f t="shared" si="50"/>
        <v>0</v>
      </c>
      <c r="AO143" s="577">
        <f t="shared" si="50"/>
        <v>0</v>
      </c>
      <c r="AP143" s="576">
        <f t="shared" si="50"/>
        <v>0</v>
      </c>
      <c r="AQ143" s="576">
        <f t="shared" si="50"/>
        <v>0</v>
      </c>
      <c r="AR143" s="576">
        <f t="shared" si="50"/>
        <v>0</v>
      </c>
      <c r="AS143" s="576">
        <f t="shared" si="50"/>
        <v>0</v>
      </c>
      <c r="AT143" s="576">
        <f t="shared" si="50"/>
        <v>0</v>
      </c>
      <c r="AU143" s="576">
        <f t="shared" si="50"/>
        <v>0</v>
      </c>
      <c r="AV143" s="576">
        <f t="shared" si="50"/>
        <v>0</v>
      </c>
      <c r="AW143" s="576">
        <f t="shared" si="50"/>
        <v>0</v>
      </c>
      <c r="AX143" s="576">
        <f t="shared" si="50"/>
        <v>0</v>
      </c>
      <c r="AY143" s="576">
        <f t="shared" si="50"/>
        <v>0</v>
      </c>
      <c r="AZ143" s="576">
        <f t="shared" si="50"/>
        <v>0</v>
      </c>
      <c r="BA143" s="576">
        <f t="shared" si="50"/>
        <v>0</v>
      </c>
      <c r="BB143" s="576">
        <f t="shared" si="50"/>
        <v>0</v>
      </c>
      <c r="BC143" s="577">
        <f t="shared" si="50"/>
        <v>0</v>
      </c>
      <c r="BD143" s="576">
        <f t="shared" si="50"/>
        <v>0</v>
      </c>
      <c r="BE143" s="576">
        <f t="shared" si="50"/>
        <v>0</v>
      </c>
      <c r="BF143" s="576">
        <f>IF(AND(BF$137=TRUE,BF136&lt;&gt;""),BF142*BF136,0)</f>
        <v>0</v>
      </c>
      <c r="BG143" s="576">
        <f>IF(AND(BG$137=TRUE,BG136&lt;&gt;""),BG142*BG136,0)</f>
        <v>0</v>
      </c>
      <c r="BH143" s="576">
        <f t="shared" si="50"/>
        <v>0</v>
      </c>
      <c r="BI143" s="576">
        <f t="shared" si="50"/>
        <v>0</v>
      </c>
      <c r="BJ143" s="576">
        <f t="shared" si="50"/>
        <v>0</v>
      </c>
      <c r="BK143" s="576">
        <f t="shared" si="50"/>
        <v>0</v>
      </c>
      <c r="BL143" s="576">
        <f t="shared" si="50"/>
        <v>0</v>
      </c>
      <c r="BM143" s="576">
        <f t="shared" si="50"/>
        <v>0</v>
      </c>
      <c r="BN143" s="576">
        <f t="shared" si="50"/>
        <v>0</v>
      </c>
      <c r="BO143" s="576">
        <f t="shared" si="50"/>
        <v>0</v>
      </c>
      <c r="BP143" s="576">
        <f t="shared" si="50"/>
        <v>0</v>
      </c>
      <c r="BQ143" s="576">
        <f t="shared" si="50"/>
        <v>0</v>
      </c>
      <c r="BR143" s="576">
        <f t="shared" si="50"/>
        <v>0</v>
      </c>
      <c r="BS143" s="576">
        <f t="shared" si="50"/>
        <v>0</v>
      </c>
    </row>
    <row r="144" spans="1:71" s="202" customFormat="1" ht="13.15">
      <c r="A144" s="453"/>
      <c r="B144" s="453"/>
      <c r="C144" s="453"/>
      <c r="D144" s="453"/>
      <c r="E144" s="453"/>
      <c r="F144" s="453"/>
      <c r="G144" s="618"/>
      <c r="H144" s="453"/>
      <c r="I144" s="453"/>
      <c r="J144" s="490"/>
      <c r="K144" s="490"/>
      <c r="L144" s="490"/>
      <c r="M144" s="490"/>
      <c r="N144" s="490"/>
      <c r="O144" s="490"/>
      <c r="P144" s="490"/>
      <c r="Q144" s="491"/>
      <c r="R144" s="490"/>
      <c r="S144" s="490"/>
      <c r="T144" s="490"/>
      <c r="U144" s="490"/>
      <c r="V144" s="490"/>
      <c r="W144" s="490"/>
      <c r="X144" s="490"/>
      <c r="Y144" s="490"/>
      <c r="Z144" s="490"/>
      <c r="AA144" s="490"/>
      <c r="AB144" s="490"/>
      <c r="AC144" s="490"/>
      <c r="AD144" s="490"/>
      <c r="AE144" s="490"/>
      <c r="AF144" s="490"/>
      <c r="AG144" s="490"/>
      <c r="AH144" s="490"/>
      <c r="AI144" s="490"/>
      <c r="AJ144" s="490"/>
      <c r="AK144" s="491"/>
      <c r="AL144" s="490"/>
      <c r="AM144" s="490"/>
      <c r="AN144" s="490"/>
      <c r="AO144" s="491"/>
      <c r="AP144" s="490"/>
      <c r="AQ144" s="490"/>
      <c r="AR144" s="490"/>
      <c r="AS144" s="490"/>
      <c r="AT144" s="490"/>
      <c r="AU144" s="490"/>
      <c r="AV144" s="490"/>
      <c r="AW144" s="490"/>
      <c r="AX144" s="490"/>
      <c r="AY144" s="490"/>
      <c r="AZ144" s="490"/>
      <c r="BA144" s="490"/>
      <c r="BB144" s="490"/>
      <c r="BC144" s="491"/>
      <c r="BD144" s="490"/>
      <c r="BE144" s="490"/>
      <c r="BF144" s="490"/>
      <c r="BG144" s="490"/>
      <c r="BH144" s="490"/>
      <c r="BI144" s="490"/>
      <c r="BJ144" s="490"/>
      <c r="BK144" s="490"/>
      <c r="BL144" s="490"/>
      <c r="BM144" s="490"/>
      <c r="BN144" s="490"/>
      <c r="BO144" s="490"/>
      <c r="BP144" s="490"/>
      <c r="BQ144" s="490"/>
      <c r="BR144" s="490"/>
      <c r="BS144" s="490"/>
    </row>
    <row r="145" spans="1:71" s="202" customFormat="1" ht="13.15">
      <c r="A145" s="453"/>
      <c r="B145" s="473" t="s">
        <v>1239</v>
      </c>
      <c r="C145" s="463"/>
      <c r="D145" s="453"/>
      <c r="E145" s="453"/>
      <c r="F145" s="453"/>
      <c r="G145" s="618"/>
      <c r="H145" s="453"/>
      <c r="I145" s="453"/>
      <c r="J145" s="490"/>
      <c r="K145" s="490"/>
      <c r="L145" s="490"/>
      <c r="M145" s="490"/>
      <c r="N145" s="490"/>
      <c r="O145" s="490"/>
      <c r="P145" s="490"/>
      <c r="Q145" s="491"/>
      <c r="R145" s="490"/>
      <c r="S145" s="490"/>
      <c r="T145" s="490"/>
      <c r="U145" s="490"/>
      <c r="V145" s="490"/>
      <c r="W145" s="490"/>
      <c r="X145" s="490"/>
      <c r="Y145" s="490"/>
      <c r="Z145" s="490"/>
      <c r="AA145" s="490"/>
      <c r="AB145" s="490"/>
      <c r="AC145" s="490"/>
      <c r="AD145" s="490"/>
      <c r="AE145" s="490"/>
      <c r="AF145" s="490"/>
      <c r="AG145" s="490"/>
      <c r="AH145" s="490"/>
      <c r="AI145" s="490"/>
      <c r="AJ145" s="490"/>
      <c r="AK145" s="491"/>
      <c r="AL145" s="490"/>
      <c r="AM145" s="490"/>
      <c r="AN145" s="490"/>
      <c r="AO145" s="491"/>
      <c r="AP145" s="490"/>
      <c r="AQ145" s="490"/>
      <c r="AR145" s="490"/>
      <c r="AS145" s="490"/>
      <c r="AT145" s="490"/>
      <c r="AU145" s="490"/>
      <c r="AV145" s="490"/>
      <c r="AW145" s="490"/>
      <c r="AX145" s="490"/>
      <c r="AY145" s="490"/>
      <c r="AZ145" s="490"/>
      <c r="BA145" s="490"/>
      <c r="BB145" s="490"/>
      <c r="BC145" s="491"/>
      <c r="BD145" s="490"/>
      <c r="BE145" s="490"/>
      <c r="BF145" s="490"/>
      <c r="BG145" s="490"/>
      <c r="BH145" s="490"/>
      <c r="BI145" s="490"/>
      <c r="BJ145" s="490"/>
      <c r="BK145" s="490"/>
      <c r="BL145" s="490"/>
      <c r="BM145" s="490"/>
      <c r="BN145" s="490"/>
      <c r="BO145" s="490"/>
      <c r="BP145" s="490"/>
      <c r="BQ145" s="490"/>
      <c r="BR145" s="490"/>
      <c r="BS145" s="490"/>
    </row>
    <row r="146" spans="1:71" s="202" customFormat="1" ht="13.15">
      <c r="A146" s="453"/>
      <c r="B146" s="453"/>
      <c r="C146" s="463"/>
      <c r="D146" s="453"/>
      <c r="E146" s="453"/>
      <c r="F146" s="453"/>
      <c r="G146" s="618"/>
      <c r="H146" s="453"/>
      <c r="I146" s="453"/>
      <c r="J146" s="490"/>
      <c r="K146" s="490"/>
      <c r="L146" s="490"/>
      <c r="M146" s="490"/>
      <c r="N146" s="490"/>
      <c r="O146" s="490"/>
      <c r="P146" s="490"/>
      <c r="Q146" s="491"/>
      <c r="R146" s="490"/>
      <c r="S146" s="490"/>
      <c r="T146" s="490"/>
      <c r="U146" s="490"/>
      <c r="V146" s="490"/>
      <c r="W146" s="490"/>
      <c r="X146" s="490"/>
      <c r="Y146" s="490"/>
      <c r="Z146" s="490"/>
      <c r="AA146" s="490"/>
      <c r="AB146" s="490"/>
      <c r="AC146" s="490"/>
      <c r="AD146" s="490"/>
      <c r="AE146" s="490"/>
      <c r="AF146" s="490"/>
      <c r="AG146" s="490"/>
      <c r="AH146" s="490"/>
      <c r="AI146" s="490"/>
      <c r="AJ146" s="490"/>
      <c r="AK146" s="491"/>
      <c r="AL146" s="490"/>
      <c r="AM146" s="490"/>
      <c r="AN146" s="490"/>
      <c r="AO146" s="491"/>
      <c r="AP146" s="490"/>
      <c r="AQ146" s="490"/>
      <c r="AR146" s="490"/>
      <c r="AS146" s="490"/>
      <c r="AT146" s="490"/>
      <c r="AU146" s="490"/>
      <c r="AV146" s="490"/>
      <c r="AW146" s="490"/>
      <c r="AX146" s="490"/>
      <c r="AY146" s="490"/>
      <c r="AZ146" s="490"/>
      <c r="BA146" s="490"/>
      <c r="BB146" s="490"/>
      <c r="BC146" s="491"/>
      <c r="BD146" s="490"/>
      <c r="BE146" s="490"/>
      <c r="BF146" s="490"/>
      <c r="BG146" s="490"/>
      <c r="BH146" s="490"/>
      <c r="BI146" s="490"/>
      <c r="BJ146" s="490"/>
      <c r="BK146" s="490"/>
      <c r="BL146" s="490"/>
      <c r="BM146" s="490"/>
      <c r="BN146" s="490"/>
      <c r="BO146" s="490"/>
      <c r="BP146" s="490"/>
      <c r="BQ146" s="490"/>
      <c r="BR146" s="490"/>
      <c r="BS146" s="490"/>
    </row>
    <row r="147" spans="1:71" s="202" customFormat="1" ht="13.15">
      <c r="A147" s="453"/>
      <c r="B147" s="453"/>
      <c r="C147" s="453"/>
      <c r="D147" s="463" t="s">
        <v>1240</v>
      </c>
      <c r="E147" s="453"/>
      <c r="F147" s="453"/>
      <c r="G147" s="618"/>
      <c r="H147" s="453"/>
      <c r="I147" s="453"/>
      <c r="J147" s="490"/>
      <c r="K147" s="490"/>
      <c r="L147" s="490"/>
      <c r="M147" s="490"/>
      <c r="N147" s="490"/>
      <c r="O147" s="490"/>
      <c r="P147" s="490"/>
      <c r="Q147" s="491"/>
      <c r="R147" s="490"/>
      <c r="S147" s="490"/>
      <c r="T147" s="490"/>
      <c r="U147" s="490"/>
      <c r="V147" s="490"/>
      <c r="W147" s="490"/>
      <c r="X147" s="490"/>
      <c r="Y147" s="490"/>
      <c r="Z147" s="490"/>
      <c r="AA147" s="490"/>
      <c r="AB147" s="490"/>
      <c r="AC147" s="490"/>
      <c r="AD147" s="490"/>
      <c r="AE147" s="490"/>
      <c r="AF147" s="490"/>
      <c r="AG147" s="490"/>
      <c r="AH147" s="490"/>
      <c r="AI147" s="490"/>
      <c r="AJ147" s="490"/>
      <c r="AK147" s="491"/>
      <c r="AL147" s="490"/>
      <c r="AM147" s="490"/>
      <c r="AN147" s="490"/>
      <c r="AO147" s="491"/>
      <c r="AP147" s="490"/>
      <c r="AQ147" s="490"/>
      <c r="AR147" s="490"/>
      <c r="AS147" s="490"/>
      <c r="AT147" s="490"/>
      <c r="AU147" s="490"/>
      <c r="AV147" s="490"/>
      <c r="AW147" s="490"/>
      <c r="AX147" s="490"/>
      <c r="AY147" s="490"/>
      <c r="AZ147" s="490"/>
      <c r="BA147" s="490"/>
      <c r="BB147" s="490"/>
      <c r="BC147" s="491"/>
      <c r="BD147" s="490"/>
      <c r="BE147" s="490"/>
      <c r="BF147" s="490"/>
      <c r="BG147" s="490"/>
      <c r="BH147" s="490"/>
      <c r="BI147" s="490"/>
      <c r="BJ147" s="490"/>
      <c r="BK147" s="490"/>
      <c r="BL147" s="490"/>
      <c r="BM147" s="490"/>
      <c r="BN147" s="490"/>
      <c r="BO147" s="490"/>
      <c r="BP147" s="490"/>
      <c r="BQ147" s="490"/>
      <c r="BR147" s="490"/>
      <c r="BS147" s="490"/>
    </row>
    <row r="148" spans="1:71" s="202" customFormat="1" ht="13.15">
      <c r="A148" s="453"/>
      <c r="B148" s="453"/>
      <c r="C148" s="463"/>
      <c r="D148" s="453"/>
      <c r="E148" s="583">
        <f>InpPerformance!E13</f>
        <v>0</v>
      </c>
      <c r="F148" s="453"/>
      <c r="G148" s="583">
        <f>InpPerformance!G13</f>
        <v>0</v>
      </c>
      <c r="H148" s="453"/>
      <c r="I148" s="453"/>
      <c r="J148" s="591">
        <f>InpPerformance!J13</f>
        <v>0</v>
      </c>
      <c r="K148" s="591">
        <f>InpPerformance!K13</f>
        <v>0</v>
      </c>
      <c r="L148" s="591">
        <f>InpPerformance!L13</f>
        <v>0</v>
      </c>
      <c r="M148" s="591">
        <f>InpPerformance!M13</f>
        <v>0</v>
      </c>
      <c r="N148" s="591">
        <f>InpPerformance!N13</f>
        <v>0</v>
      </c>
      <c r="O148" s="591">
        <f>InpPerformance!O13</f>
        <v>0</v>
      </c>
      <c r="P148" s="591">
        <f>InpPerformance!P13</f>
        <v>0</v>
      </c>
      <c r="Q148" s="592">
        <f>InpPerformance!Q13</f>
        <v>0</v>
      </c>
      <c r="R148" s="591">
        <f>InpPerformance!R13</f>
        <v>0</v>
      </c>
      <c r="S148" s="591">
        <f>InpPerformance!S13</f>
        <v>0</v>
      </c>
      <c r="T148" s="591">
        <f>InpPerformance!T13</f>
        <v>0</v>
      </c>
      <c r="U148" s="591">
        <f>InpPerformance!U13</f>
        <v>0</v>
      </c>
      <c r="V148" s="591">
        <f>InpPerformance!V13</f>
        <v>0</v>
      </c>
      <c r="W148" s="591">
        <f>InpPerformance!W13</f>
        <v>0</v>
      </c>
      <c r="X148" s="591">
        <f>InpPerformance!X13</f>
        <v>0</v>
      </c>
      <c r="Y148" s="591">
        <f>InpPerformance!Y13</f>
        <v>0</v>
      </c>
      <c r="Z148" s="591">
        <f>InpPerformance!Z13</f>
        <v>0</v>
      </c>
      <c r="AA148" s="591">
        <f>InpPerformance!AA13</f>
        <v>0</v>
      </c>
      <c r="AB148" s="591">
        <f>InpPerformance!AB13</f>
        <v>0</v>
      </c>
      <c r="AC148" s="591">
        <f>InpPerformance!AC13</f>
        <v>0</v>
      </c>
      <c r="AD148" s="591">
        <f>InpPerformance!AD13</f>
        <v>0</v>
      </c>
      <c r="AE148" s="591">
        <f>InpPerformance!AE13</f>
        <v>0</v>
      </c>
      <c r="AF148" s="591">
        <f>InpPerformance!AF13</f>
        <v>0</v>
      </c>
      <c r="AG148" s="591">
        <f>InpPerformance!AG13</f>
        <v>0</v>
      </c>
      <c r="AH148" s="591">
        <f>InpPerformance!AH13</f>
        <v>0</v>
      </c>
      <c r="AI148" s="591">
        <f>InpPerformance!AI13</f>
        <v>0</v>
      </c>
      <c r="AJ148" s="591">
        <f>InpPerformance!AJ13</f>
        <v>0</v>
      </c>
      <c r="AK148" s="592">
        <f>InpPerformance!AK13</f>
        <v>0</v>
      </c>
      <c r="AL148" s="591">
        <f>InpPerformance!AL13</f>
        <v>0</v>
      </c>
      <c r="AM148" s="591">
        <f>InpPerformance!AM13</f>
        <v>0</v>
      </c>
      <c r="AN148" s="591">
        <f>InpPerformance!AN13</f>
        <v>0</v>
      </c>
      <c r="AO148" s="592">
        <f>InpPerformance!AO13</f>
        <v>0</v>
      </c>
      <c r="AP148" s="591">
        <f>InpPerformance!AP13</f>
        <v>0</v>
      </c>
      <c r="AQ148" s="591">
        <f>InpPerformance!AQ13</f>
        <v>0</v>
      </c>
      <c r="AR148" s="591">
        <f>InpPerformance!AR13</f>
        <v>0</v>
      </c>
      <c r="AS148" s="591">
        <f>InpPerformance!AS13</f>
        <v>0</v>
      </c>
      <c r="AT148" s="591">
        <f>InpPerformance!AT13</f>
        <v>0</v>
      </c>
      <c r="AU148" s="591">
        <f>InpPerformance!AU13</f>
        <v>0</v>
      </c>
      <c r="AV148" s="591">
        <f>InpPerformance!AV13</f>
        <v>0</v>
      </c>
      <c r="AW148" s="591">
        <f>InpPerformance!AW13</f>
        <v>0</v>
      </c>
      <c r="AX148" s="591">
        <f>InpPerformance!AX13</f>
        <v>0</v>
      </c>
      <c r="AY148" s="591">
        <f>InpPerformance!AY13</f>
        <v>0</v>
      </c>
      <c r="AZ148" s="591">
        <f>InpPerformance!AZ13</f>
        <v>0</v>
      </c>
      <c r="BA148" s="591">
        <f>InpPerformance!BA13</f>
        <v>0</v>
      </c>
      <c r="BB148" s="591">
        <f>InpPerformance!BB13</f>
        <v>0</v>
      </c>
      <c r="BC148" s="592">
        <f>InpPerformance!BC13</f>
        <v>0</v>
      </c>
      <c r="BD148" s="591">
        <f>InpPerformance!BD13</f>
        <v>0</v>
      </c>
      <c r="BE148" s="591">
        <f>InpPerformance!BE13</f>
        <v>0</v>
      </c>
      <c r="BF148" s="591">
        <f>InpPerformance!BF13</f>
        <v>0</v>
      </c>
      <c r="BG148" s="591">
        <f>InpPerformance!BG13</f>
        <v>0</v>
      </c>
      <c r="BH148" s="591">
        <f>InpPerformance!BH13</f>
        <v>0</v>
      </c>
      <c r="BI148" s="591">
        <f>InpPerformance!BI13</f>
        <v>0</v>
      </c>
      <c r="BJ148" s="591">
        <f>InpPerformance!BJ13</f>
        <v>0</v>
      </c>
      <c r="BK148" s="591">
        <f>InpPerformance!BK13</f>
        <v>0</v>
      </c>
      <c r="BL148" s="591">
        <f>InpPerformance!BL13</f>
        <v>0</v>
      </c>
      <c r="BM148" s="591">
        <f>InpPerformance!BM13</f>
        <v>0</v>
      </c>
      <c r="BN148" s="591">
        <f>InpPerformance!BN13</f>
        <v>0</v>
      </c>
      <c r="BO148" s="591">
        <f>InpPerformance!BO13</f>
        <v>0</v>
      </c>
      <c r="BP148" s="591">
        <f>InpPerformance!BP13</f>
        <v>0</v>
      </c>
      <c r="BQ148" s="591">
        <f>InpPerformance!BQ13</f>
        <v>0</v>
      </c>
      <c r="BR148" s="591">
        <f>InpPerformance!BR13</f>
        <v>0</v>
      </c>
      <c r="BS148" s="591">
        <f>InpPerformance!BS13</f>
        <v>0</v>
      </c>
    </row>
    <row r="149" spans="1:71" s="202" customFormat="1" ht="13.15">
      <c r="A149" s="453"/>
      <c r="B149" s="453"/>
      <c r="C149" s="463"/>
      <c r="D149" s="453"/>
      <c r="E149" s="453" t="s">
        <v>1241</v>
      </c>
      <c r="F149" s="453"/>
      <c r="G149" s="618" t="s">
        <v>1072</v>
      </c>
      <c r="H149" s="453"/>
      <c r="I149" s="453"/>
      <c r="J149" s="490" t="str">
        <f>IF(J148="","",$E148&amp;J148)</f>
        <v>00</v>
      </c>
      <c r="K149" s="619" t="str">
        <f t="shared" ref="K149:BS149" si="51">IF(K148="","",$E148&amp;K148)</f>
        <v>00</v>
      </c>
      <c r="L149" s="490" t="str">
        <f t="shared" si="51"/>
        <v>00</v>
      </c>
      <c r="M149" s="490" t="str">
        <f>IF(M148="","",$E148&amp;M148)</f>
        <v>00</v>
      </c>
      <c r="N149" s="490" t="str">
        <f t="shared" si="51"/>
        <v>00</v>
      </c>
      <c r="O149" s="490" t="str">
        <f>IF(O148="","",$E148&amp;O148)</f>
        <v>00</v>
      </c>
      <c r="P149" s="490" t="str">
        <f t="shared" si="51"/>
        <v>00</v>
      </c>
      <c r="Q149" s="491" t="str">
        <f t="shared" si="51"/>
        <v>00</v>
      </c>
      <c r="R149" s="490" t="str">
        <f t="shared" si="51"/>
        <v>00</v>
      </c>
      <c r="S149" s="490" t="str">
        <f t="shared" si="51"/>
        <v>00</v>
      </c>
      <c r="T149" s="490" t="str">
        <f t="shared" si="51"/>
        <v>00</v>
      </c>
      <c r="U149" s="490" t="str">
        <f t="shared" si="51"/>
        <v>00</v>
      </c>
      <c r="V149" s="490" t="str">
        <f t="shared" si="51"/>
        <v>00</v>
      </c>
      <c r="W149" s="490" t="str">
        <f t="shared" si="51"/>
        <v>00</v>
      </c>
      <c r="X149" s="490" t="str">
        <f t="shared" si="51"/>
        <v>00</v>
      </c>
      <c r="Y149" s="490" t="str">
        <f t="shared" si="51"/>
        <v>00</v>
      </c>
      <c r="Z149" s="490" t="str">
        <f t="shared" si="51"/>
        <v>00</v>
      </c>
      <c r="AA149" s="490" t="str">
        <f t="shared" si="51"/>
        <v>00</v>
      </c>
      <c r="AB149" s="490" t="str">
        <f t="shared" si="51"/>
        <v>00</v>
      </c>
      <c r="AC149" s="490" t="str">
        <f t="shared" si="51"/>
        <v>00</v>
      </c>
      <c r="AD149" s="490" t="str">
        <f t="shared" si="51"/>
        <v>00</v>
      </c>
      <c r="AE149" s="490" t="str">
        <f t="shared" si="51"/>
        <v>00</v>
      </c>
      <c r="AF149" s="490" t="str">
        <f t="shared" si="51"/>
        <v>00</v>
      </c>
      <c r="AG149" s="490" t="str">
        <f t="shared" si="51"/>
        <v>00</v>
      </c>
      <c r="AH149" s="490" t="str">
        <f t="shared" si="51"/>
        <v>00</v>
      </c>
      <c r="AI149" s="490" t="str">
        <f t="shared" si="51"/>
        <v>00</v>
      </c>
      <c r="AJ149" s="490" t="str">
        <f t="shared" si="51"/>
        <v>00</v>
      </c>
      <c r="AK149" s="491" t="str">
        <f t="shared" si="51"/>
        <v>00</v>
      </c>
      <c r="AL149" s="490" t="str">
        <f t="shared" si="51"/>
        <v>00</v>
      </c>
      <c r="AM149" s="490" t="str">
        <f t="shared" si="51"/>
        <v>00</v>
      </c>
      <c r="AN149" s="490" t="str">
        <f t="shared" si="51"/>
        <v>00</v>
      </c>
      <c r="AO149" s="491" t="str">
        <f t="shared" si="51"/>
        <v>00</v>
      </c>
      <c r="AP149" s="490" t="str">
        <f t="shared" si="51"/>
        <v>00</v>
      </c>
      <c r="AQ149" s="490" t="str">
        <f t="shared" si="51"/>
        <v>00</v>
      </c>
      <c r="AR149" s="490" t="str">
        <f t="shared" si="51"/>
        <v>00</v>
      </c>
      <c r="AS149" s="490" t="str">
        <f t="shared" si="51"/>
        <v>00</v>
      </c>
      <c r="AT149" s="490" t="str">
        <f t="shared" si="51"/>
        <v>00</v>
      </c>
      <c r="AU149" s="490" t="str">
        <f t="shared" si="51"/>
        <v>00</v>
      </c>
      <c r="AV149" s="490" t="str">
        <f t="shared" si="51"/>
        <v>00</v>
      </c>
      <c r="AW149" s="490" t="str">
        <f t="shared" si="51"/>
        <v>00</v>
      </c>
      <c r="AX149" s="490" t="str">
        <f t="shared" si="51"/>
        <v>00</v>
      </c>
      <c r="AY149" s="490" t="str">
        <f t="shared" si="51"/>
        <v>00</v>
      </c>
      <c r="AZ149" s="490" t="str">
        <f t="shared" si="51"/>
        <v>00</v>
      </c>
      <c r="BA149" s="490" t="str">
        <f t="shared" si="51"/>
        <v>00</v>
      </c>
      <c r="BB149" s="490" t="str">
        <f t="shared" si="51"/>
        <v>00</v>
      </c>
      <c r="BC149" s="491" t="str">
        <f t="shared" si="51"/>
        <v>00</v>
      </c>
      <c r="BD149" s="490" t="str">
        <f t="shared" si="51"/>
        <v>00</v>
      </c>
      <c r="BE149" s="490" t="str">
        <f t="shared" si="51"/>
        <v>00</v>
      </c>
      <c r="BF149" s="490" t="str">
        <f>IF(BF148="","",$E148&amp;BF148)</f>
        <v>00</v>
      </c>
      <c r="BG149" s="490" t="str">
        <f>IF(BG148="","",$E148&amp;BG148)</f>
        <v>00</v>
      </c>
      <c r="BH149" s="490" t="str">
        <f t="shared" si="51"/>
        <v>00</v>
      </c>
      <c r="BI149" s="490" t="str">
        <f t="shared" si="51"/>
        <v>00</v>
      </c>
      <c r="BJ149" s="490" t="str">
        <f t="shared" si="51"/>
        <v>00</v>
      </c>
      <c r="BK149" s="490" t="str">
        <f t="shared" si="51"/>
        <v>00</v>
      </c>
      <c r="BL149" s="490" t="str">
        <f t="shared" si="51"/>
        <v>00</v>
      </c>
      <c r="BM149" s="490" t="str">
        <f t="shared" si="51"/>
        <v>00</v>
      </c>
      <c r="BN149" s="490" t="str">
        <f t="shared" si="51"/>
        <v>00</v>
      </c>
      <c r="BO149" s="490" t="str">
        <f t="shared" si="51"/>
        <v>00</v>
      </c>
      <c r="BP149" s="490" t="str">
        <f t="shared" si="51"/>
        <v>00</v>
      </c>
      <c r="BQ149" s="490" t="str">
        <f t="shared" si="51"/>
        <v>00</v>
      </c>
      <c r="BR149" s="490" t="str">
        <f t="shared" si="51"/>
        <v>00</v>
      </c>
      <c r="BS149" s="490" t="str">
        <f t="shared" si="51"/>
        <v>00</v>
      </c>
    </row>
    <row r="150" spans="1:71" s="202" customFormat="1" ht="13.15">
      <c r="A150" s="453"/>
      <c r="B150" s="453"/>
      <c r="C150" s="463"/>
      <c r="D150" s="453"/>
      <c r="E150" s="453"/>
      <c r="F150" s="453"/>
      <c r="G150" s="618"/>
      <c r="H150" s="453"/>
      <c r="I150" s="453"/>
      <c r="J150" s="490"/>
      <c r="K150" s="490"/>
      <c r="L150" s="490"/>
      <c r="M150" s="490"/>
      <c r="N150" s="490"/>
      <c r="O150" s="490"/>
      <c r="P150" s="490"/>
      <c r="Q150" s="491"/>
      <c r="R150" s="490"/>
      <c r="S150" s="490"/>
      <c r="T150" s="490"/>
      <c r="U150" s="490"/>
      <c r="V150" s="490"/>
      <c r="W150" s="490"/>
      <c r="X150" s="490"/>
      <c r="Y150" s="490"/>
      <c r="Z150" s="490"/>
      <c r="AA150" s="490"/>
      <c r="AB150" s="490"/>
      <c r="AC150" s="490"/>
      <c r="AD150" s="490"/>
      <c r="AE150" s="490"/>
      <c r="AF150" s="490"/>
      <c r="AG150" s="490"/>
      <c r="AH150" s="490"/>
      <c r="AI150" s="490"/>
      <c r="AJ150" s="490"/>
      <c r="AK150" s="491"/>
      <c r="AL150" s="490"/>
      <c r="AM150" s="490"/>
      <c r="AN150" s="490"/>
      <c r="AO150" s="491"/>
      <c r="AP150" s="490"/>
      <c r="AQ150" s="490"/>
      <c r="AR150" s="490"/>
      <c r="AS150" s="490"/>
      <c r="AT150" s="490"/>
      <c r="AU150" s="490"/>
      <c r="AV150" s="490"/>
      <c r="AW150" s="490"/>
      <c r="AX150" s="490"/>
      <c r="AY150" s="490"/>
      <c r="AZ150" s="490"/>
      <c r="BA150" s="490"/>
      <c r="BB150" s="490"/>
      <c r="BC150" s="491"/>
      <c r="BD150" s="490"/>
      <c r="BE150" s="490"/>
      <c r="BF150" s="490"/>
      <c r="BG150" s="490"/>
      <c r="BH150" s="490"/>
      <c r="BI150" s="490"/>
      <c r="BJ150" s="490"/>
      <c r="BK150" s="490"/>
      <c r="BL150" s="490"/>
      <c r="BM150" s="490"/>
      <c r="BN150" s="490"/>
      <c r="BO150" s="490"/>
      <c r="BP150" s="490"/>
      <c r="BQ150" s="490"/>
      <c r="BR150" s="490"/>
      <c r="BS150" s="490"/>
    </row>
    <row r="151" spans="1:71" s="202" customFormat="1" ht="13.15">
      <c r="A151" s="453"/>
      <c r="B151" s="453"/>
      <c r="C151" s="463"/>
      <c r="D151" s="463" t="s">
        <v>1242</v>
      </c>
      <c r="E151" s="453"/>
      <c r="F151" s="453"/>
      <c r="G151" s="618"/>
      <c r="H151" s="453"/>
      <c r="I151" s="453"/>
      <c r="J151" s="490"/>
      <c r="K151" s="490"/>
      <c r="L151" s="490"/>
      <c r="M151" s="490"/>
      <c r="N151" s="490"/>
      <c r="O151" s="490"/>
      <c r="P151" s="490"/>
      <c r="Q151" s="491"/>
      <c r="R151" s="490"/>
      <c r="S151" s="490"/>
      <c r="T151" s="490"/>
      <c r="U151" s="490"/>
      <c r="V151" s="490"/>
      <c r="W151" s="490"/>
      <c r="X151" s="490"/>
      <c r="Y151" s="490"/>
      <c r="Z151" s="490"/>
      <c r="AA151" s="490"/>
      <c r="AB151" s="490"/>
      <c r="AC151" s="490"/>
      <c r="AD151" s="490"/>
      <c r="AE151" s="490"/>
      <c r="AF151" s="490"/>
      <c r="AG151" s="490"/>
      <c r="AH151" s="490"/>
      <c r="AI151" s="490"/>
      <c r="AJ151" s="490"/>
      <c r="AK151" s="491"/>
      <c r="AL151" s="490"/>
      <c r="AM151" s="490"/>
      <c r="AN151" s="490"/>
      <c r="AO151" s="491"/>
      <c r="AP151" s="490"/>
      <c r="AQ151" s="490"/>
      <c r="AR151" s="490"/>
      <c r="AS151" s="490"/>
      <c r="AT151" s="490"/>
      <c r="AU151" s="490"/>
      <c r="AV151" s="490"/>
      <c r="AW151" s="490"/>
      <c r="AX151" s="490"/>
      <c r="AY151" s="490"/>
      <c r="AZ151" s="490"/>
      <c r="BA151" s="490"/>
      <c r="BB151" s="490"/>
      <c r="BC151" s="491"/>
      <c r="BD151" s="490"/>
      <c r="BE151" s="490"/>
      <c r="BF151" s="490"/>
      <c r="BG151" s="490"/>
      <c r="BH151" s="490"/>
      <c r="BI151" s="490"/>
      <c r="BJ151" s="490"/>
      <c r="BK151" s="490"/>
      <c r="BL151" s="490"/>
      <c r="BM151" s="490"/>
      <c r="BN151" s="490"/>
      <c r="BO151" s="490"/>
      <c r="BP151" s="490"/>
      <c r="BQ151" s="490"/>
      <c r="BR151" s="490"/>
      <c r="BS151" s="490"/>
    </row>
    <row r="152" spans="1:71" s="202" customFormat="1" ht="13.15">
      <c r="A152" s="453"/>
      <c r="B152" s="453"/>
      <c r="C152" s="463"/>
      <c r="D152" s="453"/>
      <c r="E152" s="620" t="str">
        <f>E45</f>
        <v>Standard outperformance payments</v>
      </c>
      <c r="F152" s="453"/>
      <c r="G152" s="490" t="str">
        <f>G45</f>
        <v>£m (2017-18 prices)</v>
      </c>
      <c r="H152" s="453"/>
      <c r="I152" s="453"/>
      <c r="J152" s="576">
        <f t="shared" ref="J152:BS152" si="52">J45</f>
        <v>0</v>
      </c>
      <c r="K152" s="576">
        <f t="shared" si="52"/>
        <v>0</v>
      </c>
      <c r="L152" s="576">
        <f t="shared" si="52"/>
        <v>0</v>
      </c>
      <c r="M152" s="576">
        <f>M45</f>
        <v>0</v>
      </c>
      <c r="N152" s="576">
        <f t="shared" si="52"/>
        <v>0</v>
      </c>
      <c r="O152" s="576">
        <f>O45</f>
        <v>0</v>
      </c>
      <c r="P152" s="576">
        <f t="shared" si="52"/>
        <v>0</v>
      </c>
      <c r="Q152" s="577">
        <f t="shared" si="52"/>
        <v>0</v>
      </c>
      <c r="R152" s="576">
        <f t="shared" si="52"/>
        <v>0</v>
      </c>
      <c r="S152" s="576">
        <f t="shared" si="52"/>
        <v>0</v>
      </c>
      <c r="T152" s="576">
        <f t="shared" si="52"/>
        <v>0.51100000000000001</v>
      </c>
      <c r="U152" s="576">
        <f t="shared" si="52"/>
        <v>0</v>
      </c>
      <c r="V152" s="576">
        <f t="shared" si="52"/>
        <v>0</v>
      </c>
      <c r="W152" s="576">
        <f t="shared" si="52"/>
        <v>0</v>
      </c>
      <c r="X152" s="576">
        <f t="shared" si="52"/>
        <v>0</v>
      </c>
      <c r="Y152" s="576">
        <f t="shared" si="52"/>
        <v>0</v>
      </c>
      <c r="Z152" s="576">
        <f t="shared" si="52"/>
        <v>0</v>
      </c>
      <c r="AA152" s="576">
        <f t="shared" si="52"/>
        <v>0</v>
      </c>
      <c r="AB152" s="576">
        <f t="shared" si="52"/>
        <v>0</v>
      </c>
      <c r="AC152" s="576">
        <f t="shared" si="52"/>
        <v>0</v>
      </c>
      <c r="AD152" s="576">
        <f t="shared" si="52"/>
        <v>0</v>
      </c>
      <c r="AE152" s="576">
        <f t="shared" si="52"/>
        <v>0</v>
      </c>
      <c r="AF152" s="576">
        <f t="shared" si="52"/>
        <v>0</v>
      </c>
      <c r="AG152" s="576">
        <f t="shared" si="52"/>
        <v>0</v>
      </c>
      <c r="AH152" s="576">
        <f t="shared" si="52"/>
        <v>0</v>
      </c>
      <c r="AI152" s="576">
        <f t="shared" si="52"/>
        <v>0</v>
      </c>
      <c r="AJ152" s="576">
        <f t="shared" si="52"/>
        <v>0</v>
      </c>
      <c r="AK152" s="577">
        <f t="shared" si="52"/>
        <v>0</v>
      </c>
      <c r="AL152" s="576">
        <f t="shared" si="52"/>
        <v>0</v>
      </c>
      <c r="AM152" s="576">
        <f t="shared" si="52"/>
        <v>0</v>
      </c>
      <c r="AN152" s="576">
        <f t="shared" si="52"/>
        <v>0</v>
      </c>
      <c r="AO152" s="577">
        <f t="shared" si="52"/>
        <v>0</v>
      </c>
      <c r="AP152" s="576">
        <f t="shared" si="52"/>
        <v>2.5990999999999997E-4</v>
      </c>
      <c r="AQ152" s="576">
        <f t="shared" si="52"/>
        <v>0</v>
      </c>
      <c r="AR152" s="576">
        <f t="shared" si="52"/>
        <v>0</v>
      </c>
      <c r="AS152" s="576">
        <f t="shared" si="52"/>
        <v>0</v>
      </c>
      <c r="AT152" s="576">
        <f t="shared" si="52"/>
        <v>0</v>
      </c>
      <c r="AU152" s="576">
        <f t="shared" si="52"/>
        <v>2.3820000000000001</v>
      </c>
      <c r="AV152" s="576">
        <f t="shared" si="52"/>
        <v>3.5730000000000004</v>
      </c>
      <c r="AW152" s="576">
        <f t="shared" si="52"/>
        <v>0</v>
      </c>
      <c r="AX152" s="576">
        <f t="shared" si="52"/>
        <v>1.7027399999999999</v>
      </c>
      <c r="AY152" s="576">
        <f t="shared" si="52"/>
        <v>0</v>
      </c>
      <c r="AZ152" s="576">
        <f t="shared" si="52"/>
        <v>0</v>
      </c>
      <c r="BA152" s="576">
        <f t="shared" si="52"/>
        <v>0</v>
      </c>
      <c r="BB152" s="576">
        <f t="shared" si="52"/>
        <v>0</v>
      </c>
      <c r="BC152" s="577">
        <f t="shared" si="52"/>
        <v>0</v>
      </c>
      <c r="BD152" s="576">
        <f t="shared" si="52"/>
        <v>0</v>
      </c>
      <c r="BE152" s="576">
        <f t="shared" si="52"/>
        <v>0</v>
      </c>
      <c r="BF152" s="576">
        <f>BF45</f>
        <v>0</v>
      </c>
      <c r="BG152" s="576">
        <f>BG45</f>
        <v>0</v>
      </c>
      <c r="BH152" s="576">
        <f t="shared" si="52"/>
        <v>0</v>
      </c>
      <c r="BI152" s="576">
        <f t="shared" si="52"/>
        <v>0</v>
      </c>
      <c r="BJ152" s="576">
        <f t="shared" si="52"/>
        <v>0</v>
      </c>
      <c r="BK152" s="576">
        <f t="shared" si="52"/>
        <v>0</v>
      </c>
      <c r="BL152" s="576">
        <f t="shared" si="52"/>
        <v>0</v>
      </c>
      <c r="BM152" s="576">
        <f t="shared" si="52"/>
        <v>0</v>
      </c>
      <c r="BN152" s="576">
        <f t="shared" si="52"/>
        <v>0</v>
      </c>
      <c r="BO152" s="576">
        <f t="shared" si="52"/>
        <v>0</v>
      </c>
      <c r="BP152" s="576">
        <f t="shared" si="52"/>
        <v>0</v>
      </c>
      <c r="BQ152" s="576">
        <f t="shared" si="52"/>
        <v>0</v>
      </c>
      <c r="BR152" s="576">
        <f t="shared" si="52"/>
        <v>0</v>
      </c>
      <c r="BS152" s="576">
        <f t="shared" si="52"/>
        <v>0</v>
      </c>
    </row>
    <row r="153" spans="1:71" s="202" customFormat="1" ht="13.15">
      <c r="A153" s="453"/>
      <c r="B153" s="453"/>
      <c r="C153" s="463"/>
      <c r="D153" s="453"/>
      <c r="E153" s="620" t="str">
        <f>E110</f>
        <v>Enhanced outperformance payments</v>
      </c>
      <c r="F153" s="453"/>
      <c r="G153" s="490" t="str">
        <f>G110</f>
        <v>£m (2017-18 prices)</v>
      </c>
      <c r="H153" s="453"/>
      <c r="I153" s="453"/>
      <c r="J153" s="576">
        <f>J110</f>
        <v>0</v>
      </c>
      <c r="K153" s="576">
        <f t="shared" ref="K153:BS153" si="53">K110</f>
        <v>0</v>
      </c>
      <c r="L153" s="576">
        <f t="shared" si="53"/>
        <v>0</v>
      </c>
      <c r="M153" s="576">
        <f>M110</f>
        <v>0</v>
      </c>
      <c r="N153" s="576">
        <f t="shared" si="53"/>
        <v>0</v>
      </c>
      <c r="O153" s="576">
        <f>O110</f>
        <v>0</v>
      </c>
      <c r="P153" s="576">
        <f t="shared" si="53"/>
        <v>0</v>
      </c>
      <c r="Q153" s="577">
        <f t="shared" si="53"/>
        <v>0</v>
      </c>
      <c r="R153" s="576">
        <f t="shared" si="53"/>
        <v>0</v>
      </c>
      <c r="S153" s="576">
        <f t="shared" si="53"/>
        <v>0</v>
      </c>
      <c r="T153" s="576">
        <f t="shared" si="53"/>
        <v>0</v>
      </c>
      <c r="U153" s="576">
        <f t="shared" si="53"/>
        <v>0</v>
      </c>
      <c r="V153" s="576">
        <f t="shared" si="53"/>
        <v>0</v>
      </c>
      <c r="W153" s="576">
        <f t="shared" si="53"/>
        <v>0</v>
      </c>
      <c r="X153" s="576">
        <f t="shared" si="53"/>
        <v>0</v>
      </c>
      <c r="Y153" s="576">
        <f t="shared" si="53"/>
        <v>0</v>
      </c>
      <c r="Z153" s="576">
        <f t="shared" si="53"/>
        <v>0</v>
      </c>
      <c r="AA153" s="576">
        <f t="shared" si="53"/>
        <v>0</v>
      </c>
      <c r="AB153" s="576">
        <f t="shared" si="53"/>
        <v>0</v>
      </c>
      <c r="AC153" s="576">
        <f t="shared" si="53"/>
        <v>0</v>
      </c>
      <c r="AD153" s="576">
        <f t="shared" si="53"/>
        <v>0</v>
      </c>
      <c r="AE153" s="576">
        <f t="shared" si="53"/>
        <v>0</v>
      </c>
      <c r="AF153" s="576">
        <f t="shared" si="53"/>
        <v>0</v>
      </c>
      <c r="AG153" s="576">
        <f t="shared" si="53"/>
        <v>0</v>
      </c>
      <c r="AH153" s="576">
        <f t="shared" si="53"/>
        <v>0</v>
      </c>
      <c r="AI153" s="576">
        <f t="shared" si="53"/>
        <v>0</v>
      </c>
      <c r="AJ153" s="576">
        <f t="shared" si="53"/>
        <v>0</v>
      </c>
      <c r="AK153" s="577">
        <f t="shared" si="53"/>
        <v>0</v>
      </c>
      <c r="AL153" s="576">
        <f t="shared" si="53"/>
        <v>0</v>
      </c>
      <c r="AM153" s="576">
        <f t="shared" si="53"/>
        <v>0</v>
      </c>
      <c r="AN153" s="576">
        <f t="shared" si="53"/>
        <v>0</v>
      </c>
      <c r="AO153" s="577">
        <f t="shared" si="53"/>
        <v>0</v>
      </c>
      <c r="AP153" s="576">
        <f t="shared" si="53"/>
        <v>0</v>
      </c>
      <c r="AQ153" s="576">
        <f t="shared" si="53"/>
        <v>0</v>
      </c>
      <c r="AR153" s="576">
        <f t="shared" si="53"/>
        <v>0</v>
      </c>
      <c r="AS153" s="576">
        <f t="shared" si="53"/>
        <v>0</v>
      </c>
      <c r="AT153" s="576">
        <f t="shared" si="53"/>
        <v>0</v>
      </c>
      <c r="AU153" s="576">
        <f t="shared" si="53"/>
        <v>0</v>
      </c>
      <c r="AV153" s="576">
        <f t="shared" si="53"/>
        <v>0</v>
      </c>
      <c r="AW153" s="576">
        <f t="shared" si="53"/>
        <v>0</v>
      </c>
      <c r="AX153" s="576">
        <f t="shared" si="53"/>
        <v>0</v>
      </c>
      <c r="AY153" s="576">
        <f t="shared" si="53"/>
        <v>0</v>
      </c>
      <c r="AZ153" s="576">
        <f t="shared" si="53"/>
        <v>0</v>
      </c>
      <c r="BA153" s="576">
        <f t="shared" si="53"/>
        <v>0</v>
      </c>
      <c r="BB153" s="576">
        <f t="shared" si="53"/>
        <v>0</v>
      </c>
      <c r="BC153" s="577">
        <f t="shared" si="53"/>
        <v>0</v>
      </c>
      <c r="BD153" s="576">
        <f t="shared" si="53"/>
        <v>0</v>
      </c>
      <c r="BE153" s="576">
        <f t="shared" si="53"/>
        <v>0</v>
      </c>
      <c r="BF153" s="576">
        <f>BF110</f>
        <v>0</v>
      </c>
      <c r="BG153" s="576">
        <f>BG110</f>
        <v>0</v>
      </c>
      <c r="BH153" s="576">
        <f t="shared" si="53"/>
        <v>0</v>
      </c>
      <c r="BI153" s="576">
        <f t="shared" si="53"/>
        <v>0</v>
      </c>
      <c r="BJ153" s="576">
        <f t="shared" si="53"/>
        <v>0</v>
      </c>
      <c r="BK153" s="576">
        <f t="shared" si="53"/>
        <v>0</v>
      </c>
      <c r="BL153" s="576">
        <f t="shared" si="53"/>
        <v>0</v>
      </c>
      <c r="BM153" s="576">
        <f t="shared" si="53"/>
        <v>0</v>
      </c>
      <c r="BN153" s="576">
        <f t="shared" si="53"/>
        <v>0</v>
      </c>
      <c r="BO153" s="576">
        <f t="shared" si="53"/>
        <v>0</v>
      </c>
      <c r="BP153" s="576">
        <f t="shared" si="53"/>
        <v>0</v>
      </c>
      <c r="BQ153" s="576">
        <f t="shared" si="53"/>
        <v>0</v>
      </c>
      <c r="BR153" s="576">
        <f t="shared" si="53"/>
        <v>0</v>
      </c>
      <c r="BS153" s="576">
        <f t="shared" si="53"/>
        <v>0</v>
      </c>
    </row>
    <row r="154" spans="1:71" s="202" customFormat="1" ht="13.15">
      <c r="A154" s="453"/>
      <c r="B154" s="453"/>
      <c r="C154" s="463"/>
      <c r="D154" s="453"/>
      <c r="E154" s="620" t="str">
        <f>E140</f>
        <v>Additional outperformance payments</v>
      </c>
      <c r="F154" s="453"/>
      <c r="G154" s="490" t="str">
        <f>G140</f>
        <v>£m (2017-18 prices)</v>
      </c>
      <c r="H154" s="453"/>
      <c r="I154" s="453"/>
      <c r="J154" s="576">
        <f>J140</f>
        <v>0</v>
      </c>
      <c r="K154" s="576">
        <f t="shared" ref="K154:BS154" si="54">K140</f>
        <v>0</v>
      </c>
      <c r="L154" s="576">
        <f t="shared" si="54"/>
        <v>0</v>
      </c>
      <c r="M154" s="576">
        <f>M140</f>
        <v>0</v>
      </c>
      <c r="N154" s="576">
        <f t="shared" si="54"/>
        <v>0</v>
      </c>
      <c r="O154" s="576">
        <f>O140</f>
        <v>0</v>
      </c>
      <c r="P154" s="576">
        <f t="shared" si="54"/>
        <v>0</v>
      </c>
      <c r="Q154" s="577">
        <f t="shared" si="54"/>
        <v>0</v>
      </c>
      <c r="R154" s="576">
        <f t="shared" si="54"/>
        <v>0</v>
      </c>
      <c r="S154" s="576">
        <f t="shared" si="54"/>
        <v>0</v>
      </c>
      <c r="T154" s="576">
        <f t="shared" si="54"/>
        <v>0</v>
      </c>
      <c r="U154" s="576">
        <f t="shared" si="54"/>
        <v>0</v>
      </c>
      <c r="V154" s="576">
        <f t="shared" si="54"/>
        <v>0</v>
      </c>
      <c r="W154" s="576">
        <f t="shared" si="54"/>
        <v>0</v>
      </c>
      <c r="X154" s="576">
        <f t="shared" si="54"/>
        <v>0</v>
      </c>
      <c r="Y154" s="576">
        <f t="shared" si="54"/>
        <v>0</v>
      </c>
      <c r="Z154" s="576">
        <f t="shared" si="54"/>
        <v>0</v>
      </c>
      <c r="AA154" s="576">
        <f t="shared" si="54"/>
        <v>0</v>
      </c>
      <c r="AB154" s="576">
        <f t="shared" si="54"/>
        <v>0</v>
      </c>
      <c r="AC154" s="576">
        <f t="shared" si="54"/>
        <v>0</v>
      </c>
      <c r="AD154" s="576">
        <f t="shared" si="54"/>
        <v>0</v>
      </c>
      <c r="AE154" s="576">
        <f t="shared" si="54"/>
        <v>0</v>
      </c>
      <c r="AF154" s="576">
        <f t="shared" si="54"/>
        <v>0</v>
      </c>
      <c r="AG154" s="576">
        <f t="shared" si="54"/>
        <v>0</v>
      </c>
      <c r="AH154" s="576">
        <f t="shared" si="54"/>
        <v>0</v>
      </c>
      <c r="AI154" s="576">
        <f t="shared" si="54"/>
        <v>0</v>
      </c>
      <c r="AJ154" s="576">
        <f t="shared" si="54"/>
        <v>0</v>
      </c>
      <c r="AK154" s="577">
        <f t="shared" si="54"/>
        <v>0</v>
      </c>
      <c r="AL154" s="576">
        <f t="shared" si="54"/>
        <v>0</v>
      </c>
      <c r="AM154" s="576">
        <f t="shared" si="54"/>
        <v>0</v>
      </c>
      <c r="AN154" s="576">
        <f t="shared" si="54"/>
        <v>0</v>
      </c>
      <c r="AO154" s="577">
        <f t="shared" si="54"/>
        <v>0</v>
      </c>
      <c r="AP154" s="576">
        <f t="shared" si="54"/>
        <v>0</v>
      </c>
      <c r="AQ154" s="576">
        <f t="shared" si="54"/>
        <v>0</v>
      </c>
      <c r="AR154" s="576">
        <f t="shared" si="54"/>
        <v>0</v>
      </c>
      <c r="AS154" s="576">
        <f t="shared" si="54"/>
        <v>0</v>
      </c>
      <c r="AT154" s="576">
        <f t="shared" si="54"/>
        <v>0</v>
      </c>
      <c r="AU154" s="576">
        <f t="shared" si="54"/>
        <v>0</v>
      </c>
      <c r="AV154" s="576">
        <f t="shared" si="54"/>
        <v>0</v>
      </c>
      <c r="AW154" s="576">
        <f t="shared" si="54"/>
        <v>0</v>
      </c>
      <c r="AX154" s="576">
        <f t="shared" si="54"/>
        <v>0</v>
      </c>
      <c r="AY154" s="576">
        <f t="shared" si="54"/>
        <v>0</v>
      </c>
      <c r="AZ154" s="576">
        <f t="shared" si="54"/>
        <v>0</v>
      </c>
      <c r="BA154" s="576">
        <f t="shared" si="54"/>
        <v>0</v>
      </c>
      <c r="BB154" s="576">
        <f t="shared" si="54"/>
        <v>0</v>
      </c>
      <c r="BC154" s="577">
        <f t="shared" si="54"/>
        <v>0</v>
      </c>
      <c r="BD154" s="576">
        <f t="shared" si="54"/>
        <v>0</v>
      </c>
      <c r="BE154" s="576">
        <f t="shared" si="54"/>
        <v>0</v>
      </c>
      <c r="BF154" s="576">
        <f>BF140</f>
        <v>0</v>
      </c>
      <c r="BG154" s="576">
        <f>BG140</f>
        <v>0</v>
      </c>
      <c r="BH154" s="576">
        <f t="shared" si="54"/>
        <v>0</v>
      </c>
      <c r="BI154" s="576">
        <f t="shared" si="54"/>
        <v>0</v>
      </c>
      <c r="BJ154" s="576">
        <f t="shared" si="54"/>
        <v>0</v>
      </c>
      <c r="BK154" s="576">
        <f t="shared" si="54"/>
        <v>0</v>
      </c>
      <c r="BL154" s="576">
        <f t="shared" si="54"/>
        <v>0</v>
      </c>
      <c r="BM154" s="576">
        <f t="shared" si="54"/>
        <v>0</v>
      </c>
      <c r="BN154" s="576">
        <f t="shared" si="54"/>
        <v>0</v>
      </c>
      <c r="BO154" s="576">
        <f t="shared" si="54"/>
        <v>0</v>
      </c>
      <c r="BP154" s="576">
        <f t="shared" si="54"/>
        <v>0</v>
      </c>
      <c r="BQ154" s="576">
        <f t="shared" si="54"/>
        <v>0</v>
      </c>
      <c r="BR154" s="576">
        <f t="shared" si="54"/>
        <v>0</v>
      </c>
      <c r="BS154" s="576">
        <f t="shared" si="54"/>
        <v>0</v>
      </c>
    </row>
    <row r="155" spans="1:71" s="202" customFormat="1" ht="13.15">
      <c r="A155" s="453"/>
      <c r="B155" s="453"/>
      <c r="C155" s="463"/>
      <c r="D155" s="453"/>
      <c r="E155" s="453"/>
      <c r="F155" s="453"/>
      <c r="G155" s="618"/>
      <c r="H155" s="453"/>
      <c r="I155" s="453"/>
      <c r="J155" s="576"/>
      <c r="K155" s="576"/>
      <c r="L155" s="576"/>
      <c r="M155" s="576"/>
      <c r="N155" s="576"/>
      <c r="O155" s="576"/>
      <c r="P155" s="576"/>
      <c r="Q155" s="577"/>
      <c r="R155" s="576"/>
      <c r="S155" s="576"/>
      <c r="T155" s="576"/>
      <c r="U155" s="576"/>
      <c r="V155" s="576"/>
      <c r="W155" s="576"/>
      <c r="X155" s="576"/>
      <c r="Y155" s="576"/>
      <c r="Z155" s="576"/>
      <c r="AA155" s="576"/>
      <c r="AB155" s="576"/>
      <c r="AC155" s="576"/>
      <c r="AD155" s="576"/>
      <c r="AE155" s="576"/>
      <c r="AF155" s="576"/>
      <c r="AG155" s="576"/>
      <c r="AH155" s="576"/>
      <c r="AI155" s="576"/>
      <c r="AJ155" s="576"/>
      <c r="AK155" s="577"/>
      <c r="AL155" s="576"/>
      <c r="AM155" s="576"/>
      <c r="AN155" s="576"/>
      <c r="AO155" s="577"/>
      <c r="AP155" s="576"/>
      <c r="AQ155" s="576"/>
      <c r="AR155" s="576"/>
      <c r="AS155" s="576"/>
      <c r="AT155" s="576"/>
      <c r="AU155" s="576"/>
      <c r="AV155" s="576"/>
      <c r="AW155" s="576"/>
      <c r="AX155" s="576"/>
      <c r="AY155" s="576"/>
      <c r="AZ155" s="576"/>
      <c r="BA155" s="576"/>
      <c r="BB155" s="576"/>
      <c r="BC155" s="577"/>
      <c r="BD155" s="576"/>
      <c r="BE155" s="576"/>
      <c r="BF155" s="576"/>
      <c r="BG155" s="576"/>
      <c r="BH155" s="576"/>
      <c r="BI155" s="576"/>
      <c r="BJ155" s="576"/>
      <c r="BK155" s="576"/>
      <c r="BL155" s="576"/>
      <c r="BM155" s="576"/>
      <c r="BN155" s="576"/>
      <c r="BO155" s="576"/>
      <c r="BP155" s="576"/>
      <c r="BQ155" s="576"/>
      <c r="BR155" s="576"/>
      <c r="BS155" s="576"/>
    </row>
    <row r="156" spans="1:71" s="202" customFormat="1" ht="13.15">
      <c r="A156" s="453"/>
      <c r="B156" s="453"/>
      <c r="C156" s="463"/>
      <c r="D156" s="453"/>
      <c r="E156" s="620" t="str">
        <f>E63</f>
        <v>Standard underperformance payments</v>
      </c>
      <c r="F156" s="453"/>
      <c r="G156" s="490" t="str">
        <f>G63</f>
        <v>£m (2017-18 prices)</v>
      </c>
      <c r="H156" s="453"/>
      <c r="I156" s="453"/>
      <c r="J156" s="576">
        <f t="shared" ref="J156:BS156" si="55">J63</f>
        <v>-0.67195999999999989</v>
      </c>
      <c r="K156" s="576">
        <f t="shared" si="55"/>
        <v>-4.2374666666666672</v>
      </c>
      <c r="L156" s="576">
        <f t="shared" si="55"/>
        <v>-4.3460000000000001</v>
      </c>
      <c r="M156" s="576">
        <f>M63</f>
        <v>0</v>
      </c>
      <c r="N156" s="576">
        <f t="shared" si="55"/>
        <v>-1.6554</v>
      </c>
      <c r="O156" s="576">
        <f>O63</f>
        <v>0</v>
      </c>
      <c r="P156" s="576">
        <f t="shared" si="55"/>
        <v>-1.9907999999999992</v>
      </c>
      <c r="Q156" s="577">
        <f t="shared" si="55"/>
        <v>0</v>
      </c>
      <c r="R156" s="576">
        <f t="shared" si="55"/>
        <v>-2.0789999999999997</v>
      </c>
      <c r="S156" s="576">
        <f t="shared" si="55"/>
        <v>-9.2399999999999954E-2</v>
      </c>
      <c r="T156" s="576">
        <f t="shared" si="55"/>
        <v>0</v>
      </c>
      <c r="U156" s="576">
        <f t="shared" si="55"/>
        <v>0</v>
      </c>
      <c r="V156" s="576">
        <f t="shared" si="55"/>
        <v>-0.6</v>
      </c>
      <c r="W156" s="576">
        <f t="shared" si="55"/>
        <v>0</v>
      </c>
      <c r="X156" s="576">
        <f t="shared" si="55"/>
        <v>0</v>
      </c>
      <c r="Y156" s="576">
        <f t="shared" si="55"/>
        <v>-35.9193</v>
      </c>
      <c r="Z156" s="576">
        <f t="shared" si="55"/>
        <v>-0.32354399999999994</v>
      </c>
      <c r="AA156" s="576">
        <f t="shared" si="55"/>
        <v>0</v>
      </c>
      <c r="AB156" s="576">
        <f t="shared" si="55"/>
        <v>0</v>
      </c>
      <c r="AC156" s="576">
        <f t="shared" si="55"/>
        <v>0</v>
      </c>
      <c r="AD156" s="576">
        <f t="shared" si="55"/>
        <v>0</v>
      </c>
      <c r="AE156" s="576">
        <f t="shared" si="55"/>
        <v>0</v>
      </c>
      <c r="AF156" s="576">
        <f t="shared" si="55"/>
        <v>0</v>
      </c>
      <c r="AG156" s="576">
        <f t="shared" si="55"/>
        <v>0</v>
      </c>
      <c r="AH156" s="576">
        <f t="shared" si="55"/>
        <v>0</v>
      </c>
      <c r="AI156" s="576">
        <f t="shared" si="55"/>
        <v>0</v>
      </c>
      <c r="AJ156" s="576">
        <f t="shared" si="55"/>
        <v>0</v>
      </c>
      <c r="AK156" s="577">
        <f t="shared" si="55"/>
        <v>0</v>
      </c>
      <c r="AL156" s="576">
        <f t="shared" si="55"/>
        <v>-6.2794099999999995</v>
      </c>
      <c r="AM156" s="576">
        <f t="shared" si="55"/>
        <v>-8.3821499999999993</v>
      </c>
      <c r="AN156" s="576">
        <f t="shared" si="55"/>
        <v>-0.58975999999999884</v>
      </c>
      <c r="AO156" s="577">
        <f t="shared" si="55"/>
        <v>0</v>
      </c>
      <c r="AP156" s="576">
        <f t="shared" si="55"/>
        <v>0</v>
      </c>
      <c r="AQ156" s="576">
        <f t="shared" si="55"/>
        <v>-1.3260000000000001</v>
      </c>
      <c r="AR156" s="576">
        <f t="shared" si="55"/>
        <v>0</v>
      </c>
      <c r="AS156" s="576">
        <f t="shared" si="55"/>
        <v>0</v>
      </c>
      <c r="AT156" s="576">
        <f t="shared" si="55"/>
        <v>-4.05</v>
      </c>
      <c r="AU156" s="576">
        <f t="shared" si="55"/>
        <v>0</v>
      </c>
      <c r="AV156" s="576">
        <f t="shared" si="55"/>
        <v>0</v>
      </c>
      <c r="AW156" s="576">
        <f t="shared" si="55"/>
        <v>-5.2218399999999998E-2</v>
      </c>
      <c r="AX156" s="576">
        <f t="shared" si="55"/>
        <v>0</v>
      </c>
      <c r="AY156" s="576">
        <f t="shared" si="55"/>
        <v>0</v>
      </c>
      <c r="AZ156" s="576">
        <f t="shared" si="55"/>
        <v>0</v>
      </c>
      <c r="BA156" s="576">
        <f t="shared" si="55"/>
        <v>0</v>
      </c>
      <c r="BB156" s="576">
        <f t="shared" si="55"/>
        <v>0</v>
      </c>
      <c r="BC156" s="577">
        <f t="shared" si="55"/>
        <v>0</v>
      </c>
      <c r="BD156" s="576">
        <f t="shared" si="55"/>
        <v>0</v>
      </c>
      <c r="BE156" s="576">
        <f t="shared" si="55"/>
        <v>0</v>
      </c>
      <c r="BF156" s="576">
        <f>BF63</f>
        <v>0</v>
      </c>
      <c r="BG156" s="576">
        <f>BG63</f>
        <v>0</v>
      </c>
      <c r="BH156" s="576">
        <f t="shared" si="55"/>
        <v>0</v>
      </c>
      <c r="BI156" s="576">
        <f t="shared" si="55"/>
        <v>0</v>
      </c>
      <c r="BJ156" s="576">
        <f t="shared" si="55"/>
        <v>0</v>
      </c>
      <c r="BK156" s="576">
        <f t="shared" si="55"/>
        <v>0</v>
      </c>
      <c r="BL156" s="576">
        <f t="shared" si="55"/>
        <v>0</v>
      </c>
      <c r="BM156" s="576">
        <f t="shared" si="55"/>
        <v>0</v>
      </c>
      <c r="BN156" s="576">
        <f t="shared" si="55"/>
        <v>0</v>
      </c>
      <c r="BO156" s="576">
        <f t="shared" si="55"/>
        <v>0</v>
      </c>
      <c r="BP156" s="576">
        <f t="shared" si="55"/>
        <v>0</v>
      </c>
      <c r="BQ156" s="576">
        <f t="shared" si="55"/>
        <v>0</v>
      </c>
      <c r="BR156" s="576">
        <f t="shared" si="55"/>
        <v>0</v>
      </c>
      <c r="BS156" s="576">
        <f t="shared" si="55"/>
        <v>0</v>
      </c>
    </row>
    <row r="157" spans="1:71" s="202" customFormat="1" ht="13.15">
      <c r="A157" s="453"/>
      <c r="B157" s="453"/>
      <c r="C157" s="463"/>
      <c r="D157" s="453"/>
      <c r="E157" s="620" t="str">
        <f>E131</f>
        <v>Enhanced underperformance payments</v>
      </c>
      <c r="F157" s="453"/>
      <c r="G157" s="490" t="str">
        <f>G131</f>
        <v>£m (2017-18 prices)</v>
      </c>
      <c r="H157" s="453"/>
      <c r="I157" s="453"/>
      <c r="J157" s="576">
        <f>J131</f>
        <v>0</v>
      </c>
      <c r="K157" s="576">
        <f t="shared" ref="K157:BS157" si="56">K131</f>
        <v>0</v>
      </c>
      <c r="L157" s="576">
        <f t="shared" si="56"/>
        <v>0</v>
      </c>
      <c r="M157" s="576">
        <f>M131</f>
        <v>0</v>
      </c>
      <c r="N157" s="576">
        <f t="shared" si="56"/>
        <v>0</v>
      </c>
      <c r="O157" s="576">
        <f>O131</f>
        <v>0</v>
      </c>
      <c r="P157" s="576">
        <f t="shared" si="56"/>
        <v>0</v>
      </c>
      <c r="Q157" s="577">
        <f t="shared" si="56"/>
        <v>0</v>
      </c>
      <c r="R157" s="576">
        <f t="shared" si="56"/>
        <v>0</v>
      </c>
      <c r="S157" s="576">
        <f t="shared" si="56"/>
        <v>0</v>
      </c>
      <c r="T157" s="576">
        <f t="shared" si="56"/>
        <v>0</v>
      </c>
      <c r="U157" s="576">
        <f t="shared" si="56"/>
        <v>0</v>
      </c>
      <c r="V157" s="576">
        <f t="shared" si="56"/>
        <v>0</v>
      </c>
      <c r="W157" s="576">
        <f t="shared" si="56"/>
        <v>0</v>
      </c>
      <c r="X157" s="576">
        <f t="shared" si="56"/>
        <v>0</v>
      </c>
      <c r="Y157" s="576">
        <f t="shared" si="56"/>
        <v>0</v>
      </c>
      <c r="Z157" s="576">
        <f t="shared" si="56"/>
        <v>0</v>
      </c>
      <c r="AA157" s="576">
        <f t="shared" si="56"/>
        <v>0</v>
      </c>
      <c r="AB157" s="576">
        <f t="shared" si="56"/>
        <v>0</v>
      </c>
      <c r="AC157" s="576">
        <f t="shared" si="56"/>
        <v>0</v>
      </c>
      <c r="AD157" s="576">
        <f t="shared" si="56"/>
        <v>0</v>
      </c>
      <c r="AE157" s="576">
        <f t="shared" si="56"/>
        <v>0</v>
      </c>
      <c r="AF157" s="576">
        <f t="shared" si="56"/>
        <v>0</v>
      </c>
      <c r="AG157" s="576">
        <f t="shared" si="56"/>
        <v>0</v>
      </c>
      <c r="AH157" s="576">
        <f t="shared" si="56"/>
        <v>0</v>
      </c>
      <c r="AI157" s="576">
        <f t="shared" si="56"/>
        <v>0</v>
      </c>
      <c r="AJ157" s="576">
        <f t="shared" si="56"/>
        <v>0</v>
      </c>
      <c r="AK157" s="577">
        <f t="shared" si="56"/>
        <v>0</v>
      </c>
      <c r="AL157" s="576">
        <f t="shared" si="56"/>
        <v>0</v>
      </c>
      <c r="AM157" s="576">
        <f t="shared" si="56"/>
        <v>0</v>
      </c>
      <c r="AN157" s="576">
        <f t="shared" si="56"/>
        <v>0</v>
      </c>
      <c r="AO157" s="577">
        <f t="shared" si="56"/>
        <v>0</v>
      </c>
      <c r="AP157" s="576">
        <f t="shared" si="56"/>
        <v>0</v>
      </c>
      <c r="AQ157" s="576">
        <f t="shared" si="56"/>
        <v>0</v>
      </c>
      <c r="AR157" s="576">
        <f t="shared" si="56"/>
        <v>0</v>
      </c>
      <c r="AS157" s="576">
        <f t="shared" si="56"/>
        <v>0</v>
      </c>
      <c r="AT157" s="576">
        <f t="shared" si="56"/>
        <v>0</v>
      </c>
      <c r="AU157" s="576">
        <f t="shared" si="56"/>
        <v>0</v>
      </c>
      <c r="AV157" s="576">
        <f t="shared" si="56"/>
        <v>0</v>
      </c>
      <c r="AW157" s="576">
        <f t="shared" si="56"/>
        <v>0</v>
      </c>
      <c r="AX157" s="576">
        <f t="shared" si="56"/>
        <v>0</v>
      </c>
      <c r="AY157" s="576">
        <f t="shared" si="56"/>
        <v>0</v>
      </c>
      <c r="AZ157" s="576">
        <f t="shared" si="56"/>
        <v>0</v>
      </c>
      <c r="BA157" s="576">
        <f t="shared" si="56"/>
        <v>0</v>
      </c>
      <c r="BB157" s="576">
        <f t="shared" si="56"/>
        <v>0</v>
      </c>
      <c r="BC157" s="577">
        <f t="shared" si="56"/>
        <v>0</v>
      </c>
      <c r="BD157" s="576">
        <f t="shared" si="56"/>
        <v>0</v>
      </c>
      <c r="BE157" s="576">
        <f t="shared" si="56"/>
        <v>0</v>
      </c>
      <c r="BF157" s="576">
        <f>BF131</f>
        <v>0</v>
      </c>
      <c r="BG157" s="576">
        <f>BG131</f>
        <v>0</v>
      </c>
      <c r="BH157" s="576">
        <f t="shared" si="56"/>
        <v>0</v>
      </c>
      <c r="BI157" s="576">
        <f t="shared" si="56"/>
        <v>0</v>
      </c>
      <c r="BJ157" s="576">
        <f t="shared" si="56"/>
        <v>0</v>
      </c>
      <c r="BK157" s="576">
        <f t="shared" si="56"/>
        <v>0</v>
      </c>
      <c r="BL157" s="576">
        <f t="shared" si="56"/>
        <v>0</v>
      </c>
      <c r="BM157" s="576">
        <f t="shared" si="56"/>
        <v>0</v>
      </c>
      <c r="BN157" s="576">
        <f t="shared" si="56"/>
        <v>0</v>
      </c>
      <c r="BO157" s="576">
        <f t="shared" si="56"/>
        <v>0</v>
      </c>
      <c r="BP157" s="576">
        <f t="shared" si="56"/>
        <v>0</v>
      </c>
      <c r="BQ157" s="576">
        <f t="shared" si="56"/>
        <v>0</v>
      </c>
      <c r="BR157" s="576">
        <f t="shared" si="56"/>
        <v>0</v>
      </c>
      <c r="BS157" s="576">
        <f t="shared" si="56"/>
        <v>0</v>
      </c>
    </row>
    <row r="158" spans="1:71" s="202" customFormat="1" ht="13.15">
      <c r="A158" s="453"/>
      <c r="B158" s="453"/>
      <c r="C158" s="463"/>
      <c r="D158" s="453"/>
      <c r="E158" s="620" t="str">
        <f>E143</f>
        <v>Additional underperformance payments</v>
      </c>
      <c r="F158" s="453"/>
      <c r="G158" s="490" t="str">
        <f>G143</f>
        <v>£m (2017-18 prices)</v>
      </c>
      <c r="H158" s="453"/>
      <c r="I158" s="453"/>
      <c r="J158" s="576">
        <f>J143</f>
        <v>0</v>
      </c>
      <c r="K158" s="576">
        <f t="shared" ref="K158:BS158" si="57">K143</f>
        <v>0</v>
      </c>
      <c r="L158" s="576">
        <f t="shared" si="57"/>
        <v>0</v>
      </c>
      <c r="M158" s="576">
        <f>M143</f>
        <v>0</v>
      </c>
      <c r="N158" s="576">
        <f t="shared" si="57"/>
        <v>0</v>
      </c>
      <c r="O158" s="576">
        <f>O143</f>
        <v>0</v>
      </c>
      <c r="P158" s="576">
        <f t="shared" si="57"/>
        <v>0</v>
      </c>
      <c r="Q158" s="577">
        <f t="shared" si="57"/>
        <v>0</v>
      </c>
      <c r="R158" s="576">
        <f t="shared" si="57"/>
        <v>0</v>
      </c>
      <c r="S158" s="576">
        <f t="shared" si="57"/>
        <v>0</v>
      </c>
      <c r="T158" s="576">
        <f t="shared" si="57"/>
        <v>0</v>
      </c>
      <c r="U158" s="576">
        <f t="shared" si="57"/>
        <v>0</v>
      </c>
      <c r="V158" s="576">
        <f t="shared" si="57"/>
        <v>0</v>
      </c>
      <c r="W158" s="576">
        <f t="shared" si="57"/>
        <v>0</v>
      </c>
      <c r="X158" s="576">
        <f t="shared" si="57"/>
        <v>0</v>
      </c>
      <c r="Y158" s="576">
        <f t="shared" si="57"/>
        <v>0</v>
      </c>
      <c r="Z158" s="576">
        <f t="shared" si="57"/>
        <v>0</v>
      </c>
      <c r="AA158" s="576">
        <f t="shared" si="57"/>
        <v>0</v>
      </c>
      <c r="AB158" s="576">
        <f t="shared" si="57"/>
        <v>0</v>
      </c>
      <c r="AC158" s="576">
        <f t="shared" si="57"/>
        <v>0</v>
      </c>
      <c r="AD158" s="576">
        <f t="shared" si="57"/>
        <v>0</v>
      </c>
      <c r="AE158" s="576">
        <f t="shared" si="57"/>
        <v>0</v>
      </c>
      <c r="AF158" s="576">
        <f t="shared" si="57"/>
        <v>0</v>
      </c>
      <c r="AG158" s="576">
        <f t="shared" si="57"/>
        <v>0</v>
      </c>
      <c r="AH158" s="576">
        <f t="shared" si="57"/>
        <v>0</v>
      </c>
      <c r="AI158" s="576">
        <f t="shared" si="57"/>
        <v>0</v>
      </c>
      <c r="AJ158" s="576">
        <f t="shared" si="57"/>
        <v>0</v>
      </c>
      <c r="AK158" s="577">
        <f t="shared" si="57"/>
        <v>0</v>
      </c>
      <c r="AL158" s="576">
        <f t="shared" si="57"/>
        <v>0</v>
      </c>
      <c r="AM158" s="576">
        <f t="shared" si="57"/>
        <v>0</v>
      </c>
      <c r="AN158" s="576">
        <f t="shared" si="57"/>
        <v>0</v>
      </c>
      <c r="AO158" s="577">
        <f t="shared" si="57"/>
        <v>0</v>
      </c>
      <c r="AP158" s="576">
        <f t="shared" si="57"/>
        <v>0</v>
      </c>
      <c r="AQ158" s="576">
        <f t="shared" si="57"/>
        <v>0</v>
      </c>
      <c r="AR158" s="576">
        <f t="shared" si="57"/>
        <v>0</v>
      </c>
      <c r="AS158" s="576">
        <f t="shared" si="57"/>
        <v>0</v>
      </c>
      <c r="AT158" s="576">
        <f t="shared" si="57"/>
        <v>0</v>
      </c>
      <c r="AU158" s="576">
        <f t="shared" si="57"/>
        <v>0</v>
      </c>
      <c r="AV158" s="576">
        <f t="shared" si="57"/>
        <v>0</v>
      </c>
      <c r="AW158" s="576">
        <f t="shared" si="57"/>
        <v>0</v>
      </c>
      <c r="AX158" s="576">
        <f t="shared" si="57"/>
        <v>0</v>
      </c>
      <c r="AY158" s="576">
        <f t="shared" si="57"/>
        <v>0</v>
      </c>
      <c r="AZ158" s="576">
        <f t="shared" si="57"/>
        <v>0</v>
      </c>
      <c r="BA158" s="576">
        <f t="shared" si="57"/>
        <v>0</v>
      </c>
      <c r="BB158" s="576">
        <f t="shared" si="57"/>
        <v>0</v>
      </c>
      <c r="BC158" s="577">
        <f t="shared" si="57"/>
        <v>0</v>
      </c>
      <c r="BD158" s="576">
        <f t="shared" si="57"/>
        <v>0</v>
      </c>
      <c r="BE158" s="576">
        <f t="shared" si="57"/>
        <v>0</v>
      </c>
      <c r="BF158" s="576">
        <f>BF143</f>
        <v>0</v>
      </c>
      <c r="BG158" s="576">
        <f>BG143</f>
        <v>0</v>
      </c>
      <c r="BH158" s="576">
        <f t="shared" si="57"/>
        <v>0</v>
      </c>
      <c r="BI158" s="576">
        <f t="shared" si="57"/>
        <v>0</v>
      </c>
      <c r="BJ158" s="576">
        <f t="shared" si="57"/>
        <v>0</v>
      </c>
      <c r="BK158" s="576">
        <f t="shared" si="57"/>
        <v>0</v>
      </c>
      <c r="BL158" s="576">
        <f t="shared" si="57"/>
        <v>0</v>
      </c>
      <c r="BM158" s="576">
        <f t="shared" si="57"/>
        <v>0</v>
      </c>
      <c r="BN158" s="576">
        <f t="shared" si="57"/>
        <v>0</v>
      </c>
      <c r="BO158" s="576">
        <f t="shared" si="57"/>
        <v>0</v>
      </c>
      <c r="BP158" s="576">
        <f t="shared" si="57"/>
        <v>0</v>
      </c>
      <c r="BQ158" s="576">
        <f t="shared" si="57"/>
        <v>0</v>
      </c>
      <c r="BR158" s="576">
        <f t="shared" si="57"/>
        <v>0</v>
      </c>
      <c r="BS158" s="576">
        <f t="shared" si="57"/>
        <v>0</v>
      </c>
    </row>
    <row r="159" spans="1:71" s="202" customFormat="1" ht="13.15">
      <c r="A159" s="453"/>
      <c r="B159" s="453"/>
      <c r="C159" s="463"/>
      <c r="D159" s="453"/>
      <c r="E159" s="453"/>
      <c r="F159" s="453"/>
      <c r="G159" s="618"/>
      <c r="H159" s="453"/>
      <c r="I159" s="453"/>
      <c r="J159" s="490"/>
      <c r="K159" s="490"/>
      <c r="L159" s="490"/>
      <c r="M159" s="490"/>
      <c r="N159" s="490"/>
      <c r="O159" s="490"/>
      <c r="P159" s="490"/>
      <c r="Q159" s="491"/>
      <c r="R159" s="490"/>
      <c r="S159" s="490"/>
      <c r="T159" s="490"/>
      <c r="U159" s="490"/>
      <c r="V159" s="490"/>
      <c r="W159" s="490"/>
      <c r="X159" s="490"/>
      <c r="Y159" s="490"/>
      <c r="Z159" s="490"/>
      <c r="AA159" s="490"/>
      <c r="AB159" s="490"/>
      <c r="AC159" s="490"/>
      <c r="AD159" s="490"/>
      <c r="AE159" s="490"/>
      <c r="AF159" s="490"/>
      <c r="AG159" s="490"/>
      <c r="AH159" s="490"/>
      <c r="AI159" s="490"/>
      <c r="AJ159" s="490"/>
      <c r="AK159" s="491"/>
      <c r="AL159" s="490"/>
      <c r="AM159" s="490"/>
      <c r="AN159" s="490"/>
      <c r="AO159" s="491"/>
      <c r="AP159" s="490"/>
      <c r="AQ159" s="490"/>
      <c r="AR159" s="490"/>
      <c r="AS159" s="490"/>
      <c r="AT159" s="490"/>
      <c r="AU159" s="490"/>
      <c r="AV159" s="490"/>
      <c r="AW159" s="490"/>
      <c r="AX159" s="490"/>
      <c r="AY159" s="490"/>
      <c r="AZ159" s="490"/>
      <c r="BA159" s="490"/>
      <c r="BB159" s="490"/>
      <c r="BC159" s="491"/>
      <c r="BD159" s="490"/>
      <c r="BE159" s="490"/>
      <c r="BF159" s="490"/>
      <c r="BG159" s="490"/>
      <c r="BH159" s="490"/>
      <c r="BI159" s="490"/>
      <c r="BJ159" s="490"/>
      <c r="BK159" s="490"/>
      <c r="BL159" s="490"/>
      <c r="BM159" s="490"/>
      <c r="BN159" s="490"/>
      <c r="BO159" s="490"/>
      <c r="BP159" s="490"/>
      <c r="BQ159" s="490"/>
      <c r="BR159" s="490"/>
      <c r="BS159" s="490"/>
    </row>
    <row r="160" spans="1:71" s="202" customFormat="1" ht="13.15">
      <c r="A160" s="453"/>
      <c r="B160" s="453"/>
      <c r="C160" s="453"/>
      <c r="D160" s="463" t="s">
        <v>1167</v>
      </c>
      <c r="E160" s="453"/>
      <c r="F160" s="453"/>
      <c r="G160" s="453"/>
      <c r="H160" s="453"/>
      <c r="I160" s="453"/>
      <c r="J160" s="490"/>
      <c r="K160" s="490"/>
      <c r="L160" s="490"/>
      <c r="M160" s="490"/>
      <c r="N160" s="490"/>
      <c r="O160" s="490"/>
      <c r="P160" s="490"/>
      <c r="Q160" s="491"/>
      <c r="R160" s="490"/>
      <c r="S160" s="490"/>
      <c r="T160" s="490"/>
      <c r="U160" s="490"/>
      <c r="V160" s="490"/>
      <c r="W160" s="490"/>
      <c r="X160" s="490"/>
      <c r="Y160" s="490"/>
      <c r="Z160" s="490"/>
      <c r="AA160" s="490"/>
      <c r="AB160" s="490"/>
      <c r="AC160" s="490"/>
      <c r="AD160" s="490"/>
      <c r="AE160" s="490"/>
      <c r="AF160" s="490"/>
      <c r="AG160" s="490"/>
      <c r="AH160" s="490"/>
      <c r="AI160" s="490"/>
      <c r="AJ160" s="490"/>
      <c r="AK160" s="491"/>
      <c r="AL160" s="490"/>
      <c r="AM160" s="490"/>
      <c r="AN160" s="490"/>
      <c r="AO160" s="491"/>
      <c r="AP160" s="490"/>
      <c r="AQ160" s="490"/>
      <c r="AR160" s="490"/>
      <c r="AS160" s="490"/>
      <c r="AT160" s="490"/>
      <c r="AU160" s="490"/>
      <c r="AV160" s="490"/>
      <c r="AW160" s="490"/>
      <c r="AX160" s="490"/>
      <c r="AY160" s="490"/>
      <c r="AZ160" s="490"/>
      <c r="BA160" s="490"/>
      <c r="BB160" s="490"/>
      <c r="BC160" s="491"/>
      <c r="BD160" s="490"/>
      <c r="BE160" s="490"/>
      <c r="BF160" s="490"/>
      <c r="BG160" s="490"/>
      <c r="BH160" s="490"/>
      <c r="BI160" s="490"/>
      <c r="BJ160" s="490"/>
      <c r="BK160" s="490"/>
      <c r="BL160" s="490"/>
      <c r="BM160" s="490"/>
      <c r="BN160" s="490"/>
      <c r="BO160" s="490"/>
      <c r="BP160" s="490"/>
      <c r="BQ160" s="490"/>
      <c r="BR160" s="490"/>
      <c r="BS160" s="490"/>
    </row>
    <row r="161" spans="1:71" s="202" customFormat="1" ht="13.15">
      <c r="A161" s="453"/>
      <c r="B161" s="453"/>
      <c r="C161" s="453"/>
      <c r="D161" s="463"/>
      <c r="E161" s="583" t="str">
        <f>InpPerformance!E36</f>
        <v>Financial incentives apply or accrue this year?</v>
      </c>
      <c r="F161" s="453"/>
      <c r="G161" s="583" t="str">
        <f>InpPerformance!G36</f>
        <v>TRUE or FALSE</v>
      </c>
      <c r="H161" s="453"/>
      <c r="I161" s="453"/>
      <c r="J161" s="591" t="b">
        <f>InpPerformance!J36</f>
        <v>1</v>
      </c>
      <c r="K161" s="591" t="b">
        <f>InpPerformance!K36</f>
        <v>1</v>
      </c>
      <c r="L161" s="591" t="b">
        <f>InpPerformance!L36</f>
        <v>1</v>
      </c>
      <c r="M161" s="591" t="b">
        <f>InpPerformance!M36</f>
        <v>1</v>
      </c>
      <c r="N161" s="591" t="b">
        <f>InpPerformance!N36</f>
        <v>1</v>
      </c>
      <c r="O161" s="591" t="b">
        <f>InpPerformance!O36</f>
        <v>1</v>
      </c>
      <c r="P161" s="591" t="b">
        <f>InpPerformance!P36</f>
        <v>1</v>
      </c>
      <c r="Q161" s="592" t="b">
        <f>InpPerformance!Q36</f>
        <v>1</v>
      </c>
      <c r="R161" s="591" t="b">
        <f>InpPerformance!R36</f>
        <v>1</v>
      </c>
      <c r="S161" s="591" t="b">
        <f>InpPerformance!S36</f>
        <v>1</v>
      </c>
      <c r="T161" s="591" t="b">
        <f>InpPerformance!T36</f>
        <v>1</v>
      </c>
      <c r="U161" s="591" t="b">
        <f>InpPerformance!U36</f>
        <v>1</v>
      </c>
      <c r="V161" s="591" t="b">
        <f>InpPerformance!V36</f>
        <v>1</v>
      </c>
      <c r="W161" s="591" t="b">
        <f>InpPerformance!W36</f>
        <v>1</v>
      </c>
      <c r="X161" s="591" t="b">
        <f>InpPerformance!X36</f>
        <v>1</v>
      </c>
      <c r="Y161" s="591" t="b">
        <f>InpPerformance!Y36</f>
        <v>0</v>
      </c>
      <c r="Z161" s="591" t="b">
        <f>InpPerformance!Z36</f>
        <v>1</v>
      </c>
      <c r="AA161" s="591" t="b">
        <f>InpPerformance!AA36</f>
        <v>1</v>
      </c>
      <c r="AB161" s="591" t="b">
        <f>InpPerformance!AB36</f>
        <v>1</v>
      </c>
      <c r="AC161" s="591" t="b">
        <f>InpPerformance!AC36</f>
        <v>1</v>
      </c>
      <c r="AD161" s="591" t="b">
        <f>InpPerformance!AD36</f>
        <v>1</v>
      </c>
      <c r="AE161" s="591" t="b">
        <f>InpPerformance!AE36</f>
        <v>1</v>
      </c>
      <c r="AF161" s="591" t="b">
        <f>InpPerformance!AF36</f>
        <v>1</v>
      </c>
      <c r="AG161" s="591" t="b">
        <f>InpPerformance!AG36</f>
        <v>1</v>
      </c>
      <c r="AH161" s="591" t="b">
        <f>InpPerformance!AH36</f>
        <v>1</v>
      </c>
      <c r="AI161" s="591" t="b">
        <f>InpPerformance!AI36</f>
        <v>1</v>
      </c>
      <c r="AJ161" s="591" t="b">
        <f>InpPerformance!AJ36</f>
        <v>1</v>
      </c>
      <c r="AK161" s="592" t="b">
        <f>InpPerformance!AK36</f>
        <v>1</v>
      </c>
      <c r="AL161" s="591" t="b">
        <f>InpPerformance!AL36</f>
        <v>1</v>
      </c>
      <c r="AM161" s="591" t="b">
        <f>InpPerformance!AM36</f>
        <v>1</v>
      </c>
      <c r="AN161" s="591" t="b">
        <f>InpPerformance!AN36</f>
        <v>1</v>
      </c>
      <c r="AO161" s="592" t="b">
        <f>InpPerformance!AO36</f>
        <v>1</v>
      </c>
      <c r="AP161" s="591" t="b">
        <f>InpPerformance!AP36</f>
        <v>1</v>
      </c>
      <c r="AQ161" s="591" t="b">
        <f>InpPerformance!AQ36</f>
        <v>1</v>
      </c>
      <c r="AR161" s="591" t="b">
        <f>InpPerformance!AR36</f>
        <v>1</v>
      </c>
      <c r="AS161" s="591" t="b">
        <f>InpPerformance!AS36</f>
        <v>1</v>
      </c>
      <c r="AT161" s="591" t="b">
        <f>InpPerformance!AT36</f>
        <v>1</v>
      </c>
      <c r="AU161" s="591" t="b">
        <f>InpPerformance!AU36</f>
        <v>0</v>
      </c>
      <c r="AV161" s="591" t="b">
        <f>InpPerformance!AV36</f>
        <v>0</v>
      </c>
      <c r="AW161" s="591" t="b">
        <f>InpPerformance!AW36</f>
        <v>1</v>
      </c>
      <c r="AX161" s="591" t="b">
        <f>InpPerformance!AX36</f>
        <v>1</v>
      </c>
      <c r="AY161" s="591" t="b">
        <f>InpPerformance!AY36</f>
        <v>1</v>
      </c>
      <c r="AZ161" s="591" t="b">
        <f>InpPerformance!AZ36</f>
        <v>1</v>
      </c>
      <c r="BA161" s="591" t="b">
        <f>InpPerformance!BA36</f>
        <v>1</v>
      </c>
      <c r="BB161" s="591" t="b">
        <f>InpPerformance!BB36</f>
        <v>1</v>
      </c>
      <c r="BC161" s="592" t="b">
        <f>InpPerformance!BC36</f>
        <v>1</v>
      </c>
      <c r="BD161" s="591" t="b">
        <f>InpPerformance!BD36</f>
        <v>0</v>
      </c>
      <c r="BE161" s="591" t="b">
        <f>InpPerformance!BE36</f>
        <v>0</v>
      </c>
      <c r="BF161" s="591" t="b">
        <f>InpPerformance!BF36</f>
        <v>0</v>
      </c>
      <c r="BG161" s="591" t="b">
        <f>InpPerformance!BG36</f>
        <v>0</v>
      </c>
      <c r="BH161" s="591" t="b">
        <f>InpPerformance!BH36</f>
        <v>0</v>
      </c>
      <c r="BI161" s="591" t="b">
        <f>InpPerformance!BI36</f>
        <v>0</v>
      </c>
      <c r="BJ161" s="591" t="b">
        <f>InpPerformance!BJ36</f>
        <v>0</v>
      </c>
      <c r="BK161" s="591" t="b">
        <f>InpPerformance!BK36</f>
        <v>0</v>
      </c>
      <c r="BL161" s="591" t="b">
        <f>InpPerformance!BL36</f>
        <v>0</v>
      </c>
      <c r="BM161" s="591" t="b">
        <f>InpPerformance!BM36</f>
        <v>0</v>
      </c>
      <c r="BN161" s="591" t="b">
        <f>InpPerformance!BN36</f>
        <v>0</v>
      </c>
      <c r="BO161" s="591" t="b">
        <f>InpPerformance!BO36</f>
        <v>0</v>
      </c>
      <c r="BP161" s="591" t="b">
        <f>InpPerformance!BP36</f>
        <v>0</v>
      </c>
      <c r="BQ161" s="591" t="b">
        <f>InpPerformance!BQ36</f>
        <v>0</v>
      </c>
      <c r="BR161" s="591" t="b">
        <f>InpPerformance!BR36</f>
        <v>0</v>
      </c>
      <c r="BS161" s="591" t="b">
        <f>InpPerformance!BS36</f>
        <v>0</v>
      </c>
    </row>
    <row r="162" spans="1:71" s="228" customFormat="1" ht="13.15">
      <c r="A162" s="583"/>
      <c r="B162" s="583"/>
      <c r="C162" s="583"/>
      <c r="D162" s="583"/>
      <c r="E162" s="583" t="str">
        <f>InpPerformance!E23</f>
        <v>Standard outperformance payments - override</v>
      </c>
      <c r="F162" s="583"/>
      <c r="G162" s="583" t="str">
        <f>InpPerformance!G23</f>
        <v>£m (2017-18 prices)</v>
      </c>
      <c r="H162" s="583"/>
      <c r="I162" s="583"/>
      <c r="J162" s="596" t="str">
        <f>IF(InpPerformance!J23&lt;&gt;"",InpPerformance!J23,"")</f>
        <v/>
      </c>
      <c r="K162" s="596" t="str">
        <f>IF(InpPerformance!K23&lt;&gt;"",InpPerformance!K23,"")</f>
        <v/>
      </c>
      <c r="L162" s="596" t="str">
        <f>IF(InpPerformance!L23&lt;&gt;"",InpPerformance!L23,"")</f>
        <v/>
      </c>
      <c r="M162" s="596" t="str">
        <f>IF(InpPerformance!M23&lt;&gt;"",InpPerformance!M23,"")</f>
        <v/>
      </c>
      <c r="N162" s="596" t="str">
        <f>IF(InpPerformance!N23&lt;&gt;"",InpPerformance!N23,"")</f>
        <v/>
      </c>
      <c r="O162" s="596" t="str">
        <f>IF(InpPerformance!O23&lt;&gt;"",InpPerformance!O23,"")</f>
        <v/>
      </c>
      <c r="P162" s="596" t="str">
        <f>IF(InpPerformance!P23&lt;&gt;"",InpPerformance!P23,"")</f>
        <v/>
      </c>
      <c r="Q162" s="597" t="str">
        <f>IF(InpPerformance!Q23&lt;&gt;"",InpPerformance!Q23,"")</f>
        <v/>
      </c>
      <c r="R162" s="596" t="str">
        <f>IF(InpPerformance!R23&lt;&gt;"",InpPerformance!R23,"")</f>
        <v/>
      </c>
      <c r="S162" s="596" t="str">
        <f>IF(InpPerformance!S23&lt;&gt;"",InpPerformance!S23,"")</f>
        <v/>
      </c>
      <c r="T162" s="596" t="str">
        <f>IF(InpPerformance!T23&lt;&gt;"",InpPerformance!T23,"")</f>
        <v/>
      </c>
      <c r="U162" s="596" t="str">
        <f>IF(InpPerformance!U23&lt;&gt;"",InpPerformance!U23,"")</f>
        <v/>
      </c>
      <c r="V162" s="596" t="str">
        <f>IF(InpPerformance!V23&lt;&gt;"",InpPerformance!V23,"")</f>
        <v/>
      </c>
      <c r="W162" s="596" t="str">
        <f>IF(InpPerformance!W23&lt;&gt;"",InpPerformance!W23,"")</f>
        <v/>
      </c>
      <c r="X162" s="596" t="str">
        <f>IF(InpPerformance!X23&lt;&gt;"",InpPerformance!X23,"")</f>
        <v/>
      </c>
      <c r="Y162" s="596" t="str">
        <f>IF(InpPerformance!Y23&lt;&gt;"",InpPerformance!Y23,"")</f>
        <v/>
      </c>
      <c r="Z162" s="596" t="str">
        <f>IF(InpPerformance!Z23&lt;&gt;"",InpPerformance!Z23,"")</f>
        <v/>
      </c>
      <c r="AA162" s="596" t="str">
        <f>IF(InpPerformance!AA23&lt;&gt;"",InpPerformance!AA23,"")</f>
        <v/>
      </c>
      <c r="AB162" s="596" t="str">
        <f>IF(InpPerformance!AB23&lt;&gt;"",InpPerformance!AB23,"")</f>
        <v/>
      </c>
      <c r="AC162" s="596" t="str">
        <f>IF(InpPerformance!AC23&lt;&gt;"",InpPerformance!AC23,"")</f>
        <v/>
      </c>
      <c r="AD162" s="596" t="str">
        <f>IF(InpPerformance!AD23&lt;&gt;"",InpPerformance!AD23,"")</f>
        <v/>
      </c>
      <c r="AE162" s="596" t="str">
        <f>IF(InpPerformance!AE23&lt;&gt;"",InpPerformance!AE23,"")</f>
        <v/>
      </c>
      <c r="AF162" s="596" t="str">
        <f>IF(InpPerformance!AF23&lt;&gt;"",InpPerformance!AF23,"")</f>
        <v/>
      </c>
      <c r="AG162" s="596" t="str">
        <f>IF(InpPerformance!AG23&lt;&gt;"",InpPerformance!AG23,"")</f>
        <v/>
      </c>
      <c r="AH162" s="596" t="str">
        <f>IF(InpPerformance!AH23&lt;&gt;"",InpPerformance!AH23,"")</f>
        <v/>
      </c>
      <c r="AI162" s="596" t="str">
        <f>IF(InpPerformance!AI23&lt;&gt;"",InpPerformance!AI23,"")</f>
        <v/>
      </c>
      <c r="AJ162" s="596" t="str">
        <f>IF(InpPerformance!AJ23&lt;&gt;"",InpPerformance!AJ23,"")</f>
        <v/>
      </c>
      <c r="AK162" s="597" t="str">
        <f>IF(InpPerformance!AK23&lt;&gt;"",InpPerformance!AK23,"")</f>
        <v/>
      </c>
      <c r="AL162" s="596" t="str">
        <f>IF(InpPerformance!AL23&lt;&gt;"",InpPerformance!AL23,"")</f>
        <v/>
      </c>
      <c r="AM162" s="596" t="str">
        <f>IF(InpPerformance!AM23&lt;&gt;"",InpPerformance!AM23,"")</f>
        <v/>
      </c>
      <c r="AN162" s="596" t="str">
        <f>IF(InpPerformance!AN23&lt;&gt;"",InpPerformance!AN23,"")</f>
        <v/>
      </c>
      <c r="AO162" s="597" t="str">
        <f>IF(InpPerformance!AO23&lt;&gt;"",InpPerformance!AO23,"")</f>
        <v/>
      </c>
      <c r="AP162" s="596" t="str">
        <f>IF(InpPerformance!AP23&lt;&gt;"",InpPerformance!AP23,"")</f>
        <v/>
      </c>
      <c r="AQ162" s="596" t="str">
        <f>IF(InpPerformance!AQ23&lt;&gt;"",InpPerformance!AQ23,"")</f>
        <v/>
      </c>
      <c r="AR162" s="596" t="str">
        <f>IF(InpPerformance!AR23&lt;&gt;"",InpPerformance!AR23,"")</f>
        <v/>
      </c>
      <c r="AS162" s="596" t="str">
        <f>IF(InpPerformance!AS23&lt;&gt;"",InpPerformance!AS23,"")</f>
        <v/>
      </c>
      <c r="AT162" s="596" t="str">
        <f>IF(InpPerformance!AT23&lt;&gt;"",InpPerformance!AT23,"")</f>
        <v/>
      </c>
      <c r="AU162" s="596" t="str">
        <f>IF(InpPerformance!AU23&lt;&gt;"",InpPerformance!AU23,"")</f>
        <v/>
      </c>
      <c r="AV162" s="596" t="str">
        <f>IF(InpPerformance!AV23&lt;&gt;"",InpPerformance!AV23,"")</f>
        <v/>
      </c>
      <c r="AW162" s="596" t="str">
        <f>IF(InpPerformance!AW23&lt;&gt;"",InpPerformance!AW23,"")</f>
        <v/>
      </c>
      <c r="AX162" s="596" t="str">
        <f>IF(InpPerformance!AX23&lt;&gt;"",InpPerformance!AX23,"")</f>
        <v/>
      </c>
      <c r="AY162" s="596" t="str">
        <f>IF(InpPerformance!AY23&lt;&gt;"",InpPerformance!AY23,"")</f>
        <v/>
      </c>
      <c r="AZ162" s="596" t="str">
        <f>IF(InpPerformance!AZ23&lt;&gt;"",InpPerformance!AZ23,"")</f>
        <v/>
      </c>
      <c r="BA162" s="596" t="str">
        <f>IF(InpPerformance!BA23&lt;&gt;"",InpPerformance!BA23,"")</f>
        <v/>
      </c>
      <c r="BB162" s="596" t="str">
        <f>IF(InpPerformance!BB23&lt;&gt;"",InpPerformance!BB23,"")</f>
        <v/>
      </c>
      <c r="BC162" s="597" t="str">
        <f>IF(InpPerformance!BC23&lt;&gt;"",InpPerformance!BC23,"")</f>
        <v/>
      </c>
      <c r="BD162" s="596" t="str">
        <f>IF(InpPerformance!BD23&lt;&gt;"",InpPerformance!BD23,"")</f>
        <v/>
      </c>
      <c r="BE162" s="596" t="str">
        <f>IF(InpPerformance!BE23&lt;&gt;"",InpPerformance!BE23,"")</f>
        <v/>
      </c>
      <c r="BF162" s="596" t="str">
        <f>IF(InpPerformance!BF23&lt;&gt;"",InpPerformance!BF23,"")</f>
        <v/>
      </c>
      <c r="BG162" s="596" t="str">
        <f>IF(InpPerformance!BG23&lt;&gt;"",InpPerformance!BG23,"")</f>
        <v/>
      </c>
      <c r="BH162" s="596" t="str">
        <f>IF(InpPerformance!BH23&lt;&gt;"",InpPerformance!BH23,"")</f>
        <v/>
      </c>
      <c r="BI162" s="596" t="str">
        <f>IF(InpPerformance!BI23&lt;&gt;"",InpPerformance!BI23,"")</f>
        <v/>
      </c>
      <c r="BJ162" s="596" t="str">
        <f>IF(InpPerformance!BJ23&lt;&gt;"",InpPerformance!BJ23,"")</f>
        <v/>
      </c>
      <c r="BK162" s="596" t="str">
        <f>IF(InpPerformance!BK23&lt;&gt;"",InpPerformance!BK23,"")</f>
        <v/>
      </c>
      <c r="BL162" s="596" t="str">
        <f>IF(InpPerformance!BL23&lt;&gt;"",InpPerformance!BL23,"")</f>
        <v/>
      </c>
      <c r="BM162" s="596" t="str">
        <f>IF(InpPerformance!BM23&lt;&gt;"",InpPerformance!BM23,"")</f>
        <v/>
      </c>
      <c r="BN162" s="596" t="str">
        <f>IF(InpPerformance!BN23&lt;&gt;"",InpPerformance!BN23,"")</f>
        <v/>
      </c>
      <c r="BO162" s="596" t="str">
        <f>IF(InpPerformance!BO23&lt;&gt;"",InpPerformance!BO23,"")</f>
        <v/>
      </c>
      <c r="BP162" s="596" t="str">
        <f>IF(InpPerformance!BP23&lt;&gt;"",InpPerformance!BP23,"")</f>
        <v/>
      </c>
      <c r="BQ162" s="596" t="str">
        <f>IF(InpPerformance!BQ23&lt;&gt;"",InpPerformance!BQ23,"")</f>
        <v/>
      </c>
      <c r="BR162" s="596" t="str">
        <f>IF(InpPerformance!BR23&lt;&gt;"",InpPerformance!BR23,"")</f>
        <v/>
      </c>
      <c r="BS162" s="596" t="str">
        <f>IF(InpPerformance!BS23&lt;&gt;"",InpPerformance!BS23,"")</f>
        <v/>
      </c>
    </row>
    <row r="163" spans="1:71" s="228" customFormat="1" ht="13.15">
      <c r="A163" s="583"/>
      <c r="B163" s="583"/>
      <c r="C163" s="583"/>
      <c r="D163" s="583"/>
      <c r="E163" s="583" t="str">
        <f>InpPerformance!E24</f>
        <v>Enhanced outperformance payments - override</v>
      </c>
      <c r="F163" s="583"/>
      <c r="G163" s="583" t="str">
        <f>InpPerformance!G24</f>
        <v>£m (2017-18 prices)</v>
      </c>
      <c r="H163" s="583"/>
      <c r="I163" s="583"/>
      <c r="J163" s="596" t="str">
        <f>IF(InpPerformance!J24&lt;&gt;"",InpPerformance!J24,"")</f>
        <v/>
      </c>
      <c r="K163" s="596" t="str">
        <f>IF(InpPerformance!K24&lt;&gt;"",InpPerformance!K24,"")</f>
        <v/>
      </c>
      <c r="L163" s="596" t="str">
        <f>IF(InpPerformance!L24&lt;&gt;"",InpPerformance!L24,"")</f>
        <v/>
      </c>
      <c r="M163" s="596" t="str">
        <f>IF(InpPerformance!M24&lt;&gt;"",InpPerformance!M24,"")</f>
        <v/>
      </c>
      <c r="N163" s="596" t="str">
        <f>IF(InpPerformance!N24&lt;&gt;"",InpPerformance!N24,"")</f>
        <v/>
      </c>
      <c r="O163" s="596" t="str">
        <f>IF(InpPerformance!O24&lt;&gt;"",InpPerformance!O24,"")</f>
        <v/>
      </c>
      <c r="P163" s="596" t="str">
        <f>IF(InpPerformance!P24&lt;&gt;"",InpPerformance!P24,"")</f>
        <v/>
      </c>
      <c r="Q163" s="597" t="str">
        <f>IF(InpPerformance!Q24&lt;&gt;"",InpPerformance!Q24,"")</f>
        <v/>
      </c>
      <c r="R163" s="596" t="str">
        <f>IF(InpPerformance!R24&lt;&gt;"",InpPerformance!R24,"")</f>
        <v/>
      </c>
      <c r="S163" s="596" t="str">
        <f>IF(InpPerformance!S24&lt;&gt;"",InpPerformance!S24,"")</f>
        <v/>
      </c>
      <c r="T163" s="596" t="str">
        <f>IF(InpPerformance!T24&lt;&gt;"",InpPerformance!T24,"")</f>
        <v/>
      </c>
      <c r="U163" s="596" t="str">
        <f>IF(InpPerformance!U24&lt;&gt;"",InpPerformance!U24,"")</f>
        <v/>
      </c>
      <c r="V163" s="596" t="str">
        <f>IF(InpPerformance!V24&lt;&gt;"",InpPerformance!V24,"")</f>
        <v/>
      </c>
      <c r="W163" s="596" t="str">
        <f>IF(InpPerformance!W24&lt;&gt;"",InpPerformance!W24,"")</f>
        <v/>
      </c>
      <c r="X163" s="596" t="str">
        <f>IF(InpPerformance!X24&lt;&gt;"",InpPerformance!X24,"")</f>
        <v/>
      </c>
      <c r="Y163" s="596" t="str">
        <f>IF(InpPerformance!Y24&lt;&gt;"",InpPerformance!Y24,"")</f>
        <v/>
      </c>
      <c r="Z163" s="596" t="str">
        <f>IF(InpPerformance!Z24&lt;&gt;"",InpPerformance!Z24,"")</f>
        <v/>
      </c>
      <c r="AA163" s="596" t="str">
        <f>IF(InpPerformance!AA24&lt;&gt;"",InpPerformance!AA24,"")</f>
        <v/>
      </c>
      <c r="AB163" s="596" t="str">
        <f>IF(InpPerformance!AB24&lt;&gt;"",InpPerformance!AB24,"")</f>
        <v/>
      </c>
      <c r="AC163" s="596" t="str">
        <f>IF(InpPerformance!AC24&lt;&gt;"",InpPerformance!AC24,"")</f>
        <v/>
      </c>
      <c r="AD163" s="596" t="str">
        <f>IF(InpPerformance!AD24&lt;&gt;"",InpPerformance!AD24,"")</f>
        <v/>
      </c>
      <c r="AE163" s="596" t="str">
        <f>IF(InpPerformance!AE24&lt;&gt;"",InpPerformance!AE24,"")</f>
        <v/>
      </c>
      <c r="AF163" s="596" t="str">
        <f>IF(InpPerformance!AF24&lt;&gt;"",InpPerformance!AF24,"")</f>
        <v/>
      </c>
      <c r="AG163" s="596" t="str">
        <f>IF(InpPerformance!AG24&lt;&gt;"",InpPerformance!AG24,"")</f>
        <v/>
      </c>
      <c r="AH163" s="596" t="str">
        <f>IF(InpPerformance!AH24&lt;&gt;"",InpPerformance!AH24,"")</f>
        <v/>
      </c>
      <c r="AI163" s="596" t="str">
        <f>IF(InpPerformance!AI24&lt;&gt;"",InpPerformance!AI24,"")</f>
        <v/>
      </c>
      <c r="AJ163" s="596" t="str">
        <f>IF(InpPerformance!AJ24&lt;&gt;"",InpPerformance!AJ24,"")</f>
        <v/>
      </c>
      <c r="AK163" s="597" t="str">
        <f>IF(InpPerformance!AK24&lt;&gt;"",InpPerformance!AK24,"")</f>
        <v/>
      </c>
      <c r="AL163" s="596" t="str">
        <f>IF(InpPerformance!AL24&lt;&gt;"",InpPerformance!AL24,"")</f>
        <v/>
      </c>
      <c r="AM163" s="596" t="str">
        <f>IF(InpPerformance!AM24&lt;&gt;"",InpPerformance!AM24,"")</f>
        <v/>
      </c>
      <c r="AN163" s="596" t="str">
        <f>IF(InpPerformance!AN24&lt;&gt;"",InpPerformance!AN24,"")</f>
        <v/>
      </c>
      <c r="AO163" s="597" t="str">
        <f>IF(InpPerformance!AO24&lt;&gt;"",InpPerformance!AO24,"")</f>
        <v/>
      </c>
      <c r="AP163" s="596" t="str">
        <f>IF(InpPerformance!AP24&lt;&gt;"",InpPerformance!AP24,"")</f>
        <v/>
      </c>
      <c r="AQ163" s="596" t="str">
        <f>IF(InpPerformance!AQ24&lt;&gt;"",InpPerformance!AQ24,"")</f>
        <v/>
      </c>
      <c r="AR163" s="596" t="str">
        <f>IF(InpPerformance!AR24&lt;&gt;"",InpPerformance!AR24,"")</f>
        <v/>
      </c>
      <c r="AS163" s="596" t="str">
        <f>IF(InpPerformance!AS24&lt;&gt;"",InpPerformance!AS24,"")</f>
        <v/>
      </c>
      <c r="AT163" s="596" t="str">
        <f>IF(InpPerformance!AT24&lt;&gt;"",InpPerformance!AT24,"")</f>
        <v/>
      </c>
      <c r="AU163" s="596" t="str">
        <f>IF(InpPerformance!AU24&lt;&gt;"",InpPerformance!AU24,"")</f>
        <v/>
      </c>
      <c r="AV163" s="596" t="str">
        <f>IF(InpPerformance!AV24&lt;&gt;"",InpPerformance!AV24,"")</f>
        <v/>
      </c>
      <c r="AW163" s="596" t="str">
        <f>IF(InpPerformance!AW24&lt;&gt;"",InpPerformance!AW24,"")</f>
        <v/>
      </c>
      <c r="AX163" s="596" t="str">
        <f>IF(InpPerformance!AX24&lt;&gt;"",InpPerformance!AX24,"")</f>
        <v/>
      </c>
      <c r="AY163" s="596" t="str">
        <f>IF(InpPerformance!AY24&lt;&gt;"",InpPerformance!AY24,"")</f>
        <v/>
      </c>
      <c r="AZ163" s="596" t="str">
        <f>IF(InpPerformance!AZ24&lt;&gt;"",InpPerformance!AZ24,"")</f>
        <v/>
      </c>
      <c r="BA163" s="596" t="str">
        <f>IF(InpPerformance!BA24&lt;&gt;"",InpPerformance!BA24,"")</f>
        <v/>
      </c>
      <c r="BB163" s="596" t="str">
        <f>IF(InpPerformance!BB24&lt;&gt;"",InpPerformance!BB24,"")</f>
        <v/>
      </c>
      <c r="BC163" s="597" t="str">
        <f>IF(InpPerformance!BC24&lt;&gt;"",InpPerformance!BC24,"")</f>
        <v/>
      </c>
      <c r="BD163" s="596" t="str">
        <f>IF(InpPerformance!BD24&lt;&gt;"",InpPerformance!BD24,"")</f>
        <v/>
      </c>
      <c r="BE163" s="596" t="str">
        <f>IF(InpPerformance!BE24&lt;&gt;"",InpPerformance!BE24,"")</f>
        <v/>
      </c>
      <c r="BF163" s="596" t="str">
        <f>IF(InpPerformance!BF24&lt;&gt;"",InpPerformance!BF24,"")</f>
        <v/>
      </c>
      <c r="BG163" s="596" t="str">
        <f>IF(InpPerformance!BG24&lt;&gt;"",InpPerformance!BG24,"")</f>
        <v/>
      </c>
      <c r="BH163" s="596" t="str">
        <f>IF(InpPerformance!BH24&lt;&gt;"",InpPerformance!BH24,"")</f>
        <v/>
      </c>
      <c r="BI163" s="596" t="str">
        <f>IF(InpPerformance!BI24&lt;&gt;"",InpPerformance!BI24,"")</f>
        <v/>
      </c>
      <c r="BJ163" s="596" t="str">
        <f>IF(InpPerformance!BJ24&lt;&gt;"",InpPerformance!BJ24,"")</f>
        <v/>
      </c>
      <c r="BK163" s="596" t="str">
        <f>IF(InpPerformance!BK24&lt;&gt;"",InpPerformance!BK24,"")</f>
        <v/>
      </c>
      <c r="BL163" s="596" t="str">
        <f>IF(InpPerformance!BL24&lt;&gt;"",InpPerformance!BL24,"")</f>
        <v/>
      </c>
      <c r="BM163" s="596" t="str">
        <f>IF(InpPerformance!BM24&lt;&gt;"",InpPerformance!BM24,"")</f>
        <v/>
      </c>
      <c r="BN163" s="596" t="str">
        <f>IF(InpPerformance!BN24&lt;&gt;"",InpPerformance!BN24,"")</f>
        <v/>
      </c>
      <c r="BO163" s="596" t="str">
        <f>IF(InpPerformance!BO24&lt;&gt;"",InpPerformance!BO24,"")</f>
        <v/>
      </c>
      <c r="BP163" s="596" t="str">
        <f>IF(InpPerformance!BP24&lt;&gt;"",InpPerformance!BP24,"")</f>
        <v/>
      </c>
      <c r="BQ163" s="596" t="str">
        <f>IF(InpPerformance!BQ24&lt;&gt;"",InpPerformance!BQ24,"")</f>
        <v/>
      </c>
      <c r="BR163" s="596" t="str">
        <f>IF(InpPerformance!BR24&lt;&gt;"",InpPerformance!BR24,"")</f>
        <v/>
      </c>
      <c r="BS163" s="596" t="str">
        <f>IF(InpPerformance!BS24&lt;&gt;"",InpPerformance!BS24,"")</f>
        <v/>
      </c>
    </row>
    <row r="164" spans="1:71" s="228" customFormat="1" ht="13.15">
      <c r="A164" s="583"/>
      <c r="B164" s="583"/>
      <c r="C164" s="583"/>
      <c r="D164" s="583"/>
      <c r="E164" s="583" t="str">
        <f>InpPerformance!E25</f>
        <v>Additional outperformance payments - override</v>
      </c>
      <c r="F164" s="583"/>
      <c r="G164" s="583" t="str">
        <f>InpPerformance!G25</f>
        <v>£m (2017-18 prices)</v>
      </c>
      <c r="H164" s="583"/>
      <c r="I164" s="583"/>
      <c r="J164" s="596" t="str">
        <f>IF(InpPerformance!J25&lt;&gt;"",InpPerformance!J25,"")</f>
        <v/>
      </c>
      <c r="K164" s="596" t="str">
        <f>IF(InpPerformance!K25&lt;&gt;"",InpPerformance!K25,"")</f>
        <v/>
      </c>
      <c r="L164" s="596" t="str">
        <f>IF(InpPerformance!L25&lt;&gt;"",InpPerformance!L25,"")</f>
        <v/>
      </c>
      <c r="M164" s="596" t="str">
        <f>IF(InpPerformance!M25&lt;&gt;"",InpPerformance!M25,"")</f>
        <v/>
      </c>
      <c r="N164" s="596" t="str">
        <f>IF(InpPerformance!N25&lt;&gt;"",InpPerformance!N25,"")</f>
        <v/>
      </c>
      <c r="O164" s="596" t="str">
        <f>IF(InpPerformance!O25&lt;&gt;"",InpPerformance!O25,"")</f>
        <v/>
      </c>
      <c r="P164" s="596" t="str">
        <f>IF(InpPerformance!P25&lt;&gt;"",InpPerformance!P25,"")</f>
        <v/>
      </c>
      <c r="Q164" s="597" t="str">
        <f>IF(InpPerformance!Q25&lt;&gt;"",InpPerformance!Q25,"")</f>
        <v/>
      </c>
      <c r="R164" s="596" t="str">
        <f>IF(InpPerformance!R25&lt;&gt;"",InpPerformance!R25,"")</f>
        <v/>
      </c>
      <c r="S164" s="596" t="str">
        <f>IF(InpPerformance!S25&lt;&gt;"",InpPerformance!S25,"")</f>
        <v/>
      </c>
      <c r="T164" s="596" t="str">
        <f>IF(InpPerformance!T25&lt;&gt;"",InpPerformance!T25,"")</f>
        <v/>
      </c>
      <c r="U164" s="596" t="str">
        <f>IF(InpPerformance!U25&lt;&gt;"",InpPerformance!U25,"")</f>
        <v/>
      </c>
      <c r="V164" s="596" t="str">
        <f>IF(InpPerformance!V25&lt;&gt;"",InpPerformance!V25,"")</f>
        <v/>
      </c>
      <c r="W164" s="596" t="str">
        <f>IF(InpPerformance!W25&lt;&gt;"",InpPerformance!W25,"")</f>
        <v/>
      </c>
      <c r="X164" s="596" t="str">
        <f>IF(InpPerformance!X25&lt;&gt;"",InpPerformance!X25,"")</f>
        <v/>
      </c>
      <c r="Y164" s="596" t="str">
        <f>IF(InpPerformance!Y25&lt;&gt;"",InpPerformance!Y25,"")</f>
        <v/>
      </c>
      <c r="Z164" s="596" t="str">
        <f>IF(InpPerformance!Z25&lt;&gt;"",InpPerformance!Z25,"")</f>
        <v/>
      </c>
      <c r="AA164" s="596" t="str">
        <f>IF(InpPerformance!AA25&lt;&gt;"",InpPerformance!AA25,"")</f>
        <v/>
      </c>
      <c r="AB164" s="596" t="str">
        <f>IF(InpPerformance!AB25&lt;&gt;"",InpPerformance!AB25,"")</f>
        <v/>
      </c>
      <c r="AC164" s="596" t="str">
        <f>IF(InpPerformance!AC25&lt;&gt;"",InpPerformance!AC25,"")</f>
        <v/>
      </c>
      <c r="AD164" s="596" t="str">
        <f>IF(InpPerformance!AD25&lt;&gt;"",InpPerformance!AD25,"")</f>
        <v/>
      </c>
      <c r="AE164" s="596" t="str">
        <f>IF(InpPerformance!AE25&lt;&gt;"",InpPerformance!AE25,"")</f>
        <v/>
      </c>
      <c r="AF164" s="596" t="str">
        <f>IF(InpPerformance!AF25&lt;&gt;"",InpPerformance!AF25,"")</f>
        <v/>
      </c>
      <c r="AG164" s="596" t="str">
        <f>IF(InpPerformance!AG25&lt;&gt;"",InpPerformance!AG25,"")</f>
        <v/>
      </c>
      <c r="AH164" s="596" t="str">
        <f>IF(InpPerformance!AH25&lt;&gt;"",InpPerformance!AH25,"")</f>
        <v/>
      </c>
      <c r="AI164" s="596" t="str">
        <f>IF(InpPerformance!AI25&lt;&gt;"",InpPerformance!AI25,"")</f>
        <v/>
      </c>
      <c r="AJ164" s="596" t="str">
        <f>IF(InpPerformance!AJ25&lt;&gt;"",InpPerformance!AJ25,"")</f>
        <v/>
      </c>
      <c r="AK164" s="597" t="str">
        <f>IF(InpPerformance!AK25&lt;&gt;"",InpPerformance!AK25,"")</f>
        <v/>
      </c>
      <c r="AL164" s="596" t="str">
        <f>IF(InpPerformance!AL25&lt;&gt;"",InpPerformance!AL25,"")</f>
        <v/>
      </c>
      <c r="AM164" s="596" t="str">
        <f>IF(InpPerformance!AM25&lt;&gt;"",InpPerformance!AM25,"")</f>
        <v/>
      </c>
      <c r="AN164" s="596" t="str">
        <f>IF(InpPerformance!AN25&lt;&gt;"",InpPerformance!AN25,"")</f>
        <v/>
      </c>
      <c r="AO164" s="597" t="str">
        <f>IF(InpPerformance!AO25&lt;&gt;"",InpPerformance!AO25,"")</f>
        <v/>
      </c>
      <c r="AP164" s="596" t="str">
        <f>IF(InpPerformance!AP25&lt;&gt;"",InpPerformance!AP25,"")</f>
        <v/>
      </c>
      <c r="AQ164" s="596" t="str">
        <f>IF(InpPerformance!AQ25&lt;&gt;"",InpPerformance!AQ25,"")</f>
        <v/>
      </c>
      <c r="AR164" s="596" t="str">
        <f>IF(InpPerformance!AR25&lt;&gt;"",InpPerformance!AR25,"")</f>
        <v/>
      </c>
      <c r="AS164" s="596" t="str">
        <f>IF(InpPerformance!AS25&lt;&gt;"",InpPerformance!AS25,"")</f>
        <v/>
      </c>
      <c r="AT164" s="596" t="str">
        <f>IF(InpPerformance!AT25&lt;&gt;"",InpPerformance!AT25,"")</f>
        <v/>
      </c>
      <c r="AU164" s="596" t="str">
        <f>IF(InpPerformance!AU25&lt;&gt;"",InpPerformance!AU25,"")</f>
        <v/>
      </c>
      <c r="AV164" s="596" t="str">
        <f>IF(InpPerformance!AV25&lt;&gt;"",InpPerformance!AV25,"")</f>
        <v/>
      </c>
      <c r="AW164" s="596" t="str">
        <f>IF(InpPerformance!AW25&lt;&gt;"",InpPerformance!AW25,"")</f>
        <v/>
      </c>
      <c r="AX164" s="596" t="str">
        <f>IF(InpPerformance!AX25&lt;&gt;"",InpPerformance!AX25,"")</f>
        <v/>
      </c>
      <c r="AY164" s="596" t="str">
        <f>IF(InpPerformance!AY25&lt;&gt;"",InpPerformance!AY25,"")</f>
        <v/>
      </c>
      <c r="AZ164" s="596" t="str">
        <f>IF(InpPerformance!AZ25&lt;&gt;"",InpPerformance!AZ25,"")</f>
        <v/>
      </c>
      <c r="BA164" s="596" t="str">
        <f>IF(InpPerformance!BA25&lt;&gt;"",InpPerformance!BA25,"")</f>
        <v/>
      </c>
      <c r="BB164" s="596" t="str">
        <f>IF(InpPerformance!BB25&lt;&gt;"",InpPerformance!BB25,"")</f>
        <v/>
      </c>
      <c r="BC164" s="597" t="str">
        <f>IF(InpPerformance!BC25&lt;&gt;"",InpPerformance!BC25,"")</f>
        <v/>
      </c>
      <c r="BD164" s="596" t="str">
        <f>IF(InpPerformance!BD25&lt;&gt;"",InpPerformance!BD25,"")</f>
        <v/>
      </c>
      <c r="BE164" s="596" t="str">
        <f>IF(InpPerformance!BE25&lt;&gt;"",InpPerformance!BE25,"")</f>
        <v/>
      </c>
      <c r="BF164" s="596" t="str">
        <f>IF(InpPerformance!BF25&lt;&gt;"",InpPerformance!BF25,"")</f>
        <v/>
      </c>
      <c r="BG164" s="596" t="str">
        <f>IF(InpPerformance!BG25&lt;&gt;"",InpPerformance!BG25,"")</f>
        <v/>
      </c>
      <c r="BH164" s="596" t="str">
        <f>IF(InpPerformance!BH25&lt;&gt;"",InpPerformance!BH25,"")</f>
        <v/>
      </c>
      <c r="BI164" s="596" t="str">
        <f>IF(InpPerformance!BI25&lt;&gt;"",InpPerformance!BI25,"")</f>
        <v/>
      </c>
      <c r="BJ164" s="596" t="str">
        <f>IF(InpPerformance!BJ25&lt;&gt;"",InpPerformance!BJ25,"")</f>
        <v/>
      </c>
      <c r="BK164" s="596" t="str">
        <f>IF(InpPerformance!BK25&lt;&gt;"",InpPerformance!BK25,"")</f>
        <v/>
      </c>
      <c r="BL164" s="596" t="str">
        <f>IF(InpPerformance!BL25&lt;&gt;"",InpPerformance!BL25,"")</f>
        <v/>
      </c>
      <c r="BM164" s="596" t="str">
        <f>IF(InpPerformance!BM25&lt;&gt;"",InpPerformance!BM25,"")</f>
        <v/>
      </c>
      <c r="BN164" s="596" t="str">
        <f>IF(InpPerformance!BN25&lt;&gt;"",InpPerformance!BN25,"")</f>
        <v/>
      </c>
      <c r="BO164" s="596" t="str">
        <f>IF(InpPerformance!BO25&lt;&gt;"",InpPerformance!BO25,"")</f>
        <v/>
      </c>
      <c r="BP164" s="596" t="str">
        <f>IF(InpPerformance!BP25&lt;&gt;"",InpPerformance!BP25,"")</f>
        <v/>
      </c>
      <c r="BQ164" s="596" t="str">
        <f>IF(InpPerformance!BQ25&lt;&gt;"",InpPerformance!BQ25,"")</f>
        <v/>
      </c>
      <c r="BR164" s="596" t="str">
        <f>IF(InpPerformance!BR25&lt;&gt;"",InpPerformance!BR25,"")</f>
        <v/>
      </c>
      <c r="BS164" s="596" t="str">
        <f>IF(InpPerformance!BS25&lt;&gt;"",InpPerformance!BS25,"")</f>
        <v/>
      </c>
    </row>
    <row r="165" spans="1:71" s="227" customFormat="1" ht="13.15">
      <c r="A165" s="617"/>
      <c r="B165" s="617"/>
      <c r="C165" s="617"/>
      <c r="D165" s="617"/>
      <c r="E165" s="617"/>
      <c r="F165" s="617"/>
      <c r="G165" s="617"/>
      <c r="H165" s="617"/>
      <c r="I165" s="617"/>
      <c r="J165" s="621"/>
      <c r="K165" s="621"/>
      <c r="L165" s="621"/>
      <c r="M165" s="621"/>
      <c r="N165" s="621"/>
      <c r="O165" s="621"/>
      <c r="P165" s="621"/>
      <c r="Q165" s="622"/>
      <c r="R165" s="621"/>
      <c r="S165" s="621"/>
      <c r="T165" s="621"/>
      <c r="U165" s="621"/>
      <c r="V165" s="621"/>
      <c r="W165" s="621"/>
      <c r="X165" s="621"/>
      <c r="Y165" s="621"/>
      <c r="Z165" s="621"/>
      <c r="AA165" s="621"/>
      <c r="AB165" s="621"/>
      <c r="AC165" s="621"/>
      <c r="AD165" s="621"/>
      <c r="AE165" s="621"/>
      <c r="AF165" s="621"/>
      <c r="AG165" s="621"/>
      <c r="AH165" s="621"/>
      <c r="AI165" s="621"/>
      <c r="AJ165" s="621"/>
      <c r="AK165" s="622"/>
      <c r="AL165" s="621"/>
      <c r="AM165" s="621"/>
      <c r="AN165" s="621"/>
      <c r="AO165" s="622"/>
      <c r="AP165" s="621"/>
      <c r="AQ165" s="621"/>
      <c r="AR165" s="621"/>
      <c r="AS165" s="621"/>
      <c r="AT165" s="621"/>
      <c r="AU165" s="621"/>
      <c r="AV165" s="621"/>
      <c r="AW165" s="621"/>
      <c r="AX165" s="621"/>
      <c r="AY165" s="621"/>
      <c r="AZ165" s="621"/>
      <c r="BA165" s="621"/>
      <c r="BB165" s="621"/>
      <c r="BC165" s="622"/>
      <c r="BD165" s="621"/>
      <c r="BE165" s="621"/>
      <c r="BF165" s="621"/>
      <c r="BG165" s="621"/>
      <c r="BH165" s="621"/>
      <c r="BI165" s="621"/>
      <c r="BJ165" s="621"/>
      <c r="BK165" s="621"/>
      <c r="BL165" s="621"/>
      <c r="BM165" s="621"/>
      <c r="BN165" s="621"/>
      <c r="BO165" s="621"/>
      <c r="BP165" s="621"/>
      <c r="BQ165" s="621"/>
      <c r="BR165" s="621"/>
      <c r="BS165" s="621"/>
    </row>
    <row r="166" spans="1:71" s="228" customFormat="1" ht="13.15">
      <c r="A166" s="583"/>
      <c r="B166" s="583"/>
      <c r="C166" s="583"/>
      <c r="D166" s="583"/>
      <c r="E166" s="583" t="str">
        <f>InpPerformance!E27</f>
        <v>Standard underperformance payments - override (must be negative)</v>
      </c>
      <c r="F166" s="583"/>
      <c r="G166" s="583" t="str">
        <f>InpPerformance!G27</f>
        <v>£m (2017-18 prices)</v>
      </c>
      <c r="H166" s="583"/>
      <c r="I166" s="583"/>
      <c r="J166" s="596" t="str">
        <f>IF(InpPerformance!J27&lt;&gt;"",InpPerformance!J27,"")</f>
        <v/>
      </c>
      <c r="K166" s="596" t="str">
        <f>IF(InpPerformance!K27&lt;&gt;"",InpPerformance!K27,"")</f>
        <v/>
      </c>
      <c r="L166" s="596" t="str">
        <f>IF(InpPerformance!L27&lt;&gt;"",InpPerformance!L27,"")</f>
        <v/>
      </c>
      <c r="M166" s="596" t="str">
        <f>IF(InpPerformance!M27&lt;&gt;"",InpPerformance!M27,"")</f>
        <v/>
      </c>
      <c r="N166" s="596">
        <f>IF(InpPerformance!N27&lt;&gt;"",InpPerformance!N27,"")</f>
        <v>0</v>
      </c>
      <c r="O166" s="596" t="str">
        <f>IF(InpPerformance!O27&lt;&gt;"",InpPerformance!O27,"")</f>
        <v/>
      </c>
      <c r="P166" s="596" t="str">
        <f>IF(InpPerformance!P27&lt;&gt;"",InpPerformance!P27,"")</f>
        <v/>
      </c>
      <c r="Q166" s="597" t="str">
        <f>IF(InpPerformance!Q27&lt;&gt;"",InpPerformance!Q27,"")</f>
        <v/>
      </c>
      <c r="R166" s="596" t="str">
        <f>IF(InpPerformance!R27&lt;&gt;"",InpPerformance!R27,"")</f>
        <v/>
      </c>
      <c r="S166" s="596" t="str">
        <f>IF(InpPerformance!S27&lt;&gt;"",InpPerformance!S27,"")</f>
        <v/>
      </c>
      <c r="T166" s="596" t="str">
        <f>IF(InpPerformance!T27&lt;&gt;"",InpPerformance!T27,"")</f>
        <v/>
      </c>
      <c r="U166" s="596" t="str">
        <f>IF(InpPerformance!U27&lt;&gt;"",InpPerformance!U27,"")</f>
        <v/>
      </c>
      <c r="V166" s="596" t="str">
        <f>IF(InpPerformance!V27&lt;&gt;"",InpPerformance!V27,"")</f>
        <v/>
      </c>
      <c r="W166" s="596" t="str">
        <f>IF(InpPerformance!W27&lt;&gt;"",InpPerformance!W27,"")</f>
        <v/>
      </c>
      <c r="X166" s="596" t="str">
        <f>IF(InpPerformance!X27&lt;&gt;"",InpPerformance!X27,"")</f>
        <v/>
      </c>
      <c r="Y166" s="596" t="str">
        <f>IF(InpPerformance!Y27&lt;&gt;"",InpPerformance!Y27,"")</f>
        <v/>
      </c>
      <c r="Z166" s="596" t="str">
        <f>IF(InpPerformance!Z27&lt;&gt;"",InpPerformance!Z27,"")</f>
        <v/>
      </c>
      <c r="AA166" s="596" t="str">
        <f>IF(InpPerformance!AA27&lt;&gt;"",InpPerformance!AA27,"")</f>
        <v/>
      </c>
      <c r="AB166" s="596" t="str">
        <f>IF(InpPerformance!AB27&lt;&gt;"",InpPerformance!AB27,"")</f>
        <v/>
      </c>
      <c r="AC166" s="596" t="str">
        <f>IF(InpPerformance!AC27&lt;&gt;"",InpPerformance!AC27,"")</f>
        <v/>
      </c>
      <c r="AD166" s="596" t="str">
        <f>IF(InpPerformance!AD27&lt;&gt;"",InpPerformance!AD27,"")</f>
        <v/>
      </c>
      <c r="AE166" s="596" t="str">
        <f>IF(InpPerformance!AE27&lt;&gt;"",InpPerformance!AE27,"")</f>
        <v/>
      </c>
      <c r="AF166" s="596" t="str">
        <f>IF(InpPerformance!AF27&lt;&gt;"",InpPerformance!AF27,"")</f>
        <v/>
      </c>
      <c r="AG166" s="596" t="str">
        <f>IF(InpPerformance!AG27&lt;&gt;"",InpPerformance!AG27,"")</f>
        <v/>
      </c>
      <c r="AH166" s="596" t="str">
        <f>IF(InpPerformance!AH27&lt;&gt;"",InpPerformance!AH27,"")</f>
        <v/>
      </c>
      <c r="AI166" s="596" t="str">
        <f>IF(InpPerformance!AI27&lt;&gt;"",InpPerformance!AI27,"")</f>
        <v/>
      </c>
      <c r="AJ166" s="596" t="str">
        <f>IF(InpPerformance!AJ27&lt;&gt;"",InpPerformance!AJ27,"")</f>
        <v/>
      </c>
      <c r="AK166" s="597" t="str">
        <f>IF(InpPerformance!AK27&lt;&gt;"",InpPerformance!AK27,"")</f>
        <v/>
      </c>
      <c r="AL166" s="596" t="str">
        <f>IF(InpPerformance!AL27&lt;&gt;"",InpPerformance!AL27,"")</f>
        <v/>
      </c>
      <c r="AM166" s="596" t="str">
        <f>IF(InpPerformance!AM27&lt;&gt;"",InpPerformance!AM27,"")</f>
        <v/>
      </c>
      <c r="AN166" s="596" t="str">
        <f>IF(InpPerformance!AN27&lt;&gt;"",InpPerformance!AN27,"")</f>
        <v/>
      </c>
      <c r="AO166" s="597" t="str">
        <f>IF(InpPerformance!AO27&lt;&gt;"",InpPerformance!AO27,"")</f>
        <v/>
      </c>
      <c r="AP166" s="596" t="str">
        <f>IF(InpPerformance!AP27&lt;&gt;"",InpPerformance!AP27,"")</f>
        <v/>
      </c>
      <c r="AQ166" s="596" t="str">
        <f>IF(InpPerformance!AQ27&lt;&gt;"",InpPerformance!AQ27,"")</f>
        <v/>
      </c>
      <c r="AR166" s="596" t="str">
        <f>IF(InpPerformance!AR27&lt;&gt;"",InpPerformance!AR27,"")</f>
        <v/>
      </c>
      <c r="AS166" s="596" t="str">
        <f>IF(InpPerformance!AS27&lt;&gt;"",InpPerformance!AS27,"")</f>
        <v/>
      </c>
      <c r="AT166" s="596" t="str">
        <f>IF(InpPerformance!AT27&lt;&gt;"",InpPerformance!AT27,"")</f>
        <v/>
      </c>
      <c r="AU166" s="596" t="str">
        <f>IF(InpPerformance!AU27&lt;&gt;"",InpPerformance!AU27,"")</f>
        <v/>
      </c>
      <c r="AV166" s="596" t="str">
        <f>IF(InpPerformance!AV27&lt;&gt;"",InpPerformance!AV27,"")</f>
        <v/>
      </c>
      <c r="AW166" s="596" t="str">
        <f>IF(InpPerformance!AW27&lt;&gt;"",InpPerformance!AW27,"")</f>
        <v/>
      </c>
      <c r="AX166" s="596" t="str">
        <f>IF(InpPerformance!AX27&lt;&gt;"",InpPerformance!AX27,"")</f>
        <v/>
      </c>
      <c r="AY166" s="596" t="str">
        <f>IF(InpPerformance!AY27&lt;&gt;"",InpPerformance!AY27,"")</f>
        <v/>
      </c>
      <c r="AZ166" s="596" t="str">
        <f>IF(InpPerformance!AZ27&lt;&gt;"",InpPerformance!AZ27,"")</f>
        <v/>
      </c>
      <c r="BA166" s="596" t="str">
        <f>IF(InpPerformance!BA27&lt;&gt;"",InpPerformance!BA27,"")</f>
        <v/>
      </c>
      <c r="BB166" s="596" t="str">
        <f>IF(InpPerformance!BB27&lt;&gt;"",InpPerformance!BB27,"")</f>
        <v/>
      </c>
      <c r="BC166" s="597" t="str">
        <f>IF(InpPerformance!BC27&lt;&gt;"",InpPerformance!BC27,"")</f>
        <v/>
      </c>
      <c r="BD166" s="596" t="str">
        <f>IF(InpPerformance!BD27&lt;&gt;"",InpPerformance!BD27,"")</f>
        <v/>
      </c>
      <c r="BE166" s="596" t="str">
        <f>IF(InpPerformance!BE27&lt;&gt;"",InpPerformance!BE27,"")</f>
        <v/>
      </c>
      <c r="BF166" s="596" t="str">
        <f>IF(InpPerformance!BF27&lt;&gt;"",InpPerformance!BF27,"")</f>
        <v/>
      </c>
      <c r="BG166" s="596" t="str">
        <f>IF(InpPerformance!BG27&lt;&gt;"",InpPerformance!BG27,"")</f>
        <v/>
      </c>
      <c r="BH166" s="596" t="str">
        <f>IF(InpPerformance!BH27&lt;&gt;"",InpPerformance!BH27,"")</f>
        <v/>
      </c>
      <c r="BI166" s="596" t="str">
        <f>IF(InpPerformance!BI27&lt;&gt;"",InpPerformance!BI27,"")</f>
        <v/>
      </c>
      <c r="BJ166" s="596" t="str">
        <f>IF(InpPerformance!BJ27&lt;&gt;"",InpPerformance!BJ27,"")</f>
        <v/>
      </c>
      <c r="BK166" s="596" t="str">
        <f>IF(InpPerformance!BK27&lt;&gt;"",InpPerformance!BK27,"")</f>
        <v/>
      </c>
      <c r="BL166" s="596" t="str">
        <f>IF(InpPerformance!BL27&lt;&gt;"",InpPerformance!BL27,"")</f>
        <v/>
      </c>
      <c r="BM166" s="596" t="str">
        <f>IF(InpPerformance!BM27&lt;&gt;"",InpPerformance!BM27,"")</f>
        <v/>
      </c>
      <c r="BN166" s="596" t="str">
        <f>IF(InpPerformance!BN27&lt;&gt;"",InpPerformance!BN27,"")</f>
        <v/>
      </c>
      <c r="BO166" s="596" t="str">
        <f>IF(InpPerformance!BO27&lt;&gt;"",InpPerformance!BO27,"")</f>
        <v/>
      </c>
      <c r="BP166" s="596" t="str">
        <f>IF(InpPerformance!BP27&lt;&gt;"",InpPerformance!BP27,"")</f>
        <v/>
      </c>
      <c r="BQ166" s="596" t="str">
        <f>IF(InpPerformance!BQ27&lt;&gt;"",InpPerformance!BQ27,"")</f>
        <v/>
      </c>
      <c r="BR166" s="596" t="str">
        <f>IF(InpPerformance!BR27&lt;&gt;"",InpPerformance!BR27,"")</f>
        <v/>
      </c>
      <c r="BS166" s="596" t="str">
        <f>IF(InpPerformance!BS27&lt;&gt;"",InpPerformance!BS27,"")</f>
        <v/>
      </c>
    </row>
    <row r="167" spans="1:71" s="228" customFormat="1" ht="13.15">
      <c r="A167" s="583"/>
      <c r="B167" s="583"/>
      <c r="C167" s="583"/>
      <c r="D167" s="583"/>
      <c r="E167" s="583" t="str">
        <f>InpPerformance!E28</f>
        <v>Enhanced underperformance payments - override</v>
      </c>
      <c r="F167" s="583"/>
      <c r="G167" s="583" t="str">
        <f>InpPerformance!G28</f>
        <v>£m (2017-18 prices)</v>
      </c>
      <c r="H167" s="583"/>
      <c r="I167" s="583"/>
      <c r="J167" s="596" t="str">
        <f>IF(InpPerformance!J28&lt;&gt;"",InpPerformance!J28,"")</f>
        <v/>
      </c>
      <c r="K167" s="596" t="str">
        <f>IF(InpPerformance!K28&lt;&gt;"",InpPerformance!K28,"")</f>
        <v/>
      </c>
      <c r="L167" s="596" t="str">
        <f>IF(InpPerformance!L28&lt;&gt;"",InpPerformance!L28,"")</f>
        <v/>
      </c>
      <c r="M167" s="596" t="str">
        <f>IF(InpPerformance!M28&lt;&gt;"",InpPerformance!M28,"")</f>
        <v/>
      </c>
      <c r="N167" s="596" t="str">
        <f>IF(InpPerformance!N28&lt;&gt;"",InpPerformance!N28,"")</f>
        <v/>
      </c>
      <c r="O167" s="596" t="str">
        <f>IF(InpPerformance!O28&lt;&gt;"",InpPerformance!O28,"")</f>
        <v/>
      </c>
      <c r="P167" s="596" t="str">
        <f>IF(InpPerformance!P28&lt;&gt;"",InpPerformance!P28,"")</f>
        <v/>
      </c>
      <c r="Q167" s="597" t="str">
        <f>IF(InpPerformance!Q28&lt;&gt;"",InpPerformance!Q28,"")</f>
        <v/>
      </c>
      <c r="R167" s="596" t="str">
        <f>IF(InpPerformance!R28&lt;&gt;"",InpPerformance!R28,"")</f>
        <v/>
      </c>
      <c r="S167" s="596" t="str">
        <f>IF(InpPerformance!S28&lt;&gt;"",InpPerformance!S28,"")</f>
        <v/>
      </c>
      <c r="T167" s="596" t="str">
        <f>IF(InpPerformance!T28&lt;&gt;"",InpPerformance!T28,"")</f>
        <v/>
      </c>
      <c r="U167" s="596" t="str">
        <f>IF(InpPerformance!U28&lt;&gt;"",InpPerformance!U28,"")</f>
        <v/>
      </c>
      <c r="V167" s="596" t="str">
        <f>IF(InpPerformance!V28&lt;&gt;"",InpPerformance!V28,"")</f>
        <v/>
      </c>
      <c r="W167" s="596" t="str">
        <f>IF(InpPerformance!W28&lt;&gt;"",InpPerformance!W28,"")</f>
        <v/>
      </c>
      <c r="X167" s="596" t="str">
        <f>IF(InpPerformance!X28&lt;&gt;"",InpPerformance!X28,"")</f>
        <v/>
      </c>
      <c r="Y167" s="596" t="str">
        <f>IF(InpPerformance!Y28&lt;&gt;"",InpPerformance!Y28,"")</f>
        <v/>
      </c>
      <c r="Z167" s="596" t="str">
        <f>IF(InpPerformance!Z28&lt;&gt;"",InpPerformance!Z28,"")</f>
        <v/>
      </c>
      <c r="AA167" s="596" t="str">
        <f>IF(InpPerformance!AA28&lt;&gt;"",InpPerformance!AA28,"")</f>
        <v/>
      </c>
      <c r="AB167" s="596" t="str">
        <f>IF(InpPerformance!AB28&lt;&gt;"",InpPerformance!AB28,"")</f>
        <v/>
      </c>
      <c r="AC167" s="596" t="str">
        <f>IF(InpPerformance!AC28&lt;&gt;"",InpPerformance!AC28,"")</f>
        <v/>
      </c>
      <c r="AD167" s="596" t="str">
        <f>IF(InpPerformance!AD28&lt;&gt;"",InpPerformance!AD28,"")</f>
        <v/>
      </c>
      <c r="AE167" s="596" t="str">
        <f>IF(InpPerformance!AE28&lt;&gt;"",InpPerformance!AE28,"")</f>
        <v/>
      </c>
      <c r="AF167" s="596" t="str">
        <f>IF(InpPerformance!AF28&lt;&gt;"",InpPerformance!AF28,"")</f>
        <v/>
      </c>
      <c r="AG167" s="596" t="str">
        <f>IF(InpPerformance!AG28&lt;&gt;"",InpPerformance!AG28,"")</f>
        <v/>
      </c>
      <c r="AH167" s="596" t="str">
        <f>IF(InpPerformance!AH28&lt;&gt;"",InpPerformance!AH28,"")</f>
        <v/>
      </c>
      <c r="AI167" s="596" t="str">
        <f>IF(InpPerformance!AI28&lt;&gt;"",InpPerformance!AI28,"")</f>
        <v/>
      </c>
      <c r="AJ167" s="596" t="str">
        <f>IF(InpPerformance!AJ28&lt;&gt;"",InpPerformance!AJ28,"")</f>
        <v/>
      </c>
      <c r="AK167" s="597" t="str">
        <f>IF(InpPerformance!AK28&lt;&gt;"",InpPerformance!AK28,"")</f>
        <v/>
      </c>
      <c r="AL167" s="596" t="str">
        <f>IF(InpPerformance!AL28&lt;&gt;"",InpPerformance!AL28,"")</f>
        <v/>
      </c>
      <c r="AM167" s="596" t="str">
        <f>IF(InpPerformance!AM28&lt;&gt;"",InpPerformance!AM28,"")</f>
        <v/>
      </c>
      <c r="AN167" s="596" t="str">
        <f>IF(InpPerformance!AN28&lt;&gt;"",InpPerformance!AN28,"")</f>
        <v/>
      </c>
      <c r="AO167" s="597" t="str">
        <f>IF(InpPerformance!AO28&lt;&gt;"",InpPerformance!AO28,"")</f>
        <v/>
      </c>
      <c r="AP167" s="596" t="str">
        <f>IF(InpPerformance!AP28&lt;&gt;"",InpPerformance!AP28,"")</f>
        <v/>
      </c>
      <c r="AQ167" s="596" t="str">
        <f>IF(InpPerformance!AQ28&lt;&gt;"",InpPerformance!AQ28,"")</f>
        <v/>
      </c>
      <c r="AR167" s="596" t="str">
        <f>IF(InpPerformance!AR28&lt;&gt;"",InpPerformance!AR28,"")</f>
        <v/>
      </c>
      <c r="AS167" s="596" t="str">
        <f>IF(InpPerformance!AS28&lt;&gt;"",InpPerformance!AS28,"")</f>
        <v/>
      </c>
      <c r="AT167" s="596" t="str">
        <f>IF(InpPerformance!AT28&lt;&gt;"",InpPerformance!AT28,"")</f>
        <v/>
      </c>
      <c r="AU167" s="596" t="str">
        <f>IF(InpPerformance!AU28&lt;&gt;"",InpPerformance!AU28,"")</f>
        <v/>
      </c>
      <c r="AV167" s="596" t="str">
        <f>IF(InpPerformance!AV28&lt;&gt;"",InpPerformance!AV28,"")</f>
        <v/>
      </c>
      <c r="AW167" s="596" t="str">
        <f>IF(InpPerformance!AW28&lt;&gt;"",InpPerformance!AW28,"")</f>
        <v/>
      </c>
      <c r="AX167" s="596" t="str">
        <f>IF(InpPerformance!AX28&lt;&gt;"",InpPerformance!AX28,"")</f>
        <v/>
      </c>
      <c r="AY167" s="596" t="str">
        <f>IF(InpPerformance!AY28&lt;&gt;"",InpPerformance!AY28,"")</f>
        <v/>
      </c>
      <c r="AZ167" s="596" t="str">
        <f>IF(InpPerformance!AZ28&lt;&gt;"",InpPerformance!AZ28,"")</f>
        <v/>
      </c>
      <c r="BA167" s="596" t="str">
        <f>IF(InpPerformance!BA28&lt;&gt;"",InpPerformance!BA28,"")</f>
        <v/>
      </c>
      <c r="BB167" s="596" t="str">
        <f>IF(InpPerformance!BB28&lt;&gt;"",InpPerformance!BB28,"")</f>
        <v/>
      </c>
      <c r="BC167" s="597" t="str">
        <f>IF(InpPerformance!BC28&lt;&gt;"",InpPerformance!BC28,"")</f>
        <v/>
      </c>
      <c r="BD167" s="596" t="str">
        <f>IF(InpPerformance!BD28&lt;&gt;"",InpPerformance!BD28,"")</f>
        <v/>
      </c>
      <c r="BE167" s="596" t="str">
        <f>IF(InpPerformance!BE28&lt;&gt;"",InpPerformance!BE28,"")</f>
        <v/>
      </c>
      <c r="BF167" s="596" t="str">
        <f>IF(InpPerformance!BF28&lt;&gt;"",InpPerformance!BF28,"")</f>
        <v/>
      </c>
      <c r="BG167" s="596" t="str">
        <f>IF(InpPerformance!BG28&lt;&gt;"",InpPerformance!BG28,"")</f>
        <v/>
      </c>
      <c r="BH167" s="596" t="str">
        <f>IF(InpPerformance!BH28&lt;&gt;"",InpPerformance!BH28,"")</f>
        <v/>
      </c>
      <c r="BI167" s="596" t="str">
        <f>IF(InpPerformance!BI28&lt;&gt;"",InpPerformance!BI28,"")</f>
        <v/>
      </c>
      <c r="BJ167" s="596" t="str">
        <f>IF(InpPerformance!BJ28&lt;&gt;"",InpPerformance!BJ28,"")</f>
        <v/>
      </c>
      <c r="BK167" s="596" t="str">
        <f>IF(InpPerformance!BK28&lt;&gt;"",InpPerformance!BK28,"")</f>
        <v/>
      </c>
      <c r="BL167" s="596" t="str">
        <f>IF(InpPerformance!BL28&lt;&gt;"",InpPerformance!BL28,"")</f>
        <v/>
      </c>
      <c r="BM167" s="596" t="str">
        <f>IF(InpPerformance!BM28&lt;&gt;"",InpPerformance!BM28,"")</f>
        <v/>
      </c>
      <c r="BN167" s="596" t="str">
        <f>IF(InpPerformance!BN28&lt;&gt;"",InpPerformance!BN28,"")</f>
        <v/>
      </c>
      <c r="BO167" s="596" t="str">
        <f>IF(InpPerformance!BO28&lt;&gt;"",InpPerformance!BO28,"")</f>
        <v/>
      </c>
      <c r="BP167" s="596" t="str">
        <f>IF(InpPerformance!BP28&lt;&gt;"",InpPerformance!BP28,"")</f>
        <v/>
      </c>
      <c r="BQ167" s="596" t="str">
        <f>IF(InpPerformance!BQ28&lt;&gt;"",InpPerformance!BQ28,"")</f>
        <v/>
      </c>
      <c r="BR167" s="596" t="str">
        <f>IF(InpPerformance!BR28&lt;&gt;"",InpPerformance!BR28,"")</f>
        <v/>
      </c>
      <c r="BS167" s="596" t="str">
        <f>IF(InpPerformance!BS28&lt;&gt;"",InpPerformance!BS28,"")</f>
        <v/>
      </c>
    </row>
    <row r="168" spans="1:71" s="228" customFormat="1" ht="13.15">
      <c r="A168" s="583"/>
      <c r="B168" s="583"/>
      <c r="C168" s="583"/>
      <c r="D168" s="583"/>
      <c r="E168" s="583" t="str">
        <f>InpPerformance!E29</f>
        <v>Additional underperformance payments - override</v>
      </c>
      <c r="F168" s="583"/>
      <c r="G168" s="583" t="str">
        <f>InpPerformance!G29</f>
        <v>£m (2017-18 prices)</v>
      </c>
      <c r="H168" s="583"/>
      <c r="I168" s="583"/>
      <c r="J168" s="596" t="str">
        <f>IF(InpPerformance!J29&lt;&gt;"",InpPerformance!J29,"")</f>
        <v/>
      </c>
      <c r="K168" s="596" t="str">
        <f>IF(InpPerformance!K29&lt;&gt;"",InpPerformance!K29,"")</f>
        <v/>
      </c>
      <c r="L168" s="596" t="str">
        <f>IF(InpPerformance!L29&lt;&gt;"",InpPerformance!L29,"")</f>
        <v/>
      </c>
      <c r="M168" s="596" t="str">
        <f>IF(InpPerformance!M29&lt;&gt;"",InpPerformance!M29,"")</f>
        <v/>
      </c>
      <c r="N168" s="596" t="str">
        <f>IF(InpPerformance!N29&lt;&gt;"",InpPerformance!N29,"")</f>
        <v/>
      </c>
      <c r="O168" s="596" t="str">
        <f>IF(InpPerformance!O29&lt;&gt;"",InpPerformance!O29,"")</f>
        <v/>
      </c>
      <c r="P168" s="596" t="str">
        <f>IF(InpPerformance!P29&lt;&gt;"",InpPerformance!P29,"")</f>
        <v/>
      </c>
      <c r="Q168" s="597" t="str">
        <f>IF(InpPerformance!Q29&lt;&gt;"",InpPerformance!Q29,"")</f>
        <v/>
      </c>
      <c r="R168" s="596" t="str">
        <f>IF(InpPerformance!R29&lt;&gt;"",InpPerformance!R29,"")</f>
        <v/>
      </c>
      <c r="S168" s="596" t="str">
        <f>IF(InpPerformance!S29&lt;&gt;"",InpPerformance!S29,"")</f>
        <v/>
      </c>
      <c r="T168" s="596" t="str">
        <f>IF(InpPerformance!T29&lt;&gt;"",InpPerformance!T29,"")</f>
        <v/>
      </c>
      <c r="U168" s="596" t="str">
        <f>IF(InpPerformance!U29&lt;&gt;"",InpPerformance!U29,"")</f>
        <v/>
      </c>
      <c r="V168" s="596" t="str">
        <f>IF(InpPerformance!V29&lt;&gt;"",InpPerformance!V29,"")</f>
        <v/>
      </c>
      <c r="W168" s="596" t="str">
        <f>IF(InpPerformance!W29&lt;&gt;"",InpPerformance!W29,"")</f>
        <v/>
      </c>
      <c r="X168" s="596" t="str">
        <f>IF(InpPerformance!X29&lt;&gt;"",InpPerformance!X29,"")</f>
        <v/>
      </c>
      <c r="Y168" s="596" t="str">
        <f>IF(InpPerformance!Y29&lt;&gt;"",InpPerformance!Y29,"")</f>
        <v/>
      </c>
      <c r="Z168" s="596" t="str">
        <f>IF(InpPerformance!Z29&lt;&gt;"",InpPerformance!Z29,"")</f>
        <v/>
      </c>
      <c r="AA168" s="596" t="str">
        <f>IF(InpPerformance!AA29&lt;&gt;"",InpPerformance!AA29,"")</f>
        <v/>
      </c>
      <c r="AB168" s="596" t="str">
        <f>IF(InpPerformance!AB29&lt;&gt;"",InpPerformance!AB29,"")</f>
        <v/>
      </c>
      <c r="AC168" s="596" t="str">
        <f>IF(InpPerformance!AC29&lt;&gt;"",InpPerformance!AC29,"")</f>
        <v/>
      </c>
      <c r="AD168" s="596" t="str">
        <f>IF(InpPerformance!AD29&lt;&gt;"",InpPerformance!AD29,"")</f>
        <v/>
      </c>
      <c r="AE168" s="596" t="str">
        <f>IF(InpPerformance!AE29&lt;&gt;"",InpPerformance!AE29,"")</f>
        <v/>
      </c>
      <c r="AF168" s="596" t="str">
        <f>IF(InpPerformance!AF29&lt;&gt;"",InpPerformance!AF29,"")</f>
        <v/>
      </c>
      <c r="AG168" s="596" t="str">
        <f>IF(InpPerformance!AG29&lt;&gt;"",InpPerformance!AG29,"")</f>
        <v/>
      </c>
      <c r="AH168" s="596" t="str">
        <f>IF(InpPerformance!AH29&lt;&gt;"",InpPerformance!AH29,"")</f>
        <v/>
      </c>
      <c r="AI168" s="596" t="str">
        <f>IF(InpPerformance!AI29&lt;&gt;"",InpPerformance!AI29,"")</f>
        <v/>
      </c>
      <c r="AJ168" s="596" t="str">
        <f>IF(InpPerformance!AJ29&lt;&gt;"",InpPerformance!AJ29,"")</f>
        <v/>
      </c>
      <c r="AK168" s="597" t="str">
        <f>IF(InpPerformance!AK29&lt;&gt;"",InpPerformance!AK29,"")</f>
        <v/>
      </c>
      <c r="AL168" s="596" t="str">
        <f>IF(InpPerformance!AL29&lt;&gt;"",InpPerformance!AL29,"")</f>
        <v/>
      </c>
      <c r="AM168" s="596" t="str">
        <f>IF(InpPerformance!AM29&lt;&gt;"",InpPerformance!AM29,"")</f>
        <v/>
      </c>
      <c r="AN168" s="596" t="str">
        <f>IF(InpPerformance!AN29&lt;&gt;"",InpPerformance!AN29,"")</f>
        <v/>
      </c>
      <c r="AO168" s="597" t="str">
        <f>IF(InpPerformance!AO29&lt;&gt;"",InpPerformance!AO29,"")</f>
        <v/>
      </c>
      <c r="AP168" s="596" t="str">
        <f>IF(InpPerformance!AP29&lt;&gt;"",InpPerformance!AP29,"")</f>
        <v/>
      </c>
      <c r="AQ168" s="596" t="str">
        <f>IF(InpPerformance!AQ29&lt;&gt;"",InpPerformance!AQ29,"")</f>
        <v/>
      </c>
      <c r="AR168" s="596" t="str">
        <f>IF(InpPerformance!AR29&lt;&gt;"",InpPerformance!AR29,"")</f>
        <v/>
      </c>
      <c r="AS168" s="596" t="str">
        <f>IF(InpPerformance!AS29&lt;&gt;"",InpPerformance!AS29,"")</f>
        <v/>
      </c>
      <c r="AT168" s="596" t="str">
        <f>IF(InpPerformance!AT29&lt;&gt;"",InpPerformance!AT29,"")</f>
        <v/>
      </c>
      <c r="AU168" s="596" t="str">
        <f>IF(InpPerformance!AU29&lt;&gt;"",InpPerformance!AU29,"")</f>
        <v/>
      </c>
      <c r="AV168" s="596" t="str">
        <f>IF(InpPerformance!AV29&lt;&gt;"",InpPerformance!AV29,"")</f>
        <v/>
      </c>
      <c r="AW168" s="596" t="str">
        <f>IF(InpPerformance!AW29&lt;&gt;"",InpPerformance!AW29,"")</f>
        <v/>
      </c>
      <c r="AX168" s="596" t="str">
        <f>IF(InpPerformance!AX29&lt;&gt;"",InpPerformance!AX29,"")</f>
        <v/>
      </c>
      <c r="AY168" s="596" t="str">
        <f>IF(InpPerformance!AY29&lt;&gt;"",InpPerformance!AY29,"")</f>
        <v/>
      </c>
      <c r="AZ168" s="596" t="str">
        <f>IF(InpPerformance!AZ29&lt;&gt;"",InpPerformance!AZ29,"")</f>
        <v/>
      </c>
      <c r="BA168" s="596" t="str">
        <f>IF(InpPerformance!BA29&lt;&gt;"",InpPerformance!BA29,"")</f>
        <v/>
      </c>
      <c r="BB168" s="596" t="str">
        <f>IF(InpPerformance!BB29&lt;&gt;"",InpPerformance!BB29,"")</f>
        <v/>
      </c>
      <c r="BC168" s="597" t="str">
        <f>IF(InpPerformance!BC29&lt;&gt;"",InpPerformance!BC29,"")</f>
        <v/>
      </c>
      <c r="BD168" s="596" t="str">
        <f>IF(InpPerformance!BD29&lt;&gt;"",InpPerformance!BD29,"")</f>
        <v/>
      </c>
      <c r="BE168" s="596" t="str">
        <f>IF(InpPerformance!BE29&lt;&gt;"",InpPerformance!BE29,"")</f>
        <v/>
      </c>
      <c r="BF168" s="596" t="str">
        <f>IF(InpPerformance!BF29&lt;&gt;"",InpPerformance!BF29,"")</f>
        <v/>
      </c>
      <c r="BG168" s="596" t="str">
        <f>IF(InpPerformance!BG29&lt;&gt;"",InpPerformance!BG29,"")</f>
        <v/>
      </c>
      <c r="BH168" s="596" t="str">
        <f>IF(InpPerformance!BH29&lt;&gt;"",InpPerformance!BH29,"")</f>
        <v/>
      </c>
      <c r="BI168" s="596" t="str">
        <f>IF(InpPerformance!BI29&lt;&gt;"",InpPerformance!BI29,"")</f>
        <v/>
      </c>
      <c r="BJ168" s="596" t="str">
        <f>IF(InpPerformance!BJ29&lt;&gt;"",InpPerformance!BJ29,"")</f>
        <v/>
      </c>
      <c r="BK168" s="596" t="str">
        <f>IF(InpPerformance!BK29&lt;&gt;"",InpPerformance!BK29,"")</f>
        <v/>
      </c>
      <c r="BL168" s="596" t="str">
        <f>IF(InpPerformance!BL29&lt;&gt;"",InpPerformance!BL29,"")</f>
        <v/>
      </c>
      <c r="BM168" s="596" t="str">
        <f>IF(InpPerformance!BM29&lt;&gt;"",InpPerformance!BM29,"")</f>
        <v/>
      </c>
      <c r="BN168" s="596" t="str">
        <f>IF(InpPerformance!BN29&lt;&gt;"",InpPerformance!BN29,"")</f>
        <v/>
      </c>
      <c r="BO168" s="596" t="str">
        <f>IF(InpPerformance!BO29&lt;&gt;"",InpPerformance!BO29,"")</f>
        <v/>
      </c>
      <c r="BP168" s="596" t="str">
        <f>IF(InpPerformance!BP29&lt;&gt;"",InpPerformance!BP29,"")</f>
        <v/>
      </c>
      <c r="BQ168" s="596" t="str">
        <f>IF(InpPerformance!BQ29&lt;&gt;"",InpPerformance!BQ29,"")</f>
        <v/>
      </c>
      <c r="BR168" s="596" t="str">
        <f>IF(InpPerformance!BR29&lt;&gt;"",InpPerformance!BR29,"")</f>
        <v/>
      </c>
      <c r="BS168" s="596" t="str">
        <f>IF(InpPerformance!BS29&lt;&gt;"",InpPerformance!BS29,"")</f>
        <v/>
      </c>
    </row>
    <row r="169" spans="1:71" s="202" customFormat="1" ht="13.15">
      <c r="A169" s="453"/>
      <c r="B169" s="453"/>
      <c r="C169" s="463"/>
      <c r="D169" s="453"/>
      <c r="E169" s="453"/>
      <c r="F169" s="453"/>
      <c r="G169" s="618"/>
      <c r="H169" s="453"/>
      <c r="I169" s="453"/>
      <c r="J169" s="576"/>
      <c r="K169" s="576"/>
      <c r="L169" s="576"/>
      <c r="M169" s="576"/>
      <c r="N169" s="576"/>
      <c r="O169" s="576"/>
      <c r="P169" s="576"/>
      <c r="Q169" s="577"/>
      <c r="R169" s="576"/>
      <c r="S169" s="576"/>
      <c r="T169" s="576"/>
      <c r="U169" s="576"/>
      <c r="V169" s="576"/>
      <c r="W169" s="576"/>
      <c r="X169" s="576"/>
      <c r="Y169" s="576"/>
      <c r="Z169" s="576"/>
      <c r="AA169" s="576"/>
      <c r="AB169" s="576"/>
      <c r="AC169" s="576"/>
      <c r="AD169" s="576"/>
      <c r="AE169" s="576"/>
      <c r="AF169" s="576"/>
      <c r="AG169" s="576"/>
      <c r="AH169" s="576"/>
      <c r="AI169" s="576"/>
      <c r="AJ169" s="576"/>
      <c r="AK169" s="577"/>
      <c r="AL169" s="576"/>
      <c r="AM169" s="576"/>
      <c r="AN169" s="576"/>
      <c r="AO169" s="577"/>
      <c r="AP169" s="576"/>
      <c r="AQ169" s="576"/>
      <c r="AR169" s="576"/>
      <c r="AS169" s="576"/>
      <c r="AT169" s="576"/>
      <c r="AU169" s="576"/>
      <c r="AV169" s="576"/>
      <c r="AW169" s="576"/>
      <c r="AX169" s="576"/>
      <c r="AY169" s="576"/>
      <c r="AZ169" s="576"/>
      <c r="BA169" s="576"/>
      <c r="BB169" s="576"/>
      <c r="BC169" s="577"/>
      <c r="BD169" s="576"/>
      <c r="BE169" s="576"/>
      <c r="BF169" s="576"/>
      <c r="BG169" s="576"/>
      <c r="BH169" s="576"/>
      <c r="BI169" s="576"/>
      <c r="BJ169" s="576"/>
      <c r="BK169" s="576"/>
      <c r="BL169" s="576"/>
      <c r="BM169" s="576"/>
      <c r="BN169" s="576"/>
      <c r="BO169" s="576"/>
      <c r="BP169" s="576"/>
      <c r="BQ169" s="576"/>
      <c r="BR169" s="576"/>
      <c r="BS169" s="576"/>
    </row>
    <row r="170" spans="1:71" s="202" customFormat="1" ht="13.15">
      <c r="A170" s="453"/>
      <c r="B170" s="453"/>
      <c r="C170" s="453"/>
      <c r="D170" s="463" t="s">
        <v>1243</v>
      </c>
      <c r="E170" s="453"/>
      <c r="F170" s="453"/>
      <c r="G170" s="618"/>
      <c r="H170" s="453"/>
      <c r="I170" s="453"/>
      <c r="J170" s="576"/>
      <c r="K170" s="576"/>
      <c r="L170" s="576"/>
      <c r="M170" s="576"/>
      <c r="N170" s="576"/>
      <c r="O170" s="576"/>
      <c r="P170" s="576"/>
      <c r="Q170" s="577"/>
      <c r="R170" s="576"/>
      <c r="S170" s="576"/>
      <c r="T170" s="576"/>
      <c r="U170" s="576"/>
      <c r="V170" s="576"/>
      <c r="W170" s="576"/>
      <c r="X170" s="576"/>
      <c r="Y170" s="576"/>
      <c r="Z170" s="576"/>
      <c r="AA170" s="576"/>
      <c r="AB170" s="576"/>
      <c r="AC170" s="576"/>
      <c r="AD170" s="576"/>
      <c r="AE170" s="576"/>
      <c r="AF170" s="576"/>
      <c r="AG170" s="576"/>
      <c r="AH170" s="576"/>
      <c r="AI170" s="576"/>
      <c r="AJ170" s="576"/>
      <c r="AK170" s="577"/>
      <c r="AL170" s="576"/>
      <c r="AM170" s="576"/>
      <c r="AN170" s="576"/>
      <c r="AO170" s="577"/>
      <c r="AP170" s="576"/>
      <c r="AQ170" s="576"/>
      <c r="AR170" s="576"/>
      <c r="AS170" s="576"/>
      <c r="AT170" s="576"/>
      <c r="AU170" s="576"/>
      <c r="AV170" s="576"/>
      <c r="AW170" s="576"/>
      <c r="AX170" s="576"/>
      <c r="AY170" s="576"/>
      <c r="AZ170" s="576"/>
      <c r="BA170" s="576"/>
      <c r="BB170" s="576"/>
      <c r="BC170" s="577"/>
      <c r="BD170" s="576"/>
      <c r="BE170" s="576"/>
      <c r="BF170" s="576"/>
      <c r="BG170" s="576"/>
      <c r="BH170" s="576"/>
      <c r="BI170" s="576"/>
      <c r="BJ170" s="576"/>
      <c r="BK170" s="576"/>
      <c r="BL170" s="576"/>
      <c r="BM170" s="576"/>
      <c r="BN170" s="576"/>
      <c r="BO170" s="576"/>
      <c r="BP170" s="576"/>
      <c r="BQ170" s="576"/>
      <c r="BR170" s="576"/>
      <c r="BS170" s="576"/>
    </row>
    <row r="171" spans="1:71" s="202" customFormat="1" ht="13.15">
      <c r="A171" s="453"/>
      <c r="B171" s="453"/>
      <c r="C171" s="453"/>
      <c r="D171" s="463"/>
      <c r="E171" s="453" t="str">
        <f>E152&amp;" (post override)"</f>
        <v>Standard outperformance payments (post override)</v>
      </c>
      <c r="F171" s="453"/>
      <c r="G171" s="618" t="str">
        <f>InpCompany!$F$11</f>
        <v>£m (2017-18 prices)</v>
      </c>
      <c r="H171" s="453"/>
      <c r="I171" s="453"/>
      <c r="J171" s="576">
        <f>IF(J$161=TRUE,IF(J162&lt;&gt;"",J162,J152),0)</f>
        <v>0</v>
      </c>
      <c r="K171" s="576">
        <f t="shared" ref="K171:BS173" si="58">IF(K$161=TRUE,IF(K162&lt;&gt;"",K162,K152),0)</f>
        <v>0</v>
      </c>
      <c r="L171" s="576">
        <f t="shared" si="58"/>
        <v>0</v>
      </c>
      <c r="M171" s="576">
        <f>IF(M$161=TRUE,IF(M162&lt;&gt;"",M162,M152),0)</f>
        <v>0</v>
      </c>
      <c r="N171" s="576">
        <f t="shared" si="58"/>
        <v>0</v>
      </c>
      <c r="O171" s="576">
        <f>IF(O$161=TRUE,IF(O162&lt;&gt;"",O162,O152),0)</f>
        <v>0</v>
      </c>
      <c r="P171" s="576">
        <f t="shared" si="58"/>
        <v>0</v>
      </c>
      <c r="Q171" s="577">
        <f t="shared" si="58"/>
        <v>0</v>
      </c>
      <c r="R171" s="576">
        <f t="shared" si="58"/>
        <v>0</v>
      </c>
      <c r="S171" s="576">
        <f t="shared" si="58"/>
        <v>0</v>
      </c>
      <c r="T171" s="576">
        <f t="shared" si="58"/>
        <v>0.51100000000000001</v>
      </c>
      <c r="U171" s="576">
        <f t="shared" si="58"/>
        <v>0</v>
      </c>
      <c r="V171" s="576">
        <f t="shared" si="58"/>
        <v>0</v>
      </c>
      <c r="W171" s="576">
        <f t="shared" si="58"/>
        <v>0</v>
      </c>
      <c r="X171" s="576">
        <f t="shared" si="58"/>
        <v>0</v>
      </c>
      <c r="Y171" s="576">
        <f t="shared" si="58"/>
        <v>0</v>
      </c>
      <c r="Z171" s="576">
        <f t="shared" si="58"/>
        <v>0</v>
      </c>
      <c r="AA171" s="576">
        <f t="shared" si="58"/>
        <v>0</v>
      </c>
      <c r="AB171" s="576">
        <f t="shared" si="58"/>
        <v>0</v>
      </c>
      <c r="AC171" s="576">
        <f t="shared" si="58"/>
        <v>0</v>
      </c>
      <c r="AD171" s="576">
        <f t="shared" si="58"/>
        <v>0</v>
      </c>
      <c r="AE171" s="576">
        <f t="shared" si="58"/>
        <v>0</v>
      </c>
      <c r="AF171" s="576">
        <f t="shared" si="58"/>
        <v>0</v>
      </c>
      <c r="AG171" s="576">
        <f t="shared" si="58"/>
        <v>0</v>
      </c>
      <c r="AH171" s="576">
        <f t="shared" si="58"/>
        <v>0</v>
      </c>
      <c r="AI171" s="576">
        <f t="shared" si="58"/>
        <v>0</v>
      </c>
      <c r="AJ171" s="576">
        <f t="shared" si="58"/>
        <v>0</v>
      </c>
      <c r="AK171" s="577">
        <f t="shared" si="58"/>
        <v>0</v>
      </c>
      <c r="AL171" s="576">
        <f t="shared" si="58"/>
        <v>0</v>
      </c>
      <c r="AM171" s="576">
        <f t="shared" si="58"/>
        <v>0</v>
      </c>
      <c r="AN171" s="576">
        <f t="shared" si="58"/>
        <v>0</v>
      </c>
      <c r="AO171" s="577">
        <f t="shared" si="58"/>
        <v>0</v>
      </c>
      <c r="AP171" s="576">
        <f t="shared" si="58"/>
        <v>2.5990999999999997E-4</v>
      </c>
      <c r="AQ171" s="576">
        <f t="shared" si="58"/>
        <v>0</v>
      </c>
      <c r="AR171" s="576">
        <f t="shared" si="58"/>
        <v>0</v>
      </c>
      <c r="AS171" s="576">
        <f t="shared" si="58"/>
        <v>0</v>
      </c>
      <c r="AT171" s="576">
        <f t="shared" si="58"/>
        <v>0</v>
      </c>
      <c r="AU171" s="576">
        <f t="shared" si="58"/>
        <v>0</v>
      </c>
      <c r="AV171" s="576">
        <f t="shared" si="58"/>
        <v>0</v>
      </c>
      <c r="AW171" s="576">
        <f t="shared" si="58"/>
        <v>0</v>
      </c>
      <c r="AX171" s="576">
        <f t="shared" si="58"/>
        <v>1.7027399999999999</v>
      </c>
      <c r="AY171" s="576">
        <f t="shared" si="58"/>
        <v>0</v>
      </c>
      <c r="AZ171" s="576">
        <f t="shared" si="58"/>
        <v>0</v>
      </c>
      <c r="BA171" s="576">
        <f t="shared" si="58"/>
        <v>0</v>
      </c>
      <c r="BB171" s="576">
        <f t="shared" si="58"/>
        <v>0</v>
      </c>
      <c r="BC171" s="577">
        <f t="shared" si="58"/>
        <v>0</v>
      </c>
      <c r="BD171" s="576">
        <f t="shared" si="58"/>
        <v>0</v>
      </c>
      <c r="BE171" s="576">
        <f t="shared" si="58"/>
        <v>0</v>
      </c>
      <c r="BF171" s="576">
        <f t="shared" ref="BF171:BG173" si="59">IF(BF$161=TRUE,IF(BF162&lt;&gt;"",BF162,BF152),0)</f>
        <v>0</v>
      </c>
      <c r="BG171" s="576">
        <f t="shared" si="59"/>
        <v>0</v>
      </c>
      <c r="BH171" s="576">
        <f t="shared" si="58"/>
        <v>0</v>
      </c>
      <c r="BI171" s="576">
        <f t="shared" si="58"/>
        <v>0</v>
      </c>
      <c r="BJ171" s="576">
        <f t="shared" si="58"/>
        <v>0</v>
      </c>
      <c r="BK171" s="576">
        <f t="shared" si="58"/>
        <v>0</v>
      </c>
      <c r="BL171" s="576">
        <f t="shared" si="58"/>
        <v>0</v>
      </c>
      <c r="BM171" s="576">
        <f t="shared" si="58"/>
        <v>0</v>
      </c>
      <c r="BN171" s="576">
        <f t="shared" si="58"/>
        <v>0</v>
      </c>
      <c r="BO171" s="576">
        <f t="shared" si="58"/>
        <v>0</v>
      </c>
      <c r="BP171" s="576">
        <f t="shared" si="58"/>
        <v>0</v>
      </c>
      <c r="BQ171" s="576">
        <f t="shared" si="58"/>
        <v>0</v>
      </c>
      <c r="BR171" s="576">
        <f t="shared" si="58"/>
        <v>0</v>
      </c>
      <c r="BS171" s="576">
        <f t="shared" si="58"/>
        <v>0</v>
      </c>
    </row>
    <row r="172" spans="1:71" s="202" customFormat="1" ht="13.15">
      <c r="A172" s="453"/>
      <c r="B172" s="453"/>
      <c r="C172" s="453"/>
      <c r="D172" s="463"/>
      <c r="E172" s="453" t="str">
        <f>E153&amp;" (post override)"</f>
        <v>Enhanced outperformance payments (post override)</v>
      </c>
      <c r="F172" s="453"/>
      <c r="G172" s="618" t="str">
        <f>InpCompany!$F$11</f>
        <v>£m (2017-18 prices)</v>
      </c>
      <c r="H172" s="453"/>
      <c r="I172" s="453"/>
      <c r="J172" s="576">
        <f>IF(J$161=TRUE,IF(J163&lt;&gt;"",J163,J153),0)</f>
        <v>0</v>
      </c>
      <c r="K172" s="576">
        <f t="shared" si="58"/>
        <v>0</v>
      </c>
      <c r="L172" s="576">
        <f t="shared" si="58"/>
        <v>0</v>
      </c>
      <c r="M172" s="576">
        <f>IF(M$161=TRUE,IF(M163&lt;&gt;"",M163,M153),0)</f>
        <v>0</v>
      </c>
      <c r="N172" s="576">
        <f t="shared" si="58"/>
        <v>0</v>
      </c>
      <c r="O172" s="576">
        <f>IF(O$161=TRUE,IF(O163&lt;&gt;"",O163,O153),0)</f>
        <v>0</v>
      </c>
      <c r="P172" s="576">
        <f t="shared" si="58"/>
        <v>0</v>
      </c>
      <c r="Q172" s="577">
        <f t="shared" si="58"/>
        <v>0</v>
      </c>
      <c r="R172" s="576">
        <f t="shared" si="58"/>
        <v>0</v>
      </c>
      <c r="S172" s="576">
        <f t="shared" si="58"/>
        <v>0</v>
      </c>
      <c r="T172" s="576">
        <f t="shared" si="58"/>
        <v>0</v>
      </c>
      <c r="U172" s="576">
        <f t="shared" si="58"/>
        <v>0</v>
      </c>
      <c r="V172" s="576">
        <f t="shared" si="58"/>
        <v>0</v>
      </c>
      <c r="W172" s="576">
        <f t="shared" si="58"/>
        <v>0</v>
      </c>
      <c r="X172" s="576">
        <f t="shared" si="58"/>
        <v>0</v>
      </c>
      <c r="Y172" s="576">
        <f t="shared" si="58"/>
        <v>0</v>
      </c>
      <c r="Z172" s="576">
        <f t="shared" si="58"/>
        <v>0</v>
      </c>
      <c r="AA172" s="576">
        <f t="shared" si="58"/>
        <v>0</v>
      </c>
      <c r="AB172" s="576">
        <f t="shared" si="58"/>
        <v>0</v>
      </c>
      <c r="AC172" s="576">
        <f t="shared" si="58"/>
        <v>0</v>
      </c>
      <c r="AD172" s="576">
        <f t="shared" si="58"/>
        <v>0</v>
      </c>
      <c r="AE172" s="576">
        <f t="shared" si="58"/>
        <v>0</v>
      </c>
      <c r="AF172" s="576">
        <f t="shared" si="58"/>
        <v>0</v>
      </c>
      <c r="AG172" s="576">
        <f t="shared" si="58"/>
        <v>0</v>
      </c>
      <c r="AH172" s="576">
        <f t="shared" si="58"/>
        <v>0</v>
      </c>
      <c r="AI172" s="576">
        <f t="shared" si="58"/>
        <v>0</v>
      </c>
      <c r="AJ172" s="576">
        <f t="shared" si="58"/>
        <v>0</v>
      </c>
      <c r="AK172" s="577">
        <f t="shared" si="58"/>
        <v>0</v>
      </c>
      <c r="AL172" s="576">
        <f t="shared" si="58"/>
        <v>0</v>
      </c>
      <c r="AM172" s="576">
        <f t="shared" si="58"/>
        <v>0</v>
      </c>
      <c r="AN172" s="576">
        <f t="shared" si="58"/>
        <v>0</v>
      </c>
      <c r="AO172" s="577">
        <f t="shared" si="58"/>
        <v>0</v>
      </c>
      <c r="AP172" s="576">
        <f t="shared" si="58"/>
        <v>0</v>
      </c>
      <c r="AQ172" s="576">
        <f t="shared" si="58"/>
        <v>0</v>
      </c>
      <c r="AR172" s="576">
        <f t="shared" si="58"/>
        <v>0</v>
      </c>
      <c r="AS172" s="576">
        <f t="shared" si="58"/>
        <v>0</v>
      </c>
      <c r="AT172" s="576">
        <f t="shared" si="58"/>
        <v>0</v>
      </c>
      <c r="AU172" s="576">
        <f t="shared" si="58"/>
        <v>0</v>
      </c>
      <c r="AV172" s="576">
        <f t="shared" si="58"/>
        <v>0</v>
      </c>
      <c r="AW172" s="576">
        <f t="shared" si="58"/>
        <v>0</v>
      </c>
      <c r="AX172" s="576">
        <f t="shared" si="58"/>
        <v>0</v>
      </c>
      <c r="AY172" s="576">
        <f t="shared" si="58"/>
        <v>0</v>
      </c>
      <c r="AZ172" s="576">
        <f t="shared" si="58"/>
        <v>0</v>
      </c>
      <c r="BA172" s="576">
        <f t="shared" si="58"/>
        <v>0</v>
      </c>
      <c r="BB172" s="576">
        <f t="shared" si="58"/>
        <v>0</v>
      </c>
      <c r="BC172" s="577">
        <f t="shared" si="58"/>
        <v>0</v>
      </c>
      <c r="BD172" s="576">
        <f t="shared" si="58"/>
        <v>0</v>
      </c>
      <c r="BE172" s="576">
        <f t="shared" si="58"/>
        <v>0</v>
      </c>
      <c r="BF172" s="576">
        <f t="shared" si="59"/>
        <v>0</v>
      </c>
      <c r="BG172" s="576">
        <f t="shared" si="59"/>
        <v>0</v>
      </c>
      <c r="BH172" s="576">
        <f t="shared" si="58"/>
        <v>0</v>
      </c>
      <c r="BI172" s="576">
        <f t="shared" si="58"/>
        <v>0</v>
      </c>
      <c r="BJ172" s="576">
        <f t="shared" si="58"/>
        <v>0</v>
      </c>
      <c r="BK172" s="576">
        <f t="shared" si="58"/>
        <v>0</v>
      </c>
      <c r="BL172" s="576">
        <f t="shared" si="58"/>
        <v>0</v>
      </c>
      <c r="BM172" s="576">
        <f t="shared" si="58"/>
        <v>0</v>
      </c>
      <c r="BN172" s="576">
        <f t="shared" si="58"/>
        <v>0</v>
      </c>
      <c r="BO172" s="576">
        <f t="shared" si="58"/>
        <v>0</v>
      </c>
      <c r="BP172" s="576">
        <f t="shared" si="58"/>
        <v>0</v>
      </c>
      <c r="BQ172" s="576">
        <f t="shared" si="58"/>
        <v>0</v>
      </c>
      <c r="BR172" s="576">
        <f t="shared" si="58"/>
        <v>0</v>
      </c>
      <c r="BS172" s="576">
        <f t="shared" si="58"/>
        <v>0</v>
      </c>
    </row>
    <row r="173" spans="1:71" s="202" customFormat="1" ht="13.15">
      <c r="A173" s="453"/>
      <c r="B173" s="453"/>
      <c r="C173" s="453"/>
      <c r="D173" s="463"/>
      <c r="E173" s="453" t="str">
        <f>E154&amp;" (post override)"</f>
        <v>Additional outperformance payments (post override)</v>
      </c>
      <c r="F173" s="453"/>
      <c r="G173" s="618" t="str">
        <f>InpCompany!$F$11</f>
        <v>£m (2017-18 prices)</v>
      </c>
      <c r="H173" s="453"/>
      <c r="I173" s="453"/>
      <c r="J173" s="576">
        <f>IF(J$161=TRUE,IF(J164&lt;&gt;"",J164,J154),0)</f>
        <v>0</v>
      </c>
      <c r="K173" s="576">
        <f t="shared" si="58"/>
        <v>0</v>
      </c>
      <c r="L173" s="576">
        <f t="shared" si="58"/>
        <v>0</v>
      </c>
      <c r="M173" s="576">
        <f>IF(M$161=TRUE,IF(M164&lt;&gt;"",M164,M154),0)</f>
        <v>0</v>
      </c>
      <c r="N173" s="576">
        <f t="shared" si="58"/>
        <v>0</v>
      </c>
      <c r="O173" s="576">
        <f>IF(O$161=TRUE,IF(O164&lt;&gt;"",O164,O154),0)</f>
        <v>0</v>
      </c>
      <c r="P173" s="576">
        <f t="shared" si="58"/>
        <v>0</v>
      </c>
      <c r="Q173" s="577">
        <f t="shared" si="58"/>
        <v>0</v>
      </c>
      <c r="R173" s="576">
        <f t="shared" si="58"/>
        <v>0</v>
      </c>
      <c r="S173" s="576">
        <f t="shared" si="58"/>
        <v>0</v>
      </c>
      <c r="T173" s="576">
        <f t="shared" si="58"/>
        <v>0</v>
      </c>
      <c r="U173" s="576">
        <f t="shared" si="58"/>
        <v>0</v>
      </c>
      <c r="V173" s="576">
        <f t="shared" si="58"/>
        <v>0</v>
      </c>
      <c r="W173" s="576">
        <f t="shared" si="58"/>
        <v>0</v>
      </c>
      <c r="X173" s="576">
        <f t="shared" si="58"/>
        <v>0</v>
      </c>
      <c r="Y173" s="576">
        <f t="shared" si="58"/>
        <v>0</v>
      </c>
      <c r="Z173" s="576">
        <f t="shared" si="58"/>
        <v>0</v>
      </c>
      <c r="AA173" s="576">
        <f t="shared" si="58"/>
        <v>0</v>
      </c>
      <c r="AB173" s="576">
        <f t="shared" si="58"/>
        <v>0</v>
      </c>
      <c r="AC173" s="576">
        <f t="shared" si="58"/>
        <v>0</v>
      </c>
      <c r="AD173" s="576">
        <f t="shared" si="58"/>
        <v>0</v>
      </c>
      <c r="AE173" s="576">
        <f t="shared" si="58"/>
        <v>0</v>
      </c>
      <c r="AF173" s="576">
        <f t="shared" si="58"/>
        <v>0</v>
      </c>
      <c r="AG173" s="576">
        <f t="shared" si="58"/>
        <v>0</v>
      </c>
      <c r="AH173" s="576">
        <f t="shared" si="58"/>
        <v>0</v>
      </c>
      <c r="AI173" s="576">
        <f t="shared" si="58"/>
        <v>0</v>
      </c>
      <c r="AJ173" s="576">
        <f t="shared" si="58"/>
        <v>0</v>
      </c>
      <c r="AK173" s="577">
        <f t="shared" si="58"/>
        <v>0</v>
      </c>
      <c r="AL173" s="576">
        <f t="shared" si="58"/>
        <v>0</v>
      </c>
      <c r="AM173" s="576">
        <f t="shared" si="58"/>
        <v>0</v>
      </c>
      <c r="AN173" s="576">
        <f t="shared" si="58"/>
        <v>0</v>
      </c>
      <c r="AO173" s="577">
        <f t="shared" si="58"/>
        <v>0</v>
      </c>
      <c r="AP173" s="576">
        <f t="shared" si="58"/>
        <v>0</v>
      </c>
      <c r="AQ173" s="576">
        <f t="shared" si="58"/>
        <v>0</v>
      </c>
      <c r="AR173" s="576">
        <f t="shared" si="58"/>
        <v>0</v>
      </c>
      <c r="AS173" s="576">
        <f t="shared" si="58"/>
        <v>0</v>
      </c>
      <c r="AT173" s="576">
        <f t="shared" si="58"/>
        <v>0</v>
      </c>
      <c r="AU173" s="576">
        <f t="shared" si="58"/>
        <v>0</v>
      </c>
      <c r="AV173" s="576">
        <f t="shared" si="58"/>
        <v>0</v>
      </c>
      <c r="AW173" s="576">
        <f t="shared" si="58"/>
        <v>0</v>
      </c>
      <c r="AX173" s="576">
        <f t="shared" si="58"/>
        <v>0</v>
      </c>
      <c r="AY173" s="576">
        <f t="shared" si="58"/>
        <v>0</v>
      </c>
      <c r="AZ173" s="576">
        <f t="shared" si="58"/>
        <v>0</v>
      </c>
      <c r="BA173" s="576">
        <f t="shared" si="58"/>
        <v>0</v>
      </c>
      <c r="BB173" s="576">
        <f t="shared" si="58"/>
        <v>0</v>
      </c>
      <c r="BC173" s="577">
        <f t="shared" si="58"/>
        <v>0</v>
      </c>
      <c r="BD173" s="576">
        <f t="shared" si="58"/>
        <v>0</v>
      </c>
      <c r="BE173" s="576">
        <f t="shared" si="58"/>
        <v>0</v>
      </c>
      <c r="BF173" s="576">
        <f t="shared" si="59"/>
        <v>0</v>
      </c>
      <c r="BG173" s="576">
        <f t="shared" si="59"/>
        <v>0</v>
      </c>
      <c r="BH173" s="576">
        <f t="shared" si="58"/>
        <v>0</v>
      </c>
      <c r="BI173" s="576">
        <f t="shared" si="58"/>
        <v>0</v>
      </c>
      <c r="BJ173" s="576">
        <f t="shared" si="58"/>
        <v>0</v>
      </c>
      <c r="BK173" s="576">
        <f t="shared" si="58"/>
        <v>0</v>
      </c>
      <c r="BL173" s="576">
        <f t="shared" si="58"/>
        <v>0</v>
      </c>
      <c r="BM173" s="576">
        <f t="shared" si="58"/>
        <v>0</v>
      </c>
      <c r="BN173" s="576">
        <f t="shared" si="58"/>
        <v>0</v>
      </c>
      <c r="BO173" s="576">
        <f t="shared" si="58"/>
        <v>0</v>
      </c>
      <c r="BP173" s="576">
        <f t="shared" si="58"/>
        <v>0</v>
      </c>
      <c r="BQ173" s="576">
        <f t="shared" si="58"/>
        <v>0</v>
      </c>
      <c r="BR173" s="576">
        <f t="shared" si="58"/>
        <v>0</v>
      </c>
      <c r="BS173" s="576">
        <f t="shared" si="58"/>
        <v>0</v>
      </c>
    </row>
    <row r="174" spans="1:71" s="202" customFormat="1" ht="13.15">
      <c r="A174" s="453"/>
      <c r="B174" s="453"/>
      <c r="C174" s="453"/>
      <c r="D174" s="453"/>
      <c r="E174" s="453" t="s">
        <v>1244</v>
      </c>
      <c r="F174" s="453"/>
      <c r="G174" s="618" t="str">
        <f>InpCompany!$F$11</f>
        <v>£m (2017-18 prices)</v>
      </c>
      <c r="H174" s="453"/>
      <c r="I174" s="453"/>
      <c r="J174" s="576">
        <f>SUM(J171:J173)</f>
        <v>0</v>
      </c>
      <c r="K174" s="576">
        <f t="shared" ref="K174:BS174" si="60">SUM(K171:K173)</f>
        <v>0</v>
      </c>
      <c r="L174" s="576">
        <f t="shared" si="60"/>
        <v>0</v>
      </c>
      <c r="M174" s="576">
        <f>SUM(M171:M173)</f>
        <v>0</v>
      </c>
      <c r="N174" s="576">
        <f t="shared" si="60"/>
        <v>0</v>
      </c>
      <c r="O174" s="576">
        <f>SUM(O171:O173)</f>
        <v>0</v>
      </c>
      <c r="P174" s="576">
        <f t="shared" si="60"/>
        <v>0</v>
      </c>
      <c r="Q174" s="577">
        <f t="shared" si="60"/>
        <v>0</v>
      </c>
      <c r="R174" s="576">
        <f t="shared" si="60"/>
        <v>0</v>
      </c>
      <c r="S174" s="576">
        <f t="shared" si="60"/>
        <v>0</v>
      </c>
      <c r="T174" s="576">
        <f t="shared" si="60"/>
        <v>0.51100000000000001</v>
      </c>
      <c r="U174" s="576">
        <f t="shared" si="60"/>
        <v>0</v>
      </c>
      <c r="V174" s="576">
        <f t="shared" si="60"/>
        <v>0</v>
      </c>
      <c r="W174" s="576">
        <f t="shared" si="60"/>
        <v>0</v>
      </c>
      <c r="X174" s="576">
        <f t="shared" si="60"/>
        <v>0</v>
      </c>
      <c r="Y174" s="576">
        <f t="shared" si="60"/>
        <v>0</v>
      </c>
      <c r="Z174" s="576">
        <f t="shared" si="60"/>
        <v>0</v>
      </c>
      <c r="AA174" s="576">
        <f t="shared" si="60"/>
        <v>0</v>
      </c>
      <c r="AB174" s="576">
        <f t="shared" si="60"/>
        <v>0</v>
      </c>
      <c r="AC174" s="576">
        <f t="shared" si="60"/>
        <v>0</v>
      </c>
      <c r="AD174" s="576">
        <f t="shared" si="60"/>
        <v>0</v>
      </c>
      <c r="AE174" s="576">
        <f t="shared" si="60"/>
        <v>0</v>
      </c>
      <c r="AF174" s="576">
        <f t="shared" si="60"/>
        <v>0</v>
      </c>
      <c r="AG174" s="576">
        <f t="shared" si="60"/>
        <v>0</v>
      </c>
      <c r="AH174" s="576">
        <f t="shared" si="60"/>
        <v>0</v>
      </c>
      <c r="AI174" s="576">
        <f t="shared" si="60"/>
        <v>0</v>
      </c>
      <c r="AJ174" s="576">
        <f t="shared" si="60"/>
        <v>0</v>
      </c>
      <c r="AK174" s="577">
        <f t="shared" si="60"/>
        <v>0</v>
      </c>
      <c r="AL174" s="576">
        <f t="shared" si="60"/>
        <v>0</v>
      </c>
      <c r="AM174" s="576">
        <f t="shared" si="60"/>
        <v>0</v>
      </c>
      <c r="AN174" s="576">
        <f t="shared" si="60"/>
        <v>0</v>
      </c>
      <c r="AO174" s="577">
        <f t="shared" si="60"/>
        <v>0</v>
      </c>
      <c r="AP174" s="576">
        <f t="shared" si="60"/>
        <v>2.5990999999999997E-4</v>
      </c>
      <c r="AQ174" s="576">
        <f t="shared" si="60"/>
        <v>0</v>
      </c>
      <c r="AR174" s="576">
        <f t="shared" si="60"/>
        <v>0</v>
      </c>
      <c r="AS174" s="576">
        <f t="shared" si="60"/>
        <v>0</v>
      </c>
      <c r="AT174" s="576">
        <f t="shared" si="60"/>
        <v>0</v>
      </c>
      <c r="AU174" s="576">
        <f t="shared" si="60"/>
        <v>0</v>
      </c>
      <c r="AV174" s="576">
        <f t="shared" si="60"/>
        <v>0</v>
      </c>
      <c r="AW174" s="576">
        <f t="shared" si="60"/>
        <v>0</v>
      </c>
      <c r="AX174" s="576">
        <f t="shared" si="60"/>
        <v>1.7027399999999999</v>
      </c>
      <c r="AY174" s="576">
        <f t="shared" si="60"/>
        <v>0</v>
      </c>
      <c r="AZ174" s="576">
        <f t="shared" si="60"/>
        <v>0</v>
      </c>
      <c r="BA174" s="576">
        <f t="shared" si="60"/>
        <v>0</v>
      </c>
      <c r="BB174" s="576">
        <f t="shared" si="60"/>
        <v>0</v>
      </c>
      <c r="BC174" s="577">
        <f t="shared" si="60"/>
        <v>0</v>
      </c>
      <c r="BD174" s="576">
        <f t="shared" si="60"/>
        <v>0</v>
      </c>
      <c r="BE174" s="576">
        <f t="shared" si="60"/>
        <v>0</v>
      </c>
      <c r="BF174" s="576">
        <f>SUM(BF171:BF173)</f>
        <v>0</v>
      </c>
      <c r="BG174" s="576">
        <f>SUM(BG171:BG173)</f>
        <v>0</v>
      </c>
      <c r="BH174" s="576">
        <f t="shared" si="60"/>
        <v>0</v>
      </c>
      <c r="BI174" s="576">
        <f t="shared" si="60"/>
        <v>0</v>
      </c>
      <c r="BJ174" s="576">
        <f t="shared" si="60"/>
        <v>0</v>
      </c>
      <c r="BK174" s="576">
        <f t="shared" si="60"/>
        <v>0</v>
      </c>
      <c r="BL174" s="576">
        <f t="shared" si="60"/>
        <v>0</v>
      </c>
      <c r="BM174" s="576">
        <f t="shared" si="60"/>
        <v>0</v>
      </c>
      <c r="BN174" s="576">
        <f t="shared" si="60"/>
        <v>0</v>
      </c>
      <c r="BO174" s="576">
        <f t="shared" si="60"/>
        <v>0</v>
      </c>
      <c r="BP174" s="576">
        <f t="shared" si="60"/>
        <v>0</v>
      </c>
      <c r="BQ174" s="576">
        <f t="shared" si="60"/>
        <v>0</v>
      </c>
      <c r="BR174" s="576">
        <f t="shared" si="60"/>
        <v>0</v>
      </c>
      <c r="BS174" s="576">
        <f t="shared" si="60"/>
        <v>0</v>
      </c>
    </row>
    <row r="175" spans="1:71" s="202" customFormat="1" ht="13.15">
      <c r="A175" s="453"/>
      <c r="B175" s="453"/>
      <c r="C175" s="453"/>
      <c r="D175" s="453"/>
      <c r="E175" s="453"/>
      <c r="F175" s="453"/>
      <c r="G175" s="618"/>
      <c r="H175" s="453"/>
      <c r="I175" s="453"/>
      <c r="J175" s="576"/>
      <c r="K175" s="576"/>
      <c r="L175" s="576"/>
      <c r="M175" s="576"/>
      <c r="N175" s="576"/>
      <c r="O175" s="576"/>
      <c r="P175" s="576"/>
      <c r="Q175" s="577"/>
      <c r="R175" s="576"/>
      <c r="S175" s="576"/>
      <c r="T175" s="576"/>
      <c r="U175" s="576"/>
      <c r="V175" s="576"/>
      <c r="W175" s="576"/>
      <c r="X175" s="576"/>
      <c r="Y175" s="576"/>
      <c r="Z175" s="576"/>
      <c r="AA175" s="576"/>
      <c r="AB175" s="576"/>
      <c r="AC175" s="576"/>
      <c r="AD175" s="576"/>
      <c r="AE175" s="576"/>
      <c r="AF175" s="576"/>
      <c r="AG175" s="576"/>
      <c r="AH175" s="576"/>
      <c r="AI175" s="576"/>
      <c r="AJ175" s="576"/>
      <c r="AK175" s="577"/>
      <c r="AL175" s="576"/>
      <c r="AM175" s="576"/>
      <c r="AN175" s="576"/>
      <c r="AO175" s="577"/>
      <c r="AP175" s="576"/>
      <c r="AQ175" s="576"/>
      <c r="AR175" s="576"/>
      <c r="AS175" s="576"/>
      <c r="AT175" s="576"/>
      <c r="AU175" s="576"/>
      <c r="AV175" s="576"/>
      <c r="AW175" s="576"/>
      <c r="AX175" s="576"/>
      <c r="AY175" s="576"/>
      <c r="AZ175" s="576"/>
      <c r="BA175" s="576"/>
      <c r="BB175" s="576"/>
      <c r="BC175" s="577"/>
      <c r="BD175" s="576"/>
      <c r="BE175" s="576"/>
      <c r="BF175" s="576"/>
      <c r="BG175" s="576"/>
      <c r="BH175" s="576"/>
      <c r="BI175" s="576"/>
      <c r="BJ175" s="576"/>
      <c r="BK175" s="576"/>
      <c r="BL175" s="576"/>
      <c r="BM175" s="576"/>
      <c r="BN175" s="576"/>
      <c r="BO175" s="576"/>
      <c r="BP175" s="576"/>
      <c r="BQ175" s="576"/>
      <c r="BR175" s="576"/>
      <c r="BS175" s="576"/>
    </row>
    <row r="176" spans="1:71" s="202" customFormat="1" ht="13.15">
      <c r="A176" s="453"/>
      <c r="B176" s="453"/>
      <c r="C176" s="453"/>
      <c r="D176" s="453"/>
      <c r="E176" s="453" t="str">
        <f>E156&amp;" (post override)"</f>
        <v>Standard underperformance payments (post override)</v>
      </c>
      <c r="F176" s="453"/>
      <c r="G176" s="618" t="str">
        <f>InpCompany!$F$11</f>
        <v>£m (2017-18 prices)</v>
      </c>
      <c r="H176" s="453"/>
      <c r="I176" s="453"/>
      <c r="J176" s="576">
        <f>IF(J$161=TRUE,IF(J166&lt;&gt;"",J166,J156),0)</f>
        <v>-0.67195999999999989</v>
      </c>
      <c r="K176" s="576">
        <f t="shared" ref="K176:BS178" si="61">IF(K$161=TRUE,IF(K166&lt;&gt;"",K166,K156),0)</f>
        <v>-4.2374666666666672</v>
      </c>
      <c r="L176" s="576">
        <f t="shared" si="61"/>
        <v>-4.3460000000000001</v>
      </c>
      <c r="M176" s="576">
        <f>IF(M$161=TRUE,IF(M166&lt;&gt;"",M166,M156),0)</f>
        <v>0</v>
      </c>
      <c r="N176" s="576">
        <f t="shared" si="61"/>
        <v>0</v>
      </c>
      <c r="O176" s="576">
        <f>IF(O$161=TRUE,IF(O166&lt;&gt;"",O166,O156),0)</f>
        <v>0</v>
      </c>
      <c r="P176" s="576">
        <f t="shared" si="61"/>
        <v>-1.9907999999999992</v>
      </c>
      <c r="Q176" s="577">
        <f t="shared" si="61"/>
        <v>0</v>
      </c>
      <c r="R176" s="576">
        <f t="shared" si="61"/>
        <v>-2.0789999999999997</v>
      </c>
      <c r="S176" s="576">
        <f t="shared" si="61"/>
        <v>-9.2399999999999954E-2</v>
      </c>
      <c r="T176" s="576">
        <f t="shared" si="61"/>
        <v>0</v>
      </c>
      <c r="U176" s="576">
        <f t="shared" si="61"/>
        <v>0</v>
      </c>
      <c r="V176" s="576">
        <f t="shared" si="61"/>
        <v>-0.6</v>
      </c>
      <c r="W176" s="576">
        <f t="shared" si="61"/>
        <v>0</v>
      </c>
      <c r="X176" s="576">
        <f>IF(X$161=TRUE,IF(X166&lt;&gt;"",X166,X156),0)</f>
        <v>0</v>
      </c>
      <c r="Y176" s="576">
        <f t="shared" si="61"/>
        <v>0</v>
      </c>
      <c r="Z176" s="576">
        <f t="shared" si="61"/>
        <v>-0.32354399999999994</v>
      </c>
      <c r="AA176" s="576">
        <f t="shared" si="61"/>
        <v>0</v>
      </c>
      <c r="AB176" s="576">
        <f t="shared" si="61"/>
        <v>0</v>
      </c>
      <c r="AC176" s="576">
        <f t="shared" si="61"/>
        <v>0</v>
      </c>
      <c r="AD176" s="576">
        <f t="shared" si="61"/>
        <v>0</v>
      </c>
      <c r="AE176" s="576">
        <f t="shared" si="61"/>
        <v>0</v>
      </c>
      <c r="AF176" s="576">
        <f t="shared" si="61"/>
        <v>0</v>
      </c>
      <c r="AG176" s="576">
        <f t="shared" si="61"/>
        <v>0</v>
      </c>
      <c r="AH176" s="576">
        <f t="shared" si="61"/>
        <v>0</v>
      </c>
      <c r="AI176" s="576">
        <f t="shared" si="61"/>
        <v>0</v>
      </c>
      <c r="AJ176" s="576">
        <f t="shared" si="61"/>
        <v>0</v>
      </c>
      <c r="AK176" s="577">
        <f t="shared" si="61"/>
        <v>0</v>
      </c>
      <c r="AL176" s="576">
        <f t="shared" si="61"/>
        <v>-6.2794099999999995</v>
      </c>
      <c r="AM176" s="576">
        <f t="shared" si="61"/>
        <v>-8.3821499999999993</v>
      </c>
      <c r="AN176" s="576">
        <f t="shared" si="61"/>
        <v>-0.58975999999999884</v>
      </c>
      <c r="AO176" s="577">
        <f t="shared" si="61"/>
        <v>0</v>
      </c>
      <c r="AP176" s="576">
        <f t="shared" si="61"/>
        <v>0</v>
      </c>
      <c r="AQ176" s="576">
        <f t="shared" si="61"/>
        <v>-1.3260000000000001</v>
      </c>
      <c r="AR176" s="576">
        <f t="shared" si="61"/>
        <v>0</v>
      </c>
      <c r="AS176" s="576">
        <f t="shared" si="61"/>
        <v>0</v>
      </c>
      <c r="AT176" s="576">
        <f t="shared" si="61"/>
        <v>-4.05</v>
      </c>
      <c r="AU176" s="576">
        <f t="shared" si="61"/>
        <v>0</v>
      </c>
      <c r="AV176" s="576">
        <f t="shared" si="61"/>
        <v>0</v>
      </c>
      <c r="AW176" s="576">
        <f t="shared" si="61"/>
        <v>-5.2218399999999998E-2</v>
      </c>
      <c r="AX176" s="576">
        <f t="shared" si="61"/>
        <v>0</v>
      </c>
      <c r="AY176" s="576">
        <f t="shared" si="61"/>
        <v>0</v>
      </c>
      <c r="AZ176" s="576">
        <f t="shared" si="61"/>
        <v>0</v>
      </c>
      <c r="BA176" s="576">
        <f t="shared" si="61"/>
        <v>0</v>
      </c>
      <c r="BB176" s="576">
        <f t="shared" si="61"/>
        <v>0</v>
      </c>
      <c r="BC176" s="577">
        <f t="shared" si="61"/>
        <v>0</v>
      </c>
      <c r="BD176" s="576">
        <f t="shared" si="61"/>
        <v>0</v>
      </c>
      <c r="BE176" s="576">
        <f t="shared" si="61"/>
        <v>0</v>
      </c>
      <c r="BF176" s="576">
        <f t="shared" ref="BF176:BG178" si="62">IF(BF$161=TRUE,IF(BF166&lt;&gt;"",BF166,BF156),0)</f>
        <v>0</v>
      </c>
      <c r="BG176" s="576">
        <f t="shared" si="62"/>
        <v>0</v>
      </c>
      <c r="BH176" s="576">
        <f t="shared" si="61"/>
        <v>0</v>
      </c>
      <c r="BI176" s="576">
        <f t="shared" si="61"/>
        <v>0</v>
      </c>
      <c r="BJ176" s="576">
        <f t="shared" si="61"/>
        <v>0</v>
      </c>
      <c r="BK176" s="576">
        <f t="shared" si="61"/>
        <v>0</v>
      </c>
      <c r="BL176" s="576">
        <f t="shared" si="61"/>
        <v>0</v>
      </c>
      <c r="BM176" s="576">
        <f t="shared" si="61"/>
        <v>0</v>
      </c>
      <c r="BN176" s="576">
        <f t="shared" si="61"/>
        <v>0</v>
      </c>
      <c r="BO176" s="576">
        <f t="shared" si="61"/>
        <v>0</v>
      </c>
      <c r="BP176" s="576">
        <f t="shared" si="61"/>
        <v>0</v>
      </c>
      <c r="BQ176" s="576">
        <f t="shared" si="61"/>
        <v>0</v>
      </c>
      <c r="BR176" s="576">
        <f t="shared" si="61"/>
        <v>0</v>
      </c>
      <c r="BS176" s="576">
        <f t="shared" si="61"/>
        <v>0</v>
      </c>
    </row>
    <row r="177" spans="1:71" s="202" customFormat="1" ht="13.15">
      <c r="A177" s="453"/>
      <c r="B177" s="453"/>
      <c r="C177" s="453"/>
      <c r="D177" s="453"/>
      <c r="E177" s="453" t="str">
        <f>E157&amp;" (post override)"</f>
        <v>Enhanced underperformance payments (post override)</v>
      </c>
      <c r="F177" s="453"/>
      <c r="G177" s="618" t="str">
        <f>InpCompany!$F$11</f>
        <v>£m (2017-18 prices)</v>
      </c>
      <c r="H177" s="453"/>
      <c r="I177" s="453"/>
      <c r="J177" s="576">
        <f>IF(J$161=TRUE,IF(J167&lt;&gt;"",J167,J157),0)</f>
        <v>0</v>
      </c>
      <c r="K177" s="576">
        <f t="shared" si="61"/>
        <v>0</v>
      </c>
      <c r="L177" s="576">
        <f t="shared" si="61"/>
        <v>0</v>
      </c>
      <c r="M177" s="576">
        <f>IF(M$161=TRUE,IF(M167&lt;&gt;"",M167,M157),0)</f>
        <v>0</v>
      </c>
      <c r="N177" s="576">
        <f t="shared" si="61"/>
        <v>0</v>
      </c>
      <c r="O177" s="576">
        <f>IF(O$161=TRUE,IF(O167&lt;&gt;"",O167,O157),0)</f>
        <v>0</v>
      </c>
      <c r="P177" s="576">
        <f t="shared" si="61"/>
        <v>0</v>
      </c>
      <c r="Q177" s="577">
        <f t="shared" si="61"/>
        <v>0</v>
      </c>
      <c r="R177" s="576">
        <f t="shared" si="61"/>
        <v>0</v>
      </c>
      <c r="S177" s="576">
        <f t="shared" si="61"/>
        <v>0</v>
      </c>
      <c r="T177" s="576">
        <f t="shared" si="61"/>
        <v>0</v>
      </c>
      <c r="U177" s="576">
        <f t="shared" si="61"/>
        <v>0</v>
      </c>
      <c r="V177" s="576">
        <f t="shared" si="61"/>
        <v>0</v>
      </c>
      <c r="W177" s="576">
        <f t="shared" si="61"/>
        <v>0</v>
      </c>
      <c r="X177" s="576">
        <f t="shared" si="61"/>
        <v>0</v>
      </c>
      <c r="Y177" s="576">
        <f t="shared" si="61"/>
        <v>0</v>
      </c>
      <c r="Z177" s="576">
        <f t="shared" si="61"/>
        <v>0</v>
      </c>
      <c r="AA177" s="576">
        <f t="shared" si="61"/>
        <v>0</v>
      </c>
      <c r="AB177" s="576">
        <f t="shared" si="61"/>
        <v>0</v>
      </c>
      <c r="AC177" s="576">
        <f t="shared" si="61"/>
        <v>0</v>
      </c>
      <c r="AD177" s="576">
        <f t="shared" si="61"/>
        <v>0</v>
      </c>
      <c r="AE177" s="576">
        <f t="shared" si="61"/>
        <v>0</v>
      </c>
      <c r="AF177" s="576">
        <f t="shared" si="61"/>
        <v>0</v>
      </c>
      <c r="AG177" s="576">
        <f t="shared" si="61"/>
        <v>0</v>
      </c>
      <c r="AH177" s="576">
        <f t="shared" si="61"/>
        <v>0</v>
      </c>
      <c r="AI177" s="576">
        <f t="shared" si="61"/>
        <v>0</v>
      </c>
      <c r="AJ177" s="576">
        <f t="shared" si="61"/>
        <v>0</v>
      </c>
      <c r="AK177" s="577">
        <f t="shared" si="61"/>
        <v>0</v>
      </c>
      <c r="AL177" s="576">
        <f t="shared" si="61"/>
        <v>0</v>
      </c>
      <c r="AM177" s="576">
        <f t="shared" si="61"/>
        <v>0</v>
      </c>
      <c r="AN177" s="576">
        <f t="shared" si="61"/>
        <v>0</v>
      </c>
      <c r="AO177" s="577">
        <f t="shared" si="61"/>
        <v>0</v>
      </c>
      <c r="AP177" s="576">
        <f t="shared" si="61"/>
        <v>0</v>
      </c>
      <c r="AQ177" s="576">
        <f t="shared" si="61"/>
        <v>0</v>
      </c>
      <c r="AR177" s="576">
        <f t="shared" si="61"/>
        <v>0</v>
      </c>
      <c r="AS177" s="576">
        <f t="shared" si="61"/>
        <v>0</v>
      </c>
      <c r="AT177" s="576">
        <f t="shared" si="61"/>
        <v>0</v>
      </c>
      <c r="AU177" s="576">
        <f t="shared" si="61"/>
        <v>0</v>
      </c>
      <c r="AV177" s="576">
        <f t="shared" si="61"/>
        <v>0</v>
      </c>
      <c r="AW177" s="576">
        <f t="shared" si="61"/>
        <v>0</v>
      </c>
      <c r="AX177" s="576">
        <f t="shared" si="61"/>
        <v>0</v>
      </c>
      <c r="AY177" s="576">
        <f t="shared" si="61"/>
        <v>0</v>
      </c>
      <c r="AZ177" s="576">
        <f t="shared" si="61"/>
        <v>0</v>
      </c>
      <c r="BA177" s="576">
        <f t="shared" si="61"/>
        <v>0</v>
      </c>
      <c r="BB177" s="576">
        <f t="shared" si="61"/>
        <v>0</v>
      </c>
      <c r="BC177" s="577">
        <f t="shared" si="61"/>
        <v>0</v>
      </c>
      <c r="BD177" s="576">
        <f t="shared" si="61"/>
        <v>0</v>
      </c>
      <c r="BE177" s="576">
        <f t="shared" si="61"/>
        <v>0</v>
      </c>
      <c r="BF177" s="576">
        <f t="shared" si="62"/>
        <v>0</v>
      </c>
      <c r="BG177" s="576">
        <f t="shared" si="62"/>
        <v>0</v>
      </c>
      <c r="BH177" s="576">
        <f t="shared" si="61"/>
        <v>0</v>
      </c>
      <c r="BI177" s="576">
        <f t="shared" si="61"/>
        <v>0</v>
      </c>
      <c r="BJ177" s="576">
        <f t="shared" si="61"/>
        <v>0</v>
      </c>
      <c r="BK177" s="576">
        <f t="shared" si="61"/>
        <v>0</v>
      </c>
      <c r="BL177" s="576">
        <f t="shared" si="61"/>
        <v>0</v>
      </c>
      <c r="BM177" s="576">
        <f t="shared" si="61"/>
        <v>0</v>
      </c>
      <c r="BN177" s="576">
        <f t="shared" si="61"/>
        <v>0</v>
      </c>
      <c r="BO177" s="576">
        <f t="shared" si="61"/>
        <v>0</v>
      </c>
      <c r="BP177" s="576">
        <f t="shared" si="61"/>
        <v>0</v>
      </c>
      <c r="BQ177" s="576">
        <f t="shared" si="61"/>
        <v>0</v>
      </c>
      <c r="BR177" s="576">
        <f t="shared" si="61"/>
        <v>0</v>
      </c>
      <c r="BS177" s="576">
        <f t="shared" si="61"/>
        <v>0</v>
      </c>
    </row>
    <row r="178" spans="1:71" s="202" customFormat="1" ht="13.15">
      <c r="A178" s="453"/>
      <c r="B178" s="453"/>
      <c r="C178" s="453"/>
      <c r="D178" s="453"/>
      <c r="E178" s="453" t="str">
        <f>E158&amp;" (post override)"</f>
        <v>Additional underperformance payments (post override)</v>
      </c>
      <c r="F178" s="453"/>
      <c r="G178" s="618" t="str">
        <f>InpCompany!$F$11</f>
        <v>£m (2017-18 prices)</v>
      </c>
      <c r="H178" s="453"/>
      <c r="I178" s="453"/>
      <c r="J178" s="576">
        <f>IF(J$161=TRUE,IF(J168&lt;&gt;"",J168,J158),0)</f>
        <v>0</v>
      </c>
      <c r="K178" s="576">
        <f t="shared" si="61"/>
        <v>0</v>
      </c>
      <c r="L178" s="576">
        <f t="shared" si="61"/>
        <v>0</v>
      </c>
      <c r="M178" s="576">
        <f>IF(M$161=TRUE,IF(M168&lt;&gt;"",M168,M158),0)</f>
        <v>0</v>
      </c>
      <c r="N178" s="576">
        <f t="shared" si="61"/>
        <v>0</v>
      </c>
      <c r="O178" s="576">
        <f>IF(O$161=TRUE,IF(O168&lt;&gt;"",O168,O158),0)</f>
        <v>0</v>
      </c>
      <c r="P178" s="576">
        <f t="shared" si="61"/>
        <v>0</v>
      </c>
      <c r="Q178" s="577">
        <f t="shared" si="61"/>
        <v>0</v>
      </c>
      <c r="R178" s="576">
        <f t="shared" si="61"/>
        <v>0</v>
      </c>
      <c r="S178" s="576">
        <f t="shared" si="61"/>
        <v>0</v>
      </c>
      <c r="T178" s="576">
        <f t="shared" si="61"/>
        <v>0</v>
      </c>
      <c r="U178" s="576">
        <f t="shared" si="61"/>
        <v>0</v>
      </c>
      <c r="V178" s="576">
        <f t="shared" si="61"/>
        <v>0</v>
      </c>
      <c r="W178" s="576">
        <f t="shared" si="61"/>
        <v>0</v>
      </c>
      <c r="X178" s="576">
        <f t="shared" si="61"/>
        <v>0</v>
      </c>
      <c r="Y178" s="576">
        <f t="shared" si="61"/>
        <v>0</v>
      </c>
      <c r="Z178" s="576">
        <f t="shared" si="61"/>
        <v>0</v>
      </c>
      <c r="AA178" s="576">
        <f t="shared" si="61"/>
        <v>0</v>
      </c>
      <c r="AB178" s="576">
        <f t="shared" si="61"/>
        <v>0</v>
      </c>
      <c r="AC178" s="576">
        <f t="shared" si="61"/>
        <v>0</v>
      </c>
      <c r="AD178" s="576">
        <f t="shared" si="61"/>
        <v>0</v>
      </c>
      <c r="AE178" s="576">
        <f t="shared" si="61"/>
        <v>0</v>
      </c>
      <c r="AF178" s="576">
        <f t="shared" si="61"/>
        <v>0</v>
      </c>
      <c r="AG178" s="576">
        <f t="shared" si="61"/>
        <v>0</v>
      </c>
      <c r="AH178" s="576">
        <f t="shared" si="61"/>
        <v>0</v>
      </c>
      <c r="AI178" s="576">
        <f t="shared" si="61"/>
        <v>0</v>
      </c>
      <c r="AJ178" s="576">
        <f t="shared" si="61"/>
        <v>0</v>
      </c>
      <c r="AK178" s="577">
        <f t="shared" si="61"/>
        <v>0</v>
      </c>
      <c r="AL178" s="576">
        <f t="shared" si="61"/>
        <v>0</v>
      </c>
      <c r="AM178" s="576">
        <f t="shared" si="61"/>
        <v>0</v>
      </c>
      <c r="AN178" s="576">
        <f t="shared" si="61"/>
        <v>0</v>
      </c>
      <c r="AO178" s="577">
        <f t="shared" si="61"/>
        <v>0</v>
      </c>
      <c r="AP178" s="576">
        <f t="shared" si="61"/>
        <v>0</v>
      </c>
      <c r="AQ178" s="576">
        <f t="shared" si="61"/>
        <v>0</v>
      </c>
      <c r="AR178" s="576">
        <f t="shared" si="61"/>
        <v>0</v>
      </c>
      <c r="AS178" s="576">
        <f t="shared" si="61"/>
        <v>0</v>
      </c>
      <c r="AT178" s="576">
        <f t="shared" si="61"/>
        <v>0</v>
      </c>
      <c r="AU178" s="576">
        <f t="shared" si="61"/>
        <v>0</v>
      </c>
      <c r="AV178" s="576">
        <f t="shared" si="61"/>
        <v>0</v>
      </c>
      <c r="AW178" s="576">
        <f t="shared" si="61"/>
        <v>0</v>
      </c>
      <c r="AX178" s="576">
        <f t="shared" si="61"/>
        <v>0</v>
      </c>
      <c r="AY178" s="576">
        <f t="shared" si="61"/>
        <v>0</v>
      </c>
      <c r="AZ178" s="576">
        <f t="shared" si="61"/>
        <v>0</v>
      </c>
      <c r="BA178" s="576">
        <f t="shared" si="61"/>
        <v>0</v>
      </c>
      <c r="BB178" s="576">
        <f t="shared" si="61"/>
        <v>0</v>
      </c>
      <c r="BC178" s="577">
        <f t="shared" si="61"/>
        <v>0</v>
      </c>
      <c r="BD178" s="576">
        <f t="shared" si="61"/>
        <v>0</v>
      </c>
      <c r="BE178" s="576">
        <f t="shared" si="61"/>
        <v>0</v>
      </c>
      <c r="BF178" s="576">
        <f t="shared" si="62"/>
        <v>0</v>
      </c>
      <c r="BG178" s="576">
        <f t="shared" si="62"/>
        <v>0</v>
      </c>
      <c r="BH178" s="576">
        <f t="shared" si="61"/>
        <v>0</v>
      </c>
      <c r="BI178" s="576">
        <f t="shared" si="61"/>
        <v>0</v>
      </c>
      <c r="BJ178" s="576">
        <f t="shared" si="61"/>
        <v>0</v>
      </c>
      <c r="BK178" s="576">
        <f t="shared" si="61"/>
        <v>0</v>
      </c>
      <c r="BL178" s="576">
        <f t="shared" si="61"/>
        <v>0</v>
      </c>
      <c r="BM178" s="576">
        <f t="shared" si="61"/>
        <v>0</v>
      </c>
      <c r="BN178" s="576">
        <f t="shared" si="61"/>
        <v>0</v>
      </c>
      <c r="BO178" s="576">
        <f t="shared" si="61"/>
        <v>0</v>
      </c>
      <c r="BP178" s="576">
        <f t="shared" si="61"/>
        <v>0</v>
      </c>
      <c r="BQ178" s="576">
        <f t="shared" si="61"/>
        <v>0</v>
      </c>
      <c r="BR178" s="576">
        <f t="shared" si="61"/>
        <v>0</v>
      </c>
      <c r="BS178" s="576">
        <f t="shared" si="61"/>
        <v>0</v>
      </c>
    </row>
    <row r="179" spans="1:71" s="202" customFormat="1" ht="13.15">
      <c r="A179" s="453"/>
      <c r="B179" s="453"/>
      <c r="C179" s="453"/>
      <c r="D179" s="453"/>
      <c r="E179" s="453" t="s">
        <v>1245</v>
      </c>
      <c r="F179" s="453"/>
      <c r="G179" s="618" t="str">
        <f>InpCompany!$F$11</f>
        <v>£m (2017-18 prices)</v>
      </c>
      <c r="H179" s="453"/>
      <c r="I179" s="453"/>
      <c r="J179" s="576">
        <f>SUM(J176:J178)</f>
        <v>-0.67195999999999989</v>
      </c>
      <c r="K179" s="576">
        <f t="shared" ref="K179:BS179" si="63">SUM(K176:K178)</f>
        <v>-4.2374666666666672</v>
      </c>
      <c r="L179" s="576">
        <f t="shared" si="63"/>
        <v>-4.3460000000000001</v>
      </c>
      <c r="M179" s="576">
        <f>SUM(M176:M178)</f>
        <v>0</v>
      </c>
      <c r="N179" s="576">
        <f t="shared" si="63"/>
        <v>0</v>
      </c>
      <c r="O179" s="576">
        <f>SUM(O176:O178)</f>
        <v>0</v>
      </c>
      <c r="P179" s="576">
        <f t="shared" si="63"/>
        <v>-1.9907999999999992</v>
      </c>
      <c r="Q179" s="577">
        <f t="shared" si="63"/>
        <v>0</v>
      </c>
      <c r="R179" s="576">
        <f t="shared" si="63"/>
        <v>-2.0789999999999997</v>
      </c>
      <c r="S179" s="576">
        <f t="shared" si="63"/>
        <v>-9.2399999999999954E-2</v>
      </c>
      <c r="T179" s="576">
        <f t="shared" si="63"/>
        <v>0</v>
      </c>
      <c r="U179" s="576">
        <f t="shared" si="63"/>
        <v>0</v>
      </c>
      <c r="V179" s="576">
        <f t="shared" si="63"/>
        <v>-0.6</v>
      </c>
      <c r="W179" s="576">
        <f t="shared" si="63"/>
        <v>0</v>
      </c>
      <c r="X179" s="576">
        <f t="shared" si="63"/>
        <v>0</v>
      </c>
      <c r="Y179" s="576">
        <f t="shared" si="63"/>
        <v>0</v>
      </c>
      <c r="Z179" s="576">
        <f t="shared" si="63"/>
        <v>-0.32354399999999994</v>
      </c>
      <c r="AA179" s="576">
        <f t="shared" si="63"/>
        <v>0</v>
      </c>
      <c r="AB179" s="576">
        <f t="shared" si="63"/>
        <v>0</v>
      </c>
      <c r="AC179" s="576">
        <f t="shared" si="63"/>
        <v>0</v>
      </c>
      <c r="AD179" s="576">
        <f t="shared" si="63"/>
        <v>0</v>
      </c>
      <c r="AE179" s="576">
        <f t="shared" si="63"/>
        <v>0</v>
      </c>
      <c r="AF179" s="576">
        <f t="shared" si="63"/>
        <v>0</v>
      </c>
      <c r="AG179" s="576">
        <f t="shared" si="63"/>
        <v>0</v>
      </c>
      <c r="AH179" s="576">
        <f t="shared" si="63"/>
        <v>0</v>
      </c>
      <c r="AI179" s="576">
        <f t="shared" si="63"/>
        <v>0</v>
      </c>
      <c r="AJ179" s="576">
        <f t="shared" si="63"/>
        <v>0</v>
      </c>
      <c r="AK179" s="577">
        <f t="shared" si="63"/>
        <v>0</v>
      </c>
      <c r="AL179" s="576">
        <f t="shared" si="63"/>
        <v>-6.2794099999999995</v>
      </c>
      <c r="AM179" s="576">
        <f t="shared" si="63"/>
        <v>-8.3821499999999993</v>
      </c>
      <c r="AN179" s="576">
        <f t="shared" si="63"/>
        <v>-0.58975999999999884</v>
      </c>
      <c r="AO179" s="577">
        <f t="shared" si="63"/>
        <v>0</v>
      </c>
      <c r="AP179" s="576">
        <f t="shared" si="63"/>
        <v>0</v>
      </c>
      <c r="AQ179" s="576">
        <f t="shared" si="63"/>
        <v>-1.3260000000000001</v>
      </c>
      <c r="AR179" s="576">
        <f t="shared" si="63"/>
        <v>0</v>
      </c>
      <c r="AS179" s="576">
        <f t="shared" si="63"/>
        <v>0</v>
      </c>
      <c r="AT179" s="576">
        <f t="shared" si="63"/>
        <v>-4.05</v>
      </c>
      <c r="AU179" s="576">
        <f t="shared" si="63"/>
        <v>0</v>
      </c>
      <c r="AV179" s="576">
        <f t="shared" si="63"/>
        <v>0</v>
      </c>
      <c r="AW179" s="576">
        <f t="shared" si="63"/>
        <v>-5.2218399999999998E-2</v>
      </c>
      <c r="AX179" s="576">
        <f t="shared" si="63"/>
        <v>0</v>
      </c>
      <c r="AY179" s="576">
        <f t="shared" si="63"/>
        <v>0</v>
      </c>
      <c r="AZ179" s="576">
        <f t="shared" si="63"/>
        <v>0</v>
      </c>
      <c r="BA179" s="576">
        <f t="shared" si="63"/>
        <v>0</v>
      </c>
      <c r="BB179" s="576">
        <f t="shared" si="63"/>
        <v>0</v>
      </c>
      <c r="BC179" s="577">
        <f t="shared" si="63"/>
        <v>0</v>
      </c>
      <c r="BD179" s="576">
        <f t="shared" si="63"/>
        <v>0</v>
      </c>
      <c r="BE179" s="576">
        <f t="shared" si="63"/>
        <v>0</v>
      </c>
      <c r="BF179" s="576">
        <f>SUM(BF176:BF178)</f>
        <v>0</v>
      </c>
      <c r="BG179" s="576">
        <f>SUM(BG176:BG178)</f>
        <v>0</v>
      </c>
      <c r="BH179" s="576">
        <f t="shared" si="63"/>
        <v>0</v>
      </c>
      <c r="BI179" s="576">
        <f t="shared" si="63"/>
        <v>0</v>
      </c>
      <c r="BJ179" s="576">
        <f t="shared" si="63"/>
        <v>0</v>
      </c>
      <c r="BK179" s="576">
        <f t="shared" si="63"/>
        <v>0</v>
      </c>
      <c r="BL179" s="576">
        <f t="shared" si="63"/>
        <v>0</v>
      </c>
      <c r="BM179" s="576">
        <f t="shared" si="63"/>
        <v>0</v>
      </c>
      <c r="BN179" s="576">
        <f t="shared" si="63"/>
        <v>0</v>
      </c>
      <c r="BO179" s="576">
        <f t="shared" si="63"/>
        <v>0</v>
      </c>
      <c r="BP179" s="576">
        <f t="shared" si="63"/>
        <v>0</v>
      </c>
      <c r="BQ179" s="576">
        <f t="shared" si="63"/>
        <v>0</v>
      </c>
      <c r="BR179" s="576">
        <f t="shared" si="63"/>
        <v>0</v>
      </c>
      <c r="BS179" s="576">
        <f t="shared" si="63"/>
        <v>0</v>
      </c>
    </row>
    <row r="180" spans="1:71" s="202" customFormat="1" ht="13.15">
      <c r="A180" s="453"/>
      <c r="B180" s="453"/>
      <c r="C180" s="453"/>
      <c r="D180" s="453"/>
      <c r="E180" s="453"/>
      <c r="F180" s="453"/>
      <c r="G180" s="618"/>
      <c r="H180" s="453"/>
      <c r="I180" s="453"/>
      <c r="J180" s="490"/>
      <c r="K180" s="490"/>
      <c r="L180" s="490"/>
      <c r="M180" s="490"/>
      <c r="N180" s="490"/>
      <c r="O180" s="490"/>
      <c r="P180" s="490"/>
      <c r="Q180" s="491"/>
      <c r="R180" s="490"/>
      <c r="S180" s="490"/>
      <c r="T180" s="490"/>
      <c r="U180" s="490"/>
      <c r="V180" s="490"/>
      <c r="W180" s="490"/>
      <c r="X180" s="490"/>
      <c r="Y180" s="490"/>
      <c r="Z180" s="490"/>
      <c r="AA180" s="490"/>
      <c r="AB180" s="490"/>
      <c r="AC180" s="490"/>
      <c r="AD180" s="490"/>
      <c r="AE180" s="490"/>
      <c r="AF180" s="490"/>
      <c r="AG180" s="490"/>
      <c r="AH180" s="490"/>
      <c r="AI180" s="490"/>
      <c r="AJ180" s="490"/>
      <c r="AK180" s="491"/>
      <c r="AL180" s="490"/>
      <c r="AM180" s="490"/>
      <c r="AN180" s="490"/>
      <c r="AO180" s="491"/>
      <c r="AP180" s="490"/>
      <c r="AQ180" s="490"/>
      <c r="AR180" s="490"/>
      <c r="AS180" s="490"/>
      <c r="AT180" s="490"/>
      <c r="AU180" s="490"/>
      <c r="AV180" s="490"/>
      <c r="AW180" s="490"/>
      <c r="AX180" s="490"/>
      <c r="AY180" s="490"/>
      <c r="AZ180" s="490"/>
      <c r="BA180" s="490"/>
      <c r="BB180" s="490"/>
      <c r="BC180" s="491"/>
      <c r="BD180" s="490"/>
      <c r="BE180" s="490"/>
      <c r="BF180" s="490"/>
      <c r="BG180" s="490"/>
      <c r="BH180" s="490"/>
      <c r="BI180" s="490"/>
      <c r="BJ180" s="490"/>
      <c r="BK180" s="490"/>
      <c r="BL180" s="490"/>
      <c r="BM180" s="490"/>
      <c r="BN180" s="490"/>
      <c r="BO180" s="490"/>
      <c r="BP180" s="490"/>
      <c r="BQ180" s="490"/>
      <c r="BR180" s="490"/>
      <c r="BS180" s="490"/>
    </row>
    <row r="181" spans="1:71" s="202" customFormat="1" ht="13.15">
      <c r="A181" s="453"/>
      <c r="B181" s="473" t="s">
        <v>1246</v>
      </c>
      <c r="C181" s="453"/>
      <c r="D181" s="463"/>
      <c r="E181" s="453"/>
      <c r="F181" s="453"/>
      <c r="G181" s="618"/>
      <c r="H181" s="453"/>
      <c r="I181" s="453"/>
      <c r="J181" s="494"/>
      <c r="K181" s="494"/>
      <c r="L181" s="494"/>
      <c r="M181" s="494"/>
      <c r="N181" s="494"/>
      <c r="O181" s="494"/>
      <c r="P181" s="494"/>
      <c r="Q181" s="496"/>
      <c r="R181" s="494"/>
      <c r="S181" s="494"/>
      <c r="T181" s="494"/>
      <c r="U181" s="494"/>
      <c r="V181" s="494"/>
      <c r="W181" s="494"/>
      <c r="X181" s="494"/>
      <c r="Y181" s="494"/>
      <c r="Z181" s="494"/>
      <c r="AA181" s="494"/>
      <c r="AB181" s="494"/>
      <c r="AC181" s="494"/>
      <c r="AD181" s="494"/>
      <c r="AE181" s="494"/>
      <c r="AF181" s="494"/>
      <c r="AG181" s="494"/>
      <c r="AH181" s="494"/>
      <c r="AI181" s="494"/>
      <c r="AJ181" s="494"/>
      <c r="AK181" s="496"/>
      <c r="AL181" s="494"/>
      <c r="AM181" s="494"/>
      <c r="AN181" s="494"/>
      <c r="AO181" s="496"/>
      <c r="AP181" s="494"/>
      <c r="AQ181" s="494"/>
      <c r="AR181" s="494"/>
      <c r="AS181" s="494"/>
      <c r="AT181" s="494"/>
      <c r="AU181" s="494"/>
      <c r="AV181" s="494"/>
      <c r="AW181" s="494"/>
      <c r="AX181" s="494"/>
      <c r="AY181" s="494"/>
      <c r="AZ181" s="494"/>
      <c r="BA181" s="494"/>
      <c r="BB181" s="494"/>
      <c r="BC181" s="496"/>
      <c r="BD181" s="494"/>
      <c r="BE181" s="494"/>
      <c r="BF181" s="494"/>
      <c r="BG181" s="494"/>
      <c r="BH181" s="494"/>
      <c r="BI181" s="494"/>
      <c r="BJ181" s="494"/>
      <c r="BK181" s="494"/>
      <c r="BL181" s="494"/>
      <c r="BM181" s="494"/>
      <c r="BN181" s="494"/>
      <c r="BO181" s="494"/>
      <c r="BP181" s="494"/>
      <c r="BQ181" s="494"/>
      <c r="BR181" s="494"/>
      <c r="BS181" s="494"/>
    </row>
    <row r="182" spans="1:71" s="202" customFormat="1" ht="13.15">
      <c r="A182" s="453"/>
      <c r="B182" s="453"/>
      <c r="C182" s="453"/>
      <c r="D182" s="463"/>
      <c r="E182" s="583" t="str">
        <f>InpPerformance!E34</f>
        <v>ODI timing</v>
      </c>
      <c r="F182" s="453"/>
      <c r="G182" s="583" t="str">
        <f>InpPerformance!G34</f>
        <v>Text</v>
      </c>
      <c r="H182" s="453"/>
      <c r="I182" s="453"/>
      <c r="J182" s="591" t="str">
        <f>InpPerformance!J34</f>
        <v>In-period</v>
      </c>
      <c r="K182" s="591" t="str">
        <f>InpPerformance!K34</f>
        <v>In-period</v>
      </c>
      <c r="L182" s="591" t="str">
        <f>InpPerformance!L34</f>
        <v>In-period</v>
      </c>
      <c r="M182" s="591" t="str">
        <f>InpPerformance!M34</f>
        <v/>
      </c>
      <c r="N182" s="591" t="str">
        <f>InpPerformance!N34</f>
        <v>End of period</v>
      </c>
      <c r="O182" s="591" t="str">
        <f>InpPerformance!O34</f>
        <v/>
      </c>
      <c r="P182" s="591" t="str">
        <f>InpPerformance!P34</f>
        <v>In-period</v>
      </c>
      <c r="Q182" s="592" t="str">
        <f>InpPerformance!Q34</f>
        <v>In-period</v>
      </c>
      <c r="R182" s="591" t="str">
        <f>InpPerformance!R34</f>
        <v>In-period</v>
      </c>
      <c r="S182" s="591" t="str">
        <f>InpPerformance!S34</f>
        <v>In-period</v>
      </c>
      <c r="T182" s="591" t="str">
        <f>InpPerformance!T34</f>
        <v>In-period</v>
      </c>
      <c r="U182" s="591" t="str">
        <f>InpPerformance!U34</f>
        <v>In-period</v>
      </c>
      <c r="V182" s="591" t="str">
        <f>InpPerformance!V34</f>
        <v>In-period</v>
      </c>
      <c r="W182" s="591" t="str">
        <f>InpPerformance!W34</f>
        <v>In-period</v>
      </c>
      <c r="X182" s="591" t="str">
        <f>InpPerformance!X34</f>
        <v>In-period</v>
      </c>
      <c r="Y182" s="591" t="str">
        <f>InpPerformance!Y34</f>
        <v>End of period</v>
      </c>
      <c r="Z182" s="591" t="str">
        <f>InpPerformance!Z34</f>
        <v>In-period</v>
      </c>
      <c r="AA182" s="591" t="str">
        <f>InpPerformance!AA34</f>
        <v/>
      </c>
      <c r="AB182" s="591" t="str">
        <f>InpPerformance!AB34</f>
        <v/>
      </c>
      <c r="AC182" s="591" t="str">
        <f>InpPerformance!AC34</f>
        <v/>
      </c>
      <c r="AD182" s="591" t="str">
        <f>InpPerformance!AD34</f>
        <v/>
      </c>
      <c r="AE182" s="591" t="str">
        <f>InpPerformance!AE34</f>
        <v/>
      </c>
      <c r="AF182" s="591" t="str">
        <f>InpPerformance!AF34</f>
        <v/>
      </c>
      <c r="AG182" s="591" t="str">
        <f>InpPerformance!AG34</f>
        <v/>
      </c>
      <c r="AH182" s="591" t="str">
        <f>InpPerformance!AH34</f>
        <v/>
      </c>
      <c r="AI182" s="591" t="str">
        <f>InpPerformance!AI34</f>
        <v/>
      </c>
      <c r="AJ182" s="591" t="str">
        <f>InpPerformance!AJ34</f>
        <v/>
      </c>
      <c r="AK182" s="592" t="str">
        <f>InpPerformance!AK34</f>
        <v/>
      </c>
      <c r="AL182" s="591" t="str">
        <f>InpPerformance!AL34</f>
        <v>In-period</v>
      </c>
      <c r="AM182" s="591" t="str">
        <f>InpPerformance!AM34</f>
        <v>In-period</v>
      </c>
      <c r="AN182" s="591" t="str">
        <f>InpPerformance!AN34</f>
        <v>In-period</v>
      </c>
      <c r="AO182" s="592" t="str">
        <f>InpPerformance!AO34</f>
        <v>In-period</v>
      </c>
      <c r="AP182" s="591" t="str">
        <f>InpPerformance!AP34</f>
        <v>In-period</v>
      </c>
      <c r="AQ182" s="591" t="str">
        <f>InpPerformance!AQ34</f>
        <v>In-period</v>
      </c>
      <c r="AR182" s="591" t="str">
        <f>InpPerformance!AR34</f>
        <v>In-period</v>
      </c>
      <c r="AS182" s="591" t="str">
        <f>InpPerformance!AS34</f>
        <v>In-period</v>
      </c>
      <c r="AT182" s="591" t="str">
        <f>InpPerformance!AT34</f>
        <v>In-period</v>
      </c>
      <c r="AU182" s="591" t="str">
        <f>InpPerformance!AU34</f>
        <v>In-period</v>
      </c>
      <c r="AV182" s="591" t="str">
        <f>InpPerformance!AV34</f>
        <v>In-period</v>
      </c>
      <c r="AW182" s="591" t="str">
        <f>InpPerformance!AW34</f>
        <v>In-period</v>
      </c>
      <c r="AX182" s="591" t="str">
        <f>InpPerformance!AX34</f>
        <v>In-period</v>
      </c>
      <c r="AY182" s="591" t="str">
        <f>InpPerformance!AY34</f>
        <v>End of period</v>
      </c>
      <c r="AZ182" s="591" t="str">
        <f>InpPerformance!AZ34</f>
        <v/>
      </c>
      <c r="BA182" s="591" t="str">
        <f>InpPerformance!BA34</f>
        <v/>
      </c>
      <c r="BB182" s="591" t="str">
        <f>InpPerformance!BB34</f>
        <v/>
      </c>
      <c r="BC182" s="592" t="str">
        <f>InpPerformance!BC34</f>
        <v/>
      </c>
      <c r="BD182" s="591" t="str">
        <f>InpPerformance!BD34</f>
        <v/>
      </c>
      <c r="BE182" s="591" t="str">
        <f>InpPerformance!BE34</f>
        <v/>
      </c>
      <c r="BF182" s="591" t="str">
        <f>InpPerformance!BF34</f>
        <v/>
      </c>
      <c r="BG182" s="591" t="str">
        <f>InpPerformance!BG34</f>
        <v/>
      </c>
      <c r="BH182" s="591" t="str">
        <f>InpPerformance!BH34</f>
        <v/>
      </c>
      <c r="BI182" s="591" t="str">
        <f>InpPerformance!BI34</f>
        <v/>
      </c>
      <c r="BJ182" s="591" t="str">
        <f>InpPerformance!BJ34</f>
        <v/>
      </c>
      <c r="BK182" s="591" t="str">
        <f>InpPerformance!BK34</f>
        <v/>
      </c>
      <c r="BL182" s="591" t="str">
        <f>InpPerformance!BL34</f>
        <v/>
      </c>
      <c r="BM182" s="591" t="str">
        <f>InpPerformance!BM34</f>
        <v/>
      </c>
      <c r="BN182" s="591" t="str">
        <f>InpPerformance!BN34</f>
        <v/>
      </c>
      <c r="BO182" s="591" t="str">
        <f>InpPerformance!BO34</f>
        <v/>
      </c>
      <c r="BP182" s="591" t="str">
        <f>InpPerformance!BP34</f>
        <v/>
      </c>
      <c r="BQ182" s="591" t="str">
        <f>InpPerformance!BQ34</f>
        <v/>
      </c>
      <c r="BR182" s="591" t="str">
        <f>InpPerformance!BR34</f>
        <v/>
      </c>
      <c r="BS182" s="591" t="str">
        <f>InpPerformance!BS34</f>
        <v/>
      </c>
    </row>
    <row r="183" spans="1:71" s="202" customFormat="1" ht="13.15">
      <c r="A183" s="453"/>
      <c r="B183" s="453"/>
      <c r="C183" s="453"/>
      <c r="D183" s="453"/>
      <c r="E183" s="617" t="s">
        <v>1247</v>
      </c>
      <c r="F183" s="453"/>
      <c r="G183" s="617" t="s">
        <v>418</v>
      </c>
      <c r="H183" s="453"/>
      <c r="I183" s="453"/>
      <c r="J183" s="494" t="b">
        <f>IF(J182=Validation!$J$5, TRUE, FALSE)</f>
        <v>1</v>
      </c>
      <c r="K183" s="494" t="b">
        <f>IF(K182=Validation!$J$5, TRUE, FALSE)</f>
        <v>1</v>
      </c>
      <c r="L183" s="494" t="b">
        <f>IF(L182=Validation!$J$5, TRUE, FALSE)</f>
        <v>1</v>
      </c>
      <c r="M183" s="494" t="b">
        <f>IF(M182=Validation!$J$5, TRUE, FALSE)</f>
        <v>0</v>
      </c>
      <c r="N183" s="494" t="b">
        <f>IF(N182=Validation!$J$5, TRUE, FALSE)</f>
        <v>0</v>
      </c>
      <c r="O183" s="494" t="b">
        <f>IF(O182=Validation!$J$5, TRUE, FALSE)</f>
        <v>0</v>
      </c>
      <c r="P183" s="494" t="b">
        <f>IF(P182=Validation!$J$5, TRUE, FALSE)</f>
        <v>1</v>
      </c>
      <c r="Q183" s="496" t="b">
        <f>IF(Q182=Validation!$J$5, TRUE, FALSE)</f>
        <v>1</v>
      </c>
      <c r="R183" s="494" t="b">
        <f>IF(R182=Validation!$J$5, TRUE, FALSE)</f>
        <v>1</v>
      </c>
      <c r="S183" s="494" t="b">
        <f>IF(S182=Validation!$J$5, TRUE, FALSE)</f>
        <v>1</v>
      </c>
      <c r="T183" s="494" t="b">
        <f>IF(T182=Validation!$J$5, TRUE, FALSE)</f>
        <v>1</v>
      </c>
      <c r="U183" s="494" t="b">
        <f>IF(U182=Validation!$J$5, TRUE, FALSE)</f>
        <v>1</v>
      </c>
      <c r="V183" s="494" t="b">
        <f>IF(V182=Validation!$J$5, TRUE, FALSE)</f>
        <v>1</v>
      </c>
      <c r="W183" s="494" t="b">
        <f>IF(W182=Validation!$J$5, TRUE, FALSE)</f>
        <v>1</v>
      </c>
      <c r="X183" s="494" t="b">
        <f>IF(X182=Validation!$J$5, TRUE, FALSE)</f>
        <v>1</v>
      </c>
      <c r="Y183" s="494" t="b">
        <f>IF(Y182=Validation!$J$5, TRUE, FALSE)</f>
        <v>0</v>
      </c>
      <c r="Z183" s="494" t="b">
        <f>IF(Z182=Validation!$J$5, TRUE, FALSE)</f>
        <v>1</v>
      </c>
      <c r="AA183" s="494" t="b">
        <f>IF(AA182=Validation!$J$5, TRUE, FALSE)</f>
        <v>0</v>
      </c>
      <c r="AB183" s="494" t="b">
        <f>IF(AB182=Validation!$J$5, TRUE, FALSE)</f>
        <v>0</v>
      </c>
      <c r="AC183" s="494" t="b">
        <f>IF(AC182=Validation!$J$5, TRUE, FALSE)</f>
        <v>0</v>
      </c>
      <c r="AD183" s="494" t="b">
        <f>IF(AD182=Validation!$J$5, TRUE, FALSE)</f>
        <v>0</v>
      </c>
      <c r="AE183" s="494" t="b">
        <f>IF(AE182=Validation!$J$5, TRUE, FALSE)</f>
        <v>0</v>
      </c>
      <c r="AF183" s="494" t="b">
        <f>IF(AF182=Validation!$J$5, TRUE, FALSE)</f>
        <v>0</v>
      </c>
      <c r="AG183" s="494" t="b">
        <f>IF(AG182=Validation!$J$5, TRUE, FALSE)</f>
        <v>0</v>
      </c>
      <c r="AH183" s="494" t="b">
        <f>IF(AH182=Validation!$J$5, TRUE, FALSE)</f>
        <v>0</v>
      </c>
      <c r="AI183" s="494" t="b">
        <f>IF(AI182=Validation!$J$5, TRUE, FALSE)</f>
        <v>0</v>
      </c>
      <c r="AJ183" s="494" t="b">
        <f>IF(AJ182=Validation!$J$5, TRUE, FALSE)</f>
        <v>0</v>
      </c>
      <c r="AK183" s="496" t="b">
        <f>IF(AK182=Validation!$J$5, TRUE, FALSE)</f>
        <v>0</v>
      </c>
      <c r="AL183" s="494" t="b">
        <f>IF(AL182=Validation!$J$5, TRUE, FALSE)</f>
        <v>1</v>
      </c>
      <c r="AM183" s="494" t="b">
        <f>IF(AM182=Validation!$J$5, TRUE, FALSE)</f>
        <v>1</v>
      </c>
      <c r="AN183" s="494" t="b">
        <f>IF(AN182=Validation!$J$5, TRUE, FALSE)</f>
        <v>1</v>
      </c>
      <c r="AO183" s="496" t="b">
        <f>IF(AO182=Validation!$J$5, TRUE, FALSE)</f>
        <v>1</v>
      </c>
      <c r="AP183" s="494" t="b">
        <f>IF(AP182=Validation!$J$5, TRUE, FALSE)</f>
        <v>1</v>
      </c>
      <c r="AQ183" s="494" t="b">
        <f>IF(AQ182=Validation!$J$5, TRUE, FALSE)</f>
        <v>1</v>
      </c>
      <c r="AR183" s="494" t="b">
        <f>IF(AR182=Validation!$J$5, TRUE, FALSE)</f>
        <v>1</v>
      </c>
      <c r="AS183" s="494" t="b">
        <f>IF(AS182=Validation!$J$5, TRUE, FALSE)</f>
        <v>1</v>
      </c>
      <c r="AT183" s="494" t="b">
        <f>IF(AT182=Validation!$J$5, TRUE, FALSE)</f>
        <v>1</v>
      </c>
      <c r="AU183" s="494" t="b">
        <f>IF(AU182=Validation!$J$5, TRUE, FALSE)</f>
        <v>1</v>
      </c>
      <c r="AV183" s="494" t="b">
        <f>IF(AV182=Validation!$J$5, TRUE, FALSE)</f>
        <v>1</v>
      </c>
      <c r="AW183" s="494" t="b">
        <f>IF(AW182=Validation!$J$5, TRUE, FALSE)</f>
        <v>1</v>
      </c>
      <c r="AX183" s="494" t="b">
        <f>IF(AX182=Validation!$J$5, TRUE, FALSE)</f>
        <v>1</v>
      </c>
      <c r="AY183" s="494" t="b">
        <f>IF(AY182=Validation!$J$5, TRUE, FALSE)</f>
        <v>0</v>
      </c>
      <c r="AZ183" s="494" t="b">
        <f>IF(AZ182=Validation!$J$5, TRUE, FALSE)</f>
        <v>0</v>
      </c>
      <c r="BA183" s="494" t="b">
        <f>IF(BA182=Validation!$J$5, TRUE, FALSE)</f>
        <v>0</v>
      </c>
      <c r="BB183" s="494" t="b">
        <f>IF(BB182=Validation!$J$5, TRUE, FALSE)</f>
        <v>0</v>
      </c>
      <c r="BC183" s="496" t="b">
        <f>IF(BC182=Validation!$J$5, TRUE, FALSE)</f>
        <v>0</v>
      </c>
      <c r="BD183" s="494" t="b">
        <f>IF(BD182=Validation!$J$5, TRUE, FALSE)</f>
        <v>0</v>
      </c>
      <c r="BE183" s="494" t="b">
        <f>IF(BE182=Validation!$J$5, TRUE, FALSE)</f>
        <v>0</v>
      </c>
      <c r="BF183" s="494" t="b">
        <f>IF(BF182=Validation!$J$5, TRUE, FALSE)</f>
        <v>0</v>
      </c>
      <c r="BG183" s="494" t="b">
        <f>IF(BG182=Validation!$J$5, TRUE, FALSE)</f>
        <v>0</v>
      </c>
      <c r="BH183" s="494" t="b">
        <f>IF(BH182=Validation!$J$5, TRUE, FALSE)</f>
        <v>0</v>
      </c>
      <c r="BI183" s="494" t="b">
        <f>IF(BI182=Validation!$J$5, TRUE, FALSE)</f>
        <v>0</v>
      </c>
      <c r="BJ183" s="494" t="b">
        <f>IF(BJ182=Validation!$J$5, TRUE, FALSE)</f>
        <v>0</v>
      </c>
      <c r="BK183" s="494" t="b">
        <f>IF(BK182=Validation!$J$5, TRUE, FALSE)</f>
        <v>0</v>
      </c>
      <c r="BL183" s="494" t="b">
        <f>IF(BL182=Validation!$J$5, TRUE, FALSE)</f>
        <v>0</v>
      </c>
      <c r="BM183" s="494" t="b">
        <f>IF(BM182=Validation!$J$5, TRUE, FALSE)</f>
        <v>0</v>
      </c>
      <c r="BN183" s="494" t="b">
        <f>IF(BN182=Validation!$J$5, TRUE, FALSE)</f>
        <v>0</v>
      </c>
      <c r="BO183" s="494" t="b">
        <f>IF(BO182=Validation!$J$5, TRUE, FALSE)</f>
        <v>0</v>
      </c>
      <c r="BP183" s="494" t="b">
        <f>IF(BP182=Validation!$J$5, TRUE, FALSE)</f>
        <v>0</v>
      </c>
      <c r="BQ183" s="494" t="b">
        <f>IF(BQ182=Validation!$J$5, TRUE, FALSE)</f>
        <v>0</v>
      </c>
      <c r="BR183" s="494" t="b">
        <f>IF(BR182=Validation!$J$5, TRUE, FALSE)</f>
        <v>0</v>
      </c>
      <c r="BS183" s="494" t="b">
        <f>IF(BS182=Validation!$J$5, TRUE, FALSE)</f>
        <v>0</v>
      </c>
    </row>
    <row r="184" spans="1:71" s="202" customFormat="1" ht="13.15">
      <c r="A184" s="453"/>
      <c r="B184" s="453"/>
      <c r="C184" s="453"/>
      <c r="D184" s="453"/>
      <c r="E184" s="453"/>
      <c r="F184" s="453"/>
      <c r="G184" s="618"/>
      <c r="H184" s="453"/>
      <c r="I184" s="453"/>
      <c r="J184" s="490"/>
      <c r="K184" s="490"/>
      <c r="L184" s="490"/>
      <c r="M184" s="490"/>
      <c r="N184" s="490"/>
      <c r="O184" s="490"/>
      <c r="P184" s="490"/>
      <c r="Q184" s="491"/>
      <c r="R184" s="490"/>
      <c r="S184" s="490"/>
      <c r="T184" s="490"/>
      <c r="U184" s="490"/>
      <c r="V184" s="490"/>
      <c r="W184" s="490"/>
      <c r="X184" s="490"/>
      <c r="Y184" s="490"/>
      <c r="Z184" s="490"/>
      <c r="AA184" s="490"/>
      <c r="AB184" s="490"/>
      <c r="AC184" s="490"/>
      <c r="AD184" s="490"/>
      <c r="AE184" s="490"/>
      <c r="AF184" s="490"/>
      <c r="AG184" s="490"/>
      <c r="AH184" s="490"/>
      <c r="AI184" s="490"/>
      <c r="AJ184" s="490"/>
      <c r="AK184" s="491"/>
      <c r="AL184" s="490"/>
      <c r="AM184" s="490"/>
      <c r="AN184" s="490"/>
      <c r="AO184" s="491"/>
      <c r="AP184" s="490"/>
      <c r="AQ184" s="490"/>
      <c r="AR184" s="490"/>
      <c r="AS184" s="490"/>
      <c r="AT184" s="490"/>
      <c r="AU184" s="490"/>
      <c r="AV184" s="490"/>
      <c r="AW184" s="490"/>
      <c r="AX184" s="490"/>
      <c r="AY184" s="490"/>
      <c r="AZ184" s="490"/>
      <c r="BA184" s="490"/>
      <c r="BB184" s="490"/>
      <c r="BC184" s="491"/>
      <c r="BD184" s="490"/>
      <c r="BE184" s="490"/>
      <c r="BF184" s="490"/>
      <c r="BG184" s="490"/>
      <c r="BH184" s="490"/>
      <c r="BI184" s="490"/>
      <c r="BJ184" s="490"/>
      <c r="BK184" s="490"/>
      <c r="BL184" s="490"/>
      <c r="BM184" s="490"/>
      <c r="BN184" s="490"/>
      <c r="BO184" s="490"/>
      <c r="BP184" s="490"/>
      <c r="BQ184" s="490"/>
      <c r="BR184" s="490"/>
      <c r="BS184" s="490"/>
    </row>
    <row r="185" spans="1:71" s="202" customFormat="1" ht="13.15">
      <c r="A185" s="453"/>
      <c r="B185" s="453"/>
      <c r="C185" s="453"/>
      <c r="D185" s="453"/>
      <c r="E185" s="453" t="s">
        <v>1248</v>
      </c>
      <c r="F185" s="453"/>
      <c r="G185" s="618" t="str">
        <f>InpCompany!$F$11</f>
        <v>£m (2017-18 prices)</v>
      </c>
      <c r="H185" s="453"/>
      <c r="I185" s="453"/>
      <c r="J185" s="576">
        <f>IF(J$183=TRUE,J174,0)</f>
        <v>0</v>
      </c>
      <c r="K185" s="576">
        <f t="shared" ref="K185:BS185" si="64">IF(K$183=TRUE,K174,0)</f>
        <v>0</v>
      </c>
      <c r="L185" s="576">
        <f t="shared" si="64"/>
        <v>0</v>
      </c>
      <c r="M185" s="576">
        <f>IF(M$183=TRUE,M174,0)</f>
        <v>0</v>
      </c>
      <c r="N185" s="576">
        <f t="shared" si="64"/>
        <v>0</v>
      </c>
      <c r="O185" s="576">
        <f>IF(O$183=TRUE,O174,0)</f>
        <v>0</v>
      </c>
      <c r="P185" s="576">
        <f t="shared" si="64"/>
        <v>0</v>
      </c>
      <c r="Q185" s="577">
        <f t="shared" si="64"/>
        <v>0</v>
      </c>
      <c r="R185" s="576">
        <f t="shared" si="64"/>
        <v>0</v>
      </c>
      <c r="S185" s="576">
        <f t="shared" si="64"/>
        <v>0</v>
      </c>
      <c r="T185" s="576">
        <f t="shared" si="64"/>
        <v>0.51100000000000001</v>
      </c>
      <c r="U185" s="576">
        <f t="shared" si="64"/>
        <v>0</v>
      </c>
      <c r="V185" s="576">
        <f t="shared" si="64"/>
        <v>0</v>
      </c>
      <c r="W185" s="576">
        <f t="shared" si="64"/>
        <v>0</v>
      </c>
      <c r="X185" s="576">
        <f t="shared" si="64"/>
        <v>0</v>
      </c>
      <c r="Y185" s="576">
        <f t="shared" si="64"/>
        <v>0</v>
      </c>
      <c r="Z185" s="576">
        <f t="shared" si="64"/>
        <v>0</v>
      </c>
      <c r="AA185" s="576">
        <f t="shared" si="64"/>
        <v>0</v>
      </c>
      <c r="AB185" s="576">
        <f t="shared" si="64"/>
        <v>0</v>
      </c>
      <c r="AC185" s="576">
        <f t="shared" si="64"/>
        <v>0</v>
      </c>
      <c r="AD185" s="576">
        <f t="shared" si="64"/>
        <v>0</v>
      </c>
      <c r="AE185" s="576">
        <f t="shared" si="64"/>
        <v>0</v>
      </c>
      <c r="AF185" s="576">
        <f t="shared" si="64"/>
        <v>0</v>
      </c>
      <c r="AG185" s="576">
        <f t="shared" si="64"/>
        <v>0</v>
      </c>
      <c r="AH185" s="576">
        <f t="shared" si="64"/>
        <v>0</v>
      </c>
      <c r="AI185" s="576">
        <f t="shared" si="64"/>
        <v>0</v>
      </c>
      <c r="AJ185" s="576">
        <f t="shared" si="64"/>
        <v>0</v>
      </c>
      <c r="AK185" s="577">
        <f t="shared" si="64"/>
        <v>0</v>
      </c>
      <c r="AL185" s="576">
        <f t="shared" si="64"/>
        <v>0</v>
      </c>
      <c r="AM185" s="576">
        <f t="shared" si="64"/>
        <v>0</v>
      </c>
      <c r="AN185" s="576">
        <f t="shared" si="64"/>
        <v>0</v>
      </c>
      <c r="AO185" s="577">
        <f t="shared" si="64"/>
        <v>0</v>
      </c>
      <c r="AP185" s="576">
        <f t="shared" si="64"/>
        <v>2.5990999999999997E-4</v>
      </c>
      <c r="AQ185" s="576">
        <f t="shared" si="64"/>
        <v>0</v>
      </c>
      <c r="AR185" s="576">
        <f t="shared" si="64"/>
        <v>0</v>
      </c>
      <c r="AS185" s="576">
        <f t="shared" si="64"/>
        <v>0</v>
      </c>
      <c r="AT185" s="576">
        <f t="shared" si="64"/>
        <v>0</v>
      </c>
      <c r="AU185" s="576">
        <f t="shared" si="64"/>
        <v>0</v>
      </c>
      <c r="AV185" s="576">
        <f t="shared" si="64"/>
        <v>0</v>
      </c>
      <c r="AW185" s="576">
        <f t="shared" si="64"/>
        <v>0</v>
      </c>
      <c r="AX185" s="576">
        <f t="shared" si="64"/>
        <v>1.7027399999999999</v>
      </c>
      <c r="AY185" s="576">
        <f t="shared" si="64"/>
        <v>0</v>
      </c>
      <c r="AZ185" s="576">
        <f t="shared" si="64"/>
        <v>0</v>
      </c>
      <c r="BA185" s="576">
        <f t="shared" si="64"/>
        <v>0</v>
      </c>
      <c r="BB185" s="576">
        <f t="shared" si="64"/>
        <v>0</v>
      </c>
      <c r="BC185" s="577">
        <f t="shared" si="64"/>
        <v>0</v>
      </c>
      <c r="BD185" s="576">
        <f t="shared" si="64"/>
        <v>0</v>
      </c>
      <c r="BE185" s="576">
        <f t="shared" si="64"/>
        <v>0</v>
      </c>
      <c r="BF185" s="576">
        <f>IF(BF$183=TRUE,BF174,0)</f>
        <v>0</v>
      </c>
      <c r="BG185" s="576">
        <f>IF(BG$183=TRUE,BG174,0)</f>
        <v>0</v>
      </c>
      <c r="BH185" s="576">
        <f t="shared" si="64"/>
        <v>0</v>
      </c>
      <c r="BI185" s="576">
        <f t="shared" si="64"/>
        <v>0</v>
      </c>
      <c r="BJ185" s="576">
        <f t="shared" si="64"/>
        <v>0</v>
      </c>
      <c r="BK185" s="576">
        <f t="shared" si="64"/>
        <v>0</v>
      </c>
      <c r="BL185" s="576">
        <f t="shared" si="64"/>
        <v>0</v>
      </c>
      <c r="BM185" s="576">
        <f t="shared" si="64"/>
        <v>0</v>
      </c>
      <c r="BN185" s="576">
        <f t="shared" si="64"/>
        <v>0</v>
      </c>
      <c r="BO185" s="576">
        <f t="shared" si="64"/>
        <v>0</v>
      </c>
      <c r="BP185" s="576">
        <f t="shared" si="64"/>
        <v>0</v>
      </c>
      <c r="BQ185" s="576">
        <f t="shared" si="64"/>
        <v>0</v>
      </c>
      <c r="BR185" s="576">
        <f t="shared" si="64"/>
        <v>0</v>
      </c>
      <c r="BS185" s="576">
        <f t="shared" si="64"/>
        <v>0</v>
      </c>
    </row>
    <row r="186" spans="1:71" s="202" customFormat="1" ht="13.15">
      <c r="A186" s="453"/>
      <c r="B186" s="453"/>
      <c r="C186" s="453"/>
      <c r="D186" s="453"/>
      <c r="E186" s="453" t="s">
        <v>1249</v>
      </c>
      <c r="F186" s="453"/>
      <c r="G186" s="618" t="str">
        <f>InpCompany!$F$11</f>
        <v>£m (2017-18 prices)</v>
      </c>
      <c r="H186" s="453"/>
      <c r="I186" s="453"/>
      <c r="J186" s="576">
        <f>IF(J$183=TRUE,J179,0)</f>
        <v>-0.67195999999999989</v>
      </c>
      <c r="K186" s="576">
        <f t="shared" ref="K186:BS186" si="65">IF(K$183=TRUE,K179,0)</f>
        <v>-4.2374666666666672</v>
      </c>
      <c r="L186" s="576">
        <f t="shared" si="65"/>
        <v>-4.3460000000000001</v>
      </c>
      <c r="M186" s="576">
        <f>IF(M$183=TRUE,M179,0)</f>
        <v>0</v>
      </c>
      <c r="N186" s="576">
        <f t="shared" si="65"/>
        <v>0</v>
      </c>
      <c r="O186" s="576">
        <f>IF(O$183=TRUE,O179,0)</f>
        <v>0</v>
      </c>
      <c r="P186" s="576">
        <f t="shared" si="65"/>
        <v>-1.9907999999999992</v>
      </c>
      <c r="Q186" s="577">
        <f t="shared" si="65"/>
        <v>0</v>
      </c>
      <c r="R186" s="576">
        <f t="shared" si="65"/>
        <v>-2.0789999999999997</v>
      </c>
      <c r="S186" s="576">
        <f t="shared" si="65"/>
        <v>-9.2399999999999954E-2</v>
      </c>
      <c r="T186" s="576">
        <f t="shared" si="65"/>
        <v>0</v>
      </c>
      <c r="U186" s="576">
        <f t="shared" si="65"/>
        <v>0</v>
      </c>
      <c r="V186" s="576">
        <f t="shared" si="65"/>
        <v>-0.6</v>
      </c>
      <c r="W186" s="576">
        <f t="shared" si="65"/>
        <v>0</v>
      </c>
      <c r="X186" s="576">
        <f t="shared" si="65"/>
        <v>0</v>
      </c>
      <c r="Y186" s="576">
        <f t="shared" si="65"/>
        <v>0</v>
      </c>
      <c r="Z186" s="576">
        <f t="shared" si="65"/>
        <v>-0.32354399999999994</v>
      </c>
      <c r="AA186" s="576">
        <f t="shared" si="65"/>
        <v>0</v>
      </c>
      <c r="AB186" s="576">
        <f t="shared" si="65"/>
        <v>0</v>
      </c>
      <c r="AC186" s="576">
        <f t="shared" si="65"/>
        <v>0</v>
      </c>
      <c r="AD186" s="576">
        <f t="shared" si="65"/>
        <v>0</v>
      </c>
      <c r="AE186" s="576">
        <f t="shared" si="65"/>
        <v>0</v>
      </c>
      <c r="AF186" s="576">
        <f t="shared" si="65"/>
        <v>0</v>
      </c>
      <c r="AG186" s="576">
        <f t="shared" si="65"/>
        <v>0</v>
      </c>
      <c r="AH186" s="576">
        <f t="shared" si="65"/>
        <v>0</v>
      </c>
      <c r="AI186" s="576">
        <f t="shared" si="65"/>
        <v>0</v>
      </c>
      <c r="AJ186" s="576">
        <f t="shared" si="65"/>
        <v>0</v>
      </c>
      <c r="AK186" s="577">
        <f t="shared" si="65"/>
        <v>0</v>
      </c>
      <c r="AL186" s="576">
        <f t="shared" si="65"/>
        <v>-6.2794099999999995</v>
      </c>
      <c r="AM186" s="576">
        <f t="shared" si="65"/>
        <v>-8.3821499999999993</v>
      </c>
      <c r="AN186" s="576">
        <f t="shared" si="65"/>
        <v>-0.58975999999999884</v>
      </c>
      <c r="AO186" s="577">
        <f t="shared" si="65"/>
        <v>0</v>
      </c>
      <c r="AP186" s="576">
        <f t="shared" si="65"/>
        <v>0</v>
      </c>
      <c r="AQ186" s="576">
        <f t="shared" si="65"/>
        <v>-1.3260000000000001</v>
      </c>
      <c r="AR186" s="576">
        <f t="shared" si="65"/>
        <v>0</v>
      </c>
      <c r="AS186" s="576">
        <f t="shared" si="65"/>
        <v>0</v>
      </c>
      <c r="AT186" s="576">
        <f t="shared" si="65"/>
        <v>-4.05</v>
      </c>
      <c r="AU186" s="576">
        <f t="shared" si="65"/>
        <v>0</v>
      </c>
      <c r="AV186" s="576">
        <f t="shared" si="65"/>
        <v>0</v>
      </c>
      <c r="AW186" s="576">
        <f t="shared" si="65"/>
        <v>-5.2218399999999998E-2</v>
      </c>
      <c r="AX186" s="576">
        <f t="shared" si="65"/>
        <v>0</v>
      </c>
      <c r="AY186" s="576">
        <f t="shared" si="65"/>
        <v>0</v>
      </c>
      <c r="AZ186" s="576">
        <f t="shared" si="65"/>
        <v>0</v>
      </c>
      <c r="BA186" s="576">
        <f t="shared" si="65"/>
        <v>0</v>
      </c>
      <c r="BB186" s="576">
        <f t="shared" si="65"/>
        <v>0</v>
      </c>
      <c r="BC186" s="577">
        <f t="shared" si="65"/>
        <v>0</v>
      </c>
      <c r="BD186" s="576">
        <f t="shared" si="65"/>
        <v>0</v>
      </c>
      <c r="BE186" s="576">
        <f t="shared" si="65"/>
        <v>0</v>
      </c>
      <c r="BF186" s="576">
        <f>IF(BF$183=TRUE,BF179,0)</f>
        <v>0</v>
      </c>
      <c r="BG186" s="576">
        <f>IF(BG$183=TRUE,BG179,0)</f>
        <v>0</v>
      </c>
      <c r="BH186" s="576">
        <f t="shared" si="65"/>
        <v>0</v>
      </c>
      <c r="BI186" s="576">
        <f t="shared" si="65"/>
        <v>0</v>
      </c>
      <c r="BJ186" s="576">
        <f t="shared" si="65"/>
        <v>0</v>
      </c>
      <c r="BK186" s="576">
        <f t="shared" si="65"/>
        <v>0</v>
      </c>
      <c r="BL186" s="576">
        <f t="shared" si="65"/>
        <v>0</v>
      </c>
      <c r="BM186" s="576">
        <f t="shared" si="65"/>
        <v>0</v>
      </c>
      <c r="BN186" s="576">
        <f t="shared" si="65"/>
        <v>0</v>
      </c>
      <c r="BO186" s="576">
        <f t="shared" si="65"/>
        <v>0</v>
      </c>
      <c r="BP186" s="576">
        <f t="shared" si="65"/>
        <v>0</v>
      </c>
      <c r="BQ186" s="576">
        <f t="shared" si="65"/>
        <v>0</v>
      </c>
      <c r="BR186" s="576">
        <f t="shared" si="65"/>
        <v>0</v>
      </c>
      <c r="BS186" s="576">
        <f t="shared" si="65"/>
        <v>0</v>
      </c>
    </row>
    <row r="187" spans="1:71" s="202" customFormat="1" ht="13.15">
      <c r="A187" s="453"/>
      <c r="B187" s="453"/>
      <c r="C187" s="453"/>
      <c r="D187" s="453"/>
      <c r="E187" s="453"/>
      <c r="F187" s="453"/>
      <c r="G187" s="453"/>
      <c r="H187" s="453"/>
      <c r="I187" s="453"/>
      <c r="J187" s="490"/>
      <c r="K187" s="490"/>
      <c r="L187" s="490"/>
      <c r="M187" s="490"/>
      <c r="N187" s="490"/>
      <c r="O187" s="490"/>
      <c r="P187" s="490"/>
      <c r="Q187" s="491"/>
      <c r="R187" s="490"/>
      <c r="S187" s="490"/>
      <c r="T187" s="490"/>
      <c r="U187" s="490"/>
      <c r="V187" s="490"/>
      <c r="W187" s="490"/>
      <c r="X187" s="490"/>
      <c r="Y187" s="490"/>
      <c r="Z187" s="490"/>
      <c r="AA187" s="490"/>
      <c r="AB187" s="490"/>
      <c r="AC187" s="490"/>
      <c r="AD187" s="490"/>
      <c r="AE187" s="490"/>
      <c r="AF187" s="490"/>
      <c r="AG187" s="490"/>
      <c r="AH187" s="490"/>
      <c r="AI187" s="490"/>
      <c r="AJ187" s="490"/>
      <c r="AK187" s="491"/>
      <c r="AL187" s="490"/>
      <c r="AM187" s="490"/>
      <c r="AN187" s="490"/>
      <c r="AO187" s="491"/>
      <c r="AP187" s="490"/>
      <c r="AQ187" s="490"/>
      <c r="AR187" s="490"/>
      <c r="AS187" s="490"/>
      <c r="AT187" s="490"/>
      <c r="AU187" s="490"/>
      <c r="AV187" s="490"/>
      <c r="AW187" s="490"/>
      <c r="AX187" s="490"/>
      <c r="AY187" s="490"/>
      <c r="AZ187" s="490"/>
      <c r="BA187" s="490"/>
      <c r="BB187" s="490"/>
      <c r="BC187" s="491"/>
      <c r="BD187" s="490"/>
      <c r="BE187" s="490"/>
      <c r="BF187" s="490"/>
      <c r="BG187" s="490"/>
      <c r="BH187" s="490"/>
      <c r="BI187" s="490"/>
      <c r="BJ187" s="490"/>
      <c r="BK187" s="490"/>
      <c r="BL187" s="490"/>
      <c r="BM187" s="490"/>
      <c r="BN187" s="490"/>
      <c r="BO187" s="490"/>
      <c r="BP187" s="490"/>
      <c r="BQ187" s="490"/>
      <c r="BR187" s="490"/>
      <c r="BS187" s="490"/>
    </row>
    <row r="188" spans="1:71" s="202" customFormat="1" ht="13.15">
      <c r="A188" s="453"/>
      <c r="B188" s="453"/>
      <c r="C188" s="453"/>
      <c r="D188" s="463" t="s">
        <v>1190</v>
      </c>
      <c r="E188" s="453"/>
      <c r="F188" s="453"/>
      <c r="G188" s="453"/>
      <c r="H188" s="453"/>
      <c r="I188" s="453"/>
      <c r="J188" s="490"/>
      <c r="K188" s="490"/>
      <c r="L188" s="490"/>
      <c r="M188" s="490"/>
      <c r="N188" s="490"/>
      <c r="O188" s="490"/>
      <c r="P188" s="490"/>
      <c r="Q188" s="491"/>
      <c r="R188" s="490"/>
      <c r="S188" s="490"/>
      <c r="T188" s="490"/>
      <c r="U188" s="490"/>
      <c r="V188" s="490"/>
      <c r="W188" s="490"/>
      <c r="X188" s="490"/>
      <c r="Y188" s="490"/>
      <c r="Z188" s="490"/>
      <c r="AA188" s="490"/>
      <c r="AB188" s="490"/>
      <c r="AC188" s="490"/>
      <c r="AD188" s="490"/>
      <c r="AE188" s="490"/>
      <c r="AF188" s="490"/>
      <c r="AG188" s="490"/>
      <c r="AH188" s="490"/>
      <c r="AI188" s="490"/>
      <c r="AJ188" s="490"/>
      <c r="AK188" s="491"/>
      <c r="AL188" s="490"/>
      <c r="AM188" s="490"/>
      <c r="AN188" s="490"/>
      <c r="AO188" s="491"/>
      <c r="AP188" s="490"/>
      <c r="AQ188" s="490"/>
      <c r="AR188" s="490"/>
      <c r="AS188" s="490"/>
      <c r="AT188" s="490"/>
      <c r="AU188" s="490"/>
      <c r="AV188" s="490"/>
      <c r="AW188" s="490"/>
      <c r="AX188" s="490"/>
      <c r="AY188" s="490"/>
      <c r="AZ188" s="490"/>
      <c r="BA188" s="490"/>
      <c r="BB188" s="490"/>
      <c r="BC188" s="491"/>
      <c r="BD188" s="490"/>
      <c r="BE188" s="490"/>
      <c r="BF188" s="490"/>
      <c r="BG188" s="490"/>
      <c r="BH188" s="490"/>
      <c r="BI188" s="490"/>
      <c r="BJ188" s="490"/>
      <c r="BK188" s="490"/>
      <c r="BL188" s="490"/>
      <c r="BM188" s="490"/>
      <c r="BN188" s="490"/>
      <c r="BO188" s="490"/>
      <c r="BP188" s="490"/>
      <c r="BQ188" s="490"/>
      <c r="BR188" s="490"/>
      <c r="BS188" s="490"/>
    </row>
    <row r="189" spans="1:71" s="202" customFormat="1" ht="13.15">
      <c r="A189" s="453"/>
      <c r="B189" s="453"/>
      <c r="C189" s="463"/>
      <c r="D189" s="453"/>
      <c r="E189" s="583"/>
      <c r="F189" s="453"/>
      <c r="G189" s="453"/>
      <c r="H189" s="453"/>
      <c r="I189" s="453"/>
      <c r="J189" s="490"/>
      <c r="K189" s="490"/>
      <c r="L189" s="490"/>
      <c r="M189" s="490"/>
      <c r="N189" s="490"/>
      <c r="O189" s="490"/>
      <c r="P189" s="490"/>
      <c r="Q189" s="491"/>
      <c r="R189" s="490"/>
      <c r="S189" s="490"/>
      <c r="T189" s="490"/>
      <c r="U189" s="490"/>
      <c r="V189" s="490"/>
      <c r="W189" s="490"/>
      <c r="X189" s="490"/>
      <c r="Y189" s="490"/>
      <c r="Z189" s="490"/>
      <c r="AA189" s="490"/>
      <c r="AB189" s="490"/>
      <c r="AC189" s="490"/>
      <c r="AD189" s="490"/>
      <c r="AE189" s="490"/>
      <c r="AF189" s="490"/>
      <c r="AG189" s="490"/>
      <c r="AH189" s="490"/>
      <c r="AI189" s="490"/>
      <c r="AJ189" s="490"/>
      <c r="AK189" s="491"/>
      <c r="AL189" s="490"/>
      <c r="AM189" s="490"/>
      <c r="AN189" s="490"/>
      <c r="AO189" s="491"/>
      <c r="AP189" s="490"/>
      <c r="AQ189" s="490"/>
      <c r="AR189" s="490"/>
      <c r="AS189" s="490"/>
      <c r="AT189" s="490"/>
      <c r="AU189" s="490"/>
      <c r="AV189" s="490"/>
      <c r="AW189" s="490"/>
      <c r="AX189" s="490"/>
      <c r="AY189" s="490"/>
      <c r="AZ189" s="490"/>
      <c r="BA189" s="490"/>
      <c r="BB189" s="490"/>
      <c r="BC189" s="491"/>
      <c r="BD189" s="490"/>
      <c r="BE189" s="490"/>
      <c r="BF189" s="490"/>
      <c r="BG189" s="490"/>
      <c r="BH189" s="490"/>
      <c r="BI189" s="490"/>
      <c r="BJ189" s="490"/>
      <c r="BK189" s="490"/>
      <c r="BL189" s="490"/>
      <c r="BM189" s="490"/>
      <c r="BN189" s="490"/>
      <c r="BO189" s="490"/>
      <c r="BP189" s="490"/>
      <c r="BQ189" s="490"/>
      <c r="BR189" s="490"/>
      <c r="BS189" s="490"/>
    </row>
    <row r="190" spans="1:71" s="202" customFormat="1" ht="13.15">
      <c r="A190" s="453"/>
      <c r="B190" s="453"/>
      <c r="C190" s="453"/>
      <c r="D190" s="453"/>
      <c r="E190" s="583" t="str">
        <f>InpPerformance!E33</f>
        <v>ODI form</v>
      </c>
      <c r="F190" s="453"/>
      <c r="G190" s="583" t="str">
        <f>InpPerformance!G33</f>
        <v>Text</v>
      </c>
      <c r="H190" s="453"/>
      <c r="I190" s="453"/>
      <c r="J190" s="591" t="str">
        <f>InpPerformance!J33</f>
        <v>Revenue</v>
      </c>
      <c r="K190" s="591" t="str">
        <f>InpPerformance!K33</f>
        <v>Revenue</v>
      </c>
      <c r="L190" s="591" t="str">
        <f>InpPerformance!L33</f>
        <v>Revenue</v>
      </c>
      <c r="M190" s="591" t="str">
        <f>InpPerformance!M33</f>
        <v/>
      </c>
      <c r="N190" s="591" t="str">
        <f>InpPerformance!N33</f>
        <v>Revenue</v>
      </c>
      <c r="O190" s="591" t="str">
        <f>InpPerformance!O33</f>
        <v/>
      </c>
      <c r="P190" s="591" t="str">
        <f>InpPerformance!P33</f>
        <v>Revenue</v>
      </c>
      <c r="Q190" s="592" t="str">
        <f>InpPerformance!Q33</f>
        <v>Revenue</v>
      </c>
      <c r="R190" s="591" t="str">
        <f>InpPerformance!R33</f>
        <v>Revenue</v>
      </c>
      <c r="S190" s="591" t="str">
        <f>InpPerformance!S33</f>
        <v>Revenue</v>
      </c>
      <c r="T190" s="591" t="str">
        <f>InpPerformance!T33</f>
        <v>Revenue</v>
      </c>
      <c r="U190" s="591" t="str">
        <f>InpPerformance!U33</f>
        <v>Revenue</v>
      </c>
      <c r="V190" s="591" t="str">
        <f>InpPerformance!V33</f>
        <v>Revenue</v>
      </c>
      <c r="W190" s="591" t="str">
        <f>InpPerformance!W33</f>
        <v>Revenue</v>
      </c>
      <c r="X190" s="591" t="str">
        <f>InpPerformance!X33</f>
        <v>Revenue</v>
      </c>
      <c r="Y190" s="591" t="str">
        <f>InpPerformance!Y33</f>
        <v>Revenue</v>
      </c>
      <c r="Z190" s="591" t="str">
        <f>InpPerformance!Z33</f>
        <v>Revenue</v>
      </c>
      <c r="AA190" s="591" t="str">
        <f>InpPerformance!AA33</f>
        <v/>
      </c>
      <c r="AB190" s="591" t="str">
        <f>InpPerformance!AB33</f>
        <v/>
      </c>
      <c r="AC190" s="591" t="str">
        <f>InpPerformance!AC33</f>
        <v/>
      </c>
      <c r="AD190" s="591" t="str">
        <f>InpPerformance!AD33</f>
        <v/>
      </c>
      <c r="AE190" s="591" t="str">
        <f>InpPerformance!AE33</f>
        <v/>
      </c>
      <c r="AF190" s="591" t="str">
        <f>InpPerformance!AF33</f>
        <v/>
      </c>
      <c r="AG190" s="591" t="str">
        <f>InpPerformance!AG33</f>
        <v/>
      </c>
      <c r="AH190" s="591" t="str">
        <f>InpPerformance!AH33</f>
        <v/>
      </c>
      <c r="AI190" s="591" t="str">
        <f>InpPerformance!AI33</f>
        <v/>
      </c>
      <c r="AJ190" s="591" t="str">
        <f>InpPerformance!AJ33</f>
        <v/>
      </c>
      <c r="AK190" s="592" t="str">
        <f>InpPerformance!AK33</f>
        <v/>
      </c>
      <c r="AL190" s="591" t="str">
        <f>InpPerformance!AL33</f>
        <v>Revenue</v>
      </c>
      <c r="AM190" s="591" t="str">
        <f>InpPerformance!AM33</f>
        <v>Revenue</v>
      </c>
      <c r="AN190" s="591" t="str">
        <f>InpPerformance!AN33</f>
        <v>Revenue</v>
      </c>
      <c r="AO190" s="592" t="str">
        <f>InpPerformance!AO33</f>
        <v>Revenue</v>
      </c>
      <c r="AP190" s="591" t="str">
        <f>InpPerformance!AP33</f>
        <v>Revenue</v>
      </c>
      <c r="AQ190" s="591" t="str">
        <f>InpPerformance!AQ33</f>
        <v>Revenue</v>
      </c>
      <c r="AR190" s="591" t="str">
        <f>InpPerformance!AR33</f>
        <v>Revenue</v>
      </c>
      <c r="AS190" s="591" t="str">
        <f>InpPerformance!AS33</f>
        <v>Revenue</v>
      </c>
      <c r="AT190" s="591" t="str">
        <f>InpPerformance!AT33</f>
        <v>Revenue</v>
      </c>
      <c r="AU190" s="591" t="str">
        <f>InpPerformance!AU33</f>
        <v>Revenue</v>
      </c>
      <c r="AV190" s="591" t="str">
        <f>InpPerformance!AV33</f>
        <v>Revenue</v>
      </c>
      <c r="AW190" s="591" t="str">
        <f>InpPerformance!AW33</f>
        <v>Revenue</v>
      </c>
      <c r="AX190" s="591" t="str">
        <f>InpPerformance!AX33</f>
        <v>Revenue</v>
      </c>
      <c r="AY190" s="591" t="str">
        <f>InpPerformance!AY33</f>
        <v>Revenue</v>
      </c>
      <c r="AZ190" s="591" t="str">
        <f>InpPerformance!AZ33</f>
        <v/>
      </c>
      <c r="BA190" s="591" t="str">
        <f>InpPerformance!BA33</f>
        <v/>
      </c>
      <c r="BB190" s="591" t="str">
        <f>InpPerformance!BB33</f>
        <v/>
      </c>
      <c r="BC190" s="592" t="str">
        <f>InpPerformance!BC33</f>
        <v/>
      </c>
      <c r="BD190" s="591" t="str">
        <f>InpPerformance!BD33</f>
        <v/>
      </c>
      <c r="BE190" s="591" t="str">
        <f>InpPerformance!BE33</f>
        <v/>
      </c>
      <c r="BF190" s="591" t="str">
        <f>InpPerformance!BF33</f>
        <v/>
      </c>
      <c r="BG190" s="591" t="str">
        <f>InpPerformance!BG33</f>
        <v/>
      </c>
      <c r="BH190" s="591" t="str">
        <f>InpPerformance!BH33</f>
        <v/>
      </c>
      <c r="BI190" s="591" t="str">
        <f>InpPerformance!BI33</f>
        <v/>
      </c>
      <c r="BJ190" s="591" t="str">
        <f>InpPerformance!BJ33</f>
        <v/>
      </c>
      <c r="BK190" s="591" t="str">
        <f>InpPerformance!BK33</f>
        <v/>
      </c>
      <c r="BL190" s="591" t="str">
        <f>InpPerformance!BL33</f>
        <v/>
      </c>
      <c r="BM190" s="591" t="str">
        <f>InpPerformance!BM33</f>
        <v/>
      </c>
      <c r="BN190" s="591" t="str">
        <f>InpPerformance!BN33</f>
        <v/>
      </c>
      <c r="BO190" s="591" t="str">
        <f>InpPerformance!BO33</f>
        <v/>
      </c>
      <c r="BP190" s="591" t="str">
        <f>InpPerformance!BP33</f>
        <v/>
      </c>
      <c r="BQ190" s="591" t="str">
        <f>InpPerformance!BQ33</f>
        <v/>
      </c>
      <c r="BR190" s="591" t="str">
        <f>InpPerformance!BR33</f>
        <v/>
      </c>
      <c r="BS190" s="591" t="str">
        <f>InpPerformance!BS33</f>
        <v/>
      </c>
    </row>
    <row r="191" spans="1:71" s="202" customFormat="1" ht="13.15">
      <c r="A191" s="453"/>
      <c r="B191" s="473"/>
      <c r="C191" s="453"/>
      <c r="D191" s="463"/>
      <c r="E191" s="453"/>
      <c r="F191" s="453"/>
      <c r="G191" s="453"/>
      <c r="H191" s="453"/>
      <c r="I191" s="453"/>
      <c r="J191" s="494"/>
      <c r="K191" s="494"/>
      <c r="L191" s="494"/>
      <c r="M191" s="494"/>
      <c r="N191" s="494"/>
      <c r="O191" s="494"/>
      <c r="P191" s="494"/>
      <c r="Q191" s="496"/>
      <c r="R191" s="494"/>
      <c r="S191" s="494"/>
      <c r="T191" s="494"/>
      <c r="U191" s="494"/>
      <c r="V191" s="494"/>
      <c r="W191" s="494"/>
      <c r="X191" s="494"/>
      <c r="Y191" s="494"/>
      <c r="Z191" s="494"/>
      <c r="AA191" s="494"/>
      <c r="AB191" s="494"/>
      <c r="AC191" s="494"/>
      <c r="AD191" s="494"/>
      <c r="AE191" s="494"/>
      <c r="AF191" s="494"/>
      <c r="AG191" s="494"/>
      <c r="AH191" s="494"/>
      <c r="AI191" s="494"/>
      <c r="AJ191" s="494"/>
      <c r="AK191" s="496"/>
      <c r="AL191" s="494"/>
      <c r="AM191" s="494"/>
      <c r="AN191" s="494"/>
      <c r="AO191" s="496"/>
      <c r="AP191" s="494"/>
      <c r="AQ191" s="494"/>
      <c r="AR191" s="494"/>
      <c r="AS191" s="494"/>
      <c r="AT191" s="494"/>
      <c r="AU191" s="494"/>
      <c r="AV191" s="494"/>
      <c r="AW191" s="494"/>
      <c r="AX191" s="494"/>
      <c r="AY191" s="494"/>
      <c r="AZ191" s="494"/>
      <c r="BA191" s="494"/>
      <c r="BB191" s="494"/>
      <c r="BC191" s="496"/>
      <c r="BD191" s="494"/>
      <c r="BE191" s="494"/>
      <c r="BF191" s="494"/>
      <c r="BG191" s="494"/>
      <c r="BH191" s="494"/>
      <c r="BI191" s="494"/>
      <c r="BJ191" s="494"/>
      <c r="BK191" s="494"/>
      <c r="BL191" s="494"/>
      <c r="BM191" s="494"/>
      <c r="BN191" s="494"/>
      <c r="BO191" s="494"/>
      <c r="BP191" s="494"/>
      <c r="BQ191" s="494"/>
      <c r="BR191" s="494"/>
      <c r="BS191" s="494"/>
    </row>
    <row r="192" spans="1:71" s="202" customFormat="1" ht="13.15">
      <c r="A192" s="453"/>
      <c r="B192" s="453"/>
      <c r="C192" s="453"/>
      <c r="D192" s="453"/>
      <c r="E192" s="583" t="str">
        <f>InpPerformance!E68</f>
        <v>Price control allocation - Water resources</v>
      </c>
      <c r="F192" s="583"/>
      <c r="G192" s="583" t="str">
        <f>InpPerformance!G68</f>
        <v>Percentage</v>
      </c>
      <c r="H192" s="583"/>
      <c r="I192" s="583"/>
      <c r="J192" s="623">
        <f>IF(InpPerformance!J68="",0,InpPerformance!J68)</f>
        <v>0</v>
      </c>
      <c r="K192" s="623">
        <f>IF(InpPerformance!K68="",0,InpPerformance!K68)</f>
        <v>0</v>
      </c>
      <c r="L192" s="623">
        <f>IF(InpPerformance!L68="",0,InpPerformance!L68)</f>
        <v>0</v>
      </c>
      <c r="M192" s="623">
        <f>IF(InpPerformance!M68="",0,InpPerformance!M68)</f>
        <v>0</v>
      </c>
      <c r="N192" s="623">
        <f>IF(InpPerformance!N68="",0,InpPerformance!N68)</f>
        <v>1</v>
      </c>
      <c r="O192" s="623">
        <f>IF(InpPerformance!O68="",0,InpPerformance!O68)</f>
        <v>0</v>
      </c>
      <c r="P192" s="623">
        <f>IF(InpPerformance!P68="",0,InpPerformance!P68)</f>
        <v>0</v>
      </c>
      <c r="Q192" s="624">
        <f>IF(InpPerformance!Q68="",0,InpPerformance!Q68)</f>
        <v>0</v>
      </c>
      <c r="R192" s="623">
        <f>IF(InpPerformance!R68="",0,InpPerformance!R68)</f>
        <v>0</v>
      </c>
      <c r="S192" s="623">
        <f>IF(InpPerformance!S68="",0,InpPerformance!S68)</f>
        <v>0</v>
      </c>
      <c r="T192" s="623">
        <f>IF(InpPerformance!T68="",0,InpPerformance!T68)</f>
        <v>1</v>
      </c>
      <c r="U192" s="623">
        <f>IF(InpPerformance!U68="",0,InpPerformance!U68)</f>
        <v>0</v>
      </c>
      <c r="V192" s="623">
        <f>IF(InpPerformance!V68="",0,InpPerformance!V68)</f>
        <v>0</v>
      </c>
      <c r="W192" s="623">
        <f>IF(InpPerformance!W68="",0,InpPerformance!W68)</f>
        <v>0</v>
      </c>
      <c r="X192" s="623">
        <f>IF(InpPerformance!X68="",0,InpPerformance!X68)</f>
        <v>0</v>
      </c>
      <c r="Y192" s="623">
        <f>IF(InpPerformance!Y68="",0,InpPerformance!Y68)</f>
        <v>0</v>
      </c>
      <c r="Z192" s="623">
        <f>IF(InpPerformance!Z68="",0,InpPerformance!Z68)</f>
        <v>1</v>
      </c>
      <c r="AA192" s="623">
        <f>IF(InpPerformance!AA68="",0,InpPerformance!AA68)</f>
        <v>0</v>
      </c>
      <c r="AB192" s="623">
        <f>IF(InpPerformance!AB68="",0,InpPerformance!AB68)</f>
        <v>0</v>
      </c>
      <c r="AC192" s="623">
        <f>IF(InpPerformance!AC68="",0,InpPerformance!AC68)</f>
        <v>0</v>
      </c>
      <c r="AD192" s="623">
        <f>IF(InpPerformance!AD68="",0,InpPerformance!AD68)</f>
        <v>0</v>
      </c>
      <c r="AE192" s="623">
        <f>IF(InpPerformance!AE68="",0,InpPerformance!AE68)</f>
        <v>0</v>
      </c>
      <c r="AF192" s="623">
        <f>IF(InpPerformance!AF68="",0,InpPerformance!AF68)</f>
        <v>0</v>
      </c>
      <c r="AG192" s="623">
        <f>IF(InpPerformance!AG68="",0,InpPerformance!AG68)</f>
        <v>0</v>
      </c>
      <c r="AH192" s="623">
        <f>IF(InpPerformance!AH68="",0,InpPerformance!AH68)</f>
        <v>0</v>
      </c>
      <c r="AI192" s="623">
        <f>IF(InpPerformance!AI68="",0,InpPerformance!AI68)</f>
        <v>0</v>
      </c>
      <c r="AJ192" s="623">
        <f>IF(InpPerformance!AJ68="",0,InpPerformance!AJ68)</f>
        <v>0</v>
      </c>
      <c r="AK192" s="624">
        <f>IF(InpPerformance!AK68="",0,InpPerformance!AK68)</f>
        <v>0</v>
      </c>
      <c r="AL192" s="623">
        <f>IF(InpPerformance!AL68="",0,InpPerformance!AL68)</f>
        <v>0</v>
      </c>
      <c r="AM192" s="623">
        <f>IF(InpPerformance!AM68="",0,InpPerformance!AM68)</f>
        <v>0</v>
      </c>
      <c r="AN192" s="623">
        <f>IF(InpPerformance!AN68="",0,InpPerformance!AN68)</f>
        <v>0</v>
      </c>
      <c r="AO192" s="624">
        <f>IF(InpPerformance!AO68="",0,InpPerformance!AO68)</f>
        <v>0</v>
      </c>
      <c r="AP192" s="623">
        <f>IF(InpPerformance!AP68="",0,InpPerformance!AP68)</f>
        <v>0</v>
      </c>
      <c r="AQ192" s="623">
        <f>IF(InpPerformance!AQ68="",0,InpPerformance!AQ68)</f>
        <v>0</v>
      </c>
      <c r="AR192" s="623">
        <f>IF(InpPerformance!AR68="",0,InpPerformance!AR68)</f>
        <v>0</v>
      </c>
      <c r="AS192" s="623">
        <f>IF(InpPerformance!AS68="",0,InpPerformance!AS68)</f>
        <v>0</v>
      </c>
      <c r="AT192" s="623">
        <f>IF(InpPerformance!AT68="",0,InpPerformance!AT68)</f>
        <v>0</v>
      </c>
      <c r="AU192" s="623">
        <f>IF(InpPerformance!AU68="",0,InpPerformance!AU68)</f>
        <v>0</v>
      </c>
      <c r="AV192" s="623">
        <f>IF(InpPerformance!AV68="",0,InpPerformance!AV68)</f>
        <v>0</v>
      </c>
      <c r="AW192" s="623">
        <f>IF(InpPerformance!AW68="",0,InpPerformance!AW68)</f>
        <v>0</v>
      </c>
      <c r="AX192" s="623">
        <f>IF(InpPerformance!AX68="",0,InpPerformance!AX68)</f>
        <v>0</v>
      </c>
      <c r="AY192" s="623">
        <f>IF(InpPerformance!AY68="",0,InpPerformance!AY68)</f>
        <v>0</v>
      </c>
      <c r="AZ192" s="623">
        <f>IF(InpPerformance!AZ68="",0,InpPerformance!AZ68)</f>
        <v>0</v>
      </c>
      <c r="BA192" s="623">
        <f>IF(InpPerformance!BA68="",0,InpPerformance!BA68)</f>
        <v>0</v>
      </c>
      <c r="BB192" s="623">
        <f>IF(InpPerformance!BB68="",0,InpPerformance!BB68)</f>
        <v>0</v>
      </c>
      <c r="BC192" s="624">
        <f>IF(InpPerformance!BC68="",0,InpPerformance!BC68)</f>
        <v>0</v>
      </c>
      <c r="BD192" s="623">
        <f>IF(InpPerformance!BD68="",0,InpPerformance!BD68)</f>
        <v>0</v>
      </c>
      <c r="BE192" s="623">
        <f>IF(InpPerformance!BE68="",0,InpPerformance!BE68)</f>
        <v>0</v>
      </c>
      <c r="BF192" s="623">
        <f>IF(InpPerformance!BF68="",0,InpPerformance!BF68)</f>
        <v>0</v>
      </c>
      <c r="BG192" s="623">
        <f>IF(InpPerformance!BG68="",0,InpPerformance!BG68)</f>
        <v>0</v>
      </c>
      <c r="BH192" s="1204">
        <f>IF(InpPerformance!BH68="",0,InpPerformance!BH68)</f>
        <v>0</v>
      </c>
      <c r="BI192" s="623">
        <f>IF(InpPerformance!BI68="",0,InpPerformance!BI68)</f>
        <v>0</v>
      </c>
      <c r="BJ192" s="623">
        <f>IF(InpPerformance!BJ68="",0,InpPerformance!BJ68)</f>
        <v>0</v>
      </c>
      <c r="BK192" s="623">
        <f>IF(InpPerformance!BK68="",0,InpPerformance!BK68)</f>
        <v>0</v>
      </c>
      <c r="BL192" s="623">
        <f>IF(InpPerformance!BL68="",0,InpPerformance!BL68)</f>
        <v>0</v>
      </c>
      <c r="BM192" s="623">
        <f>IF(InpPerformance!BM68="",0,InpPerformance!BM68)</f>
        <v>0</v>
      </c>
      <c r="BN192" s="623">
        <f>IF(InpPerformance!BN68="",0,InpPerformance!BN68)</f>
        <v>0</v>
      </c>
      <c r="BO192" s="623">
        <f>IF(InpPerformance!BO68="",0,InpPerformance!BO68)</f>
        <v>0</v>
      </c>
      <c r="BP192" s="623">
        <f>IF(InpPerformance!BP68="",0,InpPerformance!BP68)</f>
        <v>0</v>
      </c>
      <c r="BQ192" s="623">
        <f>IF(InpPerformance!BQ68="",0,InpPerformance!BQ68)</f>
        <v>0</v>
      </c>
      <c r="BR192" s="623">
        <f>IF(InpPerformance!BR68="",0,InpPerformance!BR68)</f>
        <v>0</v>
      </c>
      <c r="BS192" s="623">
        <f>IF(InpPerformance!BS68="",0,InpPerformance!BS68)</f>
        <v>0</v>
      </c>
    </row>
    <row r="193" spans="1:71" s="202" customFormat="1" ht="13.15">
      <c r="A193" s="453"/>
      <c r="B193" s="453"/>
      <c r="C193" s="453"/>
      <c r="D193" s="453"/>
      <c r="E193" s="583" t="str">
        <f>InpPerformance!E69</f>
        <v>Price control allocation - Water network plus</v>
      </c>
      <c r="F193" s="583"/>
      <c r="G193" s="583" t="str">
        <f>InpPerformance!G69</f>
        <v>Percentage</v>
      </c>
      <c r="H193" s="583"/>
      <c r="I193" s="583"/>
      <c r="J193" s="623">
        <f>IF(InpPerformance!J69="",0,InpPerformance!J69)</f>
        <v>1</v>
      </c>
      <c r="K193" s="623">
        <f>IF(InpPerformance!K69="",0,InpPerformance!K69)</f>
        <v>1</v>
      </c>
      <c r="L193" s="623">
        <f>IF(InpPerformance!L69="",0,InpPerformance!L69)</f>
        <v>1</v>
      </c>
      <c r="M193" s="623">
        <f>IF(InpPerformance!M69="",0,InpPerformance!M69)</f>
        <v>0</v>
      </c>
      <c r="N193" s="623">
        <f>IF(InpPerformance!N69="",0,InpPerformance!N69)</f>
        <v>0</v>
      </c>
      <c r="O193" s="623">
        <f>IF(InpPerformance!O69="",0,InpPerformance!O69)</f>
        <v>0</v>
      </c>
      <c r="P193" s="623">
        <f>IF(InpPerformance!P69="",0,InpPerformance!P69)</f>
        <v>1</v>
      </c>
      <c r="Q193" s="624">
        <f>IF(InpPerformance!Q69="",0,InpPerformance!Q69)</f>
        <v>1</v>
      </c>
      <c r="R193" s="623">
        <f>IF(InpPerformance!R69="",0,InpPerformance!R69)</f>
        <v>1</v>
      </c>
      <c r="S193" s="623">
        <f>IF(InpPerformance!S69="",0,InpPerformance!S69)</f>
        <v>1</v>
      </c>
      <c r="T193" s="623">
        <f>IF(InpPerformance!T69="",0,InpPerformance!T69)</f>
        <v>0</v>
      </c>
      <c r="U193" s="623">
        <f>IF(InpPerformance!U69="",0,InpPerformance!U69)</f>
        <v>1</v>
      </c>
      <c r="V193" s="623">
        <f>IF(InpPerformance!V69="",0,InpPerformance!V69)</f>
        <v>0</v>
      </c>
      <c r="W193" s="623">
        <f>IF(InpPerformance!W69="",0,InpPerformance!W69)</f>
        <v>1</v>
      </c>
      <c r="X193" s="623">
        <f>IF(InpPerformance!X69="",0,InpPerformance!X69)</f>
        <v>1</v>
      </c>
      <c r="Y193" s="623">
        <f>IF(InpPerformance!Y69="",0,InpPerformance!Y69)</f>
        <v>1</v>
      </c>
      <c r="Z193" s="623">
        <f>IF(InpPerformance!Z69="",0,InpPerformance!Z69)</f>
        <v>0</v>
      </c>
      <c r="AA193" s="623">
        <f>IF(InpPerformance!AA69="",0,InpPerformance!AA69)</f>
        <v>0</v>
      </c>
      <c r="AB193" s="623">
        <f>IF(InpPerformance!AB69="",0,InpPerformance!AB69)</f>
        <v>0</v>
      </c>
      <c r="AC193" s="623">
        <f>IF(InpPerformance!AC69="",0,InpPerformance!AC69)</f>
        <v>0</v>
      </c>
      <c r="AD193" s="623">
        <f>IF(InpPerformance!AD69="",0,InpPerformance!AD69)</f>
        <v>0</v>
      </c>
      <c r="AE193" s="623">
        <f>IF(InpPerformance!AE69="",0,InpPerformance!AE69)</f>
        <v>0</v>
      </c>
      <c r="AF193" s="623">
        <f>IF(InpPerformance!AF69="",0,InpPerformance!AF69)</f>
        <v>0</v>
      </c>
      <c r="AG193" s="623">
        <f>IF(InpPerformance!AG69="",0,InpPerformance!AG69)</f>
        <v>0</v>
      </c>
      <c r="AH193" s="623">
        <f>IF(InpPerformance!AH69="",0,InpPerformance!AH69)</f>
        <v>0</v>
      </c>
      <c r="AI193" s="623">
        <f>IF(InpPerformance!AI69="",0,InpPerformance!AI69)</f>
        <v>0</v>
      </c>
      <c r="AJ193" s="623">
        <f>IF(InpPerformance!AJ69="",0,InpPerformance!AJ69)</f>
        <v>0</v>
      </c>
      <c r="AK193" s="624">
        <f>IF(InpPerformance!AK69="",0,InpPerformance!AK69)</f>
        <v>0</v>
      </c>
      <c r="AL193" s="623">
        <f>IF(InpPerformance!AL69="",0,InpPerformance!AL69)</f>
        <v>0</v>
      </c>
      <c r="AM193" s="623">
        <f>IF(InpPerformance!AM69="",0,InpPerformance!AM69)</f>
        <v>0</v>
      </c>
      <c r="AN193" s="623">
        <f>IF(InpPerformance!AN69="",0,InpPerformance!AN69)</f>
        <v>0</v>
      </c>
      <c r="AO193" s="624">
        <f>IF(InpPerformance!AO69="",0,InpPerformance!AO69)</f>
        <v>0</v>
      </c>
      <c r="AP193" s="623">
        <f>IF(InpPerformance!AP69="",0,InpPerformance!AP69)</f>
        <v>0</v>
      </c>
      <c r="AQ193" s="623">
        <f>IF(InpPerformance!AQ69="",0,InpPerformance!AQ69)</f>
        <v>0.03</v>
      </c>
      <c r="AR193" s="623">
        <f>IF(InpPerformance!AR69="",0,InpPerformance!AR69)</f>
        <v>0</v>
      </c>
      <c r="AS193" s="623">
        <f>IF(InpPerformance!AS69="",0,InpPerformance!AS69)</f>
        <v>0</v>
      </c>
      <c r="AT193" s="623">
        <f>IF(InpPerformance!AT69="",0,InpPerformance!AT69)</f>
        <v>0</v>
      </c>
      <c r="AU193" s="623">
        <f>IF(InpPerformance!AU69="",0,InpPerformance!AU69)</f>
        <v>0</v>
      </c>
      <c r="AV193" s="623">
        <f>IF(InpPerformance!AV69="",0,InpPerformance!AV69)</f>
        <v>0</v>
      </c>
      <c r="AW193" s="623">
        <f>IF(InpPerformance!AW69="",0,InpPerformance!AW69)</f>
        <v>0</v>
      </c>
      <c r="AX193" s="623">
        <f>IF(InpPerformance!AX69="",0,InpPerformance!AX69)</f>
        <v>0</v>
      </c>
      <c r="AY193" s="623">
        <f>IF(InpPerformance!AY69="",0,InpPerformance!AY69)</f>
        <v>0</v>
      </c>
      <c r="AZ193" s="623">
        <f>IF(InpPerformance!AZ69="",0,InpPerformance!AZ69)</f>
        <v>0</v>
      </c>
      <c r="BA193" s="623">
        <f>IF(InpPerformance!BA69="",0,InpPerformance!BA69)</f>
        <v>0</v>
      </c>
      <c r="BB193" s="623">
        <f>IF(InpPerformance!BB69="",0,InpPerformance!BB69)</f>
        <v>0</v>
      </c>
      <c r="BC193" s="624">
        <f>IF(InpPerformance!BC69="",0,InpPerformance!BC69)</f>
        <v>0</v>
      </c>
      <c r="BD193" s="623">
        <f>IF(InpPerformance!BD69="",0,InpPerformance!BD69)</f>
        <v>0</v>
      </c>
      <c r="BE193" s="623">
        <f>IF(InpPerformance!BE69="",0,InpPerformance!BE69)</f>
        <v>0</v>
      </c>
      <c r="BF193" s="623">
        <f>IF(InpPerformance!BF69="",0,InpPerformance!BF69)</f>
        <v>0</v>
      </c>
      <c r="BG193" s="623">
        <f>IF(InpPerformance!BG69="",0,InpPerformance!BG69)</f>
        <v>0</v>
      </c>
      <c r="BH193" s="1204">
        <f>IF(InpPerformance!BH69="",0,InpPerformance!BH69)</f>
        <v>0</v>
      </c>
      <c r="BI193" s="623">
        <f>IF(InpPerformance!BI69="",0,InpPerformance!BI69)</f>
        <v>0</v>
      </c>
      <c r="BJ193" s="623">
        <f>IF(InpPerformance!BJ69="",0,InpPerformance!BJ69)</f>
        <v>0</v>
      </c>
      <c r="BK193" s="623">
        <f>IF(InpPerformance!BK69="",0,InpPerformance!BK69)</f>
        <v>0</v>
      </c>
      <c r="BL193" s="623">
        <f>IF(InpPerformance!BL69="",0,InpPerformance!BL69)</f>
        <v>0</v>
      </c>
      <c r="BM193" s="623">
        <f>IF(InpPerformance!BM69="",0,InpPerformance!BM69)</f>
        <v>0</v>
      </c>
      <c r="BN193" s="623">
        <f>IF(InpPerformance!BN69="",0,InpPerformance!BN69)</f>
        <v>0</v>
      </c>
      <c r="BO193" s="623">
        <f>IF(InpPerformance!BO69="",0,InpPerformance!BO69)</f>
        <v>0</v>
      </c>
      <c r="BP193" s="623">
        <f>IF(InpPerformance!BP69="",0,InpPerformance!BP69)</f>
        <v>0</v>
      </c>
      <c r="BQ193" s="623">
        <f>IF(InpPerformance!BQ69="",0,InpPerformance!BQ69)</f>
        <v>0</v>
      </c>
      <c r="BR193" s="623">
        <f>IF(InpPerformance!BR69="",0,InpPerformance!BR69)</f>
        <v>0</v>
      </c>
      <c r="BS193" s="623">
        <f>IF(InpPerformance!BS69="",0,InpPerformance!BS69)</f>
        <v>0</v>
      </c>
    </row>
    <row r="194" spans="1:71" s="202" customFormat="1" ht="13.15">
      <c r="A194" s="453"/>
      <c r="B194" s="453"/>
      <c r="C194" s="453"/>
      <c r="D194" s="453"/>
      <c r="E194" s="583" t="str">
        <f>InpPerformance!E70</f>
        <v>Price control allocation - Wastewater network plus</v>
      </c>
      <c r="F194" s="583"/>
      <c r="G194" s="583" t="str">
        <f>InpPerformance!G70</f>
        <v>Percentage</v>
      </c>
      <c r="H194" s="583"/>
      <c r="I194" s="583"/>
      <c r="J194" s="623">
        <f>IF(InpPerformance!J70="",0,InpPerformance!J70)</f>
        <v>0</v>
      </c>
      <c r="K194" s="623">
        <f>IF(InpPerformance!K70="",0,InpPerformance!K70)</f>
        <v>0</v>
      </c>
      <c r="L194" s="623">
        <f>IF(InpPerformance!L70="",0,InpPerformance!L70)</f>
        <v>0</v>
      </c>
      <c r="M194" s="623">
        <f>IF(InpPerformance!M70="",0,InpPerformance!M70)</f>
        <v>0</v>
      </c>
      <c r="N194" s="623">
        <f>IF(InpPerformance!N70="",0,InpPerformance!N70)</f>
        <v>0</v>
      </c>
      <c r="O194" s="623">
        <f>IF(InpPerformance!O70="",0,InpPerformance!O70)</f>
        <v>0</v>
      </c>
      <c r="P194" s="623">
        <f>IF(InpPerformance!P70="",0,InpPerformance!P70)</f>
        <v>0</v>
      </c>
      <c r="Q194" s="624">
        <f>IF(InpPerformance!Q70="",0,InpPerformance!Q70)</f>
        <v>0</v>
      </c>
      <c r="R194" s="623">
        <f>IF(InpPerformance!R70="",0,InpPerformance!R70)</f>
        <v>0</v>
      </c>
      <c r="S194" s="623">
        <f>IF(InpPerformance!S70="",0,InpPerformance!S70)</f>
        <v>0</v>
      </c>
      <c r="T194" s="623">
        <f>IF(InpPerformance!T70="",0,InpPerformance!T70)</f>
        <v>0</v>
      </c>
      <c r="U194" s="623">
        <f>IF(InpPerformance!U70="",0,InpPerformance!U70)</f>
        <v>0</v>
      </c>
      <c r="V194" s="623">
        <f>IF(InpPerformance!V70="",0,InpPerformance!V70)</f>
        <v>0</v>
      </c>
      <c r="W194" s="623">
        <f>IF(InpPerformance!W70="",0,InpPerformance!W70)</f>
        <v>0</v>
      </c>
      <c r="X194" s="623">
        <f>IF(InpPerformance!X70="",0,InpPerformance!X70)</f>
        <v>0</v>
      </c>
      <c r="Y194" s="623">
        <f>IF(InpPerformance!Y70="",0,InpPerformance!Y70)</f>
        <v>0</v>
      </c>
      <c r="Z194" s="623">
        <f>IF(InpPerformance!Z70="",0,InpPerformance!Z70)</f>
        <v>0</v>
      </c>
      <c r="AA194" s="623">
        <f>IF(InpPerformance!AA70="",0,InpPerformance!AA70)</f>
        <v>0</v>
      </c>
      <c r="AB194" s="623">
        <f>IF(InpPerformance!AB70="",0,InpPerformance!AB70)</f>
        <v>0</v>
      </c>
      <c r="AC194" s="623">
        <f>IF(InpPerformance!AC70="",0,InpPerformance!AC70)</f>
        <v>0</v>
      </c>
      <c r="AD194" s="623">
        <f>IF(InpPerformance!AD70="",0,InpPerformance!AD70)</f>
        <v>0</v>
      </c>
      <c r="AE194" s="623">
        <f>IF(InpPerformance!AE70="",0,InpPerformance!AE70)</f>
        <v>0</v>
      </c>
      <c r="AF194" s="623">
        <f>IF(InpPerformance!AF70="",0,InpPerformance!AF70)</f>
        <v>0</v>
      </c>
      <c r="AG194" s="623">
        <f>IF(InpPerformance!AG70="",0,InpPerformance!AG70)</f>
        <v>0</v>
      </c>
      <c r="AH194" s="623">
        <f>IF(InpPerformance!AH70="",0,InpPerformance!AH70)</f>
        <v>0</v>
      </c>
      <c r="AI194" s="623">
        <f>IF(InpPerformance!AI70="",0,InpPerformance!AI70)</f>
        <v>0</v>
      </c>
      <c r="AJ194" s="623">
        <f>IF(InpPerformance!AJ70="",0,InpPerformance!AJ70)</f>
        <v>0</v>
      </c>
      <c r="AK194" s="624">
        <f>IF(InpPerformance!AK70="",0,InpPerformance!AK70)</f>
        <v>0</v>
      </c>
      <c r="AL194" s="623">
        <f>IF(InpPerformance!AL70="",0,InpPerformance!AL70)</f>
        <v>1</v>
      </c>
      <c r="AM194" s="623">
        <f>IF(InpPerformance!AM70="",0,InpPerformance!AM70)</f>
        <v>1</v>
      </c>
      <c r="AN194" s="623">
        <f>IF(InpPerformance!AN70="",0,InpPerformance!AN70)</f>
        <v>1</v>
      </c>
      <c r="AO194" s="624">
        <f>IF(InpPerformance!AO70="",0,InpPerformance!AO70)</f>
        <v>1</v>
      </c>
      <c r="AP194" s="623">
        <f>IF(InpPerformance!AP70="",0,InpPerformance!AP70)</f>
        <v>1</v>
      </c>
      <c r="AQ194" s="623">
        <f>IF(InpPerformance!AQ70="",0,InpPerformance!AQ70)</f>
        <v>0</v>
      </c>
      <c r="AR194" s="623">
        <f>IF(InpPerformance!AR70="",0,InpPerformance!AR70)</f>
        <v>0</v>
      </c>
      <c r="AS194" s="623">
        <f>IF(InpPerformance!AS70="",0,InpPerformance!AS70)</f>
        <v>1</v>
      </c>
      <c r="AT194" s="623">
        <f>IF(InpPerformance!AT70="",0,InpPerformance!AT70)</f>
        <v>1</v>
      </c>
      <c r="AU194" s="623">
        <f>IF(InpPerformance!AU70="",0,InpPerformance!AU70)</f>
        <v>1</v>
      </c>
      <c r="AV194" s="623">
        <f>IF(InpPerformance!AV70="",0,InpPerformance!AV70)</f>
        <v>1</v>
      </c>
      <c r="AW194" s="623">
        <f>IF(InpPerformance!AW70="",0,InpPerformance!AW70)</f>
        <v>1</v>
      </c>
      <c r="AX194" s="623">
        <f>IF(InpPerformance!AX70="",0,InpPerformance!AX70)</f>
        <v>1</v>
      </c>
      <c r="AY194" s="623">
        <f>IF(InpPerformance!AY70="",0,InpPerformance!AY70)</f>
        <v>1</v>
      </c>
      <c r="AZ194" s="623">
        <f>IF(InpPerformance!AZ70="",0,InpPerformance!AZ70)</f>
        <v>0</v>
      </c>
      <c r="BA194" s="623">
        <f>IF(InpPerformance!BA70="",0,InpPerformance!BA70)</f>
        <v>0</v>
      </c>
      <c r="BB194" s="623">
        <f>IF(InpPerformance!BB70="",0,InpPerformance!BB70)</f>
        <v>0</v>
      </c>
      <c r="BC194" s="624">
        <f>IF(InpPerformance!BC70="",0,InpPerformance!BC70)</f>
        <v>0</v>
      </c>
      <c r="BD194" s="623">
        <f>IF(InpPerformance!BD70="",0,InpPerformance!BD70)</f>
        <v>0</v>
      </c>
      <c r="BE194" s="623">
        <f>IF(InpPerformance!BE70="",0,InpPerformance!BE70)</f>
        <v>0</v>
      </c>
      <c r="BF194" s="623">
        <f>IF(InpPerformance!BF70="",0,InpPerformance!BF70)</f>
        <v>0</v>
      </c>
      <c r="BG194" s="623">
        <f>IF(InpPerformance!BG70="",0,InpPerformance!BG70)</f>
        <v>0</v>
      </c>
      <c r="BH194" s="1204">
        <f>IF(InpPerformance!BH70="",0,InpPerformance!BH70)</f>
        <v>0</v>
      </c>
      <c r="BI194" s="623">
        <f>IF(InpPerformance!BI70="",0,InpPerformance!BI70)</f>
        <v>0</v>
      </c>
      <c r="BJ194" s="623">
        <f>IF(InpPerformance!BJ70="",0,InpPerformance!BJ70)</f>
        <v>0</v>
      </c>
      <c r="BK194" s="623">
        <f>IF(InpPerformance!BK70="",0,InpPerformance!BK70)</f>
        <v>0</v>
      </c>
      <c r="BL194" s="623">
        <f>IF(InpPerformance!BL70="",0,InpPerformance!BL70)</f>
        <v>0</v>
      </c>
      <c r="BM194" s="623">
        <f>IF(InpPerformance!BM70="",0,InpPerformance!BM70)</f>
        <v>0</v>
      </c>
      <c r="BN194" s="623">
        <f>IF(InpPerformance!BN70="",0,InpPerformance!BN70)</f>
        <v>0</v>
      </c>
      <c r="BO194" s="623">
        <f>IF(InpPerformance!BO70="",0,InpPerformance!BO70)</f>
        <v>0</v>
      </c>
      <c r="BP194" s="623">
        <f>IF(InpPerformance!BP70="",0,InpPerformance!BP70)</f>
        <v>0</v>
      </c>
      <c r="BQ194" s="623">
        <f>IF(InpPerformance!BQ70="",0,InpPerformance!BQ70)</f>
        <v>0</v>
      </c>
      <c r="BR194" s="623">
        <f>IF(InpPerformance!BR70="",0,InpPerformance!BR70)</f>
        <v>0</v>
      </c>
      <c r="BS194" s="623">
        <f>IF(InpPerformance!BS70="",0,InpPerformance!BS70)</f>
        <v>0</v>
      </c>
    </row>
    <row r="195" spans="1:71" s="202" customFormat="1" ht="13.15">
      <c r="A195" s="453"/>
      <c r="B195" s="453"/>
      <c r="C195" s="453"/>
      <c r="D195" s="453"/>
      <c r="E195" s="583" t="str">
        <f>InpPerformance!E71</f>
        <v>Price control allocation - Bioresources (sludge)</v>
      </c>
      <c r="F195" s="583"/>
      <c r="G195" s="583" t="str">
        <f>InpPerformance!G71</f>
        <v>Percentage</v>
      </c>
      <c r="H195" s="583"/>
      <c r="I195" s="583"/>
      <c r="J195" s="623">
        <f>IF(InpPerformance!J71="",0,InpPerformance!J71)</f>
        <v>0</v>
      </c>
      <c r="K195" s="623">
        <f>IF(InpPerformance!K71="",0,InpPerformance!K71)</f>
        <v>0</v>
      </c>
      <c r="L195" s="623">
        <f>IF(InpPerformance!L71="",0,InpPerformance!L71)</f>
        <v>0</v>
      </c>
      <c r="M195" s="623">
        <f>IF(InpPerformance!M71="",0,InpPerformance!M71)</f>
        <v>0</v>
      </c>
      <c r="N195" s="623">
        <f>IF(InpPerformance!N71="",0,InpPerformance!N71)</f>
        <v>0</v>
      </c>
      <c r="O195" s="623">
        <f>IF(InpPerformance!O71="",0,InpPerformance!O71)</f>
        <v>0</v>
      </c>
      <c r="P195" s="623">
        <f>IF(InpPerformance!P71="",0,InpPerformance!P71)</f>
        <v>0</v>
      </c>
      <c r="Q195" s="624">
        <f>IF(InpPerformance!Q71="",0,InpPerformance!Q71)</f>
        <v>0</v>
      </c>
      <c r="R195" s="623">
        <f>IF(InpPerformance!R71="",0,InpPerformance!R71)</f>
        <v>0</v>
      </c>
      <c r="S195" s="623">
        <f>IF(InpPerformance!S71="",0,InpPerformance!S71)</f>
        <v>0</v>
      </c>
      <c r="T195" s="623">
        <f>IF(InpPerformance!T71="",0,InpPerformance!T71)</f>
        <v>0</v>
      </c>
      <c r="U195" s="623">
        <f>IF(InpPerformance!U71="",0,InpPerformance!U71)</f>
        <v>0</v>
      </c>
      <c r="V195" s="623">
        <f>IF(InpPerformance!V71="",0,InpPerformance!V71)</f>
        <v>0</v>
      </c>
      <c r="W195" s="623">
        <f>IF(InpPerformance!W71="",0,InpPerformance!W71)</f>
        <v>0</v>
      </c>
      <c r="X195" s="623">
        <f>IF(InpPerformance!X71="",0,InpPerformance!X71)</f>
        <v>0</v>
      </c>
      <c r="Y195" s="623">
        <f>IF(InpPerformance!Y71="",0,InpPerformance!Y71)</f>
        <v>0</v>
      </c>
      <c r="Z195" s="623">
        <f>IF(InpPerformance!Z71="",0,InpPerformance!Z71)</f>
        <v>0</v>
      </c>
      <c r="AA195" s="623">
        <f>IF(InpPerformance!AA71="",0,InpPerformance!AA71)</f>
        <v>0</v>
      </c>
      <c r="AB195" s="623">
        <f>IF(InpPerformance!AB71="",0,InpPerformance!AB71)</f>
        <v>0</v>
      </c>
      <c r="AC195" s="623">
        <f>IF(InpPerformance!AC71="",0,InpPerformance!AC71)</f>
        <v>0</v>
      </c>
      <c r="AD195" s="623">
        <f>IF(InpPerformance!AD71="",0,InpPerformance!AD71)</f>
        <v>0</v>
      </c>
      <c r="AE195" s="623">
        <f>IF(InpPerformance!AE71="",0,InpPerformance!AE71)</f>
        <v>0</v>
      </c>
      <c r="AF195" s="623">
        <f>IF(InpPerformance!AF71="",0,InpPerformance!AF71)</f>
        <v>0</v>
      </c>
      <c r="AG195" s="623">
        <f>IF(InpPerformance!AG71="",0,InpPerformance!AG71)</f>
        <v>0</v>
      </c>
      <c r="AH195" s="623">
        <f>IF(InpPerformance!AH71="",0,InpPerformance!AH71)</f>
        <v>0</v>
      </c>
      <c r="AI195" s="623">
        <f>IF(InpPerformance!AI71="",0,InpPerformance!AI71)</f>
        <v>0</v>
      </c>
      <c r="AJ195" s="623">
        <f>IF(InpPerformance!AJ71="",0,InpPerformance!AJ71)</f>
        <v>0</v>
      </c>
      <c r="AK195" s="624">
        <f>IF(InpPerformance!AK71="",0,InpPerformance!AK71)</f>
        <v>0</v>
      </c>
      <c r="AL195" s="623">
        <f>IF(InpPerformance!AL71="",0,InpPerformance!AL71)</f>
        <v>0</v>
      </c>
      <c r="AM195" s="623">
        <f>IF(InpPerformance!AM71="",0,InpPerformance!AM71)</f>
        <v>0</v>
      </c>
      <c r="AN195" s="623">
        <f>IF(InpPerformance!AN71="",0,InpPerformance!AN71)</f>
        <v>0</v>
      </c>
      <c r="AO195" s="624">
        <f>IF(InpPerformance!AO71="",0,InpPerformance!AO71)</f>
        <v>0</v>
      </c>
      <c r="AP195" s="623">
        <f>IF(InpPerformance!AP71="",0,InpPerformance!AP71)</f>
        <v>0</v>
      </c>
      <c r="AQ195" s="623">
        <f>IF(InpPerformance!AQ71="",0,InpPerformance!AQ71)</f>
        <v>0.97</v>
      </c>
      <c r="AR195" s="623">
        <f>IF(InpPerformance!AR71="",0,InpPerformance!AR71)</f>
        <v>1</v>
      </c>
      <c r="AS195" s="623">
        <f>IF(InpPerformance!AS71="",0,InpPerformance!AS71)</f>
        <v>0</v>
      </c>
      <c r="AT195" s="623">
        <f>IF(InpPerformance!AT71="",0,InpPerformance!AT71)</f>
        <v>0</v>
      </c>
      <c r="AU195" s="623">
        <f>IF(InpPerformance!AU71="",0,InpPerformance!AU71)</f>
        <v>0</v>
      </c>
      <c r="AV195" s="623">
        <f>IF(InpPerformance!AV71="",0,InpPerformance!AV71)</f>
        <v>0</v>
      </c>
      <c r="AW195" s="623">
        <f>IF(InpPerformance!AW71="",0,InpPerformance!AW71)</f>
        <v>0</v>
      </c>
      <c r="AX195" s="623">
        <f>IF(InpPerformance!AX71="",0,InpPerformance!AX71)</f>
        <v>0</v>
      </c>
      <c r="AY195" s="623">
        <f>IF(InpPerformance!AY71="",0,InpPerformance!AY71)</f>
        <v>0</v>
      </c>
      <c r="AZ195" s="623">
        <f>IF(InpPerformance!AZ71="",0,InpPerformance!AZ71)</f>
        <v>0</v>
      </c>
      <c r="BA195" s="623">
        <f>IF(InpPerformance!BA71="",0,InpPerformance!BA71)</f>
        <v>0</v>
      </c>
      <c r="BB195" s="623">
        <f>IF(InpPerformance!BB71="",0,InpPerformance!BB71)</f>
        <v>0</v>
      </c>
      <c r="BC195" s="624">
        <f>IF(InpPerformance!BC71="",0,InpPerformance!BC71)</f>
        <v>0</v>
      </c>
      <c r="BD195" s="623">
        <f>IF(InpPerformance!BD71="",0,InpPerformance!BD71)</f>
        <v>0</v>
      </c>
      <c r="BE195" s="623">
        <f>IF(InpPerformance!BE71="",0,InpPerformance!BE71)</f>
        <v>0</v>
      </c>
      <c r="BF195" s="623">
        <f>IF(InpPerformance!BF71="",0,InpPerformance!BF71)</f>
        <v>0</v>
      </c>
      <c r="BG195" s="623">
        <f>IF(InpPerformance!BG71="",0,InpPerformance!BG71)</f>
        <v>0</v>
      </c>
      <c r="BH195" s="1204">
        <f>IF(InpPerformance!BH71="",0,InpPerformance!BH71)</f>
        <v>0</v>
      </c>
      <c r="BI195" s="623">
        <f>IF(InpPerformance!BI71="",0,InpPerformance!BI71)</f>
        <v>0</v>
      </c>
      <c r="BJ195" s="623">
        <f>IF(InpPerformance!BJ71="",0,InpPerformance!BJ71)</f>
        <v>0</v>
      </c>
      <c r="BK195" s="623">
        <f>IF(InpPerformance!BK71="",0,InpPerformance!BK71)</f>
        <v>0</v>
      </c>
      <c r="BL195" s="623">
        <f>IF(InpPerformance!BL71="",0,InpPerformance!BL71)</f>
        <v>0</v>
      </c>
      <c r="BM195" s="623">
        <f>IF(InpPerformance!BM71="",0,InpPerformance!BM71)</f>
        <v>0</v>
      </c>
      <c r="BN195" s="623">
        <f>IF(InpPerformance!BN71="",0,InpPerformance!BN71)</f>
        <v>0</v>
      </c>
      <c r="BO195" s="623">
        <f>IF(InpPerformance!BO71="",0,InpPerformance!BO71)</f>
        <v>0</v>
      </c>
      <c r="BP195" s="623">
        <f>IF(InpPerformance!BP71="",0,InpPerformance!BP71)</f>
        <v>0</v>
      </c>
      <c r="BQ195" s="623">
        <f>IF(InpPerformance!BQ71="",0,InpPerformance!BQ71)</f>
        <v>0</v>
      </c>
      <c r="BR195" s="623">
        <f>IF(InpPerformance!BR71="",0,InpPerformance!BR71)</f>
        <v>0</v>
      </c>
      <c r="BS195" s="623">
        <f>IF(InpPerformance!BS71="",0,InpPerformance!BS71)</f>
        <v>0</v>
      </c>
    </row>
    <row r="196" spans="1:71" s="202" customFormat="1" ht="13.15">
      <c r="A196" s="453"/>
      <c r="B196" s="453"/>
      <c r="C196" s="453"/>
      <c r="D196" s="453"/>
      <c r="E196" s="583" t="str">
        <f>InpPerformance!E72</f>
        <v>Price control allocation - Residential retail</v>
      </c>
      <c r="F196" s="583"/>
      <c r="G196" s="583" t="str">
        <f>InpPerformance!G72</f>
        <v>Percentage</v>
      </c>
      <c r="H196" s="583"/>
      <c r="I196" s="583"/>
      <c r="J196" s="623">
        <f>IF(InpPerformance!J72="",0,InpPerformance!J72)</f>
        <v>0</v>
      </c>
      <c r="K196" s="623">
        <f>IF(InpPerformance!K72="",0,InpPerformance!K72)</f>
        <v>0</v>
      </c>
      <c r="L196" s="623">
        <f>IF(InpPerformance!L72="",0,InpPerformance!L72)</f>
        <v>0</v>
      </c>
      <c r="M196" s="623">
        <f>IF(InpPerformance!M72="",0,InpPerformance!M72)</f>
        <v>0</v>
      </c>
      <c r="N196" s="623">
        <f>IF(InpPerformance!N72="",0,InpPerformance!N72)</f>
        <v>0</v>
      </c>
      <c r="O196" s="623">
        <f>IF(InpPerformance!O72="",0,InpPerformance!O72)</f>
        <v>0</v>
      </c>
      <c r="P196" s="623">
        <f>IF(InpPerformance!P72="",0,InpPerformance!P72)</f>
        <v>0</v>
      </c>
      <c r="Q196" s="624">
        <f>IF(InpPerformance!Q72="",0,InpPerformance!Q72)</f>
        <v>0</v>
      </c>
      <c r="R196" s="623">
        <f>IF(InpPerformance!R72="",0,InpPerformance!R72)</f>
        <v>0</v>
      </c>
      <c r="S196" s="623">
        <f>IF(InpPerformance!S72="",0,InpPerformance!S72)</f>
        <v>0</v>
      </c>
      <c r="T196" s="623">
        <f>IF(InpPerformance!T72="",0,InpPerformance!T72)</f>
        <v>0</v>
      </c>
      <c r="U196" s="623">
        <f>IF(InpPerformance!U72="",0,InpPerformance!U72)</f>
        <v>0</v>
      </c>
      <c r="V196" s="623">
        <f>IF(InpPerformance!V72="",0,InpPerformance!V72)</f>
        <v>1</v>
      </c>
      <c r="W196" s="623">
        <f>IF(InpPerformance!W72="",0,InpPerformance!W72)</f>
        <v>0</v>
      </c>
      <c r="X196" s="623">
        <f>IF(InpPerformance!X72="",0,InpPerformance!X72)</f>
        <v>0</v>
      </c>
      <c r="Y196" s="623">
        <f>IF(InpPerformance!Y72="",0,InpPerformance!Y72)</f>
        <v>0</v>
      </c>
      <c r="Z196" s="623">
        <f>IF(InpPerformance!Z72="",0,InpPerformance!Z72)</f>
        <v>0</v>
      </c>
      <c r="AA196" s="623">
        <f>IF(InpPerformance!AA72="",0,InpPerformance!AA72)</f>
        <v>0</v>
      </c>
      <c r="AB196" s="623">
        <f>IF(InpPerformance!AB72="",0,InpPerformance!AB72)</f>
        <v>0</v>
      </c>
      <c r="AC196" s="623">
        <f>IF(InpPerformance!AC72="",0,InpPerformance!AC72)</f>
        <v>0</v>
      </c>
      <c r="AD196" s="623">
        <f>IF(InpPerformance!AD72="",0,InpPerformance!AD72)</f>
        <v>0</v>
      </c>
      <c r="AE196" s="623">
        <f>IF(InpPerformance!AE72="",0,InpPerformance!AE72)</f>
        <v>0</v>
      </c>
      <c r="AF196" s="623">
        <f>IF(InpPerformance!AF72="",0,InpPerformance!AF72)</f>
        <v>0</v>
      </c>
      <c r="AG196" s="623">
        <f>IF(InpPerformance!AG72="",0,InpPerformance!AG72)</f>
        <v>0</v>
      </c>
      <c r="AH196" s="623">
        <f>IF(InpPerformance!AH72="",0,InpPerformance!AH72)</f>
        <v>0</v>
      </c>
      <c r="AI196" s="623">
        <f>IF(InpPerformance!AI72="",0,InpPerformance!AI72)</f>
        <v>0</v>
      </c>
      <c r="AJ196" s="623">
        <f>IF(InpPerformance!AJ72="",0,InpPerformance!AJ72)</f>
        <v>0</v>
      </c>
      <c r="AK196" s="624">
        <f>IF(InpPerformance!AK72="",0,InpPerformance!AK72)</f>
        <v>0</v>
      </c>
      <c r="AL196" s="623">
        <f>IF(InpPerformance!AL72="",0,InpPerformance!AL72)</f>
        <v>0</v>
      </c>
      <c r="AM196" s="623">
        <f>IF(InpPerformance!AM72="",0,InpPerformance!AM72)</f>
        <v>0</v>
      </c>
      <c r="AN196" s="623">
        <f>IF(InpPerformance!AN72="",0,InpPerformance!AN72)</f>
        <v>0</v>
      </c>
      <c r="AO196" s="624">
        <f>IF(InpPerformance!AO72="",0,InpPerformance!AO72)</f>
        <v>0</v>
      </c>
      <c r="AP196" s="623">
        <f>IF(InpPerformance!AP72="",0,InpPerformance!AP72)</f>
        <v>0</v>
      </c>
      <c r="AQ196" s="623">
        <f>IF(InpPerformance!AQ72="",0,InpPerformance!AQ72)</f>
        <v>0</v>
      </c>
      <c r="AR196" s="623">
        <f>IF(InpPerformance!AR72="",0,InpPerformance!AR72)</f>
        <v>0</v>
      </c>
      <c r="AS196" s="623">
        <f>IF(InpPerformance!AS72="",0,InpPerformance!AS72)</f>
        <v>0</v>
      </c>
      <c r="AT196" s="623">
        <f>IF(InpPerformance!AT72="",0,InpPerformance!AT72)</f>
        <v>0</v>
      </c>
      <c r="AU196" s="623">
        <f>IF(InpPerformance!AU72="",0,InpPerformance!AU72)</f>
        <v>0</v>
      </c>
      <c r="AV196" s="623">
        <f>IF(InpPerformance!AV72="",0,InpPerformance!AV72)</f>
        <v>0</v>
      </c>
      <c r="AW196" s="623">
        <f>IF(InpPerformance!AW72="",0,InpPerformance!AW72)</f>
        <v>0</v>
      </c>
      <c r="AX196" s="623">
        <f>IF(InpPerformance!AX72="",0,InpPerformance!AX72)</f>
        <v>0</v>
      </c>
      <c r="AY196" s="623">
        <f>IF(InpPerformance!AY72="",0,InpPerformance!AY72)</f>
        <v>0</v>
      </c>
      <c r="AZ196" s="623">
        <f>IF(InpPerformance!AZ72="",0,InpPerformance!AZ72)</f>
        <v>0</v>
      </c>
      <c r="BA196" s="623">
        <f>IF(InpPerformance!BA72="",0,InpPerformance!BA72)</f>
        <v>0</v>
      </c>
      <c r="BB196" s="623">
        <f>IF(InpPerformance!BB72="",0,InpPerformance!BB72)</f>
        <v>0</v>
      </c>
      <c r="BC196" s="624">
        <f>IF(InpPerformance!BC72="",0,InpPerformance!BC72)</f>
        <v>0</v>
      </c>
      <c r="BD196" s="623">
        <f>IF(InpPerformance!BD72="",0,InpPerformance!BD72)</f>
        <v>0</v>
      </c>
      <c r="BE196" s="623">
        <f>IF(InpPerformance!BE72="",0,InpPerformance!BE72)</f>
        <v>0</v>
      </c>
      <c r="BF196" s="623">
        <f>IF(InpPerformance!BF72="",0,InpPerformance!BF72)</f>
        <v>0</v>
      </c>
      <c r="BG196" s="623">
        <f>IF(InpPerformance!BG72="",0,InpPerformance!BG72)</f>
        <v>0</v>
      </c>
      <c r="BH196" s="1204">
        <f>IF(InpPerformance!BH72="",0,InpPerformance!BH72)</f>
        <v>0</v>
      </c>
      <c r="BI196" s="623">
        <f>IF(InpPerformance!BI72="",0,InpPerformance!BI72)</f>
        <v>0</v>
      </c>
      <c r="BJ196" s="623">
        <f>IF(InpPerformance!BJ72="",0,InpPerformance!BJ72)</f>
        <v>0</v>
      </c>
      <c r="BK196" s="623">
        <f>IF(InpPerformance!BK72="",0,InpPerformance!BK72)</f>
        <v>0</v>
      </c>
      <c r="BL196" s="623">
        <f>IF(InpPerformance!BL72="",0,InpPerformance!BL72)</f>
        <v>0</v>
      </c>
      <c r="BM196" s="623">
        <f>IF(InpPerformance!BM72="",0,InpPerformance!BM72)</f>
        <v>0</v>
      </c>
      <c r="BN196" s="623">
        <f>IF(InpPerformance!BN72="",0,InpPerformance!BN72)</f>
        <v>0</v>
      </c>
      <c r="BO196" s="623">
        <f>IF(InpPerformance!BO72="",0,InpPerformance!BO72)</f>
        <v>0</v>
      </c>
      <c r="BP196" s="623">
        <f>IF(InpPerformance!BP72="",0,InpPerformance!BP72)</f>
        <v>0</v>
      </c>
      <c r="BQ196" s="623">
        <f>IF(InpPerformance!BQ72="",0,InpPerformance!BQ72)</f>
        <v>0</v>
      </c>
      <c r="BR196" s="623">
        <f>IF(InpPerformance!BR72="",0,InpPerformance!BR72)</f>
        <v>0</v>
      </c>
      <c r="BS196" s="623">
        <f>IF(InpPerformance!BS72="",0,InpPerformance!BS72)</f>
        <v>0</v>
      </c>
    </row>
    <row r="197" spans="1:71" s="202" customFormat="1" ht="13.15">
      <c r="A197" s="453"/>
      <c r="B197" s="453"/>
      <c r="C197" s="453"/>
      <c r="D197" s="453"/>
      <c r="E197" s="583" t="str">
        <f>InpPerformance!E73</f>
        <v>Price control allocation - Business retail</v>
      </c>
      <c r="F197" s="583"/>
      <c r="G197" s="583" t="str">
        <f>InpPerformance!G73</f>
        <v>Percentage</v>
      </c>
      <c r="H197" s="583"/>
      <c r="I197" s="583"/>
      <c r="J197" s="623">
        <f>IF(InpPerformance!J73="",0,InpPerformance!J73)</f>
        <v>0</v>
      </c>
      <c r="K197" s="623">
        <f>IF(InpPerformance!K73="",0,InpPerformance!K73)</f>
        <v>0</v>
      </c>
      <c r="L197" s="623">
        <f>IF(InpPerformance!L73="",0,InpPerformance!L73)</f>
        <v>0</v>
      </c>
      <c r="M197" s="623">
        <f>IF(InpPerformance!M73="",0,InpPerformance!M73)</f>
        <v>0</v>
      </c>
      <c r="N197" s="623">
        <f>IF(InpPerformance!N73="",0,InpPerformance!N73)</f>
        <v>0</v>
      </c>
      <c r="O197" s="623">
        <f>IF(InpPerformance!O73="",0,InpPerformance!O73)</f>
        <v>0</v>
      </c>
      <c r="P197" s="623">
        <f>IF(InpPerformance!P73="",0,InpPerformance!P73)</f>
        <v>0</v>
      </c>
      <c r="Q197" s="624">
        <f>IF(InpPerformance!Q73="",0,InpPerformance!Q73)</f>
        <v>0</v>
      </c>
      <c r="R197" s="623">
        <f>IF(InpPerformance!R73="",0,InpPerformance!R73)</f>
        <v>0</v>
      </c>
      <c r="S197" s="623">
        <f>IF(InpPerformance!S73="",0,InpPerformance!S73)</f>
        <v>0</v>
      </c>
      <c r="T197" s="623">
        <f>IF(InpPerformance!T73="",0,InpPerformance!T73)</f>
        <v>0</v>
      </c>
      <c r="U197" s="623">
        <f>IF(InpPerformance!U73="",0,InpPerformance!U73)</f>
        <v>0</v>
      </c>
      <c r="V197" s="623">
        <f>IF(InpPerformance!V73="",0,InpPerformance!V73)</f>
        <v>0</v>
      </c>
      <c r="W197" s="623">
        <f>IF(InpPerformance!W73="",0,InpPerformance!W73)</f>
        <v>0</v>
      </c>
      <c r="X197" s="623">
        <f>IF(InpPerformance!X73="",0,InpPerformance!X73)</f>
        <v>0</v>
      </c>
      <c r="Y197" s="623">
        <f>IF(InpPerformance!Y73="",0,InpPerformance!Y73)</f>
        <v>0</v>
      </c>
      <c r="Z197" s="623">
        <f>IF(InpPerformance!Z73="",0,InpPerformance!Z73)</f>
        <v>0</v>
      </c>
      <c r="AA197" s="623">
        <f>IF(InpPerformance!AA73="",0,InpPerformance!AA73)</f>
        <v>0</v>
      </c>
      <c r="AB197" s="623">
        <f>IF(InpPerformance!AB73="",0,InpPerformance!AB73)</f>
        <v>0</v>
      </c>
      <c r="AC197" s="623">
        <f>IF(InpPerformance!AC73="",0,InpPerformance!AC73)</f>
        <v>0</v>
      </c>
      <c r="AD197" s="623">
        <f>IF(InpPerformance!AD73="",0,InpPerformance!AD73)</f>
        <v>0</v>
      </c>
      <c r="AE197" s="623">
        <f>IF(InpPerformance!AE73="",0,InpPerformance!AE73)</f>
        <v>0</v>
      </c>
      <c r="AF197" s="623">
        <f>IF(InpPerformance!AF73="",0,InpPerformance!AF73)</f>
        <v>0</v>
      </c>
      <c r="AG197" s="623">
        <f>IF(InpPerformance!AG73="",0,InpPerformance!AG73)</f>
        <v>0</v>
      </c>
      <c r="AH197" s="623">
        <f>IF(InpPerformance!AH73="",0,InpPerformance!AH73)</f>
        <v>0</v>
      </c>
      <c r="AI197" s="623">
        <f>IF(InpPerformance!AI73="",0,InpPerformance!AI73)</f>
        <v>0</v>
      </c>
      <c r="AJ197" s="623">
        <f>IF(InpPerformance!AJ73="",0,InpPerformance!AJ73)</f>
        <v>0</v>
      </c>
      <c r="AK197" s="624">
        <f>IF(InpPerformance!AK73="",0,InpPerformance!AK73)</f>
        <v>0</v>
      </c>
      <c r="AL197" s="623">
        <f>IF(InpPerformance!AL73="",0,InpPerformance!AL73)</f>
        <v>0</v>
      </c>
      <c r="AM197" s="623">
        <f>IF(InpPerformance!AM73="",0,InpPerformance!AM73)</f>
        <v>0</v>
      </c>
      <c r="AN197" s="623">
        <f>IF(InpPerformance!AN73="",0,InpPerformance!AN73)</f>
        <v>0</v>
      </c>
      <c r="AO197" s="624">
        <f>IF(InpPerformance!AO73="",0,InpPerformance!AO73)</f>
        <v>0</v>
      </c>
      <c r="AP197" s="623">
        <f>IF(InpPerformance!AP73="",0,InpPerformance!AP73)</f>
        <v>0</v>
      </c>
      <c r="AQ197" s="623">
        <f>IF(InpPerformance!AQ73="",0,InpPerformance!AQ73)</f>
        <v>0</v>
      </c>
      <c r="AR197" s="623">
        <f>IF(InpPerformance!AR73="",0,InpPerformance!AR73)</f>
        <v>0</v>
      </c>
      <c r="AS197" s="623">
        <f>IF(InpPerformance!AS73="",0,InpPerformance!AS73)</f>
        <v>0</v>
      </c>
      <c r="AT197" s="623">
        <f>IF(InpPerformance!AT73="",0,InpPerformance!AT73)</f>
        <v>0</v>
      </c>
      <c r="AU197" s="623">
        <f>IF(InpPerformance!AU73="",0,InpPerformance!AU73)</f>
        <v>0</v>
      </c>
      <c r="AV197" s="623">
        <f>IF(InpPerformance!AV73="",0,InpPerformance!AV73)</f>
        <v>0</v>
      </c>
      <c r="AW197" s="623">
        <f>IF(InpPerformance!AW73="",0,InpPerformance!AW73)</f>
        <v>0</v>
      </c>
      <c r="AX197" s="623">
        <f>IF(InpPerformance!AX73="",0,InpPerformance!AX73)</f>
        <v>0</v>
      </c>
      <c r="AY197" s="623">
        <f>IF(InpPerformance!AY73="",0,InpPerformance!AY73)</f>
        <v>0</v>
      </c>
      <c r="AZ197" s="623">
        <f>IF(InpPerformance!AZ73="",0,InpPerformance!AZ73)</f>
        <v>0</v>
      </c>
      <c r="BA197" s="623">
        <f>IF(InpPerformance!BA73="",0,InpPerformance!BA73)</f>
        <v>0</v>
      </c>
      <c r="BB197" s="623">
        <f>IF(InpPerformance!BB73="",0,InpPerformance!BB73)</f>
        <v>0</v>
      </c>
      <c r="BC197" s="624">
        <f>IF(InpPerformance!BC73="",0,InpPerformance!BC73)</f>
        <v>0</v>
      </c>
      <c r="BD197" s="623">
        <f>IF(InpPerformance!BD73="",0,InpPerformance!BD73)</f>
        <v>0</v>
      </c>
      <c r="BE197" s="623">
        <f>IF(InpPerformance!BE73="",0,InpPerformance!BE73)</f>
        <v>0</v>
      </c>
      <c r="BF197" s="623">
        <f>IF(InpPerformance!BF73="",0,InpPerformance!BF73)</f>
        <v>0</v>
      </c>
      <c r="BG197" s="623">
        <f>IF(InpPerformance!BG73="",0,InpPerformance!BG73)</f>
        <v>0</v>
      </c>
      <c r="BH197" s="1204">
        <f>IF(InpPerformance!BH73="",0,InpPerformance!BH73)</f>
        <v>0</v>
      </c>
      <c r="BI197" s="623">
        <f>IF(InpPerformance!BI73="",0,InpPerformance!BI73)</f>
        <v>0</v>
      </c>
      <c r="BJ197" s="623">
        <f>IF(InpPerformance!BJ73="",0,InpPerformance!BJ73)</f>
        <v>0</v>
      </c>
      <c r="BK197" s="623">
        <f>IF(InpPerformance!BK73="",0,InpPerformance!BK73)</f>
        <v>0</v>
      </c>
      <c r="BL197" s="623">
        <f>IF(InpPerformance!BL73="",0,InpPerformance!BL73)</f>
        <v>0</v>
      </c>
      <c r="BM197" s="623">
        <f>IF(InpPerformance!BM73="",0,InpPerformance!BM73)</f>
        <v>0</v>
      </c>
      <c r="BN197" s="623">
        <f>IF(InpPerformance!BN73="",0,InpPerformance!BN73)</f>
        <v>0</v>
      </c>
      <c r="BO197" s="623">
        <f>IF(InpPerformance!BO73="",0,InpPerformance!BO73)</f>
        <v>0</v>
      </c>
      <c r="BP197" s="623">
        <f>IF(InpPerformance!BP73="",0,InpPerformance!BP73)</f>
        <v>0</v>
      </c>
      <c r="BQ197" s="623">
        <f>IF(InpPerformance!BQ73="",0,InpPerformance!BQ73)</f>
        <v>0</v>
      </c>
      <c r="BR197" s="623">
        <f>IF(InpPerformance!BR73="",0,InpPerformance!BR73)</f>
        <v>0</v>
      </c>
      <c r="BS197" s="623">
        <f>IF(InpPerformance!BS73="",0,InpPerformance!BS73)</f>
        <v>0</v>
      </c>
    </row>
    <row r="198" spans="1:71" s="202" customFormat="1" ht="13.15">
      <c r="A198" s="453"/>
      <c r="B198" s="453"/>
      <c r="C198" s="453"/>
      <c r="D198" s="453"/>
      <c r="E198" s="583" t="str">
        <f>InpPerformance!E74</f>
        <v>Price control allocation - Dummy control</v>
      </c>
      <c r="F198" s="583"/>
      <c r="G198" s="583" t="str">
        <f>InpPerformance!G74</f>
        <v>Percentage</v>
      </c>
      <c r="H198" s="583"/>
      <c r="I198" s="583"/>
      <c r="J198" s="623">
        <f>IF(InpPerformance!J74="",0,InpPerformance!J74)</f>
        <v>0</v>
      </c>
      <c r="K198" s="623">
        <f>IF(InpPerformance!K74="",0,InpPerformance!K74)</f>
        <v>0</v>
      </c>
      <c r="L198" s="623">
        <f>IF(InpPerformance!L74="",0,InpPerformance!L74)</f>
        <v>0</v>
      </c>
      <c r="M198" s="623">
        <f>IF(InpPerformance!M74="",0,InpPerformance!M74)</f>
        <v>0</v>
      </c>
      <c r="N198" s="623">
        <f>IF(InpPerformance!N74="",0,InpPerformance!N74)</f>
        <v>0</v>
      </c>
      <c r="O198" s="623">
        <f>IF(InpPerformance!O74="",0,InpPerformance!O74)</f>
        <v>0</v>
      </c>
      <c r="P198" s="623">
        <f>IF(InpPerformance!P74="",0,InpPerformance!P74)</f>
        <v>0</v>
      </c>
      <c r="Q198" s="624">
        <f>IF(InpPerformance!Q74="",0,InpPerformance!Q74)</f>
        <v>0</v>
      </c>
      <c r="R198" s="623">
        <f>IF(InpPerformance!R74="",0,InpPerformance!R74)</f>
        <v>0</v>
      </c>
      <c r="S198" s="623">
        <f>IF(InpPerformance!S74="",0,InpPerformance!S74)</f>
        <v>0</v>
      </c>
      <c r="T198" s="623">
        <f>IF(InpPerformance!T74="",0,InpPerformance!T74)</f>
        <v>0</v>
      </c>
      <c r="U198" s="623">
        <f>IF(InpPerformance!U74="",0,InpPerformance!U74)</f>
        <v>0</v>
      </c>
      <c r="V198" s="623">
        <f>IF(InpPerformance!V74="",0,InpPerformance!V74)</f>
        <v>0</v>
      </c>
      <c r="W198" s="623">
        <f>IF(InpPerformance!W74="",0,InpPerformance!W74)</f>
        <v>0</v>
      </c>
      <c r="X198" s="623">
        <f>IF(InpPerformance!X74="",0,InpPerformance!X74)</f>
        <v>0</v>
      </c>
      <c r="Y198" s="623">
        <f>IF(InpPerformance!Y74="",0,InpPerformance!Y74)</f>
        <v>0</v>
      </c>
      <c r="Z198" s="623">
        <f>IF(InpPerformance!Z74="",0,InpPerformance!Z74)</f>
        <v>0</v>
      </c>
      <c r="AA198" s="623">
        <f>IF(InpPerformance!AA74="",0,InpPerformance!AA74)</f>
        <v>0</v>
      </c>
      <c r="AB198" s="623">
        <f>IF(InpPerformance!AB74="",0,InpPerformance!AB74)</f>
        <v>0</v>
      </c>
      <c r="AC198" s="623">
        <f>IF(InpPerformance!AC74="",0,InpPerformance!AC74)</f>
        <v>0</v>
      </c>
      <c r="AD198" s="623">
        <f>IF(InpPerformance!AD74="",0,InpPerformance!AD74)</f>
        <v>0</v>
      </c>
      <c r="AE198" s="623">
        <f>IF(InpPerformance!AE74="",0,InpPerformance!AE74)</f>
        <v>0</v>
      </c>
      <c r="AF198" s="623">
        <f>IF(InpPerformance!AF74="",0,InpPerformance!AF74)</f>
        <v>0</v>
      </c>
      <c r="AG198" s="623">
        <f>IF(InpPerformance!AG74="",0,InpPerformance!AG74)</f>
        <v>0</v>
      </c>
      <c r="AH198" s="623">
        <f>IF(InpPerformance!AH74="",0,InpPerformance!AH74)</f>
        <v>0</v>
      </c>
      <c r="AI198" s="623">
        <f>IF(InpPerformance!AI74="",0,InpPerformance!AI74)</f>
        <v>0</v>
      </c>
      <c r="AJ198" s="623">
        <f>IF(InpPerformance!AJ74="",0,InpPerformance!AJ74)</f>
        <v>0</v>
      </c>
      <c r="AK198" s="624">
        <f>IF(InpPerformance!AK74="",0,InpPerformance!AK74)</f>
        <v>0</v>
      </c>
      <c r="AL198" s="623">
        <f>IF(InpPerformance!AL74="",0,InpPerformance!AL74)</f>
        <v>0</v>
      </c>
      <c r="AM198" s="623">
        <f>IF(InpPerformance!AM74="",0,InpPerformance!AM74)</f>
        <v>0</v>
      </c>
      <c r="AN198" s="623">
        <f>IF(InpPerformance!AN74="",0,InpPerformance!AN74)</f>
        <v>0</v>
      </c>
      <c r="AO198" s="624">
        <f>IF(InpPerformance!AO74="",0,InpPerformance!AO74)</f>
        <v>0</v>
      </c>
      <c r="AP198" s="623">
        <f>IF(InpPerformance!AP74="",0,InpPerformance!AP74)</f>
        <v>0</v>
      </c>
      <c r="AQ198" s="623">
        <f>IF(InpPerformance!AQ74="",0,InpPerformance!AQ74)</f>
        <v>0</v>
      </c>
      <c r="AR198" s="623">
        <f>IF(InpPerformance!AR74="",0,InpPerformance!AR74)</f>
        <v>0</v>
      </c>
      <c r="AS198" s="623">
        <f>IF(InpPerformance!AS74="",0,InpPerformance!AS74)</f>
        <v>0</v>
      </c>
      <c r="AT198" s="623">
        <f>IF(InpPerformance!AT74="",0,InpPerformance!AT74)</f>
        <v>0</v>
      </c>
      <c r="AU198" s="623">
        <f>IF(InpPerformance!AU74="",0,InpPerformance!AU74)</f>
        <v>0</v>
      </c>
      <c r="AV198" s="623">
        <f>IF(InpPerformance!AV74="",0,InpPerformance!AV74)</f>
        <v>0</v>
      </c>
      <c r="AW198" s="623">
        <f>IF(InpPerformance!AW74="",0,InpPerformance!AW74)</f>
        <v>0</v>
      </c>
      <c r="AX198" s="623">
        <f>IF(InpPerformance!AX74="",0,InpPerformance!AX74)</f>
        <v>0</v>
      </c>
      <c r="AY198" s="623">
        <f>IF(InpPerformance!AY74="",0,InpPerformance!AY74)</f>
        <v>0</v>
      </c>
      <c r="AZ198" s="623">
        <f>IF(InpPerformance!AZ74="",0,InpPerformance!AZ74)</f>
        <v>0</v>
      </c>
      <c r="BA198" s="623">
        <f>IF(InpPerformance!BA74="",0,InpPerformance!BA74)</f>
        <v>0</v>
      </c>
      <c r="BB198" s="623">
        <f>IF(InpPerformance!BB74="",0,InpPerformance!BB74)</f>
        <v>0</v>
      </c>
      <c r="BC198" s="624">
        <f>IF(InpPerformance!BC74="",0,InpPerformance!BC74)</f>
        <v>0</v>
      </c>
      <c r="BD198" s="623">
        <f>IF(InpPerformance!BD74="",0,InpPerformance!BD74)</f>
        <v>0</v>
      </c>
      <c r="BE198" s="623">
        <f>IF(InpPerformance!BE74="",0,InpPerformance!BE74)</f>
        <v>0</v>
      </c>
      <c r="BF198" s="623">
        <f>IF(InpPerformance!BF74="",0,InpPerformance!BF74)</f>
        <v>0</v>
      </c>
      <c r="BG198" s="623">
        <f>IF(InpPerformance!BG74="",0,InpPerformance!BG74)</f>
        <v>0</v>
      </c>
      <c r="BH198" s="1204">
        <f>IF(InpPerformance!BH74="",0,InpPerformance!BH74)</f>
        <v>0</v>
      </c>
      <c r="BI198" s="623">
        <f>IF(InpPerformance!BI74="",0,InpPerformance!BI74)</f>
        <v>0</v>
      </c>
      <c r="BJ198" s="623">
        <f>IF(InpPerformance!BJ74="",0,InpPerformance!BJ74)</f>
        <v>0</v>
      </c>
      <c r="BK198" s="623">
        <f>IF(InpPerformance!BK74="",0,InpPerformance!BK74)</f>
        <v>0</v>
      </c>
      <c r="BL198" s="623">
        <f>IF(InpPerformance!BL74="",0,InpPerformance!BL74)</f>
        <v>0</v>
      </c>
      <c r="BM198" s="623">
        <f>IF(InpPerformance!BM74="",0,InpPerformance!BM74)</f>
        <v>0</v>
      </c>
      <c r="BN198" s="623">
        <f>IF(InpPerformance!BN74="",0,InpPerformance!BN74)</f>
        <v>0</v>
      </c>
      <c r="BO198" s="623">
        <f>IF(InpPerformance!BO74="",0,InpPerformance!BO74)</f>
        <v>0</v>
      </c>
      <c r="BP198" s="623">
        <f>IF(InpPerformance!BP74="",0,InpPerformance!BP74)</f>
        <v>0</v>
      </c>
      <c r="BQ198" s="623">
        <f>IF(InpPerformance!BQ74="",0,InpPerformance!BQ74)</f>
        <v>0</v>
      </c>
      <c r="BR198" s="623">
        <f>IF(InpPerformance!BR74="",0,InpPerformance!BR74)</f>
        <v>0</v>
      </c>
      <c r="BS198" s="623">
        <f>IF(InpPerformance!BS74="",0,InpPerformance!BS74)</f>
        <v>0</v>
      </c>
    </row>
    <row r="199" spans="1:71" s="202" customFormat="1" ht="13.15">
      <c r="A199" s="453"/>
      <c r="B199" s="453"/>
      <c r="C199" s="453"/>
      <c r="D199" s="453"/>
      <c r="E199" s="453"/>
      <c r="F199" s="453"/>
      <c r="G199" s="453"/>
      <c r="H199" s="453"/>
      <c r="I199" s="453"/>
      <c r="J199" s="494"/>
      <c r="K199" s="494"/>
      <c r="L199" s="494"/>
      <c r="M199" s="494"/>
      <c r="N199" s="494"/>
      <c r="O199" s="494"/>
      <c r="P199" s="494"/>
      <c r="Q199" s="496"/>
      <c r="R199" s="494"/>
      <c r="S199" s="494"/>
      <c r="T199" s="494"/>
      <c r="U199" s="494"/>
      <c r="V199" s="494"/>
      <c r="W199" s="494"/>
      <c r="X199" s="494"/>
      <c r="Y199" s="494"/>
      <c r="Z199" s="494"/>
      <c r="AA199" s="494"/>
      <c r="AB199" s="494"/>
      <c r="AC199" s="494"/>
      <c r="AD199" s="494"/>
      <c r="AE199" s="494"/>
      <c r="AF199" s="494"/>
      <c r="AG199" s="494"/>
      <c r="AH199" s="494"/>
      <c r="AI199" s="494"/>
      <c r="AJ199" s="494"/>
      <c r="AK199" s="496"/>
      <c r="AL199" s="494"/>
      <c r="AM199" s="494"/>
      <c r="AN199" s="494"/>
      <c r="AO199" s="496"/>
      <c r="AP199" s="494"/>
      <c r="AQ199" s="494"/>
      <c r="AR199" s="494"/>
      <c r="AS199" s="494"/>
      <c r="AT199" s="494"/>
      <c r="AU199" s="494"/>
      <c r="AV199" s="494"/>
      <c r="AW199" s="494"/>
      <c r="AX199" s="494"/>
      <c r="AY199" s="494"/>
      <c r="AZ199" s="494"/>
      <c r="BA199" s="494"/>
      <c r="BB199" s="494"/>
      <c r="BC199" s="496"/>
      <c r="BD199" s="494"/>
      <c r="BE199" s="494"/>
      <c r="BF199" s="494"/>
      <c r="BG199" s="494"/>
      <c r="BH199" s="494"/>
      <c r="BI199" s="494"/>
      <c r="BJ199" s="494"/>
      <c r="BK199" s="494"/>
      <c r="BL199" s="494"/>
      <c r="BM199" s="494"/>
      <c r="BN199" s="494"/>
      <c r="BO199" s="494"/>
      <c r="BP199" s="494"/>
      <c r="BQ199" s="494"/>
      <c r="BR199" s="494"/>
      <c r="BS199" s="494"/>
    </row>
    <row r="200" spans="1:71" s="202" customFormat="1" ht="13.15">
      <c r="A200" s="453"/>
      <c r="B200" s="453"/>
      <c r="C200" s="453"/>
      <c r="D200" s="463" t="s">
        <v>1250</v>
      </c>
      <c r="E200" s="453"/>
      <c r="F200" s="463"/>
      <c r="G200" s="463"/>
      <c r="H200" s="453"/>
      <c r="I200" s="453"/>
      <c r="J200" s="494"/>
      <c r="K200" s="494"/>
      <c r="L200" s="494"/>
      <c r="M200" s="494"/>
      <c r="N200" s="494"/>
      <c r="O200" s="494"/>
      <c r="P200" s="494"/>
      <c r="Q200" s="496"/>
      <c r="R200" s="494"/>
      <c r="S200" s="494"/>
      <c r="T200" s="494"/>
      <c r="U200" s="494"/>
      <c r="V200" s="494"/>
      <c r="W200" s="494"/>
      <c r="X200" s="494"/>
      <c r="Y200" s="494"/>
      <c r="Z200" s="494"/>
      <c r="AA200" s="494"/>
      <c r="AB200" s="494"/>
      <c r="AC200" s="494"/>
      <c r="AD200" s="494"/>
      <c r="AE200" s="494"/>
      <c r="AF200" s="494"/>
      <c r="AG200" s="494"/>
      <c r="AH200" s="494"/>
      <c r="AI200" s="494"/>
      <c r="AJ200" s="494"/>
      <c r="AK200" s="496"/>
      <c r="AL200" s="494"/>
      <c r="AM200" s="494"/>
      <c r="AN200" s="494"/>
      <c r="AO200" s="496"/>
      <c r="AP200" s="494"/>
      <c r="AQ200" s="494"/>
      <c r="AR200" s="494"/>
      <c r="AS200" s="494"/>
      <c r="AT200" s="494"/>
      <c r="AU200" s="494"/>
      <c r="AV200" s="494"/>
      <c r="AW200" s="494"/>
      <c r="AX200" s="494"/>
      <c r="AY200" s="494"/>
      <c r="AZ200" s="494"/>
      <c r="BA200" s="494"/>
      <c r="BB200" s="494"/>
      <c r="BC200" s="496"/>
      <c r="BD200" s="494"/>
      <c r="BE200" s="494"/>
      <c r="BF200" s="494"/>
      <c r="BG200" s="494"/>
      <c r="BH200" s="494"/>
      <c r="BI200" s="494"/>
      <c r="BJ200" s="494"/>
      <c r="BK200" s="494"/>
      <c r="BL200" s="494"/>
      <c r="BM200" s="494"/>
      <c r="BN200" s="494"/>
      <c r="BO200" s="494"/>
      <c r="BP200" s="494"/>
      <c r="BQ200" s="494"/>
      <c r="BR200" s="494"/>
      <c r="BS200" s="494"/>
    </row>
    <row r="201" spans="1:71" s="202" customFormat="1" ht="13.15">
      <c r="A201" s="453"/>
      <c r="B201" s="453"/>
      <c r="C201" s="453"/>
      <c r="D201" s="453"/>
      <c r="E201" s="453" t="s">
        <v>1251</v>
      </c>
      <c r="F201" s="453"/>
      <c r="G201" s="618" t="str">
        <f>InpCompany!$F$11</f>
        <v>£m (2017-18 prices)</v>
      </c>
      <c r="H201" s="625">
        <f t="shared" ref="H201:H207" si="66">SUM(J201:BS201)</f>
        <v>0.51100000000000001</v>
      </c>
      <c r="I201" s="626"/>
      <c r="J201" s="576">
        <f t="shared" ref="J201:BS205" si="67">J$174*J192</f>
        <v>0</v>
      </c>
      <c r="K201" s="576">
        <f t="shared" si="67"/>
        <v>0</v>
      </c>
      <c r="L201" s="576">
        <f t="shared" si="67"/>
        <v>0</v>
      </c>
      <c r="M201" s="576">
        <f t="shared" ref="M201:M207" si="68">M$174*M192</f>
        <v>0</v>
      </c>
      <c r="N201" s="576">
        <f t="shared" si="67"/>
        <v>0</v>
      </c>
      <c r="O201" s="576">
        <f t="shared" ref="O201:O207" si="69">O$174*O192</f>
        <v>0</v>
      </c>
      <c r="P201" s="576">
        <f t="shared" si="67"/>
        <v>0</v>
      </c>
      <c r="Q201" s="577">
        <f t="shared" si="67"/>
        <v>0</v>
      </c>
      <c r="R201" s="576">
        <f t="shared" si="67"/>
        <v>0</v>
      </c>
      <c r="S201" s="576">
        <f t="shared" si="67"/>
        <v>0</v>
      </c>
      <c r="T201" s="576">
        <f t="shared" si="67"/>
        <v>0.51100000000000001</v>
      </c>
      <c r="U201" s="576">
        <f t="shared" si="67"/>
        <v>0</v>
      </c>
      <c r="V201" s="576">
        <f t="shared" si="67"/>
        <v>0</v>
      </c>
      <c r="W201" s="576">
        <f t="shared" si="67"/>
        <v>0</v>
      </c>
      <c r="X201" s="576">
        <f t="shared" si="67"/>
        <v>0</v>
      </c>
      <c r="Y201" s="576">
        <f t="shared" si="67"/>
        <v>0</v>
      </c>
      <c r="Z201" s="576">
        <f t="shared" si="67"/>
        <v>0</v>
      </c>
      <c r="AA201" s="576">
        <f t="shared" si="67"/>
        <v>0</v>
      </c>
      <c r="AB201" s="576">
        <f t="shared" si="67"/>
        <v>0</v>
      </c>
      <c r="AC201" s="576">
        <f t="shared" si="67"/>
        <v>0</v>
      </c>
      <c r="AD201" s="576">
        <f t="shared" si="67"/>
        <v>0</v>
      </c>
      <c r="AE201" s="576">
        <f t="shared" si="67"/>
        <v>0</v>
      </c>
      <c r="AF201" s="576">
        <f t="shared" si="67"/>
        <v>0</v>
      </c>
      <c r="AG201" s="576">
        <f t="shared" si="67"/>
        <v>0</v>
      </c>
      <c r="AH201" s="576">
        <f t="shared" si="67"/>
        <v>0</v>
      </c>
      <c r="AI201" s="576">
        <f t="shared" si="67"/>
        <v>0</v>
      </c>
      <c r="AJ201" s="576">
        <f t="shared" si="67"/>
        <v>0</v>
      </c>
      <c r="AK201" s="577">
        <f t="shared" si="67"/>
        <v>0</v>
      </c>
      <c r="AL201" s="576">
        <f t="shared" si="67"/>
        <v>0</v>
      </c>
      <c r="AM201" s="576">
        <f t="shared" si="67"/>
        <v>0</v>
      </c>
      <c r="AN201" s="576">
        <f t="shared" si="67"/>
        <v>0</v>
      </c>
      <c r="AO201" s="577">
        <f t="shared" si="67"/>
        <v>0</v>
      </c>
      <c r="AP201" s="576">
        <f t="shared" si="67"/>
        <v>0</v>
      </c>
      <c r="AQ201" s="576">
        <f t="shared" si="67"/>
        <v>0</v>
      </c>
      <c r="AR201" s="576">
        <f t="shared" si="67"/>
        <v>0</v>
      </c>
      <c r="AS201" s="576">
        <f t="shared" si="67"/>
        <v>0</v>
      </c>
      <c r="AT201" s="576">
        <f t="shared" si="67"/>
        <v>0</v>
      </c>
      <c r="AU201" s="576">
        <f t="shared" si="67"/>
        <v>0</v>
      </c>
      <c r="AV201" s="576">
        <f t="shared" si="67"/>
        <v>0</v>
      </c>
      <c r="AW201" s="576">
        <f t="shared" si="67"/>
        <v>0</v>
      </c>
      <c r="AX201" s="576">
        <f t="shared" si="67"/>
        <v>0</v>
      </c>
      <c r="AY201" s="576">
        <f t="shared" si="67"/>
        <v>0</v>
      </c>
      <c r="AZ201" s="576">
        <f t="shared" si="67"/>
        <v>0</v>
      </c>
      <c r="BA201" s="576">
        <f t="shared" si="67"/>
        <v>0</v>
      </c>
      <c r="BB201" s="576">
        <f t="shared" si="67"/>
        <v>0</v>
      </c>
      <c r="BC201" s="577">
        <f t="shared" si="67"/>
        <v>0</v>
      </c>
      <c r="BD201" s="576">
        <f t="shared" si="67"/>
        <v>0</v>
      </c>
      <c r="BE201" s="576">
        <f t="shared" si="67"/>
        <v>0</v>
      </c>
      <c r="BF201" s="576">
        <f t="shared" ref="BF201:BG207" si="70">BF$174*BF192</f>
        <v>0</v>
      </c>
      <c r="BG201" s="576">
        <f t="shared" si="70"/>
        <v>0</v>
      </c>
      <c r="BH201" s="576">
        <f t="shared" si="67"/>
        <v>0</v>
      </c>
      <c r="BI201" s="576">
        <f t="shared" si="67"/>
        <v>0</v>
      </c>
      <c r="BJ201" s="576">
        <f t="shared" si="67"/>
        <v>0</v>
      </c>
      <c r="BK201" s="576">
        <f t="shared" si="67"/>
        <v>0</v>
      </c>
      <c r="BL201" s="576">
        <f t="shared" si="67"/>
        <v>0</v>
      </c>
      <c r="BM201" s="576">
        <f t="shared" si="67"/>
        <v>0</v>
      </c>
      <c r="BN201" s="576">
        <f t="shared" si="67"/>
        <v>0</v>
      </c>
      <c r="BO201" s="576">
        <f t="shared" si="67"/>
        <v>0</v>
      </c>
      <c r="BP201" s="576">
        <f t="shared" si="67"/>
        <v>0</v>
      </c>
      <c r="BQ201" s="576">
        <f t="shared" si="67"/>
        <v>0</v>
      </c>
      <c r="BR201" s="576">
        <f t="shared" si="67"/>
        <v>0</v>
      </c>
      <c r="BS201" s="576">
        <f t="shared" si="67"/>
        <v>0</v>
      </c>
    </row>
    <row r="202" spans="1:71" s="202" customFormat="1" ht="13.15">
      <c r="A202" s="453"/>
      <c r="B202" s="453"/>
      <c r="C202" s="453"/>
      <c r="D202" s="453"/>
      <c r="E202" s="453" t="s">
        <v>1252</v>
      </c>
      <c r="F202" s="453"/>
      <c r="G202" s="618" t="str">
        <f>InpCompany!$F$11</f>
        <v>£m (2017-18 prices)</v>
      </c>
      <c r="H202" s="625">
        <f t="shared" si="66"/>
        <v>0</v>
      </c>
      <c r="I202" s="626"/>
      <c r="J202" s="576">
        <f t="shared" si="67"/>
        <v>0</v>
      </c>
      <c r="K202" s="576">
        <f t="shared" si="67"/>
        <v>0</v>
      </c>
      <c r="L202" s="576">
        <f t="shared" si="67"/>
        <v>0</v>
      </c>
      <c r="M202" s="576">
        <f t="shared" si="68"/>
        <v>0</v>
      </c>
      <c r="N202" s="576">
        <f t="shared" si="67"/>
        <v>0</v>
      </c>
      <c r="O202" s="576">
        <f t="shared" si="69"/>
        <v>0</v>
      </c>
      <c r="P202" s="576">
        <f t="shared" si="67"/>
        <v>0</v>
      </c>
      <c r="Q202" s="577">
        <f t="shared" si="67"/>
        <v>0</v>
      </c>
      <c r="R202" s="576">
        <f t="shared" si="67"/>
        <v>0</v>
      </c>
      <c r="S202" s="576">
        <f t="shared" si="67"/>
        <v>0</v>
      </c>
      <c r="T202" s="576">
        <f t="shared" si="67"/>
        <v>0</v>
      </c>
      <c r="U202" s="576">
        <f t="shared" si="67"/>
        <v>0</v>
      </c>
      <c r="V202" s="576">
        <f t="shared" si="67"/>
        <v>0</v>
      </c>
      <c r="W202" s="576">
        <f t="shared" si="67"/>
        <v>0</v>
      </c>
      <c r="X202" s="576">
        <f t="shared" si="67"/>
        <v>0</v>
      </c>
      <c r="Y202" s="576">
        <f t="shared" si="67"/>
        <v>0</v>
      </c>
      <c r="Z202" s="576">
        <f t="shared" si="67"/>
        <v>0</v>
      </c>
      <c r="AA202" s="576">
        <f t="shared" si="67"/>
        <v>0</v>
      </c>
      <c r="AB202" s="576">
        <f t="shared" si="67"/>
        <v>0</v>
      </c>
      <c r="AC202" s="576">
        <f t="shared" si="67"/>
        <v>0</v>
      </c>
      <c r="AD202" s="576">
        <f t="shared" si="67"/>
        <v>0</v>
      </c>
      <c r="AE202" s="576">
        <f t="shared" si="67"/>
        <v>0</v>
      </c>
      <c r="AF202" s="576">
        <f t="shared" si="67"/>
        <v>0</v>
      </c>
      <c r="AG202" s="576">
        <f t="shared" si="67"/>
        <v>0</v>
      </c>
      <c r="AH202" s="576">
        <f t="shared" si="67"/>
        <v>0</v>
      </c>
      <c r="AI202" s="576">
        <f t="shared" si="67"/>
        <v>0</v>
      </c>
      <c r="AJ202" s="576">
        <f t="shared" si="67"/>
        <v>0</v>
      </c>
      <c r="AK202" s="577">
        <f t="shared" si="67"/>
        <v>0</v>
      </c>
      <c r="AL202" s="576">
        <f t="shared" si="67"/>
        <v>0</v>
      </c>
      <c r="AM202" s="576">
        <f t="shared" si="67"/>
        <v>0</v>
      </c>
      <c r="AN202" s="576">
        <f t="shared" si="67"/>
        <v>0</v>
      </c>
      <c r="AO202" s="577">
        <f t="shared" si="67"/>
        <v>0</v>
      </c>
      <c r="AP202" s="576">
        <f t="shared" si="67"/>
        <v>0</v>
      </c>
      <c r="AQ202" s="576">
        <f t="shared" si="67"/>
        <v>0</v>
      </c>
      <c r="AR202" s="576">
        <f t="shared" si="67"/>
        <v>0</v>
      </c>
      <c r="AS202" s="576">
        <f t="shared" si="67"/>
        <v>0</v>
      </c>
      <c r="AT202" s="576">
        <f t="shared" si="67"/>
        <v>0</v>
      </c>
      <c r="AU202" s="576">
        <f t="shared" si="67"/>
        <v>0</v>
      </c>
      <c r="AV202" s="576">
        <f t="shared" si="67"/>
        <v>0</v>
      </c>
      <c r="AW202" s="576">
        <f t="shared" si="67"/>
        <v>0</v>
      </c>
      <c r="AX202" s="576">
        <f t="shared" si="67"/>
        <v>0</v>
      </c>
      <c r="AY202" s="576">
        <f t="shared" si="67"/>
        <v>0</v>
      </c>
      <c r="AZ202" s="576">
        <f t="shared" si="67"/>
        <v>0</v>
      </c>
      <c r="BA202" s="576">
        <f t="shared" si="67"/>
        <v>0</v>
      </c>
      <c r="BB202" s="576">
        <f t="shared" si="67"/>
        <v>0</v>
      </c>
      <c r="BC202" s="577">
        <f t="shared" si="67"/>
        <v>0</v>
      </c>
      <c r="BD202" s="576">
        <f t="shared" si="67"/>
        <v>0</v>
      </c>
      <c r="BE202" s="576">
        <f t="shared" si="67"/>
        <v>0</v>
      </c>
      <c r="BF202" s="576">
        <f t="shared" si="70"/>
        <v>0</v>
      </c>
      <c r="BG202" s="576">
        <f t="shared" si="70"/>
        <v>0</v>
      </c>
      <c r="BH202" s="576">
        <f t="shared" si="67"/>
        <v>0</v>
      </c>
      <c r="BI202" s="576">
        <f t="shared" si="67"/>
        <v>0</v>
      </c>
      <c r="BJ202" s="576">
        <f t="shared" si="67"/>
        <v>0</v>
      </c>
      <c r="BK202" s="576">
        <f t="shared" si="67"/>
        <v>0</v>
      </c>
      <c r="BL202" s="576">
        <f t="shared" si="67"/>
        <v>0</v>
      </c>
      <c r="BM202" s="576">
        <f t="shared" si="67"/>
        <v>0</v>
      </c>
      <c r="BN202" s="576">
        <f t="shared" si="67"/>
        <v>0</v>
      </c>
      <c r="BO202" s="576">
        <f t="shared" si="67"/>
        <v>0</v>
      </c>
      <c r="BP202" s="576">
        <f t="shared" si="67"/>
        <v>0</v>
      </c>
      <c r="BQ202" s="576">
        <f t="shared" si="67"/>
        <v>0</v>
      </c>
      <c r="BR202" s="576">
        <f t="shared" si="67"/>
        <v>0</v>
      </c>
      <c r="BS202" s="576">
        <f t="shared" si="67"/>
        <v>0</v>
      </c>
    </row>
    <row r="203" spans="1:71" s="202" customFormat="1" ht="13.15">
      <c r="A203" s="453"/>
      <c r="B203" s="453"/>
      <c r="C203" s="453"/>
      <c r="D203" s="453"/>
      <c r="E203" s="453" t="s">
        <v>1253</v>
      </c>
      <c r="F203" s="453"/>
      <c r="G203" s="618" t="str">
        <f>InpCompany!$F$11</f>
        <v>£m (2017-18 prices)</v>
      </c>
      <c r="H203" s="625">
        <f t="shared" si="66"/>
        <v>1.70299991</v>
      </c>
      <c r="I203" s="626"/>
      <c r="J203" s="576">
        <f t="shared" si="67"/>
        <v>0</v>
      </c>
      <c r="K203" s="576">
        <f t="shared" si="67"/>
        <v>0</v>
      </c>
      <c r="L203" s="576">
        <f t="shared" si="67"/>
        <v>0</v>
      </c>
      <c r="M203" s="576">
        <f t="shared" si="68"/>
        <v>0</v>
      </c>
      <c r="N203" s="576">
        <f t="shared" si="67"/>
        <v>0</v>
      </c>
      <c r="O203" s="576">
        <f t="shared" si="69"/>
        <v>0</v>
      </c>
      <c r="P203" s="576">
        <f t="shared" si="67"/>
        <v>0</v>
      </c>
      <c r="Q203" s="577">
        <f t="shared" si="67"/>
        <v>0</v>
      </c>
      <c r="R203" s="576">
        <f t="shared" si="67"/>
        <v>0</v>
      </c>
      <c r="S203" s="576">
        <f t="shared" si="67"/>
        <v>0</v>
      </c>
      <c r="T203" s="576">
        <f t="shared" si="67"/>
        <v>0</v>
      </c>
      <c r="U203" s="576">
        <f t="shared" si="67"/>
        <v>0</v>
      </c>
      <c r="V203" s="576">
        <f t="shared" si="67"/>
        <v>0</v>
      </c>
      <c r="W203" s="576">
        <f t="shared" si="67"/>
        <v>0</v>
      </c>
      <c r="X203" s="576">
        <f t="shared" si="67"/>
        <v>0</v>
      </c>
      <c r="Y203" s="576">
        <f t="shared" si="67"/>
        <v>0</v>
      </c>
      <c r="Z203" s="576">
        <f t="shared" si="67"/>
        <v>0</v>
      </c>
      <c r="AA203" s="576">
        <f t="shared" si="67"/>
        <v>0</v>
      </c>
      <c r="AB203" s="576">
        <f t="shared" si="67"/>
        <v>0</v>
      </c>
      <c r="AC203" s="576">
        <f t="shared" si="67"/>
        <v>0</v>
      </c>
      <c r="AD203" s="576">
        <f t="shared" si="67"/>
        <v>0</v>
      </c>
      <c r="AE203" s="576">
        <f t="shared" si="67"/>
        <v>0</v>
      </c>
      <c r="AF203" s="576">
        <f t="shared" si="67"/>
        <v>0</v>
      </c>
      <c r="AG203" s="576">
        <f t="shared" si="67"/>
        <v>0</v>
      </c>
      <c r="AH203" s="576">
        <f t="shared" si="67"/>
        <v>0</v>
      </c>
      <c r="AI203" s="576">
        <f t="shared" si="67"/>
        <v>0</v>
      </c>
      <c r="AJ203" s="576">
        <f t="shared" si="67"/>
        <v>0</v>
      </c>
      <c r="AK203" s="577">
        <f t="shared" si="67"/>
        <v>0</v>
      </c>
      <c r="AL203" s="576">
        <f t="shared" si="67"/>
        <v>0</v>
      </c>
      <c r="AM203" s="576">
        <f t="shared" si="67"/>
        <v>0</v>
      </c>
      <c r="AN203" s="576">
        <f t="shared" si="67"/>
        <v>0</v>
      </c>
      <c r="AO203" s="577">
        <f t="shared" si="67"/>
        <v>0</v>
      </c>
      <c r="AP203" s="576">
        <f t="shared" si="67"/>
        <v>2.5990999999999997E-4</v>
      </c>
      <c r="AQ203" s="576">
        <f t="shared" si="67"/>
        <v>0</v>
      </c>
      <c r="AR203" s="576">
        <f t="shared" si="67"/>
        <v>0</v>
      </c>
      <c r="AS203" s="576">
        <f t="shared" si="67"/>
        <v>0</v>
      </c>
      <c r="AT203" s="576">
        <f t="shared" si="67"/>
        <v>0</v>
      </c>
      <c r="AU203" s="576">
        <f t="shared" si="67"/>
        <v>0</v>
      </c>
      <c r="AV203" s="576">
        <f t="shared" si="67"/>
        <v>0</v>
      </c>
      <c r="AW203" s="576">
        <f t="shared" si="67"/>
        <v>0</v>
      </c>
      <c r="AX203" s="576">
        <f t="shared" si="67"/>
        <v>1.7027399999999999</v>
      </c>
      <c r="AY203" s="576">
        <f t="shared" si="67"/>
        <v>0</v>
      </c>
      <c r="AZ203" s="576">
        <f t="shared" si="67"/>
        <v>0</v>
      </c>
      <c r="BA203" s="576">
        <f t="shared" si="67"/>
        <v>0</v>
      </c>
      <c r="BB203" s="576">
        <f t="shared" si="67"/>
        <v>0</v>
      </c>
      <c r="BC203" s="577">
        <f t="shared" si="67"/>
        <v>0</v>
      </c>
      <c r="BD203" s="576">
        <f t="shared" si="67"/>
        <v>0</v>
      </c>
      <c r="BE203" s="576">
        <f t="shared" si="67"/>
        <v>0</v>
      </c>
      <c r="BF203" s="576">
        <f t="shared" si="70"/>
        <v>0</v>
      </c>
      <c r="BG203" s="576">
        <f t="shared" si="70"/>
        <v>0</v>
      </c>
      <c r="BH203" s="576">
        <f t="shared" si="67"/>
        <v>0</v>
      </c>
      <c r="BI203" s="576">
        <f t="shared" si="67"/>
        <v>0</v>
      </c>
      <c r="BJ203" s="576">
        <f t="shared" si="67"/>
        <v>0</v>
      </c>
      <c r="BK203" s="576">
        <f t="shared" si="67"/>
        <v>0</v>
      </c>
      <c r="BL203" s="576">
        <f t="shared" si="67"/>
        <v>0</v>
      </c>
      <c r="BM203" s="576">
        <f t="shared" si="67"/>
        <v>0</v>
      </c>
      <c r="BN203" s="576">
        <f t="shared" si="67"/>
        <v>0</v>
      </c>
      <c r="BO203" s="576">
        <f t="shared" si="67"/>
        <v>0</v>
      </c>
      <c r="BP203" s="576">
        <f t="shared" si="67"/>
        <v>0</v>
      </c>
      <c r="BQ203" s="576">
        <f t="shared" si="67"/>
        <v>0</v>
      </c>
      <c r="BR203" s="576">
        <f t="shared" si="67"/>
        <v>0</v>
      </c>
      <c r="BS203" s="576">
        <f t="shared" si="67"/>
        <v>0</v>
      </c>
    </row>
    <row r="204" spans="1:71" s="202" customFormat="1" ht="13.15">
      <c r="A204" s="453"/>
      <c r="B204" s="453"/>
      <c r="C204" s="453"/>
      <c r="D204" s="453"/>
      <c r="E204" s="453" t="s">
        <v>1254</v>
      </c>
      <c r="F204" s="453"/>
      <c r="G204" s="618" t="str">
        <f>InpCompany!$F$11</f>
        <v>£m (2017-18 prices)</v>
      </c>
      <c r="H204" s="625">
        <f t="shared" si="66"/>
        <v>0</v>
      </c>
      <c r="I204" s="626"/>
      <c r="J204" s="576">
        <f t="shared" si="67"/>
        <v>0</v>
      </c>
      <c r="K204" s="576">
        <f t="shared" si="67"/>
        <v>0</v>
      </c>
      <c r="L204" s="576">
        <f t="shared" si="67"/>
        <v>0</v>
      </c>
      <c r="M204" s="576">
        <f t="shared" si="68"/>
        <v>0</v>
      </c>
      <c r="N204" s="576">
        <f t="shared" si="67"/>
        <v>0</v>
      </c>
      <c r="O204" s="576">
        <f t="shared" si="69"/>
        <v>0</v>
      </c>
      <c r="P204" s="576">
        <f t="shared" si="67"/>
        <v>0</v>
      </c>
      <c r="Q204" s="577">
        <f t="shared" si="67"/>
        <v>0</v>
      </c>
      <c r="R204" s="576">
        <f t="shared" si="67"/>
        <v>0</v>
      </c>
      <c r="S204" s="576">
        <f t="shared" si="67"/>
        <v>0</v>
      </c>
      <c r="T204" s="576">
        <f t="shared" si="67"/>
        <v>0</v>
      </c>
      <c r="U204" s="576">
        <f t="shared" si="67"/>
        <v>0</v>
      </c>
      <c r="V204" s="576">
        <f t="shared" si="67"/>
        <v>0</v>
      </c>
      <c r="W204" s="576">
        <f t="shared" si="67"/>
        <v>0</v>
      </c>
      <c r="X204" s="576">
        <f t="shared" si="67"/>
        <v>0</v>
      </c>
      <c r="Y204" s="576">
        <f t="shared" si="67"/>
        <v>0</v>
      </c>
      <c r="Z204" s="576">
        <f t="shared" si="67"/>
        <v>0</v>
      </c>
      <c r="AA204" s="576">
        <f t="shared" si="67"/>
        <v>0</v>
      </c>
      <c r="AB204" s="576">
        <f t="shared" si="67"/>
        <v>0</v>
      </c>
      <c r="AC204" s="576">
        <f t="shared" si="67"/>
        <v>0</v>
      </c>
      <c r="AD204" s="576">
        <f t="shared" si="67"/>
        <v>0</v>
      </c>
      <c r="AE204" s="576">
        <f t="shared" si="67"/>
        <v>0</v>
      </c>
      <c r="AF204" s="576">
        <f t="shared" si="67"/>
        <v>0</v>
      </c>
      <c r="AG204" s="576">
        <f t="shared" si="67"/>
        <v>0</v>
      </c>
      <c r="AH204" s="576">
        <f t="shared" si="67"/>
        <v>0</v>
      </c>
      <c r="AI204" s="576">
        <f t="shared" si="67"/>
        <v>0</v>
      </c>
      <c r="AJ204" s="576">
        <f t="shared" si="67"/>
        <v>0</v>
      </c>
      <c r="AK204" s="577">
        <f t="shared" si="67"/>
        <v>0</v>
      </c>
      <c r="AL204" s="576">
        <f t="shared" si="67"/>
        <v>0</v>
      </c>
      <c r="AM204" s="576">
        <f t="shared" si="67"/>
        <v>0</v>
      </c>
      <c r="AN204" s="576">
        <f t="shared" si="67"/>
        <v>0</v>
      </c>
      <c r="AO204" s="577">
        <f t="shared" si="67"/>
        <v>0</v>
      </c>
      <c r="AP204" s="576">
        <f t="shared" si="67"/>
        <v>0</v>
      </c>
      <c r="AQ204" s="576">
        <f t="shared" si="67"/>
        <v>0</v>
      </c>
      <c r="AR204" s="576">
        <f t="shared" si="67"/>
        <v>0</v>
      </c>
      <c r="AS204" s="576">
        <f t="shared" si="67"/>
        <v>0</v>
      </c>
      <c r="AT204" s="576">
        <f t="shared" si="67"/>
        <v>0</v>
      </c>
      <c r="AU204" s="576">
        <f t="shared" si="67"/>
        <v>0</v>
      </c>
      <c r="AV204" s="576">
        <f t="shared" si="67"/>
        <v>0</v>
      </c>
      <c r="AW204" s="576">
        <f t="shared" si="67"/>
        <v>0</v>
      </c>
      <c r="AX204" s="576">
        <f t="shared" si="67"/>
        <v>0</v>
      </c>
      <c r="AY204" s="576">
        <f t="shared" si="67"/>
        <v>0</v>
      </c>
      <c r="AZ204" s="576">
        <f t="shared" si="67"/>
        <v>0</v>
      </c>
      <c r="BA204" s="576">
        <f t="shared" si="67"/>
        <v>0</v>
      </c>
      <c r="BB204" s="576">
        <f t="shared" si="67"/>
        <v>0</v>
      </c>
      <c r="BC204" s="577">
        <f t="shared" si="67"/>
        <v>0</v>
      </c>
      <c r="BD204" s="576">
        <f t="shared" si="67"/>
        <v>0</v>
      </c>
      <c r="BE204" s="576">
        <f t="shared" si="67"/>
        <v>0</v>
      </c>
      <c r="BF204" s="576">
        <f t="shared" si="70"/>
        <v>0</v>
      </c>
      <c r="BG204" s="576">
        <f t="shared" si="70"/>
        <v>0</v>
      </c>
      <c r="BH204" s="576">
        <f t="shared" si="67"/>
        <v>0</v>
      </c>
      <c r="BI204" s="576">
        <f t="shared" si="67"/>
        <v>0</v>
      </c>
      <c r="BJ204" s="576">
        <f t="shared" si="67"/>
        <v>0</v>
      </c>
      <c r="BK204" s="576">
        <f t="shared" si="67"/>
        <v>0</v>
      </c>
      <c r="BL204" s="576">
        <f t="shared" si="67"/>
        <v>0</v>
      </c>
      <c r="BM204" s="576">
        <f t="shared" si="67"/>
        <v>0</v>
      </c>
      <c r="BN204" s="576">
        <f t="shared" si="67"/>
        <v>0</v>
      </c>
      <c r="BO204" s="576">
        <f t="shared" si="67"/>
        <v>0</v>
      </c>
      <c r="BP204" s="576">
        <f t="shared" si="67"/>
        <v>0</v>
      </c>
      <c r="BQ204" s="576">
        <f t="shared" si="67"/>
        <v>0</v>
      </c>
      <c r="BR204" s="576">
        <f t="shared" si="67"/>
        <v>0</v>
      </c>
      <c r="BS204" s="576">
        <f t="shared" si="67"/>
        <v>0</v>
      </c>
    </row>
    <row r="205" spans="1:71" s="202" customFormat="1" ht="13.15">
      <c r="A205" s="453"/>
      <c r="B205" s="453"/>
      <c r="C205" s="453"/>
      <c r="D205" s="453"/>
      <c r="E205" s="453" t="s">
        <v>1255</v>
      </c>
      <c r="F205" s="453"/>
      <c r="G205" s="618" t="str">
        <f>InpCompany!$F$11</f>
        <v>£m (2017-18 prices)</v>
      </c>
      <c r="H205" s="625">
        <f t="shared" si="66"/>
        <v>0</v>
      </c>
      <c r="I205" s="626"/>
      <c r="J205" s="576">
        <f t="shared" si="67"/>
        <v>0</v>
      </c>
      <c r="K205" s="576">
        <f t="shared" si="67"/>
        <v>0</v>
      </c>
      <c r="L205" s="576">
        <f t="shared" si="67"/>
        <v>0</v>
      </c>
      <c r="M205" s="576">
        <f t="shared" si="68"/>
        <v>0</v>
      </c>
      <c r="N205" s="576">
        <f t="shared" si="67"/>
        <v>0</v>
      </c>
      <c r="O205" s="576">
        <f t="shared" si="69"/>
        <v>0</v>
      </c>
      <c r="P205" s="576">
        <f t="shared" si="67"/>
        <v>0</v>
      </c>
      <c r="Q205" s="577">
        <f t="shared" si="67"/>
        <v>0</v>
      </c>
      <c r="R205" s="576">
        <f t="shared" si="67"/>
        <v>0</v>
      </c>
      <c r="S205" s="576">
        <f t="shared" si="67"/>
        <v>0</v>
      </c>
      <c r="T205" s="576">
        <f t="shared" si="67"/>
        <v>0</v>
      </c>
      <c r="U205" s="576">
        <f t="shared" si="67"/>
        <v>0</v>
      </c>
      <c r="V205" s="576">
        <f t="shared" si="67"/>
        <v>0</v>
      </c>
      <c r="W205" s="576">
        <f t="shared" si="67"/>
        <v>0</v>
      </c>
      <c r="X205" s="576">
        <f t="shared" si="67"/>
        <v>0</v>
      </c>
      <c r="Y205" s="576">
        <f t="shared" si="67"/>
        <v>0</v>
      </c>
      <c r="Z205" s="576">
        <f t="shared" si="67"/>
        <v>0</v>
      </c>
      <c r="AA205" s="576">
        <f t="shared" ref="AA205:BS205" si="71">AA$174*AA196</f>
        <v>0</v>
      </c>
      <c r="AB205" s="576">
        <f t="shared" si="71"/>
        <v>0</v>
      </c>
      <c r="AC205" s="576">
        <f t="shared" si="71"/>
        <v>0</v>
      </c>
      <c r="AD205" s="576">
        <f t="shared" si="71"/>
        <v>0</v>
      </c>
      <c r="AE205" s="576">
        <f t="shared" si="71"/>
        <v>0</v>
      </c>
      <c r="AF205" s="576">
        <f t="shared" si="71"/>
        <v>0</v>
      </c>
      <c r="AG205" s="576">
        <f t="shared" si="71"/>
        <v>0</v>
      </c>
      <c r="AH205" s="576">
        <f t="shared" si="71"/>
        <v>0</v>
      </c>
      <c r="AI205" s="576">
        <f t="shared" si="71"/>
        <v>0</v>
      </c>
      <c r="AJ205" s="576">
        <f t="shared" si="71"/>
        <v>0</v>
      </c>
      <c r="AK205" s="577">
        <f t="shared" si="71"/>
        <v>0</v>
      </c>
      <c r="AL205" s="576">
        <f t="shared" si="71"/>
        <v>0</v>
      </c>
      <c r="AM205" s="576">
        <f t="shared" si="71"/>
        <v>0</v>
      </c>
      <c r="AN205" s="576">
        <f t="shared" si="71"/>
        <v>0</v>
      </c>
      <c r="AO205" s="577">
        <f t="shared" si="71"/>
        <v>0</v>
      </c>
      <c r="AP205" s="576">
        <f t="shared" si="71"/>
        <v>0</v>
      </c>
      <c r="AQ205" s="576">
        <f t="shared" si="71"/>
        <v>0</v>
      </c>
      <c r="AR205" s="576">
        <f t="shared" si="71"/>
        <v>0</v>
      </c>
      <c r="AS205" s="576">
        <f t="shared" si="71"/>
        <v>0</v>
      </c>
      <c r="AT205" s="576">
        <f t="shared" si="71"/>
        <v>0</v>
      </c>
      <c r="AU205" s="576">
        <f t="shared" si="71"/>
        <v>0</v>
      </c>
      <c r="AV205" s="576">
        <f t="shared" si="71"/>
        <v>0</v>
      </c>
      <c r="AW205" s="576">
        <f t="shared" si="71"/>
        <v>0</v>
      </c>
      <c r="AX205" s="576">
        <f t="shared" si="71"/>
        <v>0</v>
      </c>
      <c r="AY205" s="576">
        <f t="shared" si="71"/>
        <v>0</v>
      </c>
      <c r="AZ205" s="576">
        <f t="shared" si="71"/>
        <v>0</v>
      </c>
      <c r="BA205" s="576">
        <f t="shared" si="71"/>
        <v>0</v>
      </c>
      <c r="BB205" s="576">
        <f t="shared" si="71"/>
        <v>0</v>
      </c>
      <c r="BC205" s="577">
        <f t="shared" si="71"/>
        <v>0</v>
      </c>
      <c r="BD205" s="576">
        <f t="shared" si="71"/>
        <v>0</v>
      </c>
      <c r="BE205" s="576">
        <f t="shared" si="71"/>
        <v>0</v>
      </c>
      <c r="BF205" s="576">
        <f t="shared" si="70"/>
        <v>0</v>
      </c>
      <c r="BG205" s="576">
        <f t="shared" si="70"/>
        <v>0</v>
      </c>
      <c r="BH205" s="576">
        <f t="shared" si="71"/>
        <v>0</v>
      </c>
      <c r="BI205" s="576">
        <f t="shared" si="71"/>
        <v>0</v>
      </c>
      <c r="BJ205" s="576">
        <f t="shared" si="71"/>
        <v>0</v>
      </c>
      <c r="BK205" s="576">
        <f t="shared" si="71"/>
        <v>0</v>
      </c>
      <c r="BL205" s="576">
        <f t="shared" si="71"/>
        <v>0</v>
      </c>
      <c r="BM205" s="576">
        <f t="shared" si="71"/>
        <v>0</v>
      </c>
      <c r="BN205" s="576">
        <f t="shared" si="71"/>
        <v>0</v>
      </c>
      <c r="BO205" s="576">
        <f t="shared" si="71"/>
        <v>0</v>
      </c>
      <c r="BP205" s="576">
        <f t="shared" si="71"/>
        <v>0</v>
      </c>
      <c r="BQ205" s="576">
        <f t="shared" si="71"/>
        <v>0</v>
      </c>
      <c r="BR205" s="576">
        <f t="shared" si="71"/>
        <v>0</v>
      </c>
      <c r="BS205" s="576">
        <f t="shared" si="71"/>
        <v>0</v>
      </c>
    </row>
    <row r="206" spans="1:71" s="202" customFormat="1" ht="13.15">
      <c r="A206" s="453"/>
      <c r="B206" s="453"/>
      <c r="C206" s="453"/>
      <c r="D206" s="453"/>
      <c r="E206" s="453" t="s">
        <v>1256</v>
      </c>
      <c r="F206" s="453"/>
      <c r="G206" s="618" t="str">
        <f>InpCompany!$F$11</f>
        <v>£m (2017-18 prices)</v>
      </c>
      <c r="H206" s="625">
        <f t="shared" si="66"/>
        <v>0</v>
      </c>
      <c r="I206" s="626"/>
      <c r="J206" s="576">
        <f t="shared" ref="J206:BS207" si="72">J$174*J197</f>
        <v>0</v>
      </c>
      <c r="K206" s="576">
        <f t="shared" si="72"/>
        <v>0</v>
      </c>
      <c r="L206" s="576">
        <f t="shared" si="72"/>
        <v>0</v>
      </c>
      <c r="M206" s="576">
        <f t="shared" si="68"/>
        <v>0</v>
      </c>
      <c r="N206" s="576">
        <f t="shared" si="72"/>
        <v>0</v>
      </c>
      <c r="O206" s="576">
        <f t="shared" si="69"/>
        <v>0</v>
      </c>
      <c r="P206" s="576">
        <f t="shared" si="72"/>
        <v>0</v>
      </c>
      <c r="Q206" s="577">
        <f t="shared" si="72"/>
        <v>0</v>
      </c>
      <c r="R206" s="576">
        <f t="shared" si="72"/>
        <v>0</v>
      </c>
      <c r="S206" s="576">
        <f t="shared" si="72"/>
        <v>0</v>
      </c>
      <c r="T206" s="576">
        <f t="shared" si="72"/>
        <v>0</v>
      </c>
      <c r="U206" s="576">
        <f t="shared" si="72"/>
        <v>0</v>
      </c>
      <c r="V206" s="576">
        <f t="shared" si="72"/>
        <v>0</v>
      </c>
      <c r="W206" s="576">
        <f t="shared" si="72"/>
        <v>0</v>
      </c>
      <c r="X206" s="576">
        <f t="shared" si="72"/>
        <v>0</v>
      </c>
      <c r="Y206" s="576">
        <f t="shared" si="72"/>
        <v>0</v>
      </c>
      <c r="Z206" s="576">
        <f t="shared" si="72"/>
        <v>0</v>
      </c>
      <c r="AA206" s="576">
        <f t="shared" si="72"/>
        <v>0</v>
      </c>
      <c r="AB206" s="576">
        <f t="shared" si="72"/>
        <v>0</v>
      </c>
      <c r="AC206" s="576">
        <f t="shared" si="72"/>
        <v>0</v>
      </c>
      <c r="AD206" s="576">
        <f t="shared" si="72"/>
        <v>0</v>
      </c>
      <c r="AE206" s="576">
        <f t="shared" si="72"/>
        <v>0</v>
      </c>
      <c r="AF206" s="576">
        <f t="shared" si="72"/>
        <v>0</v>
      </c>
      <c r="AG206" s="576">
        <f t="shared" si="72"/>
        <v>0</v>
      </c>
      <c r="AH206" s="576">
        <f t="shared" si="72"/>
        <v>0</v>
      </c>
      <c r="AI206" s="576">
        <f t="shared" si="72"/>
        <v>0</v>
      </c>
      <c r="AJ206" s="576">
        <f t="shared" si="72"/>
        <v>0</v>
      </c>
      <c r="AK206" s="577">
        <f t="shared" si="72"/>
        <v>0</v>
      </c>
      <c r="AL206" s="576">
        <f t="shared" si="72"/>
        <v>0</v>
      </c>
      <c r="AM206" s="576">
        <f t="shared" si="72"/>
        <v>0</v>
      </c>
      <c r="AN206" s="576">
        <f t="shared" si="72"/>
        <v>0</v>
      </c>
      <c r="AO206" s="577">
        <f t="shared" si="72"/>
        <v>0</v>
      </c>
      <c r="AP206" s="576">
        <f t="shared" si="72"/>
        <v>0</v>
      </c>
      <c r="AQ206" s="576">
        <f t="shared" si="72"/>
        <v>0</v>
      </c>
      <c r="AR206" s="576">
        <f t="shared" si="72"/>
        <v>0</v>
      </c>
      <c r="AS206" s="576">
        <f t="shared" si="72"/>
        <v>0</v>
      </c>
      <c r="AT206" s="576">
        <f t="shared" si="72"/>
        <v>0</v>
      </c>
      <c r="AU206" s="576">
        <f t="shared" si="72"/>
        <v>0</v>
      </c>
      <c r="AV206" s="576">
        <f t="shared" si="72"/>
        <v>0</v>
      </c>
      <c r="AW206" s="576">
        <f t="shared" si="72"/>
        <v>0</v>
      </c>
      <c r="AX206" s="576">
        <f t="shared" si="72"/>
        <v>0</v>
      </c>
      <c r="AY206" s="576">
        <f t="shared" si="72"/>
        <v>0</v>
      </c>
      <c r="AZ206" s="576">
        <f t="shared" si="72"/>
        <v>0</v>
      </c>
      <c r="BA206" s="576">
        <f t="shared" si="72"/>
        <v>0</v>
      </c>
      <c r="BB206" s="576">
        <f t="shared" si="72"/>
        <v>0</v>
      </c>
      <c r="BC206" s="577">
        <f t="shared" si="72"/>
        <v>0</v>
      </c>
      <c r="BD206" s="576">
        <f t="shared" si="72"/>
        <v>0</v>
      </c>
      <c r="BE206" s="576">
        <f t="shared" si="72"/>
        <v>0</v>
      </c>
      <c r="BF206" s="576">
        <f t="shared" si="70"/>
        <v>0</v>
      </c>
      <c r="BG206" s="576">
        <f t="shared" si="70"/>
        <v>0</v>
      </c>
      <c r="BH206" s="576">
        <f t="shared" si="72"/>
        <v>0</v>
      </c>
      <c r="BI206" s="576">
        <f t="shared" si="72"/>
        <v>0</v>
      </c>
      <c r="BJ206" s="576">
        <f t="shared" si="72"/>
        <v>0</v>
      </c>
      <c r="BK206" s="576">
        <f t="shared" si="72"/>
        <v>0</v>
      </c>
      <c r="BL206" s="576">
        <f t="shared" si="72"/>
        <v>0</v>
      </c>
      <c r="BM206" s="576">
        <f t="shared" si="72"/>
        <v>0</v>
      </c>
      <c r="BN206" s="576">
        <f t="shared" si="72"/>
        <v>0</v>
      </c>
      <c r="BO206" s="576">
        <f t="shared" si="72"/>
        <v>0</v>
      </c>
      <c r="BP206" s="576">
        <f t="shared" si="72"/>
        <v>0</v>
      </c>
      <c r="BQ206" s="576">
        <f t="shared" si="72"/>
        <v>0</v>
      </c>
      <c r="BR206" s="576">
        <f t="shared" si="72"/>
        <v>0</v>
      </c>
      <c r="BS206" s="576">
        <f t="shared" si="72"/>
        <v>0</v>
      </c>
    </row>
    <row r="207" spans="1:71" s="202" customFormat="1" ht="13.15">
      <c r="A207" s="453"/>
      <c r="B207" s="453"/>
      <c r="C207" s="453"/>
      <c r="D207" s="453"/>
      <c r="E207" s="453" t="s">
        <v>1257</v>
      </c>
      <c r="F207" s="453"/>
      <c r="G207" s="618" t="str">
        <f>InpCompany!$F$11</f>
        <v>£m (2017-18 prices)</v>
      </c>
      <c r="H207" s="625">
        <f t="shared" si="66"/>
        <v>0</v>
      </c>
      <c r="I207" s="626"/>
      <c r="J207" s="576">
        <f t="shared" si="72"/>
        <v>0</v>
      </c>
      <c r="K207" s="576">
        <f t="shared" si="72"/>
        <v>0</v>
      </c>
      <c r="L207" s="576">
        <f t="shared" si="72"/>
        <v>0</v>
      </c>
      <c r="M207" s="576">
        <f t="shared" si="68"/>
        <v>0</v>
      </c>
      <c r="N207" s="576">
        <f t="shared" si="72"/>
        <v>0</v>
      </c>
      <c r="O207" s="576">
        <f t="shared" si="69"/>
        <v>0</v>
      </c>
      <c r="P207" s="576">
        <f t="shared" si="72"/>
        <v>0</v>
      </c>
      <c r="Q207" s="577">
        <f t="shared" si="72"/>
        <v>0</v>
      </c>
      <c r="R207" s="576">
        <f t="shared" si="72"/>
        <v>0</v>
      </c>
      <c r="S207" s="576">
        <f t="shared" si="72"/>
        <v>0</v>
      </c>
      <c r="T207" s="576">
        <f t="shared" si="72"/>
        <v>0</v>
      </c>
      <c r="U207" s="576">
        <f t="shared" si="72"/>
        <v>0</v>
      </c>
      <c r="V207" s="576">
        <f t="shared" si="72"/>
        <v>0</v>
      </c>
      <c r="W207" s="576">
        <f t="shared" si="72"/>
        <v>0</v>
      </c>
      <c r="X207" s="576">
        <f t="shared" si="72"/>
        <v>0</v>
      </c>
      <c r="Y207" s="576">
        <f t="shared" si="72"/>
        <v>0</v>
      </c>
      <c r="Z207" s="576">
        <f t="shared" si="72"/>
        <v>0</v>
      </c>
      <c r="AA207" s="576">
        <f t="shared" si="72"/>
        <v>0</v>
      </c>
      <c r="AB207" s="576">
        <f t="shared" si="72"/>
        <v>0</v>
      </c>
      <c r="AC207" s="576">
        <f t="shared" si="72"/>
        <v>0</v>
      </c>
      <c r="AD207" s="576">
        <f t="shared" si="72"/>
        <v>0</v>
      </c>
      <c r="AE207" s="576">
        <f t="shared" si="72"/>
        <v>0</v>
      </c>
      <c r="AF207" s="576">
        <f t="shared" si="72"/>
        <v>0</v>
      </c>
      <c r="AG207" s="576">
        <f t="shared" si="72"/>
        <v>0</v>
      </c>
      <c r="AH207" s="576">
        <f t="shared" si="72"/>
        <v>0</v>
      </c>
      <c r="AI207" s="576">
        <f t="shared" si="72"/>
        <v>0</v>
      </c>
      <c r="AJ207" s="576">
        <f t="shared" si="72"/>
        <v>0</v>
      </c>
      <c r="AK207" s="577">
        <f t="shared" si="72"/>
        <v>0</v>
      </c>
      <c r="AL207" s="576">
        <f t="shared" si="72"/>
        <v>0</v>
      </c>
      <c r="AM207" s="576">
        <f t="shared" si="72"/>
        <v>0</v>
      </c>
      <c r="AN207" s="576">
        <f t="shared" si="72"/>
        <v>0</v>
      </c>
      <c r="AO207" s="577">
        <f t="shared" si="72"/>
        <v>0</v>
      </c>
      <c r="AP207" s="576">
        <f t="shared" si="72"/>
        <v>0</v>
      </c>
      <c r="AQ207" s="576">
        <f t="shared" si="72"/>
        <v>0</v>
      </c>
      <c r="AR207" s="576">
        <f t="shared" si="72"/>
        <v>0</v>
      </c>
      <c r="AS207" s="576">
        <f t="shared" si="72"/>
        <v>0</v>
      </c>
      <c r="AT207" s="576">
        <f t="shared" si="72"/>
        <v>0</v>
      </c>
      <c r="AU207" s="576">
        <f t="shared" si="72"/>
        <v>0</v>
      </c>
      <c r="AV207" s="576">
        <f t="shared" si="72"/>
        <v>0</v>
      </c>
      <c r="AW207" s="576">
        <f t="shared" si="72"/>
        <v>0</v>
      </c>
      <c r="AX207" s="576">
        <f t="shared" si="72"/>
        <v>0</v>
      </c>
      <c r="AY207" s="576">
        <f t="shared" si="72"/>
        <v>0</v>
      </c>
      <c r="AZ207" s="576">
        <f t="shared" si="72"/>
        <v>0</v>
      </c>
      <c r="BA207" s="576">
        <f t="shared" si="72"/>
        <v>0</v>
      </c>
      <c r="BB207" s="576">
        <f t="shared" si="72"/>
        <v>0</v>
      </c>
      <c r="BC207" s="577">
        <f t="shared" si="72"/>
        <v>0</v>
      </c>
      <c r="BD207" s="576">
        <f t="shared" si="72"/>
        <v>0</v>
      </c>
      <c r="BE207" s="576">
        <f t="shared" si="72"/>
        <v>0</v>
      </c>
      <c r="BF207" s="576">
        <f t="shared" si="70"/>
        <v>0</v>
      </c>
      <c r="BG207" s="576">
        <f t="shared" si="70"/>
        <v>0</v>
      </c>
      <c r="BH207" s="576">
        <f t="shared" si="72"/>
        <v>0</v>
      </c>
      <c r="BI207" s="576">
        <f t="shared" si="72"/>
        <v>0</v>
      </c>
      <c r="BJ207" s="576">
        <f t="shared" si="72"/>
        <v>0</v>
      </c>
      <c r="BK207" s="576">
        <f t="shared" si="72"/>
        <v>0</v>
      </c>
      <c r="BL207" s="576">
        <f t="shared" si="72"/>
        <v>0</v>
      </c>
      <c r="BM207" s="576">
        <f t="shared" si="72"/>
        <v>0</v>
      </c>
      <c r="BN207" s="576">
        <f t="shared" si="72"/>
        <v>0</v>
      </c>
      <c r="BO207" s="576">
        <f t="shared" si="72"/>
        <v>0</v>
      </c>
      <c r="BP207" s="576">
        <f t="shared" si="72"/>
        <v>0</v>
      </c>
      <c r="BQ207" s="576">
        <f t="shared" si="72"/>
        <v>0</v>
      </c>
      <c r="BR207" s="576">
        <f t="shared" si="72"/>
        <v>0</v>
      </c>
      <c r="BS207" s="576">
        <f t="shared" si="72"/>
        <v>0</v>
      </c>
    </row>
    <row r="208" spans="1:71" s="202" customFormat="1" ht="13.15">
      <c r="A208" s="453"/>
      <c r="B208" s="453"/>
      <c r="C208" s="453"/>
      <c r="D208" s="453"/>
      <c r="E208" s="453"/>
      <c r="F208" s="453"/>
      <c r="G208" s="453"/>
      <c r="H208" s="625"/>
      <c r="I208" s="626"/>
      <c r="J208" s="576"/>
      <c r="K208" s="576"/>
      <c r="L208" s="576"/>
      <c r="M208" s="576"/>
      <c r="N208" s="576"/>
      <c r="O208" s="576"/>
      <c r="P208" s="576"/>
      <c r="Q208" s="577"/>
      <c r="R208" s="576"/>
      <c r="S208" s="576"/>
      <c r="T208" s="576"/>
      <c r="U208" s="576"/>
      <c r="V208" s="576"/>
      <c r="W208" s="576"/>
      <c r="X208" s="576"/>
      <c r="Y208" s="576"/>
      <c r="Z208" s="576"/>
      <c r="AA208" s="576"/>
      <c r="AB208" s="576"/>
      <c r="AC208" s="576"/>
      <c r="AD208" s="576"/>
      <c r="AE208" s="576"/>
      <c r="AF208" s="576"/>
      <c r="AG208" s="576"/>
      <c r="AH208" s="576"/>
      <c r="AI208" s="576"/>
      <c r="AJ208" s="576"/>
      <c r="AK208" s="577"/>
      <c r="AL208" s="576"/>
      <c r="AM208" s="576"/>
      <c r="AN208" s="576"/>
      <c r="AO208" s="577"/>
      <c r="AP208" s="576"/>
      <c r="AQ208" s="576"/>
      <c r="AR208" s="576"/>
      <c r="AS208" s="576"/>
      <c r="AT208" s="576"/>
      <c r="AU208" s="576"/>
      <c r="AV208" s="576"/>
      <c r="AW208" s="576"/>
      <c r="AX208" s="576"/>
      <c r="AY208" s="576"/>
      <c r="AZ208" s="576"/>
      <c r="BA208" s="576"/>
      <c r="BB208" s="576"/>
      <c r="BC208" s="577"/>
      <c r="BD208" s="576"/>
      <c r="BE208" s="576"/>
      <c r="BF208" s="576"/>
      <c r="BG208" s="576"/>
      <c r="BH208" s="576"/>
      <c r="BI208" s="576"/>
      <c r="BJ208" s="576"/>
      <c r="BK208" s="576"/>
      <c r="BL208" s="576"/>
      <c r="BM208" s="576"/>
      <c r="BN208" s="576"/>
      <c r="BO208" s="576"/>
      <c r="BP208" s="576"/>
      <c r="BQ208" s="576"/>
      <c r="BR208" s="576"/>
      <c r="BS208" s="576"/>
    </row>
    <row r="209" spans="1:71" s="202" customFormat="1" ht="13.15">
      <c r="A209" s="453"/>
      <c r="B209" s="453"/>
      <c r="C209" s="453"/>
      <c r="D209" s="463" t="s">
        <v>1258</v>
      </c>
      <c r="E209" s="463"/>
      <c r="F209" s="463"/>
      <c r="G209" s="463"/>
      <c r="H209" s="625"/>
      <c r="I209" s="626"/>
      <c r="J209" s="576"/>
      <c r="K209" s="576"/>
      <c r="L209" s="576"/>
      <c r="M209" s="576"/>
      <c r="N209" s="576"/>
      <c r="O209" s="576"/>
      <c r="P209" s="576"/>
      <c r="Q209" s="577"/>
      <c r="R209" s="576"/>
      <c r="S209" s="576"/>
      <c r="T209" s="576"/>
      <c r="U209" s="576"/>
      <c r="V209" s="576"/>
      <c r="W209" s="576"/>
      <c r="X209" s="576"/>
      <c r="Y209" s="576"/>
      <c r="Z209" s="576"/>
      <c r="AA209" s="576"/>
      <c r="AB209" s="576"/>
      <c r="AC209" s="576"/>
      <c r="AD209" s="576"/>
      <c r="AE209" s="576"/>
      <c r="AF209" s="576"/>
      <c r="AG209" s="576"/>
      <c r="AH209" s="576"/>
      <c r="AI209" s="576"/>
      <c r="AJ209" s="576"/>
      <c r="AK209" s="577"/>
      <c r="AL209" s="576"/>
      <c r="AM209" s="576"/>
      <c r="AN209" s="576"/>
      <c r="AO209" s="577"/>
      <c r="AP209" s="576"/>
      <c r="AQ209" s="576"/>
      <c r="AR209" s="576"/>
      <c r="AS209" s="576"/>
      <c r="AT209" s="576"/>
      <c r="AU209" s="576"/>
      <c r="AV209" s="576"/>
      <c r="AW209" s="576"/>
      <c r="AX209" s="576"/>
      <c r="AY209" s="576"/>
      <c r="AZ209" s="576"/>
      <c r="BA209" s="576"/>
      <c r="BB209" s="576"/>
      <c r="BC209" s="577"/>
      <c r="BD209" s="576"/>
      <c r="BE209" s="576"/>
      <c r="BF209" s="576"/>
      <c r="BG209" s="576"/>
      <c r="BH209" s="576"/>
      <c r="BI209" s="576"/>
      <c r="BJ209" s="576"/>
      <c r="BK209" s="576"/>
      <c r="BL209" s="576"/>
      <c r="BM209" s="576"/>
      <c r="BN209" s="576"/>
      <c r="BO209" s="576"/>
      <c r="BP209" s="576"/>
      <c r="BQ209" s="576"/>
      <c r="BR209" s="576"/>
      <c r="BS209" s="576"/>
    </row>
    <row r="210" spans="1:71" s="202" customFormat="1" ht="13.15">
      <c r="A210" s="453"/>
      <c r="B210" s="453"/>
      <c r="C210" s="453"/>
      <c r="D210" s="453"/>
      <c r="E210" s="453" t="s">
        <v>1259</v>
      </c>
      <c r="F210" s="453"/>
      <c r="G210" s="618" t="str">
        <f>InpCompany!$F$11</f>
        <v>£m (2017-18 prices)</v>
      </c>
      <c r="H210" s="625">
        <f t="shared" ref="H210:H216" si="73">SUM(J210:BS210)</f>
        <v>-0.32354399999999994</v>
      </c>
      <c r="I210" s="626"/>
      <c r="J210" s="576">
        <f t="shared" ref="J210:BS214" si="74">J$179*J192</f>
        <v>0</v>
      </c>
      <c r="K210" s="576">
        <f t="shared" si="74"/>
        <v>0</v>
      </c>
      <c r="L210" s="576">
        <f t="shared" si="74"/>
        <v>0</v>
      </c>
      <c r="M210" s="576">
        <f t="shared" ref="M210:M216" si="75">M$179*M192</f>
        <v>0</v>
      </c>
      <c r="N210" s="576">
        <f t="shared" si="74"/>
        <v>0</v>
      </c>
      <c r="O210" s="576">
        <f t="shared" ref="O210:O216" si="76">O$179*O192</f>
        <v>0</v>
      </c>
      <c r="P210" s="576">
        <f t="shared" si="74"/>
        <v>0</v>
      </c>
      <c r="Q210" s="577">
        <f t="shared" si="74"/>
        <v>0</v>
      </c>
      <c r="R210" s="576">
        <f t="shared" si="74"/>
        <v>0</v>
      </c>
      <c r="S210" s="576">
        <f t="shared" si="74"/>
        <v>0</v>
      </c>
      <c r="T210" s="576">
        <f t="shared" si="74"/>
        <v>0</v>
      </c>
      <c r="U210" s="576">
        <f t="shared" si="74"/>
        <v>0</v>
      </c>
      <c r="V210" s="576">
        <f t="shared" si="74"/>
        <v>0</v>
      </c>
      <c r="W210" s="576">
        <f t="shared" si="74"/>
        <v>0</v>
      </c>
      <c r="X210" s="576">
        <f t="shared" si="74"/>
        <v>0</v>
      </c>
      <c r="Y210" s="576">
        <f t="shared" si="74"/>
        <v>0</v>
      </c>
      <c r="Z210" s="576">
        <f t="shared" si="74"/>
        <v>-0.32354399999999994</v>
      </c>
      <c r="AA210" s="576">
        <f t="shared" si="74"/>
        <v>0</v>
      </c>
      <c r="AB210" s="576">
        <f t="shared" si="74"/>
        <v>0</v>
      </c>
      <c r="AC210" s="576">
        <f t="shared" si="74"/>
        <v>0</v>
      </c>
      <c r="AD210" s="576">
        <f t="shared" si="74"/>
        <v>0</v>
      </c>
      <c r="AE210" s="576">
        <f t="shared" si="74"/>
        <v>0</v>
      </c>
      <c r="AF210" s="576">
        <f t="shared" si="74"/>
        <v>0</v>
      </c>
      <c r="AG210" s="576">
        <f t="shared" si="74"/>
        <v>0</v>
      </c>
      <c r="AH210" s="576">
        <f t="shared" si="74"/>
        <v>0</v>
      </c>
      <c r="AI210" s="576">
        <f t="shared" si="74"/>
        <v>0</v>
      </c>
      <c r="AJ210" s="576">
        <f t="shared" si="74"/>
        <v>0</v>
      </c>
      <c r="AK210" s="577">
        <f t="shared" si="74"/>
        <v>0</v>
      </c>
      <c r="AL210" s="576">
        <f t="shared" si="74"/>
        <v>0</v>
      </c>
      <c r="AM210" s="576">
        <f t="shared" si="74"/>
        <v>0</v>
      </c>
      <c r="AN210" s="576">
        <f t="shared" si="74"/>
        <v>0</v>
      </c>
      <c r="AO210" s="577">
        <f t="shared" si="74"/>
        <v>0</v>
      </c>
      <c r="AP210" s="576">
        <f t="shared" si="74"/>
        <v>0</v>
      </c>
      <c r="AQ210" s="576">
        <f t="shared" si="74"/>
        <v>0</v>
      </c>
      <c r="AR210" s="576">
        <f t="shared" si="74"/>
        <v>0</v>
      </c>
      <c r="AS210" s="576">
        <f t="shared" si="74"/>
        <v>0</v>
      </c>
      <c r="AT210" s="576">
        <f t="shared" si="74"/>
        <v>0</v>
      </c>
      <c r="AU210" s="576">
        <f t="shared" si="74"/>
        <v>0</v>
      </c>
      <c r="AV210" s="576">
        <f t="shared" si="74"/>
        <v>0</v>
      </c>
      <c r="AW210" s="576">
        <f t="shared" si="74"/>
        <v>0</v>
      </c>
      <c r="AX210" s="576">
        <f t="shared" si="74"/>
        <v>0</v>
      </c>
      <c r="AY210" s="576">
        <f t="shared" si="74"/>
        <v>0</v>
      </c>
      <c r="AZ210" s="576">
        <f t="shared" si="74"/>
        <v>0</v>
      </c>
      <c r="BA210" s="576">
        <f t="shared" si="74"/>
        <v>0</v>
      </c>
      <c r="BB210" s="576">
        <f t="shared" si="74"/>
        <v>0</v>
      </c>
      <c r="BC210" s="577">
        <f t="shared" si="74"/>
        <v>0</v>
      </c>
      <c r="BD210" s="576">
        <f t="shared" si="74"/>
        <v>0</v>
      </c>
      <c r="BE210" s="576">
        <f t="shared" si="74"/>
        <v>0</v>
      </c>
      <c r="BF210" s="576">
        <f t="shared" ref="BF210:BG216" si="77">BF$179*BF192</f>
        <v>0</v>
      </c>
      <c r="BG210" s="576">
        <f t="shared" si="77"/>
        <v>0</v>
      </c>
      <c r="BH210" s="576">
        <f t="shared" si="74"/>
        <v>0</v>
      </c>
      <c r="BI210" s="576">
        <f t="shared" si="74"/>
        <v>0</v>
      </c>
      <c r="BJ210" s="576">
        <f t="shared" si="74"/>
        <v>0</v>
      </c>
      <c r="BK210" s="576">
        <f t="shared" si="74"/>
        <v>0</v>
      </c>
      <c r="BL210" s="576">
        <f t="shared" si="74"/>
        <v>0</v>
      </c>
      <c r="BM210" s="576">
        <f t="shared" si="74"/>
        <v>0</v>
      </c>
      <c r="BN210" s="576">
        <f t="shared" si="74"/>
        <v>0</v>
      </c>
      <c r="BO210" s="576">
        <f t="shared" si="74"/>
        <v>0</v>
      </c>
      <c r="BP210" s="576">
        <f t="shared" si="74"/>
        <v>0</v>
      </c>
      <c r="BQ210" s="576">
        <f t="shared" si="74"/>
        <v>0</v>
      </c>
      <c r="BR210" s="576">
        <f t="shared" si="74"/>
        <v>0</v>
      </c>
      <c r="BS210" s="576">
        <f t="shared" si="74"/>
        <v>0</v>
      </c>
    </row>
    <row r="211" spans="1:71" s="202" customFormat="1" ht="13.15">
      <c r="A211" s="453"/>
      <c r="B211" s="453"/>
      <c r="C211" s="453"/>
      <c r="D211" s="453"/>
      <c r="E211" s="453" t="s">
        <v>1260</v>
      </c>
      <c r="F211" s="453"/>
      <c r="G211" s="618" t="str">
        <f>InpCompany!$F$11</f>
        <v>£m (2017-18 prices)</v>
      </c>
      <c r="H211" s="625">
        <f t="shared" si="73"/>
        <v>-13.457406666666666</v>
      </c>
      <c r="I211" s="626"/>
      <c r="J211" s="576">
        <f t="shared" si="74"/>
        <v>-0.67195999999999989</v>
      </c>
      <c r="K211" s="576">
        <f t="shared" si="74"/>
        <v>-4.2374666666666672</v>
      </c>
      <c r="L211" s="576">
        <f t="shared" si="74"/>
        <v>-4.3460000000000001</v>
      </c>
      <c r="M211" s="576">
        <f t="shared" si="75"/>
        <v>0</v>
      </c>
      <c r="N211" s="576">
        <f t="shared" si="74"/>
        <v>0</v>
      </c>
      <c r="O211" s="576">
        <f t="shared" si="76"/>
        <v>0</v>
      </c>
      <c r="P211" s="576">
        <f t="shared" si="74"/>
        <v>-1.9907999999999992</v>
      </c>
      <c r="Q211" s="577">
        <f t="shared" si="74"/>
        <v>0</v>
      </c>
      <c r="R211" s="576">
        <f t="shared" si="74"/>
        <v>-2.0789999999999997</v>
      </c>
      <c r="S211" s="576">
        <f t="shared" si="74"/>
        <v>-9.2399999999999954E-2</v>
      </c>
      <c r="T211" s="576">
        <f t="shared" si="74"/>
        <v>0</v>
      </c>
      <c r="U211" s="576">
        <f t="shared" si="74"/>
        <v>0</v>
      </c>
      <c r="V211" s="576">
        <f t="shared" si="74"/>
        <v>0</v>
      </c>
      <c r="W211" s="576">
        <f t="shared" si="74"/>
        <v>0</v>
      </c>
      <c r="X211" s="576">
        <f t="shared" si="74"/>
        <v>0</v>
      </c>
      <c r="Y211" s="576">
        <f t="shared" si="74"/>
        <v>0</v>
      </c>
      <c r="Z211" s="576">
        <f t="shared" si="74"/>
        <v>0</v>
      </c>
      <c r="AA211" s="576">
        <f t="shared" si="74"/>
        <v>0</v>
      </c>
      <c r="AB211" s="576">
        <f t="shared" si="74"/>
        <v>0</v>
      </c>
      <c r="AC211" s="576">
        <f t="shared" si="74"/>
        <v>0</v>
      </c>
      <c r="AD211" s="576">
        <f t="shared" si="74"/>
        <v>0</v>
      </c>
      <c r="AE211" s="576">
        <f t="shared" si="74"/>
        <v>0</v>
      </c>
      <c r="AF211" s="576">
        <f t="shared" si="74"/>
        <v>0</v>
      </c>
      <c r="AG211" s="576">
        <f t="shared" si="74"/>
        <v>0</v>
      </c>
      <c r="AH211" s="576">
        <f t="shared" si="74"/>
        <v>0</v>
      </c>
      <c r="AI211" s="576">
        <f t="shared" si="74"/>
        <v>0</v>
      </c>
      <c r="AJ211" s="576">
        <f t="shared" si="74"/>
        <v>0</v>
      </c>
      <c r="AK211" s="577">
        <f t="shared" si="74"/>
        <v>0</v>
      </c>
      <c r="AL211" s="576">
        <f t="shared" si="74"/>
        <v>0</v>
      </c>
      <c r="AM211" s="576">
        <f t="shared" si="74"/>
        <v>0</v>
      </c>
      <c r="AN211" s="576">
        <f t="shared" si="74"/>
        <v>0</v>
      </c>
      <c r="AO211" s="577">
        <f t="shared" si="74"/>
        <v>0</v>
      </c>
      <c r="AP211" s="576">
        <f t="shared" si="74"/>
        <v>0</v>
      </c>
      <c r="AQ211" s="576">
        <f t="shared" si="74"/>
        <v>-3.9780000000000003E-2</v>
      </c>
      <c r="AR211" s="576">
        <f t="shared" si="74"/>
        <v>0</v>
      </c>
      <c r="AS211" s="576">
        <f t="shared" si="74"/>
        <v>0</v>
      </c>
      <c r="AT211" s="576">
        <f t="shared" si="74"/>
        <v>0</v>
      </c>
      <c r="AU211" s="576">
        <f t="shared" si="74"/>
        <v>0</v>
      </c>
      <c r="AV211" s="576">
        <f t="shared" si="74"/>
        <v>0</v>
      </c>
      <c r="AW211" s="576">
        <f t="shared" si="74"/>
        <v>0</v>
      </c>
      <c r="AX211" s="576">
        <f t="shared" si="74"/>
        <v>0</v>
      </c>
      <c r="AY211" s="576">
        <f t="shared" si="74"/>
        <v>0</v>
      </c>
      <c r="AZ211" s="576">
        <f t="shared" si="74"/>
        <v>0</v>
      </c>
      <c r="BA211" s="576">
        <f t="shared" si="74"/>
        <v>0</v>
      </c>
      <c r="BB211" s="576">
        <f t="shared" si="74"/>
        <v>0</v>
      </c>
      <c r="BC211" s="577">
        <f t="shared" si="74"/>
        <v>0</v>
      </c>
      <c r="BD211" s="576">
        <f t="shared" si="74"/>
        <v>0</v>
      </c>
      <c r="BE211" s="576">
        <f t="shared" si="74"/>
        <v>0</v>
      </c>
      <c r="BF211" s="576">
        <f t="shared" si="77"/>
        <v>0</v>
      </c>
      <c r="BG211" s="576">
        <f t="shared" si="77"/>
        <v>0</v>
      </c>
      <c r="BH211" s="576">
        <f t="shared" si="74"/>
        <v>0</v>
      </c>
      <c r="BI211" s="576">
        <f t="shared" si="74"/>
        <v>0</v>
      </c>
      <c r="BJ211" s="576">
        <f t="shared" si="74"/>
        <v>0</v>
      </c>
      <c r="BK211" s="576">
        <f t="shared" si="74"/>
        <v>0</v>
      </c>
      <c r="BL211" s="576">
        <f t="shared" si="74"/>
        <v>0</v>
      </c>
      <c r="BM211" s="576">
        <f t="shared" si="74"/>
        <v>0</v>
      </c>
      <c r="BN211" s="576">
        <f t="shared" si="74"/>
        <v>0</v>
      </c>
      <c r="BO211" s="576">
        <f t="shared" si="74"/>
        <v>0</v>
      </c>
      <c r="BP211" s="576">
        <f t="shared" si="74"/>
        <v>0</v>
      </c>
      <c r="BQ211" s="576">
        <f t="shared" si="74"/>
        <v>0</v>
      </c>
      <c r="BR211" s="576">
        <f t="shared" si="74"/>
        <v>0</v>
      </c>
      <c r="BS211" s="576">
        <f t="shared" si="74"/>
        <v>0</v>
      </c>
    </row>
    <row r="212" spans="1:71" s="202" customFormat="1" ht="13.15">
      <c r="A212" s="453"/>
      <c r="B212" s="453"/>
      <c r="C212" s="453"/>
      <c r="D212" s="453"/>
      <c r="E212" s="453" t="s">
        <v>1261</v>
      </c>
      <c r="F212" s="453"/>
      <c r="G212" s="618" t="str">
        <f>InpCompany!$F$11</f>
        <v>£m (2017-18 prices)</v>
      </c>
      <c r="H212" s="625">
        <f t="shared" si="73"/>
        <v>-19.353538399999998</v>
      </c>
      <c r="I212" s="626"/>
      <c r="J212" s="576">
        <f t="shared" si="74"/>
        <v>0</v>
      </c>
      <c r="K212" s="576">
        <f t="shared" si="74"/>
        <v>0</v>
      </c>
      <c r="L212" s="576">
        <f t="shared" si="74"/>
        <v>0</v>
      </c>
      <c r="M212" s="576">
        <f t="shared" si="75"/>
        <v>0</v>
      </c>
      <c r="N212" s="576">
        <f t="shared" si="74"/>
        <v>0</v>
      </c>
      <c r="O212" s="576">
        <f t="shared" si="76"/>
        <v>0</v>
      </c>
      <c r="P212" s="576">
        <f t="shared" si="74"/>
        <v>0</v>
      </c>
      <c r="Q212" s="577">
        <f t="shared" si="74"/>
        <v>0</v>
      </c>
      <c r="R212" s="576">
        <f t="shared" si="74"/>
        <v>0</v>
      </c>
      <c r="S212" s="576">
        <f t="shared" si="74"/>
        <v>0</v>
      </c>
      <c r="T212" s="576">
        <f t="shared" si="74"/>
        <v>0</v>
      </c>
      <c r="U212" s="576">
        <f t="shared" si="74"/>
        <v>0</v>
      </c>
      <c r="V212" s="576">
        <f t="shared" si="74"/>
        <v>0</v>
      </c>
      <c r="W212" s="576">
        <f t="shared" si="74"/>
        <v>0</v>
      </c>
      <c r="X212" s="576">
        <f t="shared" si="74"/>
        <v>0</v>
      </c>
      <c r="Y212" s="576">
        <f t="shared" si="74"/>
        <v>0</v>
      </c>
      <c r="Z212" s="576">
        <f t="shared" si="74"/>
        <v>0</v>
      </c>
      <c r="AA212" s="576">
        <f t="shared" si="74"/>
        <v>0</v>
      </c>
      <c r="AB212" s="576">
        <f t="shared" si="74"/>
        <v>0</v>
      </c>
      <c r="AC212" s="576">
        <f t="shared" si="74"/>
        <v>0</v>
      </c>
      <c r="AD212" s="576">
        <f t="shared" si="74"/>
        <v>0</v>
      </c>
      <c r="AE212" s="576">
        <f t="shared" si="74"/>
        <v>0</v>
      </c>
      <c r="AF212" s="576">
        <f t="shared" si="74"/>
        <v>0</v>
      </c>
      <c r="AG212" s="576">
        <f t="shared" si="74"/>
        <v>0</v>
      </c>
      <c r="AH212" s="576">
        <f t="shared" si="74"/>
        <v>0</v>
      </c>
      <c r="AI212" s="576">
        <f t="shared" si="74"/>
        <v>0</v>
      </c>
      <c r="AJ212" s="576">
        <f t="shared" si="74"/>
        <v>0</v>
      </c>
      <c r="AK212" s="577">
        <f t="shared" si="74"/>
        <v>0</v>
      </c>
      <c r="AL212" s="576">
        <f t="shared" si="74"/>
        <v>-6.2794099999999995</v>
      </c>
      <c r="AM212" s="576">
        <f t="shared" si="74"/>
        <v>-8.3821499999999993</v>
      </c>
      <c r="AN212" s="576">
        <f t="shared" si="74"/>
        <v>-0.58975999999999884</v>
      </c>
      <c r="AO212" s="577">
        <f t="shared" si="74"/>
        <v>0</v>
      </c>
      <c r="AP212" s="576">
        <f t="shared" si="74"/>
        <v>0</v>
      </c>
      <c r="AQ212" s="576">
        <f t="shared" si="74"/>
        <v>0</v>
      </c>
      <c r="AR212" s="576">
        <f t="shared" si="74"/>
        <v>0</v>
      </c>
      <c r="AS212" s="576">
        <f t="shared" si="74"/>
        <v>0</v>
      </c>
      <c r="AT212" s="576">
        <f t="shared" si="74"/>
        <v>-4.05</v>
      </c>
      <c r="AU212" s="576">
        <f t="shared" si="74"/>
        <v>0</v>
      </c>
      <c r="AV212" s="576">
        <f t="shared" si="74"/>
        <v>0</v>
      </c>
      <c r="AW212" s="576">
        <f t="shared" si="74"/>
        <v>-5.2218399999999998E-2</v>
      </c>
      <c r="AX212" s="576">
        <f t="shared" si="74"/>
        <v>0</v>
      </c>
      <c r="AY212" s="576">
        <f t="shared" si="74"/>
        <v>0</v>
      </c>
      <c r="AZ212" s="576">
        <f t="shared" si="74"/>
        <v>0</v>
      </c>
      <c r="BA212" s="576">
        <f t="shared" si="74"/>
        <v>0</v>
      </c>
      <c r="BB212" s="576">
        <f t="shared" si="74"/>
        <v>0</v>
      </c>
      <c r="BC212" s="577">
        <f t="shared" si="74"/>
        <v>0</v>
      </c>
      <c r="BD212" s="576">
        <f t="shared" si="74"/>
        <v>0</v>
      </c>
      <c r="BE212" s="576">
        <f t="shared" si="74"/>
        <v>0</v>
      </c>
      <c r="BF212" s="576">
        <f t="shared" si="77"/>
        <v>0</v>
      </c>
      <c r="BG212" s="576">
        <f t="shared" si="77"/>
        <v>0</v>
      </c>
      <c r="BH212" s="576">
        <f t="shared" si="74"/>
        <v>0</v>
      </c>
      <c r="BI212" s="576">
        <f t="shared" si="74"/>
        <v>0</v>
      </c>
      <c r="BJ212" s="576">
        <f t="shared" si="74"/>
        <v>0</v>
      </c>
      <c r="BK212" s="576">
        <f t="shared" si="74"/>
        <v>0</v>
      </c>
      <c r="BL212" s="576">
        <f t="shared" si="74"/>
        <v>0</v>
      </c>
      <c r="BM212" s="576">
        <f t="shared" si="74"/>
        <v>0</v>
      </c>
      <c r="BN212" s="576">
        <f t="shared" si="74"/>
        <v>0</v>
      </c>
      <c r="BO212" s="576">
        <f t="shared" si="74"/>
        <v>0</v>
      </c>
      <c r="BP212" s="576">
        <f t="shared" si="74"/>
        <v>0</v>
      </c>
      <c r="BQ212" s="576">
        <f t="shared" si="74"/>
        <v>0</v>
      </c>
      <c r="BR212" s="576">
        <f t="shared" si="74"/>
        <v>0</v>
      </c>
      <c r="BS212" s="576">
        <f t="shared" si="74"/>
        <v>0</v>
      </c>
    </row>
    <row r="213" spans="1:71" s="202" customFormat="1" ht="13.15">
      <c r="A213" s="453"/>
      <c r="B213" s="453"/>
      <c r="C213" s="453"/>
      <c r="D213" s="453"/>
      <c r="E213" s="453" t="s">
        <v>1262</v>
      </c>
      <c r="F213" s="453"/>
      <c r="G213" s="618" t="str">
        <f>InpCompany!$F$11</f>
        <v>£m (2017-18 prices)</v>
      </c>
      <c r="H213" s="625">
        <f t="shared" si="73"/>
        <v>-1.2862200000000001</v>
      </c>
      <c r="I213" s="626"/>
      <c r="J213" s="576">
        <f t="shared" si="74"/>
        <v>0</v>
      </c>
      <c r="K213" s="576">
        <f t="shared" si="74"/>
        <v>0</v>
      </c>
      <c r="L213" s="576">
        <f t="shared" si="74"/>
        <v>0</v>
      </c>
      <c r="M213" s="576">
        <f t="shared" si="75"/>
        <v>0</v>
      </c>
      <c r="N213" s="576">
        <f t="shared" si="74"/>
        <v>0</v>
      </c>
      <c r="O213" s="576">
        <f t="shared" si="76"/>
        <v>0</v>
      </c>
      <c r="P213" s="576">
        <f t="shared" si="74"/>
        <v>0</v>
      </c>
      <c r="Q213" s="577">
        <f t="shared" si="74"/>
        <v>0</v>
      </c>
      <c r="R213" s="576">
        <f t="shared" si="74"/>
        <v>0</v>
      </c>
      <c r="S213" s="576">
        <f t="shared" si="74"/>
        <v>0</v>
      </c>
      <c r="T213" s="576">
        <f t="shared" si="74"/>
        <v>0</v>
      </c>
      <c r="U213" s="576">
        <f t="shared" si="74"/>
        <v>0</v>
      </c>
      <c r="V213" s="576">
        <f t="shared" si="74"/>
        <v>0</v>
      </c>
      <c r="W213" s="576">
        <f t="shared" si="74"/>
        <v>0</v>
      </c>
      <c r="X213" s="576">
        <f t="shared" si="74"/>
        <v>0</v>
      </c>
      <c r="Y213" s="576">
        <f t="shared" si="74"/>
        <v>0</v>
      </c>
      <c r="Z213" s="576">
        <f t="shared" si="74"/>
        <v>0</v>
      </c>
      <c r="AA213" s="576">
        <f t="shared" si="74"/>
        <v>0</v>
      </c>
      <c r="AB213" s="576">
        <f t="shared" si="74"/>
        <v>0</v>
      </c>
      <c r="AC213" s="576">
        <f t="shared" si="74"/>
        <v>0</v>
      </c>
      <c r="AD213" s="576">
        <f t="shared" si="74"/>
        <v>0</v>
      </c>
      <c r="AE213" s="576">
        <f t="shared" si="74"/>
        <v>0</v>
      </c>
      <c r="AF213" s="576">
        <f t="shared" si="74"/>
        <v>0</v>
      </c>
      <c r="AG213" s="576">
        <f t="shared" si="74"/>
        <v>0</v>
      </c>
      <c r="AH213" s="576">
        <f t="shared" si="74"/>
        <v>0</v>
      </c>
      <c r="AI213" s="576">
        <f t="shared" si="74"/>
        <v>0</v>
      </c>
      <c r="AJ213" s="576">
        <f t="shared" si="74"/>
        <v>0</v>
      </c>
      <c r="AK213" s="577">
        <f t="shared" si="74"/>
        <v>0</v>
      </c>
      <c r="AL213" s="576">
        <f t="shared" si="74"/>
        <v>0</v>
      </c>
      <c r="AM213" s="576">
        <f t="shared" si="74"/>
        <v>0</v>
      </c>
      <c r="AN213" s="576">
        <f t="shared" si="74"/>
        <v>0</v>
      </c>
      <c r="AO213" s="577">
        <f t="shared" si="74"/>
        <v>0</v>
      </c>
      <c r="AP213" s="576">
        <f t="shared" si="74"/>
        <v>0</v>
      </c>
      <c r="AQ213" s="576">
        <f t="shared" si="74"/>
        <v>-1.2862200000000001</v>
      </c>
      <c r="AR213" s="576">
        <f t="shared" si="74"/>
        <v>0</v>
      </c>
      <c r="AS213" s="576">
        <f t="shared" si="74"/>
        <v>0</v>
      </c>
      <c r="AT213" s="576">
        <f t="shared" si="74"/>
        <v>0</v>
      </c>
      <c r="AU213" s="576">
        <f t="shared" si="74"/>
        <v>0</v>
      </c>
      <c r="AV213" s="576">
        <f t="shared" si="74"/>
        <v>0</v>
      </c>
      <c r="AW213" s="576">
        <f t="shared" si="74"/>
        <v>0</v>
      </c>
      <c r="AX213" s="576">
        <f t="shared" si="74"/>
        <v>0</v>
      </c>
      <c r="AY213" s="576">
        <f t="shared" si="74"/>
        <v>0</v>
      </c>
      <c r="AZ213" s="576">
        <f t="shared" si="74"/>
        <v>0</v>
      </c>
      <c r="BA213" s="576">
        <f t="shared" si="74"/>
        <v>0</v>
      </c>
      <c r="BB213" s="576">
        <f t="shared" si="74"/>
        <v>0</v>
      </c>
      <c r="BC213" s="577">
        <f t="shared" si="74"/>
        <v>0</v>
      </c>
      <c r="BD213" s="576">
        <f t="shared" si="74"/>
        <v>0</v>
      </c>
      <c r="BE213" s="576">
        <f t="shared" si="74"/>
        <v>0</v>
      </c>
      <c r="BF213" s="576">
        <f t="shared" si="77"/>
        <v>0</v>
      </c>
      <c r="BG213" s="576">
        <f t="shared" si="77"/>
        <v>0</v>
      </c>
      <c r="BH213" s="576">
        <f t="shared" si="74"/>
        <v>0</v>
      </c>
      <c r="BI213" s="576">
        <f t="shared" si="74"/>
        <v>0</v>
      </c>
      <c r="BJ213" s="576">
        <f t="shared" si="74"/>
        <v>0</v>
      </c>
      <c r="BK213" s="576">
        <f t="shared" si="74"/>
        <v>0</v>
      </c>
      <c r="BL213" s="576">
        <f t="shared" si="74"/>
        <v>0</v>
      </c>
      <c r="BM213" s="576">
        <f t="shared" si="74"/>
        <v>0</v>
      </c>
      <c r="BN213" s="576">
        <f t="shared" si="74"/>
        <v>0</v>
      </c>
      <c r="BO213" s="576">
        <f t="shared" si="74"/>
        <v>0</v>
      </c>
      <c r="BP213" s="576">
        <f t="shared" si="74"/>
        <v>0</v>
      </c>
      <c r="BQ213" s="576">
        <f t="shared" si="74"/>
        <v>0</v>
      </c>
      <c r="BR213" s="576">
        <f t="shared" si="74"/>
        <v>0</v>
      </c>
      <c r="BS213" s="576">
        <f t="shared" si="74"/>
        <v>0</v>
      </c>
    </row>
    <row r="214" spans="1:71" s="202" customFormat="1" ht="13.15">
      <c r="A214" s="453"/>
      <c r="B214" s="453"/>
      <c r="C214" s="453"/>
      <c r="D214" s="453"/>
      <c r="E214" s="453" t="s">
        <v>1263</v>
      </c>
      <c r="F214" s="453"/>
      <c r="G214" s="618" t="str">
        <f>InpCompany!$F$11</f>
        <v>£m (2017-18 prices)</v>
      </c>
      <c r="H214" s="625">
        <f t="shared" si="73"/>
        <v>-0.6</v>
      </c>
      <c r="I214" s="626"/>
      <c r="J214" s="576">
        <f t="shared" si="74"/>
        <v>0</v>
      </c>
      <c r="K214" s="576">
        <f t="shared" si="74"/>
        <v>0</v>
      </c>
      <c r="L214" s="576">
        <f t="shared" si="74"/>
        <v>0</v>
      </c>
      <c r="M214" s="576">
        <f t="shared" si="75"/>
        <v>0</v>
      </c>
      <c r="N214" s="576">
        <f t="shared" si="74"/>
        <v>0</v>
      </c>
      <c r="O214" s="576">
        <f t="shared" si="76"/>
        <v>0</v>
      </c>
      <c r="P214" s="576">
        <f t="shared" si="74"/>
        <v>0</v>
      </c>
      <c r="Q214" s="577">
        <f t="shared" si="74"/>
        <v>0</v>
      </c>
      <c r="R214" s="576">
        <f t="shared" si="74"/>
        <v>0</v>
      </c>
      <c r="S214" s="576">
        <f t="shared" si="74"/>
        <v>0</v>
      </c>
      <c r="T214" s="576">
        <f t="shared" si="74"/>
        <v>0</v>
      </c>
      <c r="U214" s="576">
        <f t="shared" si="74"/>
        <v>0</v>
      </c>
      <c r="V214" s="576">
        <f t="shared" si="74"/>
        <v>-0.6</v>
      </c>
      <c r="W214" s="576">
        <f t="shared" si="74"/>
        <v>0</v>
      </c>
      <c r="X214" s="576">
        <f t="shared" si="74"/>
        <v>0</v>
      </c>
      <c r="Y214" s="576">
        <f t="shared" si="74"/>
        <v>0</v>
      </c>
      <c r="Z214" s="576">
        <f t="shared" si="74"/>
        <v>0</v>
      </c>
      <c r="AA214" s="576">
        <f t="shared" ref="AA214:BS214" si="78">AA$179*AA196</f>
        <v>0</v>
      </c>
      <c r="AB214" s="576">
        <f t="shared" si="78"/>
        <v>0</v>
      </c>
      <c r="AC214" s="576">
        <f t="shared" si="78"/>
        <v>0</v>
      </c>
      <c r="AD214" s="576">
        <f t="shared" si="78"/>
        <v>0</v>
      </c>
      <c r="AE214" s="576">
        <f t="shared" si="78"/>
        <v>0</v>
      </c>
      <c r="AF214" s="576">
        <f t="shared" si="78"/>
        <v>0</v>
      </c>
      <c r="AG214" s="576">
        <f t="shared" si="78"/>
        <v>0</v>
      </c>
      <c r="AH214" s="576">
        <f t="shared" si="78"/>
        <v>0</v>
      </c>
      <c r="AI214" s="576">
        <f t="shared" si="78"/>
        <v>0</v>
      </c>
      <c r="AJ214" s="576">
        <f t="shared" si="78"/>
        <v>0</v>
      </c>
      <c r="AK214" s="577">
        <f t="shared" si="78"/>
        <v>0</v>
      </c>
      <c r="AL214" s="576">
        <f t="shared" si="78"/>
        <v>0</v>
      </c>
      <c r="AM214" s="576">
        <f t="shared" si="78"/>
        <v>0</v>
      </c>
      <c r="AN214" s="576">
        <f t="shared" si="78"/>
        <v>0</v>
      </c>
      <c r="AO214" s="577">
        <f t="shared" si="78"/>
        <v>0</v>
      </c>
      <c r="AP214" s="576">
        <f t="shared" si="78"/>
        <v>0</v>
      </c>
      <c r="AQ214" s="576">
        <f t="shared" si="78"/>
        <v>0</v>
      </c>
      <c r="AR214" s="576">
        <f t="shared" si="78"/>
        <v>0</v>
      </c>
      <c r="AS214" s="576">
        <f t="shared" si="78"/>
        <v>0</v>
      </c>
      <c r="AT214" s="576">
        <f t="shared" si="78"/>
        <v>0</v>
      </c>
      <c r="AU214" s="576">
        <f t="shared" si="78"/>
        <v>0</v>
      </c>
      <c r="AV214" s="576">
        <f t="shared" si="78"/>
        <v>0</v>
      </c>
      <c r="AW214" s="576">
        <f t="shared" si="78"/>
        <v>0</v>
      </c>
      <c r="AX214" s="576">
        <f t="shared" si="78"/>
        <v>0</v>
      </c>
      <c r="AY214" s="576">
        <f t="shared" si="78"/>
        <v>0</v>
      </c>
      <c r="AZ214" s="576">
        <f t="shared" si="78"/>
        <v>0</v>
      </c>
      <c r="BA214" s="576">
        <f t="shared" si="78"/>
        <v>0</v>
      </c>
      <c r="BB214" s="576">
        <f t="shared" si="78"/>
        <v>0</v>
      </c>
      <c r="BC214" s="577">
        <f t="shared" si="78"/>
        <v>0</v>
      </c>
      <c r="BD214" s="576">
        <f t="shared" si="78"/>
        <v>0</v>
      </c>
      <c r="BE214" s="576">
        <f t="shared" si="78"/>
        <v>0</v>
      </c>
      <c r="BF214" s="576">
        <f t="shared" si="77"/>
        <v>0</v>
      </c>
      <c r="BG214" s="576">
        <f t="shared" si="77"/>
        <v>0</v>
      </c>
      <c r="BH214" s="576">
        <f t="shared" si="78"/>
        <v>0</v>
      </c>
      <c r="BI214" s="576">
        <f t="shared" si="78"/>
        <v>0</v>
      </c>
      <c r="BJ214" s="576">
        <f t="shared" si="78"/>
        <v>0</v>
      </c>
      <c r="BK214" s="576">
        <f t="shared" si="78"/>
        <v>0</v>
      </c>
      <c r="BL214" s="576">
        <f t="shared" si="78"/>
        <v>0</v>
      </c>
      <c r="BM214" s="576">
        <f t="shared" si="78"/>
        <v>0</v>
      </c>
      <c r="BN214" s="576">
        <f t="shared" si="78"/>
        <v>0</v>
      </c>
      <c r="BO214" s="576">
        <f t="shared" si="78"/>
        <v>0</v>
      </c>
      <c r="BP214" s="576">
        <f t="shared" si="78"/>
        <v>0</v>
      </c>
      <c r="BQ214" s="576">
        <f t="shared" si="78"/>
        <v>0</v>
      </c>
      <c r="BR214" s="576">
        <f t="shared" si="78"/>
        <v>0</v>
      </c>
      <c r="BS214" s="576">
        <f t="shared" si="78"/>
        <v>0</v>
      </c>
    </row>
    <row r="215" spans="1:71" s="202" customFormat="1" ht="13.15">
      <c r="A215" s="453"/>
      <c r="B215" s="453"/>
      <c r="C215" s="453"/>
      <c r="D215" s="453"/>
      <c r="E215" s="453" t="s">
        <v>1264</v>
      </c>
      <c r="F215" s="453"/>
      <c r="G215" s="618" t="str">
        <f>InpCompany!$F$11</f>
        <v>£m (2017-18 prices)</v>
      </c>
      <c r="H215" s="625">
        <f t="shared" si="73"/>
        <v>0</v>
      </c>
      <c r="I215" s="626"/>
      <c r="J215" s="576">
        <f t="shared" ref="J215:BS216" si="79">J$179*J197</f>
        <v>0</v>
      </c>
      <c r="K215" s="576">
        <f t="shared" si="79"/>
        <v>0</v>
      </c>
      <c r="L215" s="576">
        <f t="shared" si="79"/>
        <v>0</v>
      </c>
      <c r="M215" s="576">
        <f t="shared" si="75"/>
        <v>0</v>
      </c>
      <c r="N215" s="576">
        <f t="shared" si="79"/>
        <v>0</v>
      </c>
      <c r="O215" s="576">
        <f t="shared" si="76"/>
        <v>0</v>
      </c>
      <c r="P215" s="576">
        <f t="shared" si="79"/>
        <v>0</v>
      </c>
      <c r="Q215" s="577">
        <f t="shared" si="79"/>
        <v>0</v>
      </c>
      <c r="R215" s="576">
        <f t="shared" si="79"/>
        <v>0</v>
      </c>
      <c r="S215" s="576">
        <f t="shared" si="79"/>
        <v>0</v>
      </c>
      <c r="T215" s="576">
        <f t="shared" si="79"/>
        <v>0</v>
      </c>
      <c r="U215" s="576">
        <f t="shared" si="79"/>
        <v>0</v>
      </c>
      <c r="V215" s="576">
        <f t="shared" si="79"/>
        <v>0</v>
      </c>
      <c r="W215" s="576">
        <f t="shared" si="79"/>
        <v>0</v>
      </c>
      <c r="X215" s="576">
        <f t="shared" si="79"/>
        <v>0</v>
      </c>
      <c r="Y215" s="576">
        <f t="shared" si="79"/>
        <v>0</v>
      </c>
      <c r="Z215" s="576">
        <f t="shared" si="79"/>
        <v>0</v>
      </c>
      <c r="AA215" s="576">
        <f t="shared" si="79"/>
        <v>0</v>
      </c>
      <c r="AB215" s="576">
        <f t="shared" si="79"/>
        <v>0</v>
      </c>
      <c r="AC215" s="576">
        <f t="shared" si="79"/>
        <v>0</v>
      </c>
      <c r="AD215" s="576">
        <f t="shared" si="79"/>
        <v>0</v>
      </c>
      <c r="AE215" s="576">
        <f t="shared" si="79"/>
        <v>0</v>
      </c>
      <c r="AF215" s="576">
        <f t="shared" si="79"/>
        <v>0</v>
      </c>
      <c r="AG215" s="576">
        <f t="shared" si="79"/>
        <v>0</v>
      </c>
      <c r="AH215" s="576">
        <f t="shared" si="79"/>
        <v>0</v>
      </c>
      <c r="AI215" s="576">
        <f t="shared" si="79"/>
        <v>0</v>
      </c>
      <c r="AJ215" s="576">
        <f t="shared" si="79"/>
        <v>0</v>
      </c>
      <c r="AK215" s="577">
        <f t="shared" si="79"/>
        <v>0</v>
      </c>
      <c r="AL215" s="576">
        <f t="shared" si="79"/>
        <v>0</v>
      </c>
      <c r="AM215" s="576">
        <f t="shared" si="79"/>
        <v>0</v>
      </c>
      <c r="AN215" s="576">
        <f t="shared" si="79"/>
        <v>0</v>
      </c>
      <c r="AO215" s="577">
        <f t="shared" si="79"/>
        <v>0</v>
      </c>
      <c r="AP215" s="576">
        <f t="shared" si="79"/>
        <v>0</v>
      </c>
      <c r="AQ215" s="576">
        <f t="shared" si="79"/>
        <v>0</v>
      </c>
      <c r="AR215" s="576">
        <f t="shared" si="79"/>
        <v>0</v>
      </c>
      <c r="AS215" s="576">
        <f t="shared" si="79"/>
        <v>0</v>
      </c>
      <c r="AT215" s="576">
        <f t="shared" si="79"/>
        <v>0</v>
      </c>
      <c r="AU215" s="576">
        <f t="shared" si="79"/>
        <v>0</v>
      </c>
      <c r="AV215" s="576">
        <f t="shared" si="79"/>
        <v>0</v>
      </c>
      <c r="AW215" s="576">
        <f t="shared" si="79"/>
        <v>0</v>
      </c>
      <c r="AX215" s="576">
        <f t="shared" si="79"/>
        <v>0</v>
      </c>
      <c r="AY215" s="576">
        <f t="shared" si="79"/>
        <v>0</v>
      </c>
      <c r="AZ215" s="576">
        <f t="shared" si="79"/>
        <v>0</v>
      </c>
      <c r="BA215" s="576">
        <f t="shared" si="79"/>
        <v>0</v>
      </c>
      <c r="BB215" s="576">
        <f t="shared" si="79"/>
        <v>0</v>
      </c>
      <c r="BC215" s="577">
        <f t="shared" si="79"/>
        <v>0</v>
      </c>
      <c r="BD215" s="576">
        <f t="shared" si="79"/>
        <v>0</v>
      </c>
      <c r="BE215" s="576">
        <f t="shared" si="79"/>
        <v>0</v>
      </c>
      <c r="BF215" s="576">
        <f t="shared" si="77"/>
        <v>0</v>
      </c>
      <c r="BG215" s="576">
        <f t="shared" si="77"/>
        <v>0</v>
      </c>
      <c r="BH215" s="576">
        <f t="shared" si="79"/>
        <v>0</v>
      </c>
      <c r="BI215" s="576">
        <f t="shared" si="79"/>
        <v>0</v>
      </c>
      <c r="BJ215" s="576">
        <f t="shared" si="79"/>
        <v>0</v>
      </c>
      <c r="BK215" s="576">
        <f t="shared" si="79"/>
        <v>0</v>
      </c>
      <c r="BL215" s="576">
        <f t="shared" si="79"/>
        <v>0</v>
      </c>
      <c r="BM215" s="576">
        <f t="shared" si="79"/>
        <v>0</v>
      </c>
      <c r="BN215" s="576">
        <f t="shared" si="79"/>
        <v>0</v>
      </c>
      <c r="BO215" s="576">
        <f t="shared" si="79"/>
        <v>0</v>
      </c>
      <c r="BP215" s="576">
        <f t="shared" si="79"/>
        <v>0</v>
      </c>
      <c r="BQ215" s="576">
        <f t="shared" si="79"/>
        <v>0</v>
      </c>
      <c r="BR215" s="576">
        <f t="shared" si="79"/>
        <v>0</v>
      </c>
      <c r="BS215" s="576">
        <f t="shared" si="79"/>
        <v>0</v>
      </c>
    </row>
    <row r="216" spans="1:71" s="202" customFormat="1" ht="13.15">
      <c r="A216" s="453"/>
      <c r="B216" s="453"/>
      <c r="C216" s="453"/>
      <c r="D216" s="453"/>
      <c r="E216" s="453" t="s">
        <v>1265</v>
      </c>
      <c r="F216" s="453"/>
      <c r="G216" s="618" t="str">
        <f>InpCompany!$F$11</f>
        <v>£m (2017-18 prices)</v>
      </c>
      <c r="H216" s="625">
        <f t="shared" si="73"/>
        <v>0</v>
      </c>
      <c r="I216" s="626"/>
      <c r="J216" s="576">
        <f t="shared" si="79"/>
        <v>0</v>
      </c>
      <c r="K216" s="576">
        <f t="shared" si="79"/>
        <v>0</v>
      </c>
      <c r="L216" s="576">
        <f t="shared" si="79"/>
        <v>0</v>
      </c>
      <c r="M216" s="576">
        <f t="shared" si="75"/>
        <v>0</v>
      </c>
      <c r="N216" s="576">
        <f t="shared" si="79"/>
        <v>0</v>
      </c>
      <c r="O216" s="576">
        <f t="shared" si="76"/>
        <v>0</v>
      </c>
      <c r="P216" s="576">
        <f t="shared" si="79"/>
        <v>0</v>
      </c>
      <c r="Q216" s="577">
        <f t="shared" si="79"/>
        <v>0</v>
      </c>
      <c r="R216" s="576">
        <f t="shared" si="79"/>
        <v>0</v>
      </c>
      <c r="S216" s="576">
        <f t="shared" si="79"/>
        <v>0</v>
      </c>
      <c r="T216" s="576">
        <f t="shared" si="79"/>
        <v>0</v>
      </c>
      <c r="U216" s="576">
        <f t="shared" si="79"/>
        <v>0</v>
      </c>
      <c r="V216" s="576">
        <f t="shared" si="79"/>
        <v>0</v>
      </c>
      <c r="W216" s="576">
        <f t="shared" si="79"/>
        <v>0</v>
      </c>
      <c r="X216" s="576">
        <f t="shared" si="79"/>
        <v>0</v>
      </c>
      <c r="Y216" s="576">
        <f t="shared" si="79"/>
        <v>0</v>
      </c>
      <c r="Z216" s="576">
        <f t="shared" si="79"/>
        <v>0</v>
      </c>
      <c r="AA216" s="576">
        <f t="shared" si="79"/>
        <v>0</v>
      </c>
      <c r="AB216" s="576">
        <f t="shared" si="79"/>
        <v>0</v>
      </c>
      <c r="AC216" s="576">
        <f t="shared" si="79"/>
        <v>0</v>
      </c>
      <c r="AD216" s="576">
        <f t="shared" si="79"/>
        <v>0</v>
      </c>
      <c r="AE216" s="576">
        <f t="shared" si="79"/>
        <v>0</v>
      </c>
      <c r="AF216" s="576">
        <f t="shared" si="79"/>
        <v>0</v>
      </c>
      <c r="AG216" s="576">
        <f t="shared" si="79"/>
        <v>0</v>
      </c>
      <c r="AH216" s="576">
        <f t="shared" si="79"/>
        <v>0</v>
      </c>
      <c r="AI216" s="576">
        <f t="shared" si="79"/>
        <v>0</v>
      </c>
      <c r="AJ216" s="576">
        <f t="shared" si="79"/>
        <v>0</v>
      </c>
      <c r="AK216" s="577">
        <f t="shared" si="79"/>
        <v>0</v>
      </c>
      <c r="AL216" s="576">
        <f t="shared" si="79"/>
        <v>0</v>
      </c>
      <c r="AM216" s="576">
        <f t="shared" si="79"/>
        <v>0</v>
      </c>
      <c r="AN216" s="576">
        <f t="shared" si="79"/>
        <v>0</v>
      </c>
      <c r="AO216" s="577">
        <f t="shared" si="79"/>
        <v>0</v>
      </c>
      <c r="AP216" s="576">
        <f t="shared" si="79"/>
        <v>0</v>
      </c>
      <c r="AQ216" s="576">
        <f t="shared" si="79"/>
        <v>0</v>
      </c>
      <c r="AR216" s="576">
        <f t="shared" si="79"/>
        <v>0</v>
      </c>
      <c r="AS216" s="576">
        <f t="shared" si="79"/>
        <v>0</v>
      </c>
      <c r="AT216" s="576">
        <f t="shared" si="79"/>
        <v>0</v>
      </c>
      <c r="AU216" s="576">
        <f t="shared" si="79"/>
        <v>0</v>
      </c>
      <c r="AV216" s="576">
        <f t="shared" si="79"/>
        <v>0</v>
      </c>
      <c r="AW216" s="576">
        <f t="shared" si="79"/>
        <v>0</v>
      </c>
      <c r="AX216" s="576">
        <f t="shared" si="79"/>
        <v>0</v>
      </c>
      <c r="AY216" s="576">
        <f t="shared" si="79"/>
        <v>0</v>
      </c>
      <c r="AZ216" s="576">
        <f t="shared" si="79"/>
        <v>0</v>
      </c>
      <c r="BA216" s="576">
        <f t="shared" si="79"/>
        <v>0</v>
      </c>
      <c r="BB216" s="576">
        <f t="shared" si="79"/>
        <v>0</v>
      </c>
      <c r="BC216" s="577">
        <f t="shared" si="79"/>
        <v>0</v>
      </c>
      <c r="BD216" s="576">
        <f t="shared" si="79"/>
        <v>0</v>
      </c>
      <c r="BE216" s="576">
        <f t="shared" si="79"/>
        <v>0</v>
      </c>
      <c r="BF216" s="576">
        <f t="shared" si="77"/>
        <v>0</v>
      </c>
      <c r="BG216" s="576">
        <f t="shared" si="77"/>
        <v>0</v>
      </c>
      <c r="BH216" s="576">
        <f t="shared" si="79"/>
        <v>0</v>
      </c>
      <c r="BI216" s="576">
        <f t="shared" si="79"/>
        <v>0</v>
      </c>
      <c r="BJ216" s="576">
        <f t="shared" si="79"/>
        <v>0</v>
      </c>
      <c r="BK216" s="576">
        <f t="shared" si="79"/>
        <v>0</v>
      </c>
      <c r="BL216" s="576">
        <f t="shared" si="79"/>
        <v>0</v>
      </c>
      <c r="BM216" s="576">
        <f t="shared" si="79"/>
        <v>0</v>
      </c>
      <c r="BN216" s="576">
        <f t="shared" si="79"/>
        <v>0</v>
      </c>
      <c r="BO216" s="576">
        <f t="shared" si="79"/>
        <v>0</v>
      </c>
      <c r="BP216" s="576">
        <f t="shared" si="79"/>
        <v>0</v>
      </c>
      <c r="BQ216" s="576">
        <f t="shared" si="79"/>
        <v>0</v>
      </c>
      <c r="BR216" s="576">
        <f t="shared" si="79"/>
        <v>0</v>
      </c>
      <c r="BS216" s="576">
        <f t="shared" si="79"/>
        <v>0</v>
      </c>
    </row>
    <row r="217" spans="1:71" s="202" customFormat="1" ht="13.15">
      <c r="A217" s="453"/>
      <c r="B217" s="453"/>
      <c r="C217" s="453"/>
      <c r="D217" s="453"/>
      <c r="E217" s="453"/>
      <c r="F217" s="453"/>
      <c r="G217" s="453"/>
      <c r="H217" s="625"/>
      <c r="I217" s="626"/>
      <c r="J217" s="576"/>
      <c r="K217" s="576"/>
      <c r="L217" s="576"/>
      <c r="M217" s="576"/>
      <c r="N217" s="576"/>
      <c r="O217" s="576"/>
      <c r="P217" s="576"/>
      <c r="Q217" s="577"/>
      <c r="R217" s="576"/>
      <c r="S217" s="576"/>
      <c r="T217" s="576"/>
      <c r="U217" s="576"/>
      <c r="V217" s="576"/>
      <c r="W217" s="576"/>
      <c r="X217" s="576"/>
      <c r="Y217" s="576"/>
      <c r="Z217" s="576"/>
      <c r="AA217" s="576"/>
      <c r="AB217" s="576"/>
      <c r="AC217" s="576"/>
      <c r="AD217" s="576"/>
      <c r="AE217" s="576"/>
      <c r="AF217" s="576"/>
      <c r="AG217" s="576"/>
      <c r="AH217" s="576"/>
      <c r="AI217" s="576"/>
      <c r="AJ217" s="576"/>
      <c r="AK217" s="577"/>
      <c r="AL217" s="576"/>
      <c r="AM217" s="576"/>
      <c r="AN217" s="576"/>
      <c r="AO217" s="577"/>
      <c r="AP217" s="576"/>
      <c r="AQ217" s="576"/>
      <c r="AR217" s="576"/>
      <c r="AS217" s="576"/>
      <c r="AT217" s="576"/>
      <c r="AU217" s="576"/>
      <c r="AV217" s="576"/>
      <c r="AW217" s="576"/>
      <c r="AX217" s="576"/>
      <c r="AY217" s="576"/>
      <c r="AZ217" s="576"/>
      <c r="BA217" s="576"/>
      <c r="BB217" s="576"/>
      <c r="BC217" s="577"/>
      <c r="BD217" s="576"/>
      <c r="BE217" s="576"/>
      <c r="BF217" s="576"/>
      <c r="BG217" s="576"/>
      <c r="BH217" s="576"/>
      <c r="BI217" s="576"/>
      <c r="BJ217" s="576"/>
      <c r="BK217" s="576"/>
      <c r="BL217" s="576"/>
      <c r="BM217" s="576"/>
      <c r="BN217" s="576"/>
      <c r="BO217" s="576"/>
      <c r="BP217" s="576"/>
      <c r="BQ217" s="576"/>
      <c r="BR217" s="576"/>
      <c r="BS217" s="576"/>
    </row>
    <row r="218" spans="1:71" s="202" customFormat="1" ht="13.15">
      <c r="A218" s="453"/>
      <c r="B218" s="453"/>
      <c r="C218" s="453"/>
      <c r="D218" s="463" t="s">
        <v>1248</v>
      </c>
      <c r="E218" s="463"/>
      <c r="F218" s="463"/>
      <c r="G218" s="463"/>
      <c r="H218" s="627"/>
      <c r="I218" s="628"/>
      <c r="J218" s="576"/>
      <c r="K218" s="576"/>
      <c r="L218" s="576"/>
      <c r="M218" s="576"/>
      <c r="N218" s="576"/>
      <c r="O218" s="576"/>
      <c r="P218" s="576"/>
      <c r="Q218" s="577"/>
      <c r="R218" s="576"/>
      <c r="S218" s="576"/>
      <c r="T218" s="576"/>
      <c r="U218" s="576"/>
      <c r="V218" s="576"/>
      <c r="W218" s="576"/>
      <c r="X218" s="576"/>
      <c r="Y218" s="576"/>
      <c r="Z218" s="576"/>
      <c r="AA218" s="576"/>
      <c r="AB218" s="576"/>
      <c r="AC218" s="576"/>
      <c r="AD218" s="576"/>
      <c r="AE218" s="576"/>
      <c r="AF218" s="576"/>
      <c r="AG218" s="576"/>
      <c r="AH218" s="576"/>
      <c r="AI218" s="576"/>
      <c r="AJ218" s="576"/>
      <c r="AK218" s="577"/>
      <c r="AL218" s="576"/>
      <c r="AM218" s="576"/>
      <c r="AN218" s="576"/>
      <c r="AO218" s="577"/>
      <c r="AP218" s="576"/>
      <c r="AQ218" s="576"/>
      <c r="AR218" s="576"/>
      <c r="AS218" s="576"/>
      <c r="AT218" s="576"/>
      <c r="AU218" s="576"/>
      <c r="AV218" s="576"/>
      <c r="AW218" s="576"/>
      <c r="AX218" s="576"/>
      <c r="AY218" s="576"/>
      <c r="AZ218" s="576"/>
      <c r="BA218" s="576"/>
      <c r="BB218" s="576"/>
      <c r="BC218" s="577"/>
      <c r="BD218" s="576"/>
      <c r="BE218" s="576"/>
      <c r="BF218" s="576"/>
      <c r="BG218" s="576"/>
      <c r="BH218" s="576"/>
      <c r="BI218" s="576"/>
      <c r="BJ218" s="576"/>
      <c r="BK218" s="576"/>
      <c r="BL218" s="576"/>
      <c r="BM218" s="576"/>
      <c r="BN218" s="576"/>
      <c r="BO218" s="576"/>
      <c r="BP218" s="576"/>
      <c r="BQ218" s="576"/>
      <c r="BR218" s="576"/>
      <c r="BS218" s="576"/>
    </row>
    <row r="219" spans="1:71" s="202" customFormat="1" ht="13.15">
      <c r="A219" s="453"/>
      <c r="B219" s="453"/>
      <c r="C219" s="453"/>
      <c r="D219" s="453"/>
      <c r="E219" s="453" t="s">
        <v>1266</v>
      </c>
      <c r="F219" s="453"/>
      <c r="G219" s="618" t="str">
        <f>InpCompany!$F$11</f>
        <v>£m (2017-18 prices)</v>
      </c>
      <c r="H219" s="625">
        <f t="shared" ref="H219:H225" si="80">SUM(J219:BS219)</f>
        <v>0.51100000000000001</v>
      </c>
      <c r="I219" s="626"/>
      <c r="J219" s="576">
        <f t="shared" ref="J219:BS223" si="81">J$185*J192</f>
        <v>0</v>
      </c>
      <c r="K219" s="576">
        <f t="shared" si="81"/>
        <v>0</v>
      </c>
      <c r="L219" s="576">
        <f t="shared" si="81"/>
        <v>0</v>
      </c>
      <c r="M219" s="576">
        <f t="shared" ref="M219:M225" si="82">M$185*M192</f>
        <v>0</v>
      </c>
      <c r="N219" s="696">
        <f t="shared" si="81"/>
        <v>0</v>
      </c>
      <c r="O219" s="576">
        <f t="shared" ref="O219:O225" si="83">O$185*O192</f>
        <v>0</v>
      </c>
      <c r="P219" s="576">
        <f t="shared" si="81"/>
        <v>0</v>
      </c>
      <c r="Q219" s="577">
        <f t="shared" si="81"/>
        <v>0</v>
      </c>
      <c r="R219" s="576">
        <f t="shared" si="81"/>
        <v>0</v>
      </c>
      <c r="S219" s="576">
        <f t="shared" si="81"/>
        <v>0</v>
      </c>
      <c r="T219" s="576">
        <f t="shared" si="81"/>
        <v>0.51100000000000001</v>
      </c>
      <c r="U219" s="576">
        <f t="shared" si="81"/>
        <v>0</v>
      </c>
      <c r="V219" s="576">
        <f t="shared" si="81"/>
        <v>0</v>
      </c>
      <c r="W219" s="576">
        <f t="shared" si="81"/>
        <v>0</v>
      </c>
      <c r="X219" s="576">
        <f t="shared" si="81"/>
        <v>0</v>
      </c>
      <c r="Y219" s="576">
        <f t="shared" si="81"/>
        <v>0</v>
      </c>
      <c r="Z219" s="576">
        <f t="shared" si="81"/>
        <v>0</v>
      </c>
      <c r="AA219" s="576">
        <f t="shared" si="81"/>
        <v>0</v>
      </c>
      <c r="AB219" s="576">
        <f t="shared" si="81"/>
        <v>0</v>
      </c>
      <c r="AC219" s="576">
        <f t="shared" si="81"/>
        <v>0</v>
      </c>
      <c r="AD219" s="576">
        <f t="shared" si="81"/>
        <v>0</v>
      </c>
      <c r="AE219" s="576">
        <f t="shared" si="81"/>
        <v>0</v>
      </c>
      <c r="AF219" s="576">
        <f t="shared" si="81"/>
        <v>0</v>
      </c>
      <c r="AG219" s="576">
        <f t="shared" si="81"/>
        <v>0</v>
      </c>
      <c r="AH219" s="576">
        <f t="shared" si="81"/>
        <v>0</v>
      </c>
      <c r="AI219" s="576">
        <f t="shared" si="81"/>
        <v>0</v>
      </c>
      <c r="AJ219" s="576">
        <f t="shared" si="81"/>
        <v>0</v>
      </c>
      <c r="AK219" s="577">
        <f t="shared" si="81"/>
        <v>0</v>
      </c>
      <c r="AL219" s="576">
        <f t="shared" si="81"/>
        <v>0</v>
      </c>
      <c r="AM219" s="576">
        <f t="shared" si="81"/>
        <v>0</v>
      </c>
      <c r="AN219" s="576">
        <f t="shared" si="81"/>
        <v>0</v>
      </c>
      <c r="AO219" s="577">
        <f t="shared" si="81"/>
        <v>0</v>
      </c>
      <c r="AP219" s="576">
        <f t="shared" si="81"/>
        <v>0</v>
      </c>
      <c r="AQ219" s="576">
        <f t="shared" si="81"/>
        <v>0</v>
      </c>
      <c r="AR219" s="576">
        <f t="shared" si="81"/>
        <v>0</v>
      </c>
      <c r="AS219" s="576">
        <f t="shared" si="81"/>
        <v>0</v>
      </c>
      <c r="AT219" s="576">
        <f t="shared" si="81"/>
        <v>0</v>
      </c>
      <c r="AU219" s="576">
        <f t="shared" si="81"/>
        <v>0</v>
      </c>
      <c r="AV219" s="576">
        <f t="shared" si="81"/>
        <v>0</v>
      </c>
      <c r="AW219" s="576">
        <f t="shared" si="81"/>
        <v>0</v>
      </c>
      <c r="AX219" s="576">
        <f t="shared" si="81"/>
        <v>0</v>
      </c>
      <c r="AY219" s="576">
        <f t="shared" si="81"/>
        <v>0</v>
      </c>
      <c r="AZ219" s="576">
        <f t="shared" si="81"/>
        <v>0</v>
      </c>
      <c r="BA219" s="576">
        <f t="shared" si="81"/>
        <v>0</v>
      </c>
      <c r="BB219" s="576">
        <f t="shared" si="81"/>
        <v>0</v>
      </c>
      <c r="BC219" s="577">
        <f t="shared" si="81"/>
        <v>0</v>
      </c>
      <c r="BD219" s="576">
        <f t="shared" si="81"/>
        <v>0</v>
      </c>
      <c r="BE219" s="576">
        <f t="shared" si="81"/>
        <v>0</v>
      </c>
      <c r="BF219" s="576">
        <f t="shared" ref="BF219:BG225" si="84">BF$185*BF192</f>
        <v>0</v>
      </c>
      <c r="BG219" s="576">
        <f t="shared" si="84"/>
        <v>0</v>
      </c>
      <c r="BH219" s="576">
        <f t="shared" si="81"/>
        <v>0</v>
      </c>
      <c r="BI219" s="576">
        <f t="shared" si="81"/>
        <v>0</v>
      </c>
      <c r="BJ219" s="576">
        <f t="shared" si="81"/>
        <v>0</v>
      </c>
      <c r="BK219" s="576">
        <f t="shared" si="81"/>
        <v>0</v>
      </c>
      <c r="BL219" s="576">
        <f t="shared" si="81"/>
        <v>0</v>
      </c>
      <c r="BM219" s="576">
        <f t="shared" si="81"/>
        <v>0</v>
      </c>
      <c r="BN219" s="576">
        <f t="shared" si="81"/>
        <v>0</v>
      </c>
      <c r="BO219" s="576">
        <f t="shared" si="81"/>
        <v>0</v>
      </c>
      <c r="BP219" s="576">
        <f t="shared" si="81"/>
        <v>0</v>
      </c>
      <c r="BQ219" s="576">
        <f t="shared" si="81"/>
        <v>0</v>
      </c>
      <c r="BR219" s="576">
        <f t="shared" si="81"/>
        <v>0</v>
      </c>
      <c r="BS219" s="576">
        <f t="shared" si="81"/>
        <v>0</v>
      </c>
    </row>
    <row r="220" spans="1:71" s="202" customFormat="1" ht="13.15">
      <c r="A220" s="453"/>
      <c r="B220" s="453"/>
      <c r="C220" s="453"/>
      <c r="D220" s="453"/>
      <c r="E220" s="453" t="s">
        <v>1267</v>
      </c>
      <c r="F220" s="453"/>
      <c r="G220" s="618" t="str">
        <f>InpCompany!$F$11</f>
        <v>£m (2017-18 prices)</v>
      </c>
      <c r="H220" s="625">
        <f t="shared" si="80"/>
        <v>0</v>
      </c>
      <c r="I220" s="626"/>
      <c r="J220" s="576">
        <f t="shared" si="81"/>
        <v>0</v>
      </c>
      <c r="K220" s="576">
        <f t="shared" si="81"/>
        <v>0</v>
      </c>
      <c r="L220" s="576">
        <f t="shared" si="81"/>
        <v>0</v>
      </c>
      <c r="M220" s="576">
        <f t="shared" si="82"/>
        <v>0</v>
      </c>
      <c r="N220" s="576">
        <f t="shared" si="81"/>
        <v>0</v>
      </c>
      <c r="O220" s="576">
        <f t="shared" si="83"/>
        <v>0</v>
      </c>
      <c r="P220" s="576">
        <f t="shared" si="81"/>
        <v>0</v>
      </c>
      <c r="Q220" s="577">
        <f t="shared" si="81"/>
        <v>0</v>
      </c>
      <c r="R220" s="576">
        <f t="shared" si="81"/>
        <v>0</v>
      </c>
      <c r="S220" s="576">
        <f t="shared" si="81"/>
        <v>0</v>
      </c>
      <c r="T220" s="576">
        <f t="shared" si="81"/>
        <v>0</v>
      </c>
      <c r="U220" s="576">
        <f t="shared" si="81"/>
        <v>0</v>
      </c>
      <c r="V220" s="576">
        <f t="shared" si="81"/>
        <v>0</v>
      </c>
      <c r="W220" s="576">
        <f t="shared" si="81"/>
        <v>0</v>
      </c>
      <c r="X220" s="576">
        <f t="shared" si="81"/>
        <v>0</v>
      </c>
      <c r="Y220" s="576">
        <f t="shared" si="81"/>
        <v>0</v>
      </c>
      <c r="Z220" s="576">
        <f t="shared" si="81"/>
        <v>0</v>
      </c>
      <c r="AA220" s="576">
        <f t="shared" si="81"/>
        <v>0</v>
      </c>
      <c r="AB220" s="576">
        <f t="shared" si="81"/>
        <v>0</v>
      </c>
      <c r="AC220" s="576">
        <f t="shared" si="81"/>
        <v>0</v>
      </c>
      <c r="AD220" s="576">
        <f t="shared" si="81"/>
        <v>0</v>
      </c>
      <c r="AE220" s="576">
        <f t="shared" si="81"/>
        <v>0</v>
      </c>
      <c r="AF220" s="576">
        <f t="shared" si="81"/>
        <v>0</v>
      </c>
      <c r="AG220" s="576">
        <f t="shared" si="81"/>
        <v>0</v>
      </c>
      <c r="AH220" s="576">
        <f t="shared" si="81"/>
        <v>0</v>
      </c>
      <c r="AI220" s="576">
        <f t="shared" si="81"/>
        <v>0</v>
      </c>
      <c r="AJ220" s="576">
        <f t="shared" si="81"/>
        <v>0</v>
      </c>
      <c r="AK220" s="577">
        <f t="shared" si="81"/>
        <v>0</v>
      </c>
      <c r="AL220" s="576">
        <f t="shared" si="81"/>
        <v>0</v>
      </c>
      <c r="AM220" s="576">
        <f t="shared" si="81"/>
        <v>0</v>
      </c>
      <c r="AN220" s="576">
        <f t="shared" si="81"/>
        <v>0</v>
      </c>
      <c r="AO220" s="577">
        <f t="shared" si="81"/>
        <v>0</v>
      </c>
      <c r="AP220" s="576">
        <f t="shared" si="81"/>
        <v>0</v>
      </c>
      <c r="AQ220" s="576">
        <f t="shared" si="81"/>
        <v>0</v>
      </c>
      <c r="AR220" s="576">
        <f t="shared" si="81"/>
        <v>0</v>
      </c>
      <c r="AS220" s="576">
        <f t="shared" si="81"/>
        <v>0</v>
      </c>
      <c r="AT220" s="576">
        <f t="shared" si="81"/>
        <v>0</v>
      </c>
      <c r="AU220" s="576">
        <f t="shared" si="81"/>
        <v>0</v>
      </c>
      <c r="AV220" s="576">
        <f t="shared" si="81"/>
        <v>0</v>
      </c>
      <c r="AW220" s="576">
        <f t="shared" si="81"/>
        <v>0</v>
      </c>
      <c r="AX220" s="576">
        <f t="shared" si="81"/>
        <v>0</v>
      </c>
      <c r="AY220" s="576">
        <f t="shared" si="81"/>
        <v>0</v>
      </c>
      <c r="AZ220" s="576">
        <f t="shared" si="81"/>
        <v>0</v>
      </c>
      <c r="BA220" s="576">
        <f t="shared" si="81"/>
        <v>0</v>
      </c>
      <c r="BB220" s="576">
        <f t="shared" si="81"/>
        <v>0</v>
      </c>
      <c r="BC220" s="577">
        <f t="shared" si="81"/>
        <v>0</v>
      </c>
      <c r="BD220" s="576">
        <f t="shared" si="81"/>
        <v>0</v>
      </c>
      <c r="BE220" s="576">
        <f t="shared" si="81"/>
        <v>0</v>
      </c>
      <c r="BF220" s="576">
        <f t="shared" si="84"/>
        <v>0</v>
      </c>
      <c r="BG220" s="576">
        <f t="shared" si="84"/>
        <v>0</v>
      </c>
      <c r="BH220" s="576">
        <f t="shared" si="81"/>
        <v>0</v>
      </c>
      <c r="BI220" s="576">
        <f t="shared" si="81"/>
        <v>0</v>
      </c>
      <c r="BJ220" s="576">
        <f t="shared" si="81"/>
        <v>0</v>
      </c>
      <c r="BK220" s="576">
        <f t="shared" si="81"/>
        <v>0</v>
      </c>
      <c r="BL220" s="576">
        <f t="shared" si="81"/>
        <v>0</v>
      </c>
      <c r="BM220" s="576">
        <f t="shared" si="81"/>
        <v>0</v>
      </c>
      <c r="BN220" s="576">
        <f t="shared" si="81"/>
        <v>0</v>
      </c>
      <c r="BO220" s="576">
        <f t="shared" si="81"/>
        <v>0</v>
      </c>
      <c r="BP220" s="576">
        <f t="shared" si="81"/>
        <v>0</v>
      </c>
      <c r="BQ220" s="576">
        <f t="shared" si="81"/>
        <v>0</v>
      </c>
      <c r="BR220" s="576">
        <f t="shared" si="81"/>
        <v>0</v>
      </c>
      <c r="BS220" s="576">
        <f t="shared" si="81"/>
        <v>0</v>
      </c>
    </row>
    <row r="221" spans="1:71" s="202" customFormat="1" ht="13.15">
      <c r="A221" s="453"/>
      <c r="B221" s="453"/>
      <c r="C221" s="453"/>
      <c r="D221" s="453"/>
      <c r="E221" s="453" t="s">
        <v>1268</v>
      </c>
      <c r="F221" s="453"/>
      <c r="G221" s="618" t="str">
        <f>InpCompany!$F$11</f>
        <v>£m (2017-18 prices)</v>
      </c>
      <c r="H221" s="625">
        <f t="shared" si="80"/>
        <v>1.70299991</v>
      </c>
      <c r="I221" s="626"/>
      <c r="J221" s="576">
        <f t="shared" si="81"/>
        <v>0</v>
      </c>
      <c r="K221" s="576">
        <f t="shared" si="81"/>
        <v>0</v>
      </c>
      <c r="L221" s="576">
        <f t="shared" si="81"/>
        <v>0</v>
      </c>
      <c r="M221" s="576">
        <f t="shared" si="82"/>
        <v>0</v>
      </c>
      <c r="N221" s="576">
        <f t="shared" si="81"/>
        <v>0</v>
      </c>
      <c r="O221" s="576">
        <f t="shared" si="83"/>
        <v>0</v>
      </c>
      <c r="P221" s="576">
        <f t="shared" si="81"/>
        <v>0</v>
      </c>
      <c r="Q221" s="577">
        <f t="shared" si="81"/>
        <v>0</v>
      </c>
      <c r="R221" s="576">
        <f t="shared" si="81"/>
        <v>0</v>
      </c>
      <c r="S221" s="576">
        <f t="shared" si="81"/>
        <v>0</v>
      </c>
      <c r="T221" s="576">
        <f t="shared" si="81"/>
        <v>0</v>
      </c>
      <c r="U221" s="576">
        <f t="shared" si="81"/>
        <v>0</v>
      </c>
      <c r="V221" s="576">
        <f t="shared" si="81"/>
        <v>0</v>
      </c>
      <c r="W221" s="576">
        <f t="shared" si="81"/>
        <v>0</v>
      </c>
      <c r="X221" s="576">
        <f t="shared" si="81"/>
        <v>0</v>
      </c>
      <c r="Y221" s="576">
        <f t="shared" si="81"/>
        <v>0</v>
      </c>
      <c r="Z221" s="576">
        <f t="shared" si="81"/>
        <v>0</v>
      </c>
      <c r="AA221" s="576">
        <f t="shared" si="81"/>
        <v>0</v>
      </c>
      <c r="AB221" s="576">
        <f t="shared" si="81"/>
        <v>0</v>
      </c>
      <c r="AC221" s="576">
        <f t="shared" si="81"/>
        <v>0</v>
      </c>
      <c r="AD221" s="576">
        <f t="shared" si="81"/>
        <v>0</v>
      </c>
      <c r="AE221" s="576">
        <f t="shared" si="81"/>
        <v>0</v>
      </c>
      <c r="AF221" s="576">
        <f t="shared" si="81"/>
        <v>0</v>
      </c>
      <c r="AG221" s="576">
        <f t="shared" si="81"/>
        <v>0</v>
      </c>
      <c r="AH221" s="576">
        <f t="shared" si="81"/>
        <v>0</v>
      </c>
      <c r="AI221" s="576">
        <f t="shared" si="81"/>
        <v>0</v>
      </c>
      <c r="AJ221" s="576">
        <f t="shared" si="81"/>
        <v>0</v>
      </c>
      <c r="AK221" s="577">
        <f t="shared" si="81"/>
        <v>0</v>
      </c>
      <c r="AL221" s="576">
        <f t="shared" si="81"/>
        <v>0</v>
      </c>
      <c r="AM221" s="576">
        <f t="shared" si="81"/>
        <v>0</v>
      </c>
      <c r="AN221" s="576">
        <f t="shared" si="81"/>
        <v>0</v>
      </c>
      <c r="AO221" s="577">
        <f t="shared" si="81"/>
        <v>0</v>
      </c>
      <c r="AP221" s="576">
        <f t="shared" si="81"/>
        <v>2.5990999999999997E-4</v>
      </c>
      <c r="AQ221" s="576">
        <f t="shared" si="81"/>
        <v>0</v>
      </c>
      <c r="AR221" s="576">
        <f t="shared" si="81"/>
        <v>0</v>
      </c>
      <c r="AS221" s="576">
        <f t="shared" si="81"/>
        <v>0</v>
      </c>
      <c r="AT221" s="576">
        <f t="shared" si="81"/>
        <v>0</v>
      </c>
      <c r="AU221" s="576">
        <f t="shared" si="81"/>
        <v>0</v>
      </c>
      <c r="AV221" s="576">
        <f t="shared" si="81"/>
        <v>0</v>
      </c>
      <c r="AW221" s="576">
        <f t="shared" si="81"/>
        <v>0</v>
      </c>
      <c r="AX221" s="576">
        <f t="shared" si="81"/>
        <v>1.7027399999999999</v>
      </c>
      <c r="AY221" s="576">
        <f t="shared" si="81"/>
        <v>0</v>
      </c>
      <c r="AZ221" s="576">
        <f t="shared" si="81"/>
        <v>0</v>
      </c>
      <c r="BA221" s="576">
        <f t="shared" si="81"/>
        <v>0</v>
      </c>
      <c r="BB221" s="576">
        <f t="shared" si="81"/>
        <v>0</v>
      </c>
      <c r="BC221" s="577">
        <f t="shared" si="81"/>
        <v>0</v>
      </c>
      <c r="BD221" s="576">
        <f t="shared" si="81"/>
        <v>0</v>
      </c>
      <c r="BE221" s="576">
        <f t="shared" si="81"/>
        <v>0</v>
      </c>
      <c r="BF221" s="576">
        <f t="shared" si="84"/>
        <v>0</v>
      </c>
      <c r="BG221" s="576">
        <f t="shared" si="84"/>
        <v>0</v>
      </c>
      <c r="BH221" s="576">
        <f t="shared" si="81"/>
        <v>0</v>
      </c>
      <c r="BI221" s="576">
        <f t="shared" si="81"/>
        <v>0</v>
      </c>
      <c r="BJ221" s="576">
        <f t="shared" si="81"/>
        <v>0</v>
      </c>
      <c r="BK221" s="576">
        <f t="shared" si="81"/>
        <v>0</v>
      </c>
      <c r="BL221" s="576">
        <f t="shared" si="81"/>
        <v>0</v>
      </c>
      <c r="BM221" s="576">
        <f t="shared" si="81"/>
        <v>0</v>
      </c>
      <c r="BN221" s="576">
        <f t="shared" si="81"/>
        <v>0</v>
      </c>
      <c r="BO221" s="576">
        <f t="shared" si="81"/>
        <v>0</v>
      </c>
      <c r="BP221" s="576">
        <f t="shared" si="81"/>
        <v>0</v>
      </c>
      <c r="BQ221" s="576">
        <f t="shared" si="81"/>
        <v>0</v>
      </c>
      <c r="BR221" s="576">
        <f t="shared" si="81"/>
        <v>0</v>
      </c>
      <c r="BS221" s="576">
        <f t="shared" si="81"/>
        <v>0</v>
      </c>
    </row>
    <row r="222" spans="1:71" s="202" customFormat="1" ht="13.15">
      <c r="A222" s="453"/>
      <c r="B222" s="453"/>
      <c r="C222" s="453"/>
      <c r="D222" s="453"/>
      <c r="E222" s="453" t="s">
        <v>1269</v>
      </c>
      <c r="F222" s="453"/>
      <c r="G222" s="618" t="str">
        <f>InpCompany!$F$11</f>
        <v>£m (2017-18 prices)</v>
      </c>
      <c r="H222" s="625">
        <f t="shared" si="80"/>
        <v>0</v>
      </c>
      <c r="I222" s="626"/>
      <c r="J222" s="576">
        <f t="shared" si="81"/>
        <v>0</v>
      </c>
      <c r="K222" s="576">
        <f t="shared" si="81"/>
        <v>0</v>
      </c>
      <c r="L222" s="576">
        <f t="shared" si="81"/>
        <v>0</v>
      </c>
      <c r="M222" s="576">
        <f t="shared" si="82"/>
        <v>0</v>
      </c>
      <c r="N222" s="576">
        <f t="shared" si="81"/>
        <v>0</v>
      </c>
      <c r="O222" s="576">
        <f t="shared" si="83"/>
        <v>0</v>
      </c>
      <c r="P222" s="576">
        <f t="shared" si="81"/>
        <v>0</v>
      </c>
      <c r="Q222" s="577">
        <f t="shared" si="81"/>
        <v>0</v>
      </c>
      <c r="R222" s="576">
        <f t="shared" si="81"/>
        <v>0</v>
      </c>
      <c r="S222" s="576">
        <f t="shared" si="81"/>
        <v>0</v>
      </c>
      <c r="T222" s="576">
        <f t="shared" si="81"/>
        <v>0</v>
      </c>
      <c r="U222" s="576">
        <f t="shared" si="81"/>
        <v>0</v>
      </c>
      <c r="V222" s="576">
        <f t="shared" si="81"/>
        <v>0</v>
      </c>
      <c r="W222" s="576">
        <f t="shared" si="81"/>
        <v>0</v>
      </c>
      <c r="X222" s="576">
        <f t="shared" si="81"/>
        <v>0</v>
      </c>
      <c r="Y222" s="576">
        <f t="shared" si="81"/>
        <v>0</v>
      </c>
      <c r="Z222" s="576">
        <f t="shared" si="81"/>
        <v>0</v>
      </c>
      <c r="AA222" s="576">
        <f t="shared" si="81"/>
        <v>0</v>
      </c>
      <c r="AB222" s="576">
        <f t="shared" si="81"/>
        <v>0</v>
      </c>
      <c r="AC222" s="576">
        <f t="shared" si="81"/>
        <v>0</v>
      </c>
      <c r="AD222" s="576">
        <f t="shared" si="81"/>
        <v>0</v>
      </c>
      <c r="AE222" s="576">
        <f t="shared" si="81"/>
        <v>0</v>
      </c>
      <c r="AF222" s="576">
        <f t="shared" si="81"/>
        <v>0</v>
      </c>
      <c r="AG222" s="576">
        <f t="shared" si="81"/>
        <v>0</v>
      </c>
      <c r="AH222" s="576">
        <f t="shared" si="81"/>
        <v>0</v>
      </c>
      <c r="AI222" s="576">
        <f t="shared" si="81"/>
        <v>0</v>
      </c>
      <c r="AJ222" s="576">
        <f t="shared" si="81"/>
        <v>0</v>
      </c>
      <c r="AK222" s="577">
        <f t="shared" si="81"/>
        <v>0</v>
      </c>
      <c r="AL222" s="576">
        <f t="shared" si="81"/>
        <v>0</v>
      </c>
      <c r="AM222" s="576">
        <f t="shared" si="81"/>
        <v>0</v>
      </c>
      <c r="AN222" s="576">
        <f t="shared" si="81"/>
        <v>0</v>
      </c>
      <c r="AO222" s="577">
        <f t="shared" si="81"/>
        <v>0</v>
      </c>
      <c r="AP222" s="576">
        <f t="shared" si="81"/>
        <v>0</v>
      </c>
      <c r="AQ222" s="576">
        <f t="shared" si="81"/>
        <v>0</v>
      </c>
      <c r="AR222" s="576">
        <f t="shared" si="81"/>
        <v>0</v>
      </c>
      <c r="AS222" s="576">
        <f t="shared" si="81"/>
        <v>0</v>
      </c>
      <c r="AT222" s="576">
        <f t="shared" si="81"/>
        <v>0</v>
      </c>
      <c r="AU222" s="576">
        <f t="shared" si="81"/>
        <v>0</v>
      </c>
      <c r="AV222" s="576">
        <f t="shared" si="81"/>
        <v>0</v>
      </c>
      <c r="AW222" s="576">
        <f t="shared" si="81"/>
        <v>0</v>
      </c>
      <c r="AX222" s="576">
        <f t="shared" si="81"/>
        <v>0</v>
      </c>
      <c r="AY222" s="576">
        <f t="shared" si="81"/>
        <v>0</v>
      </c>
      <c r="AZ222" s="576">
        <f t="shared" si="81"/>
        <v>0</v>
      </c>
      <c r="BA222" s="576">
        <f t="shared" si="81"/>
        <v>0</v>
      </c>
      <c r="BB222" s="576">
        <f t="shared" si="81"/>
        <v>0</v>
      </c>
      <c r="BC222" s="577">
        <f t="shared" si="81"/>
        <v>0</v>
      </c>
      <c r="BD222" s="576">
        <f t="shared" si="81"/>
        <v>0</v>
      </c>
      <c r="BE222" s="576">
        <f t="shared" si="81"/>
        <v>0</v>
      </c>
      <c r="BF222" s="576">
        <f t="shared" si="84"/>
        <v>0</v>
      </c>
      <c r="BG222" s="576">
        <f t="shared" si="84"/>
        <v>0</v>
      </c>
      <c r="BH222" s="576">
        <f t="shared" si="81"/>
        <v>0</v>
      </c>
      <c r="BI222" s="576">
        <f t="shared" si="81"/>
        <v>0</v>
      </c>
      <c r="BJ222" s="576">
        <f t="shared" si="81"/>
        <v>0</v>
      </c>
      <c r="BK222" s="576">
        <f t="shared" si="81"/>
        <v>0</v>
      </c>
      <c r="BL222" s="576">
        <f t="shared" si="81"/>
        <v>0</v>
      </c>
      <c r="BM222" s="576">
        <f t="shared" si="81"/>
        <v>0</v>
      </c>
      <c r="BN222" s="576">
        <f t="shared" si="81"/>
        <v>0</v>
      </c>
      <c r="BO222" s="576">
        <f t="shared" si="81"/>
        <v>0</v>
      </c>
      <c r="BP222" s="576">
        <f t="shared" si="81"/>
        <v>0</v>
      </c>
      <c r="BQ222" s="576">
        <f t="shared" si="81"/>
        <v>0</v>
      </c>
      <c r="BR222" s="576">
        <f t="shared" si="81"/>
        <v>0</v>
      </c>
      <c r="BS222" s="576">
        <f t="shared" si="81"/>
        <v>0</v>
      </c>
    </row>
    <row r="223" spans="1:71" s="202" customFormat="1" ht="13.15">
      <c r="A223" s="453"/>
      <c r="B223" s="453"/>
      <c r="C223" s="453"/>
      <c r="D223" s="453"/>
      <c r="E223" s="453" t="s">
        <v>1270</v>
      </c>
      <c r="F223" s="453"/>
      <c r="G223" s="618" t="str">
        <f>InpCompany!$F$11</f>
        <v>£m (2017-18 prices)</v>
      </c>
      <c r="H223" s="625">
        <f t="shared" si="80"/>
        <v>0</v>
      </c>
      <c r="I223" s="626"/>
      <c r="J223" s="576">
        <f t="shared" si="81"/>
        <v>0</v>
      </c>
      <c r="K223" s="576">
        <f t="shared" si="81"/>
        <v>0</v>
      </c>
      <c r="L223" s="576">
        <f t="shared" si="81"/>
        <v>0</v>
      </c>
      <c r="M223" s="576">
        <f t="shared" si="82"/>
        <v>0</v>
      </c>
      <c r="N223" s="576">
        <f t="shared" si="81"/>
        <v>0</v>
      </c>
      <c r="O223" s="576">
        <f t="shared" si="83"/>
        <v>0</v>
      </c>
      <c r="P223" s="576">
        <f t="shared" si="81"/>
        <v>0</v>
      </c>
      <c r="Q223" s="577">
        <f t="shared" si="81"/>
        <v>0</v>
      </c>
      <c r="R223" s="576">
        <f t="shared" si="81"/>
        <v>0</v>
      </c>
      <c r="S223" s="576">
        <f t="shared" si="81"/>
        <v>0</v>
      </c>
      <c r="T223" s="576">
        <f t="shared" si="81"/>
        <v>0</v>
      </c>
      <c r="U223" s="576">
        <f t="shared" si="81"/>
        <v>0</v>
      </c>
      <c r="V223" s="576">
        <f t="shared" si="81"/>
        <v>0</v>
      </c>
      <c r="W223" s="576">
        <f t="shared" si="81"/>
        <v>0</v>
      </c>
      <c r="X223" s="576">
        <f t="shared" si="81"/>
        <v>0</v>
      </c>
      <c r="Y223" s="576">
        <f t="shared" si="81"/>
        <v>0</v>
      </c>
      <c r="Z223" s="576">
        <f t="shared" si="81"/>
        <v>0</v>
      </c>
      <c r="AA223" s="576">
        <f t="shared" ref="AA223:BS223" si="85">AA$185*AA196</f>
        <v>0</v>
      </c>
      <c r="AB223" s="576">
        <f t="shared" si="85"/>
        <v>0</v>
      </c>
      <c r="AC223" s="576">
        <f t="shared" si="85"/>
        <v>0</v>
      </c>
      <c r="AD223" s="576">
        <f t="shared" si="85"/>
        <v>0</v>
      </c>
      <c r="AE223" s="576">
        <f t="shared" si="85"/>
        <v>0</v>
      </c>
      <c r="AF223" s="576">
        <f t="shared" si="85"/>
        <v>0</v>
      </c>
      <c r="AG223" s="576">
        <f t="shared" si="85"/>
        <v>0</v>
      </c>
      <c r="AH223" s="576">
        <f t="shared" si="85"/>
        <v>0</v>
      </c>
      <c r="AI223" s="576">
        <f t="shared" si="85"/>
        <v>0</v>
      </c>
      <c r="AJ223" s="576">
        <f t="shared" si="85"/>
        <v>0</v>
      </c>
      <c r="AK223" s="577">
        <f t="shared" si="85"/>
        <v>0</v>
      </c>
      <c r="AL223" s="576">
        <f t="shared" si="85"/>
        <v>0</v>
      </c>
      <c r="AM223" s="576">
        <f t="shared" si="85"/>
        <v>0</v>
      </c>
      <c r="AN223" s="576">
        <f t="shared" si="85"/>
        <v>0</v>
      </c>
      <c r="AO223" s="577">
        <f t="shared" si="85"/>
        <v>0</v>
      </c>
      <c r="AP223" s="576">
        <f t="shared" si="85"/>
        <v>0</v>
      </c>
      <c r="AQ223" s="576">
        <f t="shared" si="85"/>
        <v>0</v>
      </c>
      <c r="AR223" s="576">
        <f t="shared" si="85"/>
        <v>0</v>
      </c>
      <c r="AS223" s="576">
        <f t="shared" si="85"/>
        <v>0</v>
      </c>
      <c r="AT223" s="576">
        <f t="shared" si="85"/>
        <v>0</v>
      </c>
      <c r="AU223" s="576">
        <f t="shared" si="85"/>
        <v>0</v>
      </c>
      <c r="AV223" s="576">
        <f t="shared" si="85"/>
        <v>0</v>
      </c>
      <c r="AW223" s="576">
        <f t="shared" si="85"/>
        <v>0</v>
      </c>
      <c r="AX223" s="576">
        <f t="shared" si="85"/>
        <v>0</v>
      </c>
      <c r="AY223" s="576">
        <f t="shared" si="85"/>
        <v>0</v>
      </c>
      <c r="AZ223" s="576">
        <f t="shared" si="85"/>
        <v>0</v>
      </c>
      <c r="BA223" s="576">
        <f t="shared" si="85"/>
        <v>0</v>
      </c>
      <c r="BB223" s="576">
        <f t="shared" si="85"/>
        <v>0</v>
      </c>
      <c r="BC223" s="577">
        <f t="shared" si="85"/>
        <v>0</v>
      </c>
      <c r="BD223" s="576">
        <f t="shared" si="85"/>
        <v>0</v>
      </c>
      <c r="BE223" s="576">
        <f t="shared" si="85"/>
        <v>0</v>
      </c>
      <c r="BF223" s="576">
        <f t="shared" si="84"/>
        <v>0</v>
      </c>
      <c r="BG223" s="576">
        <f t="shared" si="84"/>
        <v>0</v>
      </c>
      <c r="BH223" s="576">
        <f t="shared" si="85"/>
        <v>0</v>
      </c>
      <c r="BI223" s="576">
        <f t="shared" si="85"/>
        <v>0</v>
      </c>
      <c r="BJ223" s="576">
        <f t="shared" si="85"/>
        <v>0</v>
      </c>
      <c r="BK223" s="576">
        <f t="shared" si="85"/>
        <v>0</v>
      </c>
      <c r="BL223" s="576">
        <f t="shared" si="85"/>
        <v>0</v>
      </c>
      <c r="BM223" s="576">
        <f t="shared" si="85"/>
        <v>0</v>
      </c>
      <c r="BN223" s="576">
        <f t="shared" si="85"/>
        <v>0</v>
      </c>
      <c r="BO223" s="576">
        <f t="shared" si="85"/>
        <v>0</v>
      </c>
      <c r="BP223" s="576">
        <f t="shared" si="85"/>
        <v>0</v>
      </c>
      <c r="BQ223" s="576">
        <f t="shared" si="85"/>
        <v>0</v>
      </c>
      <c r="BR223" s="576">
        <f t="shared" si="85"/>
        <v>0</v>
      </c>
      <c r="BS223" s="576">
        <f t="shared" si="85"/>
        <v>0</v>
      </c>
    </row>
    <row r="224" spans="1:71" s="202" customFormat="1" ht="13.15">
      <c r="A224" s="453"/>
      <c r="B224" s="453"/>
      <c r="C224" s="453"/>
      <c r="D224" s="453"/>
      <c r="E224" s="453" t="s">
        <v>1271</v>
      </c>
      <c r="F224" s="453"/>
      <c r="G224" s="618" t="str">
        <f>InpCompany!$F$11</f>
        <v>£m (2017-18 prices)</v>
      </c>
      <c r="H224" s="625">
        <f t="shared" si="80"/>
        <v>0</v>
      </c>
      <c r="I224" s="626"/>
      <c r="J224" s="576">
        <f t="shared" ref="J224:BS225" si="86">J$185*J197</f>
        <v>0</v>
      </c>
      <c r="K224" s="576">
        <f t="shared" si="86"/>
        <v>0</v>
      </c>
      <c r="L224" s="576">
        <f t="shared" si="86"/>
        <v>0</v>
      </c>
      <c r="M224" s="576">
        <f t="shared" si="82"/>
        <v>0</v>
      </c>
      <c r="N224" s="576">
        <f t="shared" si="86"/>
        <v>0</v>
      </c>
      <c r="O224" s="576">
        <f t="shared" si="83"/>
        <v>0</v>
      </c>
      <c r="P224" s="576">
        <f t="shared" si="86"/>
        <v>0</v>
      </c>
      <c r="Q224" s="577">
        <f t="shared" si="86"/>
        <v>0</v>
      </c>
      <c r="R224" s="576">
        <f t="shared" si="86"/>
        <v>0</v>
      </c>
      <c r="S224" s="576">
        <f t="shared" si="86"/>
        <v>0</v>
      </c>
      <c r="T224" s="576">
        <f t="shared" si="86"/>
        <v>0</v>
      </c>
      <c r="U224" s="576">
        <f t="shared" si="86"/>
        <v>0</v>
      </c>
      <c r="V224" s="576">
        <f t="shared" si="86"/>
        <v>0</v>
      </c>
      <c r="W224" s="576">
        <f t="shared" si="86"/>
        <v>0</v>
      </c>
      <c r="X224" s="576">
        <f t="shared" si="86"/>
        <v>0</v>
      </c>
      <c r="Y224" s="576">
        <f t="shared" si="86"/>
        <v>0</v>
      </c>
      <c r="Z224" s="576">
        <f t="shared" si="86"/>
        <v>0</v>
      </c>
      <c r="AA224" s="576">
        <f t="shared" si="86"/>
        <v>0</v>
      </c>
      <c r="AB224" s="576">
        <f t="shared" si="86"/>
        <v>0</v>
      </c>
      <c r="AC224" s="576">
        <f t="shared" si="86"/>
        <v>0</v>
      </c>
      <c r="AD224" s="576">
        <f t="shared" si="86"/>
        <v>0</v>
      </c>
      <c r="AE224" s="576">
        <f t="shared" si="86"/>
        <v>0</v>
      </c>
      <c r="AF224" s="576">
        <f t="shared" si="86"/>
        <v>0</v>
      </c>
      <c r="AG224" s="576">
        <f t="shared" si="86"/>
        <v>0</v>
      </c>
      <c r="AH224" s="576">
        <f t="shared" si="86"/>
        <v>0</v>
      </c>
      <c r="AI224" s="576">
        <f t="shared" si="86"/>
        <v>0</v>
      </c>
      <c r="AJ224" s="576">
        <f t="shared" si="86"/>
        <v>0</v>
      </c>
      <c r="AK224" s="577">
        <f t="shared" si="86"/>
        <v>0</v>
      </c>
      <c r="AL224" s="576">
        <f t="shared" si="86"/>
        <v>0</v>
      </c>
      <c r="AM224" s="576">
        <f t="shared" si="86"/>
        <v>0</v>
      </c>
      <c r="AN224" s="576">
        <f t="shared" si="86"/>
        <v>0</v>
      </c>
      <c r="AO224" s="577">
        <f t="shared" si="86"/>
        <v>0</v>
      </c>
      <c r="AP224" s="576">
        <f t="shared" si="86"/>
        <v>0</v>
      </c>
      <c r="AQ224" s="576">
        <f t="shared" si="86"/>
        <v>0</v>
      </c>
      <c r="AR224" s="576">
        <f t="shared" si="86"/>
        <v>0</v>
      </c>
      <c r="AS224" s="576">
        <f t="shared" si="86"/>
        <v>0</v>
      </c>
      <c r="AT224" s="576">
        <f t="shared" si="86"/>
        <v>0</v>
      </c>
      <c r="AU224" s="576">
        <f t="shared" si="86"/>
        <v>0</v>
      </c>
      <c r="AV224" s="576">
        <f t="shared" si="86"/>
        <v>0</v>
      </c>
      <c r="AW224" s="576">
        <f t="shared" si="86"/>
        <v>0</v>
      </c>
      <c r="AX224" s="576">
        <f t="shared" si="86"/>
        <v>0</v>
      </c>
      <c r="AY224" s="576">
        <f t="shared" si="86"/>
        <v>0</v>
      </c>
      <c r="AZ224" s="576">
        <f t="shared" si="86"/>
        <v>0</v>
      </c>
      <c r="BA224" s="576">
        <f t="shared" si="86"/>
        <v>0</v>
      </c>
      <c r="BB224" s="576">
        <f t="shared" si="86"/>
        <v>0</v>
      </c>
      <c r="BC224" s="577">
        <f t="shared" si="86"/>
        <v>0</v>
      </c>
      <c r="BD224" s="576">
        <f t="shared" si="86"/>
        <v>0</v>
      </c>
      <c r="BE224" s="576">
        <f t="shared" si="86"/>
        <v>0</v>
      </c>
      <c r="BF224" s="576">
        <f t="shared" si="84"/>
        <v>0</v>
      </c>
      <c r="BG224" s="576">
        <f t="shared" si="84"/>
        <v>0</v>
      </c>
      <c r="BH224" s="576">
        <f t="shared" si="86"/>
        <v>0</v>
      </c>
      <c r="BI224" s="576">
        <f t="shared" si="86"/>
        <v>0</v>
      </c>
      <c r="BJ224" s="576">
        <f t="shared" si="86"/>
        <v>0</v>
      </c>
      <c r="BK224" s="576">
        <f t="shared" si="86"/>
        <v>0</v>
      </c>
      <c r="BL224" s="576">
        <f t="shared" si="86"/>
        <v>0</v>
      </c>
      <c r="BM224" s="576">
        <f t="shared" si="86"/>
        <v>0</v>
      </c>
      <c r="BN224" s="576">
        <f t="shared" si="86"/>
        <v>0</v>
      </c>
      <c r="BO224" s="576">
        <f t="shared" si="86"/>
        <v>0</v>
      </c>
      <c r="BP224" s="576">
        <f t="shared" si="86"/>
        <v>0</v>
      </c>
      <c r="BQ224" s="576">
        <f t="shared" si="86"/>
        <v>0</v>
      </c>
      <c r="BR224" s="576">
        <f t="shared" si="86"/>
        <v>0</v>
      </c>
      <c r="BS224" s="576">
        <f t="shared" si="86"/>
        <v>0</v>
      </c>
    </row>
    <row r="225" spans="1:71" s="202" customFormat="1" ht="13.15">
      <c r="A225" s="453"/>
      <c r="B225" s="453"/>
      <c r="C225" s="453"/>
      <c r="D225" s="453"/>
      <c r="E225" s="453" t="s">
        <v>1272</v>
      </c>
      <c r="F225" s="453"/>
      <c r="G225" s="618" t="str">
        <f>InpCompany!$F$11</f>
        <v>£m (2017-18 prices)</v>
      </c>
      <c r="H225" s="625">
        <f t="shared" si="80"/>
        <v>0</v>
      </c>
      <c r="I225" s="626"/>
      <c r="J225" s="576">
        <f t="shared" si="86"/>
        <v>0</v>
      </c>
      <c r="K225" s="576">
        <f t="shared" si="86"/>
        <v>0</v>
      </c>
      <c r="L225" s="576">
        <f t="shared" si="86"/>
        <v>0</v>
      </c>
      <c r="M225" s="576">
        <f t="shared" si="82"/>
        <v>0</v>
      </c>
      <c r="N225" s="696">
        <f t="shared" si="86"/>
        <v>0</v>
      </c>
      <c r="O225" s="576">
        <f t="shared" si="83"/>
        <v>0</v>
      </c>
      <c r="P225" s="576">
        <f t="shared" si="86"/>
        <v>0</v>
      </c>
      <c r="Q225" s="577">
        <f t="shared" si="86"/>
        <v>0</v>
      </c>
      <c r="R225" s="576">
        <f t="shared" si="86"/>
        <v>0</v>
      </c>
      <c r="S225" s="576">
        <f t="shared" si="86"/>
        <v>0</v>
      </c>
      <c r="T225" s="576">
        <f t="shared" si="86"/>
        <v>0</v>
      </c>
      <c r="U225" s="576">
        <f t="shared" si="86"/>
        <v>0</v>
      </c>
      <c r="V225" s="576">
        <f t="shared" si="86"/>
        <v>0</v>
      </c>
      <c r="W225" s="576">
        <f t="shared" si="86"/>
        <v>0</v>
      </c>
      <c r="X225" s="576">
        <f t="shared" si="86"/>
        <v>0</v>
      </c>
      <c r="Y225" s="576">
        <f t="shared" si="86"/>
        <v>0</v>
      </c>
      <c r="Z225" s="576">
        <f t="shared" si="86"/>
        <v>0</v>
      </c>
      <c r="AA225" s="576">
        <f t="shared" si="86"/>
        <v>0</v>
      </c>
      <c r="AB225" s="576">
        <f t="shared" si="86"/>
        <v>0</v>
      </c>
      <c r="AC225" s="576">
        <f t="shared" si="86"/>
        <v>0</v>
      </c>
      <c r="AD225" s="576">
        <f t="shared" si="86"/>
        <v>0</v>
      </c>
      <c r="AE225" s="576">
        <f t="shared" si="86"/>
        <v>0</v>
      </c>
      <c r="AF225" s="576">
        <f t="shared" si="86"/>
        <v>0</v>
      </c>
      <c r="AG225" s="576">
        <f t="shared" si="86"/>
        <v>0</v>
      </c>
      <c r="AH225" s="576">
        <f t="shared" si="86"/>
        <v>0</v>
      </c>
      <c r="AI225" s="576">
        <f t="shared" si="86"/>
        <v>0</v>
      </c>
      <c r="AJ225" s="576">
        <f t="shared" si="86"/>
        <v>0</v>
      </c>
      <c r="AK225" s="577">
        <f t="shared" si="86"/>
        <v>0</v>
      </c>
      <c r="AL225" s="576">
        <f t="shared" si="86"/>
        <v>0</v>
      </c>
      <c r="AM225" s="576">
        <f t="shared" si="86"/>
        <v>0</v>
      </c>
      <c r="AN225" s="576">
        <f t="shared" si="86"/>
        <v>0</v>
      </c>
      <c r="AO225" s="577">
        <f t="shared" si="86"/>
        <v>0</v>
      </c>
      <c r="AP225" s="576">
        <f t="shared" si="86"/>
        <v>0</v>
      </c>
      <c r="AQ225" s="576">
        <f t="shared" si="86"/>
        <v>0</v>
      </c>
      <c r="AR225" s="576">
        <f t="shared" si="86"/>
        <v>0</v>
      </c>
      <c r="AS225" s="576">
        <f t="shared" si="86"/>
        <v>0</v>
      </c>
      <c r="AT225" s="576">
        <f t="shared" si="86"/>
        <v>0</v>
      </c>
      <c r="AU225" s="576">
        <f t="shared" si="86"/>
        <v>0</v>
      </c>
      <c r="AV225" s="576">
        <f t="shared" si="86"/>
        <v>0</v>
      </c>
      <c r="AW225" s="576">
        <f t="shared" si="86"/>
        <v>0</v>
      </c>
      <c r="AX225" s="576">
        <f t="shared" si="86"/>
        <v>0</v>
      </c>
      <c r="AY225" s="576">
        <f t="shared" si="86"/>
        <v>0</v>
      </c>
      <c r="AZ225" s="576">
        <f t="shared" si="86"/>
        <v>0</v>
      </c>
      <c r="BA225" s="576">
        <f t="shared" si="86"/>
        <v>0</v>
      </c>
      <c r="BB225" s="576">
        <f t="shared" si="86"/>
        <v>0</v>
      </c>
      <c r="BC225" s="577">
        <f t="shared" si="86"/>
        <v>0</v>
      </c>
      <c r="BD225" s="576">
        <f t="shared" si="86"/>
        <v>0</v>
      </c>
      <c r="BE225" s="576">
        <f t="shared" si="86"/>
        <v>0</v>
      </c>
      <c r="BF225" s="576">
        <f t="shared" si="84"/>
        <v>0</v>
      </c>
      <c r="BG225" s="576">
        <f t="shared" si="84"/>
        <v>0</v>
      </c>
      <c r="BH225" s="576">
        <f t="shared" si="86"/>
        <v>0</v>
      </c>
      <c r="BI225" s="576">
        <f t="shared" si="86"/>
        <v>0</v>
      </c>
      <c r="BJ225" s="576">
        <f t="shared" si="86"/>
        <v>0</v>
      </c>
      <c r="BK225" s="576">
        <f t="shared" si="86"/>
        <v>0</v>
      </c>
      <c r="BL225" s="576">
        <f t="shared" si="86"/>
        <v>0</v>
      </c>
      <c r="BM225" s="576">
        <f t="shared" si="86"/>
        <v>0</v>
      </c>
      <c r="BN225" s="576">
        <f t="shared" si="86"/>
        <v>0</v>
      </c>
      <c r="BO225" s="576">
        <f t="shared" si="86"/>
        <v>0</v>
      </c>
      <c r="BP225" s="576">
        <f t="shared" si="86"/>
        <v>0</v>
      </c>
      <c r="BQ225" s="576">
        <f t="shared" si="86"/>
        <v>0</v>
      </c>
      <c r="BR225" s="576">
        <f t="shared" si="86"/>
        <v>0</v>
      </c>
      <c r="BS225" s="576">
        <f t="shared" si="86"/>
        <v>0</v>
      </c>
    </row>
    <row r="226" spans="1:71" s="202" customFormat="1" ht="13.15">
      <c r="A226" s="453"/>
      <c r="B226" s="453"/>
      <c r="C226" s="453"/>
      <c r="D226" s="453"/>
      <c r="E226" s="453"/>
      <c r="F226" s="453"/>
      <c r="G226" s="453"/>
      <c r="H226" s="625"/>
      <c r="I226" s="626"/>
      <c r="J226" s="576"/>
      <c r="K226" s="576"/>
      <c r="L226" s="576"/>
      <c r="M226" s="576"/>
      <c r="N226" s="576"/>
      <c r="O226" s="576"/>
      <c r="P226" s="576"/>
      <c r="Q226" s="577"/>
      <c r="R226" s="576"/>
      <c r="S226" s="576"/>
      <c r="T226" s="576"/>
      <c r="U226" s="576"/>
      <c r="V226" s="576"/>
      <c r="W226" s="576"/>
      <c r="X226" s="576"/>
      <c r="Y226" s="576"/>
      <c r="Z226" s="576"/>
      <c r="AA226" s="576"/>
      <c r="AB226" s="576"/>
      <c r="AC226" s="576"/>
      <c r="AD226" s="576"/>
      <c r="AE226" s="576"/>
      <c r="AF226" s="576"/>
      <c r="AG226" s="576"/>
      <c r="AH226" s="576"/>
      <c r="AI226" s="576"/>
      <c r="AJ226" s="576"/>
      <c r="AK226" s="577"/>
      <c r="AL226" s="576"/>
      <c r="AM226" s="576"/>
      <c r="AN226" s="576"/>
      <c r="AO226" s="577"/>
      <c r="AP226" s="576"/>
      <c r="AQ226" s="576"/>
      <c r="AR226" s="576"/>
      <c r="AS226" s="576"/>
      <c r="AT226" s="576"/>
      <c r="AU226" s="576"/>
      <c r="AV226" s="576"/>
      <c r="AW226" s="576"/>
      <c r="AX226" s="576"/>
      <c r="AY226" s="576"/>
      <c r="AZ226" s="576"/>
      <c r="BA226" s="576"/>
      <c r="BB226" s="576"/>
      <c r="BC226" s="577"/>
      <c r="BD226" s="576"/>
      <c r="BE226" s="576"/>
      <c r="BF226" s="576"/>
      <c r="BG226" s="576"/>
      <c r="BH226" s="576"/>
      <c r="BI226" s="576"/>
      <c r="BJ226" s="576"/>
      <c r="BK226" s="576"/>
      <c r="BL226" s="576"/>
      <c r="BM226" s="576"/>
      <c r="BN226" s="576"/>
      <c r="BO226" s="576"/>
      <c r="BP226" s="576"/>
      <c r="BQ226" s="576"/>
      <c r="BR226" s="576"/>
      <c r="BS226" s="576"/>
    </row>
    <row r="227" spans="1:71" s="202" customFormat="1" ht="13.15">
      <c r="A227" s="453"/>
      <c r="B227" s="453"/>
      <c r="C227" s="453"/>
      <c r="D227" s="463" t="s">
        <v>1249</v>
      </c>
      <c r="E227" s="463"/>
      <c r="F227" s="463"/>
      <c r="G227" s="463"/>
      <c r="H227" s="627"/>
      <c r="I227" s="628"/>
      <c r="J227" s="576"/>
      <c r="K227" s="576"/>
      <c r="L227" s="576"/>
      <c r="M227" s="576"/>
      <c r="N227" s="576"/>
      <c r="O227" s="576"/>
      <c r="P227" s="576"/>
      <c r="Q227" s="577"/>
      <c r="R227" s="576"/>
      <c r="S227" s="576"/>
      <c r="T227" s="576"/>
      <c r="U227" s="576"/>
      <c r="V227" s="576"/>
      <c r="W227" s="576"/>
      <c r="X227" s="576"/>
      <c r="Y227" s="576"/>
      <c r="Z227" s="576"/>
      <c r="AA227" s="576"/>
      <c r="AB227" s="576"/>
      <c r="AC227" s="576"/>
      <c r="AD227" s="576"/>
      <c r="AE227" s="576"/>
      <c r="AF227" s="576"/>
      <c r="AG227" s="576"/>
      <c r="AH227" s="576"/>
      <c r="AI227" s="576"/>
      <c r="AJ227" s="576"/>
      <c r="AK227" s="577"/>
      <c r="AL227" s="576"/>
      <c r="AM227" s="576"/>
      <c r="AN227" s="576"/>
      <c r="AO227" s="577"/>
      <c r="AP227" s="576"/>
      <c r="AQ227" s="576"/>
      <c r="AR227" s="576"/>
      <c r="AS227" s="576"/>
      <c r="AT227" s="576"/>
      <c r="AU227" s="576"/>
      <c r="AV227" s="576"/>
      <c r="AW227" s="576"/>
      <c r="AX227" s="576"/>
      <c r="AY227" s="576"/>
      <c r="AZ227" s="576"/>
      <c r="BA227" s="576"/>
      <c r="BB227" s="576"/>
      <c r="BC227" s="577"/>
      <c r="BD227" s="576"/>
      <c r="BE227" s="576"/>
      <c r="BF227" s="576"/>
      <c r="BG227" s="576"/>
      <c r="BH227" s="576"/>
      <c r="BI227" s="576"/>
      <c r="BJ227" s="576"/>
      <c r="BK227" s="576"/>
      <c r="BL227" s="576"/>
      <c r="BM227" s="576"/>
      <c r="BN227" s="576"/>
      <c r="BO227" s="576"/>
      <c r="BP227" s="576"/>
      <c r="BQ227" s="576"/>
      <c r="BR227" s="576"/>
      <c r="BS227" s="576"/>
    </row>
    <row r="228" spans="1:71" s="202" customFormat="1" ht="13.15">
      <c r="A228" s="453"/>
      <c r="B228" s="453"/>
      <c r="C228" s="453"/>
      <c r="D228" s="453"/>
      <c r="E228" s="453" t="s">
        <v>1273</v>
      </c>
      <c r="F228" s="453"/>
      <c r="G228" s="618" t="str">
        <f>InpCompany!$F$11</f>
        <v>£m (2017-18 prices)</v>
      </c>
      <c r="H228" s="625">
        <f t="shared" ref="H228:H234" si="87">SUM(J228:BS228)</f>
        <v>-0.32354399999999994</v>
      </c>
      <c r="I228" s="626"/>
      <c r="J228" s="576">
        <f t="shared" ref="J228:BS232" si="88">J$186*J192</f>
        <v>0</v>
      </c>
      <c r="K228" s="576">
        <f t="shared" si="88"/>
        <v>0</v>
      </c>
      <c r="L228" s="576">
        <f t="shared" si="88"/>
        <v>0</v>
      </c>
      <c r="M228" s="576">
        <f t="shared" ref="M228:M234" si="89">M$186*M192</f>
        <v>0</v>
      </c>
      <c r="N228" s="696">
        <f t="shared" si="88"/>
        <v>0</v>
      </c>
      <c r="O228" s="576">
        <f t="shared" ref="O228:O234" si="90">O$186*O192</f>
        <v>0</v>
      </c>
      <c r="P228" s="576">
        <f t="shared" si="88"/>
        <v>0</v>
      </c>
      <c r="Q228" s="577">
        <f t="shared" si="88"/>
        <v>0</v>
      </c>
      <c r="R228" s="576">
        <f t="shared" si="88"/>
        <v>0</v>
      </c>
      <c r="S228" s="576">
        <f t="shared" si="88"/>
        <v>0</v>
      </c>
      <c r="T228" s="576">
        <f t="shared" si="88"/>
        <v>0</v>
      </c>
      <c r="U228" s="576">
        <f t="shared" si="88"/>
        <v>0</v>
      </c>
      <c r="V228" s="576">
        <f t="shared" si="88"/>
        <v>0</v>
      </c>
      <c r="W228" s="576">
        <f t="shared" si="88"/>
        <v>0</v>
      </c>
      <c r="X228" s="576">
        <f t="shared" si="88"/>
        <v>0</v>
      </c>
      <c r="Y228" s="576">
        <f t="shared" si="88"/>
        <v>0</v>
      </c>
      <c r="Z228" s="576">
        <f t="shared" si="88"/>
        <v>-0.32354399999999994</v>
      </c>
      <c r="AA228" s="576">
        <f t="shared" si="88"/>
        <v>0</v>
      </c>
      <c r="AB228" s="576">
        <f t="shared" si="88"/>
        <v>0</v>
      </c>
      <c r="AC228" s="576">
        <f t="shared" si="88"/>
        <v>0</v>
      </c>
      <c r="AD228" s="576">
        <f t="shared" si="88"/>
        <v>0</v>
      </c>
      <c r="AE228" s="576">
        <f t="shared" si="88"/>
        <v>0</v>
      </c>
      <c r="AF228" s="576">
        <f t="shared" si="88"/>
        <v>0</v>
      </c>
      <c r="AG228" s="576">
        <f t="shared" si="88"/>
        <v>0</v>
      </c>
      <c r="AH228" s="576">
        <f t="shared" si="88"/>
        <v>0</v>
      </c>
      <c r="AI228" s="576">
        <f t="shared" si="88"/>
        <v>0</v>
      </c>
      <c r="AJ228" s="576">
        <f t="shared" si="88"/>
        <v>0</v>
      </c>
      <c r="AK228" s="577">
        <f t="shared" si="88"/>
        <v>0</v>
      </c>
      <c r="AL228" s="576">
        <f t="shared" si="88"/>
        <v>0</v>
      </c>
      <c r="AM228" s="576">
        <f t="shared" si="88"/>
        <v>0</v>
      </c>
      <c r="AN228" s="576">
        <f t="shared" si="88"/>
        <v>0</v>
      </c>
      <c r="AO228" s="577">
        <f t="shared" si="88"/>
        <v>0</v>
      </c>
      <c r="AP228" s="576">
        <f t="shared" si="88"/>
        <v>0</v>
      </c>
      <c r="AQ228" s="576">
        <f t="shared" si="88"/>
        <v>0</v>
      </c>
      <c r="AR228" s="576">
        <f t="shared" si="88"/>
        <v>0</v>
      </c>
      <c r="AS228" s="576">
        <f t="shared" si="88"/>
        <v>0</v>
      </c>
      <c r="AT228" s="576">
        <f t="shared" si="88"/>
        <v>0</v>
      </c>
      <c r="AU228" s="576">
        <f t="shared" si="88"/>
        <v>0</v>
      </c>
      <c r="AV228" s="576">
        <f t="shared" si="88"/>
        <v>0</v>
      </c>
      <c r="AW228" s="576">
        <f t="shared" si="88"/>
        <v>0</v>
      </c>
      <c r="AX228" s="576">
        <f t="shared" si="88"/>
        <v>0</v>
      </c>
      <c r="AY228" s="576">
        <f t="shared" si="88"/>
        <v>0</v>
      </c>
      <c r="AZ228" s="576">
        <f t="shared" si="88"/>
        <v>0</v>
      </c>
      <c r="BA228" s="576">
        <f t="shared" si="88"/>
        <v>0</v>
      </c>
      <c r="BB228" s="576">
        <f t="shared" si="88"/>
        <v>0</v>
      </c>
      <c r="BC228" s="577">
        <f t="shared" si="88"/>
        <v>0</v>
      </c>
      <c r="BD228" s="576">
        <f t="shared" si="88"/>
        <v>0</v>
      </c>
      <c r="BE228" s="576">
        <f t="shared" si="88"/>
        <v>0</v>
      </c>
      <c r="BF228" s="576">
        <f t="shared" ref="BF228:BG234" si="91">BF$186*BF192</f>
        <v>0</v>
      </c>
      <c r="BG228" s="576">
        <f t="shared" si="91"/>
        <v>0</v>
      </c>
      <c r="BH228" s="576">
        <f t="shared" si="88"/>
        <v>0</v>
      </c>
      <c r="BI228" s="576">
        <f t="shared" si="88"/>
        <v>0</v>
      </c>
      <c r="BJ228" s="576">
        <f t="shared" si="88"/>
        <v>0</v>
      </c>
      <c r="BK228" s="576">
        <f t="shared" si="88"/>
        <v>0</v>
      </c>
      <c r="BL228" s="576">
        <f t="shared" si="88"/>
        <v>0</v>
      </c>
      <c r="BM228" s="576">
        <f t="shared" si="88"/>
        <v>0</v>
      </c>
      <c r="BN228" s="576">
        <f t="shared" si="88"/>
        <v>0</v>
      </c>
      <c r="BO228" s="576">
        <f t="shared" si="88"/>
        <v>0</v>
      </c>
      <c r="BP228" s="576">
        <f t="shared" si="88"/>
        <v>0</v>
      </c>
      <c r="BQ228" s="576">
        <f t="shared" si="88"/>
        <v>0</v>
      </c>
      <c r="BR228" s="576">
        <f t="shared" si="88"/>
        <v>0</v>
      </c>
      <c r="BS228" s="576">
        <f t="shared" si="88"/>
        <v>0</v>
      </c>
    </row>
    <row r="229" spans="1:71" s="202" customFormat="1" ht="13.15">
      <c r="A229" s="453"/>
      <c r="B229" s="453"/>
      <c r="C229" s="453"/>
      <c r="D229" s="463"/>
      <c r="E229" s="453" t="s">
        <v>1274</v>
      </c>
      <c r="F229" s="453"/>
      <c r="G229" s="618" t="str">
        <f>InpCompany!$F$11</f>
        <v>£m (2017-18 prices)</v>
      </c>
      <c r="H229" s="625">
        <f t="shared" si="87"/>
        <v>-13.457406666666666</v>
      </c>
      <c r="I229" s="626"/>
      <c r="J229" s="576">
        <f t="shared" si="88"/>
        <v>-0.67195999999999989</v>
      </c>
      <c r="K229" s="576">
        <f t="shared" si="88"/>
        <v>-4.2374666666666672</v>
      </c>
      <c r="L229" s="576">
        <f t="shared" si="88"/>
        <v>-4.3460000000000001</v>
      </c>
      <c r="M229" s="576">
        <f t="shared" si="89"/>
        <v>0</v>
      </c>
      <c r="N229" s="576">
        <f t="shared" si="88"/>
        <v>0</v>
      </c>
      <c r="O229" s="576">
        <f t="shared" si="90"/>
        <v>0</v>
      </c>
      <c r="P229" s="576">
        <f t="shared" si="88"/>
        <v>-1.9907999999999992</v>
      </c>
      <c r="Q229" s="577">
        <f t="shared" si="88"/>
        <v>0</v>
      </c>
      <c r="R229" s="576">
        <f t="shared" si="88"/>
        <v>-2.0789999999999997</v>
      </c>
      <c r="S229" s="576">
        <f t="shared" si="88"/>
        <v>-9.2399999999999954E-2</v>
      </c>
      <c r="T229" s="576">
        <f t="shared" si="88"/>
        <v>0</v>
      </c>
      <c r="U229" s="576">
        <f t="shared" si="88"/>
        <v>0</v>
      </c>
      <c r="V229" s="576">
        <f t="shared" si="88"/>
        <v>0</v>
      </c>
      <c r="W229" s="576">
        <f t="shared" si="88"/>
        <v>0</v>
      </c>
      <c r="X229" s="576">
        <f t="shared" si="88"/>
        <v>0</v>
      </c>
      <c r="Y229" s="576">
        <f t="shared" si="88"/>
        <v>0</v>
      </c>
      <c r="Z229" s="576">
        <f t="shared" si="88"/>
        <v>0</v>
      </c>
      <c r="AA229" s="576">
        <f t="shared" si="88"/>
        <v>0</v>
      </c>
      <c r="AB229" s="576">
        <f t="shared" si="88"/>
        <v>0</v>
      </c>
      <c r="AC229" s="576">
        <f t="shared" si="88"/>
        <v>0</v>
      </c>
      <c r="AD229" s="576">
        <f t="shared" si="88"/>
        <v>0</v>
      </c>
      <c r="AE229" s="576">
        <f t="shared" si="88"/>
        <v>0</v>
      </c>
      <c r="AF229" s="576">
        <f t="shared" si="88"/>
        <v>0</v>
      </c>
      <c r="AG229" s="576">
        <f t="shared" si="88"/>
        <v>0</v>
      </c>
      <c r="AH229" s="576">
        <f t="shared" si="88"/>
        <v>0</v>
      </c>
      <c r="AI229" s="576">
        <f t="shared" si="88"/>
        <v>0</v>
      </c>
      <c r="AJ229" s="576">
        <f t="shared" si="88"/>
        <v>0</v>
      </c>
      <c r="AK229" s="577">
        <f t="shared" si="88"/>
        <v>0</v>
      </c>
      <c r="AL229" s="576">
        <f t="shared" si="88"/>
        <v>0</v>
      </c>
      <c r="AM229" s="576">
        <f t="shared" si="88"/>
        <v>0</v>
      </c>
      <c r="AN229" s="576">
        <f t="shared" si="88"/>
        <v>0</v>
      </c>
      <c r="AO229" s="577">
        <f t="shared" si="88"/>
        <v>0</v>
      </c>
      <c r="AP229" s="576">
        <f t="shared" si="88"/>
        <v>0</v>
      </c>
      <c r="AQ229" s="576">
        <f t="shared" si="88"/>
        <v>-3.9780000000000003E-2</v>
      </c>
      <c r="AR229" s="576">
        <f t="shared" si="88"/>
        <v>0</v>
      </c>
      <c r="AS229" s="576">
        <f t="shared" si="88"/>
        <v>0</v>
      </c>
      <c r="AT229" s="576">
        <f t="shared" si="88"/>
        <v>0</v>
      </c>
      <c r="AU229" s="576">
        <f t="shared" si="88"/>
        <v>0</v>
      </c>
      <c r="AV229" s="576">
        <f t="shared" si="88"/>
        <v>0</v>
      </c>
      <c r="AW229" s="576">
        <f t="shared" si="88"/>
        <v>0</v>
      </c>
      <c r="AX229" s="576">
        <f t="shared" si="88"/>
        <v>0</v>
      </c>
      <c r="AY229" s="576">
        <f t="shared" si="88"/>
        <v>0</v>
      </c>
      <c r="AZ229" s="576">
        <f t="shared" si="88"/>
        <v>0</v>
      </c>
      <c r="BA229" s="576">
        <f t="shared" si="88"/>
        <v>0</v>
      </c>
      <c r="BB229" s="576">
        <f t="shared" si="88"/>
        <v>0</v>
      </c>
      <c r="BC229" s="577">
        <f t="shared" si="88"/>
        <v>0</v>
      </c>
      <c r="BD229" s="576">
        <f t="shared" si="88"/>
        <v>0</v>
      </c>
      <c r="BE229" s="576">
        <f t="shared" si="88"/>
        <v>0</v>
      </c>
      <c r="BF229" s="576">
        <f t="shared" si="91"/>
        <v>0</v>
      </c>
      <c r="BG229" s="576">
        <f t="shared" si="91"/>
        <v>0</v>
      </c>
      <c r="BH229" s="576">
        <f t="shared" si="88"/>
        <v>0</v>
      </c>
      <c r="BI229" s="576">
        <f t="shared" si="88"/>
        <v>0</v>
      </c>
      <c r="BJ229" s="576">
        <f t="shared" si="88"/>
        <v>0</v>
      </c>
      <c r="BK229" s="576">
        <f t="shared" si="88"/>
        <v>0</v>
      </c>
      <c r="BL229" s="576">
        <f t="shared" si="88"/>
        <v>0</v>
      </c>
      <c r="BM229" s="576">
        <f t="shared" si="88"/>
        <v>0</v>
      </c>
      <c r="BN229" s="576">
        <f t="shared" si="88"/>
        <v>0</v>
      </c>
      <c r="BO229" s="576">
        <f t="shared" si="88"/>
        <v>0</v>
      </c>
      <c r="BP229" s="576">
        <f t="shared" si="88"/>
        <v>0</v>
      </c>
      <c r="BQ229" s="576">
        <f t="shared" si="88"/>
        <v>0</v>
      </c>
      <c r="BR229" s="576">
        <f t="shared" si="88"/>
        <v>0</v>
      </c>
      <c r="BS229" s="576">
        <f t="shared" si="88"/>
        <v>0</v>
      </c>
    </row>
    <row r="230" spans="1:71" s="202" customFormat="1" ht="13.15">
      <c r="A230" s="453"/>
      <c r="B230" s="453"/>
      <c r="C230" s="453"/>
      <c r="D230" s="453"/>
      <c r="E230" s="453" t="s">
        <v>1275</v>
      </c>
      <c r="F230" s="453"/>
      <c r="G230" s="618" t="str">
        <f>InpCompany!$F$11</f>
        <v>£m (2017-18 prices)</v>
      </c>
      <c r="H230" s="625">
        <f t="shared" si="87"/>
        <v>-19.353538399999998</v>
      </c>
      <c r="I230" s="626"/>
      <c r="J230" s="576">
        <f t="shared" si="88"/>
        <v>0</v>
      </c>
      <c r="K230" s="576">
        <f t="shared" si="88"/>
        <v>0</v>
      </c>
      <c r="L230" s="576">
        <f t="shared" si="88"/>
        <v>0</v>
      </c>
      <c r="M230" s="576">
        <f t="shared" si="89"/>
        <v>0</v>
      </c>
      <c r="N230" s="576">
        <f t="shared" si="88"/>
        <v>0</v>
      </c>
      <c r="O230" s="576">
        <f t="shared" si="90"/>
        <v>0</v>
      </c>
      <c r="P230" s="576">
        <f t="shared" si="88"/>
        <v>0</v>
      </c>
      <c r="Q230" s="577">
        <f t="shared" si="88"/>
        <v>0</v>
      </c>
      <c r="R230" s="576">
        <f t="shared" si="88"/>
        <v>0</v>
      </c>
      <c r="S230" s="576">
        <f t="shared" si="88"/>
        <v>0</v>
      </c>
      <c r="T230" s="576">
        <f t="shared" si="88"/>
        <v>0</v>
      </c>
      <c r="U230" s="576">
        <f t="shared" si="88"/>
        <v>0</v>
      </c>
      <c r="V230" s="576">
        <f t="shared" si="88"/>
        <v>0</v>
      </c>
      <c r="W230" s="576">
        <f t="shared" si="88"/>
        <v>0</v>
      </c>
      <c r="X230" s="576">
        <f t="shared" si="88"/>
        <v>0</v>
      </c>
      <c r="Y230" s="576">
        <f t="shared" si="88"/>
        <v>0</v>
      </c>
      <c r="Z230" s="576">
        <f t="shared" si="88"/>
        <v>0</v>
      </c>
      <c r="AA230" s="576">
        <f t="shared" si="88"/>
        <v>0</v>
      </c>
      <c r="AB230" s="576">
        <f t="shared" si="88"/>
        <v>0</v>
      </c>
      <c r="AC230" s="576">
        <f t="shared" si="88"/>
        <v>0</v>
      </c>
      <c r="AD230" s="576">
        <f t="shared" si="88"/>
        <v>0</v>
      </c>
      <c r="AE230" s="576">
        <f t="shared" si="88"/>
        <v>0</v>
      </c>
      <c r="AF230" s="576">
        <f t="shared" si="88"/>
        <v>0</v>
      </c>
      <c r="AG230" s="576">
        <f t="shared" si="88"/>
        <v>0</v>
      </c>
      <c r="AH230" s="576">
        <f t="shared" si="88"/>
        <v>0</v>
      </c>
      <c r="AI230" s="576">
        <f t="shared" si="88"/>
        <v>0</v>
      </c>
      <c r="AJ230" s="576">
        <f t="shared" si="88"/>
        <v>0</v>
      </c>
      <c r="AK230" s="577">
        <f t="shared" si="88"/>
        <v>0</v>
      </c>
      <c r="AL230" s="576">
        <f t="shared" si="88"/>
        <v>-6.2794099999999995</v>
      </c>
      <c r="AM230" s="576">
        <f t="shared" si="88"/>
        <v>-8.3821499999999993</v>
      </c>
      <c r="AN230" s="576">
        <f t="shared" si="88"/>
        <v>-0.58975999999999884</v>
      </c>
      <c r="AO230" s="577">
        <f t="shared" si="88"/>
        <v>0</v>
      </c>
      <c r="AP230" s="576">
        <f t="shared" si="88"/>
        <v>0</v>
      </c>
      <c r="AQ230" s="576">
        <f t="shared" si="88"/>
        <v>0</v>
      </c>
      <c r="AR230" s="576">
        <f t="shared" si="88"/>
        <v>0</v>
      </c>
      <c r="AS230" s="576">
        <f t="shared" si="88"/>
        <v>0</v>
      </c>
      <c r="AT230" s="576">
        <f t="shared" si="88"/>
        <v>-4.05</v>
      </c>
      <c r="AU230" s="576">
        <f t="shared" si="88"/>
        <v>0</v>
      </c>
      <c r="AV230" s="576">
        <f t="shared" si="88"/>
        <v>0</v>
      </c>
      <c r="AW230" s="576">
        <f t="shared" si="88"/>
        <v>-5.2218399999999998E-2</v>
      </c>
      <c r="AX230" s="576">
        <f t="shared" si="88"/>
        <v>0</v>
      </c>
      <c r="AY230" s="576">
        <f t="shared" si="88"/>
        <v>0</v>
      </c>
      <c r="AZ230" s="576">
        <f t="shared" si="88"/>
        <v>0</v>
      </c>
      <c r="BA230" s="576">
        <f t="shared" si="88"/>
        <v>0</v>
      </c>
      <c r="BB230" s="576">
        <f t="shared" si="88"/>
        <v>0</v>
      </c>
      <c r="BC230" s="577">
        <f t="shared" si="88"/>
        <v>0</v>
      </c>
      <c r="BD230" s="576">
        <f t="shared" si="88"/>
        <v>0</v>
      </c>
      <c r="BE230" s="576">
        <f t="shared" si="88"/>
        <v>0</v>
      </c>
      <c r="BF230" s="576">
        <f t="shared" si="91"/>
        <v>0</v>
      </c>
      <c r="BG230" s="576">
        <f t="shared" si="91"/>
        <v>0</v>
      </c>
      <c r="BH230" s="576">
        <f t="shared" si="88"/>
        <v>0</v>
      </c>
      <c r="BI230" s="576">
        <f t="shared" si="88"/>
        <v>0</v>
      </c>
      <c r="BJ230" s="576">
        <f t="shared" si="88"/>
        <v>0</v>
      </c>
      <c r="BK230" s="576">
        <f t="shared" si="88"/>
        <v>0</v>
      </c>
      <c r="BL230" s="576">
        <f t="shared" si="88"/>
        <v>0</v>
      </c>
      <c r="BM230" s="576">
        <f t="shared" si="88"/>
        <v>0</v>
      </c>
      <c r="BN230" s="576">
        <f t="shared" si="88"/>
        <v>0</v>
      </c>
      <c r="BO230" s="576">
        <f t="shared" si="88"/>
        <v>0</v>
      </c>
      <c r="BP230" s="576">
        <f t="shared" si="88"/>
        <v>0</v>
      </c>
      <c r="BQ230" s="576">
        <f t="shared" si="88"/>
        <v>0</v>
      </c>
      <c r="BR230" s="576">
        <f t="shared" si="88"/>
        <v>0</v>
      </c>
      <c r="BS230" s="576">
        <f t="shared" si="88"/>
        <v>0</v>
      </c>
    </row>
    <row r="231" spans="1:71" s="202" customFormat="1" ht="13.15">
      <c r="A231" s="453"/>
      <c r="B231" s="453"/>
      <c r="C231" s="453"/>
      <c r="D231" s="453"/>
      <c r="E231" s="453" t="s">
        <v>1276</v>
      </c>
      <c r="F231" s="453"/>
      <c r="G231" s="618" t="str">
        <f>InpCompany!$F$11</f>
        <v>£m (2017-18 prices)</v>
      </c>
      <c r="H231" s="625">
        <f t="shared" si="87"/>
        <v>-1.2862200000000001</v>
      </c>
      <c r="I231" s="626"/>
      <c r="J231" s="576">
        <f t="shared" si="88"/>
        <v>0</v>
      </c>
      <c r="K231" s="576">
        <f t="shared" si="88"/>
        <v>0</v>
      </c>
      <c r="L231" s="576">
        <f t="shared" si="88"/>
        <v>0</v>
      </c>
      <c r="M231" s="576">
        <f t="shared" si="89"/>
        <v>0</v>
      </c>
      <c r="N231" s="576">
        <f t="shared" si="88"/>
        <v>0</v>
      </c>
      <c r="O231" s="576">
        <f t="shared" si="90"/>
        <v>0</v>
      </c>
      <c r="P231" s="576">
        <f t="shared" si="88"/>
        <v>0</v>
      </c>
      <c r="Q231" s="577">
        <f t="shared" si="88"/>
        <v>0</v>
      </c>
      <c r="R231" s="576">
        <f t="shared" si="88"/>
        <v>0</v>
      </c>
      <c r="S231" s="576">
        <f t="shared" si="88"/>
        <v>0</v>
      </c>
      <c r="T231" s="576">
        <f t="shared" si="88"/>
        <v>0</v>
      </c>
      <c r="U231" s="576">
        <f t="shared" si="88"/>
        <v>0</v>
      </c>
      <c r="V231" s="576">
        <f t="shared" si="88"/>
        <v>0</v>
      </c>
      <c r="W231" s="576">
        <f t="shared" si="88"/>
        <v>0</v>
      </c>
      <c r="X231" s="576">
        <f t="shared" si="88"/>
        <v>0</v>
      </c>
      <c r="Y231" s="576">
        <f t="shared" si="88"/>
        <v>0</v>
      </c>
      <c r="Z231" s="576">
        <f t="shared" si="88"/>
        <v>0</v>
      </c>
      <c r="AA231" s="576">
        <f t="shared" si="88"/>
        <v>0</v>
      </c>
      <c r="AB231" s="576">
        <f t="shared" si="88"/>
        <v>0</v>
      </c>
      <c r="AC231" s="576">
        <f t="shared" si="88"/>
        <v>0</v>
      </c>
      <c r="AD231" s="576">
        <f t="shared" si="88"/>
        <v>0</v>
      </c>
      <c r="AE231" s="576">
        <f t="shared" si="88"/>
        <v>0</v>
      </c>
      <c r="AF231" s="576">
        <f t="shared" si="88"/>
        <v>0</v>
      </c>
      <c r="AG231" s="576">
        <f t="shared" si="88"/>
        <v>0</v>
      </c>
      <c r="AH231" s="576">
        <f t="shared" si="88"/>
        <v>0</v>
      </c>
      <c r="AI231" s="576">
        <f t="shared" si="88"/>
        <v>0</v>
      </c>
      <c r="AJ231" s="576">
        <f t="shared" si="88"/>
        <v>0</v>
      </c>
      <c r="AK231" s="577">
        <f t="shared" si="88"/>
        <v>0</v>
      </c>
      <c r="AL231" s="576">
        <f t="shared" si="88"/>
        <v>0</v>
      </c>
      <c r="AM231" s="576">
        <f t="shared" si="88"/>
        <v>0</v>
      </c>
      <c r="AN231" s="576">
        <f t="shared" si="88"/>
        <v>0</v>
      </c>
      <c r="AO231" s="577">
        <f t="shared" si="88"/>
        <v>0</v>
      </c>
      <c r="AP231" s="576">
        <f t="shared" si="88"/>
        <v>0</v>
      </c>
      <c r="AQ231" s="576">
        <f t="shared" si="88"/>
        <v>-1.2862200000000001</v>
      </c>
      <c r="AR231" s="576">
        <f t="shared" si="88"/>
        <v>0</v>
      </c>
      <c r="AS231" s="576">
        <f t="shared" si="88"/>
        <v>0</v>
      </c>
      <c r="AT231" s="576">
        <f t="shared" si="88"/>
        <v>0</v>
      </c>
      <c r="AU231" s="576">
        <f t="shared" si="88"/>
        <v>0</v>
      </c>
      <c r="AV231" s="576">
        <f t="shared" si="88"/>
        <v>0</v>
      </c>
      <c r="AW231" s="576">
        <f t="shared" si="88"/>
        <v>0</v>
      </c>
      <c r="AX231" s="576">
        <f t="shared" si="88"/>
        <v>0</v>
      </c>
      <c r="AY231" s="576">
        <f t="shared" si="88"/>
        <v>0</v>
      </c>
      <c r="AZ231" s="576">
        <f t="shared" si="88"/>
        <v>0</v>
      </c>
      <c r="BA231" s="576">
        <f t="shared" si="88"/>
        <v>0</v>
      </c>
      <c r="BB231" s="576">
        <f t="shared" si="88"/>
        <v>0</v>
      </c>
      <c r="BC231" s="577">
        <f t="shared" si="88"/>
        <v>0</v>
      </c>
      <c r="BD231" s="576">
        <f t="shared" si="88"/>
        <v>0</v>
      </c>
      <c r="BE231" s="576">
        <f t="shared" si="88"/>
        <v>0</v>
      </c>
      <c r="BF231" s="576">
        <f t="shared" si="91"/>
        <v>0</v>
      </c>
      <c r="BG231" s="576">
        <f t="shared" si="91"/>
        <v>0</v>
      </c>
      <c r="BH231" s="576">
        <f t="shared" si="88"/>
        <v>0</v>
      </c>
      <c r="BI231" s="576">
        <f t="shared" si="88"/>
        <v>0</v>
      </c>
      <c r="BJ231" s="576">
        <f t="shared" si="88"/>
        <v>0</v>
      </c>
      <c r="BK231" s="576">
        <f t="shared" si="88"/>
        <v>0</v>
      </c>
      <c r="BL231" s="576">
        <f t="shared" si="88"/>
        <v>0</v>
      </c>
      <c r="BM231" s="576">
        <f t="shared" si="88"/>
        <v>0</v>
      </c>
      <c r="BN231" s="576">
        <f t="shared" si="88"/>
        <v>0</v>
      </c>
      <c r="BO231" s="576">
        <f t="shared" si="88"/>
        <v>0</v>
      </c>
      <c r="BP231" s="576">
        <f t="shared" si="88"/>
        <v>0</v>
      </c>
      <c r="BQ231" s="576">
        <f t="shared" si="88"/>
        <v>0</v>
      </c>
      <c r="BR231" s="576">
        <f t="shared" si="88"/>
        <v>0</v>
      </c>
      <c r="BS231" s="576">
        <f t="shared" si="88"/>
        <v>0</v>
      </c>
    </row>
    <row r="232" spans="1:71" s="202" customFormat="1" ht="13.15">
      <c r="A232" s="453"/>
      <c r="B232" s="453"/>
      <c r="C232" s="453"/>
      <c r="D232" s="453"/>
      <c r="E232" s="453" t="s">
        <v>1277</v>
      </c>
      <c r="F232" s="453"/>
      <c r="G232" s="618" t="str">
        <f>InpCompany!$F$11</f>
        <v>£m (2017-18 prices)</v>
      </c>
      <c r="H232" s="625">
        <f t="shared" si="87"/>
        <v>-0.6</v>
      </c>
      <c r="I232" s="626"/>
      <c r="J232" s="576">
        <f t="shared" si="88"/>
        <v>0</v>
      </c>
      <c r="K232" s="576">
        <f t="shared" si="88"/>
        <v>0</v>
      </c>
      <c r="L232" s="576">
        <f t="shared" si="88"/>
        <v>0</v>
      </c>
      <c r="M232" s="576">
        <f t="shared" si="89"/>
        <v>0</v>
      </c>
      <c r="N232" s="576">
        <f t="shared" si="88"/>
        <v>0</v>
      </c>
      <c r="O232" s="576">
        <f t="shared" si="90"/>
        <v>0</v>
      </c>
      <c r="P232" s="576">
        <f t="shared" si="88"/>
        <v>0</v>
      </c>
      <c r="Q232" s="577">
        <f t="shared" si="88"/>
        <v>0</v>
      </c>
      <c r="R232" s="576">
        <f t="shared" si="88"/>
        <v>0</v>
      </c>
      <c r="S232" s="576">
        <f t="shared" si="88"/>
        <v>0</v>
      </c>
      <c r="T232" s="576">
        <f t="shared" si="88"/>
        <v>0</v>
      </c>
      <c r="U232" s="576">
        <f t="shared" si="88"/>
        <v>0</v>
      </c>
      <c r="V232" s="576">
        <f t="shared" si="88"/>
        <v>-0.6</v>
      </c>
      <c r="W232" s="576">
        <f t="shared" si="88"/>
        <v>0</v>
      </c>
      <c r="X232" s="576">
        <f t="shared" si="88"/>
        <v>0</v>
      </c>
      <c r="Y232" s="576">
        <f t="shared" si="88"/>
        <v>0</v>
      </c>
      <c r="Z232" s="576">
        <f t="shared" si="88"/>
        <v>0</v>
      </c>
      <c r="AA232" s="576">
        <f t="shared" ref="AA232:BS232" si="92">AA$186*AA196</f>
        <v>0</v>
      </c>
      <c r="AB232" s="576">
        <f t="shared" si="92"/>
        <v>0</v>
      </c>
      <c r="AC232" s="576">
        <f t="shared" si="92"/>
        <v>0</v>
      </c>
      <c r="AD232" s="576">
        <f t="shared" si="92"/>
        <v>0</v>
      </c>
      <c r="AE232" s="576">
        <f t="shared" si="92"/>
        <v>0</v>
      </c>
      <c r="AF232" s="576">
        <f t="shared" si="92"/>
        <v>0</v>
      </c>
      <c r="AG232" s="576">
        <f t="shared" si="92"/>
        <v>0</v>
      </c>
      <c r="AH232" s="576">
        <f t="shared" si="92"/>
        <v>0</v>
      </c>
      <c r="AI232" s="576">
        <f t="shared" si="92"/>
        <v>0</v>
      </c>
      <c r="AJ232" s="576">
        <f t="shared" si="92"/>
        <v>0</v>
      </c>
      <c r="AK232" s="577">
        <f t="shared" si="92"/>
        <v>0</v>
      </c>
      <c r="AL232" s="576">
        <f t="shared" si="92"/>
        <v>0</v>
      </c>
      <c r="AM232" s="576">
        <f t="shared" si="92"/>
        <v>0</v>
      </c>
      <c r="AN232" s="576">
        <f t="shared" si="92"/>
        <v>0</v>
      </c>
      <c r="AO232" s="577">
        <f t="shared" si="92"/>
        <v>0</v>
      </c>
      <c r="AP232" s="576">
        <f t="shared" si="92"/>
        <v>0</v>
      </c>
      <c r="AQ232" s="576">
        <f t="shared" si="92"/>
        <v>0</v>
      </c>
      <c r="AR232" s="576">
        <f t="shared" si="92"/>
        <v>0</v>
      </c>
      <c r="AS232" s="576">
        <f t="shared" si="92"/>
        <v>0</v>
      </c>
      <c r="AT232" s="576">
        <f t="shared" si="92"/>
        <v>0</v>
      </c>
      <c r="AU232" s="576">
        <f t="shared" si="92"/>
        <v>0</v>
      </c>
      <c r="AV232" s="576">
        <f t="shared" si="92"/>
        <v>0</v>
      </c>
      <c r="AW232" s="576">
        <f t="shared" si="92"/>
        <v>0</v>
      </c>
      <c r="AX232" s="576">
        <f t="shared" si="92"/>
        <v>0</v>
      </c>
      <c r="AY232" s="576">
        <f t="shared" si="92"/>
        <v>0</v>
      </c>
      <c r="AZ232" s="576">
        <f t="shared" si="92"/>
        <v>0</v>
      </c>
      <c r="BA232" s="576">
        <f t="shared" si="92"/>
        <v>0</v>
      </c>
      <c r="BB232" s="576">
        <f t="shared" si="92"/>
        <v>0</v>
      </c>
      <c r="BC232" s="577">
        <f t="shared" si="92"/>
        <v>0</v>
      </c>
      <c r="BD232" s="576">
        <f t="shared" si="92"/>
        <v>0</v>
      </c>
      <c r="BE232" s="576">
        <f t="shared" si="92"/>
        <v>0</v>
      </c>
      <c r="BF232" s="576">
        <f t="shared" si="91"/>
        <v>0</v>
      </c>
      <c r="BG232" s="576">
        <f t="shared" si="91"/>
        <v>0</v>
      </c>
      <c r="BH232" s="576">
        <f t="shared" si="92"/>
        <v>0</v>
      </c>
      <c r="BI232" s="576">
        <f t="shared" si="92"/>
        <v>0</v>
      </c>
      <c r="BJ232" s="576">
        <f t="shared" si="92"/>
        <v>0</v>
      </c>
      <c r="BK232" s="576">
        <f t="shared" si="92"/>
        <v>0</v>
      </c>
      <c r="BL232" s="576">
        <f t="shared" si="92"/>
        <v>0</v>
      </c>
      <c r="BM232" s="576">
        <f t="shared" si="92"/>
        <v>0</v>
      </c>
      <c r="BN232" s="576">
        <f t="shared" si="92"/>
        <v>0</v>
      </c>
      <c r="BO232" s="576">
        <f t="shared" si="92"/>
        <v>0</v>
      </c>
      <c r="BP232" s="576">
        <f t="shared" si="92"/>
        <v>0</v>
      </c>
      <c r="BQ232" s="576">
        <f t="shared" si="92"/>
        <v>0</v>
      </c>
      <c r="BR232" s="576">
        <f t="shared" si="92"/>
        <v>0</v>
      </c>
      <c r="BS232" s="576">
        <f t="shared" si="92"/>
        <v>0</v>
      </c>
    </row>
    <row r="233" spans="1:71" s="202" customFormat="1" ht="13.15">
      <c r="A233" s="453"/>
      <c r="B233" s="453"/>
      <c r="C233" s="453"/>
      <c r="D233" s="453"/>
      <c r="E233" s="453" t="s">
        <v>1278</v>
      </c>
      <c r="F233" s="453"/>
      <c r="G233" s="618" t="str">
        <f>InpCompany!$F$11</f>
        <v>£m (2017-18 prices)</v>
      </c>
      <c r="H233" s="625">
        <f t="shared" si="87"/>
        <v>0</v>
      </c>
      <c r="I233" s="626"/>
      <c r="J233" s="576">
        <f t="shared" ref="J233:BS234" si="93">J$186*J197</f>
        <v>0</v>
      </c>
      <c r="K233" s="576">
        <f t="shared" si="93"/>
        <v>0</v>
      </c>
      <c r="L233" s="576">
        <f t="shared" si="93"/>
        <v>0</v>
      </c>
      <c r="M233" s="576">
        <f t="shared" si="89"/>
        <v>0</v>
      </c>
      <c r="N233" s="576">
        <f t="shared" si="93"/>
        <v>0</v>
      </c>
      <c r="O233" s="576">
        <f t="shared" si="90"/>
        <v>0</v>
      </c>
      <c r="P233" s="576">
        <f t="shared" si="93"/>
        <v>0</v>
      </c>
      <c r="Q233" s="577">
        <f t="shared" si="93"/>
        <v>0</v>
      </c>
      <c r="R233" s="576">
        <f t="shared" si="93"/>
        <v>0</v>
      </c>
      <c r="S233" s="576">
        <f t="shared" si="93"/>
        <v>0</v>
      </c>
      <c r="T233" s="576">
        <f t="shared" si="93"/>
        <v>0</v>
      </c>
      <c r="U233" s="576">
        <f t="shared" si="93"/>
        <v>0</v>
      </c>
      <c r="V233" s="576">
        <f t="shared" si="93"/>
        <v>0</v>
      </c>
      <c r="W233" s="576">
        <f t="shared" si="93"/>
        <v>0</v>
      </c>
      <c r="X233" s="576">
        <f t="shared" si="93"/>
        <v>0</v>
      </c>
      <c r="Y233" s="576">
        <f t="shared" si="93"/>
        <v>0</v>
      </c>
      <c r="Z233" s="576">
        <f t="shared" si="93"/>
        <v>0</v>
      </c>
      <c r="AA233" s="576">
        <f t="shared" si="93"/>
        <v>0</v>
      </c>
      <c r="AB233" s="576">
        <f t="shared" si="93"/>
        <v>0</v>
      </c>
      <c r="AC233" s="576">
        <f t="shared" si="93"/>
        <v>0</v>
      </c>
      <c r="AD233" s="576">
        <f t="shared" si="93"/>
        <v>0</v>
      </c>
      <c r="AE233" s="576">
        <f t="shared" si="93"/>
        <v>0</v>
      </c>
      <c r="AF233" s="576">
        <f t="shared" si="93"/>
        <v>0</v>
      </c>
      <c r="AG233" s="576">
        <f t="shared" si="93"/>
        <v>0</v>
      </c>
      <c r="AH233" s="576">
        <f t="shared" si="93"/>
        <v>0</v>
      </c>
      <c r="AI233" s="576">
        <f t="shared" si="93"/>
        <v>0</v>
      </c>
      <c r="AJ233" s="576">
        <f t="shared" si="93"/>
        <v>0</v>
      </c>
      <c r="AK233" s="577">
        <f t="shared" si="93"/>
        <v>0</v>
      </c>
      <c r="AL233" s="576">
        <f t="shared" si="93"/>
        <v>0</v>
      </c>
      <c r="AM233" s="576">
        <f t="shared" si="93"/>
        <v>0</v>
      </c>
      <c r="AN233" s="576">
        <f t="shared" si="93"/>
        <v>0</v>
      </c>
      <c r="AO233" s="577">
        <f t="shared" si="93"/>
        <v>0</v>
      </c>
      <c r="AP233" s="576">
        <f t="shared" si="93"/>
        <v>0</v>
      </c>
      <c r="AQ233" s="576">
        <f t="shared" si="93"/>
        <v>0</v>
      </c>
      <c r="AR233" s="576">
        <f t="shared" si="93"/>
        <v>0</v>
      </c>
      <c r="AS233" s="576">
        <f t="shared" si="93"/>
        <v>0</v>
      </c>
      <c r="AT233" s="576">
        <f t="shared" si="93"/>
        <v>0</v>
      </c>
      <c r="AU233" s="576">
        <f t="shared" si="93"/>
        <v>0</v>
      </c>
      <c r="AV233" s="576">
        <f t="shared" si="93"/>
        <v>0</v>
      </c>
      <c r="AW233" s="576">
        <f t="shared" si="93"/>
        <v>0</v>
      </c>
      <c r="AX233" s="576">
        <f t="shared" si="93"/>
        <v>0</v>
      </c>
      <c r="AY233" s="576">
        <f t="shared" si="93"/>
        <v>0</v>
      </c>
      <c r="AZ233" s="576">
        <f t="shared" si="93"/>
        <v>0</v>
      </c>
      <c r="BA233" s="576">
        <f t="shared" si="93"/>
        <v>0</v>
      </c>
      <c r="BB233" s="576">
        <f t="shared" si="93"/>
        <v>0</v>
      </c>
      <c r="BC233" s="577">
        <f t="shared" si="93"/>
        <v>0</v>
      </c>
      <c r="BD233" s="576">
        <f t="shared" si="93"/>
        <v>0</v>
      </c>
      <c r="BE233" s="576">
        <f t="shared" si="93"/>
        <v>0</v>
      </c>
      <c r="BF233" s="576">
        <f t="shared" si="91"/>
        <v>0</v>
      </c>
      <c r="BG233" s="576">
        <f t="shared" si="91"/>
        <v>0</v>
      </c>
      <c r="BH233" s="576">
        <f t="shared" si="93"/>
        <v>0</v>
      </c>
      <c r="BI233" s="576">
        <f t="shared" si="93"/>
        <v>0</v>
      </c>
      <c r="BJ233" s="576">
        <f t="shared" si="93"/>
        <v>0</v>
      </c>
      <c r="BK233" s="576">
        <f t="shared" si="93"/>
        <v>0</v>
      </c>
      <c r="BL233" s="576">
        <f t="shared" si="93"/>
        <v>0</v>
      </c>
      <c r="BM233" s="576">
        <f t="shared" si="93"/>
        <v>0</v>
      </c>
      <c r="BN233" s="576">
        <f t="shared" si="93"/>
        <v>0</v>
      </c>
      <c r="BO233" s="576">
        <f t="shared" si="93"/>
        <v>0</v>
      </c>
      <c r="BP233" s="576">
        <f t="shared" si="93"/>
        <v>0</v>
      </c>
      <c r="BQ233" s="576">
        <f t="shared" si="93"/>
        <v>0</v>
      </c>
      <c r="BR233" s="576">
        <f t="shared" si="93"/>
        <v>0</v>
      </c>
      <c r="BS233" s="576">
        <f t="shared" si="93"/>
        <v>0</v>
      </c>
    </row>
    <row r="234" spans="1:71" s="202" customFormat="1" ht="13.15">
      <c r="A234" s="453"/>
      <c r="B234" s="453"/>
      <c r="C234" s="453"/>
      <c r="D234" s="453"/>
      <c r="E234" s="453" t="s">
        <v>1279</v>
      </c>
      <c r="F234" s="453"/>
      <c r="G234" s="618" t="str">
        <f>InpCompany!$F$11</f>
        <v>£m (2017-18 prices)</v>
      </c>
      <c r="H234" s="625">
        <f t="shared" si="87"/>
        <v>0</v>
      </c>
      <c r="I234" s="626"/>
      <c r="J234" s="576">
        <f t="shared" si="93"/>
        <v>0</v>
      </c>
      <c r="K234" s="576">
        <f t="shared" si="93"/>
        <v>0</v>
      </c>
      <c r="L234" s="576">
        <f t="shared" si="93"/>
        <v>0</v>
      </c>
      <c r="M234" s="576">
        <f t="shared" si="89"/>
        <v>0</v>
      </c>
      <c r="N234" s="696">
        <f t="shared" si="93"/>
        <v>0</v>
      </c>
      <c r="O234" s="576">
        <f t="shared" si="90"/>
        <v>0</v>
      </c>
      <c r="P234" s="576">
        <f t="shared" si="93"/>
        <v>0</v>
      </c>
      <c r="Q234" s="577">
        <f t="shared" si="93"/>
        <v>0</v>
      </c>
      <c r="R234" s="576">
        <f t="shared" si="93"/>
        <v>0</v>
      </c>
      <c r="S234" s="576">
        <f t="shared" si="93"/>
        <v>0</v>
      </c>
      <c r="T234" s="576">
        <f t="shared" si="93"/>
        <v>0</v>
      </c>
      <c r="U234" s="576">
        <f t="shared" si="93"/>
        <v>0</v>
      </c>
      <c r="V234" s="576">
        <f t="shared" si="93"/>
        <v>0</v>
      </c>
      <c r="W234" s="576">
        <f t="shared" si="93"/>
        <v>0</v>
      </c>
      <c r="X234" s="576">
        <f t="shared" si="93"/>
        <v>0</v>
      </c>
      <c r="Y234" s="576">
        <f t="shared" si="93"/>
        <v>0</v>
      </c>
      <c r="Z234" s="576">
        <f t="shared" si="93"/>
        <v>0</v>
      </c>
      <c r="AA234" s="576">
        <f t="shared" si="93"/>
        <v>0</v>
      </c>
      <c r="AB234" s="576">
        <f t="shared" si="93"/>
        <v>0</v>
      </c>
      <c r="AC234" s="576">
        <f t="shared" si="93"/>
        <v>0</v>
      </c>
      <c r="AD234" s="576">
        <f t="shared" si="93"/>
        <v>0</v>
      </c>
      <c r="AE234" s="576">
        <f t="shared" si="93"/>
        <v>0</v>
      </c>
      <c r="AF234" s="576">
        <f t="shared" si="93"/>
        <v>0</v>
      </c>
      <c r="AG234" s="576">
        <f t="shared" si="93"/>
        <v>0</v>
      </c>
      <c r="AH234" s="576">
        <f t="shared" si="93"/>
        <v>0</v>
      </c>
      <c r="AI234" s="576">
        <f t="shared" si="93"/>
        <v>0</v>
      </c>
      <c r="AJ234" s="576">
        <f t="shared" si="93"/>
        <v>0</v>
      </c>
      <c r="AK234" s="577">
        <f t="shared" si="93"/>
        <v>0</v>
      </c>
      <c r="AL234" s="576">
        <f t="shared" si="93"/>
        <v>0</v>
      </c>
      <c r="AM234" s="576">
        <f t="shared" si="93"/>
        <v>0</v>
      </c>
      <c r="AN234" s="576">
        <f t="shared" si="93"/>
        <v>0</v>
      </c>
      <c r="AO234" s="577">
        <f t="shared" si="93"/>
        <v>0</v>
      </c>
      <c r="AP234" s="576">
        <f t="shared" si="93"/>
        <v>0</v>
      </c>
      <c r="AQ234" s="576">
        <f t="shared" si="93"/>
        <v>0</v>
      </c>
      <c r="AR234" s="576">
        <f t="shared" si="93"/>
        <v>0</v>
      </c>
      <c r="AS234" s="576">
        <f t="shared" si="93"/>
        <v>0</v>
      </c>
      <c r="AT234" s="576">
        <f t="shared" si="93"/>
        <v>0</v>
      </c>
      <c r="AU234" s="576">
        <f t="shared" si="93"/>
        <v>0</v>
      </c>
      <c r="AV234" s="576">
        <f t="shared" si="93"/>
        <v>0</v>
      </c>
      <c r="AW234" s="576">
        <f t="shared" si="93"/>
        <v>0</v>
      </c>
      <c r="AX234" s="576">
        <f t="shared" si="93"/>
        <v>0</v>
      </c>
      <c r="AY234" s="576">
        <f t="shared" si="93"/>
        <v>0</v>
      </c>
      <c r="AZ234" s="576">
        <f t="shared" si="93"/>
        <v>0</v>
      </c>
      <c r="BA234" s="576">
        <f t="shared" si="93"/>
        <v>0</v>
      </c>
      <c r="BB234" s="576">
        <f t="shared" si="93"/>
        <v>0</v>
      </c>
      <c r="BC234" s="577">
        <f t="shared" si="93"/>
        <v>0</v>
      </c>
      <c r="BD234" s="576">
        <f t="shared" si="93"/>
        <v>0</v>
      </c>
      <c r="BE234" s="576">
        <f t="shared" si="93"/>
        <v>0</v>
      </c>
      <c r="BF234" s="576">
        <f t="shared" si="91"/>
        <v>0</v>
      </c>
      <c r="BG234" s="576">
        <f t="shared" si="91"/>
        <v>0</v>
      </c>
      <c r="BH234" s="576">
        <f t="shared" si="93"/>
        <v>0</v>
      </c>
      <c r="BI234" s="576">
        <f t="shared" si="93"/>
        <v>0</v>
      </c>
      <c r="BJ234" s="576">
        <f t="shared" si="93"/>
        <v>0</v>
      </c>
      <c r="BK234" s="576">
        <f t="shared" si="93"/>
        <v>0</v>
      </c>
      <c r="BL234" s="576">
        <f t="shared" si="93"/>
        <v>0</v>
      </c>
      <c r="BM234" s="576">
        <f t="shared" si="93"/>
        <v>0</v>
      </c>
      <c r="BN234" s="576">
        <f t="shared" si="93"/>
        <v>0</v>
      </c>
      <c r="BO234" s="576">
        <f t="shared" si="93"/>
        <v>0</v>
      </c>
      <c r="BP234" s="576">
        <f t="shared" si="93"/>
        <v>0</v>
      </c>
      <c r="BQ234" s="576">
        <f t="shared" si="93"/>
        <v>0</v>
      </c>
      <c r="BR234" s="576">
        <f t="shared" si="93"/>
        <v>0</v>
      </c>
      <c r="BS234" s="576">
        <f t="shared" si="93"/>
        <v>0</v>
      </c>
    </row>
    <row r="235" spans="1:71" s="202" customFormat="1" ht="13.15">
      <c r="A235" s="453"/>
      <c r="B235" s="453"/>
      <c r="C235" s="453"/>
      <c r="D235" s="453"/>
      <c r="E235" s="453"/>
      <c r="F235" s="453"/>
      <c r="G235" s="618"/>
      <c r="H235" s="629"/>
      <c r="I235" s="630"/>
      <c r="J235" s="490"/>
      <c r="K235" s="490"/>
      <c r="L235" s="490"/>
      <c r="M235" s="490"/>
      <c r="N235" s="490"/>
      <c r="O235" s="490"/>
      <c r="P235" s="490"/>
      <c r="Q235" s="491"/>
      <c r="R235" s="490"/>
      <c r="S235" s="490"/>
      <c r="T235" s="490"/>
      <c r="U235" s="490"/>
      <c r="V235" s="490"/>
      <c r="W235" s="490"/>
      <c r="X235" s="490"/>
      <c r="Y235" s="490"/>
      <c r="Z235" s="490"/>
      <c r="AA235" s="490"/>
      <c r="AB235" s="490"/>
      <c r="AC235" s="490"/>
      <c r="AD235" s="490"/>
      <c r="AE235" s="490"/>
      <c r="AF235" s="490"/>
      <c r="AG235" s="490"/>
      <c r="AH235" s="490"/>
      <c r="AI235" s="490"/>
      <c r="AJ235" s="490"/>
      <c r="AK235" s="491"/>
      <c r="AL235" s="490"/>
      <c r="AM235" s="490"/>
      <c r="AN235" s="490"/>
      <c r="AO235" s="491"/>
      <c r="AP235" s="490"/>
      <c r="AQ235" s="490"/>
      <c r="AR235" s="490"/>
      <c r="AS235" s="490"/>
      <c r="AT235" s="490"/>
      <c r="AU235" s="490"/>
      <c r="AV235" s="490"/>
      <c r="AW235" s="490"/>
      <c r="AX235" s="490"/>
      <c r="AY235" s="490"/>
      <c r="AZ235" s="490"/>
      <c r="BA235" s="490"/>
      <c r="BB235" s="490"/>
      <c r="BC235" s="491"/>
      <c r="BD235" s="490"/>
      <c r="BE235" s="490"/>
      <c r="BF235" s="490"/>
      <c r="BG235" s="490"/>
      <c r="BH235" s="490"/>
      <c r="BI235" s="490"/>
      <c r="BJ235" s="490"/>
      <c r="BK235" s="490"/>
      <c r="BL235" s="490"/>
      <c r="BM235" s="490"/>
      <c r="BN235" s="490"/>
      <c r="BO235" s="490"/>
      <c r="BP235" s="490"/>
      <c r="BQ235" s="490"/>
      <c r="BR235" s="490"/>
      <c r="BS235" s="490"/>
    </row>
    <row r="236" spans="1:71" s="202" customFormat="1" ht="13.15">
      <c r="A236" s="453"/>
      <c r="B236" s="453"/>
      <c r="C236" s="453"/>
      <c r="D236" s="453"/>
      <c r="E236" s="453"/>
      <c r="F236" s="453"/>
      <c r="G236" s="453"/>
      <c r="H236" s="462"/>
      <c r="I236" s="453"/>
      <c r="J236" s="494"/>
      <c r="K236" s="494"/>
      <c r="L236" s="494"/>
      <c r="M236" s="494"/>
      <c r="N236" s="494"/>
      <c r="O236" s="494"/>
      <c r="P236" s="494"/>
      <c r="Q236" s="496"/>
      <c r="R236" s="494"/>
      <c r="S236" s="494"/>
      <c r="T236" s="494"/>
      <c r="U236" s="494"/>
      <c r="V236" s="494"/>
      <c r="W236" s="494"/>
      <c r="X236" s="494"/>
      <c r="Y236" s="494"/>
      <c r="Z236" s="494"/>
      <c r="AA236" s="494"/>
      <c r="AB236" s="494"/>
      <c r="AC236" s="494"/>
      <c r="AD236" s="494"/>
      <c r="AE236" s="494"/>
      <c r="AF236" s="494"/>
      <c r="AG236" s="494"/>
      <c r="AH236" s="494"/>
      <c r="AI236" s="494"/>
      <c r="AJ236" s="494"/>
      <c r="AK236" s="496"/>
      <c r="AL236" s="494"/>
      <c r="AM236" s="494"/>
      <c r="AN236" s="494"/>
      <c r="AO236" s="496"/>
      <c r="AP236" s="494"/>
      <c r="AQ236" s="494"/>
      <c r="AR236" s="494"/>
      <c r="AS236" s="494"/>
      <c r="AT236" s="494"/>
      <c r="AU236" s="494"/>
      <c r="AV236" s="494"/>
      <c r="AW236" s="494"/>
      <c r="AX236" s="494"/>
      <c r="AY236" s="494"/>
      <c r="AZ236" s="494"/>
      <c r="BA236" s="494"/>
      <c r="BB236" s="494"/>
      <c r="BC236" s="496"/>
      <c r="BD236" s="494"/>
      <c r="BE236" s="494"/>
      <c r="BF236" s="494"/>
      <c r="BG236" s="494"/>
      <c r="BH236" s="494"/>
      <c r="BI236" s="494"/>
      <c r="BJ236" s="494"/>
      <c r="BK236" s="494"/>
      <c r="BL236" s="494"/>
      <c r="BM236" s="494"/>
      <c r="BN236" s="494"/>
      <c r="BO236" s="494"/>
      <c r="BP236" s="494"/>
      <c r="BQ236" s="494"/>
      <c r="BR236" s="494"/>
      <c r="BS236" s="494"/>
    </row>
    <row r="237" spans="1:71" s="227" customFormat="1" ht="13.15">
      <c r="A237" s="580" t="s">
        <v>1280</v>
      </c>
      <c r="B237" s="581"/>
      <c r="C237" s="582"/>
      <c r="D237" s="468"/>
      <c r="E237" s="468"/>
      <c r="F237" s="468"/>
      <c r="G237" s="468"/>
      <c r="H237" s="631"/>
      <c r="I237" s="468"/>
      <c r="J237" s="469"/>
      <c r="K237" s="469"/>
      <c r="L237" s="469"/>
      <c r="M237" s="469"/>
      <c r="N237" s="469"/>
      <c r="O237" s="469"/>
      <c r="P237" s="469"/>
      <c r="Q237" s="470"/>
      <c r="R237" s="469"/>
      <c r="S237" s="469"/>
      <c r="T237" s="469"/>
      <c r="U237" s="469"/>
      <c r="V237" s="469"/>
      <c r="W237" s="469"/>
      <c r="X237" s="469"/>
      <c r="Y237" s="469"/>
      <c r="Z237" s="469"/>
      <c r="AA237" s="469"/>
      <c r="AB237" s="469"/>
      <c r="AC237" s="469"/>
      <c r="AD237" s="469"/>
      <c r="AE237" s="469"/>
      <c r="AF237" s="469"/>
      <c r="AG237" s="469"/>
      <c r="AH237" s="469"/>
      <c r="AI237" s="469"/>
      <c r="AJ237" s="469"/>
      <c r="AK237" s="470"/>
      <c r="AL237" s="469"/>
      <c r="AM237" s="469"/>
      <c r="AN237" s="469"/>
      <c r="AO237" s="470"/>
      <c r="AP237" s="469"/>
      <c r="AQ237" s="469"/>
      <c r="AR237" s="469"/>
      <c r="AS237" s="469"/>
      <c r="AT237" s="469"/>
      <c r="AU237" s="469"/>
      <c r="AV237" s="469"/>
      <c r="AW237" s="469"/>
      <c r="AX237" s="469"/>
      <c r="AY237" s="469"/>
      <c r="AZ237" s="469"/>
      <c r="BA237" s="469"/>
      <c r="BB237" s="469"/>
      <c r="BC237" s="470"/>
      <c r="BD237" s="469"/>
      <c r="BE237" s="469"/>
      <c r="BF237" s="469"/>
      <c r="BG237" s="469"/>
      <c r="BH237" s="469"/>
      <c r="BI237" s="469"/>
      <c r="BJ237" s="469"/>
      <c r="BK237" s="469"/>
      <c r="BL237" s="469"/>
      <c r="BM237" s="469"/>
      <c r="BN237" s="469"/>
      <c r="BO237" s="469"/>
      <c r="BP237" s="469"/>
      <c r="BQ237" s="469"/>
      <c r="BR237" s="469"/>
      <c r="BS237" s="469"/>
    </row>
    <row r="238" spans="1:71" s="202" customFormat="1" ht="13.15">
      <c r="A238" s="453"/>
      <c r="B238" s="453"/>
      <c r="C238" s="453"/>
      <c r="D238" s="453"/>
      <c r="E238" s="453"/>
      <c r="F238" s="453"/>
      <c r="G238" s="453"/>
      <c r="H238" s="462"/>
      <c r="I238" s="453"/>
      <c r="J238" s="494"/>
      <c r="K238" s="494"/>
      <c r="L238" s="494"/>
      <c r="M238" s="494"/>
      <c r="N238" s="494"/>
      <c r="O238" s="494"/>
      <c r="P238" s="494"/>
      <c r="Q238" s="496"/>
      <c r="R238" s="494"/>
      <c r="S238" s="494"/>
      <c r="T238" s="494"/>
      <c r="U238" s="494"/>
      <c r="V238" s="494"/>
      <c r="W238" s="494"/>
      <c r="X238" s="494"/>
      <c r="Y238" s="494"/>
      <c r="Z238" s="494"/>
      <c r="AA238" s="494"/>
      <c r="AB238" s="494"/>
      <c r="AC238" s="494"/>
      <c r="AD238" s="494"/>
      <c r="AE238" s="494"/>
      <c r="AF238" s="494"/>
      <c r="AG238" s="494"/>
      <c r="AH238" s="494"/>
      <c r="AI238" s="494"/>
      <c r="AJ238" s="494"/>
      <c r="AK238" s="496"/>
      <c r="AL238" s="494"/>
      <c r="AM238" s="494"/>
      <c r="AN238" s="494"/>
      <c r="AO238" s="496"/>
      <c r="AP238" s="494"/>
      <c r="AQ238" s="494"/>
      <c r="AR238" s="494"/>
      <c r="AS238" s="494"/>
      <c r="AT238" s="494"/>
      <c r="AU238" s="494"/>
      <c r="AV238" s="494"/>
      <c r="AW238" s="494"/>
      <c r="AX238" s="494"/>
      <c r="AY238" s="494"/>
      <c r="AZ238" s="494"/>
      <c r="BA238" s="494"/>
      <c r="BB238" s="494"/>
      <c r="BC238" s="496"/>
      <c r="BD238" s="494"/>
      <c r="BE238" s="494"/>
      <c r="BF238" s="494"/>
      <c r="BG238" s="494"/>
      <c r="BH238" s="494"/>
      <c r="BI238" s="494"/>
      <c r="BJ238" s="494"/>
      <c r="BK238" s="494"/>
      <c r="BL238" s="494"/>
      <c r="BM238" s="494"/>
      <c r="BN238" s="494"/>
      <c r="BO238" s="494"/>
      <c r="BP238" s="494"/>
      <c r="BQ238" s="494"/>
      <c r="BR238" s="494"/>
      <c r="BS238" s="494"/>
    </row>
    <row r="239" spans="1:71" s="202" customFormat="1" ht="13.15">
      <c r="A239" s="453"/>
      <c r="B239" s="453"/>
      <c r="C239" s="473" t="s">
        <v>1281</v>
      </c>
      <c r="D239" s="453"/>
      <c r="E239" s="453"/>
      <c r="F239" s="453"/>
      <c r="G239" s="453"/>
      <c r="H239" s="462"/>
      <c r="I239" s="453"/>
      <c r="J239" s="494"/>
      <c r="K239" s="494"/>
      <c r="L239" s="494"/>
      <c r="M239" s="494"/>
      <c r="N239" s="494"/>
      <c r="O239" s="494"/>
      <c r="P239" s="494"/>
      <c r="Q239" s="496"/>
      <c r="R239" s="494"/>
      <c r="S239" s="494"/>
      <c r="T239" s="494"/>
      <c r="U239" s="494"/>
      <c r="V239" s="494"/>
      <c r="W239" s="494"/>
      <c r="X239" s="494"/>
      <c r="Y239" s="494"/>
      <c r="Z239" s="494"/>
      <c r="AA239" s="494"/>
      <c r="AB239" s="494"/>
      <c r="AC239" s="494"/>
      <c r="AD239" s="494"/>
      <c r="AE239" s="494"/>
      <c r="AF239" s="494"/>
      <c r="AG239" s="494"/>
      <c r="AH239" s="494"/>
      <c r="AI239" s="494"/>
      <c r="AJ239" s="494"/>
      <c r="AK239" s="496"/>
      <c r="AL239" s="494"/>
      <c r="AM239" s="494"/>
      <c r="AN239" s="494"/>
      <c r="AO239" s="496"/>
      <c r="AP239" s="494"/>
      <c r="AQ239" s="494"/>
      <c r="AR239" s="494"/>
      <c r="AS239" s="494"/>
      <c r="AT239" s="494"/>
      <c r="AU239" s="494"/>
      <c r="AV239" s="494"/>
      <c r="AW239" s="494"/>
      <c r="AX239" s="494"/>
      <c r="AY239" s="494"/>
      <c r="AZ239" s="494"/>
      <c r="BA239" s="494"/>
      <c r="BB239" s="494"/>
      <c r="BC239" s="496"/>
      <c r="BD239" s="494"/>
      <c r="BE239" s="494"/>
      <c r="BF239" s="494"/>
      <c r="BG239" s="494"/>
      <c r="BH239" s="494"/>
      <c r="BI239" s="494"/>
      <c r="BJ239" s="494"/>
      <c r="BK239" s="494"/>
      <c r="BL239" s="494"/>
      <c r="BM239" s="494"/>
      <c r="BN239" s="494"/>
      <c r="BO239" s="494"/>
      <c r="BP239" s="494"/>
      <c r="BQ239" s="494"/>
      <c r="BR239" s="494"/>
      <c r="BS239" s="494"/>
    </row>
    <row r="240" spans="1:71" s="202" customFormat="1" ht="13.15">
      <c r="A240" s="453"/>
      <c r="B240" s="453"/>
      <c r="C240" s="473"/>
      <c r="D240" s="453"/>
      <c r="E240" s="453"/>
      <c r="F240" s="453"/>
      <c r="G240" s="453"/>
      <c r="H240" s="462"/>
      <c r="I240" s="453"/>
      <c r="J240" s="494"/>
      <c r="K240" s="494"/>
      <c r="L240" s="494"/>
      <c r="M240" s="494"/>
      <c r="N240" s="494"/>
      <c r="O240" s="494"/>
      <c r="P240" s="494"/>
      <c r="Q240" s="496"/>
      <c r="R240" s="494"/>
      <c r="S240" s="494"/>
      <c r="T240" s="494"/>
      <c r="U240" s="494"/>
      <c r="V240" s="494"/>
      <c r="W240" s="494"/>
      <c r="X240" s="494"/>
      <c r="Y240" s="494"/>
      <c r="Z240" s="494"/>
      <c r="AA240" s="494"/>
      <c r="AB240" s="494"/>
      <c r="AC240" s="494"/>
      <c r="AD240" s="494"/>
      <c r="AE240" s="494"/>
      <c r="AF240" s="494"/>
      <c r="AG240" s="494"/>
      <c r="AH240" s="494"/>
      <c r="AI240" s="494"/>
      <c r="AJ240" s="494"/>
      <c r="AK240" s="496"/>
      <c r="AL240" s="494"/>
      <c r="AM240" s="494"/>
      <c r="AN240" s="494"/>
      <c r="AO240" s="496"/>
      <c r="AP240" s="494"/>
      <c r="AQ240" s="494"/>
      <c r="AR240" s="494"/>
      <c r="AS240" s="494"/>
      <c r="AT240" s="494"/>
      <c r="AU240" s="494"/>
      <c r="AV240" s="494"/>
      <c r="AW240" s="494"/>
      <c r="AX240" s="494"/>
      <c r="AY240" s="494"/>
      <c r="AZ240" s="494"/>
      <c r="BA240" s="494"/>
      <c r="BB240" s="494"/>
      <c r="BC240" s="496"/>
      <c r="BD240" s="494"/>
      <c r="BE240" s="494"/>
      <c r="BF240" s="494"/>
      <c r="BG240" s="494"/>
      <c r="BH240" s="494"/>
      <c r="BI240" s="494"/>
      <c r="BJ240" s="494"/>
      <c r="BK240" s="494"/>
      <c r="BL240" s="494"/>
      <c r="BM240" s="494"/>
      <c r="BN240" s="494"/>
      <c r="BO240" s="494"/>
      <c r="BP240" s="494"/>
      <c r="BQ240" s="494"/>
      <c r="BR240" s="494"/>
      <c r="BS240" s="494"/>
    </row>
    <row r="241" spans="1:71" s="202" customFormat="1" ht="13.15">
      <c r="A241" s="453"/>
      <c r="B241" s="453"/>
      <c r="C241" s="453"/>
      <c r="D241" s="463" t="s">
        <v>1282</v>
      </c>
      <c r="E241" s="453"/>
      <c r="F241" s="453"/>
      <c r="G241" s="453"/>
      <c r="H241" s="462"/>
      <c r="I241" s="453"/>
      <c r="J241" s="494"/>
      <c r="K241" s="494"/>
      <c r="L241" s="494"/>
      <c r="M241" s="494"/>
      <c r="N241" s="494"/>
      <c r="O241" s="494"/>
      <c r="P241" s="494"/>
      <c r="Q241" s="496"/>
      <c r="R241" s="494"/>
      <c r="S241" s="494"/>
      <c r="T241" s="494"/>
      <c r="U241" s="494"/>
      <c r="V241" s="494"/>
      <c r="W241" s="494"/>
      <c r="X241" s="494"/>
      <c r="Y241" s="494"/>
      <c r="Z241" s="494"/>
      <c r="AA241" s="494"/>
      <c r="AB241" s="494"/>
      <c r="AC241" s="494"/>
      <c r="AD241" s="494"/>
      <c r="AE241" s="494"/>
      <c r="AF241" s="494"/>
      <c r="AG241" s="494"/>
      <c r="AH241" s="494"/>
      <c r="AI241" s="494"/>
      <c r="AJ241" s="494"/>
      <c r="AK241" s="496"/>
      <c r="AL241" s="494"/>
      <c r="AM241" s="494"/>
      <c r="AN241" s="494"/>
      <c r="AO241" s="496"/>
      <c r="AP241" s="494"/>
      <c r="AQ241" s="494"/>
      <c r="AR241" s="494"/>
      <c r="AS241" s="494"/>
      <c r="AT241" s="494"/>
      <c r="AU241" s="494"/>
      <c r="AV241" s="494"/>
      <c r="AW241" s="494"/>
      <c r="AX241" s="494"/>
      <c r="AY241" s="494"/>
      <c r="AZ241" s="494"/>
      <c r="BA241" s="494"/>
      <c r="BB241" s="494"/>
      <c r="BC241" s="496"/>
      <c r="BD241" s="494"/>
      <c r="BE241" s="494"/>
      <c r="BF241" s="494"/>
      <c r="BG241" s="494"/>
      <c r="BH241" s="494"/>
      <c r="BI241" s="494"/>
      <c r="BJ241" s="494"/>
      <c r="BK241" s="494"/>
      <c r="BL241" s="494"/>
      <c r="BM241" s="494"/>
      <c r="BN241" s="494"/>
      <c r="BO241" s="494"/>
      <c r="BP241" s="494"/>
      <c r="BQ241" s="494"/>
      <c r="BR241" s="494"/>
      <c r="BS241" s="494"/>
    </row>
    <row r="242" spans="1:71" s="202" customFormat="1" ht="13.15">
      <c r="A242" s="453"/>
      <c r="B242" s="453"/>
      <c r="C242" s="453"/>
      <c r="D242" s="453"/>
      <c r="E242" s="1423" t="s">
        <v>1283</v>
      </c>
      <c r="F242" s="633">
        <f t="shared" ref="F242:F248" si="94">H201</f>
        <v>0.51100000000000001</v>
      </c>
      <c r="G242" s="632" t="str">
        <f>InpCompany!$F$11</f>
        <v>£m (2017-18 prices)</v>
      </c>
      <c r="H242" s="453"/>
      <c r="I242" s="634"/>
      <c r="J242" s="494"/>
      <c r="K242" s="494"/>
      <c r="L242" s="494"/>
      <c r="M242" s="494"/>
      <c r="N242" s="494"/>
      <c r="O242" s="494"/>
      <c r="P242" s="494"/>
      <c r="Q242" s="496"/>
      <c r="R242" s="494"/>
      <c r="S242" s="494"/>
      <c r="T242" s="494"/>
      <c r="U242" s="494"/>
      <c r="V242" s="494"/>
      <c r="W242" s="494"/>
      <c r="X242" s="494"/>
      <c r="Y242" s="494"/>
      <c r="Z242" s="494"/>
      <c r="AA242" s="494"/>
      <c r="AB242" s="494"/>
      <c r="AC242" s="494"/>
      <c r="AD242" s="494"/>
      <c r="AE242" s="494"/>
      <c r="AF242" s="494"/>
      <c r="AG242" s="494"/>
      <c r="AH242" s="494"/>
      <c r="AI242" s="494"/>
      <c r="AJ242" s="494"/>
      <c r="AK242" s="496"/>
      <c r="AL242" s="494"/>
      <c r="AM242" s="494"/>
      <c r="AN242" s="494"/>
      <c r="AO242" s="496"/>
      <c r="AP242" s="494"/>
      <c r="AQ242" s="494"/>
      <c r="AR242" s="494"/>
      <c r="AS242" s="494"/>
      <c r="AT242" s="494"/>
      <c r="AU242" s="494"/>
      <c r="AV242" s="494"/>
      <c r="AW242" s="494"/>
      <c r="AX242" s="494"/>
      <c r="AY242" s="494"/>
      <c r="AZ242" s="494"/>
      <c r="BA242" s="494"/>
      <c r="BB242" s="494"/>
      <c r="BC242" s="496"/>
      <c r="BD242" s="494"/>
      <c r="BE242" s="494"/>
      <c r="BF242" s="494"/>
      <c r="BG242" s="494"/>
      <c r="BH242" s="494"/>
      <c r="BI242" s="494"/>
      <c r="BJ242" s="494"/>
      <c r="BK242" s="494"/>
      <c r="BL242" s="494"/>
      <c r="BM242" s="494"/>
      <c r="BN242" s="494"/>
      <c r="BO242" s="494"/>
      <c r="BP242" s="494"/>
      <c r="BQ242" s="494"/>
      <c r="BR242" s="494"/>
      <c r="BS242" s="494"/>
    </row>
    <row r="243" spans="1:71" s="202" customFormat="1" ht="13.15">
      <c r="A243" s="453"/>
      <c r="B243" s="453"/>
      <c r="C243" s="453"/>
      <c r="D243" s="453"/>
      <c r="E243" s="632" t="s">
        <v>1284</v>
      </c>
      <c r="F243" s="633">
        <f t="shared" si="94"/>
        <v>0</v>
      </c>
      <c r="G243" s="632" t="str">
        <f>InpCompany!$F$11</f>
        <v>£m (2017-18 prices)</v>
      </c>
      <c r="H243" s="453"/>
      <c r="I243" s="634"/>
      <c r="J243" s="494"/>
      <c r="K243" s="494"/>
      <c r="L243" s="494"/>
      <c r="M243" s="494"/>
      <c r="N243" s="494"/>
      <c r="O243" s="494"/>
      <c r="P243" s="494"/>
      <c r="Q243" s="496"/>
      <c r="R243" s="494"/>
      <c r="S243" s="494"/>
      <c r="T243" s="494"/>
      <c r="U243" s="494"/>
      <c r="V243" s="494"/>
      <c r="W243" s="494"/>
      <c r="X243" s="494"/>
      <c r="Y243" s="494"/>
      <c r="Z243" s="494"/>
      <c r="AA243" s="494"/>
      <c r="AB243" s="494"/>
      <c r="AC243" s="494"/>
      <c r="AD243" s="494"/>
      <c r="AE243" s="494"/>
      <c r="AF243" s="494"/>
      <c r="AG243" s="494"/>
      <c r="AH243" s="494"/>
      <c r="AI243" s="494"/>
      <c r="AJ243" s="494"/>
      <c r="AK243" s="496"/>
      <c r="AL243" s="494"/>
      <c r="AM243" s="494"/>
      <c r="AN243" s="494"/>
      <c r="AO243" s="496"/>
      <c r="AP243" s="494"/>
      <c r="AQ243" s="494"/>
      <c r="AR243" s="494"/>
      <c r="AS243" s="494"/>
      <c r="AT243" s="494"/>
      <c r="AU243" s="494"/>
      <c r="AV243" s="494"/>
      <c r="AW243" s="494"/>
      <c r="AX243" s="494"/>
      <c r="AY243" s="494"/>
      <c r="AZ243" s="494"/>
      <c r="BA243" s="494"/>
      <c r="BB243" s="494"/>
      <c r="BC243" s="496"/>
      <c r="BD243" s="494"/>
      <c r="BE243" s="494"/>
      <c r="BF243" s="494"/>
      <c r="BG243" s="494"/>
      <c r="BH243" s="494"/>
      <c r="BI243" s="494"/>
      <c r="BJ243" s="494"/>
      <c r="BK243" s="494"/>
      <c r="BL243" s="494"/>
      <c r="BM243" s="494"/>
      <c r="BN243" s="494"/>
      <c r="BO243" s="494"/>
      <c r="BP243" s="494"/>
      <c r="BQ243" s="494"/>
      <c r="BR243" s="494"/>
      <c r="BS243" s="494"/>
    </row>
    <row r="244" spans="1:71" s="202" customFormat="1" ht="13.15">
      <c r="A244" s="453"/>
      <c r="B244" s="453"/>
      <c r="C244" s="453"/>
      <c r="D244" s="453"/>
      <c r="E244" s="632" t="s">
        <v>1285</v>
      </c>
      <c r="F244" s="633">
        <f t="shared" si="94"/>
        <v>1.70299991</v>
      </c>
      <c r="G244" s="632" t="str">
        <f>InpCompany!$F$11</f>
        <v>£m (2017-18 prices)</v>
      </c>
      <c r="H244" s="453"/>
      <c r="I244" s="634"/>
      <c r="J244" s="494"/>
      <c r="K244" s="494"/>
      <c r="L244" s="494"/>
      <c r="M244" s="494"/>
      <c r="N244" s="494"/>
      <c r="O244" s="494"/>
      <c r="P244" s="494"/>
      <c r="Q244" s="496"/>
      <c r="R244" s="494"/>
      <c r="S244" s="494"/>
      <c r="T244" s="494"/>
      <c r="U244" s="494"/>
      <c r="V244" s="494"/>
      <c r="W244" s="494"/>
      <c r="X244" s="494"/>
      <c r="Y244" s="494"/>
      <c r="Z244" s="494"/>
      <c r="AA244" s="494"/>
      <c r="AB244" s="494"/>
      <c r="AC244" s="494"/>
      <c r="AD244" s="494"/>
      <c r="AE244" s="494"/>
      <c r="AF244" s="494"/>
      <c r="AG244" s="494"/>
      <c r="AH244" s="494"/>
      <c r="AI244" s="494"/>
      <c r="AJ244" s="494"/>
      <c r="AK244" s="496"/>
      <c r="AL244" s="494"/>
      <c r="AM244" s="494"/>
      <c r="AN244" s="494"/>
      <c r="AO244" s="496"/>
      <c r="AP244" s="494"/>
      <c r="AQ244" s="494"/>
      <c r="AR244" s="494"/>
      <c r="AS244" s="494"/>
      <c r="AT244" s="494"/>
      <c r="AU244" s="494"/>
      <c r="AV244" s="494"/>
      <c r="AW244" s="494"/>
      <c r="AX244" s="494"/>
      <c r="AY244" s="494"/>
      <c r="AZ244" s="494"/>
      <c r="BA244" s="494"/>
      <c r="BB244" s="494"/>
      <c r="BC244" s="496"/>
      <c r="BD244" s="494"/>
      <c r="BE244" s="494"/>
      <c r="BF244" s="494"/>
      <c r="BG244" s="494"/>
      <c r="BH244" s="494"/>
      <c r="BI244" s="494"/>
      <c r="BJ244" s="494"/>
      <c r="BK244" s="494"/>
      <c r="BL244" s="494"/>
      <c r="BM244" s="494"/>
      <c r="BN244" s="494"/>
      <c r="BO244" s="494"/>
      <c r="BP244" s="494"/>
      <c r="BQ244" s="494"/>
      <c r="BR244" s="494"/>
      <c r="BS244" s="494"/>
    </row>
    <row r="245" spans="1:71" s="202" customFormat="1" ht="13.15">
      <c r="A245" s="453"/>
      <c r="B245" s="453"/>
      <c r="C245" s="453"/>
      <c r="D245" s="453"/>
      <c r="E245" s="632" t="s">
        <v>1286</v>
      </c>
      <c r="F245" s="633">
        <f t="shared" si="94"/>
        <v>0</v>
      </c>
      <c r="G245" s="632" t="str">
        <f>InpCompany!$F$11</f>
        <v>£m (2017-18 prices)</v>
      </c>
      <c r="H245" s="453"/>
      <c r="I245" s="634"/>
      <c r="J245" s="494"/>
      <c r="K245" s="494"/>
      <c r="L245" s="494"/>
      <c r="M245" s="494"/>
      <c r="N245" s="494"/>
      <c r="O245" s="494"/>
      <c r="P245" s="494"/>
      <c r="Q245" s="496"/>
      <c r="R245" s="494"/>
      <c r="S245" s="494"/>
      <c r="T245" s="494"/>
      <c r="U245" s="494"/>
      <c r="V245" s="494"/>
      <c r="W245" s="494"/>
      <c r="X245" s="494"/>
      <c r="Y245" s="494"/>
      <c r="Z245" s="494"/>
      <c r="AA245" s="494"/>
      <c r="AB245" s="494"/>
      <c r="AC245" s="494"/>
      <c r="AD245" s="494"/>
      <c r="AE245" s="494"/>
      <c r="AF245" s="494"/>
      <c r="AG245" s="494"/>
      <c r="AH245" s="494"/>
      <c r="AI245" s="494"/>
      <c r="AJ245" s="494"/>
      <c r="AK245" s="496"/>
      <c r="AL245" s="494"/>
      <c r="AM245" s="494"/>
      <c r="AN245" s="494"/>
      <c r="AO245" s="496"/>
      <c r="AP245" s="494"/>
      <c r="AQ245" s="494"/>
      <c r="AR245" s="494"/>
      <c r="AS245" s="494"/>
      <c r="AT245" s="494"/>
      <c r="AU245" s="494"/>
      <c r="AV245" s="494"/>
      <c r="AW245" s="494"/>
      <c r="AX245" s="494"/>
      <c r="AY245" s="494"/>
      <c r="AZ245" s="494"/>
      <c r="BA245" s="494"/>
      <c r="BB245" s="494"/>
      <c r="BC245" s="496"/>
      <c r="BD245" s="494"/>
      <c r="BE245" s="494"/>
      <c r="BF245" s="494"/>
      <c r="BG245" s="494"/>
      <c r="BH245" s="494"/>
      <c r="BI245" s="494"/>
      <c r="BJ245" s="494"/>
      <c r="BK245" s="494"/>
      <c r="BL245" s="494"/>
      <c r="BM245" s="494"/>
      <c r="BN245" s="494"/>
      <c r="BO245" s="494"/>
      <c r="BP245" s="494"/>
      <c r="BQ245" s="494"/>
      <c r="BR245" s="494"/>
      <c r="BS245" s="494"/>
    </row>
    <row r="246" spans="1:71" s="202" customFormat="1" ht="13.15">
      <c r="A246" s="453"/>
      <c r="B246" s="453"/>
      <c r="C246" s="453"/>
      <c r="D246" s="453"/>
      <c r="E246" s="632" t="s">
        <v>1287</v>
      </c>
      <c r="F246" s="633">
        <f t="shared" si="94"/>
        <v>0</v>
      </c>
      <c r="G246" s="632" t="str">
        <f>InpCompany!$F$11</f>
        <v>£m (2017-18 prices)</v>
      </c>
      <c r="H246" s="453"/>
      <c r="I246" s="634"/>
      <c r="J246" s="494"/>
      <c r="K246" s="494"/>
      <c r="L246" s="494"/>
      <c r="M246" s="494"/>
      <c r="N246" s="494"/>
      <c r="O246" s="494"/>
      <c r="P246" s="494"/>
      <c r="Q246" s="496"/>
      <c r="R246" s="494"/>
      <c r="S246" s="494"/>
      <c r="T246" s="494"/>
      <c r="U246" s="494"/>
      <c r="V246" s="494"/>
      <c r="W246" s="494"/>
      <c r="X246" s="494"/>
      <c r="Y246" s="494"/>
      <c r="Z246" s="494"/>
      <c r="AA246" s="494"/>
      <c r="AB246" s="494"/>
      <c r="AC246" s="494"/>
      <c r="AD246" s="494"/>
      <c r="AE246" s="494"/>
      <c r="AF246" s="494"/>
      <c r="AG246" s="494"/>
      <c r="AH246" s="494"/>
      <c r="AI246" s="494"/>
      <c r="AJ246" s="494"/>
      <c r="AK246" s="496"/>
      <c r="AL246" s="494"/>
      <c r="AM246" s="494"/>
      <c r="AN246" s="494"/>
      <c r="AO246" s="496"/>
      <c r="AP246" s="494"/>
      <c r="AQ246" s="494"/>
      <c r="AR246" s="494"/>
      <c r="AS246" s="494"/>
      <c r="AT246" s="494"/>
      <c r="AU246" s="494"/>
      <c r="AV246" s="494"/>
      <c r="AW246" s="494"/>
      <c r="AX246" s="494"/>
      <c r="AY246" s="494"/>
      <c r="AZ246" s="494"/>
      <c r="BA246" s="494"/>
      <c r="BB246" s="494"/>
      <c r="BC246" s="496"/>
      <c r="BD246" s="494"/>
      <c r="BE246" s="494"/>
      <c r="BF246" s="494"/>
      <c r="BG246" s="494"/>
      <c r="BH246" s="494"/>
      <c r="BI246" s="494"/>
      <c r="BJ246" s="494"/>
      <c r="BK246" s="494"/>
      <c r="BL246" s="494"/>
      <c r="BM246" s="494"/>
      <c r="BN246" s="494"/>
      <c r="BO246" s="494"/>
      <c r="BP246" s="494"/>
      <c r="BQ246" s="494"/>
      <c r="BR246" s="494"/>
      <c r="BS246" s="494"/>
    </row>
    <row r="247" spans="1:71" s="202" customFormat="1" ht="13.15">
      <c r="A247" s="453"/>
      <c r="B247" s="453"/>
      <c r="C247" s="453"/>
      <c r="D247" s="453"/>
      <c r="E247" s="632" t="s">
        <v>1288</v>
      </c>
      <c r="F247" s="633">
        <f t="shared" si="94"/>
        <v>0</v>
      </c>
      <c r="G247" s="632" t="str">
        <f>InpCompany!$F$11</f>
        <v>£m (2017-18 prices)</v>
      </c>
      <c r="H247" s="453"/>
      <c r="I247" s="634"/>
      <c r="J247" s="494"/>
      <c r="K247" s="494"/>
      <c r="L247" s="494"/>
      <c r="M247" s="494"/>
      <c r="N247" s="494"/>
      <c r="O247" s="494"/>
      <c r="P247" s="494"/>
      <c r="Q247" s="496"/>
      <c r="R247" s="494"/>
      <c r="S247" s="494"/>
      <c r="T247" s="494"/>
      <c r="U247" s="494"/>
      <c r="V247" s="494"/>
      <c r="W247" s="494"/>
      <c r="X247" s="494"/>
      <c r="Y247" s="494"/>
      <c r="Z247" s="494"/>
      <c r="AA247" s="494"/>
      <c r="AB247" s="494"/>
      <c r="AC247" s="494"/>
      <c r="AD247" s="494"/>
      <c r="AE247" s="494"/>
      <c r="AF247" s="494"/>
      <c r="AG247" s="494"/>
      <c r="AH247" s="494"/>
      <c r="AI247" s="494"/>
      <c r="AJ247" s="494"/>
      <c r="AK247" s="496"/>
      <c r="AL247" s="494"/>
      <c r="AM247" s="494"/>
      <c r="AN247" s="494"/>
      <c r="AO247" s="496"/>
      <c r="AP247" s="494"/>
      <c r="AQ247" s="494"/>
      <c r="AR247" s="494"/>
      <c r="AS247" s="494"/>
      <c r="AT247" s="494"/>
      <c r="AU247" s="494"/>
      <c r="AV247" s="494"/>
      <c r="AW247" s="494"/>
      <c r="AX247" s="494"/>
      <c r="AY247" s="494"/>
      <c r="AZ247" s="494"/>
      <c r="BA247" s="494"/>
      <c r="BB247" s="494"/>
      <c r="BC247" s="496"/>
      <c r="BD247" s="494"/>
      <c r="BE247" s="494"/>
      <c r="BF247" s="494"/>
      <c r="BG247" s="494"/>
      <c r="BH247" s="494"/>
      <c r="BI247" s="494"/>
      <c r="BJ247" s="494"/>
      <c r="BK247" s="494"/>
      <c r="BL247" s="494"/>
      <c r="BM247" s="494"/>
      <c r="BN247" s="494"/>
      <c r="BO247" s="494"/>
      <c r="BP247" s="494"/>
      <c r="BQ247" s="494"/>
      <c r="BR247" s="494"/>
      <c r="BS247" s="494"/>
    </row>
    <row r="248" spans="1:71" s="202" customFormat="1" ht="13.15">
      <c r="A248" s="453"/>
      <c r="B248" s="453"/>
      <c r="C248" s="453"/>
      <c r="D248" s="453"/>
      <c r="E248" s="632" t="s">
        <v>1289</v>
      </c>
      <c r="F248" s="633">
        <f t="shared" si="94"/>
        <v>0</v>
      </c>
      <c r="G248" s="632" t="str">
        <f>InpCompany!$F$11</f>
        <v>£m (2017-18 prices)</v>
      </c>
      <c r="H248" s="453"/>
      <c r="I248" s="634"/>
      <c r="J248" s="494"/>
      <c r="K248" s="494"/>
      <c r="L248" s="494"/>
      <c r="M248" s="494"/>
      <c r="N248" s="494"/>
      <c r="O248" s="494"/>
      <c r="P248" s="494"/>
      <c r="Q248" s="496"/>
      <c r="R248" s="494"/>
      <c r="S248" s="494"/>
      <c r="T248" s="494"/>
      <c r="U248" s="494"/>
      <c r="V248" s="494"/>
      <c r="W248" s="494"/>
      <c r="X248" s="494"/>
      <c r="Y248" s="494"/>
      <c r="Z248" s="494"/>
      <c r="AA248" s="494"/>
      <c r="AB248" s="494"/>
      <c r="AC248" s="494"/>
      <c r="AD248" s="494"/>
      <c r="AE248" s="494"/>
      <c r="AF248" s="494"/>
      <c r="AG248" s="494"/>
      <c r="AH248" s="494"/>
      <c r="AI248" s="494"/>
      <c r="AJ248" s="494"/>
      <c r="AK248" s="496"/>
      <c r="AL248" s="494"/>
      <c r="AM248" s="494"/>
      <c r="AN248" s="494"/>
      <c r="AO248" s="496"/>
      <c r="AP248" s="494"/>
      <c r="AQ248" s="494"/>
      <c r="AR248" s="494"/>
      <c r="AS248" s="494"/>
      <c r="AT248" s="494"/>
      <c r="AU248" s="494"/>
      <c r="AV248" s="494"/>
      <c r="AW248" s="494"/>
      <c r="AX248" s="494"/>
      <c r="AY248" s="494"/>
      <c r="AZ248" s="494"/>
      <c r="BA248" s="494"/>
      <c r="BB248" s="494"/>
      <c r="BC248" s="496"/>
      <c r="BD248" s="494"/>
      <c r="BE248" s="494"/>
      <c r="BF248" s="494"/>
      <c r="BG248" s="494"/>
      <c r="BH248" s="494"/>
      <c r="BI248" s="494"/>
      <c r="BJ248" s="494"/>
      <c r="BK248" s="494"/>
      <c r="BL248" s="494"/>
      <c r="BM248" s="494"/>
      <c r="BN248" s="494"/>
      <c r="BO248" s="494"/>
      <c r="BP248" s="494"/>
      <c r="BQ248" s="494"/>
      <c r="BR248" s="494"/>
      <c r="BS248" s="494"/>
    </row>
    <row r="249" spans="1:71" s="202" customFormat="1" ht="13.15">
      <c r="A249" s="453"/>
      <c r="B249" s="453"/>
      <c r="C249" s="453"/>
      <c r="D249" s="453"/>
      <c r="E249" s="453"/>
      <c r="F249" s="625"/>
      <c r="G249" s="453"/>
      <c r="H249" s="453"/>
      <c r="I249" s="453"/>
      <c r="J249" s="494"/>
      <c r="K249" s="494"/>
      <c r="L249" s="494"/>
      <c r="M249" s="494"/>
      <c r="N249" s="494"/>
      <c r="O249" s="494"/>
      <c r="P249" s="494"/>
      <c r="Q249" s="496"/>
      <c r="R249" s="494"/>
      <c r="S249" s="494"/>
      <c r="T249" s="494"/>
      <c r="U249" s="494"/>
      <c r="V249" s="494"/>
      <c r="W249" s="494"/>
      <c r="X249" s="494"/>
      <c r="Y249" s="494"/>
      <c r="Z249" s="494"/>
      <c r="AA249" s="494"/>
      <c r="AB249" s="494"/>
      <c r="AC249" s="494"/>
      <c r="AD249" s="494"/>
      <c r="AE249" s="494"/>
      <c r="AF249" s="494"/>
      <c r="AG249" s="494"/>
      <c r="AH249" s="494"/>
      <c r="AI249" s="494"/>
      <c r="AJ249" s="494"/>
      <c r="AK249" s="496"/>
      <c r="AL249" s="494"/>
      <c r="AM249" s="494"/>
      <c r="AN249" s="494"/>
      <c r="AO249" s="496"/>
      <c r="AP249" s="494"/>
      <c r="AQ249" s="494"/>
      <c r="AR249" s="494"/>
      <c r="AS249" s="494"/>
      <c r="AT249" s="494"/>
      <c r="AU249" s="494"/>
      <c r="AV249" s="494"/>
      <c r="AW249" s="494"/>
      <c r="AX249" s="494"/>
      <c r="AY249" s="494"/>
      <c r="AZ249" s="494"/>
      <c r="BA249" s="494"/>
      <c r="BB249" s="494"/>
      <c r="BC249" s="496"/>
      <c r="BD249" s="494"/>
      <c r="BE249" s="494"/>
      <c r="BF249" s="494"/>
      <c r="BG249" s="494"/>
      <c r="BH249" s="494"/>
      <c r="BI249" s="494"/>
      <c r="BJ249" s="494"/>
      <c r="BK249" s="494"/>
      <c r="BL249" s="494"/>
      <c r="BM249" s="494"/>
      <c r="BN249" s="494"/>
      <c r="BO249" s="494"/>
      <c r="BP249" s="494"/>
      <c r="BQ249" s="494"/>
      <c r="BR249" s="494"/>
      <c r="BS249" s="494"/>
    </row>
    <row r="250" spans="1:71" s="202" customFormat="1" ht="13.15">
      <c r="A250" s="453"/>
      <c r="B250" s="453"/>
      <c r="C250" s="453"/>
      <c r="D250" s="463" t="s">
        <v>1290</v>
      </c>
      <c r="E250" s="453"/>
      <c r="F250" s="625"/>
      <c r="G250" s="453"/>
      <c r="H250" s="453"/>
      <c r="I250" s="453"/>
      <c r="J250" s="494"/>
      <c r="K250" s="494"/>
      <c r="L250" s="494"/>
      <c r="M250" s="494"/>
      <c r="N250" s="494"/>
      <c r="O250" s="494"/>
      <c r="P250" s="494"/>
      <c r="Q250" s="496"/>
      <c r="R250" s="494"/>
      <c r="S250" s="494"/>
      <c r="T250" s="494"/>
      <c r="U250" s="494"/>
      <c r="V250" s="494"/>
      <c r="W250" s="494"/>
      <c r="X250" s="494"/>
      <c r="Y250" s="494"/>
      <c r="Z250" s="494"/>
      <c r="AA250" s="494"/>
      <c r="AB250" s="494"/>
      <c r="AC250" s="494"/>
      <c r="AD250" s="494"/>
      <c r="AE250" s="494"/>
      <c r="AF250" s="494"/>
      <c r="AG250" s="494"/>
      <c r="AH250" s="494"/>
      <c r="AI250" s="494"/>
      <c r="AJ250" s="494"/>
      <c r="AK250" s="496"/>
      <c r="AL250" s="494"/>
      <c r="AM250" s="494"/>
      <c r="AN250" s="494"/>
      <c r="AO250" s="496"/>
      <c r="AP250" s="494"/>
      <c r="AQ250" s="494"/>
      <c r="AR250" s="494"/>
      <c r="AS250" s="494"/>
      <c r="AT250" s="494"/>
      <c r="AU250" s="494"/>
      <c r="AV250" s="494"/>
      <c r="AW250" s="494"/>
      <c r="AX250" s="494"/>
      <c r="AY250" s="494"/>
      <c r="AZ250" s="494"/>
      <c r="BA250" s="494"/>
      <c r="BB250" s="494"/>
      <c r="BC250" s="496"/>
      <c r="BD250" s="494"/>
      <c r="BE250" s="494"/>
      <c r="BF250" s="494"/>
      <c r="BG250" s="494"/>
      <c r="BH250" s="494"/>
      <c r="BI250" s="494"/>
      <c r="BJ250" s="494"/>
      <c r="BK250" s="494"/>
      <c r="BL250" s="494"/>
      <c r="BM250" s="494"/>
      <c r="BN250" s="494"/>
      <c r="BO250" s="494"/>
      <c r="BP250" s="494"/>
      <c r="BQ250" s="494"/>
      <c r="BR250" s="494"/>
      <c r="BS250" s="494"/>
    </row>
    <row r="251" spans="1:71" s="202" customFormat="1" ht="13.15">
      <c r="A251" s="453"/>
      <c r="B251" s="453"/>
      <c r="C251" s="453"/>
      <c r="D251" s="453"/>
      <c r="E251" s="632" t="s">
        <v>1291</v>
      </c>
      <c r="F251" s="633">
        <f t="shared" ref="F251:F257" si="95">H210</f>
        <v>-0.32354399999999994</v>
      </c>
      <c r="G251" s="632" t="str">
        <f>InpCompany!$F$11</f>
        <v>£m (2017-18 prices)</v>
      </c>
      <c r="H251" s="453"/>
      <c r="I251" s="634"/>
      <c r="J251" s="494"/>
      <c r="K251" s="494"/>
      <c r="L251" s="494"/>
      <c r="M251" s="494"/>
      <c r="N251" s="494"/>
      <c r="O251" s="494"/>
      <c r="P251" s="494"/>
      <c r="Q251" s="496"/>
      <c r="R251" s="494"/>
      <c r="S251" s="494"/>
      <c r="T251" s="494"/>
      <c r="U251" s="494"/>
      <c r="V251" s="494"/>
      <c r="W251" s="494"/>
      <c r="X251" s="494"/>
      <c r="Y251" s="494"/>
      <c r="Z251" s="494"/>
      <c r="AA251" s="494"/>
      <c r="AB251" s="494"/>
      <c r="AC251" s="494"/>
      <c r="AD251" s="494"/>
      <c r="AE251" s="494"/>
      <c r="AF251" s="494"/>
      <c r="AG251" s="494"/>
      <c r="AH251" s="494"/>
      <c r="AI251" s="494"/>
      <c r="AJ251" s="494"/>
      <c r="AK251" s="496"/>
      <c r="AL251" s="494"/>
      <c r="AM251" s="494"/>
      <c r="AN251" s="494"/>
      <c r="AO251" s="496"/>
      <c r="AP251" s="494"/>
      <c r="AQ251" s="494"/>
      <c r="AR251" s="494"/>
      <c r="AS251" s="494"/>
      <c r="AT251" s="494"/>
      <c r="AU251" s="494"/>
      <c r="AV251" s="494"/>
      <c r="AW251" s="494"/>
      <c r="AX251" s="494"/>
      <c r="AY251" s="494"/>
      <c r="AZ251" s="494"/>
      <c r="BA251" s="494"/>
      <c r="BB251" s="494"/>
      <c r="BC251" s="496"/>
      <c r="BD251" s="494"/>
      <c r="BE251" s="494"/>
      <c r="BF251" s="494"/>
      <c r="BG251" s="494"/>
      <c r="BH251" s="494"/>
      <c r="BI251" s="494"/>
      <c r="BJ251" s="494"/>
      <c r="BK251" s="494"/>
      <c r="BL251" s="494"/>
      <c r="BM251" s="494"/>
      <c r="BN251" s="494"/>
      <c r="BO251" s="494"/>
      <c r="BP251" s="494"/>
      <c r="BQ251" s="494"/>
      <c r="BR251" s="494"/>
      <c r="BS251" s="494"/>
    </row>
    <row r="252" spans="1:71" s="202" customFormat="1" ht="13.15">
      <c r="A252" s="453"/>
      <c r="B252" s="453"/>
      <c r="C252" s="453"/>
      <c r="D252" s="453"/>
      <c r="E252" s="632" t="s">
        <v>1292</v>
      </c>
      <c r="F252" s="633">
        <f t="shared" si="95"/>
        <v>-13.457406666666666</v>
      </c>
      <c r="G252" s="632" t="str">
        <f>InpCompany!$F$11</f>
        <v>£m (2017-18 prices)</v>
      </c>
      <c r="H252" s="453"/>
      <c r="I252" s="634"/>
      <c r="J252" s="494"/>
      <c r="K252" s="494"/>
      <c r="L252" s="494"/>
      <c r="M252" s="494"/>
      <c r="N252" s="494"/>
      <c r="O252" s="494"/>
      <c r="P252" s="494"/>
      <c r="Q252" s="496"/>
      <c r="R252" s="494"/>
      <c r="S252" s="494"/>
      <c r="T252" s="494"/>
      <c r="U252" s="494"/>
      <c r="V252" s="494"/>
      <c r="W252" s="494"/>
      <c r="X252" s="494"/>
      <c r="Y252" s="494"/>
      <c r="Z252" s="494"/>
      <c r="AA252" s="494"/>
      <c r="AB252" s="494"/>
      <c r="AC252" s="494"/>
      <c r="AD252" s="494"/>
      <c r="AE252" s="494"/>
      <c r="AF252" s="494"/>
      <c r="AG252" s="494"/>
      <c r="AH252" s="494"/>
      <c r="AI252" s="494"/>
      <c r="AJ252" s="494"/>
      <c r="AK252" s="496"/>
      <c r="AL252" s="494"/>
      <c r="AM252" s="494"/>
      <c r="AN252" s="494"/>
      <c r="AO252" s="496"/>
      <c r="AP252" s="494"/>
      <c r="AQ252" s="494"/>
      <c r="AR252" s="494"/>
      <c r="AS252" s="494"/>
      <c r="AT252" s="494"/>
      <c r="AU252" s="494"/>
      <c r="AV252" s="494"/>
      <c r="AW252" s="494"/>
      <c r="AX252" s="494"/>
      <c r="AY252" s="494"/>
      <c r="AZ252" s="494"/>
      <c r="BA252" s="494"/>
      <c r="BB252" s="494"/>
      <c r="BC252" s="496"/>
      <c r="BD252" s="494"/>
      <c r="BE252" s="494"/>
      <c r="BF252" s="494"/>
      <c r="BG252" s="494"/>
      <c r="BH252" s="494"/>
      <c r="BI252" s="494"/>
      <c r="BJ252" s="494"/>
      <c r="BK252" s="494"/>
      <c r="BL252" s="494"/>
      <c r="BM252" s="494"/>
      <c r="BN252" s="494"/>
      <c r="BO252" s="494"/>
      <c r="BP252" s="494"/>
      <c r="BQ252" s="494"/>
      <c r="BR252" s="494"/>
      <c r="BS252" s="494"/>
    </row>
    <row r="253" spans="1:71" s="202" customFormat="1" ht="13.15">
      <c r="A253" s="453"/>
      <c r="B253" s="453"/>
      <c r="C253" s="453"/>
      <c r="D253" s="453"/>
      <c r="E253" s="632" t="s">
        <v>1293</v>
      </c>
      <c r="F253" s="633">
        <f t="shared" si="95"/>
        <v>-19.353538399999998</v>
      </c>
      <c r="G253" s="632" t="str">
        <f>InpCompany!$F$11</f>
        <v>£m (2017-18 prices)</v>
      </c>
      <c r="H253" s="453"/>
      <c r="I253" s="634"/>
      <c r="J253" s="494"/>
      <c r="K253" s="494"/>
      <c r="L253" s="494"/>
      <c r="M253" s="494"/>
      <c r="N253" s="494"/>
      <c r="O253" s="494"/>
      <c r="P253" s="494"/>
      <c r="Q253" s="496"/>
      <c r="R253" s="494"/>
      <c r="S253" s="494"/>
      <c r="T253" s="494"/>
      <c r="U253" s="494"/>
      <c r="V253" s="494"/>
      <c r="W253" s="494"/>
      <c r="X253" s="494"/>
      <c r="Y253" s="494"/>
      <c r="Z253" s="494"/>
      <c r="AA253" s="494"/>
      <c r="AB253" s="494"/>
      <c r="AC253" s="494"/>
      <c r="AD253" s="494"/>
      <c r="AE253" s="494"/>
      <c r="AF253" s="494"/>
      <c r="AG253" s="494"/>
      <c r="AH253" s="494"/>
      <c r="AI253" s="494"/>
      <c r="AJ253" s="494"/>
      <c r="AK253" s="496"/>
      <c r="AL253" s="494"/>
      <c r="AM253" s="494"/>
      <c r="AN253" s="494"/>
      <c r="AO253" s="496"/>
      <c r="AP253" s="494"/>
      <c r="AQ253" s="494"/>
      <c r="AR253" s="494"/>
      <c r="AS253" s="494"/>
      <c r="AT253" s="494"/>
      <c r="AU253" s="494"/>
      <c r="AV253" s="494"/>
      <c r="AW253" s="494"/>
      <c r="AX253" s="494"/>
      <c r="AY253" s="494"/>
      <c r="AZ253" s="494"/>
      <c r="BA253" s="494"/>
      <c r="BB253" s="494"/>
      <c r="BC253" s="496"/>
      <c r="BD253" s="494"/>
      <c r="BE253" s="494"/>
      <c r="BF253" s="494"/>
      <c r="BG253" s="494"/>
      <c r="BH253" s="494"/>
      <c r="BI253" s="494"/>
      <c r="BJ253" s="494"/>
      <c r="BK253" s="494"/>
      <c r="BL253" s="494"/>
      <c r="BM253" s="494"/>
      <c r="BN253" s="494"/>
      <c r="BO253" s="494"/>
      <c r="BP253" s="494"/>
      <c r="BQ253" s="494"/>
      <c r="BR253" s="494"/>
      <c r="BS253" s="494"/>
    </row>
    <row r="254" spans="1:71" s="202" customFormat="1" ht="13.15">
      <c r="A254" s="453"/>
      <c r="B254" s="453"/>
      <c r="C254" s="453"/>
      <c r="D254" s="453"/>
      <c r="E254" s="632" t="s">
        <v>1294</v>
      </c>
      <c r="F254" s="633">
        <f t="shared" si="95"/>
        <v>-1.2862200000000001</v>
      </c>
      <c r="G254" s="632" t="str">
        <f>InpCompany!$F$11</f>
        <v>£m (2017-18 prices)</v>
      </c>
      <c r="H254" s="453"/>
      <c r="I254" s="634"/>
      <c r="J254" s="494"/>
      <c r="K254" s="494"/>
      <c r="L254" s="494"/>
      <c r="M254" s="494"/>
      <c r="N254" s="494"/>
      <c r="O254" s="494"/>
      <c r="P254" s="494"/>
      <c r="Q254" s="496"/>
      <c r="R254" s="494"/>
      <c r="S254" s="494"/>
      <c r="T254" s="494"/>
      <c r="U254" s="494"/>
      <c r="V254" s="494"/>
      <c r="W254" s="494"/>
      <c r="X254" s="494"/>
      <c r="Y254" s="494"/>
      <c r="Z254" s="494"/>
      <c r="AA254" s="494"/>
      <c r="AB254" s="494"/>
      <c r="AC254" s="494"/>
      <c r="AD254" s="494"/>
      <c r="AE254" s="494"/>
      <c r="AF254" s="494"/>
      <c r="AG254" s="494"/>
      <c r="AH254" s="494"/>
      <c r="AI254" s="494"/>
      <c r="AJ254" s="494"/>
      <c r="AK254" s="496"/>
      <c r="AL254" s="494"/>
      <c r="AM254" s="494"/>
      <c r="AN254" s="494"/>
      <c r="AO254" s="496"/>
      <c r="AP254" s="494"/>
      <c r="AQ254" s="494"/>
      <c r="AR254" s="494"/>
      <c r="AS254" s="494"/>
      <c r="AT254" s="494"/>
      <c r="AU254" s="494"/>
      <c r="AV254" s="494"/>
      <c r="AW254" s="494"/>
      <c r="AX254" s="494"/>
      <c r="AY254" s="494"/>
      <c r="AZ254" s="494"/>
      <c r="BA254" s="494"/>
      <c r="BB254" s="494"/>
      <c r="BC254" s="496"/>
      <c r="BD254" s="494"/>
      <c r="BE254" s="494"/>
      <c r="BF254" s="494"/>
      <c r="BG254" s="494"/>
      <c r="BH254" s="494"/>
      <c r="BI254" s="494"/>
      <c r="BJ254" s="494"/>
      <c r="BK254" s="494"/>
      <c r="BL254" s="494"/>
      <c r="BM254" s="494"/>
      <c r="BN254" s="494"/>
      <c r="BO254" s="494"/>
      <c r="BP254" s="494"/>
      <c r="BQ254" s="494"/>
      <c r="BR254" s="494"/>
      <c r="BS254" s="494"/>
    </row>
    <row r="255" spans="1:71" s="202" customFormat="1" ht="13.15">
      <c r="A255" s="453"/>
      <c r="B255" s="453"/>
      <c r="C255" s="453"/>
      <c r="D255" s="453"/>
      <c r="E255" s="632" t="s">
        <v>1295</v>
      </c>
      <c r="F255" s="633">
        <f t="shared" si="95"/>
        <v>-0.6</v>
      </c>
      <c r="G255" s="632" t="str">
        <f>InpCompany!$F$11</f>
        <v>£m (2017-18 prices)</v>
      </c>
      <c r="H255" s="453"/>
      <c r="I255" s="634"/>
      <c r="J255" s="494"/>
      <c r="K255" s="494"/>
      <c r="L255" s="494"/>
      <c r="M255" s="494"/>
      <c r="N255" s="494"/>
      <c r="O255" s="494"/>
      <c r="P255" s="494"/>
      <c r="Q255" s="496"/>
      <c r="R255" s="494"/>
      <c r="S255" s="494"/>
      <c r="T255" s="494"/>
      <c r="U255" s="494"/>
      <c r="V255" s="494"/>
      <c r="W255" s="494"/>
      <c r="X255" s="494"/>
      <c r="Y255" s="494"/>
      <c r="Z255" s="494"/>
      <c r="AA255" s="494"/>
      <c r="AB255" s="494"/>
      <c r="AC255" s="494"/>
      <c r="AD255" s="494"/>
      <c r="AE255" s="494"/>
      <c r="AF255" s="494"/>
      <c r="AG255" s="494"/>
      <c r="AH255" s="494"/>
      <c r="AI255" s="494"/>
      <c r="AJ255" s="494"/>
      <c r="AK255" s="496"/>
      <c r="AL255" s="494"/>
      <c r="AM255" s="494"/>
      <c r="AN255" s="494"/>
      <c r="AO255" s="496"/>
      <c r="AP255" s="494"/>
      <c r="AQ255" s="494"/>
      <c r="AR255" s="494"/>
      <c r="AS255" s="494"/>
      <c r="AT255" s="494"/>
      <c r="AU255" s="494"/>
      <c r="AV255" s="494"/>
      <c r="AW255" s="494"/>
      <c r="AX255" s="494"/>
      <c r="AY255" s="494"/>
      <c r="AZ255" s="494"/>
      <c r="BA255" s="494"/>
      <c r="BB255" s="494"/>
      <c r="BC255" s="496"/>
      <c r="BD255" s="494"/>
      <c r="BE255" s="494"/>
      <c r="BF255" s="494"/>
      <c r="BG255" s="494"/>
      <c r="BH255" s="494"/>
      <c r="BI255" s="494"/>
      <c r="BJ255" s="494"/>
      <c r="BK255" s="494"/>
      <c r="BL255" s="494"/>
      <c r="BM255" s="494"/>
      <c r="BN255" s="494"/>
      <c r="BO255" s="494"/>
      <c r="BP255" s="494"/>
      <c r="BQ255" s="494"/>
      <c r="BR255" s="494"/>
      <c r="BS255" s="494"/>
    </row>
    <row r="256" spans="1:71" s="202" customFormat="1" ht="13.15">
      <c r="A256" s="453"/>
      <c r="B256" s="453"/>
      <c r="C256" s="453"/>
      <c r="D256" s="453"/>
      <c r="E256" s="632" t="s">
        <v>1296</v>
      </c>
      <c r="F256" s="633">
        <f t="shared" si="95"/>
        <v>0</v>
      </c>
      <c r="G256" s="632" t="str">
        <f>InpCompany!$F$11</f>
        <v>£m (2017-18 prices)</v>
      </c>
      <c r="H256" s="453"/>
      <c r="I256" s="634"/>
      <c r="J256" s="494"/>
      <c r="K256" s="494"/>
      <c r="L256" s="494"/>
      <c r="M256" s="494"/>
      <c r="N256" s="494"/>
      <c r="O256" s="494"/>
      <c r="P256" s="494"/>
      <c r="Q256" s="496"/>
      <c r="R256" s="494"/>
      <c r="S256" s="494"/>
      <c r="T256" s="494"/>
      <c r="U256" s="494"/>
      <c r="V256" s="494"/>
      <c r="W256" s="494"/>
      <c r="X256" s="494"/>
      <c r="Y256" s="494"/>
      <c r="Z256" s="494"/>
      <c r="AA256" s="494"/>
      <c r="AB256" s="494"/>
      <c r="AC256" s="494"/>
      <c r="AD256" s="494"/>
      <c r="AE256" s="494"/>
      <c r="AF256" s="494"/>
      <c r="AG256" s="494"/>
      <c r="AH256" s="494"/>
      <c r="AI256" s="494"/>
      <c r="AJ256" s="494"/>
      <c r="AK256" s="496"/>
      <c r="AL256" s="494"/>
      <c r="AM256" s="494"/>
      <c r="AN256" s="494"/>
      <c r="AO256" s="496"/>
      <c r="AP256" s="494"/>
      <c r="AQ256" s="494"/>
      <c r="AR256" s="494"/>
      <c r="AS256" s="494"/>
      <c r="AT256" s="494"/>
      <c r="AU256" s="494"/>
      <c r="AV256" s="494"/>
      <c r="AW256" s="494"/>
      <c r="AX256" s="494"/>
      <c r="AY256" s="494"/>
      <c r="AZ256" s="494"/>
      <c r="BA256" s="494"/>
      <c r="BB256" s="494"/>
      <c r="BC256" s="496"/>
      <c r="BD256" s="494"/>
      <c r="BE256" s="494"/>
      <c r="BF256" s="494"/>
      <c r="BG256" s="494"/>
      <c r="BH256" s="494"/>
      <c r="BI256" s="494"/>
      <c r="BJ256" s="494"/>
      <c r="BK256" s="494"/>
      <c r="BL256" s="494"/>
      <c r="BM256" s="494"/>
      <c r="BN256" s="494"/>
      <c r="BO256" s="494"/>
      <c r="BP256" s="494"/>
      <c r="BQ256" s="494"/>
      <c r="BR256" s="494"/>
      <c r="BS256" s="494"/>
    </row>
    <row r="257" spans="1:71" s="202" customFormat="1" ht="13.15">
      <c r="A257" s="453"/>
      <c r="B257" s="453"/>
      <c r="C257" s="453"/>
      <c r="D257" s="453"/>
      <c r="E257" s="1423" t="s">
        <v>1297</v>
      </c>
      <c r="F257" s="633">
        <f t="shared" si="95"/>
        <v>0</v>
      </c>
      <c r="G257" s="632" t="str">
        <f>InpCompany!$F$11</f>
        <v>£m (2017-18 prices)</v>
      </c>
      <c r="H257" s="453"/>
      <c r="I257" s="634"/>
      <c r="J257" s="494"/>
      <c r="K257" s="494"/>
      <c r="L257" s="494"/>
      <c r="M257" s="494"/>
      <c r="N257" s="494"/>
      <c r="O257" s="494"/>
      <c r="P257" s="494"/>
      <c r="Q257" s="496"/>
      <c r="R257" s="494"/>
      <c r="S257" s="494"/>
      <c r="T257" s="494"/>
      <c r="U257" s="494"/>
      <c r="V257" s="494"/>
      <c r="W257" s="494"/>
      <c r="X257" s="494"/>
      <c r="Y257" s="494"/>
      <c r="Z257" s="494"/>
      <c r="AA257" s="494"/>
      <c r="AB257" s="494"/>
      <c r="AC257" s="494"/>
      <c r="AD257" s="494"/>
      <c r="AE257" s="494"/>
      <c r="AF257" s="494"/>
      <c r="AG257" s="494"/>
      <c r="AH257" s="494"/>
      <c r="AI257" s="494"/>
      <c r="AJ257" s="494"/>
      <c r="AK257" s="496"/>
      <c r="AL257" s="494"/>
      <c r="AM257" s="494"/>
      <c r="AN257" s="494"/>
      <c r="AO257" s="496"/>
      <c r="AP257" s="494"/>
      <c r="AQ257" s="494"/>
      <c r="AR257" s="494"/>
      <c r="AS257" s="494"/>
      <c r="AT257" s="494"/>
      <c r="AU257" s="494"/>
      <c r="AV257" s="494"/>
      <c r="AW257" s="494"/>
      <c r="AX257" s="494"/>
      <c r="AY257" s="494"/>
      <c r="AZ257" s="494"/>
      <c r="BA257" s="494"/>
      <c r="BB257" s="494"/>
      <c r="BC257" s="496"/>
      <c r="BD257" s="494"/>
      <c r="BE257" s="494"/>
      <c r="BF257" s="494"/>
      <c r="BG257" s="494"/>
      <c r="BH257" s="494"/>
      <c r="BI257" s="494"/>
      <c r="BJ257" s="494"/>
      <c r="BK257" s="494"/>
      <c r="BL257" s="494"/>
      <c r="BM257" s="494"/>
      <c r="BN257" s="494"/>
      <c r="BO257" s="494"/>
      <c r="BP257" s="494"/>
      <c r="BQ257" s="494"/>
      <c r="BR257" s="494"/>
      <c r="BS257" s="494"/>
    </row>
    <row r="258" spans="1:71" s="202" customFormat="1" ht="13.15">
      <c r="A258" s="453"/>
      <c r="B258" s="453"/>
      <c r="C258" s="453"/>
      <c r="D258" s="453"/>
      <c r="E258" s="453"/>
      <c r="F258" s="625"/>
      <c r="G258" s="453"/>
      <c r="H258" s="453"/>
      <c r="I258" s="453"/>
      <c r="J258" s="494"/>
      <c r="K258" s="494"/>
      <c r="L258" s="494"/>
      <c r="M258" s="494"/>
      <c r="N258" s="494"/>
      <c r="O258" s="494"/>
      <c r="P258" s="494"/>
      <c r="Q258" s="496"/>
      <c r="R258" s="494"/>
      <c r="S258" s="494"/>
      <c r="T258" s="494"/>
      <c r="U258" s="494"/>
      <c r="V258" s="494"/>
      <c r="W258" s="494"/>
      <c r="X258" s="494"/>
      <c r="Y258" s="494"/>
      <c r="Z258" s="494"/>
      <c r="AA258" s="494"/>
      <c r="AB258" s="494"/>
      <c r="AC258" s="494"/>
      <c r="AD258" s="494"/>
      <c r="AE258" s="494"/>
      <c r="AF258" s="494"/>
      <c r="AG258" s="494"/>
      <c r="AH258" s="494"/>
      <c r="AI258" s="494"/>
      <c r="AJ258" s="494"/>
      <c r="AK258" s="496"/>
      <c r="AL258" s="494"/>
      <c r="AM258" s="494"/>
      <c r="AN258" s="494"/>
      <c r="AO258" s="496"/>
      <c r="AP258" s="494"/>
      <c r="AQ258" s="494"/>
      <c r="AR258" s="494"/>
      <c r="AS258" s="494"/>
      <c r="AT258" s="494"/>
      <c r="AU258" s="494"/>
      <c r="AV258" s="494"/>
      <c r="AW258" s="494"/>
      <c r="AX258" s="494"/>
      <c r="AY258" s="494"/>
      <c r="AZ258" s="494"/>
      <c r="BA258" s="494"/>
      <c r="BB258" s="494"/>
      <c r="BC258" s="496"/>
      <c r="BD258" s="494"/>
      <c r="BE258" s="494"/>
      <c r="BF258" s="494"/>
      <c r="BG258" s="494"/>
      <c r="BH258" s="494"/>
      <c r="BI258" s="494"/>
      <c r="BJ258" s="494"/>
      <c r="BK258" s="494"/>
      <c r="BL258" s="494"/>
      <c r="BM258" s="494"/>
      <c r="BN258" s="494"/>
      <c r="BO258" s="494"/>
      <c r="BP258" s="494"/>
      <c r="BQ258" s="494"/>
      <c r="BR258" s="494"/>
      <c r="BS258" s="494"/>
    </row>
    <row r="259" spans="1:71" s="202" customFormat="1" ht="13.15">
      <c r="A259" s="453"/>
      <c r="B259" s="453"/>
      <c r="C259" s="453"/>
      <c r="D259" s="463" t="s">
        <v>1298</v>
      </c>
      <c r="E259" s="463"/>
      <c r="F259" s="625"/>
      <c r="G259" s="453"/>
      <c r="H259" s="453"/>
      <c r="I259" s="453"/>
      <c r="J259" s="494"/>
      <c r="K259" s="494"/>
      <c r="L259" s="494"/>
      <c r="M259" s="494"/>
      <c r="N259" s="494"/>
      <c r="O259" s="494"/>
      <c r="P259" s="494"/>
      <c r="Q259" s="496"/>
      <c r="R259" s="494"/>
      <c r="S259" s="494"/>
      <c r="T259" s="494"/>
      <c r="U259" s="494"/>
      <c r="V259" s="494"/>
      <c r="W259" s="494"/>
      <c r="X259" s="494"/>
      <c r="Y259" s="494"/>
      <c r="Z259" s="494"/>
      <c r="AA259" s="494"/>
      <c r="AB259" s="494"/>
      <c r="AC259" s="494"/>
      <c r="AD259" s="494"/>
      <c r="AE259" s="494"/>
      <c r="AF259" s="494"/>
      <c r="AG259" s="494"/>
      <c r="AH259" s="494"/>
      <c r="AI259" s="494"/>
      <c r="AJ259" s="494"/>
      <c r="AK259" s="496"/>
      <c r="AL259" s="494"/>
      <c r="AM259" s="494"/>
      <c r="AN259" s="494"/>
      <c r="AO259" s="496"/>
      <c r="AP259" s="494"/>
      <c r="AQ259" s="494"/>
      <c r="AR259" s="494"/>
      <c r="AS259" s="494"/>
      <c r="AT259" s="494"/>
      <c r="AU259" s="494"/>
      <c r="AV259" s="494"/>
      <c r="AW259" s="494"/>
      <c r="AX259" s="494"/>
      <c r="AY259" s="494"/>
      <c r="AZ259" s="494"/>
      <c r="BA259" s="494"/>
      <c r="BB259" s="494"/>
      <c r="BC259" s="496"/>
      <c r="BD259" s="494"/>
      <c r="BE259" s="494"/>
      <c r="BF259" s="494"/>
      <c r="BG259" s="494"/>
      <c r="BH259" s="494"/>
      <c r="BI259" s="494"/>
      <c r="BJ259" s="494"/>
      <c r="BK259" s="494"/>
      <c r="BL259" s="494"/>
      <c r="BM259" s="494"/>
      <c r="BN259" s="494"/>
      <c r="BO259" s="494"/>
      <c r="BP259" s="494"/>
      <c r="BQ259" s="494"/>
      <c r="BR259" s="494"/>
      <c r="BS259" s="494"/>
    </row>
    <row r="260" spans="1:71" s="202" customFormat="1" ht="13.15">
      <c r="A260" s="453"/>
      <c r="B260" s="453"/>
      <c r="C260" s="453"/>
      <c r="D260" s="453"/>
      <c r="E260" s="453" t="s">
        <v>1299</v>
      </c>
      <c r="F260" s="625">
        <f t="shared" ref="F260:F266" si="96">H219</f>
        <v>0.51100000000000001</v>
      </c>
      <c r="G260" s="453" t="str">
        <f>InpCompany!$F$11</f>
        <v>£m (2017-18 prices)</v>
      </c>
      <c r="H260" s="453"/>
      <c r="I260" s="630"/>
      <c r="J260" s="494"/>
      <c r="K260" s="494"/>
      <c r="L260" s="494"/>
      <c r="M260" s="494"/>
      <c r="N260" s="494"/>
      <c r="O260" s="494"/>
      <c r="P260" s="494"/>
      <c r="Q260" s="496"/>
      <c r="R260" s="494"/>
      <c r="S260" s="494"/>
      <c r="T260" s="494"/>
      <c r="U260" s="494"/>
      <c r="V260" s="494"/>
      <c r="W260" s="494"/>
      <c r="X260" s="494"/>
      <c r="Y260" s="494"/>
      <c r="Z260" s="494"/>
      <c r="AA260" s="494"/>
      <c r="AB260" s="494"/>
      <c r="AC260" s="494"/>
      <c r="AD260" s="494"/>
      <c r="AE260" s="494"/>
      <c r="AF260" s="494"/>
      <c r="AG260" s="494"/>
      <c r="AH260" s="494"/>
      <c r="AI260" s="494"/>
      <c r="AJ260" s="494"/>
      <c r="AK260" s="496"/>
      <c r="AL260" s="494"/>
      <c r="AM260" s="494"/>
      <c r="AN260" s="494"/>
      <c r="AO260" s="496"/>
      <c r="AP260" s="494"/>
      <c r="AQ260" s="494"/>
      <c r="AR260" s="494"/>
      <c r="AS260" s="494"/>
      <c r="AT260" s="494"/>
      <c r="AU260" s="494"/>
      <c r="AV260" s="494"/>
      <c r="AW260" s="494"/>
      <c r="AX260" s="494"/>
      <c r="AY260" s="494"/>
      <c r="AZ260" s="494"/>
      <c r="BA260" s="494"/>
      <c r="BB260" s="494"/>
      <c r="BC260" s="496"/>
      <c r="BD260" s="494"/>
      <c r="BE260" s="494"/>
      <c r="BF260" s="494"/>
      <c r="BG260" s="494"/>
      <c r="BH260" s="494"/>
      <c r="BI260" s="494"/>
      <c r="BJ260" s="494"/>
      <c r="BK260" s="494"/>
      <c r="BL260" s="494"/>
      <c r="BM260" s="494"/>
      <c r="BN260" s="494"/>
      <c r="BO260" s="494"/>
      <c r="BP260" s="494"/>
      <c r="BQ260" s="494"/>
      <c r="BR260" s="494"/>
      <c r="BS260" s="494"/>
    </row>
    <row r="261" spans="1:71" s="202" customFormat="1" ht="13.15">
      <c r="A261" s="453"/>
      <c r="B261" s="453"/>
      <c r="C261" s="453"/>
      <c r="D261" s="453"/>
      <c r="E261" s="453" t="s">
        <v>1300</v>
      </c>
      <c r="F261" s="625">
        <f t="shared" si="96"/>
        <v>0</v>
      </c>
      <c r="G261" s="453" t="str">
        <f>InpCompany!$F$11</f>
        <v>£m (2017-18 prices)</v>
      </c>
      <c r="H261" s="453"/>
      <c r="I261" s="630"/>
      <c r="J261" s="494"/>
      <c r="K261" s="494"/>
      <c r="L261" s="494"/>
      <c r="M261" s="494"/>
      <c r="N261" s="494"/>
      <c r="O261" s="494"/>
      <c r="P261" s="494"/>
      <c r="Q261" s="496"/>
      <c r="R261" s="494"/>
      <c r="S261" s="494"/>
      <c r="T261" s="494"/>
      <c r="U261" s="494"/>
      <c r="V261" s="494"/>
      <c r="W261" s="494"/>
      <c r="X261" s="494"/>
      <c r="Y261" s="494"/>
      <c r="Z261" s="494"/>
      <c r="AA261" s="494"/>
      <c r="AB261" s="494"/>
      <c r="AC261" s="494"/>
      <c r="AD261" s="494"/>
      <c r="AE261" s="494"/>
      <c r="AF261" s="494"/>
      <c r="AG261" s="494"/>
      <c r="AH261" s="494"/>
      <c r="AI261" s="494"/>
      <c r="AJ261" s="494"/>
      <c r="AK261" s="496"/>
      <c r="AL261" s="494"/>
      <c r="AM261" s="494"/>
      <c r="AN261" s="494"/>
      <c r="AO261" s="496"/>
      <c r="AP261" s="494"/>
      <c r="AQ261" s="494"/>
      <c r="AR261" s="494"/>
      <c r="AS261" s="494"/>
      <c r="AT261" s="494"/>
      <c r="AU261" s="494"/>
      <c r="AV261" s="494"/>
      <c r="AW261" s="494"/>
      <c r="AX261" s="494"/>
      <c r="AY261" s="494"/>
      <c r="AZ261" s="494"/>
      <c r="BA261" s="494"/>
      <c r="BB261" s="494"/>
      <c r="BC261" s="496"/>
      <c r="BD261" s="494"/>
      <c r="BE261" s="494"/>
      <c r="BF261" s="494"/>
      <c r="BG261" s="494"/>
      <c r="BH261" s="494"/>
      <c r="BI261" s="494"/>
      <c r="BJ261" s="494"/>
      <c r="BK261" s="494"/>
      <c r="BL261" s="494"/>
      <c r="BM261" s="494"/>
      <c r="BN261" s="494"/>
      <c r="BO261" s="494"/>
      <c r="BP261" s="494"/>
      <c r="BQ261" s="494"/>
      <c r="BR261" s="494"/>
      <c r="BS261" s="494"/>
    </row>
    <row r="262" spans="1:71" s="202" customFormat="1" ht="13.15">
      <c r="A262" s="453"/>
      <c r="B262" s="453"/>
      <c r="C262" s="453"/>
      <c r="D262" s="453"/>
      <c r="E262" s="453" t="s">
        <v>1301</v>
      </c>
      <c r="F262" s="625">
        <f t="shared" si="96"/>
        <v>1.70299991</v>
      </c>
      <c r="G262" s="453" t="str">
        <f>InpCompany!$F$11</f>
        <v>£m (2017-18 prices)</v>
      </c>
      <c r="H262" s="453"/>
      <c r="I262" s="630"/>
      <c r="J262" s="494"/>
      <c r="K262" s="494"/>
      <c r="L262" s="494"/>
      <c r="M262" s="494"/>
      <c r="N262" s="494"/>
      <c r="O262" s="494"/>
      <c r="P262" s="494"/>
      <c r="Q262" s="496"/>
      <c r="R262" s="494"/>
      <c r="S262" s="494"/>
      <c r="T262" s="494"/>
      <c r="U262" s="494"/>
      <c r="V262" s="494"/>
      <c r="W262" s="494"/>
      <c r="X262" s="494"/>
      <c r="Y262" s="494"/>
      <c r="Z262" s="494"/>
      <c r="AA262" s="494"/>
      <c r="AB262" s="494"/>
      <c r="AC262" s="494"/>
      <c r="AD262" s="494"/>
      <c r="AE262" s="494"/>
      <c r="AF262" s="494"/>
      <c r="AG262" s="494"/>
      <c r="AH262" s="494"/>
      <c r="AI262" s="494"/>
      <c r="AJ262" s="494"/>
      <c r="AK262" s="496"/>
      <c r="AL262" s="494"/>
      <c r="AM262" s="494"/>
      <c r="AN262" s="494"/>
      <c r="AO262" s="496"/>
      <c r="AP262" s="494"/>
      <c r="AQ262" s="494"/>
      <c r="AR262" s="494"/>
      <c r="AS262" s="494"/>
      <c r="AT262" s="494"/>
      <c r="AU262" s="494"/>
      <c r="AV262" s="494"/>
      <c r="AW262" s="494"/>
      <c r="AX262" s="494"/>
      <c r="AY262" s="494"/>
      <c r="AZ262" s="494"/>
      <c r="BA262" s="494"/>
      <c r="BB262" s="494"/>
      <c r="BC262" s="496"/>
      <c r="BD262" s="494"/>
      <c r="BE262" s="494"/>
      <c r="BF262" s="494"/>
      <c r="BG262" s="494"/>
      <c r="BH262" s="494"/>
      <c r="BI262" s="494"/>
      <c r="BJ262" s="494"/>
      <c r="BK262" s="494"/>
      <c r="BL262" s="494"/>
      <c r="BM262" s="494"/>
      <c r="BN262" s="494"/>
      <c r="BO262" s="494"/>
      <c r="BP262" s="494"/>
      <c r="BQ262" s="494"/>
      <c r="BR262" s="494"/>
      <c r="BS262" s="494"/>
    </row>
    <row r="263" spans="1:71" s="202" customFormat="1" ht="13.15">
      <c r="A263" s="453"/>
      <c r="B263" s="453"/>
      <c r="C263" s="453"/>
      <c r="D263" s="453"/>
      <c r="E263" s="453" t="s">
        <v>1302</v>
      </c>
      <c r="F263" s="625">
        <f t="shared" si="96"/>
        <v>0</v>
      </c>
      <c r="G263" s="453" t="str">
        <f>InpCompany!$F$11</f>
        <v>£m (2017-18 prices)</v>
      </c>
      <c r="H263" s="453"/>
      <c r="I263" s="630"/>
      <c r="J263" s="494"/>
      <c r="K263" s="494"/>
      <c r="L263" s="494"/>
      <c r="M263" s="494"/>
      <c r="N263" s="494"/>
      <c r="O263" s="494"/>
      <c r="P263" s="494"/>
      <c r="Q263" s="496"/>
      <c r="R263" s="494"/>
      <c r="S263" s="494"/>
      <c r="T263" s="494"/>
      <c r="U263" s="494"/>
      <c r="V263" s="494"/>
      <c r="W263" s="494"/>
      <c r="X263" s="494"/>
      <c r="Y263" s="494"/>
      <c r="Z263" s="494"/>
      <c r="AA263" s="494"/>
      <c r="AB263" s="494"/>
      <c r="AC263" s="494"/>
      <c r="AD263" s="494"/>
      <c r="AE263" s="494"/>
      <c r="AF263" s="494"/>
      <c r="AG263" s="494"/>
      <c r="AH263" s="494"/>
      <c r="AI263" s="494"/>
      <c r="AJ263" s="494"/>
      <c r="AK263" s="496"/>
      <c r="AL263" s="494"/>
      <c r="AM263" s="494"/>
      <c r="AN263" s="494"/>
      <c r="AO263" s="496"/>
      <c r="AP263" s="494"/>
      <c r="AQ263" s="494"/>
      <c r="AR263" s="494"/>
      <c r="AS263" s="494"/>
      <c r="AT263" s="494"/>
      <c r="AU263" s="494"/>
      <c r="AV263" s="494"/>
      <c r="AW263" s="494"/>
      <c r="AX263" s="494"/>
      <c r="AY263" s="494"/>
      <c r="AZ263" s="494"/>
      <c r="BA263" s="494"/>
      <c r="BB263" s="494"/>
      <c r="BC263" s="496"/>
      <c r="BD263" s="494"/>
      <c r="BE263" s="494"/>
      <c r="BF263" s="494"/>
      <c r="BG263" s="494"/>
      <c r="BH263" s="494"/>
      <c r="BI263" s="494"/>
      <c r="BJ263" s="494"/>
      <c r="BK263" s="494"/>
      <c r="BL263" s="494"/>
      <c r="BM263" s="494"/>
      <c r="BN263" s="494"/>
      <c r="BO263" s="494"/>
      <c r="BP263" s="494"/>
      <c r="BQ263" s="494"/>
      <c r="BR263" s="494"/>
      <c r="BS263" s="494"/>
    </row>
    <row r="264" spans="1:71" s="202" customFormat="1" ht="13.15">
      <c r="A264" s="453"/>
      <c r="B264" s="453"/>
      <c r="C264" s="453"/>
      <c r="D264" s="453"/>
      <c r="E264" s="453" t="s">
        <v>1303</v>
      </c>
      <c r="F264" s="625">
        <f t="shared" si="96"/>
        <v>0</v>
      </c>
      <c r="G264" s="453" t="str">
        <f>InpCompany!$F$11</f>
        <v>£m (2017-18 prices)</v>
      </c>
      <c r="H264" s="453"/>
      <c r="I264" s="630"/>
      <c r="J264" s="494"/>
      <c r="K264" s="494"/>
      <c r="L264" s="494"/>
      <c r="M264" s="494"/>
      <c r="N264" s="494"/>
      <c r="O264" s="494"/>
      <c r="P264" s="494"/>
      <c r="Q264" s="496"/>
      <c r="R264" s="494"/>
      <c r="S264" s="494"/>
      <c r="T264" s="494"/>
      <c r="U264" s="494"/>
      <c r="V264" s="494"/>
      <c r="W264" s="494"/>
      <c r="X264" s="494"/>
      <c r="Y264" s="494"/>
      <c r="Z264" s="494"/>
      <c r="AA264" s="494"/>
      <c r="AB264" s="494"/>
      <c r="AC264" s="494"/>
      <c r="AD264" s="494"/>
      <c r="AE264" s="494"/>
      <c r="AF264" s="494"/>
      <c r="AG264" s="494"/>
      <c r="AH264" s="494"/>
      <c r="AI264" s="494"/>
      <c r="AJ264" s="494"/>
      <c r="AK264" s="496"/>
      <c r="AL264" s="494"/>
      <c r="AM264" s="494"/>
      <c r="AN264" s="494"/>
      <c r="AO264" s="496"/>
      <c r="AP264" s="494"/>
      <c r="AQ264" s="494"/>
      <c r="AR264" s="494"/>
      <c r="AS264" s="494"/>
      <c r="AT264" s="494"/>
      <c r="AU264" s="494"/>
      <c r="AV264" s="494"/>
      <c r="AW264" s="494"/>
      <c r="AX264" s="494"/>
      <c r="AY264" s="494"/>
      <c r="AZ264" s="494"/>
      <c r="BA264" s="494"/>
      <c r="BB264" s="494"/>
      <c r="BC264" s="496"/>
      <c r="BD264" s="494"/>
      <c r="BE264" s="494"/>
      <c r="BF264" s="494"/>
      <c r="BG264" s="494"/>
      <c r="BH264" s="494"/>
      <c r="BI264" s="494"/>
      <c r="BJ264" s="494"/>
      <c r="BK264" s="494"/>
      <c r="BL264" s="494"/>
      <c r="BM264" s="494"/>
      <c r="BN264" s="494"/>
      <c r="BO264" s="494"/>
      <c r="BP264" s="494"/>
      <c r="BQ264" s="494"/>
      <c r="BR264" s="494"/>
      <c r="BS264" s="494"/>
    </row>
    <row r="265" spans="1:71" s="202" customFormat="1" ht="13.15">
      <c r="A265" s="453"/>
      <c r="B265" s="453"/>
      <c r="C265" s="453"/>
      <c r="D265" s="453"/>
      <c r="E265" s="453" t="s">
        <v>1304</v>
      </c>
      <c r="F265" s="625">
        <f t="shared" si="96"/>
        <v>0</v>
      </c>
      <c r="G265" s="453" t="str">
        <f>InpCompany!$F$11</f>
        <v>£m (2017-18 prices)</v>
      </c>
      <c r="H265" s="453"/>
      <c r="I265" s="630"/>
      <c r="J265" s="494"/>
      <c r="K265" s="494"/>
      <c r="L265" s="494"/>
      <c r="M265" s="494"/>
      <c r="N265" s="494"/>
      <c r="O265" s="494"/>
      <c r="P265" s="494"/>
      <c r="Q265" s="496"/>
      <c r="R265" s="494"/>
      <c r="S265" s="494"/>
      <c r="T265" s="494"/>
      <c r="U265" s="494"/>
      <c r="V265" s="494"/>
      <c r="W265" s="494"/>
      <c r="X265" s="494"/>
      <c r="Y265" s="494"/>
      <c r="Z265" s="494"/>
      <c r="AA265" s="494"/>
      <c r="AB265" s="494"/>
      <c r="AC265" s="494"/>
      <c r="AD265" s="494"/>
      <c r="AE265" s="494"/>
      <c r="AF265" s="494"/>
      <c r="AG265" s="494"/>
      <c r="AH265" s="494"/>
      <c r="AI265" s="494"/>
      <c r="AJ265" s="494"/>
      <c r="AK265" s="496"/>
      <c r="AL265" s="494"/>
      <c r="AM265" s="494"/>
      <c r="AN265" s="494"/>
      <c r="AO265" s="496"/>
      <c r="AP265" s="494"/>
      <c r="AQ265" s="494"/>
      <c r="AR265" s="494"/>
      <c r="AS265" s="494"/>
      <c r="AT265" s="494"/>
      <c r="AU265" s="494"/>
      <c r="AV265" s="494"/>
      <c r="AW265" s="494"/>
      <c r="AX265" s="494"/>
      <c r="AY265" s="494"/>
      <c r="AZ265" s="494"/>
      <c r="BA265" s="494"/>
      <c r="BB265" s="494"/>
      <c r="BC265" s="496"/>
      <c r="BD265" s="494"/>
      <c r="BE265" s="494"/>
      <c r="BF265" s="494"/>
      <c r="BG265" s="494"/>
      <c r="BH265" s="494"/>
      <c r="BI265" s="494"/>
      <c r="BJ265" s="494"/>
      <c r="BK265" s="494"/>
      <c r="BL265" s="494"/>
      <c r="BM265" s="494"/>
      <c r="BN265" s="494"/>
      <c r="BO265" s="494"/>
      <c r="BP265" s="494"/>
      <c r="BQ265" s="494"/>
      <c r="BR265" s="494"/>
      <c r="BS265" s="494"/>
    </row>
    <row r="266" spans="1:71" s="202" customFormat="1" ht="13.15">
      <c r="A266" s="453"/>
      <c r="B266" s="453"/>
      <c r="C266" s="453"/>
      <c r="D266" s="453"/>
      <c r="E266" s="453" t="s">
        <v>1305</v>
      </c>
      <c r="F266" s="625">
        <f t="shared" si="96"/>
        <v>0</v>
      </c>
      <c r="G266" s="453" t="str">
        <f>InpCompany!$F$11</f>
        <v>£m (2017-18 prices)</v>
      </c>
      <c r="H266" s="453"/>
      <c r="I266" s="630"/>
      <c r="J266" s="494"/>
      <c r="K266" s="494"/>
      <c r="L266" s="494"/>
      <c r="M266" s="494"/>
      <c r="N266" s="494"/>
      <c r="O266" s="494"/>
      <c r="P266" s="494"/>
      <c r="Q266" s="496"/>
      <c r="R266" s="494"/>
      <c r="S266" s="494"/>
      <c r="T266" s="494"/>
      <c r="U266" s="494"/>
      <c r="V266" s="494"/>
      <c r="W266" s="494"/>
      <c r="X266" s="494"/>
      <c r="Y266" s="494"/>
      <c r="Z266" s="494"/>
      <c r="AA266" s="494"/>
      <c r="AB266" s="494"/>
      <c r="AC266" s="494"/>
      <c r="AD266" s="494"/>
      <c r="AE266" s="494"/>
      <c r="AF266" s="494"/>
      <c r="AG266" s="494"/>
      <c r="AH266" s="494"/>
      <c r="AI266" s="494"/>
      <c r="AJ266" s="494"/>
      <c r="AK266" s="496"/>
      <c r="AL266" s="494"/>
      <c r="AM266" s="494"/>
      <c r="AN266" s="494"/>
      <c r="AO266" s="496"/>
      <c r="AP266" s="494"/>
      <c r="AQ266" s="494"/>
      <c r="AR266" s="494"/>
      <c r="AS266" s="494"/>
      <c r="AT266" s="494"/>
      <c r="AU266" s="494"/>
      <c r="AV266" s="494"/>
      <c r="AW266" s="494"/>
      <c r="AX266" s="494"/>
      <c r="AY266" s="494"/>
      <c r="AZ266" s="494"/>
      <c r="BA266" s="494"/>
      <c r="BB266" s="494"/>
      <c r="BC266" s="496"/>
      <c r="BD266" s="494"/>
      <c r="BE266" s="494"/>
      <c r="BF266" s="494"/>
      <c r="BG266" s="494"/>
      <c r="BH266" s="494"/>
      <c r="BI266" s="494"/>
      <c r="BJ266" s="494"/>
      <c r="BK266" s="494"/>
      <c r="BL266" s="494"/>
      <c r="BM266" s="494"/>
      <c r="BN266" s="494"/>
      <c r="BO266" s="494"/>
      <c r="BP266" s="494"/>
      <c r="BQ266" s="494"/>
      <c r="BR266" s="494"/>
      <c r="BS266" s="494"/>
    </row>
    <row r="267" spans="1:71" s="202" customFormat="1" ht="13.15">
      <c r="A267" s="453"/>
      <c r="B267" s="453"/>
      <c r="C267" s="453"/>
      <c r="D267" s="453"/>
      <c r="E267" s="453"/>
      <c r="F267" s="453"/>
      <c r="G267" s="453"/>
      <c r="H267" s="625"/>
      <c r="I267" s="630"/>
      <c r="J267" s="494"/>
      <c r="K267" s="494"/>
      <c r="L267" s="494"/>
      <c r="M267" s="494"/>
      <c r="N267" s="494"/>
      <c r="O267" s="494"/>
      <c r="P267" s="494"/>
      <c r="Q267" s="496"/>
      <c r="R267" s="494"/>
      <c r="S267" s="494"/>
      <c r="T267" s="494"/>
      <c r="U267" s="494"/>
      <c r="V267" s="494"/>
      <c r="W267" s="494"/>
      <c r="X267" s="494"/>
      <c r="Y267" s="494"/>
      <c r="Z267" s="494"/>
      <c r="AA267" s="494"/>
      <c r="AB267" s="494"/>
      <c r="AC267" s="494"/>
      <c r="AD267" s="494"/>
      <c r="AE267" s="494"/>
      <c r="AF267" s="494"/>
      <c r="AG267" s="494"/>
      <c r="AH267" s="494"/>
      <c r="AI267" s="494"/>
      <c r="AJ267" s="494"/>
      <c r="AK267" s="496"/>
      <c r="AL267" s="494"/>
      <c r="AM267" s="494"/>
      <c r="AN267" s="494"/>
      <c r="AO267" s="496"/>
      <c r="AP267" s="494"/>
      <c r="AQ267" s="494"/>
      <c r="AR267" s="494"/>
      <c r="AS267" s="494"/>
      <c r="AT267" s="494"/>
      <c r="AU267" s="494"/>
      <c r="AV267" s="494"/>
      <c r="AW267" s="494"/>
      <c r="AX267" s="494"/>
      <c r="AY267" s="494"/>
      <c r="AZ267" s="494"/>
      <c r="BA267" s="494"/>
      <c r="BB267" s="494"/>
      <c r="BC267" s="496"/>
      <c r="BD267" s="494"/>
      <c r="BE267" s="494"/>
      <c r="BF267" s="494"/>
      <c r="BG267" s="494"/>
      <c r="BH267" s="494"/>
      <c r="BI267" s="494"/>
      <c r="BJ267" s="494"/>
      <c r="BK267" s="494"/>
      <c r="BL267" s="494"/>
      <c r="BM267" s="494"/>
      <c r="BN267" s="494"/>
      <c r="BO267" s="494"/>
      <c r="BP267" s="494"/>
      <c r="BQ267" s="494"/>
      <c r="BR267" s="494"/>
      <c r="BS267" s="494"/>
    </row>
    <row r="268" spans="1:71" s="202" customFormat="1" ht="13.15">
      <c r="A268" s="453"/>
      <c r="B268" s="453"/>
      <c r="C268" s="453"/>
      <c r="D268" s="463" t="s">
        <v>1306</v>
      </c>
      <c r="E268" s="463"/>
      <c r="F268" s="463"/>
      <c r="G268" s="453"/>
      <c r="H268" s="625"/>
      <c r="I268" s="630"/>
      <c r="J268" s="494"/>
      <c r="K268" s="494"/>
      <c r="L268" s="494"/>
      <c r="M268" s="494"/>
      <c r="N268" s="494"/>
      <c r="O268" s="494"/>
      <c r="P268" s="494"/>
      <c r="Q268" s="496"/>
      <c r="R268" s="494"/>
      <c r="S268" s="494"/>
      <c r="T268" s="494"/>
      <c r="U268" s="494"/>
      <c r="V268" s="494"/>
      <c r="W268" s="494"/>
      <c r="X268" s="494"/>
      <c r="Y268" s="494"/>
      <c r="Z268" s="494"/>
      <c r="AA268" s="494"/>
      <c r="AB268" s="494"/>
      <c r="AC268" s="494"/>
      <c r="AD268" s="494"/>
      <c r="AE268" s="494"/>
      <c r="AF268" s="494"/>
      <c r="AG268" s="494"/>
      <c r="AH268" s="494"/>
      <c r="AI268" s="494"/>
      <c r="AJ268" s="494"/>
      <c r="AK268" s="496"/>
      <c r="AL268" s="494"/>
      <c r="AM268" s="494"/>
      <c r="AN268" s="494"/>
      <c r="AO268" s="496"/>
      <c r="AP268" s="494"/>
      <c r="AQ268" s="494"/>
      <c r="AR268" s="494"/>
      <c r="AS268" s="494"/>
      <c r="AT268" s="494"/>
      <c r="AU268" s="494"/>
      <c r="AV268" s="494"/>
      <c r="AW268" s="494"/>
      <c r="AX268" s="494"/>
      <c r="AY268" s="494"/>
      <c r="AZ268" s="494"/>
      <c r="BA268" s="494"/>
      <c r="BB268" s="494"/>
      <c r="BC268" s="496"/>
      <c r="BD268" s="494"/>
      <c r="BE268" s="494"/>
      <c r="BF268" s="494"/>
      <c r="BG268" s="494"/>
      <c r="BH268" s="494"/>
      <c r="BI268" s="494"/>
      <c r="BJ268" s="494"/>
      <c r="BK268" s="494"/>
      <c r="BL268" s="494"/>
      <c r="BM268" s="494"/>
      <c r="BN268" s="494"/>
      <c r="BO268" s="494"/>
      <c r="BP268" s="494"/>
      <c r="BQ268" s="494"/>
      <c r="BR268" s="494"/>
      <c r="BS268" s="494"/>
    </row>
    <row r="269" spans="1:71" s="230" customFormat="1" ht="13.15">
      <c r="A269" s="632"/>
      <c r="B269" s="632"/>
      <c r="C269" s="632"/>
      <c r="D269" s="632"/>
      <c r="E269" s="632" t="s">
        <v>1307</v>
      </c>
      <c r="F269" s="633">
        <f t="shared" ref="F269:F275" si="97">H228</f>
        <v>-0.32354399999999994</v>
      </c>
      <c r="G269" s="632" t="str">
        <f>InpCompany!$F$11</f>
        <v>£m (2017-18 prices)</v>
      </c>
      <c r="H269" s="632"/>
      <c r="I269" s="634"/>
      <c r="J269" s="682"/>
      <c r="K269" s="682"/>
      <c r="L269" s="682"/>
      <c r="M269" s="682"/>
      <c r="N269" s="682"/>
      <c r="O269" s="682"/>
      <c r="P269" s="682"/>
      <c r="Q269" s="1415"/>
      <c r="R269" s="682"/>
      <c r="S269" s="682"/>
      <c r="T269" s="682"/>
      <c r="U269" s="682"/>
      <c r="V269" s="682"/>
      <c r="W269" s="682"/>
      <c r="X269" s="682"/>
      <c r="Y269" s="682"/>
      <c r="Z269" s="682"/>
      <c r="AA269" s="682"/>
      <c r="AB269" s="682"/>
      <c r="AC269" s="682"/>
      <c r="AD269" s="682"/>
      <c r="AE269" s="682"/>
      <c r="AF269" s="682"/>
      <c r="AG269" s="682"/>
      <c r="AH269" s="682"/>
      <c r="AI269" s="682"/>
      <c r="AJ269" s="682"/>
      <c r="AK269" s="1415"/>
      <c r="AL269" s="682"/>
      <c r="AM269" s="682"/>
      <c r="AN269" s="682"/>
      <c r="AO269" s="1415"/>
      <c r="AP269" s="682"/>
      <c r="AQ269" s="682"/>
      <c r="AR269" s="682"/>
      <c r="AS269" s="682"/>
      <c r="AT269" s="682"/>
      <c r="AU269" s="682"/>
      <c r="AV269" s="682"/>
      <c r="AW269" s="682"/>
      <c r="AX269" s="682"/>
      <c r="AY269" s="682"/>
      <c r="AZ269" s="682"/>
      <c r="BA269" s="682"/>
      <c r="BB269" s="682"/>
      <c r="BC269" s="1415"/>
      <c r="BD269" s="682"/>
      <c r="BE269" s="682"/>
      <c r="BF269" s="682"/>
      <c r="BG269" s="682"/>
      <c r="BH269" s="682"/>
      <c r="BI269" s="682"/>
      <c r="BJ269" s="682"/>
      <c r="BK269" s="682"/>
      <c r="BL269" s="682"/>
      <c r="BM269" s="682"/>
      <c r="BN269" s="682"/>
      <c r="BO269" s="682"/>
      <c r="BP269" s="682"/>
      <c r="BQ269" s="682"/>
      <c r="BR269" s="682"/>
      <c r="BS269" s="682"/>
    </row>
    <row r="270" spans="1:71" s="230" customFormat="1" ht="13.15">
      <c r="A270" s="632"/>
      <c r="B270" s="632"/>
      <c r="C270" s="632"/>
      <c r="D270" s="632"/>
      <c r="E270" s="632" t="s">
        <v>1308</v>
      </c>
      <c r="F270" s="633">
        <f t="shared" si="97"/>
        <v>-13.457406666666666</v>
      </c>
      <c r="G270" s="632" t="str">
        <f>InpCompany!$F$11</f>
        <v>£m (2017-18 prices)</v>
      </c>
      <c r="H270" s="632"/>
      <c r="I270" s="634"/>
      <c r="J270" s="682"/>
      <c r="K270" s="682"/>
      <c r="L270" s="682"/>
      <c r="M270" s="682"/>
      <c r="N270" s="682"/>
      <c r="O270" s="682"/>
      <c r="P270" s="682"/>
      <c r="Q270" s="1415"/>
      <c r="R270" s="682"/>
      <c r="S270" s="682"/>
      <c r="T270" s="682"/>
      <c r="U270" s="682"/>
      <c r="V270" s="682"/>
      <c r="W270" s="682"/>
      <c r="X270" s="682"/>
      <c r="Y270" s="682"/>
      <c r="Z270" s="682"/>
      <c r="AA270" s="682"/>
      <c r="AB270" s="682"/>
      <c r="AC270" s="682"/>
      <c r="AD270" s="682"/>
      <c r="AE270" s="682"/>
      <c r="AF270" s="682"/>
      <c r="AG270" s="682"/>
      <c r="AH270" s="682"/>
      <c r="AI270" s="682"/>
      <c r="AJ270" s="682"/>
      <c r="AK270" s="1415"/>
      <c r="AL270" s="682"/>
      <c r="AM270" s="682"/>
      <c r="AN270" s="682"/>
      <c r="AO270" s="1415"/>
      <c r="AP270" s="682"/>
      <c r="AQ270" s="682"/>
      <c r="AR270" s="682"/>
      <c r="AS270" s="682"/>
      <c r="AT270" s="682"/>
      <c r="AU270" s="682"/>
      <c r="AV270" s="682"/>
      <c r="AW270" s="682"/>
      <c r="AX270" s="682"/>
      <c r="AY270" s="682"/>
      <c r="AZ270" s="682"/>
      <c r="BA270" s="682"/>
      <c r="BB270" s="682"/>
      <c r="BC270" s="1415"/>
      <c r="BD270" s="682"/>
      <c r="BE270" s="682"/>
      <c r="BF270" s="682"/>
      <c r="BG270" s="682"/>
      <c r="BH270" s="682"/>
      <c r="BI270" s="682"/>
      <c r="BJ270" s="682"/>
      <c r="BK270" s="682"/>
      <c r="BL270" s="682"/>
      <c r="BM270" s="682"/>
      <c r="BN270" s="682"/>
      <c r="BO270" s="682"/>
      <c r="BP270" s="682"/>
      <c r="BQ270" s="682"/>
      <c r="BR270" s="682"/>
      <c r="BS270" s="682"/>
    </row>
    <row r="271" spans="1:71" s="230" customFormat="1" ht="13.15">
      <c r="A271" s="632"/>
      <c r="B271" s="632"/>
      <c r="C271" s="632"/>
      <c r="D271" s="632"/>
      <c r="E271" s="632" t="s">
        <v>1309</v>
      </c>
      <c r="F271" s="633">
        <f t="shared" si="97"/>
        <v>-19.353538399999998</v>
      </c>
      <c r="G271" s="632" t="str">
        <f>InpCompany!$F$11</f>
        <v>£m (2017-18 prices)</v>
      </c>
      <c r="H271" s="632"/>
      <c r="I271" s="634"/>
      <c r="J271" s="682"/>
      <c r="K271" s="682"/>
      <c r="L271" s="682"/>
      <c r="M271" s="682"/>
      <c r="N271" s="682"/>
      <c r="O271" s="682"/>
      <c r="P271" s="682"/>
      <c r="Q271" s="1415"/>
      <c r="R271" s="682"/>
      <c r="S271" s="682"/>
      <c r="T271" s="682"/>
      <c r="U271" s="682"/>
      <c r="V271" s="682"/>
      <c r="W271" s="682"/>
      <c r="X271" s="682"/>
      <c r="Y271" s="682"/>
      <c r="Z271" s="682"/>
      <c r="AA271" s="682"/>
      <c r="AB271" s="682"/>
      <c r="AC271" s="682"/>
      <c r="AD271" s="682"/>
      <c r="AE271" s="682"/>
      <c r="AF271" s="682"/>
      <c r="AG271" s="682"/>
      <c r="AH271" s="682"/>
      <c r="AI271" s="682"/>
      <c r="AJ271" s="682"/>
      <c r="AK271" s="1415"/>
      <c r="AL271" s="682"/>
      <c r="AM271" s="682"/>
      <c r="AN271" s="682"/>
      <c r="AO271" s="1415"/>
      <c r="AP271" s="682"/>
      <c r="AQ271" s="682"/>
      <c r="AR271" s="682"/>
      <c r="AS271" s="682"/>
      <c r="AT271" s="682"/>
      <c r="AU271" s="682"/>
      <c r="AV271" s="682"/>
      <c r="AW271" s="682"/>
      <c r="AX271" s="682"/>
      <c r="AY271" s="682"/>
      <c r="AZ271" s="682"/>
      <c r="BA271" s="682"/>
      <c r="BB271" s="682"/>
      <c r="BC271" s="1415"/>
      <c r="BD271" s="682"/>
      <c r="BE271" s="682"/>
      <c r="BF271" s="682"/>
      <c r="BG271" s="682"/>
      <c r="BH271" s="682"/>
      <c r="BI271" s="682"/>
      <c r="BJ271" s="682"/>
      <c r="BK271" s="682"/>
      <c r="BL271" s="682"/>
      <c r="BM271" s="682"/>
      <c r="BN271" s="682"/>
      <c r="BO271" s="682"/>
      <c r="BP271" s="682"/>
      <c r="BQ271" s="682"/>
      <c r="BR271" s="682"/>
      <c r="BS271" s="682"/>
    </row>
    <row r="272" spans="1:71" s="230" customFormat="1" ht="13.15">
      <c r="A272" s="632"/>
      <c r="B272" s="632"/>
      <c r="C272" s="632"/>
      <c r="D272" s="632"/>
      <c r="E272" s="632" t="s">
        <v>1310</v>
      </c>
      <c r="F272" s="633">
        <f t="shared" si="97"/>
        <v>-1.2862200000000001</v>
      </c>
      <c r="G272" s="632" t="str">
        <f>InpCompany!$F$11</f>
        <v>£m (2017-18 prices)</v>
      </c>
      <c r="H272" s="632"/>
      <c r="I272" s="634"/>
      <c r="J272" s="682"/>
      <c r="K272" s="682"/>
      <c r="L272" s="682"/>
      <c r="M272" s="682"/>
      <c r="N272" s="682"/>
      <c r="O272" s="682"/>
      <c r="P272" s="682"/>
      <c r="Q272" s="1415"/>
      <c r="R272" s="682"/>
      <c r="S272" s="682"/>
      <c r="T272" s="682"/>
      <c r="U272" s="682"/>
      <c r="V272" s="682"/>
      <c r="W272" s="682"/>
      <c r="X272" s="682"/>
      <c r="Y272" s="682"/>
      <c r="Z272" s="682"/>
      <c r="AA272" s="682"/>
      <c r="AB272" s="682"/>
      <c r="AC272" s="682"/>
      <c r="AD272" s="682"/>
      <c r="AE272" s="682"/>
      <c r="AF272" s="682"/>
      <c r="AG272" s="682"/>
      <c r="AH272" s="682"/>
      <c r="AI272" s="682"/>
      <c r="AJ272" s="682"/>
      <c r="AK272" s="1415"/>
      <c r="AL272" s="682"/>
      <c r="AM272" s="682"/>
      <c r="AN272" s="682"/>
      <c r="AO272" s="1415"/>
      <c r="AP272" s="682"/>
      <c r="AQ272" s="682"/>
      <c r="AR272" s="682"/>
      <c r="AS272" s="682"/>
      <c r="AT272" s="682"/>
      <c r="AU272" s="682"/>
      <c r="AV272" s="682"/>
      <c r="AW272" s="682"/>
      <c r="AX272" s="682"/>
      <c r="AY272" s="682"/>
      <c r="AZ272" s="682"/>
      <c r="BA272" s="682"/>
      <c r="BB272" s="682"/>
      <c r="BC272" s="1415"/>
      <c r="BD272" s="682"/>
      <c r="BE272" s="682"/>
      <c r="BF272" s="682"/>
      <c r="BG272" s="682"/>
      <c r="BH272" s="682"/>
      <c r="BI272" s="682"/>
      <c r="BJ272" s="682"/>
      <c r="BK272" s="682"/>
      <c r="BL272" s="682"/>
      <c r="BM272" s="682"/>
      <c r="BN272" s="682"/>
      <c r="BO272" s="682"/>
      <c r="BP272" s="682"/>
      <c r="BQ272" s="682"/>
      <c r="BR272" s="682"/>
      <c r="BS272" s="682"/>
    </row>
    <row r="273" spans="1:71" s="230" customFormat="1" ht="13.15">
      <c r="A273" s="632"/>
      <c r="B273" s="632"/>
      <c r="C273" s="632"/>
      <c r="D273" s="632"/>
      <c r="E273" s="632" t="s">
        <v>1311</v>
      </c>
      <c r="F273" s="633">
        <f t="shared" si="97"/>
        <v>-0.6</v>
      </c>
      <c r="G273" s="632" t="str">
        <f>InpCompany!$F$11</f>
        <v>£m (2017-18 prices)</v>
      </c>
      <c r="H273" s="632"/>
      <c r="I273" s="634"/>
      <c r="J273" s="682"/>
      <c r="K273" s="682"/>
      <c r="L273" s="682"/>
      <c r="M273" s="682"/>
      <c r="N273" s="682"/>
      <c r="O273" s="682"/>
      <c r="P273" s="682"/>
      <c r="Q273" s="1415"/>
      <c r="R273" s="682"/>
      <c r="S273" s="682"/>
      <c r="T273" s="682"/>
      <c r="U273" s="682"/>
      <c r="V273" s="682"/>
      <c r="W273" s="682"/>
      <c r="X273" s="682"/>
      <c r="Y273" s="682"/>
      <c r="Z273" s="682"/>
      <c r="AA273" s="682"/>
      <c r="AB273" s="682"/>
      <c r="AC273" s="682"/>
      <c r="AD273" s="682"/>
      <c r="AE273" s="682"/>
      <c r="AF273" s="682"/>
      <c r="AG273" s="682"/>
      <c r="AH273" s="682"/>
      <c r="AI273" s="682"/>
      <c r="AJ273" s="682"/>
      <c r="AK273" s="1415"/>
      <c r="AL273" s="682"/>
      <c r="AM273" s="682"/>
      <c r="AN273" s="682"/>
      <c r="AO273" s="1415"/>
      <c r="AP273" s="682"/>
      <c r="AQ273" s="682"/>
      <c r="AR273" s="682"/>
      <c r="AS273" s="682"/>
      <c r="AT273" s="682"/>
      <c r="AU273" s="682"/>
      <c r="AV273" s="682"/>
      <c r="AW273" s="682"/>
      <c r="AX273" s="682"/>
      <c r="AY273" s="682"/>
      <c r="AZ273" s="682"/>
      <c r="BA273" s="682"/>
      <c r="BB273" s="682"/>
      <c r="BC273" s="1415"/>
      <c r="BD273" s="682"/>
      <c r="BE273" s="682"/>
      <c r="BF273" s="682"/>
      <c r="BG273" s="682"/>
      <c r="BH273" s="682"/>
      <c r="BI273" s="682"/>
      <c r="BJ273" s="682"/>
      <c r="BK273" s="682"/>
      <c r="BL273" s="682"/>
      <c r="BM273" s="682"/>
      <c r="BN273" s="682"/>
      <c r="BO273" s="682"/>
      <c r="BP273" s="682"/>
      <c r="BQ273" s="682"/>
      <c r="BR273" s="682"/>
      <c r="BS273" s="682"/>
    </row>
    <row r="274" spans="1:71" s="230" customFormat="1" ht="13.15">
      <c r="A274" s="632"/>
      <c r="B274" s="632"/>
      <c r="C274" s="632"/>
      <c r="D274" s="632"/>
      <c r="E274" s="632" t="s">
        <v>1312</v>
      </c>
      <c r="F274" s="633">
        <f t="shared" si="97"/>
        <v>0</v>
      </c>
      <c r="G274" s="632" t="str">
        <f>InpCompany!$F$11</f>
        <v>£m (2017-18 prices)</v>
      </c>
      <c r="H274" s="632"/>
      <c r="I274" s="634"/>
      <c r="J274" s="682"/>
      <c r="K274" s="682"/>
      <c r="L274" s="682"/>
      <c r="M274" s="682"/>
      <c r="N274" s="682"/>
      <c r="O274" s="682"/>
      <c r="P274" s="682"/>
      <c r="Q274" s="1415"/>
      <c r="R274" s="682"/>
      <c r="S274" s="682"/>
      <c r="T274" s="682"/>
      <c r="U274" s="682"/>
      <c r="V274" s="682"/>
      <c r="W274" s="682"/>
      <c r="X274" s="682"/>
      <c r="Y274" s="682"/>
      <c r="Z274" s="682"/>
      <c r="AA274" s="682"/>
      <c r="AB274" s="682"/>
      <c r="AC274" s="682"/>
      <c r="AD274" s="682"/>
      <c r="AE274" s="682"/>
      <c r="AF274" s="682"/>
      <c r="AG274" s="682"/>
      <c r="AH274" s="682"/>
      <c r="AI274" s="682"/>
      <c r="AJ274" s="682"/>
      <c r="AK274" s="1415"/>
      <c r="AL274" s="682"/>
      <c r="AM274" s="682"/>
      <c r="AN274" s="682"/>
      <c r="AO274" s="1415"/>
      <c r="AP274" s="682"/>
      <c r="AQ274" s="682"/>
      <c r="AR274" s="682"/>
      <c r="AS274" s="682"/>
      <c r="AT274" s="682"/>
      <c r="AU274" s="682"/>
      <c r="AV274" s="682"/>
      <c r="AW274" s="682"/>
      <c r="AX274" s="682"/>
      <c r="AY274" s="682"/>
      <c r="AZ274" s="682"/>
      <c r="BA274" s="682"/>
      <c r="BB274" s="682"/>
      <c r="BC274" s="1415"/>
      <c r="BD274" s="682"/>
      <c r="BE274" s="682"/>
      <c r="BF274" s="682"/>
      <c r="BG274" s="682"/>
      <c r="BH274" s="682"/>
      <c r="BI274" s="682"/>
      <c r="BJ274" s="682"/>
      <c r="BK274" s="682"/>
      <c r="BL274" s="682"/>
      <c r="BM274" s="682"/>
      <c r="BN274" s="682"/>
      <c r="BO274" s="682"/>
      <c r="BP274" s="682"/>
      <c r="BQ274" s="682"/>
      <c r="BR274" s="682"/>
      <c r="BS274" s="682"/>
    </row>
    <row r="275" spans="1:71" s="230" customFormat="1" ht="13.15">
      <c r="A275" s="632"/>
      <c r="B275" s="632"/>
      <c r="C275" s="632"/>
      <c r="D275" s="632"/>
      <c r="E275" s="632" t="s">
        <v>1313</v>
      </c>
      <c r="F275" s="633">
        <f t="shared" si="97"/>
        <v>0</v>
      </c>
      <c r="G275" s="632" t="str">
        <f>InpCompany!$F$11</f>
        <v>£m (2017-18 prices)</v>
      </c>
      <c r="H275" s="632"/>
      <c r="I275" s="634"/>
      <c r="J275" s="682"/>
      <c r="K275" s="682"/>
      <c r="L275" s="682"/>
      <c r="M275" s="682"/>
      <c r="N275" s="682"/>
      <c r="O275" s="682"/>
      <c r="P275" s="682"/>
      <c r="Q275" s="1415"/>
      <c r="R275" s="682"/>
      <c r="S275" s="682"/>
      <c r="T275" s="682"/>
      <c r="U275" s="682"/>
      <c r="V275" s="682"/>
      <c r="W275" s="682"/>
      <c r="X275" s="682"/>
      <c r="Y275" s="682"/>
      <c r="Z275" s="682"/>
      <c r="AA275" s="682"/>
      <c r="AB275" s="682"/>
      <c r="AC275" s="682"/>
      <c r="AD275" s="682"/>
      <c r="AE275" s="682"/>
      <c r="AF275" s="682"/>
      <c r="AG275" s="682"/>
      <c r="AH275" s="682"/>
      <c r="AI275" s="682"/>
      <c r="AJ275" s="682"/>
      <c r="AK275" s="1415"/>
      <c r="AL275" s="682"/>
      <c r="AM275" s="682"/>
      <c r="AN275" s="682"/>
      <c r="AO275" s="1415"/>
      <c r="AP275" s="682"/>
      <c r="AQ275" s="682"/>
      <c r="AR275" s="682"/>
      <c r="AS275" s="682"/>
      <c r="AT275" s="682"/>
      <c r="AU275" s="682"/>
      <c r="AV275" s="682"/>
      <c r="AW275" s="682"/>
      <c r="AX275" s="682"/>
      <c r="AY275" s="682"/>
      <c r="AZ275" s="682"/>
      <c r="BA275" s="682"/>
      <c r="BB275" s="682"/>
      <c r="BC275" s="1415"/>
      <c r="BD275" s="682"/>
      <c r="BE275" s="682"/>
      <c r="BF275" s="682"/>
      <c r="BG275" s="682"/>
      <c r="BH275" s="682"/>
      <c r="BI275" s="682"/>
      <c r="BJ275" s="682"/>
      <c r="BK275" s="682"/>
      <c r="BL275" s="682"/>
      <c r="BM275" s="682"/>
      <c r="BN275" s="682"/>
      <c r="BO275" s="682"/>
      <c r="BP275" s="682"/>
      <c r="BQ275" s="682"/>
      <c r="BR275" s="682"/>
      <c r="BS275" s="682"/>
    </row>
    <row r="276" spans="1:71" s="1451" customFormat="1" ht="13.15">
      <c r="A276" s="1446"/>
      <c r="B276" s="1446"/>
      <c r="C276" s="1446"/>
      <c r="D276" s="1446"/>
      <c r="E276" s="1446"/>
      <c r="F276" s="1447"/>
      <c r="G276" s="1446"/>
      <c r="H276" s="1446"/>
      <c r="I276" s="1448"/>
      <c r="J276" s="1449"/>
      <c r="K276" s="1449"/>
      <c r="L276" s="1449"/>
      <c r="M276" s="1449"/>
      <c r="N276" s="1449"/>
      <c r="O276" s="1449"/>
      <c r="P276" s="1449"/>
      <c r="Q276" s="1450"/>
      <c r="R276" s="1449"/>
      <c r="S276" s="1449"/>
      <c r="T276" s="1449"/>
      <c r="U276" s="1449"/>
      <c r="V276" s="1449"/>
      <c r="W276" s="1449"/>
      <c r="X276" s="1449"/>
      <c r="Y276" s="1449"/>
      <c r="Z276" s="1449"/>
      <c r="AA276" s="1449"/>
      <c r="AB276" s="1449"/>
      <c r="AC276" s="1449"/>
      <c r="AD276" s="1449"/>
      <c r="AE276" s="1449"/>
      <c r="AF276" s="1449"/>
      <c r="AG276" s="1449"/>
      <c r="AH276" s="1449"/>
      <c r="AI276" s="1449"/>
      <c r="AJ276" s="1449"/>
      <c r="AK276" s="1450"/>
      <c r="AL276" s="1449"/>
      <c r="AM276" s="1449"/>
      <c r="AN276" s="1449"/>
      <c r="AO276" s="1450"/>
      <c r="AP276" s="1449"/>
      <c r="AQ276" s="1449"/>
      <c r="AR276" s="1449"/>
      <c r="AS276" s="1449"/>
      <c r="AT276" s="1449"/>
      <c r="AU276" s="1449"/>
      <c r="AV276" s="1449"/>
      <c r="AW276" s="1449"/>
      <c r="AX276" s="1449"/>
      <c r="AY276" s="1449"/>
      <c r="AZ276" s="1449"/>
      <c r="BA276" s="1449"/>
      <c r="BB276" s="1449"/>
      <c r="BC276" s="1450"/>
      <c r="BD276" s="1449"/>
      <c r="BE276" s="1449"/>
      <c r="BF276" s="1449"/>
      <c r="BG276" s="1449"/>
      <c r="BH276" s="1449"/>
      <c r="BI276" s="1449"/>
      <c r="BJ276" s="1449"/>
      <c r="BK276" s="1449"/>
      <c r="BL276" s="1449"/>
      <c r="BM276" s="1449"/>
      <c r="BN276" s="1449"/>
      <c r="BO276" s="1449"/>
      <c r="BP276" s="1449"/>
      <c r="BQ276" s="1449"/>
      <c r="BR276" s="1449"/>
      <c r="BS276" s="1449"/>
    </row>
    <row r="277" spans="1:71" s="202" customFormat="1" ht="13.15">
      <c r="A277" s="453"/>
      <c r="B277" s="453"/>
      <c r="C277" s="453"/>
      <c r="D277" s="463" t="s">
        <v>1314</v>
      </c>
      <c r="E277" s="463"/>
      <c r="F277" s="625"/>
      <c r="G277" s="453"/>
      <c r="H277" s="453"/>
      <c r="I277" s="634"/>
      <c r="J277" s="494"/>
      <c r="K277" s="494"/>
      <c r="L277" s="494"/>
      <c r="M277" s="494"/>
      <c r="N277" s="494"/>
      <c r="O277" s="494"/>
      <c r="P277" s="494"/>
      <c r="Q277" s="496"/>
      <c r="R277" s="494"/>
      <c r="S277" s="494"/>
      <c r="T277" s="494"/>
      <c r="U277" s="494"/>
      <c r="V277" s="494"/>
      <c r="W277" s="494"/>
      <c r="X277" s="494"/>
      <c r="Y277" s="494"/>
      <c r="Z277" s="494"/>
      <c r="AA277" s="494"/>
      <c r="AB277" s="494"/>
      <c r="AC277" s="494"/>
      <c r="AD277" s="494"/>
      <c r="AE277" s="494"/>
      <c r="AF277" s="494"/>
      <c r="AG277" s="494"/>
      <c r="AH277" s="494"/>
      <c r="AI277" s="494"/>
      <c r="AJ277" s="494"/>
      <c r="AK277" s="496"/>
      <c r="AL277" s="494"/>
      <c r="AM277" s="494"/>
      <c r="AN277" s="494"/>
      <c r="AO277" s="496"/>
      <c r="AP277" s="494"/>
      <c r="AQ277" s="494"/>
      <c r="AR277" s="494"/>
      <c r="AS277" s="494"/>
      <c r="AT277" s="494"/>
      <c r="AU277" s="494"/>
      <c r="AV277" s="494"/>
      <c r="AW277" s="494"/>
      <c r="AX277" s="494"/>
      <c r="AY277" s="494"/>
      <c r="AZ277" s="494"/>
      <c r="BA277" s="494"/>
      <c r="BB277" s="494"/>
      <c r="BC277" s="496"/>
      <c r="BD277" s="494"/>
      <c r="BE277" s="494"/>
      <c r="BF277" s="494"/>
      <c r="BG277" s="494"/>
      <c r="BH277" s="494"/>
      <c r="BI277" s="494"/>
      <c r="BJ277" s="494"/>
      <c r="BK277" s="494"/>
      <c r="BL277" s="494"/>
      <c r="BM277" s="494"/>
      <c r="BN277" s="494"/>
      <c r="BO277" s="494"/>
      <c r="BP277" s="494"/>
      <c r="BQ277" s="494"/>
      <c r="BR277" s="494"/>
      <c r="BS277" s="494"/>
    </row>
    <row r="278" spans="1:71" s="202" customFormat="1" ht="13.15">
      <c r="A278" s="453"/>
      <c r="B278" s="453"/>
      <c r="C278" s="453"/>
      <c r="D278" s="453"/>
      <c r="E278" s="632" t="s">
        <v>1315</v>
      </c>
      <c r="F278" s="633">
        <f t="shared" ref="F278:F284" si="98">F242-F260</f>
        <v>0</v>
      </c>
      <c r="G278" s="632" t="str">
        <f>InpCompany!$F$11</f>
        <v>£m (2017-18 prices)</v>
      </c>
      <c r="H278" s="453"/>
      <c r="I278" s="634"/>
      <c r="J278" s="494"/>
      <c r="K278" s="494"/>
      <c r="L278" s="494"/>
      <c r="M278" s="494"/>
      <c r="N278" s="494"/>
      <c r="O278" s="494"/>
      <c r="P278" s="494"/>
      <c r="Q278" s="496"/>
      <c r="R278" s="494"/>
      <c r="S278" s="494"/>
      <c r="T278" s="494"/>
      <c r="U278" s="494"/>
      <c r="V278" s="494"/>
      <c r="W278" s="494"/>
      <c r="X278" s="494"/>
      <c r="Y278" s="494"/>
      <c r="Z278" s="494"/>
      <c r="AA278" s="494"/>
      <c r="AB278" s="494"/>
      <c r="AC278" s="494"/>
      <c r="AD278" s="494"/>
      <c r="AE278" s="494"/>
      <c r="AF278" s="494"/>
      <c r="AG278" s="494"/>
      <c r="AH278" s="494"/>
      <c r="AI278" s="494"/>
      <c r="AJ278" s="494"/>
      <c r="AK278" s="496"/>
      <c r="AL278" s="494"/>
      <c r="AM278" s="494"/>
      <c r="AN278" s="494"/>
      <c r="AO278" s="496"/>
      <c r="AP278" s="494"/>
      <c r="AQ278" s="494"/>
      <c r="AR278" s="494"/>
      <c r="AS278" s="494"/>
      <c r="AT278" s="494"/>
      <c r="AU278" s="494"/>
      <c r="AV278" s="494"/>
      <c r="AW278" s="494"/>
      <c r="AX278" s="494"/>
      <c r="AY278" s="494"/>
      <c r="AZ278" s="494"/>
      <c r="BA278" s="494"/>
      <c r="BB278" s="494"/>
      <c r="BC278" s="496"/>
      <c r="BD278" s="494"/>
      <c r="BE278" s="494"/>
      <c r="BF278" s="494"/>
      <c r="BG278" s="494"/>
      <c r="BH278" s="494"/>
      <c r="BI278" s="494"/>
      <c r="BJ278" s="494"/>
      <c r="BK278" s="494"/>
      <c r="BL278" s="494"/>
      <c r="BM278" s="494"/>
      <c r="BN278" s="494"/>
      <c r="BO278" s="494"/>
      <c r="BP278" s="494"/>
      <c r="BQ278" s="494"/>
      <c r="BR278" s="494"/>
      <c r="BS278" s="494"/>
    </row>
    <row r="279" spans="1:71" s="202" customFormat="1" ht="13.15">
      <c r="A279" s="453"/>
      <c r="B279" s="453"/>
      <c r="C279" s="453"/>
      <c r="D279" s="453"/>
      <c r="E279" s="632" t="s">
        <v>1316</v>
      </c>
      <c r="F279" s="633">
        <f t="shared" si="98"/>
        <v>0</v>
      </c>
      <c r="G279" s="632" t="str">
        <f>InpCompany!$F$11</f>
        <v>£m (2017-18 prices)</v>
      </c>
      <c r="H279" s="453"/>
      <c r="I279" s="634"/>
      <c r="J279" s="494"/>
      <c r="K279" s="494"/>
      <c r="L279" s="494"/>
      <c r="M279" s="494"/>
      <c r="N279" s="494"/>
      <c r="O279" s="494"/>
      <c r="P279" s="494"/>
      <c r="Q279" s="496"/>
      <c r="R279" s="494"/>
      <c r="S279" s="494"/>
      <c r="T279" s="494"/>
      <c r="U279" s="494"/>
      <c r="V279" s="494"/>
      <c r="W279" s="494"/>
      <c r="X279" s="494"/>
      <c r="Y279" s="494"/>
      <c r="Z279" s="494"/>
      <c r="AA279" s="494"/>
      <c r="AB279" s="494"/>
      <c r="AC279" s="494"/>
      <c r="AD279" s="494"/>
      <c r="AE279" s="494"/>
      <c r="AF279" s="494"/>
      <c r="AG279" s="494"/>
      <c r="AH279" s="494"/>
      <c r="AI279" s="494"/>
      <c r="AJ279" s="494"/>
      <c r="AK279" s="496"/>
      <c r="AL279" s="494"/>
      <c r="AM279" s="494"/>
      <c r="AN279" s="494"/>
      <c r="AO279" s="496"/>
      <c r="AP279" s="494"/>
      <c r="AQ279" s="494"/>
      <c r="AR279" s="494"/>
      <c r="AS279" s="494"/>
      <c r="AT279" s="494"/>
      <c r="AU279" s="494"/>
      <c r="AV279" s="494"/>
      <c r="AW279" s="494"/>
      <c r="AX279" s="494"/>
      <c r="AY279" s="494"/>
      <c r="AZ279" s="494"/>
      <c r="BA279" s="494"/>
      <c r="BB279" s="494"/>
      <c r="BC279" s="496"/>
      <c r="BD279" s="494"/>
      <c r="BE279" s="494"/>
      <c r="BF279" s="494"/>
      <c r="BG279" s="494"/>
      <c r="BH279" s="494"/>
      <c r="BI279" s="494"/>
      <c r="BJ279" s="494"/>
      <c r="BK279" s="494"/>
      <c r="BL279" s="494"/>
      <c r="BM279" s="494"/>
      <c r="BN279" s="494"/>
      <c r="BO279" s="494"/>
      <c r="BP279" s="494"/>
      <c r="BQ279" s="494"/>
      <c r="BR279" s="494"/>
      <c r="BS279" s="494"/>
    </row>
    <row r="280" spans="1:71" s="202" customFormat="1" ht="13.15">
      <c r="A280" s="453"/>
      <c r="B280" s="453"/>
      <c r="C280" s="453"/>
      <c r="D280" s="453"/>
      <c r="E280" s="632" t="s">
        <v>1317</v>
      </c>
      <c r="F280" s="633">
        <f t="shared" si="98"/>
        <v>0</v>
      </c>
      <c r="G280" s="632" t="str">
        <f>InpCompany!$F$11</f>
        <v>£m (2017-18 prices)</v>
      </c>
      <c r="H280" s="453"/>
      <c r="I280" s="634"/>
      <c r="J280" s="494"/>
      <c r="K280" s="494"/>
      <c r="L280" s="494"/>
      <c r="M280" s="494"/>
      <c r="N280" s="494"/>
      <c r="O280" s="494"/>
      <c r="P280" s="494"/>
      <c r="Q280" s="496"/>
      <c r="R280" s="494"/>
      <c r="S280" s="494"/>
      <c r="T280" s="494"/>
      <c r="U280" s="494"/>
      <c r="V280" s="494"/>
      <c r="W280" s="494"/>
      <c r="X280" s="494"/>
      <c r="Y280" s="494"/>
      <c r="Z280" s="494"/>
      <c r="AA280" s="494"/>
      <c r="AB280" s="494"/>
      <c r="AC280" s="494"/>
      <c r="AD280" s="494"/>
      <c r="AE280" s="494"/>
      <c r="AF280" s="494"/>
      <c r="AG280" s="494"/>
      <c r="AH280" s="494"/>
      <c r="AI280" s="494"/>
      <c r="AJ280" s="494"/>
      <c r="AK280" s="496"/>
      <c r="AL280" s="494"/>
      <c r="AM280" s="494"/>
      <c r="AN280" s="494"/>
      <c r="AO280" s="496"/>
      <c r="AP280" s="494"/>
      <c r="AQ280" s="494"/>
      <c r="AR280" s="494"/>
      <c r="AS280" s="494"/>
      <c r="AT280" s="494"/>
      <c r="AU280" s="494"/>
      <c r="AV280" s="494"/>
      <c r="AW280" s="494"/>
      <c r="AX280" s="494"/>
      <c r="AY280" s="494"/>
      <c r="AZ280" s="494"/>
      <c r="BA280" s="494"/>
      <c r="BB280" s="494"/>
      <c r="BC280" s="496"/>
      <c r="BD280" s="494"/>
      <c r="BE280" s="494"/>
      <c r="BF280" s="494"/>
      <c r="BG280" s="494"/>
      <c r="BH280" s="494"/>
      <c r="BI280" s="494"/>
      <c r="BJ280" s="494"/>
      <c r="BK280" s="494"/>
      <c r="BL280" s="494"/>
      <c r="BM280" s="494"/>
      <c r="BN280" s="494"/>
      <c r="BO280" s="494"/>
      <c r="BP280" s="494"/>
      <c r="BQ280" s="494"/>
      <c r="BR280" s="494"/>
      <c r="BS280" s="494"/>
    </row>
    <row r="281" spans="1:71" s="202" customFormat="1" ht="13.15">
      <c r="A281" s="453"/>
      <c r="B281" s="453"/>
      <c r="C281" s="453"/>
      <c r="D281" s="453"/>
      <c r="E281" s="632" t="s">
        <v>1318</v>
      </c>
      <c r="F281" s="633">
        <f t="shared" si="98"/>
        <v>0</v>
      </c>
      <c r="G281" s="632" t="str">
        <f>InpCompany!$F$11</f>
        <v>£m (2017-18 prices)</v>
      </c>
      <c r="H281" s="453"/>
      <c r="I281" s="634"/>
      <c r="J281" s="494"/>
      <c r="K281" s="494"/>
      <c r="L281" s="494"/>
      <c r="M281" s="494"/>
      <c r="N281" s="494"/>
      <c r="O281" s="494"/>
      <c r="P281" s="494"/>
      <c r="Q281" s="496"/>
      <c r="R281" s="494"/>
      <c r="S281" s="494"/>
      <c r="T281" s="494"/>
      <c r="U281" s="494"/>
      <c r="V281" s="494"/>
      <c r="W281" s="494"/>
      <c r="X281" s="494"/>
      <c r="Y281" s="494"/>
      <c r="Z281" s="494"/>
      <c r="AA281" s="494"/>
      <c r="AB281" s="494"/>
      <c r="AC281" s="494"/>
      <c r="AD281" s="494"/>
      <c r="AE281" s="494"/>
      <c r="AF281" s="494"/>
      <c r="AG281" s="494"/>
      <c r="AH281" s="494"/>
      <c r="AI281" s="494"/>
      <c r="AJ281" s="494"/>
      <c r="AK281" s="496"/>
      <c r="AL281" s="494"/>
      <c r="AM281" s="494"/>
      <c r="AN281" s="494"/>
      <c r="AO281" s="496"/>
      <c r="AP281" s="494"/>
      <c r="AQ281" s="494"/>
      <c r="AR281" s="494"/>
      <c r="AS281" s="494"/>
      <c r="AT281" s="494"/>
      <c r="AU281" s="494"/>
      <c r="AV281" s="494"/>
      <c r="AW281" s="494"/>
      <c r="AX281" s="494"/>
      <c r="AY281" s="494"/>
      <c r="AZ281" s="494"/>
      <c r="BA281" s="494"/>
      <c r="BB281" s="494"/>
      <c r="BC281" s="496"/>
      <c r="BD281" s="494"/>
      <c r="BE281" s="494"/>
      <c r="BF281" s="494"/>
      <c r="BG281" s="494"/>
      <c r="BH281" s="494"/>
      <c r="BI281" s="494"/>
      <c r="BJ281" s="494"/>
      <c r="BK281" s="494"/>
      <c r="BL281" s="494"/>
      <c r="BM281" s="494"/>
      <c r="BN281" s="494"/>
      <c r="BO281" s="494"/>
      <c r="BP281" s="494"/>
      <c r="BQ281" s="494"/>
      <c r="BR281" s="494"/>
      <c r="BS281" s="494"/>
    </row>
    <row r="282" spans="1:71" s="202" customFormat="1" ht="13.15">
      <c r="A282" s="453"/>
      <c r="B282" s="453"/>
      <c r="C282" s="453"/>
      <c r="D282" s="453"/>
      <c r="E282" s="632" t="s">
        <v>1319</v>
      </c>
      <c r="F282" s="633">
        <f t="shared" si="98"/>
        <v>0</v>
      </c>
      <c r="G282" s="632" t="str">
        <f>InpCompany!$F$11</f>
        <v>£m (2017-18 prices)</v>
      </c>
      <c r="H282" s="453"/>
      <c r="I282" s="634"/>
      <c r="J282" s="494"/>
      <c r="K282" s="494"/>
      <c r="L282" s="494"/>
      <c r="M282" s="494"/>
      <c r="N282" s="494"/>
      <c r="O282" s="494"/>
      <c r="P282" s="494"/>
      <c r="Q282" s="496"/>
      <c r="R282" s="494"/>
      <c r="S282" s="494"/>
      <c r="T282" s="494"/>
      <c r="U282" s="494"/>
      <c r="V282" s="494"/>
      <c r="W282" s="494"/>
      <c r="X282" s="494"/>
      <c r="Y282" s="494"/>
      <c r="Z282" s="494"/>
      <c r="AA282" s="494"/>
      <c r="AB282" s="494"/>
      <c r="AC282" s="494"/>
      <c r="AD282" s="494"/>
      <c r="AE282" s="494"/>
      <c r="AF282" s="494"/>
      <c r="AG282" s="494"/>
      <c r="AH282" s="494"/>
      <c r="AI282" s="494"/>
      <c r="AJ282" s="494"/>
      <c r="AK282" s="496"/>
      <c r="AL282" s="494"/>
      <c r="AM282" s="494"/>
      <c r="AN282" s="494"/>
      <c r="AO282" s="496"/>
      <c r="AP282" s="494"/>
      <c r="AQ282" s="494"/>
      <c r="AR282" s="494"/>
      <c r="AS282" s="494"/>
      <c r="AT282" s="494"/>
      <c r="AU282" s="494"/>
      <c r="AV282" s="494"/>
      <c r="AW282" s="494"/>
      <c r="AX282" s="494"/>
      <c r="AY282" s="494"/>
      <c r="AZ282" s="494"/>
      <c r="BA282" s="494"/>
      <c r="BB282" s="494"/>
      <c r="BC282" s="496"/>
      <c r="BD282" s="494"/>
      <c r="BE282" s="494"/>
      <c r="BF282" s="494"/>
      <c r="BG282" s="494"/>
      <c r="BH282" s="494"/>
      <c r="BI282" s="494"/>
      <c r="BJ282" s="494"/>
      <c r="BK282" s="494"/>
      <c r="BL282" s="494"/>
      <c r="BM282" s="494"/>
      <c r="BN282" s="494"/>
      <c r="BO282" s="494"/>
      <c r="BP282" s="494"/>
      <c r="BQ282" s="494"/>
      <c r="BR282" s="494"/>
      <c r="BS282" s="494"/>
    </row>
    <row r="283" spans="1:71" s="202" customFormat="1" ht="13.15">
      <c r="A283" s="453"/>
      <c r="B283" s="453"/>
      <c r="C283" s="453"/>
      <c r="D283" s="453"/>
      <c r="E283" s="632" t="s">
        <v>1320</v>
      </c>
      <c r="F283" s="633">
        <f t="shared" si="98"/>
        <v>0</v>
      </c>
      <c r="G283" s="632" t="str">
        <f>InpCompany!$F$11</f>
        <v>£m (2017-18 prices)</v>
      </c>
      <c r="H283" s="453"/>
      <c r="I283" s="634"/>
      <c r="J283" s="494"/>
      <c r="K283" s="494"/>
      <c r="L283" s="494"/>
      <c r="M283" s="494"/>
      <c r="N283" s="494"/>
      <c r="O283" s="494"/>
      <c r="P283" s="494"/>
      <c r="Q283" s="496"/>
      <c r="R283" s="494"/>
      <c r="S283" s="494"/>
      <c r="T283" s="494"/>
      <c r="U283" s="494"/>
      <c r="V283" s="494"/>
      <c r="W283" s="494"/>
      <c r="X283" s="494"/>
      <c r="Y283" s="494"/>
      <c r="Z283" s="494"/>
      <c r="AA283" s="494"/>
      <c r="AB283" s="494"/>
      <c r="AC283" s="494"/>
      <c r="AD283" s="494"/>
      <c r="AE283" s="494"/>
      <c r="AF283" s="494"/>
      <c r="AG283" s="494"/>
      <c r="AH283" s="494"/>
      <c r="AI283" s="494"/>
      <c r="AJ283" s="494"/>
      <c r="AK283" s="496"/>
      <c r="AL283" s="494"/>
      <c r="AM283" s="494"/>
      <c r="AN283" s="494"/>
      <c r="AO283" s="496"/>
      <c r="AP283" s="494"/>
      <c r="AQ283" s="494"/>
      <c r="AR283" s="494"/>
      <c r="AS283" s="494"/>
      <c r="AT283" s="494"/>
      <c r="AU283" s="494"/>
      <c r="AV283" s="494"/>
      <c r="AW283" s="494"/>
      <c r="AX283" s="494"/>
      <c r="AY283" s="494"/>
      <c r="AZ283" s="494"/>
      <c r="BA283" s="494"/>
      <c r="BB283" s="494"/>
      <c r="BC283" s="496"/>
      <c r="BD283" s="494"/>
      <c r="BE283" s="494"/>
      <c r="BF283" s="494"/>
      <c r="BG283" s="494"/>
      <c r="BH283" s="494"/>
      <c r="BI283" s="494"/>
      <c r="BJ283" s="494"/>
      <c r="BK283" s="494"/>
      <c r="BL283" s="494"/>
      <c r="BM283" s="494"/>
      <c r="BN283" s="494"/>
      <c r="BO283" s="494"/>
      <c r="BP283" s="494"/>
      <c r="BQ283" s="494"/>
      <c r="BR283" s="494"/>
      <c r="BS283" s="494"/>
    </row>
    <row r="284" spans="1:71" s="202" customFormat="1" ht="13.15">
      <c r="A284" s="453"/>
      <c r="B284" s="453"/>
      <c r="C284" s="453"/>
      <c r="D284" s="453"/>
      <c r="E284" s="632" t="s">
        <v>1321</v>
      </c>
      <c r="F284" s="633">
        <f t="shared" si="98"/>
        <v>0</v>
      </c>
      <c r="G284" s="632" t="str">
        <f>InpCompany!$F$11</f>
        <v>£m (2017-18 prices)</v>
      </c>
      <c r="H284" s="453"/>
      <c r="I284" s="634"/>
      <c r="J284" s="494"/>
      <c r="K284" s="494"/>
      <c r="L284" s="494"/>
      <c r="M284" s="494"/>
      <c r="N284" s="494"/>
      <c r="O284" s="494"/>
      <c r="P284" s="494"/>
      <c r="Q284" s="496"/>
      <c r="R284" s="494"/>
      <c r="S284" s="494"/>
      <c r="T284" s="494"/>
      <c r="U284" s="494"/>
      <c r="V284" s="494"/>
      <c r="W284" s="494"/>
      <c r="X284" s="494"/>
      <c r="Y284" s="494"/>
      <c r="Z284" s="494"/>
      <c r="AA284" s="494"/>
      <c r="AB284" s="494"/>
      <c r="AC284" s="494"/>
      <c r="AD284" s="494"/>
      <c r="AE284" s="494"/>
      <c r="AF284" s="494"/>
      <c r="AG284" s="494"/>
      <c r="AH284" s="494"/>
      <c r="AI284" s="494"/>
      <c r="AJ284" s="494"/>
      <c r="AK284" s="496"/>
      <c r="AL284" s="494"/>
      <c r="AM284" s="494"/>
      <c r="AN284" s="494"/>
      <c r="AO284" s="496"/>
      <c r="AP284" s="494"/>
      <c r="AQ284" s="494"/>
      <c r="AR284" s="494"/>
      <c r="AS284" s="494"/>
      <c r="AT284" s="494"/>
      <c r="AU284" s="494"/>
      <c r="AV284" s="494"/>
      <c r="AW284" s="494"/>
      <c r="AX284" s="494"/>
      <c r="AY284" s="494"/>
      <c r="AZ284" s="494"/>
      <c r="BA284" s="494"/>
      <c r="BB284" s="494"/>
      <c r="BC284" s="496"/>
      <c r="BD284" s="494"/>
      <c r="BE284" s="494"/>
      <c r="BF284" s="494"/>
      <c r="BG284" s="494"/>
      <c r="BH284" s="494"/>
      <c r="BI284" s="494"/>
      <c r="BJ284" s="494"/>
      <c r="BK284" s="494"/>
      <c r="BL284" s="494"/>
      <c r="BM284" s="494"/>
      <c r="BN284" s="494"/>
      <c r="BO284" s="494"/>
      <c r="BP284" s="494"/>
      <c r="BQ284" s="494"/>
      <c r="BR284" s="494"/>
      <c r="BS284" s="494"/>
    </row>
    <row r="285" spans="1:71" s="202" customFormat="1" ht="13.15">
      <c r="A285" s="453"/>
      <c r="B285" s="453"/>
      <c r="C285" s="453"/>
      <c r="D285" s="453"/>
      <c r="E285" s="453"/>
      <c r="F285" s="625"/>
      <c r="G285" s="453"/>
      <c r="H285" s="453"/>
      <c r="I285" s="634"/>
      <c r="J285" s="494"/>
      <c r="K285" s="494"/>
      <c r="L285" s="494"/>
      <c r="M285" s="494"/>
      <c r="N285" s="494"/>
      <c r="O285" s="494"/>
      <c r="P285" s="494"/>
      <c r="Q285" s="496"/>
      <c r="R285" s="494"/>
      <c r="S285" s="494"/>
      <c r="T285" s="494"/>
      <c r="U285" s="494"/>
      <c r="V285" s="494"/>
      <c r="W285" s="494"/>
      <c r="X285" s="494"/>
      <c r="Y285" s="494"/>
      <c r="Z285" s="494"/>
      <c r="AA285" s="494"/>
      <c r="AB285" s="494"/>
      <c r="AC285" s="494"/>
      <c r="AD285" s="494"/>
      <c r="AE285" s="494"/>
      <c r="AF285" s="494"/>
      <c r="AG285" s="494"/>
      <c r="AH285" s="494"/>
      <c r="AI285" s="494"/>
      <c r="AJ285" s="494"/>
      <c r="AK285" s="496"/>
      <c r="AL285" s="494"/>
      <c r="AM285" s="494"/>
      <c r="AN285" s="494"/>
      <c r="AO285" s="496"/>
      <c r="AP285" s="494"/>
      <c r="AQ285" s="494"/>
      <c r="AR285" s="494"/>
      <c r="AS285" s="494"/>
      <c r="AT285" s="494"/>
      <c r="AU285" s="494"/>
      <c r="AV285" s="494"/>
      <c r="AW285" s="494"/>
      <c r="AX285" s="494"/>
      <c r="AY285" s="494"/>
      <c r="AZ285" s="494"/>
      <c r="BA285" s="494"/>
      <c r="BB285" s="494"/>
      <c r="BC285" s="496"/>
      <c r="BD285" s="494"/>
      <c r="BE285" s="494"/>
      <c r="BF285" s="494"/>
      <c r="BG285" s="494"/>
      <c r="BH285" s="494"/>
      <c r="BI285" s="494"/>
      <c r="BJ285" s="494"/>
      <c r="BK285" s="494"/>
      <c r="BL285" s="494"/>
      <c r="BM285" s="494"/>
      <c r="BN285" s="494"/>
      <c r="BO285" s="494"/>
      <c r="BP285" s="494"/>
      <c r="BQ285" s="494"/>
      <c r="BR285" s="494"/>
      <c r="BS285" s="494"/>
    </row>
    <row r="286" spans="1:71" s="202" customFormat="1" ht="13.15">
      <c r="A286" s="453"/>
      <c r="B286" s="453"/>
      <c r="C286" s="453"/>
      <c r="D286" s="463" t="s">
        <v>1322</v>
      </c>
      <c r="E286" s="463"/>
      <c r="F286" s="625"/>
      <c r="G286" s="453"/>
      <c r="H286" s="453"/>
      <c r="I286" s="634"/>
      <c r="J286" s="494"/>
      <c r="K286" s="494"/>
      <c r="L286" s="494"/>
      <c r="M286" s="494"/>
      <c r="N286" s="494"/>
      <c r="O286" s="494"/>
      <c r="P286" s="494"/>
      <c r="Q286" s="496"/>
      <c r="R286" s="494"/>
      <c r="S286" s="494"/>
      <c r="T286" s="494"/>
      <c r="U286" s="494"/>
      <c r="V286" s="494"/>
      <c r="W286" s="494"/>
      <c r="X286" s="494"/>
      <c r="Y286" s="494"/>
      <c r="Z286" s="494"/>
      <c r="AA286" s="494"/>
      <c r="AB286" s="494"/>
      <c r="AC286" s="494"/>
      <c r="AD286" s="494"/>
      <c r="AE286" s="494"/>
      <c r="AF286" s="494"/>
      <c r="AG286" s="494"/>
      <c r="AH286" s="494"/>
      <c r="AI286" s="494"/>
      <c r="AJ286" s="494"/>
      <c r="AK286" s="496"/>
      <c r="AL286" s="494"/>
      <c r="AM286" s="494"/>
      <c r="AN286" s="494"/>
      <c r="AO286" s="496"/>
      <c r="AP286" s="494"/>
      <c r="AQ286" s="494"/>
      <c r="AR286" s="494"/>
      <c r="AS286" s="494"/>
      <c r="AT286" s="494"/>
      <c r="AU286" s="494"/>
      <c r="AV286" s="494"/>
      <c r="AW286" s="494"/>
      <c r="AX286" s="494"/>
      <c r="AY286" s="494"/>
      <c r="AZ286" s="494"/>
      <c r="BA286" s="494"/>
      <c r="BB286" s="494"/>
      <c r="BC286" s="496"/>
      <c r="BD286" s="494"/>
      <c r="BE286" s="494"/>
      <c r="BF286" s="494"/>
      <c r="BG286" s="494"/>
      <c r="BH286" s="494"/>
      <c r="BI286" s="494"/>
      <c r="BJ286" s="494"/>
      <c r="BK286" s="494"/>
      <c r="BL286" s="494"/>
      <c r="BM286" s="494"/>
      <c r="BN286" s="494"/>
      <c r="BO286" s="494"/>
      <c r="BP286" s="494"/>
      <c r="BQ286" s="494"/>
      <c r="BR286" s="494"/>
      <c r="BS286" s="494"/>
    </row>
    <row r="287" spans="1:71" s="230" customFormat="1" ht="13.15">
      <c r="A287" s="632"/>
      <c r="B287" s="632"/>
      <c r="C287" s="632"/>
      <c r="D287" s="632"/>
      <c r="E287" s="632" t="s">
        <v>1323</v>
      </c>
      <c r="F287" s="1844">
        <f t="shared" ref="F287:F293" si="99">F251-F269</f>
        <v>0</v>
      </c>
      <c r="G287" s="632" t="str">
        <f>InpCompany!$F$11</f>
        <v>£m (2017-18 prices)</v>
      </c>
      <c r="H287" s="632"/>
      <c r="I287" s="634"/>
      <c r="J287" s="682"/>
      <c r="K287" s="682"/>
      <c r="L287" s="682"/>
      <c r="M287" s="682"/>
      <c r="N287" s="682"/>
      <c r="O287" s="682"/>
      <c r="P287" s="682"/>
      <c r="Q287" s="1415"/>
      <c r="R287" s="682"/>
      <c r="S287" s="682"/>
      <c r="T287" s="682"/>
      <c r="U287" s="682"/>
      <c r="V287" s="682"/>
      <c r="W287" s="682"/>
      <c r="X287" s="682"/>
      <c r="Y287" s="682"/>
      <c r="Z287" s="682"/>
      <c r="AA287" s="682"/>
      <c r="AB287" s="682"/>
      <c r="AC287" s="682"/>
      <c r="AD287" s="682"/>
      <c r="AE287" s="682"/>
      <c r="AF287" s="682"/>
      <c r="AG287" s="682"/>
      <c r="AH287" s="682"/>
      <c r="AI287" s="682"/>
      <c r="AJ287" s="682"/>
      <c r="AK287" s="1415"/>
      <c r="AL287" s="682"/>
      <c r="AM287" s="682"/>
      <c r="AN287" s="682"/>
      <c r="AO287" s="1415"/>
      <c r="AP287" s="682"/>
      <c r="AQ287" s="682"/>
      <c r="AR287" s="682"/>
      <c r="AS287" s="682"/>
      <c r="AT287" s="682"/>
      <c r="AU287" s="682"/>
      <c r="AV287" s="682"/>
      <c r="AW287" s="682"/>
      <c r="AX287" s="682"/>
      <c r="AY287" s="682"/>
      <c r="AZ287" s="682"/>
      <c r="BA287" s="682"/>
      <c r="BB287" s="682"/>
      <c r="BC287" s="1415"/>
      <c r="BD287" s="682"/>
      <c r="BE287" s="682"/>
      <c r="BF287" s="682"/>
      <c r="BG287" s="682"/>
      <c r="BH287" s="682"/>
      <c r="BI287" s="682"/>
      <c r="BJ287" s="682"/>
      <c r="BK287" s="682"/>
      <c r="BL287" s="682"/>
      <c r="BM287" s="682"/>
      <c r="BN287" s="682"/>
      <c r="BO287" s="682"/>
      <c r="BP287" s="682"/>
      <c r="BQ287" s="682"/>
      <c r="BR287" s="682"/>
      <c r="BS287" s="682"/>
    </row>
    <row r="288" spans="1:71" s="230" customFormat="1" ht="13.15">
      <c r="A288" s="632"/>
      <c r="B288" s="632"/>
      <c r="C288" s="632"/>
      <c r="D288" s="632"/>
      <c r="E288" s="632" t="s">
        <v>1324</v>
      </c>
      <c r="F288" s="633">
        <f t="shared" si="99"/>
        <v>0</v>
      </c>
      <c r="G288" s="632" t="str">
        <f>InpCompany!$F$11</f>
        <v>£m (2017-18 prices)</v>
      </c>
      <c r="H288" s="632"/>
      <c r="I288" s="634"/>
      <c r="J288" s="682"/>
      <c r="K288" s="682"/>
      <c r="L288" s="682"/>
      <c r="M288" s="682"/>
      <c r="N288" s="682"/>
      <c r="O288" s="682"/>
      <c r="P288" s="682"/>
      <c r="Q288" s="1415"/>
      <c r="R288" s="682"/>
      <c r="S288" s="682"/>
      <c r="T288" s="682"/>
      <c r="U288" s="682"/>
      <c r="V288" s="682"/>
      <c r="W288" s="682"/>
      <c r="X288" s="682"/>
      <c r="Y288" s="682"/>
      <c r="Z288" s="682"/>
      <c r="AA288" s="682"/>
      <c r="AB288" s="682"/>
      <c r="AC288" s="682"/>
      <c r="AD288" s="682"/>
      <c r="AE288" s="682"/>
      <c r="AF288" s="682"/>
      <c r="AG288" s="682"/>
      <c r="AH288" s="682"/>
      <c r="AI288" s="682"/>
      <c r="AJ288" s="682"/>
      <c r="AK288" s="1415"/>
      <c r="AL288" s="682"/>
      <c r="AM288" s="682"/>
      <c r="AN288" s="682"/>
      <c r="AO288" s="1415"/>
      <c r="AP288" s="682"/>
      <c r="AQ288" s="682"/>
      <c r="AR288" s="682"/>
      <c r="AS288" s="682"/>
      <c r="AT288" s="682"/>
      <c r="AU288" s="682"/>
      <c r="AV288" s="682"/>
      <c r="AW288" s="682"/>
      <c r="AX288" s="682"/>
      <c r="AY288" s="682"/>
      <c r="AZ288" s="682"/>
      <c r="BA288" s="682"/>
      <c r="BB288" s="682"/>
      <c r="BC288" s="1415"/>
      <c r="BD288" s="682"/>
      <c r="BE288" s="682"/>
      <c r="BF288" s="682"/>
      <c r="BG288" s="682"/>
      <c r="BH288" s="682"/>
      <c r="BI288" s="682"/>
      <c r="BJ288" s="682"/>
      <c r="BK288" s="682"/>
      <c r="BL288" s="682"/>
      <c r="BM288" s="682"/>
      <c r="BN288" s="682"/>
      <c r="BO288" s="682"/>
      <c r="BP288" s="682"/>
      <c r="BQ288" s="682"/>
      <c r="BR288" s="682"/>
      <c r="BS288" s="682"/>
    </row>
    <row r="289" spans="1:71" s="230" customFormat="1" ht="13.15">
      <c r="A289" s="632"/>
      <c r="B289" s="632"/>
      <c r="C289" s="632"/>
      <c r="D289" s="632"/>
      <c r="E289" s="632" t="s">
        <v>1325</v>
      </c>
      <c r="F289" s="633">
        <f t="shared" si="99"/>
        <v>0</v>
      </c>
      <c r="G289" s="632" t="str">
        <f>InpCompany!$F$11</f>
        <v>£m (2017-18 prices)</v>
      </c>
      <c r="H289" s="632"/>
      <c r="I289" s="634"/>
      <c r="J289" s="682"/>
      <c r="K289" s="682"/>
      <c r="L289" s="682"/>
      <c r="M289" s="682"/>
      <c r="N289" s="682"/>
      <c r="O289" s="682"/>
      <c r="P289" s="682"/>
      <c r="Q289" s="1415"/>
      <c r="R289" s="682"/>
      <c r="S289" s="682"/>
      <c r="T289" s="682"/>
      <c r="U289" s="682"/>
      <c r="V289" s="682"/>
      <c r="W289" s="682"/>
      <c r="X289" s="682"/>
      <c r="Y289" s="682"/>
      <c r="Z289" s="682"/>
      <c r="AA289" s="682"/>
      <c r="AB289" s="682"/>
      <c r="AC289" s="682"/>
      <c r="AD289" s="682"/>
      <c r="AE289" s="682"/>
      <c r="AF289" s="682"/>
      <c r="AG289" s="682"/>
      <c r="AH289" s="682"/>
      <c r="AI289" s="682"/>
      <c r="AJ289" s="682"/>
      <c r="AK289" s="1415"/>
      <c r="AL289" s="682"/>
      <c r="AM289" s="682"/>
      <c r="AN289" s="682"/>
      <c r="AO289" s="1415"/>
      <c r="AP289" s="682"/>
      <c r="AQ289" s="682"/>
      <c r="AR289" s="682"/>
      <c r="AS289" s="682"/>
      <c r="AT289" s="682"/>
      <c r="AU289" s="682"/>
      <c r="AV289" s="682"/>
      <c r="AW289" s="682"/>
      <c r="AX289" s="682"/>
      <c r="AY289" s="682"/>
      <c r="AZ289" s="682"/>
      <c r="BA289" s="682"/>
      <c r="BB289" s="682"/>
      <c r="BC289" s="1415"/>
      <c r="BD289" s="682"/>
      <c r="BE289" s="682"/>
      <c r="BF289" s="682"/>
      <c r="BG289" s="682"/>
      <c r="BH289" s="682"/>
      <c r="BI289" s="682"/>
      <c r="BJ289" s="682"/>
      <c r="BK289" s="682"/>
      <c r="BL289" s="682"/>
      <c r="BM289" s="682"/>
      <c r="BN289" s="682"/>
      <c r="BO289" s="682"/>
      <c r="BP289" s="682"/>
      <c r="BQ289" s="682"/>
      <c r="BR289" s="682"/>
      <c r="BS289" s="682"/>
    </row>
    <row r="290" spans="1:71" s="230" customFormat="1" ht="13.15">
      <c r="A290" s="632"/>
      <c r="B290" s="632"/>
      <c r="C290" s="632"/>
      <c r="D290" s="632"/>
      <c r="E290" s="632" t="s">
        <v>1326</v>
      </c>
      <c r="F290" s="633">
        <f t="shared" si="99"/>
        <v>0</v>
      </c>
      <c r="G290" s="632" t="str">
        <f>InpCompany!$F$11</f>
        <v>£m (2017-18 prices)</v>
      </c>
      <c r="H290" s="632"/>
      <c r="I290" s="634"/>
      <c r="J290" s="682"/>
      <c r="K290" s="682"/>
      <c r="L290" s="682"/>
      <c r="M290" s="682"/>
      <c r="N290" s="682"/>
      <c r="O290" s="682"/>
      <c r="P290" s="682"/>
      <c r="Q290" s="1415"/>
      <c r="R290" s="682"/>
      <c r="S290" s="682"/>
      <c r="T290" s="682"/>
      <c r="U290" s="682"/>
      <c r="V290" s="682"/>
      <c r="W290" s="682"/>
      <c r="X290" s="682"/>
      <c r="Y290" s="682"/>
      <c r="Z290" s="682"/>
      <c r="AA290" s="682"/>
      <c r="AB290" s="682"/>
      <c r="AC290" s="682"/>
      <c r="AD290" s="682"/>
      <c r="AE290" s="682"/>
      <c r="AF290" s="682"/>
      <c r="AG290" s="682"/>
      <c r="AH290" s="682"/>
      <c r="AI290" s="682"/>
      <c r="AJ290" s="682"/>
      <c r="AK290" s="1415"/>
      <c r="AL290" s="682"/>
      <c r="AM290" s="682"/>
      <c r="AN290" s="682"/>
      <c r="AO290" s="1415"/>
      <c r="AP290" s="682"/>
      <c r="AQ290" s="682"/>
      <c r="AR290" s="682"/>
      <c r="AS290" s="682"/>
      <c r="AT290" s="682"/>
      <c r="AU290" s="682"/>
      <c r="AV290" s="682"/>
      <c r="AW290" s="682"/>
      <c r="AX290" s="682"/>
      <c r="AY290" s="682"/>
      <c r="AZ290" s="682"/>
      <c r="BA290" s="682"/>
      <c r="BB290" s="682"/>
      <c r="BC290" s="1415"/>
      <c r="BD290" s="682"/>
      <c r="BE290" s="682"/>
      <c r="BF290" s="682"/>
      <c r="BG290" s="682"/>
      <c r="BH290" s="682"/>
      <c r="BI290" s="682"/>
      <c r="BJ290" s="682"/>
      <c r="BK290" s="682"/>
      <c r="BL290" s="682"/>
      <c r="BM290" s="682"/>
      <c r="BN290" s="682"/>
      <c r="BO290" s="682"/>
      <c r="BP290" s="682"/>
      <c r="BQ290" s="682"/>
      <c r="BR290" s="682"/>
      <c r="BS290" s="682"/>
    </row>
    <row r="291" spans="1:71" s="230" customFormat="1" ht="13.15">
      <c r="A291" s="632"/>
      <c r="B291" s="632"/>
      <c r="C291" s="632"/>
      <c r="D291" s="632"/>
      <c r="E291" s="632" t="s">
        <v>1327</v>
      </c>
      <c r="F291" s="633">
        <f t="shared" si="99"/>
        <v>0</v>
      </c>
      <c r="G291" s="632" t="str">
        <f>InpCompany!$F$11</f>
        <v>£m (2017-18 prices)</v>
      </c>
      <c r="H291" s="632"/>
      <c r="I291" s="634"/>
      <c r="J291" s="682"/>
      <c r="K291" s="682"/>
      <c r="L291" s="682"/>
      <c r="M291" s="682"/>
      <c r="N291" s="682"/>
      <c r="O291" s="682"/>
      <c r="P291" s="682"/>
      <c r="Q291" s="1415"/>
      <c r="R291" s="682"/>
      <c r="S291" s="682"/>
      <c r="T291" s="682"/>
      <c r="U291" s="682"/>
      <c r="V291" s="682"/>
      <c r="W291" s="682"/>
      <c r="X291" s="682"/>
      <c r="Y291" s="682"/>
      <c r="Z291" s="682"/>
      <c r="AA291" s="682"/>
      <c r="AB291" s="682"/>
      <c r="AC291" s="682"/>
      <c r="AD291" s="682"/>
      <c r="AE291" s="682"/>
      <c r="AF291" s="682"/>
      <c r="AG291" s="682"/>
      <c r="AH291" s="682"/>
      <c r="AI291" s="682"/>
      <c r="AJ291" s="682"/>
      <c r="AK291" s="1415"/>
      <c r="AL291" s="682"/>
      <c r="AM291" s="682"/>
      <c r="AN291" s="682"/>
      <c r="AO291" s="1415"/>
      <c r="AP291" s="682"/>
      <c r="AQ291" s="682"/>
      <c r="AR291" s="682"/>
      <c r="AS291" s="682"/>
      <c r="AT291" s="682"/>
      <c r="AU291" s="682"/>
      <c r="AV291" s="682"/>
      <c r="AW291" s="682"/>
      <c r="AX291" s="682"/>
      <c r="AY291" s="682"/>
      <c r="AZ291" s="682"/>
      <c r="BA291" s="682"/>
      <c r="BB291" s="682"/>
      <c r="BC291" s="1415"/>
      <c r="BD291" s="682"/>
      <c r="BE291" s="682"/>
      <c r="BF291" s="682"/>
      <c r="BG291" s="682"/>
      <c r="BH291" s="682"/>
      <c r="BI291" s="682"/>
      <c r="BJ291" s="682"/>
      <c r="BK291" s="682"/>
      <c r="BL291" s="682"/>
      <c r="BM291" s="682"/>
      <c r="BN291" s="682"/>
      <c r="BO291" s="682"/>
      <c r="BP291" s="682"/>
      <c r="BQ291" s="682"/>
      <c r="BR291" s="682"/>
      <c r="BS291" s="682"/>
    </row>
    <row r="292" spans="1:71" s="230" customFormat="1" ht="13.15">
      <c r="A292" s="632"/>
      <c r="B292" s="632"/>
      <c r="C292" s="632"/>
      <c r="D292" s="632"/>
      <c r="E292" s="632" t="s">
        <v>1328</v>
      </c>
      <c r="F292" s="633">
        <f t="shared" si="99"/>
        <v>0</v>
      </c>
      <c r="G292" s="632" t="str">
        <f>InpCompany!$F$11</f>
        <v>£m (2017-18 prices)</v>
      </c>
      <c r="H292" s="632"/>
      <c r="I292" s="634"/>
      <c r="J292" s="682"/>
      <c r="K292" s="682"/>
      <c r="L292" s="682"/>
      <c r="M292" s="682"/>
      <c r="N292" s="682"/>
      <c r="O292" s="682"/>
      <c r="P292" s="682"/>
      <c r="Q292" s="1415"/>
      <c r="R292" s="682"/>
      <c r="S292" s="682"/>
      <c r="T292" s="682"/>
      <c r="U292" s="682"/>
      <c r="V292" s="682"/>
      <c r="W292" s="682"/>
      <c r="X292" s="682"/>
      <c r="Y292" s="682"/>
      <c r="Z292" s="682"/>
      <c r="AA292" s="682"/>
      <c r="AB292" s="682"/>
      <c r="AC292" s="682"/>
      <c r="AD292" s="682"/>
      <c r="AE292" s="682"/>
      <c r="AF292" s="682"/>
      <c r="AG292" s="682"/>
      <c r="AH292" s="682"/>
      <c r="AI292" s="682"/>
      <c r="AJ292" s="682"/>
      <c r="AK292" s="1415"/>
      <c r="AL292" s="682"/>
      <c r="AM292" s="682"/>
      <c r="AN292" s="682"/>
      <c r="AO292" s="1415"/>
      <c r="AP292" s="682"/>
      <c r="AQ292" s="682"/>
      <c r="AR292" s="682"/>
      <c r="AS292" s="682"/>
      <c r="AT292" s="682"/>
      <c r="AU292" s="682"/>
      <c r="AV292" s="682"/>
      <c r="AW292" s="682"/>
      <c r="AX292" s="682"/>
      <c r="AY292" s="682"/>
      <c r="AZ292" s="682"/>
      <c r="BA292" s="682"/>
      <c r="BB292" s="682"/>
      <c r="BC292" s="1415"/>
      <c r="BD292" s="682"/>
      <c r="BE292" s="682"/>
      <c r="BF292" s="682"/>
      <c r="BG292" s="682"/>
      <c r="BH292" s="682"/>
      <c r="BI292" s="682"/>
      <c r="BJ292" s="682"/>
      <c r="BK292" s="682"/>
      <c r="BL292" s="682"/>
      <c r="BM292" s="682"/>
      <c r="BN292" s="682"/>
      <c r="BO292" s="682"/>
      <c r="BP292" s="682"/>
      <c r="BQ292" s="682"/>
      <c r="BR292" s="682"/>
      <c r="BS292" s="682"/>
    </row>
    <row r="293" spans="1:71" s="230" customFormat="1" ht="13.15">
      <c r="A293" s="632"/>
      <c r="B293" s="632"/>
      <c r="C293" s="632"/>
      <c r="D293" s="632"/>
      <c r="E293" s="632" t="s">
        <v>1329</v>
      </c>
      <c r="F293" s="633">
        <f t="shared" si="99"/>
        <v>0</v>
      </c>
      <c r="G293" s="632" t="str">
        <f>InpCompany!$F$11</f>
        <v>£m (2017-18 prices)</v>
      </c>
      <c r="H293" s="632"/>
      <c r="I293" s="634"/>
      <c r="J293" s="682"/>
      <c r="K293" s="682"/>
      <c r="L293" s="682"/>
      <c r="M293" s="682"/>
      <c r="N293" s="682"/>
      <c r="O293" s="682"/>
      <c r="P293" s="682"/>
      <c r="Q293" s="1415"/>
      <c r="R293" s="682"/>
      <c r="S293" s="682"/>
      <c r="T293" s="682"/>
      <c r="U293" s="682"/>
      <c r="V293" s="682"/>
      <c r="W293" s="682"/>
      <c r="X293" s="682"/>
      <c r="Y293" s="682"/>
      <c r="Z293" s="682"/>
      <c r="AA293" s="682"/>
      <c r="AB293" s="682"/>
      <c r="AC293" s="682"/>
      <c r="AD293" s="682"/>
      <c r="AE293" s="682"/>
      <c r="AF293" s="682"/>
      <c r="AG293" s="682"/>
      <c r="AH293" s="682"/>
      <c r="AI293" s="682"/>
      <c r="AJ293" s="682"/>
      <c r="AK293" s="1415"/>
      <c r="AL293" s="682"/>
      <c r="AM293" s="682"/>
      <c r="AN293" s="682"/>
      <c r="AO293" s="1415"/>
      <c r="AP293" s="682"/>
      <c r="AQ293" s="682"/>
      <c r="AR293" s="682"/>
      <c r="AS293" s="682"/>
      <c r="AT293" s="682"/>
      <c r="AU293" s="682"/>
      <c r="AV293" s="682"/>
      <c r="AW293" s="682"/>
      <c r="AX293" s="682"/>
      <c r="AY293" s="682"/>
      <c r="AZ293" s="682"/>
      <c r="BA293" s="682"/>
      <c r="BB293" s="682"/>
      <c r="BC293" s="1415"/>
      <c r="BD293" s="682"/>
      <c r="BE293" s="682"/>
      <c r="BF293" s="682"/>
      <c r="BG293" s="682"/>
      <c r="BH293" s="682"/>
      <c r="BI293" s="682"/>
      <c r="BJ293" s="682"/>
      <c r="BK293" s="682"/>
      <c r="BL293" s="682"/>
      <c r="BM293" s="682"/>
      <c r="BN293" s="682"/>
      <c r="BO293" s="682"/>
      <c r="BP293" s="682"/>
      <c r="BQ293" s="682"/>
      <c r="BR293" s="682"/>
      <c r="BS293" s="682"/>
    </row>
    <row r="294" spans="1:71" s="1451" customFormat="1" ht="13.15">
      <c r="A294" s="1446"/>
      <c r="B294" s="1446"/>
      <c r="C294" s="1446"/>
      <c r="D294" s="1446"/>
      <c r="E294" s="1446"/>
      <c r="F294" s="1446"/>
      <c r="G294" s="1446"/>
      <c r="H294" s="1452"/>
      <c r="I294" s="1448"/>
      <c r="J294" s="1449"/>
      <c r="K294" s="1449"/>
      <c r="L294" s="1449"/>
      <c r="M294" s="1449"/>
      <c r="N294" s="1449"/>
      <c r="O294" s="1449"/>
      <c r="P294" s="1449"/>
      <c r="Q294" s="1450"/>
      <c r="R294" s="1449"/>
      <c r="S294" s="1449"/>
      <c r="T294" s="1449"/>
      <c r="U294" s="1449"/>
      <c r="V294" s="1449"/>
      <c r="W294" s="1449"/>
      <c r="X294" s="1449"/>
      <c r="Y294" s="1449"/>
      <c r="Z294" s="1449"/>
      <c r="AA294" s="1449"/>
      <c r="AB294" s="1449"/>
      <c r="AC294" s="1449"/>
      <c r="AD294" s="1449"/>
      <c r="AE294" s="1449"/>
      <c r="AF294" s="1449"/>
      <c r="AG294" s="1449"/>
      <c r="AH294" s="1449"/>
      <c r="AI294" s="1449"/>
      <c r="AJ294" s="1449"/>
      <c r="AK294" s="1450"/>
      <c r="AL294" s="1449"/>
      <c r="AM294" s="1449"/>
      <c r="AN294" s="1449"/>
      <c r="AO294" s="1450"/>
      <c r="AP294" s="1449"/>
      <c r="AQ294" s="1449"/>
      <c r="AR294" s="1449"/>
      <c r="AS294" s="1449"/>
      <c r="AT294" s="1449"/>
      <c r="AU294" s="1449"/>
      <c r="AV294" s="1449"/>
      <c r="AW294" s="1449"/>
      <c r="AX294" s="1449"/>
      <c r="AY294" s="1449"/>
      <c r="AZ294" s="1449"/>
      <c r="BA294" s="1449"/>
      <c r="BB294" s="1449"/>
      <c r="BC294" s="1450"/>
      <c r="BD294" s="1449"/>
      <c r="BE294" s="1449"/>
      <c r="BF294" s="1449"/>
      <c r="BG294" s="1449"/>
      <c r="BH294" s="1449"/>
      <c r="BI294" s="1449"/>
      <c r="BJ294" s="1449"/>
      <c r="BK294" s="1449"/>
      <c r="BL294" s="1449"/>
      <c r="BM294" s="1449"/>
      <c r="BN294" s="1449"/>
      <c r="BO294" s="1449"/>
      <c r="BP294" s="1449"/>
      <c r="BQ294" s="1449"/>
      <c r="BR294" s="1449"/>
      <c r="BS294" s="1449"/>
    </row>
    <row r="295" spans="1:71" s="202" customFormat="1" ht="13.15">
      <c r="A295" s="453"/>
      <c r="B295" s="453"/>
      <c r="C295" s="473" t="s">
        <v>1330</v>
      </c>
      <c r="D295" s="453"/>
      <c r="E295" s="453"/>
      <c r="F295" s="453"/>
      <c r="G295" s="453"/>
      <c r="H295" s="462"/>
      <c r="I295" s="453"/>
      <c r="J295" s="494"/>
      <c r="K295" s="494"/>
      <c r="L295" s="494"/>
      <c r="M295" s="494"/>
      <c r="N295" s="494"/>
      <c r="O295" s="494"/>
      <c r="P295" s="494"/>
      <c r="Q295" s="496"/>
      <c r="R295" s="494"/>
      <c r="S295" s="494"/>
      <c r="T295" s="494"/>
      <c r="U295" s="494"/>
      <c r="V295" s="494"/>
      <c r="W295" s="494"/>
      <c r="X295" s="494"/>
      <c r="Y295" s="494"/>
      <c r="Z295" s="494"/>
      <c r="AA295" s="494"/>
      <c r="AB295" s="494"/>
      <c r="AC295" s="494"/>
      <c r="AD295" s="494"/>
      <c r="AE295" s="494"/>
      <c r="AF295" s="494"/>
      <c r="AG295" s="494"/>
      <c r="AH295" s="494"/>
      <c r="AI295" s="494"/>
      <c r="AJ295" s="494"/>
      <c r="AK295" s="496"/>
      <c r="AL295" s="494"/>
      <c r="AM295" s="494"/>
      <c r="AN295" s="494"/>
      <c r="AO295" s="496"/>
      <c r="AP295" s="494"/>
      <c r="AQ295" s="494"/>
      <c r="AR295" s="494"/>
      <c r="AS295" s="494"/>
      <c r="AT295" s="494"/>
      <c r="AU295" s="494"/>
      <c r="AV295" s="494"/>
      <c r="AW295" s="494"/>
      <c r="AX295" s="494"/>
      <c r="AY295" s="494"/>
      <c r="AZ295" s="494"/>
      <c r="BA295" s="494"/>
      <c r="BB295" s="494"/>
      <c r="BC295" s="496"/>
      <c r="BD295" s="494"/>
      <c r="BE295" s="494"/>
      <c r="BF295" s="494"/>
      <c r="BG295" s="494"/>
      <c r="BH295" s="494"/>
      <c r="BI295" s="494"/>
      <c r="BJ295" s="494"/>
      <c r="BK295" s="494"/>
      <c r="BL295" s="494"/>
      <c r="BM295" s="494"/>
      <c r="BN295" s="494"/>
      <c r="BO295" s="494"/>
      <c r="BP295" s="494"/>
      <c r="BQ295" s="494"/>
      <c r="BR295" s="494"/>
      <c r="BS295" s="494"/>
    </row>
    <row r="296" spans="1:71" s="202" customFormat="1" ht="13.15">
      <c r="A296" s="453"/>
      <c r="B296" s="453"/>
      <c r="C296" s="453"/>
      <c r="D296" s="463"/>
      <c r="E296" s="453"/>
      <c r="F296" s="453"/>
      <c r="G296" s="453"/>
      <c r="H296" s="462"/>
      <c r="I296" s="453"/>
      <c r="J296" s="494"/>
      <c r="K296" s="494"/>
      <c r="L296" s="494"/>
      <c r="M296" s="494"/>
      <c r="N296" s="494"/>
      <c r="O296" s="494"/>
      <c r="P296" s="494"/>
      <c r="Q296" s="496"/>
      <c r="R296" s="494"/>
      <c r="S296" s="494"/>
      <c r="T296" s="494"/>
      <c r="U296" s="494"/>
      <c r="V296" s="494"/>
      <c r="W296" s="494"/>
      <c r="X296" s="494"/>
      <c r="Y296" s="494"/>
      <c r="Z296" s="494"/>
      <c r="AA296" s="494"/>
      <c r="AB296" s="494"/>
      <c r="AC296" s="494"/>
      <c r="AD296" s="494"/>
      <c r="AE296" s="494"/>
      <c r="AF296" s="494"/>
      <c r="AG296" s="494"/>
      <c r="AH296" s="494"/>
      <c r="AI296" s="494"/>
      <c r="AJ296" s="494"/>
      <c r="AK296" s="496"/>
      <c r="AL296" s="494"/>
      <c r="AM296" s="494"/>
      <c r="AN296" s="494"/>
      <c r="AO296" s="496"/>
      <c r="AP296" s="494"/>
      <c r="AQ296" s="494"/>
      <c r="AR296" s="494"/>
      <c r="AS296" s="494"/>
      <c r="AT296" s="494"/>
      <c r="AU296" s="494"/>
      <c r="AV296" s="494"/>
      <c r="AW296" s="494"/>
      <c r="AX296" s="494"/>
      <c r="AY296" s="494"/>
      <c r="AZ296" s="494"/>
      <c r="BA296" s="494"/>
      <c r="BB296" s="494"/>
      <c r="BC296" s="496"/>
      <c r="BD296" s="494"/>
      <c r="BE296" s="494"/>
      <c r="BF296" s="494"/>
      <c r="BG296" s="494"/>
      <c r="BH296" s="494"/>
      <c r="BI296" s="494"/>
      <c r="BJ296" s="494"/>
      <c r="BK296" s="494"/>
      <c r="BL296" s="494"/>
      <c r="BM296" s="494"/>
      <c r="BN296" s="494"/>
      <c r="BO296" s="494"/>
      <c r="BP296" s="494"/>
      <c r="BQ296" s="494"/>
      <c r="BR296" s="494"/>
      <c r="BS296" s="494"/>
    </row>
    <row r="297" spans="1:71" s="202" customFormat="1" ht="13.15">
      <c r="A297" s="453"/>
      <c r="B297" s="453"/>
      <c r="C297" s="453"/>
      <c r="D297" s="463" t="s">
        <v>1331</v>
      </c>
      <c r="E297" s="453"/>
      <c r="F297" s="453"/>
      <c r="G297" s="453"/>
      <c r="H297" s="462"/>
      <c r="I297" s="453"/>
      <c r="J297" s="494"/>
      <c r="K297" s="494"/>
      <c r="L297" s="494"/>
      <c r="M297" s="494"/>
      <c r="N297" s="494"/>
      <c r="O297" s="494"/>
      <c r="P297" s="494"/>
      <c r="Q297" s="496"/>
      <c r="R297" s="494"/>
      <c r="S297" s="494"/>
      <c r="T297" s="494"/>
      <c r="U297" s="494"/>
      <c r="V297" s="494"/>
      <c r="W297" s="494"/>
      <c r="X297" s="494"/>
      <c r="Y297" s="494"/>
      <c r="Z297" s="494"/>
      <c r="AA297" s="494"/>
      <c r="AB297" s="494"/>
      <c r="AC297" s="494"/>
      <c r="AD297" s="494"/>
      <c r="AE297" s="494"/>
      <c r="AF297" s="494"/>
      <c r="AG297" s="494"/>
      <c r="AH297" s="494"/>
      <c r="AI297" s="494"/>
      <c r="AJ297" s="494"/>
      <c r="AK297" s="496"/>
      <c r="AL297" s="494"/>
      <c r="AM297" s="494"/>
      <c r="AN297" s="494"/>
      <c r="AO297" s="496"/>
      <c r="AP297" s="494"/>
      <c r="AQ297" s="494"/>
      <c r="AR297" s="494"/>
      <c r="AS297" s="494"/>
      <c r="AT297" s="494"/>
      <c r="AU297" s="494"/>
      <c r="AV297" s="494"/>
      <c r="AW297" s="494"/>
      <c r="AX297" s="494"/>
      <c r="AY297" s="494"/>
      <c r="AZ297" s="494"/>
      <c r="BA297" s="494"/>
      <c r="BB297" s="494"/>
      <c r="BC297" s="496"/>
      <c r="BD297" s="494"/>
      <c r="BE297" s="494"/>
      <c r="BF297" s="494"/>
      <c r="BG297" s="494"/>
      <c r="BH297" s="494"/>
      <c r="BI297" s="494"/>
      <c r="BJ297" s="494"/>
      <c r="BK297" s="494"/>
      <c r="BL297" s="494"/>
      <c r="BM297" s="494"/>
      <c r="BN297" s="494"/>
      <c r="BO297" s="494"/>
      <c r="BP297" s="494"/>
      <c r="BQ297" s="494"/>
      <c r="BR297" s="494"/>
      <c r="BS297" s="494"/>
    </row>
    <row r="298" spans="1:71" s="202" customFormat="1" ht="13.15">
      <c r="A298" s="453"/>
      <c r="B298" s="453"/>
      <c r="C298" s="453"/>
      <c r="D298" s="453"/>
      <c r="E298" s="632" t="s">
        <v>1332</v>
      </c>
      <c r="F298" s="636">
        <f t="shared" ref="F298:F304" si="100">IF(F242=0,0,F260/F242)</f>
        <v>1</v>
      </c>
      <c r="G298" s="632" t="s">
        <v>1146</v>
      </c>
      <c r="H298" s="453"/>
      <c r="I298" s="637"/>
      <c r="J298" s="494"/>
      <c r="K298" s="494"/>
      <c r="L298" s="494"/>
      <c r="M298" s="494"/>
      <c r="N298" s="494"/>
      <c r="O298" s="494"/>
      <c r="P298" s="494"/>
      <c r="Q298" s="496"/>
      <c r="R298" s="494"/>
      <c r="S298" s="494"/>
      <c r="T298" s="494"/>
      <c r="U298" s="494"/>
      <c r="V298" s="494"/>
      <c r="W298" s="494"/>
      <c r="X298" s="494"/>
      <c r="Y298" s="494"/>
      <c r="Z298" s="494"/>
      <c r="AA298" s="494"/>
      <c r="AB298" s="494"/>
      <c r="AC298" s="494"/>
      <c r="AD298" s="494"/>
      <c r="AE298" s="494"/>
      <c r="AF298" s="494"/>
      <c r="AG298" s="494"/>
      <c r="AH298" s="494"/>
      <c r="AI298" s="494"/>
      <c r="AJ298" s="494"/>
      <c r="AK298" s="496"/>
      <c r="AL298" s="494"/>
      <c r="AM298" s="494"/>
      <c r="AN298" s="494"/>
      <c r="AO298" s="496"/>
      <c r="AP298" s="494"/>
      <c r="AQ298" s="494"/>
      <c r="AR298" s="494"/>
      <c r="AS298" s="494"/>
      <c r="AT298" s="494"/>
      <c r="AU298" s="494"/>
      <c r="AV298" s="494"/>
      <c r="AW298" s="494"/>
      <c r="AX298" s="494"/>
      <c r="AY298" s="494"/>
      <c r="AZ298" s="494"/>
      <c r="BA298" s="494"/>
      <c r="BB298" s="494"/>
      <c r="BC298" s="496"/>
      <c r="BD298" s="494"/>
      <c r="BE298" s="494"/>
      <c r="BF298" s="494"/>
      <c r="BG298" s="494"/>
      <c r="BH298" s="494"/>
      <c r="BI298" s="494"/>
      <c r="BJ298" s="494"/>
      <c r="BK298" s="494"/>
      <c r="BL298" s="494"/>
      <c r="BM298" s="494"/>
      <c r="BN298" s="494"/>
      <c r="BO298" s="494"/>
      <c r="BP298" s="494"/>
      <c r="BQ298" s="494"/>
      <c r="BR298" s="494"/>
      <c r="BS298" s="494"/>
    </row>
    <row r="299" spans="1:71" s="202" customFormat="1" ht="13.15">
      <c r="A299" s="453"/>
      <c r="B299" s="453"/>
      <c r="C299" s="453"/>
      <c r="D299" s="453"/>
      <c r="E299" s="632" t="s">
        <v>1333</v>
      </c>
      <c r="F299" s="636">
        <f t="shared" si="100"/>
        <v>0</v>
      </c>
      <c r="G299" s="632" t="s">
        <v>1146</v>
      </c>
      <c r="H299" s="453"/>
      <c r="I299" s="637"/>
      <c r="J299" s="494"/>
      <c r="K299" s="494"/>
      <c r="L299" s="494"/>
      <c r="M299" s="494"/>
      <c r="N299" s="494"/>
      <c r="O299" s="494"/>
      <c r="P299" s="494"/>
      <c r="Q299" s="496"/>
      <c r="R299" s="494"/>
      <c r="S299" s="494"/>
      <c r="T299" s="494"/>
      <c r="U299" s="494"/>
      <c r="V299" s="494"/>
      <c r="W299" s="494"/>
      <c r="X299" s="494"/>
      <c r="Y299" s="494"/>
      <c r="Z299" s="494"/>
      <c r="AA299" s="494"/>
      <c r="AB299" s="494"/>
      <c r="AC299" s="494"/>
      <c r="AD299" s="494"/>
      <c r="AE299" s="494"/>
      <c r="AF299" s="494"/>
      <c r="AG299" s="494"/>
      <c r="AH299" s="494"/>
      <c r="AI299" s="494"/>
      <c r="AJ299" s="494"/>
      <c r="AK299" s="496"/>
      <c r="AL299" s="494"/>
      <c r="AM299" s="494"/>
      <c r="AN299" s="494"/>
      <c r="AO299" s="496"/>
      <c r="AP299" s="494"/>
      <c r="AQ299" s="494"/>
      <c r="AR299" s="494"/>
      <c r="AS299" s="494"/>
      <c r="AT299" s="494"/>
      <c r="AU299" s="494"/>
      <c r="AV299" s="494"/>
      <c r="AW299" s="494"/>
      <c r="AX299" s="494"/>
      <c r="AY299" s="494"/>
      <c r="AZ299" s="494"/>
      <c r="BA299" s="494"/>
      <c r="BB299" s="494"/>
      <c r="BC299" s="496"/>
      <c r="BD299" s="494"/>
      <c r="BE299" s="494"/>
      <c r="BF299" s="494"/>
      <c r="BG299" s="494"/>
      <c r="BH299" s="494"/>
      <c r="BI299" s="494"/>
      <c r="BJ299" s="494"/>
      <c r="BK299" s="494"/>
      <c r="BL299" s="494"/>
      <c r="BM299" s="494"/>
      <c r="BN299" s="494"/>
      <c r="BO299" s="494"/>
      <c r="BP299" s="494"/>
      <c r="BQ299" s="494"/>
      <c r="BR299" s="494"/>
      <c r="BS299" s="494"/>
    </row>
    <row r="300" spans="1:71" s="202" customFormat="1" ht="13.15">
      <c r="A300" s="453"/>
      <c r="B300" s="453"/>
      <c r="C300" s="453"/>
      <c r="D300" s="453"/>
      <c r="E300" s="632" t="s">
        <v>1334</v>
      </c>
      <c r="F300" s="636">
        <f t="shared" si="100"/>
        <v>1</v>
      </c>
      <c r="G300" s="632" t="s">
        <v>1146</v>
      </c>
      <c r="H300" s="453"/>
      <c r="I300" s="637"/>
      <c r="J300" s="494"/>
      <c r="K300" s="494"/>
      <c r="L300" s="494"/>
      <c r="M300" s="494"/>
      <c r="N300" s="494"/>
      <c r="O300" s="494"/>
      <c r="P300" s="494"/>
      <c r="Q300" s="496"/>
      <c r="R300" s="494"/>
      <c r="S300" s="494"/>
      <c r="T300" s="494"/>
      <c r="U300" s="494"/>
      <c r="V300" s="494"/>
      <c r="W300" s="494"/>
      <c r="X300" s="494"/>
      <c r="Y300" s="494"/>
      <c r="Z300" s="494"/>
      <c r="AA300" s="494"/>
      <c r="AB300" s="494"/>
      <c r="AC300" s="494"/>
      <c r="AD300" s="494"/>
      <c r="AE300" s="494"/>
      <c r="AF300" s="494"/>
      <c r="AG300" s="494"/>
      <c r="AH300" s="494"/>
      <c r="AI300" s="494"/>
      <c r="AJ300" s="494"/>
      <c r="AK300" s="496"/>
      <c r="AL300" s="494"/>
      <c r="AM300" s="494"/>
      <c r="AN300" s="494"/>
      <c r="AO300" s="496"/>
      <c r="AP300" s="494"/>
      <c r="AQ300" s="494"/>
      <c r="AR300" s="494"/>
      <c r="AS300" s="494"/>
      <c r="AT300" s="494"/>
      <c r="AU300" s="494"/>
      <c r="AV300" s="494"/>
      <c r="AW300" s="494"/>
      <c r="AX300" s="494"/>
      <c r="AY300" s="494"/>
      <c r="AZ300" s="494"/>
      <c r="BA300" s="494"/>
      <c r="BB300" s="494"/>
      <c r="BC300" s="496"/>
      <c r="BD300" s="494"/>
      <c r="BE300" s="494"/>
      <c r="BF300" s="494"/>
      <c r="BG300" s="494"/>
      <c r="BH300" s="494"/>
      <c r="BI300" s="494"/>
      <c r="BJ300" s="494"/>
      <c r="BK300" s="494"/>
      <c r="BL300" s="494"/>
      <c r="BM300" s="494"/>
      <c r="BN300" s="494"/>
      <c r="BO300" s="494"/>
      <c r="BP300" s="494"/>
      <c r="BQ300" s="494"/>
      <c r="BR300" s="494"/>
      <c r="BS300" s="494"/>
    </row>
    <row r="301" spans="1:71" s="202" customFormat="1" ht="13.15">
      <c r="A301" s="453"/>
      <c r="B301" s="453"/>
      <c r="C301" s="453"/>
      <c r="D301" s="453"/>
      <c r="E301" s="632" t="s">
        <v>1335</v>
      </c>
      <c r="F301" s="636">
        <f t="shared" si="100"/>
        <v>0</v>
      </c>
      <c r="G301" s="632" t="s">
        <v>1146</v>
      </c>
      <c r="H301" s="453"/>
      <c r="I301" s="637"/>
      <c r="J301" s="494"/>
      <c r="K301" s="494"/>
      <c r="L301" s="494"/>
      <c r="M301" s="494"/>
      <c r="N301" s="494"/>
      <c r="O301" s="494"/>
      <c r="P301" s="494"/>
      <c r="Q301" s="496"/>
      <c r="R301" s="494"/>
      <c r="S301" s="494"/>
      <c r="T301" s="494"/>
      <c r="U301" s="494"/>
      <c r="V301" s="494"/>
      <c r="W301" s="494"/>
      <c r="X301" s="494"/>
      <c r="Y301" s="494"/>
      <c r="Z301" s="494"/>
      <c r="AA301" s="494"/>
      <c r="AB301" s="494"/>
      <c r="AC301" s="494"/>
      <c r="AD301" s="494"/>
      <c r="AE301" s="494"/>
      <c r="AF301" s="494"/>
      <c r="AG301" s="494"/>
      <c r="AH301" s="494"/>
      <c r="AI301" s="494"/>
      <c r="AJ301" s="494"/>
      <c r="AK301" s="496"/>
      <c r="AL301" s="494"/>
      <c r="AM301" s="494"/>
      <c r="AN301" s="494"/>
      <c r="AO301" s="496"/>
      <c r="AP301" s="494"/>
      <c r="AQ301" s="494"/>
      <c r="AR301" s="494"/>
      <c r="AS301" s="494"/>
      <c r="AT301" s="494"/>
      <c r="AU301" s="494"/>
      <c r="AV301" s="494"/>
      <c r="AW301" s="494"/>
      <c r="AX301" s="494"/>
      <c r="AY301" s="494"/>
      <c r="AZ301" s="494"/>
      <c r="BA301" s="494"/>
      <c r="BB301" s="494"/>
      <c r="BC301" s="496"/>
      <c r="BD301" s="494"/>
      <c r="BE301" s="494"/>
      <c r="BF301" s="494"/>
      <c r="BG301" s="494"/>
      <c r="BH301" s="494"/>
      <c r="BI301" s="494"/>
      <c r="BJ301" s="494"/>
      <c r="BK301" s="494"/>
      <c r="BL301" s="494"/>
      <c r="BM301" s="494"/>
      <c r="BN301" s="494"/>
      <c r="BO301" s="494"/>
      <c r="BP301" s="494"/>
      <c r="BQ301" s="494"/>
      <c r="BR301" s="494"/>
      <c r="BS301" s="494"/>
    </row>
    <row r="302" spans="1:71" s="202" customFormat="1" ht="13.15">
      <c r="A302" s="453"/>
      <c r="B302" s="453"/>
      <c r="C302" s="453"/>
      <c r="D302" s="453"/>
      <c r="E302" s="632" t="s">
        <v>1336</v>
      </c>
      <c r="F302" s="636">
        <f t="shared" si="100"/>
        <v>0</v>
      </c>
      <c r="G302" s="632" t="s">
        <v>1146</v>
      </c>
      <c r="H302" s="453"/>
      <c r="I302" s="637"/>
      <c r="J302" s="494"/>
      <c r="K302" s="494"/>
      <c r="L302" s="494"/>
      <c r="M302" s="494"/>
      <c r="N302" s="494"/>
      <c r="O302" s="494"/>
      <c r="P302" s="494"/>
      <c r="Q302" s="496"/>
      <c r="R302" s="494"/>
      <c r="S302" s="494"/>
      <c r="T302" s="494"/>
      <c r="U302" s="494"/>
      <c r="V302" s="494"/>
      <c r="W302" s="494"/>
      <c r="X302" s="494"/>
      <c r="Y302" s="494"/>
      <c r="Z302" s="494"/>
      <c r="AA302" s="494"/>
      <c r="AB302" s="494"/>
      <c r="AC302" s="494"/>
      <c r="AD302" s="494"/>
      <c r="AE302" s="494"/>
      <c r="AF302" s="494"/>
      <c r="AG302" s="494"/>
      <c r="AH302" s="494"/>
      <c r="AI302" s="494"/>
      <c r="AJ302" s="494"/>
      <c r="AK302" s="496"/>
      <c r="AL302" s="494"/>
      <c r="AM302" s="494"/>
      <c r="AN302" s="494"/>
      <c r="AO302" s="496"/>
      <c r="AP302" s="494"/>
      <c r="AQ302" s="494"/>
      <c r="AR302" s="494"/>
      <c r="AS302" s="494"/>
      <c r="AT302" s="494"/>
      <c r="AU302" s="494"/>
      <c r="AV302" s="494"/>
      <c r="AW302" s="494"/>
      <c r="AX302" s="494"/>
      <c r="AY302" s="494"/>
      <c r="AZ302" s="494"/>
      <c r="BA302" s="494"/>
      <c r="BB302" s="494"/>
      <c r="BC302" s="496"/>
      <c r="BD302" s="494"/>
      <c r="BE302" s="494"/>
      <c r="BF302" s="494"/>
      <c r="BG302" s="494"/>
      <c r="BH302" s="494"/>
      <c r="BI302" s="494"/>
      <c r="BJ302" s="494"/>
      <c r="BK302" s="494"/>
      <c r="BL302" s="494"/>
      <c r="BM302" s="494"/>
      <c r="BN302" s="494"/>
      <c r="BO302" s="494"/>
      <c r="BP302" s="494"/>
      <c r="BQ302" s="494"/>
      <c r="BR302" s="494"/>
      <c r="BS302" s="494"/>
    </row>
    <row r="303" spans="1:71" s="202" customFormat="1" ht="13.15">
      <c r="A303" s="453"/>
      <c r="B303" s="453"/>
      <c r="C303" s="453"/>
      <c r="D303" s="453"/>
      <c r="E303" s="632" t="s">
        <v>1337</v>
      </c>
      <c r="F303" s="636">
        <f t="shared" si="100"/>
        <v>0</v>
      </c>
      <c r="G303" s="632" t="s">
        <v>1146</v>
      </c>
      <c r="H303" s="453"/>
      <c r="I303" s="637"/>
      <c r="J303" s="494"/>
      <c r="K303" s="494"/>
      <c r="L303" s="494"/>
      <c r="M303" s="494"/>
      <c r="N303" s="494"/>
      <c r="O303" s="494"/>
      <c r="P303" s="494"/>
      <c r="Q303" s="496"/>
      <c r="R303" s="494"/>
      <c r="S303" s="494"/>
      <c r="T303" s="494"/>
      <c r="U303" s="494"/>
      <c r="V303" s="494"/>
      <c r="W303" s="494"/>
      <c r="X303" s="494"/>
      <c r="Y303" s="494"/>
      <c r="Z303" s="494"/>
      <c r="AA303" s="494"/>
      <c r="AB303" s="494"/>
      <c r="AC303" s="494"/>
      <c r="AD303" s="494"/>
      <c r="AE303" s="494"/>
      <c r="AF303" s="494"/>
      <c r="AG303" s="494"/>
      <c r="AH303" s="494"/>
      <c r="AI303" s="494"/>
      <c r="AJ303" s="494"/>
      <c r="AK303" s="496"/>
      <c r="AL303" s="494"/>
      <c r="AM303" s="494"/>
      <c r="AN303" s="494"/>
      <c r="AO303" s="496"/>
      <c r="AP303" s="494"/>
      <c r="AQ303" s="494"/>
      <c r="AR303" s="494"/>
      <c r="AS303" s="494"/>
      <c r="AT303" s="494"/>
      <c r="AU303" s="494"/>
      <c r="AV303" s="494"/>
      <c r="AW303" s="494"/>
      <c r="AX303" s="494"/>
      <c r="AY303" s="494"/>
      <c r="AZ303" s="494"/>
      <c r="BA303" s="494"/>
      <c r="BB303" s="494"/>
      <c r="BC303" s="496"/>
      <c r="BD303" s="494"/>
      <c r="BE303" s="494"/>
      <c r="BF303" s="494"/>
      <c r="BG303" s="494"/>
      <c r="BH303" s="494"/>
      <c r="BI303" s="494"/>
      <c r="BJ303" s="494"/>
      <c r="BK303" s="494"/>
      <c r="BL303" s="494"/>
      <c r="BM303" s="494"/>
      <c r="BN303" s="494"/>
      <c r="BO303" s="494"/>
      <c r="BP303" s="494"/>
      <c r="BQ303" s="494"/>
      <c r="BR303" s="494"/>
      <c r="BS303" s="494"/>
    </row>
    <row r="304" spans="1:71" s="202" customFormat="1" ht="13.15">
      <c r="A304" s="453"/>
      <c r="B304" s="453"/>
      <c r="C304" s="453"/>
      <c r="D304" s="453"/>
      <c r="E304" s="632" t="s">
        <v>1338</v>
      </c>
      <c r="F304" s="636">
        <f t="shared" si="100"/>
        <v>0</v>
      </c>
      <c r="G304" s="632" t="s">
        <v>1146</v>
      </c>
      <c r="H304" s="453"/>
      <c r="I304" s="637"/>
      <c r="J304" s="494"/>
      <c r="K304" s="494"/>
      <c r="L304" s="494"/>
      <c r="M304" s="494"/>
      <c r="N304" s="494"/>
      <c r="O304" s="494"/>
      <c r="P304" s="494"/>
      <c r="Q304" s="496"/>
      <c r="R304" s="494"/>
      <c r="S304" s="494"/>
      <c r="T304" s="494"/>
      <c r="U304" s="494"/>
      <c r="V304" s="494"/>
      <c r="W304" s="494"/>
      <c r="X304" s="494"/>
      <c r="Y304" s="494"/>
      <c r="Z304" s="494"/>
      <c r="AA304" s="494"/>
      <c r="AB304" s="494"/>
      <c r="AC304" s="494"/>
      <c r="AD304" s="494"/>
      <c r="AE304" s="494"/>
      <c r="AF304" s="494"/>
      <c r="AG304" s="494"/>
      <c r="AH304" s="494"/>
      <c r="AI304" s="494"/>
      <c r="AJ304" s="494"/>
      <c r="AK304" s="496"/>
      <c r="AL304" s="494"/>
      <c r="AM304" s="494"/>
      <c r="AN304" s="494"/>
      <c r="AO304" s="496"/>
      <c r="AP304" s="494"/>
      <c r="AQ304" s="494"/>
      <c r="AR304" s="494"/>
      <c r="AS304" s="494"/>
      <c r="AT304" s="494"/>
      <c r="AU304" s="494"/>
      <c r="AV304" s="494"/>
      <c r="AW304" s="494"/>
      <c r="AX304" s="494"/>
      <c r="AY304" s="494"/>
      <c r="AZ304" s="494"/>
      <c r="BA304" s="494"/>
      <c r="BB304" s="494"/>
      <c r="BC304" s="496"/>
      <c r="BD304" s="494"/>
      <c r="BE304" s="494"/>
      <c r="BF304" s="494"/>
      <c r="BG304" s="494"/>
      <c r="BH304" s="494"/>
      <c r="BI304" s="494"/>
      <c r="BJ304" s="494"/>
      <c r="BK304" s="494"/>
      <c r="BL304" s="494"/>
      <c r="BM304" s="494"/>
      <c r="BN304" s="494"/>
      <c r="BO304" s="494"/>
      <c r="BP304" s="494"/>
      <c r="BQ304" s="494"/>
      <c r="BR304" s="494"/>
      <c r="BS304" s="494"/>
    </row>
    <row r="305" spans="1:71" s="202" customFormat="1" ht="13.15">
      <c r="A305" s="453"/>
      <c r="B305" s="453"/>
      <c r="C305" s="453"/>
      <c r="D305" s="453"/>
      <c r="E305" s="453"/>
      <c r="F305" s="462"/>
      <c r="G305" s="453"/>
      <c r="H305" s="453"/>
      <c r="I305" s="453"/>
      <c r="J305" s="494"/>
      <c r="K305" s="494"/>
      <c r="L305" s="494"/>
      <c r="M305" s="494"/>
      <c r="N305" s="494"/>
      <c r="O305" s="494"/>
      <c r="P305" s="494"/>
      <c r="Q305" s="496"/>
      <c r="R305" s="494"/>
      <c r="S305" s="494"/>
      <c r="T305" s="494"/>
      <c r="U305" s="494"/>
      <c r="V305" s="494"/>
      <c r="W305" s="494"/>
      <c r="X305" s="494"/>
      <c r="Y305" s="494"/>
      <c r="Z305" s="494"/>
      <c r="AA305" s="494"/>
      <c r="AB305" s="494"/>
      <c r="AC305" s="494"/>
      <c r="AD305" s="494"/>
      <c r="AE305" s="494"/>
      <c r="AF305" s="494"/>
      <c r="AG305" s="494"/>
      <c r="AH305" s="494"/>
      <c r="AI305" s="494"/>
      <c r="AJ305" s="494"/>
      <c r="AK305" s="496"/>
      <c r="AL305" s="494"/>
      <c r="AM305" s="494"/>
      <c r="AN305" s="494"/>
      <c r="AO305" s="496"/>
      <c r="AP305" s="494"/>
      <c r="AQ305" s="494"/>
      <c r="AR305" s="494"/>
      <c r="AS305" s="494"/>
      <c r="AT305" s="494"/>
      <c r="AU305" s="494"/>
      <c r="AV305" s="494"/>
      <c r="AW305" s="494"/>
      <c r="AX305" s="494"/>
      <c r="AY305" s="494"/>
      <c r="AZ305" s="494"/>
      <c r="BA305" s="494"/>
      <c r="BB305" s="494"/>
      <c r="BC305" s="496"/>
      <c r="BD305" s="494"/>
      <c r="BE305" s="494"/>
      <c r="BF305" s="494"/>
      <c r="BG305" s="494"/>
      <c r="BH305" s="494"/>
      <c r="BI305" s="494"/>
      <c r="BJ305" s="494"/>
      <c r="BK305" s="494"/>
      <c r="BL305" s="494"/>
      <c r="BM305" s="494"/>
      <c r="BN305" s="494"/>
      <c r="BO305" s="494"/>
      <c r="BP305" s="494"/>
      <c r="BQ305" s="494"/>
      <c r="BR305" s="494"/>
      <c r="BS305" s="494"/>
    </row>
    <row r="306" spans="1:71" s="202" customFormat="1" ht="13.15">
      <c r="A306" s="453"/>
      <c r="B306" s="453"/>
      <c r="C306" s="453"/>
      <c r="D306" s="463" t="s">
        <v>1339</v>
      </c>
      <c r="E306" s="453"/>
      <c r="F306" s="462"/>
      <c r="G306" s="453"/>
      <c r="H306" s="453"/>
      <c r="I306" s="453"/>
      <c r="J306" s="494"/>
      <c r="K306" s="494"/>
      <c r="L306" s="494"/>
      <c r="M306" s="494"/>
      <c r="N306" s="494"/>
      <c r="O306" s="494"/>
      <c r="P306" s="494"/>
      <c r="Q306" s="496"/>
      <c r="R306" s="494"/>
      <c r="S306" s="494"/>
      <c r="T306" s="494"/>
      <c r="U306" s="494"/>
      <c r="V306" s="494"/>
      <c r="W306" s="494"/>
      <c r="X306" s="494"/>
      <c r="Y306" s="494"/>
      <c r="Z306" s="494"/>
      <c r="AA306" s="494"/>
      <c r="AB306" s="494"/>
      <c r="AC306" s="494"/>
      <c r="AD306" s="494"/>
      <c r="AE306" s="494"/>
      <c r="AF306" s="494"/>
      <c r="AG306" s="494"/>
      <c r="AH306" s="494"/>
      <c r="AI306" s="494"/>
      <c r="AJ306" s="494"/>
      <c r="AK306" s="496"/>
      <c r="AL306" s="494"/>
      <c r="AM306" s="494"/>
      <c r="AN306" s="494"/>
      <c r="AO306" s="496"/>
      <c r="AP306" s="494"/>
      <c r="AQ306" s="494"/>
      <c r="AR306" s="494"/>
      <c r="AS306" s="494"/>
      <c r="AT306" s="494"/>
      <c r="AU306" s="494"/>
      <c r="AV306" s="494"/>
      <c r="AW306" s="494"/>
      <c r="AX306" s="494"/>
      <c r="AY306" s="494"/>
      <c r="AZ306" s="494"/>
      <c r="BA306" s="494"/>
      <c r="BB306" s="494"/>
      <c r="BC306" s="496"/>
      <c r="BD306" s="494"/>
      <c r="BE306" s="494"/>
      <c r="BF306" s="494"/>
      <c r="BG306" s="494"/>
      <c r="BH306" s="494"/>
      <c r="BI306" s="494"/>
      <c r="BJ306" s="494"/>
      <c r="BK306" s="494"/>
      <c r="BL306" s="494"/>
      <c r="BM306" s="494"/>
      <c r="BN306" s="494"/>
      <c r="BO306" s="494"/>
      <c r="BP306" s="494"/>
      <c r="BQ306" s="494"/>
      <c r="BR306" s="494"/>
      <c r="BS306" s="494"/>
    </row>
    <row r="307" spans="1:71" s="230" customFormat="1" ht="13.15">
      <c r="A307" s="1435"/>
      <c r="B307" s="1435"/>
      <c r="C307" s="1435"/>
      <c r="D307" s="1435"/>
      <c r="E307" s="1423" t="s">
        <v>1340</v>
      </c>
      <c r="F307" s="636">
        <f t="shared" ref="F307:F313" si="101">IF(F269=0,0,F269/F251)</f>
        <v>1</v>
      </c>
      <c r="G307" s="632" t="s">
        <v>1146</v>
      </c>
      <c r="H307" s="632"/>
      <c r="I307" s="637"/>
      <c r="J307" s="682"/>
      <c r="K307" s="682"/>
      <c r="L307" s="682"/>
      <c r="M307" s="682"/>
      <c r="N307" s="682"/>
      <c r="O307" s="682"/>
      <c r="P307" s="682"/>
      <c r="Q307" s="1415"/>
      <c r="R307" s="682"/>
      <c r="S307" s="682"/>
      <c r="T307" s="682"/>
      <c r="U307" s="682"/>
      <c r="V307" s="682"/>
      <c r="W307" s="682"/>
      <c r="X307" s="682"/>
      <c r="Y307" s="682"/>
      <c r="Z307" s="682"/>
      <c r="AA307" s="682"/>
      <c r="AB307" s="682"/>
      <c r="AC307" s="682"/>
      <c r="AD307" s="682"/>
      <c r="AE307" s="682"/>
      <c r="AF307" s="682"/>
      <c r="AG307" s="682"/>
      <c r="AH307" s="682"/>
      <c r="AI307" s="682"/>
      <c r="AJ307" s="682"/>
      <c r="AK307" s="1415"/>
      <c r="AL307" s="682"/>
      <c r="AM307" s="682"/>
      <c r="AN307" s="682"/>
      <c r="AO307" s="1415"/>
      <c r="AP307" s="682"/>
      <c r="AQ307" s="682"/>
      <c r="AR307" s="682"/>
      <c r="AS307" s="682"/>
      <c r="AT307" s="682"/>
      <c r="AU307" s="682"/>
      <c r="AV307" s="682"/>
      <c r="AW307" s="682"/>
      <c r="AX307" s="682"/>
      <c r="AY307" s="682"/>
      <c r="AZ307" s="682"/>
      <c r="BA307" s="682"/>
      <c r="BB307" s="682"/>
      <c r="BC307" s="1415"/>
      <c r="BD307" s="682"/>
      <c r="BE307" s="682"/>
      <c r="BF307" s="682"/>
      <c r="BG307" s="682"/>
      <c r="BH307" s="682"/>
      <c r="BI307" s="682"/>
      <c r="BJ307" s="682"/>
      <c r="BK307" s="682"/>
      <c r="BL307" s="682"/>
      <c r="BM307" s="682"/>
      <c r="BN307" s="682"/>
      <c r="BO307" s="682"/>
      <c r="BP307" s="682"/>
      <c r="BQ307" s="682"/>
      <c r="BR307" s="682"/>
      <c r="BS307" s="682"/>
    </row>
    <row r="308" spans="1:71" s="230" customFormat="1" ht="13.15">
      <c r="A308" s="1435"/>
      <c r="B308" s="1435"/>
      <c r="C308" s="1435"/>
      <c r="D308" s="1435"/>
      <c r="E308" s="632" t="s">
        <v>1341</v>
      </c>
      <c r="F308" s="636">
        <f t="shared" si="101"/>
        <v>1</v>
      </c>
      <c r="G308" s="632" t="s">
        <v>1146</v>
      </c>
      <c r="H308" s="632"/>
      <c r="I308" s="637"/>
      <c r="J308" s="682"/>
      <c r="K308" s="682"/>
      <c r="L308" s="682"/>
      <c r="M308" s="682"/>
      <c r="N308" s="682"/>
      <c r="O308" s="682"/>
      <c r="P308" s="682"/>
      <c r="Q308" s="1415"/>
      <c r="R308" s="682"/>
      <c r="S308" s="682"/>
      <c r="T308" s="682"/>
      <c r="U308" s="682"/>
      <c r="V308" s="682"/>
      <c r="W308" s="682"/>
      <c r="X308" s="682"/>
      <c r="Y308" s="682"/>
      <c r="Z308" s="682"/>
      <c r="AA308" s="682"/>
      <c r="AB308" s="682"/>
      <c r="AC308" s="682"/>
      <c r="AD308" s="682"/>
      <c r="AE308" s="682"/>
      <c r="AF308" s="682"/>
      <c r="AG308" s="682"/>
      <c r="AH308" s="682"/>
      <c r="AI308" s="682"/>
      <c r="AJ308" s="682"/>
      <c r="AK308" s="1415"/>
      <c r="AL308" s="682"/>
      <c r="AM308" s="682"/>
      <c r="AN308" s="682"/>
      <c r="AO308" s="1415"/>
      <c r="AP308" s="682"/>
      <c r="AQ308" s="682"/>
      <c r="AR308" s="682"/>
      <c r="AS308" s="682"/>
      <c r="AT308" s="682"/>
      <c r="AU308" s="682"/>
      <c r="AV308" s="682"/>
      <c r="AW308" s="682"/>
      <c r="AX308" s="682"/>
      <c r="AY308" s="682"/>
      <c r="AZ308" s="682"/>
      <c r="BA308" s="682"/>
      <c r="BB308" s="682"/>
      <c r="BC308" s="1415"/>
      <c r="BD308" s="682"/>
      <c r="BE308" s="682"/>
      <c r="BF308" s="682"/>
      <c r="BG308" s="682"/>
      <c r="BH308" s="682"/>
      <c r="BI308" s="682"/>
      <c r="BJ308" s="682"/>
      <c r="BK308" s="682"/>
      <c r="BL308" s="682"/>
      <c r="BM308" s="682"/>
      <c r="BN308" s="682"/>
      <c r="BO308" s="682"/>
      <c r="BP308" s="682"/>
      <c r="BQ308" s="682"/>
      <c r="BR308" s="682"/>
      <c r="BS308" s="682"/>
    </row>
    <row r="309" spans="1:71" s="230" customFormat="1" ht="13.15">
      <c r="A309" s="1435"/>
      <c r="B309" s="1435"/>
      <c r="C309" s="1435"/>
      <c r="D309" s="1435"/>
      <c r="E309" s="632" t="s">
        <v>1342</v>
      </c>
      <c r="F309" s="636">
        <f t="shared" si="101"/>
        <v>1</v>
      </c>
      <c r="G309" s="632" t="s">
        <v>1146</v>
      </c>
      <c r="H309" s="632"/>
      <c r="I309" s="637"/>
      <c r="J309" s="682"/>
      <c r="K309" s="682"/>
      <c r="L309" s="682"/>
      <c r="M309" s="682"/>
      <c r="N309" s="682"/>
      <c r="O309" s="682"/>
      <c r="P309" s="682"/>
      <c r="Q309" s="1415"/>
      <c r="R309" s="682"/>
      <c r="S309" s="682"/>
      <c r="T309" s="682"/>
      <c r="U309" s="682"/>
      <c r="V309" s="682"/>
      <c r="W309" s="682"/>
      <c r="X309" s="682"/>
      <c r="Y309" s="682"/>
      <c r="Z309" s="682"/>
      <c r="AA309" s="682"/>
      <c r="AB309" s="682"/>
      <c r="AC309" s="682"/>
      <c r="AD309" s="682"/>
      <c r="AE309" s="682"/>
      <c r="AF309" s="682"/>
      <c r="AG309" s="682"/>
      <c r="AH309" s="682"/>
      <c r="AI309" s="682"/>
      <c r="AJ309" s="682"/>
      <c r="AK309" s="1415"/>
      <c r="AL309" s="682"/>
      <c r="AM309" s="682"/>
      <c r="AN309" s="682"/>
      <c r="AO309" s="1415"/>
      <c r="AP309" s="682"/>
      <c r="AQ309" s="682"/>
      <c r="AR309" s="682"/>
      <c r="AS309" s="682"/>
      <c r="AT309" s="682"/>
      <c r="AU309" s="682"/>
      <c r="AV309" s="682"/>
      <c r="AW309" s="682"/>
      <c r="AX309" s="682"/>
      <c r="AY309" s="682"/>
      <c r="AZ309" s="682"/>
      <c r="BA309" s="682"/>
      <c r="BB309" s="682"/>
      <c r="BC309" s="1415"/>
      <c r="BD309" s="682"/>
      <c r="BE309" s="682"/>
      <c r="BF309" s="682"/>
      <c r="BG309" s="682"/>
      <c r="BH309" s="682"/>
      <c r="BI309" s="682"/>
      <c r="BJ309" s="682"/>
      <c r="BK309" s="682"/>
      <c r="BL309" s="682"/>
      <c r="BM309" s="682"/>
      <c r="BN309" s="682"/>
      <c r="BO309" s="682"/>
      <c r="BP309" s="682"/>
      <c r="BQ309" s="682"/>
      <c r="BR309" s="682"/>
      <c r="BS309" s="682"/>
    </row>
    <row r="310" spans="1:71" s="230" customFormat="1" ht="13.15">
      <c r="A310" s="1435"/>
      <c r="B310" s="1435"/>
      <c r="C310" s="1435"/>
      <c r="D310" s="1435"/>
      <c r="E310" s="632" t="s">
        <v>1343</v>
      </c>
      <c r="F310" s="636">
        <f t="shared" si="101"/>
        <v>1</v>
      </c>
      <c r="G310" s="632" t="s">
        <v>1146</v>
      </c>
      <c r="H310" s="632"/>
      <c r="I310" s="637"/>
      <c r="J310" s="682"/>
      <c r="K310" s="682"/>
      <c r="L310" s="682"/>
      <c r="M310" s="682"/>
      <c r="N310" s="682"/>
      <c r="O310" s="682"/>
      <c r="P310" s="682"/>
      <c r="Q310" s="1415"/>
      <c r="R310" s="682"/>
      <c r="S310" s="682"/>
      <c r="T310" s="682"/>
      <c r="U310" s="682"/>
      <c r="V310" s="682"/>
      <c r="W310" s="682"/>
      <c r="X310" s="682"/>
      <c r="Y310" s="682"/>
      <c r="Z310" s="682"/>
      <c r="AA310" s="682"/>
      <c r="AB310" s="682"/>
      <c r="AC310" s="682"/>
      <c r="AD310" s="682"/>
      <c r="AE310" s="682"/>
      <c r="AF310" s="682"/>
      <c r="AG310" s="682"/>
      <c r="AH310" s="682"/>
      <c r="AI310" s="682"/>
      <c r="AJ310" s="682"/>
      <c r="AK310" s="1415"/>
      <c r="AL310" s="682"/>
      <c r="AM310" s="682"/>
      <c r="AN310" s="682"/>
      <c r="AO310" s="1415"/>
      <c r="AP310" s="682"/>
      <c r="AQ310" s="682"/>
      <c r="AR310" s="682"/>
      <c r="AS310" s="682"/>
      <c r="AT310" s="682"/>
      <c r="AU310" s="682"/>
      <c r="AV310" s="682"/>
      <c r="AW310" s="682"/>
      <c r="AX310" s="682"/>
      <c r="AY310" s="682"/>
      <c r="AZ310" s="682"/>
      <c r="BA310" s="682"/>
      <c r="BB310" s="682"/>
      <c r="BC310" s="1415"/>
      <c r="BD310" s="682"/>
      <c r="BE310" s="682"/>
      <c r="BF310" s="682"/>
      <c r="BG310" s="682"/>
      <c r="BH310" s="682"/>
      <c r="BI310" s="682"/>
      <c r="BJ310" s="682"/>
      <c r="BK310" s="682"/>
      <c r="BL310" s="682"/>
      <c r="BM310" s="682"/>
      <c r="BN310" s="682"/>
      <c r="BO310" s="682"/>
      <c r="BP310" s="682"/>
      <c r="BQ310" s="682"/>
      <c r="BR310" s="682"/>
      <c r="BS310" s="682"/>
    </row>
    <row r="311" spans="1:71" s="230" customFormat="1" ht="13.15">
      <c r="A311" s="1435"/>
      <c r="B311" s="1435"/>
      <c r="C311" s="1435"/>
      <c r="D311" s="1435"/>
      <c r="E311" s="632" t="s">
        <v>1344</v>
      </c>
      <c r="F311" s="636">
        <f t="shared" si="101"/>
        <v>1</v>
      </c>
      <c r="G311" s="632" t="s">
        <v>1146</v>
      </c>
      <c r="H311" s="632"/>
      <c r="I311" s="637"/>
      <c r="J311" s="682"/>
      <c r="K311" s="682"/>
      <c r="L311" s="682"/>
      <c r="M311" s="682"/>
      <c r="N311" s="682"/>
      <c r="O311" s="682"/>
      <c r="P311" s="682"/>
      <c r="Q311" s="1415"/>
      <c r="R311" s="682"/>
      <c r="S311" s="682"/>
      <c r="T311" s="682"/>
      <c r="U311" s="682"/>
      <c r="V311" s="682"/>
      <c r="W311" s="682"/>
      <c r="X311" s="682"/>
      <c r="Y311" s="682"/>
      <c r="Z311" s="682"/>
      <c r="AA311" s="682"/>
      <c r="AB311" s="682"/>
      <c r="AC311" s="682"/>
      <c r="AD311" s="682"/>
      <c r="AE311" s="682"/>
      <c r="AF311" s="682"/>
      <c r="AG311" s="682"/>
      <c r="AH311" s="682"/>
      <c r="AI311" s="682"/>
      <c r="AJ311" s="682"/>
      <c r="AK311" s="1415"/>
      <c r="AL311" s="682"/>
      <c r="AM311" s="682"/>
      <c r="AN311" s="682"/>
      <c r="AO311" s="1415"/>
      <c r="AP311" s="682"/>
      <c r="AQ311" s="682"/>
      <c r="AR311" s="682"/>
      <c r="AS311" s="682"/>
      <c r="AT311" s="682"/>
      <c r="AU311" s="682"/>
      <c r="AV311" s="682"/>
      <c r="AW311" s="682"/>
      <c r="AX311" s="682"/>
      <c r="AY311" s="682"/>
      <c r="AZ311" s="682"/>
      <c r="BA311" s="682"/>
      <c r="BB311" s="682"/>
      <c r="BC311" s="1415"/>
      <c r="BD311" s="682"/>
      <c r="BE311" s="682"/>
      <c r="BF311" s="682"/>
      <c r="BG311" s="682"/>
      <c r="BH311" s="682"/>
      <c r="BI311" s="682"/>
      <c r="BJ311" s="682"/>
      <c r="BK311" s="682"/>
      <c r="BL311" s="682"/>
      <c r="BM311" s="682"/>
      <c r="BN311" s="682"/>
      <c r="BO311" s="682"/>
      <c r="BP311" s="682"/>
      <c r="BQ311" s="682"/>
      <c r="BR311" s="682"/>
      <c r="BS311" s="682"/>
    </row>
    <row r="312" spans="1:71" s="230" customFormat="1" ht="13.15">
      <c r="A312" s="1435"/>
      <c r="B312" s="1435"/>
      <c r="C312" s="1435"/>
      <c r="D312" s="1435"/>
      <c r="E312" s="632" t="s">
        <v>1345</v>
      </c>
      <c r="F312" s="636">
        <f t="shared" si="101"/>
        <v>0</v>
      </c>
      <c r="G312" s="632" t="s">
        <v>1146</v>
      </c>
      <c r="H312" s="632"/>
      <c r="I312" s="637"/>
      <c r="J312" s="682"/>
      <c r="K312" s="682"/>
      <c r="L312" s="682"/>
      <c r="M312" s="682"/>
      <c r="N312" s="682"/>
      <c r="O312" s="682"/>
      <c r="P312" s="682"/>
      <c r="Q312" s="1415"/>
      <c r="R312" s="682"/>
      <c r="S312" s="682"/>
      <c r="T312" s="682"/>
      <c r="U312" s="682"/>
      <c r="V312" s="682"/>
      <c r="W312" s="682"/>
      <c r="X312" s="682"/>
      <c r="Y312" s="682"/>
      <c r="Z312" s="682"/>
      <c r="AA312" s="682"/>
      <c r="AB312" s="682"/>
      <c r="AC312" s="682"/>
      <c r="AD312" s="682"/>
      <c r="AE312" s="682"/>
      <c r="AF312" s="682"/>
      <c r="AG312" s="682"/>
      <c r="AH312" s="682"/>
      <c r="AI312" s="682"/>
      <c r="AJ312" s="682"/>
      <c r="AK312" s="1415"/>
      <c r="AL312" s="682"/>
      <c r="AM312" s="682"/>
      <c r="AN312" s="682"/>
      <c r="AO312" s="1415"/>
      <c r="AP312" s="682"/>
      <c r="AQ312" s="682"/>
      <c r="AR312" s="682"/>
      <c r="AS312" s="682"/>
      <c r="AT312" s="682"/>
      <c r="AU312" s="682"/>
      <c r="AV312" s="682"/>
      <c r="AW312" s="682"/>
      <c r="AX312" s="682"/>
      <c r="AY312" s="682"/>
      <c r="AZ312" s="682"/>
      <c r="BA312" s="682"/>
      <c r="BB312" s="682"/>
      <c r="BC312" s="1415"/>
      <c r="BD312" s="682"/>
      <c r="BE312" s="682"/>
      <c r="BF312" s="682"/>
      <c r="BG312" s="682"/>
      <c r="BH312" s="682"/>
      <c r="BI312" s="682"/>
      <c r="BJ312" s="682"/>
      <c r="BK312" s="682"/>
      <c r="BL312" s="682"/>
      <c r="BM312" s="682"/>
      <c r="BN312" s="682"/>
      <c r="BO312" s="682"/>
      <c r="BP312" s="682"/>
      <c r="BQ312" s="682"/>
      <c r="BR312" s="682"/>
      <c r="BS312" s="682"/>
    </row>
    <row r="313" spans="1:71" s="230" customFormat="1" ht="13.15">
      <c r="A313" s="1435"/>
      <c r="B313" s="1435"/>
      <c r="C313" s="1435"/>
      <c r="D313" s="1435"/>
      <c r="E313" s="632" t="s">
        <v>1346</v>
      </c>
      <c r="F313" s="636">
        <f t="shared" si="101"/>
        <v>0</v>
      </c>
      <c r="G313" s="632" t="s">
        <v>1146</v>
      </c>
      <c r="H313" s="632"/>
      <c r="I313" s="637"/>
      <c r="J313" s="682"/>
      <c r="K313" s="682"/>
      <c r="L313" s="682"/>
      <c r="M313" s="682"/>
      <c r="N313" s="682"/>
      <c r="O313" s="682"/>
      <c r="P313" s="682"/>
      <c r="Q313" s="1415"/>
      <c r="R313" s="682"/>
      <c r="S313" s="682"/>
      <c r="T313" s="682"/>
      <c r="U313" s="682"/>
      <c r="V313" s="682"/>
      <c r="W313" s="682"/>
      <c r="X313" s="682"/>
      <c r="Y313" s="682"/>
      <c r="Z313" s="682"/>
      <c r="AA313" s="682"/>
      <c r="AB313" s="682"/>
      <c r="AC313" s="682"/>
      <c r="AD313" s="682"/>
      <c r="AE313" s="682"/>
      <c r="AF313" s="682"/>
      <c r="AG313" s="682"/>
      <c r="AH313" s="682"/>
      <c r="AI313" s="682"/>
      <c r="AJ313" s="682"/>
      <c r="AK313" s="1415"/>
      <c r="AL313" s="682"/>
      <c r="AM313" s="682"/>
      <c r="AN313" s="682"/>
      <c r="AO313" s="1415"/>
      <c r="AP313" s="682"/>
      <c r="AQ313" s="682"/>
      <c r="AR313" s="682"/>
      <c r="AS313" s="682"/>
      <c r="AT313" s="682"/>
      <c r="AU313" s="682"/>
      <c r="AV313" s="682"/>
      <c r="AW313" s="682"/>
      <c r="AX313" s="682"/>
      <c r="AY313" s="682"/>
      <c r="AZ313" s="682"/>
      <c r="BA313" s="682"/>
      <c r="BB313" s="682"/>
      <c r="BC313" s="1415"/>
      <c r="BD313" s="682"/>
      <c r="BE313" s="682"/>
      <c r="BF313" s="682"/>
      <c r="BG313" s="682"/>
      <c r="BH313" s="682"/>
      <c r="BI313" s="682"/>
      <c r="BJ313" s="682"/>
      <c r="BK313" s="682"/>
      <c r="BL313" s="682"/>
      <c r="BM313" s="682"/>
      <c r="BN313" s="682"/>
      <c r="BO313" s="682"/>
      <c r="BP313" s="682"/>
      <c r="BQ313" s="682"/>
      <c r="BR313" s="682"/>
      <c r="BS313" s="682"/>
    </row>
    <row r="314" spans="1:71" s="202" customFormat="1" ht="13.15">
      <c r="A314" s="510"/>
      <c r="B314" s="510"/>
      <c r="C314" s="510"/>
      <c r="D314" s="510"/>
      <c r="E314" s="453"/>
      <c r="F314" s="462"/>
      <c r="G314" s="453"/>
      <c r="H314" s="453"/>
      <c r="I314" s="453"/>
      <c r="J314" s="494"/>
      <c r="K314" s="494"/>
      <c r="L314" s="494"/>
      <c r="M314" s="494"/>
      <c r="N314" s="494"/>
      <c r="O314" s="494"/>
      <c r="P314" s="494"/>
      <c r="Q314" s="496"/>
      <c r="R314" s="494"/>
      <c r="S314" s="494"/>
      <c r="T314" s="494"/>
      <c r="U314" s="494"/>
      <c r="V314" s="494"/>
      <c r="W314" s="494"/>
      <c r="X314" s="494"/>
      <c r="Y314" s="494"/>
      <c r="Z314" s="494"/>
      <c r="AA314" s="494"/>
      <c r="AB314" s="494"/>
      <c r="AC314" s="494"/>
      <c r="AD314" s="494"/>
      <c r="AE314" s="494"/>
      <c r="AF314" s="494"/>
      <c r="AG314" s="494"/>
      <c r="AH314" s="494"/>
      <c r="AI314" s="494"/>
      <c r="AJ314" s="494"/>
      <c r="AK314" s="496"/>
      <c r="AL314" s="494"/>
      <c r="AM314" s="494"/>
      <c r="AN314" s="494"/>
      <c r="AO314" s="496"/>
      <c r="AP314" s="494"/>
      <c r="AQ314" s="494"/>
      <c r="AR314" s="494"/>
      <c r="AS314" s="494"/>
      <c r="AT314" s="494"/>
      <c r="AU314" s="494"/>
      <c r="AV314" s="494"/>
      <c r="AW314" s="494"/>
      <c r="AX314" s="494"/>
      <c r="AY314" s="494"/>
      <c r="AZ314" s="494"/>
      <c r="BA314" s="494"/>
      <c r="BB314" s="494"/>
      <c r="BC314" s="496"/>
      <c r="BD314" s="494"/>
      <c r="BE314" s="494"/>
      <c r="BF314" s="494"/>
      <c r="BG314" s="494"/>
      <c r="BH314" s="494"/>
      <c r="BI314" s="494"/>
      <c r="BJ314" s="494"/>
      <c r="BK314" s="494"/>
      <c r="BL314" s="494"/>
      <c r="BM314" s="494"/>
      <c r="BN314" s="494"/>
      <c r="BO314" s="494"/>
      <c r="BP314" s="494"/>
      <c r="BQ314" s="494"/>
      <c r="BR314" s="494"/>
      <c r="BS314" s="494"/>
    </row>
    <row r="315" spans="1:71" s="202" customFormat="1" ht="13.15">
      <c r="A315" s="453"/>
      <c r="B315" s="453"/>
      <c r="C315" s="473" t="s">
        <v>1347</v>
      </c>
      <c r="D315" s="453"/>
      <c r="E315" s="453"/>
      <c r="F315" s="462"/>
      <c r="G315" s="453"/>
      <c r="H315" s="453"/>
      <c r="I315" s="453"/>
      <c r="J315" s="494"/>
      <c r="K315" s="494"/>
      <c r="L315" s="494"/>
      <c r="M315" s="494"/>
      <c r="N315" s="494"/>
      <c r="O315" s="494"/>
      <c r="P315" s="494"/>
      <c r="Q315" s="496"/>
      <c r="R315" s="494"/>
      <c r="S315" s="494"/>
      <c r="T315" s="494"/>
      <c r="U315" s="494"/>
      <c r="V315" s="494"/>
      <c r="W315" s="494"/>
      <c r="X315" s="494"/>
      <c r="Y315" s="494"/>
      <c r="Z315" s="494"/>
      <c r="AA315" s="494"/>
      <c r="AB315" s="494"/>
      <c r="AC315" s="494"/>
      <c r="AD315" s="494"/>
      <c r="AE315" s="494"/>
      <c r="AF315" s="494"/>
      <c r="AG315" s="494"/>
      <c r="AH315" s="494"/>
      <c r="AI315" s="494"/>
      <c r="AJ315" s="494"/>
      <c r="AK315" s="496"/>
      <c r="AL315" s="494"/>
      <c r="AM315" s="494"/>
      <c r="AN315" s="494"/>
      <c r="AO315" s="496"/>
      <c r="AP315" s="494"/>
      <c r="AQ315" s="494"/>
      <c r="AR315" s="494"/>
      <c r="AS315" s="494"/>
      <c r="AT315" s="494"/>
      <c r="AU315" s="494"/>
      <c r="AV315" s="494"/>
      <c r="AW315" s="494"/>
      <c r="AX315" s="494"/>
      <c r="AY315" s="494"/>
      <c r="AZ315" s="494"/>
      <c r="BA315" s="494"/>
      <c r="BB315" s="494"/>
      <c r="BC315" s="496"/>
      <c r="BD315" s="494"/>
      <c r="BE315" s="494"/>
      <c r="BF315" s="494"/>
      <c r="BG315" s="494"/>
      <c r="BH315" s="494"/>
      <c r="BI315" s="494"/>
      <c r="BJ315" s="494"/>
      <c r="BK315" s="494"/>
      <c r="BL315" s="494"/>
      <c r="BM315" s="494"/>
      <c r="BN315" s="494"/>
      <c r="BO315" s="494"/>
      <c r="BP315" s="494"/>
      <c r="BQ315" s="494"/>
      <c r="BR315" s="494"/>
      <c r="BS315" s="494"/>
    </row>
    <row r="316" spans="1:71" s="202" customFormat="1" ht="13.15">
      <c r="A316" s="453"/>
      <c r="B316" s="453"/>
      <c r="C316" s="473"/>
      <c r="D316" s="453"/>
      <c r="E316" s="453"/>
      <c r="F316" s="462"/>
      <c r="G316" s="453"/>
      <c r="H316" s="453"/>
      <c r="I316" s="453"/>
      <c r="J316" s="494"/>
      <c r="K316" s="494"/>
      <c r="L316" s="494"/>
      <c r="M316" s="494"/>
      <c r="N316" s="494"/>
      <c r="O316" s="494"/>
      <c r="P316" s="494"/>
      <c r="Q316" s="496"/>
      <c r="R316" s="494"/>
      <c r="S316" s="494"/>
      <c r="T316" s="494"/>
      <c r="U316" s="494"/>
      <c r="V316" s="494"/>
      <c r="W316" s="494"/>
      <c r="X316" s="494"/>
      <c r="Y316" s="494"/>
      <c r="Z316" s="494"/>
      <c r="AA316" s="494"/>
      <c r="AB316" s="494"/>
      <c r="AC316" s="494"/>
      <c r="AD316" s="494"/>
      <c r="AE316" s="494"/>
      <c r="AF316" s="494"/>
      <c r="AG316" s="494"/>
      <c r="AH316" s="494"/>
      <c r="AI316" s="494"/>
      <c r="AJ316" s="494"/>
      <c r="AK316" s="496"/>
      <c r="AL316" s="494"/>
      <c r="AM316" s="494"/>
      <c r="AN316" s="494"/>
      <c r="AO316" s="496"/>
      <c r="AP316" s="494"/>
      <c r="AQ316" s="494"/>
      <c r="AR316" s="494"/>
      <c r="AS316" s="494"/>
      <c r="AT316" s="494"/>
      <c r="AU316" s="494"/>
      <c r="AV316" s="494"/>
      <c r="AW316" s="494"/>
      <c r="AX316" s="494"/>
      <c r="AY316" s="494"/>
      <c r="AZ316" s="494"/>
      <c r="BA316" s="494"/>
      <c r="BB316" s="494"/>
      <c r="BC316" s="496"/>
      <c r="BD316" s="494"/>
      <c r="BE316" s="494"/>
      <c r="BF316" s="494"/>
      <c r="BG316" s="494"/>
      <c r="BH316" s="494"/>
      <c r="BI316" s="494"/>
      <c r="BJ316" s="494"/>
      <c r="BK316" s="494"/>
      <c r="BL316" s="494"/>
      <c r="BM316" s="494"/>
      <c r="BN316" s="494"/>
      <c r="BO316" s="494"/>
      <c r="BP316" s="494"/>
      <c r="BQ316" s="494"/>
      <c r="BR316" s="494"/>
      <c r="BS316" s="494"/>
    </row>
    <row r="317" spans="1:71" s="202" customFormat="1" ht="13.15">
      <c r="A317" s="453"/>
      <c r="B317" s="453"/>
      <c r="C317" s="453"/>
      <c r="D317" s="463" t="s">
        <v>1348</v>
      </c>
      <c r="E317" s="453"/>
      <c r="F317" s="462"/>
      <c r="G317" s="453"/>
      <c r="H317" s="453"/>
      <c r="I317" s="453"/>
      <c r="J317" s="494"/>
      <c r="K317" s="494"/>
      <c r="L317" s="494"/>
      <c r="M317" s="494"/>
      <c r="N317" s="494"/>
      <c r="O317" s="494"/>
      <c r="P317" s="494"/>
      <c r="Q317" s="496"/>
      <c r="R317" s="494"/>
      <c r="S317" s="494"/>
      <c r="T317" s="494"/>
      <c r="U317" s="494"/>
      <c r="V317" s="494"/>
      <c r="W317" s="494"/>
      <c r="X317" s="494"/>
      <c r="Y317" s="494"/>
      <c r="Z317" s="494"/>
      <c r="AA317" s="494"/>
      <c r="AB317" s="494"/>
      <c r="AC317" s="494"/>
      <c r="AD317" s="494"/>
      <c r="AE317" s="494"/>
      <c r="AF317" s="494"/>
      <c r="AG317" s="494"/>
      <c r="AH317" s="494"/>
      <c r="AI317" s="494"/>
      <c r="AJ317" s="494"/>
      <c r="AK317" s="496"/>
      <c r="AL317" s="494"/>
      <c r="AM317" s="494"/>
      <c r="AN317" s="494"/>
      <c r="AO317" s="496"/>
      <c r="AP317" s="494"/>
      <c r="AQ317" s="494"/>
      <c r="AR317" s="494"/>
      <c r="AS317" s="494"/>
      <c r="AT317" s="494"/>
      <c r="AU317" s="494"/>
      <c r="AV317" s="494"/>
      <c r="AW317" s="494"/>
      <c r="AX317" s="494"/>
      <c r="AY317" s="494"/>
      <c r="AZ317" s="494"/>
      <c r="BA317" s="494"/>
      <c r="BB317" s="494"/>
      <c r="BC317" s="496"/>
      <c r="BD317" s="494"/>
      <c r="BE317" s="494"/>
      <c r="BF317" s="494"/>
      <c r="BG317" s="494"/>
      <c r="BH317" s="494"/>
      <c r="BI317" s="494"/>
      <c r="BJ317" s="494"/>
      <c r="BK317" s="494"/>
      <c r="BL317" s="494"/>
      <c r="BM317" s="494"/>
      <c r="BN317" s="494"/>
      <c r="BO317" s="494"/>
      <c r="BP317" s="494"/>
      <c r="BQ317" s="494"/>
      <c r="BR317" s="494"/>
      <c r="BS317" s="494"/>
    </row>
    <row r="318" spans="1:71" s="202" customFormat="1" ht="13.15">
      <c r="A318" s="453"/>
      <c r="B318" s="453"/>
      <c r="C318" s="453"/>
      <c r="D318" s="453"/>
      <c r="E318" s="632" t="s">
        <v>1349</v>
      </c>
      <c r="F318" s="638">
        <f t="shared" ref="F318:F324" si="102">IF(F278=0,0,SUMIF(J$190:BS$190,"RCV",J201:BS201)/F278)</f>
        <v>0</v>
      </c>
      <c r="G318" s="632" t="s">
        <v>1146</v>
      </c>
      <c r="H318" s="453"/>
      <c r="I318" s="639"/>
      <c r="J318" s="494"/>
      <c r="K318" s="494"/>
      <c r="L318" s="494"/>
      <c r="M318" s="494"/>
      <c r="N318" s="494"/>
      <c r="O318" s="494"/>
      <c r="P318" s="494"/>
      <c r="Q318" s="496"/>
      <c r="R318" s="494"/>
      <c r="S318" s="494"/>
      <c r="T318" s="494"/>
      <c r="U318" s="494"/>
      <c r="V318" s="494"/>
      <c r="W318" s="494"/>
      <c r="X318" s="494"/>
      <c r="Y318" s="494"/>
      <c r="Z318" s="494"/>
      <c r="AA318" s="494"/>
      <c r="AB318" s="494"/>
      <c r="AC318" s="494"/>
      <c r="AD318" s="494"/>
      <c r="AE318" s="494"/>
      <c r="AF318" s="494"/>
      <c r="AG318" s="494"/>
      <c r="AH318" s="494"/>
      <c r="AI318" s="494"/>
      <c r="AJ318" s="494"/>
      <c r="AK318" s="496"/>
      <c r="AL318" s="494"/>
      <c r="AM318" s="494"/>
      <c r="AN318" s="494"/>
      <c r="AO318" s="496"/>
      <c r="AP318" s="494"/>
      <c r="AQ318" s="494"/>
      <c r="AR318" s="494"/>
      <c r="AS318" s="494"/>
      <c r="AT318" s="494"/>
      <c r="AU318" s="494"/>
      <c r="AV318" s="494"/>
      <c r="AW318" s="494"/>
      <c r="AX318" s="494"/>
      <c r="AY318" s="494"/>
      <c r="AZ318" s="494"/>
      <c r="BA318" s="494"/>
      <c r="BB318" s="494"/>
      <c r="BC318" s="496"/>
      <c r="BD318" s="494"/>
      <c r="BE318" s="494"/>
      <c r="BF318" s="494"/>
      <c r="BG318" s="494"/>
      <c r="BH318" s="494"/>
      <c r="BI318" s="494"/>
      <c r="BJ318" s="494"/>
      <c r="BK318" s="494"/>
      <c r="BL318" s="494"/>
      <c r="BM318" s="494"/>
      <c r="BN318" s="494"/>
      <c r="BO318" s="494"/>
      <c r="BP318" s="494"/>
      <c r="BQ318" s="494"/>
      <c r="BR318" s="494"/>
      <c r="BS318" s="494"/>
    </row>
    <row r="319" spans="1:71" s="202" customFormat="1" ht="13.15">
      <c r="A319" s="453"/>
      <c r="B319" s="453"/>
      <c r="C319" s="453"/>
      <c r="D319" s="453"/>
      <c r="E319" s="632" t="s">
        <v>1350</v>
      </c>
      <c r="F319" s="638">
        <f t="shared" si="102"/>
        <v>0</v>
      </c>
      <c r="G319" s="632" t="s">
        <v>1146</v>
      </c>
      <c r="H319" s="453"/>
      <c r="I319" s="639"/>
      <c r="J319" s="494"/>
      <c r="K319" s="494"/>
      <c r="L319" s="494"/>
      <c r="M319" s="494"/>
      <c r="N319" s="494"/>
      <c r="O319" s="494"/>
      <c r="P319" s="494"/>
      <c r="Q319" s="496"/>
      <c r="R319" s="494"/>
      <c r="S319" s="494"/>
      <c r="T319" s="494"/>
      <c r="U319" s="494"/>
      <c r="V319" s="494"/>
      <c r="W319" s="494"/>
      <c r="X319" s="494"/>
      <c r="Y319" s="494"/>
      <c r="Z319" s="494"/>
      <c r="AA319" s="494"/>
      <c r="AB319" s="494"/>
      <c r="AC319" s="494"/>
      <c r="AD319" s="494"/>
      <c r="AE319" s="494"/>
      <c r="AF319" s="494"/>
      <c r="AG319" s="494"/>
      <c r="AH319" s="494"/>
      <c r="AI319" s="494"/>
      <c r="AJ319" s="494"/>
      <c r="AK319" s="496"/>
      <c r="AL319" s="494"/>
      <c r="AM319" s="494"/>
      <c r="AN319" s="494"/>
      <c r="AO319" s="496"/>
      <c r="AP319" s="494"/>
      <c r="AQ319" s="494"/>
      <c r="AR319" s="494"/>
      <c r="AS319" s="494"/>
      <c r="AT319" s="494"/>
      <c r="AU319" s="494"/>
      <c r="AV319" s="494"/>
      <c r="AW319" s="494"/>
      <c r="AX319" s="494"/>
      <c r="AY319" s="494"/>
      <c r="AZ319" s="494"/>
      <c r="BA319" s="494"/>
      <c r="BB319" s="494"/>
      <c r="BC319" s="496"/>
      <c r="BD319" s="494"/>
      <c r="BE319" s="494"/>
      <c r="BF319" s="494"/>
      <c r="BG319" s="494"/>
      <c r="BH319" s="494"/>
      <c r="BI319" s="494"/>
      <c r="BJ319" s="494"/>
      <c r="BK319" s="494"/>
      <c r="BL319" s="494"/>
      <c r="BM319" s="494"/>
      <c r="BN319" s="494"/>
      <c r="BO319" s="494"/>
      <c r="BP319" s="494"/>
      <c r="BQ319" s="494"/>
      <c r="BR319" s="494"/>
      <c r="BS319" s="494"/>
    </row>
    <row r="320" spans="1:71" s="202" customFormat="1" ht="13.15">
      <c r="A320" s="453"/>
      <c r="B320" s="453"/>
      <c r="C320" s="453"/>
      <c r="D320" s="453"/>
      <c r="E320" s="632" t="s">
        <v>1351</v>
      </c>
      <c r="F320" s="638">
        <f t="shared" si="102"/>
        <v>0</v>
      </c>
      <c r="G320" s="632" t="s">
        <v>1146</v>
      </c>
      <c r="H320" s="453"/>
      <c r="I320" s="639"/>
      <c r="J320" s="494"/>
      <c r="K320" s="494"/>
      <c r="L320" s="494"/>
      <c r="M320" s="494"/>
      <c r="N320" s="494"/>
      <c r="O320" s="494"/>
      <c r="P320" s="494"/>
      <c r="Q320" s="496"/>
      <c r="R320" s="494"/>
      <c r="S320" s="494"/>
      <c r="T320" s="494"/>
      <c r="U320" s="494"/>
      <c r="V320" s="494"/>
      <c r="W320" s="494"/>
      <c r="X320" s="494"/>
      <c r="Y320" s="494"/>
      <c r="Z320" s="494"/>
      <c r="AA320" s="494"/>
      <c r="AB320" s="494"/>
      <c r="AC320" s="494"/>
      <c r="AD320" s="494"/>
      <c r="AE320" s="494"/>
      <c r="AF320" s="494"/>
      <c r="AG320" s="494"/>
      <c r="AH320" s="494"/>
      <c r="AI320" s="494"/>
      <c r="AJ320" s="494"/>
      <c r="AK320" s="496"/>
      <c r="AL320" s="494"/>
      <c r="AM320" s="494"/>
      <c r="AN320" s="494"/>
      <c r="AO320" s="496"/>
      <c r="AP320" s="494"/>
      <c r="AQ320" s="494"/>
      <c r="AR320" s="494"/>
      <c r="AS320" s="494"/>
      <c r="AT320" s="494"/>
      <c r="AU320" s="494"/>
      <c r="AV320" s="494"/>
      <c r="AW320" s="494"/>
      <c r="AX320" s="494"/>
      <c r="AY320" s="494"/>
      <c r="AZ320" s="494"/>
      <c r="BA320" s="494"/>
      <c r="BB320" s="494"/>
      <c r="BC320" s="496"/>
      <c r="BD320" s="494"/>
      <c r="BE320" s="494"/>
      <c r="BF320" s="494"/>
      <c r="BG320" s="494"/>
      <c r="BH320" s="494"/>
      <c r="BI320" s="494"/>
      <c r="BJ320" s="494"/>
      <c r="BK320" s="494"/>
      <c r="BL320" s="494"/>
      <c r="BM320" s="494"/>
      <c r="BN320" s="494"/>
      <c r="BO320" s="494"/>
      <c r="BP320" s="494"/>
      <c r="BQ320" s="494"/>
      <c r="BR320" s="494"/>
      <c r="BS320" s="494"/>
    </row>
    <row r="321" spans="1:71" s="202" customFormat="1" ht="13.15">
      <c r="A321" s="453"/>
      <c r="B321" s="453"/>
      <c r="C321" s="453"/>
      <c r="D321" s="453"/>
      <c r="E321" s="632" t="s">
        <v>1352</v>
      </c>
      <c r="F321" s="638">
        <f t="shared" si="102"/>
        <v>0</v>
      </c>
      <c r="G321" s="632" t="s">
        <v>1146</v>
      </c>
      <c r="H321" s="453"/>
      <c r="I321" s="639"/>
      <c r="J321" s="494"/>
      <c r="K321" s="494"/>
      <c r="L321" s="494"/>
      <c r="M321" s="494"/>
      <c r="N321" s="494"/>
      <c r="O321" s="494"/>
      <c r="P321" s="494"/>
      <c r="Q321" s="496"/>
      <c r="R321" s="494"/>
      <c r="S321" s="494"/>
      <c r="T321" s="494"/>
      <c r="U321" s="494"/>
      <c r="V321" s="494"/>
      <c r="W321" s="494"/>
      <c r="X321" s="494"/>
      <c r="Y321" s="494"/>
      <c r="Z321" s="494"/>
      <c r="AA321" s="494"/>
      <c r="AB321" s="494"/>
      <c r="AC321" s="494"/>
      <c r="AD321" s="494"/>
      <c r="AE321" s="494"/>
      <c r="AF321" s="494"/>
      <c r="AG321" s="494"/>
      <c r="AH321" s="494"/>
      <c r="AI321" s="494"/>
      <c r="AJ321" s="494"/>
      <c r="AK321" s="496"/>
      <c r="AL321" s="494"/>
      <c r="AM321" s="494"/>
      <c r="AN321" s="494"/>
      <c r="AO321" s="496"/>
      <c r="AP321" s="494"/>
      <c r="AQ321" s="494"/>
      <c r="AR321" s="494"/>
      <c r="AS321" s="494"/>
      <c r="AT321" s="494"/>
      <c r="AU321" s="494"/>
      <c r="AV321" s="494"/>
      <c r="AW321" s="494"/>
      <c r="AX321" s="494"/>
      <c r="AY321" s="494"/>
      <c r="AZ321" s="494"/>
      <c r="BA321" s="494"/>
      <c r="BB321" s="494"/>
      <c r="BC321" s="496"/>
      <c r="BD321" s="494"/>
      <c r="BE321" s="494"/>
      <c r="BF321" s="494"/>
      <c r="BG321" s="494"/>
      <c r="BH321" s="494"/>
      <c r="BI321" s="494"/>
      <c r="BJ321" s="494"/>
      <c r="BK321" s="494"/>
      <c r="BL321" s="494"/>
      <c r="BM321" s="494"/>
      <c r="BN321" s="494"/>
      <c r="BO321" s="494"/>
      <c r="BP321" s="494"/>
      <c r="BQ321" s="494"/>
      <c r="BR321" s="494"/>
      <c r="BS321" s="494"/>
    </row>
    <row r="322" spans="1:71" s="202" customFormat="1" ht="13.15">
      <c r="A322" s="453"/>
      <c r="B322" s="453"/>
      <c r="C322" s="453"/>
      <c r="D322" s="453"/>
      <c r="E322" s="632" t="s">
        <v>1353</v>
      </c>
      <c r="F322" s="638">
        <f t="shared" si="102"/>
        <v>0</v>
      </c>
      <c r="G322" s="632" t="s">
        <v>1146</v>
      </c>
      <c r="H322" s="453"/>
      <c r="I322" s="639"/>
      <c r="J322" s="494"/>
      <c r="K322" s="494"/>
      <c r="L322" s="494"/>
      <c r="M322" s="494"/>
      <c r="N322" s="494"/>
      <c r="O322" s="494"/>
      <c r="P322" s="494"/>
      <c r="Q322" s="496"/>
      <c r="R322" s="494"/>
      <c r="S322" s="494"/>
      <c r="T322" s="494"/>
      <c r="U322" s="494"/>
      <c r="V322" s="494"/>
      <c r="W322" s="494"/>
      <c r="X322" s="494"/>
      <c r="Y322" s="494"/>
      <c r="Z322" s="494"/>
      <c r="AA322" s="494"/>
      <c r="AB322" s="494"/>
      <c r="AC322" s="494"/>
      <c r="AD322" s="494"/>
      <c r="AE322" s="494"/>
      <c r="AF322" s="494"/>
      <c r="AG322" s="494"/>
      <c r="AH322" s="494"/>
      <c r="AI322" s="494"/>
      <c r="AJ322" s="494"/>
      <c r="AK322" s="496"/>
      <c r="AL322" s="494"/>
      <c r="AM322" s="494"/>
      <c r="AN322" s="494"/>
      <c r="AO322" s="496"/>
      <c r="AP322" s="494"/>
      <c r="AQ322" s="494"/>
      <c r="AR322" s="494"/>
      <c r="AS322" s="494"/>
      <c r="AT322" s="494"/>
      <c r="AU322" s="494"/>
      <c r="AV322" s="494"/>
      <c r="AW322" s="494"/>
      <c r="AX322" s="494"/>
      <c r="AY322" s="494"/>
      <c r="AZ322" s="494"/>
      <c r="BA322" s="494"/>
      <c r="BB322" s="494"/>
      <c r="BC322" s="496"/>
      <c r="BD322" s="494"/>
      <c r="BE322" s="494"/>
      <c r="BF322" s="494"/>
      <c r="BG322" s="494"/>
      <c r="BH322" s="494"/>
      <c r="BI322" s="494"/>
      <c r="BJ322" s="494"/>
      <c r="BK322" s="494"/>
      <c r="BL322" s="494"/>
      <c r="BM322" s="494"/>
      <c r="BN322" s="494"/>
      <c r="BO322" s="494"/>
      <c r="BP322" s="494"/>
      <c r="BQ322" s="494"/>
      <c r="BR322" s="494"/>
      <c r="BS322" s="494"/>
    </row>
    <row r="323" spans="1:71" s="202" customFormat="1" ht="13.15">
      <c r="A323" s="453"/>
      <c r="B323" s="453"/>
      <c r="C323" s="453"/>
      <c r="D323" s="453"/>
      <c r="E323" s="632" t="s">
        <v>1354</v>
      </c>
      <c r="F323" s="638">
        <f t="shared" si="102"/>
        <v>0</v>
      </c>
      <c r="G323" s="632" t="s">
        <v>1146</v>
      </c>
      <c r="H323" s="453"/>
      <c r="I323" s="639"/>
      <c r="J323" s="494"/>
      <c r="K323" s="494"/>
      <c r="L323" s="494"/>
      <c r="M323" s="494"/>
      <c r="N323" s="494"/>
      <c r="O323" s="494"/>
      <c r="P323" s="494"/>
      <c r="Q323" s="496"/>
      <c r="R323" s="494"/>
      <c r="S323" s="494"/>
      <c r="T323" s="494"/>
      <c r="U323" s="494"/>
      <c r="V323" s="494"/>
      <c r="W323" s="494"/>
      <c r="X323" s="494"/>
      <c r="Y323" s="494"/>
      <c r="Z323" s="494"/>
      <c r="AA323" s="494"/>
      <c r="AB323" s="494"/>
      <c r="AC323" s="494"/>
      <c r="AD323" s="494"/>
      <c r="AE323" s="494"/>
      <c r="AF323" s="494"/>
      <c r="AG323" s="494"/>
      <c r="AH323" s="494"/>
      <c r="AI323" s="494"/>
      <c r="AJ323" s="494"/>
      <c r="AK323" s="496"/>
      <c r="AL323" s="494"/>
      <c r="AM323" s="494"/>
      <c r="AN323" s="494"/>
      <c r="AO323" s="496"/>
      <c r="AP323" s="494"/>
      <c r="AQ323" s="494"/>
      <c r="AR323" s="494"/>
      <c r="AS323" s="494"/>
      <c r="AT323" s="494"/>
      <c r="AU323" s="494"/>
      <c r="AV323" s="494"/>
      <c r="AW323" s="494"/>
      <c r="AX323" s="494"/>
      <c r="AY323" s="494"/>
      <c r="AZ323" s="494"/>
      <c r="BA323" s="494"/>
      <c r="BB323" s="494"/>
      <c r="BC323" s="496"/>
      <c r="BD323" s="494"/>
      <c r="BE323" s="494"/>
      <c r="BF323" s="494"/>
      <c r="BG323" s="494"/>
      <c r="BH323" s="494"/>
      <c r="BI323" s="494"/>
      <c r="BJ323" s="494"/>
      <c r="BK323" s="494"/>
      <c r="BL323" s="494"/>
      <c r="BM323" s="494"/>
      <c r="BN323" s="494"/>
      <c r="BO323" s="494"/>
      <c r="BP323" s="494"/>
      <c r="BQ323" s="494"/>
      <c r="BR323" s="494"/>
      <c r="BS323" s="494"/>
    </row>
    <row r="324" spans="1:71" s="202" customFormat="1" ht="13.15">
      <c r="A324" s="453"/>
      <c r="B324" s="453"/>
      <c r="C324" s="453"/>
      <c r="D324" s="453"/>
      <c r="E324" s="632" t="s">
        <v>1355</v>
      </c>
      <c r="F324" s="638">
        <f t="shared" si="102"/>
        <v>0</v>
      </c>
      <c r="G324" s="632" t="s">
        <v>1146</v>
      </c>
      <c r="H324" s="453"/>
      <c r="I324" s="639"/>
      <c r="J324" s="494"/>
      <c r="K324" s="494"/>
      <c r="L324" s="494"/>
      <c r="M324" s="494"/>
      <c r="N324" s="494"/>
      <c r="O324" s="494"/>
      <c r="P324" s="494"/>
      <c r="Q324" s="496"/>
      <c r="R324" s="494"/>
      <c r="S324" s="494"/>
      <c r="T324" s="494"/>
      <c r="U324" s="494"/>
      <c r="V324" s="494"/>
      <c r="W324" s="494"/>
      <c r="X324" s="494"/>
      <c r="Y324" s="494"/>
      <c r="Z324" s="494"/>
      <c r="AA324" s="494"/>
      <c r="AB324" s="494"/>
      <c r="AC324" s="494"/>
      <c r="AD324" s="494"/>
      <c r="AE324" s="494"/>
      <c r="AF324" s="494"/>
      <c r="AG324" s="494"/>
      <c r="AH324" s="494"/>
      <c r="AI324" s="494"/>
      <c r="AJ324" s="494"/>
      <c r="AK324" s="496"/>
      <c r="AL324" s="494"/>
      <c r="AM324" s="494"/>
      <c r="AN324" s="494"/>
      <c r="AO324" s="496"/>
      <c r="AP324" s="494"/>
      <c r="AQ324" s="494"/>
      <c r="AR324" s="494"/>
      <c r="AS324" s="494"/>
      <c r="AT324" s="494"/>
      <c r="AU324" s="494"/>
      <c r="AV324" s="494"/>
      <c r="AW324" s="494"/>
      <c r="AX324" s="494"/>
      <c r="AY324" s="494"/>
      <c r="AZ324" s="494"/>
      <c r="BA324" s="494"/>
      <c r="BB324" s="494"/>
      <c r="BC324" s="496"/>
      <c r="BD324" s="494"/>
      <c r="BE324" s="494"/>
      <c r="BF324" s="494"/>
      <c r="BG324" s="494"/>
      <c r="BH324" s="494"/>
      <c r="BI324" s="494"/>
      <c r="BJ324" s="494"/>
      <c r="BK324" s="494"/>
      <c r="BL324" s="494"/>
      <c r="BM324" s="494"/>
      <c r="BN324" s="494"/>
      <c r="BO324" s="494"/>
      <c r="BP324" s="494"/>
      <c r="BQ324" s="494"/>
      <c r="BR324" s="494"/>
      <c r="BS324" s="494"/>
    </row>
    <row r="325" spans="1:71" s="202" customFormat="1" ht="13.15">
      <c r="A325" s="453"/>
      <c r="B325" s="453"/>
      <c r="C325" s="453"/>
      <c r="D325" s="453"/>
      <c r="E325" s="453"/>
      <c r="F325" s="462"/>
      <c r="G325" s="453"/>
      <c r="H325" s="453"/>
      <c r="I325" s="453"/>
      <c r="J325" s="494"/>
      <c r="K325" s="494"/>
      <c r="L325" s="494"/>
      <c r="M325" s="494"/>
      <c r="N325" s="494"/>
      <c r="O325" s="494"/>
      <c r="P325" s="494"/>
      <c r="Q325" s="496"/>
      <c r="R325" s="494"/>
      <c r="S325" s="494"/>
      <c r="T325" s="494"/>
      <c r="U325" s="494"/>
      <c r="V325" s="494"/>
      <c r="W325" s="494"/>
      <c r="X325" s="494"/>
      <c r="Y325" s="494"/>
      <c r="Z325" s="494"/>
      <c r="AA325" s="494"/>
      <c r="AB325" s="494"/>
      <c r="AC325" s="494"/>
      <c r="AD325" s="494"/>
      <c r="AE325" s="494"/>
      <c r="AF325" s="494"/>
      <c r="AG325" s="494"/>
      <c r="AH325" s="494"/>
      <c r="AI325" s="494"/>
      <c r="AJ325" s="494"/>
      <c r="AK325" s="496"/>
      <c r="AL325" s="494"/>
      <c r="AM325" s="494"/>
      <c r="AN325" s="494"/>
      <c r="AO325" s="496"/>
      <c r="AP325" s="494"/>
      <c r="AQ325" s="494"/>
      <c r="AR325" s="494"/>
      <c r="AS325" s="494"/>
      <c r="AT325" s="494"/>
      <c r="AU325" s="494"/>
      <c r="AV325" s="494"/>
      <c r="AW325" s="494"/>
      <c r="AX325" s="494"/>
      <c r="AY325" s="494"/>
      <c r="AZ325" s="494"/>
      <c r="BA325" s="494"/>
      <c r="BB325" s="494"/>
      <c r="BC325" s="496"/>
      <c r="BD325" s="494"/>
      <c r="BE325" s="494"/>
      <c r="BF325" s="494"/>
      <c r="BG325" s="494"/>
      <c r="BH325" s="494"/>
      <c r="BI325" s="494"/>
      <c r="BJ325" s="494"/>
      <c r="BK325" s="494"/>
      <c r="BL325" s="494"/>
      <c r="BM325" s="494"/>
      <c r="BN325" s="494"/>
      <c r="BO325" s="494"/>
      <c r="BP325" s="494"/>
      <c r="BQ325" s="494"/>
      <c r="BR325" s="494"/>
      <c r="BS325" s="494"/>
    </row>
    <row r="326" spans="1:71" s="202" customFormat="1" ht="13.15">
      <c r="A326" s="453"/>
      <c r="B326" s="453"/>
      <c r="C326" s="453"/>
      <c r="D326" s="463" t="s">
        <v>1356</v>
      </c>
      <c r="E326" s="453"/>
      <c r="F326" s="462"/>
      <c r="G326" s="453"/>
      <c r="H326" s="453"/>
      <c r="I326" s="453"/>
      <c r="J326" s="494"/>
      <c r="K326" s="494"/>
      <c r="L326" s="494"/>
      <c r="M326" s="494"/>
      <c r="N326" s="494"/>
      <c r="O326" s="494"/>
      <c r="P326" s="494"/>
      <c r="Q326" s="496"/>
      <c r="R326" s="494"/>
      <c r="S326" s="494"/>
      <c r="T326" s="494"/>
      <c r="U326" s="494"/>
      <c r="V326" s="494"/>
      <c r="W326" s="494"/>
      <c r="X326" s="494"/>
      <c r="Y326" s="494"/>
      <c r="Z326" s="494"/>
      <c r="AA326" s="494"/>
      <c r="AB326" s="494"/>
      <c r="AC326" s="494"/>
      <c r="AD326" s="494"/>
      <c r="AE326" s="494"/>
      <c r="AF326" s="494"/>
      <c r="AG326" s="494"/>
      <c r="AH326" s="494"/>
      <c r="AI326" s="494"/>
      <c r="AJ326" s="494"/>
      <c r="AK326" s="496"/>
      <c r="AL326" s="494"/>
      <c r="AM326" s="494"/>
      <c r="AN326" s="494"/>
      <c r="AO326" s="496"/>
      <c r="AP326" s="494"/>
      <c r="AQ326" s="494"/>
      <c r="AR326" s="494"/>
      <c r="AS326" s="494"/>
      <c r="AT326" s="494"/>
      <c r="AU326" s="494"/>
      <c r="AV326" s="494"/>
      <c r="AW326" s="494"/>
      <c r="AX326" s="494"/>
      <c r="AY326" s="494"/>
      <c r="AZ326" s="494"/>
      <c r="BA326" s="494"/>
      <c r="BB326" s="494"/>
      <c r="BC326" s="496"/>
      <c r="BD326" s="494"/>
      <c r="BE326" s="494"/>
      <c r="BF326" s="494"/>
      <c r="BG326" s="494"/>
      <c r="BH326" s="494"/>
      <c r="BI326" s="494"/>
      <c r="BJ326" s="494"/>
      <c r="BK326" s="494"/>
      <c r="BL326" s="494"/>
      <c r="BM326" s="494"/>
      <c r="BN326" s="494"/>
      <c r="BO326" s="494"/>
      <c r="BP326" s="494"/>
      <c r="BQ326" s="494"/>
      <c r="BR326" s="494"/>
      <c r="BS326" s="494"/>
    </row>
    <row r="327" spans="1:71" s="202" customFormat="1" ht="13.15">
      <c r="A327" s="453"/>
      <c r="B327" s="453"/>
      <c r="C327" s="453"/>
      <c r="D327" s="453"/>
      <c r="E327" s="632" t="s">
        <v>1357</v>
      </c>
      <c r="F327" s="638">
        <f t="shared" ref="F327:F333" si="103">IF(F287=0,0,SUMIF(J$190:BS$190,"RCV",J210:BS210)/F287)</f>
        <v>0</v>
      </c>
      <c r="G327" s="632" t="s">
        <v>1146</v>
      </c>
      <c r="H327" s="453"/>
      <c r="I327" s="639"/>
      <c r="J327" s="494"/>
      <c r="K327" s="494"/>
      <c r="L327" s="494"/>
      <c r="M327" s="494"/>
      <c r="N327" s="494"/>
      <c r="O327" s="494"/>
      <c r="P327" s="494"/>
      <c r="Q327" s="496"/>
      <c r="R327" s="494"/>
      <c r="S327" s="494"/>
      <c r="T327" s="494"/>
      <c r="U327" s="494"/>
      <c r="V327" s="494"/>
      <c r="W327" s="494"/>
      <c r="X327" s="494"/>
      <c r="Y327" s="494"/>
      <c r="Z327" s="494"/>
      <c r="AA327" s="494"/>
      <c r="AB327" s="494"/>
      <c r="AC327" s="494"/>
      <c r="AD327" s="494"/>
      <c r="AE327" s="494"/>
      <c r="AF327" s="494"/>
      <c r="AG327" s="494"/>
      <c r="AH327" s="494"/>
      <c r="AI327" s="494"/>
      <c r="AJ327" s="494"/>
      <c r="AK327" s="496"/>
      <c r="AL327" s="494"/>
      <c r="AM327" s="494"/>
      <c r="AN327" s="494"/>
      <c r="AO327" s="496"/>
      <c r="AP327" s="494"/>
      <c r="AQ327" s="494"/>
      <c r="AR327" s="494"/>
      <c r="AS327" s="494"/>
      <c r="AT327" s="494"/>
      <c r="AU327" s="494"/>
      <c r="AV327" s="494"/>
      <c r="AW327" s="494"/>
      <c r="AX327" s="494"/>
      <c r="AY327" s="494"/>
      <c r="AZ327" s="494"/>
      <c r="BA327" s="494"/>
      <c r="BB327" s="494"/>
      <c r="BC327" s="496"/>
      <c r="BD327" s="494"/>
      <c r="BE327" s="494"/>
      <c r="BF327" s="494"/>
      <c r="BG327" s="494"/>
      <c r="BH327" s="494"/>
      <c r="BI327" s="494"/>
      <c r="BJ327" s="494"/>
      <c r="BK327" s="494"/>
      <c r="BL327" s="494"/>
      <c r="BM327" s="494"/>
      <c r="BN327" s="494"/>
      <c r="BO327" s="494"/>
      <c r="BP327" s="494"/>
      <c r="BQ327" s="494"/>
      <c r="BR327" s="494"/>
      <c r="BS327" s="494"/>
    </row>
    <row r="328" spans="1:71" s="202" customFormat="1" ht="13.15">
      <c r="A328" s="453"/>
      <c r="B328" s="453"/>
      <c r="C328" s="453"/>
      <c r="D328" s="453"/>
      <c r="E328" s="632" t="s">
        <v>1358</v>
      </c>
      <c r="F328" s="638">
        <f t="shared" si="103"/>
        <v>0</v>
      </c>
      <c r="G328" s="632" t="s">
        <v>1146</v>
      </c>
      <c r="H328" s="453"/>
      <c r="I328" s="639"/>
      <c r="J328" s="494"/>
      <c r="K328" s="494"/>
      <c r="L328" s="494"/>
      <c r="M328" s="494"/>
      <c r="N328" s="494"/>
      <c r="O328" s="494"/>
      <c r="P328" s="494"/>
      <c r="Q328" s="496"/>
      <c r="R328" s="494"/>
      <c r="S328" s="494"/>
      <c r="T328" s="494"/>
      <c r="U328" s="494"/>
      <c r="V328" s="494"/>
      <c r="W328" s="494"/>
      <c r="X328" s="494"/>
      <c r="Y328" s="494"/>
      <c r="Z328" s="494"/>
      <c r="AA328" s="494"/>
      <c r="AB328" s="494"/>
      <c r="AC328" s="494"/>
      <c r="AD328" s="494"/>
      <c r="AE328" s="494"/>
      <c r="AF328" s="494"/>
      <c r="AG328" s="494"/>
      <c r="AH328" s="494"/>
      <c r="AI328" s="494"/>
      <c r="AJ328" s="494"/>
      <c r="AK328" s="496"/>
      <c r="AL328" s="494"/>
      <c r="AM328" s="494"/>
      <c r="AN328" s="494"/>
      <c r="AO328" s="496"/>
      <c r="AP328" s="494"/>
      <c r="AQ328" s="494"/>
      <c r="AR328" s="494"/>
      <c r="AS328" s="494"/>
      <c r="AT328" s="494"/>
      <c r="AU328" s="494"/>
      <c r="AV328" s="494"/>
      <c r="AW328" s="494"/>
      <c r="AX328" s="494"/>
      <c r="AY328" s="494"/>
      <c r="AZ328" s="494"/>
      <c r="BA328" s="494"/>
      <c r="BB328" s="494"/>
      <c r="BC328" s="496"/>
      <c r="BD328" s="494"/>
      <c r="BE328" s="494"/>
      <c r="BF328" s="494"/>
      <c r="BG328" s="494"/>
      <c r="BH328" s="494"/>
      <c r="BI328" s="494"/>
      <c r="BJ328" s="494"/>
      <c r="BK328" s="494"/>
      <c r="BL328" s="494"/>
      <c r="BM328" s="494"/>
      <c r="BN328" s="494"/>
      <c r="BO328" s="494"/>
      <c r="BP328" s="494"/>
      <c r="BQ328" s="494"/>
      <c r="BR328" s="494"/>
      <c r="BS328" s="494"/>
    </row>
    <row r="329" spans="1:71" s="202" customFormat="1" ht="13.15">
      <c r="A329" s="453"/>
      <c r="B329" s="453"/>
      <c r="C329" s="453"/>
      <c r="D329" s="453"/>
      <c r="E329" s="632" t="s">
        <v>1359</v>
      </c>
      <c r="F329" s="638">
        <f t="shared" si="103"/>
        <v>0</v>
      </c>
      <c r="G329" s="632" t="s">
        <v>1146</v>
      </c>
      <c r="H329" s="453"/>
      <c r="I329" s="639"/>
      <c r="J329" s="494"/>
      <c r="K329" s="494"/>
      <c r="L329" s="494"/>
      <c r="M329" s="494"/>
      <c r="N329" s="494"/>
      <c r="O329" s="494"/>
      <c r="P329" s="494"/>
      <c r="Q329" s="496"/>
      <c r="R329" s="494"/>
      <c r="S329" s="494"/>
      <c r="T329" s="494"/>
      <c r="U329" s="494"/>
      <c r="V329" s="494"/>
      <c r="W329" s="494"/>
      <c r="X329" s="494"/>
      <c r="Y329" s="494"/>
      <c r="Z329" s="494"/>
      <c r="AA329" s="494"/>
      <c r="AB329" s="494"/>
      <c r="AC329" s="494"/>
      <c r="AD329" s="494"/>
      <c r="AE329" s="494"/>
      <c r="AF329" s="494"/>
      <c r="AG329" s="494"/>
      <c r="AH329" s="494"/>
      <c r="AI329" s="494"/>
      <c r="AJ329" s="494"/>
      <c r="AK329" s="496"/>
      <c r="AL329" s="494"/>
      <c r="AM329" s="494"/>
      <c r="AN329" s="494"/>
      <c r="AO329" s="496"/>
      <c r="AP329" s="494"/>
      <c r="AQ329" s="494"/>
      <c r="AR329" s="494"/>
      <c r="AS329" s="494"/>
      <c r="AT329" s="494"/>
      <c r="AU329" s="494"/>
      <c r="AV329" s="494"/>
      <c r="AW329" s="494"/>
      <c r="AX329" s="494"/>
      <c r="AY329" s="494"/>
      <c r="AZ329" s="494"/>
      <c r="BA329" s="494"/>
      <c r="BB329" s="494"/>
      <c r="BC329" s="496"/>
      <c r="BD329" s="494"/>
      <c r="BE329" s="494"/>
      <c r="BF329" s="494"/>
      <c r="BG329" s="494"/>
      <c r="BH329" s="494"/>
      <c r="BI329" s="494"/>
      <c r="BJ329" s="494"/>
      <c r="BK329" s="494"/>
      <c r="BL329" s="494"/>
      <c r="BM329" s="494"/>
      <c r="BN329" s="494"/>
      <c r="BO329" s="494"/>
      <c r="BP329" s="494"/>
      <c r="BQ329" s="494"/>
      <c r="BR329" s="494"/>
      <c r="BS329" s="494"/>
    </row>
    <row r="330" spans="1:71" s="202" customFormat="1" ht="13.15">
      <c r="A330" s="453"/>
      <c r="B330" s="453"/>
      <c r="C330" s="453"/>
      <c r="D330" s="453"/>
      <c r="E330" s="632" t="s">
        <v>1360</v>
      </c>
      <c r="F330" s="638">
        <f t="shared" si="103"/>
        <v>0</v>
      </c>
      <c r="G330" s="632" t="s">
        <v>1146</v>
      </c>
      <c r="H330" s="453"/>
      <c r="I330" s="639"/>
      <c r="J330" s="494"/>
      <c r="K330" s="494"/>
      <c r="L330" s="494"/>
      <c r="M330" s="494"/>
      <c r="N330" s="494"/>
      <c r="O330" s="494"/>
      <c r="P330" s="494"/>
      <c r="Q330" s="496"/>
      <c r="R330" s="494"/>
      <c r="S330" s="494"/>
      <c r="T330" s="494"/>
      <c r="U330" s="494"/>
      <c r="V330" s="494"/>
      <c r="W330" s="494"/>
      <c r="X330" s="494"/>
      <c r="Y330" s="494"/>
      <c r="Z330" s="494"/>
      <c r="AA330" s="494"/>
      <c r="AB330" s="494"/>
      <c r="AC330" s="494"/>
      <c r="AD330" s="494"/>
      <c r="AE330" s="494"/>
      <c r="AF330" s="494"/>
      <c r="AG330" s="494"/>
      <c r="AH330" s="494"/>
      <c r="AI330" s="494"/>
      <c r="AJ330" s="494"/>
      <c r="AK330" s="496"/>
      <c r="AL330" s="494"/>
      <c r="AM330" s="494"/>
      <c r="AN330" s="494"/>
      <c r="AO330" s="496"/>
      <c r="AP330" s="494"/>
      <c r="AQ330" s="494"/>
      <c r="AR330" s="494"/>
      <c r="AS330" s="494"/>
      <c r="AT330" s="494"/>
      <c r="AU330" s="494"/>
      <c r="AV330" s="494"/>
      <c r="AW330" s="494"/>
      <c r="AX330" s="494"/>
      <c r="AY330" s="494"/>
      <c r="AZ330" s="494"/>
      <c r="BA330" s="494"/>
      <c r="BB330" s="494"/>
      <c r="BC330" s="496"/>
      <c r="BD330" s="494"/>
      <c r="BE330" s="494"/>
      <c r="BF330" s="494"/>
      <c r="BG330" s="494"/>
      <c r="BH330" s="494"/>
      <c r="BI330" s="494"/>
      <c r="BJ330" s="494"/>
      <c r="BK330" s="494"/>
      <c r="BL330" s="494"/>
      <c r="BM330" s="494"/>
      <c r="BN330" s="494"/>
      <c r="BO330" s="494"/>
      <c r="BP330" s="494"/>
      <c r="BQ330" s="494"/>
      <c r="BR330" s="494"/>
      <c r="BS330" s="494"/>
    </row>
    <row r="331" spans="1:71" s="202" customFormat="1" ht="13.15">
      <c r="A331" s="453"/>
      <c r="B331" s="453"/>
      <c r="C331" s="453"/>
      <c r="D331" s="453"/>
      <c r="E331" s="632" t="s">
        <v>1361</v>
      </c>
      <c r="F331" s="638">
        <f t="shared" si="103"/>
        <v>0</v>
      </c>
      <c r="G331" s="632" t="s">
        <v>1146</v>
      </c>
      <c r="H331" s="453"/>
      <c r="I331" s="639"/>
      <c r="J331" s="494"/>
      <c r="K331" s="494"/>
      <c r="L331" s="494"/>
      <c r="M331" s="494"/>
      <c r="N331" s="494"/>
      <c r="O331" s="494"/>
      <c r="P331" s="494"/>
      <c r="Q331" s="496"/>
      <c r="R331" s="494"/>
      <c r="S331" s="494"/>
      <c r="T331" s="494"/>
      <c r="U331" s="494"/>
      <c r="V331" s="494"/>
      <c r="W331" s="494"/>
      <c r="X331" s="494"/>
      <c r="Y331" s="494"/>
      <c r="Z331" s="494"/>
      <c r="AA331" s="494"/>
      <c r="AB331" s="494"/>
      <c r="AC331" s="494"/>
      <c r="AD331" s="494"/>
      <c r="AE331" s="494"/>
      <c r="AF331" s="494"/>
      <c r="AG331" s="494"/>
      <c r="AH331" s="494"/>
      <c r="AI331" s="494"/>
      <c r="AJ331" s="494"/>
      <c r="AK331" s="496"/>
      <c r="AL331" s="494"/>
      <c r="AM331" s="494"/>
      <c r="AN331" s="494"/>
      <c r="AO331" s="496"/>
      <c r="AP331" s="494"/>
      <c r="AQ331" s="494"/>
      <c r="AR331" s="494"/>
      <c r="AS331" s="494"/>
      <c r="AT331" s="494"/>
      <c r="AU331" s="494"/>
      <c r="AV331" s="494"/>
      <c r="AW331" s="494"/>
      <c r="AX331" s="494"/>
      <c r="AY331" s="494"/>
      <c r="AZ331" s="494"/>
      <c r="BA331" s="494"/>
      <c r="BB331" s="494"/>
      <c r="BC331" s="496"/>
      <c r="BD331" s="494"/>
      <c r="BE331" s="494"/>
      <c r="BF331" s="494"/>
      <c r="BG331" s="494"/>
      <c r="BH331" s="494"/>
      <c r="BI331" s="494"/>
      <c r="BJ331" s="494"/>
      <c r="BK331" s="494"/>
      <c r="BL331" s="494"/>
      <c r="BM331" s="494"/>
      <c r="BN331" s="494"/>
      <c r="BO331" s="494"/>
      <c r="BP331" s="494"/>
      <c r="BQ331" s="494"/>
      <c r="BR331" s="494"/>
      <c r="BS331" s="494"/>
    </row>
    <row r="332" spans="1:71" s="202" customFormat="1" ht="13.15">
      <c r="A332" s="453"/>
      <c r="B332" s="453"/>
      <c r="C332" s="453"/>
      <c r="D332" s="453"/>
      <c r="E332" s="632" t="s">
        <v>1362</v>
      </c>
      <c r="F332" s="638">
        <f t="shared" si="103"/>
        <v>0</v>
      </c>
      <c r="G332" s="632" t="s">
        <v>1146</v>
      </c>
      <c r="H332" s="453"/>
      <c r="I332" s="639"/>
      <c r="J332" s="494"/>
      <c r="K332" s="494"/>
      <c r="L332" s="494"/>
      <c r="M332" s="494"/>
      <c r="N332" s="494"/>
      <c r="O332" s="494"/>
      <c r="P332" s="494"/>
      <c r="Q332" s="496"/>
      <c r="R332" s="494"/>
      <c r="S332" s="494"/>
      <c r="T332" s="494"/>
      <c r="U332" s="494"/>
      <c r="V332" s="494"/>
      <c r="W332" s="494"/>
      <c r="X332" s="494"/>
      <c r="Y332" s="494"/>
      <c r="Z332" s="494"/>
      <c r="AA332" s="494"/>
      <c r="AB332" s="494"/>
      <c r="AC332" s="494"/>
      <c r="AD332" s="494"/>
      <c r="AE332" s="494"/>
      <c r="AF332" s="494"/>
      <c r="AG332" s="494"/>
      <c r="AH332" s="494"/>
      <c r="AI332" s="494"/>
      <c r="AJ332" s="494"/>
      <c r="AK332" s="496"/>
      <c r="AL332" s="494"/>
      <c r="AM332" s="494"/>
      <c r="AN332" s="494"/>
      <c r="AO332" s="496"/>
      <c r="AP332" s="494"/>
      <c r="AQ332" s="494"/>
      <c r="AR332" s="494"/>
      <c r="AS332" s="494"/>
      <c r="AT332" s="494"/>
      <c r="AU332" s="494"/>
      <c r="AV332" s="494"/>
      <c r="AW332" s="494"/>
      <c r="AX332" s="494"/>
      <c r="AY332" s="494"/>
      <c r="AZ332" s="494"/>
      <c r="BA332" s="494"/>
      <c r="BB332" s="494"/>
      <c r="BC332" s="496"/>
      <c r="BD332" s="494"/>
      <c r="BE332" s="494"/>
      <c r="BF332" s="494"/>
      <c r="BG332" s="494"/>
      <c r="BH332" s="494"/>
      <c r="BI332" s="494"/>
      <c r="BJ332" s="494"/>
      <c r="BK332" s="494"/>
      <c r="BL332" s="494"/>
      <c r="BM332" s="494"/>
      <c r="BN332" s="494"/>
      <c r="BO332" s="494"/>
      <c r="BP332" s="494"/>
      <c r="BQ332" s="494"/>
      <c r="BR332" s="494"/>
      <c r="BS332" s="494"/>
    </row>
    <row r="333" spans="1:71" s="202" customFormat="1" ht="13.15">
      <c r="A333" s="453"/>
      <c r="B333" s="453"/>
      <c r="C333" s="453"/>
      <c r="D333" s="453"/>
      <c r="E333" s="632" t="s">
        <v>1363</v>
      </c>
      <c r="F333" s="638">
        <f t="shared" si="103"/>
        <v>0</v>
      </c>
      <c r="G333" s="632" t="s">
        <v>1146</v>
      </c>
      <c r="H333" s="453"/>
      <c r="I333" s="639"/>
      <c r="J333" s="494"/>
      <c r="K333" s="494"/>
      <c r="L333" s="494"/>
      <c r="M333" s="494"/>
      <c r="N333" s="494"/>
      <c r="O333" s="494"/>
      <c r="P333" s="494"/>
      <c r="Q333" s="496"/>
      <c r="R333" s="494"/>
      <c r="S333" s="494"/>
      <c r="T333" s="494"/>
      <c r="U333" s="494"/>
      <c r="V333" s="494"/>
      <c r="W333" s="494"/>
      <c r="X333" s="494"/>
      <c r="Y333" s="494"/>
      <c r="Z333" s="494"/>
      <c r="AA333" s="494"/>
      <c r="AB333" s="494"/>
      <c r="AC333" s="494"/>
      <c r="AD333" s="494"/>
      <c r="AE333" s="494"/>
      <c r="AF333" s="494"/>
      <c r="AG333" s="494"/>
      <c r="AH333" s="494"/>
      <c r="AI333" s="494"/>
      <c r="AJ333" s="494"/>
      <c r="AK333" s="496"/>
      <c r="AL333" s="494"/>
      <c r="AM333" s="494"/>
      <c r="AN333" s="494"/>
      <c r="AO333" s="496"/>
      <c r="AP333" s="494"/>
      <c r="AQ333" s="494"/>
      <c r="AR333" s="494"/>
      <c r="AS333" s="494"/>
      <c r="AT333" s="494"/>
      <c r="AU333" s="494"/>
      <c r="AV333" s="494"/>
      <c r="AW333" s="494"/>
      <c r="AX333" s="494"/>
      <c r="AY333" s="494"/>
      <c r="AZ333" s="494"/>
      <c r="BA333" s="494"/>
      <c r="BB333" s="494"/>
      <c r="BC333" s="496"/>
      <c r="BD333" s="494"/>
      <c r="BE333" s="494"/>
      <c r="BF333" s="494"/>
      <c r="BG333" s="494"/>
      <c r="BH333" s="494"/>
      <c r="BI333" s="494"/>
      <c r="BJ333" s="494"/>
      <c r="BK333" s="494"/>
      <c r="BL333" s="494"/>
      <c r="BM333" s="494"/>
      <c r="BN333" s="494"/>
      <c r="BO333" s="494"/>
      <c r="BP333" s="494"/>
      <c r="BQ333" s="494"/>
      <c r="BR333" s="494"/>
      <c r="BS333" s="494"/>
    </row>
    <row r="334" spans="1:71" s="202" customFormat="1" ht="13.15">
      <c r="A334" s="453"/>
      <c r="B334" s="453"/>
      <c r="C334" s="453"/>
      <c r="D334" s="453"/>
      <c r="E334" s="453"/>
      <c r="F334" s="453"/>
      <c r="G334" s="453"/>
      <c r="H334" s="462"/>
      <c r="I334" s="453"/>
      <c r="J334" s="453"/>
      <c r="K334" s="453"/>
      <c r="L334" s="453"/>
      <c r="M334" s="453"/>
      <c r="N334" s="453"/>
      <c r="O334" s="453"/>
      <c r="P334" s="453"/>
      <c r="Q334" s="453"/>
      <c r="R334" s="453"/>
      <c r="S334" s="453"/>
      <c r="T334" s="453"/>
      <c r="U334" s="453"/>
      <c r="V334" s="453"/>
      <c r="W334" s="453"/>
      <c r="X334" s="453"/>
      <c r="Y334" s="453"/>
      <c r="Z334" s="453"/>
      <c r="AA334" s="453"/>
      <c r="AB334" s="453"/>
      <c r="AC334" s="453"/>
      <c r="AD334" s="453"/>
      <c r="AE334" s="453"/>
      <c r="AF334" s="453"/>
      <c r="AG334" s="453"/>
      <c r="AH334" s="453"/>
      <c r="AI334" s="453"/>
      <c r="AJ334" s="453"/>
      <c r="AK334" s="453"/>
      <c r="AL334" s="453"/>
      <c r="AM334" s="453"/>
      <c r="AN334" s="453"/>
      <c r="AO334" s="453"/>
      <c r="AP334" s="453"/>
      <c r="AQ334" s="453"/>
      <c r="AR334" s="453"/>
      <c r="AS334" s="453"/>
      <c r="AT334" s="453"/>
      <c r="AU334" s="453"/>
      <c r="AV334" s="453"/>
      <c r="AW334" s="453"/>
      <c r="AX334" s="453"/>
      <c r="AY334" s="453"/>
      <c r="AZ334" s="453"/>
      <c r="BA334" s="453"/>
      <c r="BB334" s="453"/>
      <c r="BC334" s="453"/>
      <c r="BD334" s="453"/>
      <c r="BE334" s="453"/>
      <c r="BF334" s="453"/>
      <c r="BG334" s="453"/>
      <c r="BH334" s="453"/>
      <c r="BI334" s="453"/>
      <c r="BJ334" s="453"/>
      <c r="BK334" s="453"/>
      <c r="BL334" s="453"/>
      <c r="BM334" s="453"/>
      <c r="BN334" s="453"/>
      <c r="BO334" s="453"/>
      <c r="BP334" s="453"/>
      <c r="BQ334" s="453"/>
      <c r="BR334" s="453"/>
      <c r="BS334" s="453"/>
    </row>
    <row r="335" spans="1:71" s="202" customFormat="1" ht="20.25">
      <c r="A335" s="439" t="s">
        <v>980</v>
      </c>
      <c r="B335" s="185"/>
      <c r="C335" s="186"/>
      <c r="D335" s="187"/>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row>
    <row r="336" spans="1:71" s="202" customFormat="1"/>
    <row r="337" s="202" customFormat="1"/>
    <row r="338" s="202" customFormat="1"/>
    <row r="339" s="202" customFormat="1"/>
    <row r="340" s="202" customFormat="1"/>
    <row r="341" s="202" customFormat="1"/>
    <row r="342" s="202" customFormat="1"/>
    <row r="343" s="202" customFormat="1"/>
    <row r="344" s="202" customFormat="1"/>
    <row r="345" s="202" customFormat="1"/>
    <row r="346" s="202" customFormat="1"/>
    <row r="347" s="202" customFormat="1"/>
    <row r="348" s="202" customFormat="1"/>
    <row r="349" s="202" customFormat="1"/>
    <row r="350" s="202" customFormat="1"/>
    <row r="351" s="202" customFormat="1"/>
    <row r="352" s="202" customFormat="1"/>
    <row r="353" s="202" customFormat="1"/>
    <row r="354" s="202" customFormat="1"/>
    <row r="355" s="202" customFormat="1"/>
    <row r="356" s="202" customFormat="1"/>
    <row r="357" s="202" customFormat="1"/>
    <row r="358" s="202" customFormat="1"/>
    <row r="359" s="202" customFormat="1"/>
    <row r="360" s="202" customFormat="1"/>
    <row r="361" s="202" customFormat="1"/>
    <row r="362" s="202" customFormat="1"/>
    <row r="363" s="202" customFormat="1"/>
    <row r="364" s="202" customFormat="1"/>
    <row r="365" s="202" customFormat="1"/>
    <row r="366" s="202" customFormat="1"/>
    <row r="367" s="202" customFormat="1"/>
    <row r="368" s="202" customFormat="1"/>
    <row r="369" s="202" customFormat="1"/>
    <row r="370" s="202" customFormat="1"/>
    <row r="371" s="202" customFormat="1"/>
    <row r="372" s="202" customFormat="1"/>
    <row r="373" s="202" customFormat="1"/>
    <row r="374" s="202" customFormat="1"/>
    <row r="375" s="202" customFormat="1"/>
    <row r="376" s="202" customFormat="1"/>
    <row r="377" s="202" customFormat="1"/>
    <row r="378" s="202" customFormat="1"/>
    <row r="379" s="202" customFormat="1"/>
    <row r="380" s="202" customFormat="1"/>
    <row r="381" s="202" customFormat="1"/>
    <row r="382" s="202" customFormat="1"/>
    <row r="383" s="202" customFormat="1"/>
    <row r="384" s="202" customFormat="1"/>
    <row r="385" s="202" customFormat="1"/>
    <row r="386" s="202" customFormat="1"/>
    <row r="387" s="202" customFormat="1"/>
    <row r="388" s="202" customFormat="1"/>
    <row r="389" s="202" customFormat="1"/>
    <row r="390" s="202" customFormat="1"/>
    <row r="391" s="202" customFormat="1"/>
    <row r="392" s="202" customFormat="1"/>
    <row r="393" s="202" customFormat="1"/>
    <row r="394" s="202" customFormat="1"/>
    <row r="395" s="202" customFormat="1"/>
    <row r="396" s="202" customFormat="1"/>
    <row r="397" s="202" customFormat="1"/>
    <row r="398" s="202" customFormat="1"/>
    <row r="399" s="202" customFormat="1"/>
    <row r="400" s="202" customFormat="1"/>
    <row r="401" s="202" customFormat="1"/>
    <row r="402" s="202" customFormat="1"/>
    <row r="403" s="202" customFormat="1"/>
    <row r="404" s="202" customFormat="1"/>
    <row r="405" s="202" customFormat="1"/>
    <row r="406" s="202" customFormat="1"/>
    <row r="407" s="202" customFormat="1"/>
    <row r="408" s="202" customFormat="1"/>
    <row r="409" s="202" customFormat="1"/>
    <row r="410" s="202" customFormat="1"/>
    <row r="411" s="202" customFormat="1"/>
    <row r="412" s="202" customFormat="1"/>
    <row r="413" s="202" customFormat="1"/>
    <row r="414" s="202" customFormat="1"/>
    <row r="415" s="202" customFormat="1"/>
    <row r="416" s="202" customFormat="1"/>
    <row r="417" s="202" customFormat="1"/>
    <row r="418" s="202" customFormat="1"/>
    <row r="419" s="202" customFormat="1"/>
    <row r="420" s="202" customFormat="1"/>
    <row r="421" s="202" customFormat="1"/>
    <row r="422" s="202" customFormat="1"/>
    <row r="423" s="202" customFormat="1"/>
    <row r="424" s="202" customFormat="1"/>
    <row r="425" s="202" customFormat="1"/>
    <row r="426" s="202" customFormat="1"/>
    <row r="427" s="202" customFormat="1"/>
    <row r="428" s="202" customFormat="1"/>
    <row r="429" s="202" customFormat="1"/>
    <row r="430" s="202" customFormat="1"/>
    <row r="431" s="202" customFormat="1"/>
    <row r="432" s="202" customFormat="1"/>
    <row r="433" s="202" customFormat="1"/>
    <row r="434" s="202" customFormat="1"/>
    <row r="435" s="202" customFormat="1"/>
  </sheetData>
  <conditionalFormatting sqref="H201:H241 F242:F266 H267:H268 F269:F293 H294:H297 F298:F333">
    <cfRule type="cellIs" dxfId="191" priority="69" operator="equal">
      <formula>0</formula>
    </cfRule>
  </conditionalFormatting>
  <conditionalFormatting sqref="H201:BS235">
    <cfRule type="cellIs" dxfId="190" priority="12" operator="equal">
      <formula>0</formula>
    </cfRule>
  </conditionalFormatting>
  <conditionalFormatting sqref="H335:BS335">
    <cfRule type="cellIs" dxfId="189" priority="67" operator="equal">
      <formula>0</formula>
    </cfRule>
  </conditionalFormatting>
  <conditionalFormatting sqref="J174:K174 L174:L175 K175 F242:F266 H267:H268 F269:F293 H294:H297 F298:F333">
    <cfRule type="cellIs" dxfId="188" priority="71" operator="equal">
      <formula>0</formula>
    </cfRule>
  </conditionalFormatting>
  <conditionalFormatting sqref="J171:L173">
    <cfRule type="cellIs" dxfId="187" priority="48" operator="equal">
      <formula>0</formula>
    </cfRule>
  </conditionalFormatting>
  <conditionalFormatting sqref="J175:L179">
    <cfRule type="cellIs" dxfId="186" priority="42" operator="equal">
      <formula>0</formula>
    </cfRule>
  </conditionalFormatting>
  <conditionalFormatting sqref="J45:BS46">
    <cfRule type="cellIs" dxfId="184" priority="5" operator="equal">
      <formula>0</formula>
    </cfRule>
  </conditionalFormatting>
  <conditionalFormatting sqref="J63:BS63">
    <cfRule type="cellIs" dxfId="182" priority="6" operator="equal">
      <formula>0</formula>
    </cfRule>
  </conditionalFormatting>
  <conditionalFormatting sqref="J110:BS110">
    <cfRule type="cellIs" dxfId="181" priority="7" operator="equal">
      <formula>0</formula>
    </cfRule>
  </conditionalFormatting>
  <conditionalFormatting sqref="J131:BS131">
    <cfRule type="cellIs" dxfId="180" priority="8" operator="equal">
      <formula>0</formula>
    </cfRule>
  </conditionalFormatting>
  <conditionalFormatting sqref="J140:BS140">
    <cfRule type="cellIs" dxfId="179" priority="9" operator="equal">
      <formula>0</formula>
    </cfRule>
  </conditionalFormatting>
  <conditionalFormatting sqref="J143:BS143">
    <cfRule type="cellIs" dxfId="178" priority="10" operator="equal">
      <formula>0</formula>
    </cfRule>
  </conditionalFormatting>
  <conditionalFormatting sqref="J183:BS183">
    <cfRule type="cellIs" dxfId="177" priority="14" operator="equal">
      <formula>0</formula>
    </cfRule>
  </conditionalFormatting>
  <conditionalFormatting sqref="J185:BS186">
    <cfRule type="cellIs" dxfId="176" priority="11" operator="equal">
      <formula>0</formula>
    </cfRule>
  </conditionalFormatting>
  <conditionalFormatting sqref="M171:BS179">
    <cfRule type="cellIs" dxfId="17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3" id="{E9F412E9-6FCA-46EB-A8EE-AF7C2429AC04}">
            <xm:f>J$9=Validation!$F$6</xm:f>
            <x14:dxf>
              <numFmt numFmtId="169"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15" id="{A5A121E6-EE62-4650-B2C9-348C67165E01}">
            <xm:f>J$9=Validation!$F$6</xm:f>
            <x14:dxf>
              <numFmt numFmtId="169" formatCode="[$-F400]h:mm:ss\ AM/PM"/>
            </x14:dxf>
          </x14:cfRule>
          <xm:sqref>J60:BS61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0F793-EB1E-48BB-8F48-2487C97E3B66}">
  <sheetPr>
    <tabColor theme="5"/>
    <pageSetUpPr fitToPage="1"/>
  </sheetPr>
  <dimension ref="A1:Q245"/>
  <sheetViews>
    <sheetView showGridLines="0" zoomScale="80" zoomScaleNormal="80" zoomScaleSheetLayoutView="80" workbookViewId="0"/>
  </sheetViews>
  <sheetFormatPr defaultColWidth="8.625" defaultRowHeight="12.75"/>
  <cols>
    <col min="1" max="4" width="1.625" style="207" customWidth="1"/>
    <col min="5" max="5" width="76.875" style="207" customWidth="1"/>
    <col min="6" max="8" width="15.625" style="207" customWidth="1"/>
    <col min="9" max="9" width="2.625" style="207" customWidth="1"/>
    <col min="10" max="12" width="18.625" style="207" customWidth="1"/>
    <col min="13" max="13" width="8.625" style="207" customWidth="1"/>
    <col min="14" max="16384" width="8.625" style="207"/>
  </cols>
  <sheetData>
    <row r="1" spans="1:17" s="232" customFormat="1" ht="44.25">
      <c r="A1" s="685" t="str">
        <f ca="1" xml:space="preserve"> RIGHT(CELL("filename", $A$1), LEN(CELL("filename", $A$1)) - SEARCH("]", CELL("filename", $A$1)))</f>
        <v>Sharing mechanism</v>
      </c>
      <c r="B1" s="640"/>
      <c r="C1" s="231"/>
      <c r="D1" s="231"/>
      <c r="E1" s="231"/>
      <c r="F1" s="231"/>
      <c r="G1" s="231"/>
      <c r="H1" s="231"/>
      <c r="I1" s="231"/>
      <c r="J1" s="231"/>
      <c r="K1" s="231"/>
      <c r="L1" s="641" t="str">
        <f>InpCompany!F5</f>
        <v>Southern Water</v>
      </c>
    </row>
    <row r="2" spans="1:17" s="202" customFormat="1" ht="13.15">
      <c r="A2" s="453"/>
      <c r="B2" s="453"/>
      <c r="C2" s="453"/>
      <c r="D2" s="453"/>
      <c r="E2" s="453"/>
      <c r="F2" s="462" t="s">
        <v>1130</v>
      </c>
      <c r="G2" s="462" t="s">
        <v>114</v>
      </c>
      <c r="H2" s="462" t="s">
        <v>1131</v>
      </c>
      <c r="I2" s="463"/>
      <c r="J2" s="453"/>
      <c r="K2" s="453"/>
      <c r="L2" s="453"/>
    </row>
    <row r="3" spans="1:17" s="206" customFormat="1" ht="13.15">
      <c r="A3" s="642" t="s">
        <v>1148</v>
      </c>
      <c r="B3" s="643"/>
      <c r="C3" s="643"/>
      <c r="D3" s="644"/>
      <c r="E3" s="645"/>
      <c r="F3" s="645"/>
      <c r="G3" s="645"/>
      <c r="H3" s="646"/>
      <c r="I3" s="645"/>
      <c r="J3" s="645"/>
      <c r="K3" s="645"/>
      <c r="L3" s="645"/>
    </row>
    <row r="4" spans="1:17" s="202" customFormat="1" ht="13.15">
      <c r="A4" s="453"/>
      <c r="B4" s="453"/>
      <c r="C4" s="453"/>
      <c r="D4" s="453"/>
      <c r="E4" s="453"/>
      <c r="F4" s="453"/>
      <c r="G4" s="494"/>
      <c r="H4" s="453"/>
      <c r="I4" s="453"/>
      <c r="J4" s="647" t="s">
        <v>1364</v>
      </c>
      <c r="K4" s="647" t="s">
        <v>1365</v>
      </c>
      <c r="L4" s="647" t="s">
        <v>1366</v>
      </c>
      <c r="O4" s="216"/>
      <c r="Q4" s="216"/>
    </row>
    <row r="5" spans="1:17" s="233" customFormat="1" ht="13.15">
      <c r="A5" s="648"/>
      <c r="B5" s="649"/>
      <c r="C5" s="650" t="s">
        <v>1367</v>
      </c>
      <c r="D5" s="651"/>
      <c r="E5" s="649"/>
      <c r="F5" s="649"/>
      <c r="G5" s="652"/>
      <c r="H5" s="649"/>
      <c r="I5" s="649"/>
      <c r="J5" s="649"/>
      <c r="K5" s="649"/>
      <c r="L5" s="649"/>
    </row>
    <row r="6" spans="1:17" ht="13.15">
      <c r="A6" s="455"/>
      <c r="B6" s="455"/>
      <c r="C6" s="455"/>
      <c r="D6" s="455"/>
      <c r="E6" s="455"/>
      <c r="F6" s="455"/>
      <c r="G6" s="471"/>
      <c r="H6" s="455"/>
      <c r="I6" s="455"/>
      <c r="J6" s="653"/>
      <c r="K6" s="653"/>
      <c r="L6" s="653"/>
      <c r="M6" s="234"/>
      <c r="O6" s="211"/>
      <c r="Q6" s="211"/>
    </row>
    <row r="7" spans="1:17" ht="13.15">
      <c r="A7" s="455"/>
      <c r="B7" s="455"/>
      <c r="C7" s="455"/>
      <c r="D7" s="460" t="s">
        <v>1282</v>
      </c>
      <c r="E7" s="455"/>
      <c r="F7" s="455"/>
      <c r="G7" s="471"/>
      <c r="H7" s="455"/>
      <c r="I7" s="455"/>
      <c r="J7" s="455"/>
      <c r="K7" s="455"/>
      <c r="L7" s="455"/>
      <c r="O7" s="211"/>
      <c r="Q7" s="211"/>
    </row>
    <row r="8" spans="1:17" s="235" customFormat="1" ht="13.15">
      <c r="A8" s="654"/>
      <c r="B8" s="654"/>
      <c r="C8" s="654"/>
      <c r="D8" s="654"/>
      <c r="E8" s="655" t="str">
        <f>Performance!E242</f>
        <v>Outperformance payments earned this reporting year - Water resources</v>
      </c>
      <c r="F8" s="588">
        <f>Performance!F242</f>
        <v>0.51100000000000001</v>
      </c>
      <c r="G8" s="655" t="str">
        <f>Performance!G242</f>
        <v>£m (2017-18 prices)</v>
      </c>
      <c r="H8" s="588"/>
      <c r="I8" s="654"/>
      <c r="J8" s="654"/>
      <c r="K8" s="654"/>
      <c r="L8" s="654"/>
      <c r="O8" s="236"/>
      <c r="Q8" s="236"/>
    </row>
    <row r="9" spans="1:17" s="235" customFormat="1" ht="13.15">
      <c r="A9" s="654"/>
      <c r="B9" s="654"/>
      <c r="C9" s="654"/>
      <c r="D9" s="654"/>
      <c r="E9" s="655" t="str">
        <f>Performance!E243</f>
        <v>Outperformance payments earned this reporting year - Water network plus</v>
      </c>
      <c r="F9" s="588">
        <f>Performance!F243</f>
        <v>0</v>
      </c>
      <c r="G9" s="655" t="str">
        <f>Performance!G243</f>
        <v>£m (2017-18 prices)</v>
      </c>
      <c r="H9" s="588"/>
      <c r="I9" s="654"/>
      <c r="J9" s="654"/>
      <c r="K9" s="654"/>
      <c r="L9" s="654"/>
      <c r="O9" s="236"/>
      <c r="Q9" s="236"/>
    </row>
    <row r="10" spans="1:17" s="235" customFormat="1" ht="13.15">
      <c r="A10" s="654"/>
      <c r="B10" s="654"/>
      <c r="C10" s="654"/>
      <c r="D10" s="654"/>
      <c r="E10" s="655" t="str">
        <f>Performance!E244</f>
        <v>Outperformance payments earned this reporting year - Wastewater network plus</v>
      </c>
      <c r="F10" s="588">
        <f>Performance!F244</f>
        <v>1.70299991</v>
      </c>
      <c r="G10" s="655" t="str">
        <f>Performance!G244</f>
        <v>£m (2017-18 prices)</v>
      </c>
      <c r="H10" s="588"/>
      <c r="I10" s="654"/>
      <c r="J10" s="654"/>
      <c r="K10" s="654"/>
      <c r="L10" s="654"/>
      <c r="O10" s="236"/>
      <c r="Q10" s="236"/>
    </row>
    <row r="11" spans="1:17" s="235" customFormat="1" ht="13.15">
      <c r="A11" s="654"/>
      <c r="B11" s="654"/>
      <c r="C11" s="654"/>
      <c r="D11" s="654"/>
      <c r="E11" s="655" t="str">
        <f>Performance!E245</f>
        <v>Outperformance payments earned this reporting year - Bioresources (sludge)</v>
      </c>
      <c r="F11" s="588">
        <f>Performance!F245</f>
        <v>0</v>
      </c>
      <c r="G11" s="655" t="str">
        <f>Performance!G245</f>
        <v>£m (2017-18 prices)</v>
      </c>
      <c r="H11" s="588"/>
      <c r="I11" s="654"/>
      <c r="J11" s="654"/>
      <c r="K11" s="654"/>
      <c r="L11" s="654"/>
      <c r="O11" s="236"/>
      <c r="Q11" s="236"/>
    </row>
    <row r="12" spans="1:17" s="235" customFormat="1" ht="13.15">
      <c r="A12" s="654"/>
      <c r="B12" s="654"/>
      <c r="C12" s="654"/>
      <c r="D12" s="654"/>
      <c r="E12" s="655" t="str">
        <f>Performance!E246</f>
        <v>Outperformance payments earned this reporting year - Residential retail</v>
      </c>
      <c r="F12" s="588">
        <f>Performance!F246</f>
        <v>0</v>
      </c>
      <c r="G12" s="655" t="str">
        <f>Performance!G246</f>
        <v>£m (2017-18 prices)</v>
      </c>
      <c r="H12" s="588"/>
      <c r="I12" s="654"/>
      <c r="J12" s="654"/>
      <c r="K12" s="654"/>
      <c r="L12" s="654"/>
      <c r="O12" s="236"/>
      <c r="Q12" s="236"/>
    </row>
    <row r="13" spans="1:17" s="235" customFormat="1" ht="13.15">
      <c r="A13" s="654"/>
      <c r="B13" s="654"/>
      <c r="C13" s="654"/>
      <c r="D13" s="654"/>
      <c r="E13" s="655" t="str">
        <f>Performance!E247</f>
        <v>Outperformance payments earned this reporting year - Business retail</v>
      </c>
      <c r="F13" s="588">
        <f>Performance!F247</f>
        <v>0</v>
      </c>
      <c r="G13" s="655" t="str">
        <f>Performance!G247</f>
        <v>£m (2017-18 prices)</v>
      </c>
      <c r="H13" s="588"/>
      <c r="I13" s="654"/>
      <c r="J13" s="654"/>
      <c r="K13" s="654"/>
      <c r="L13" s="654"/>
      <c r="O13" s="236"/>
      <c r="Q13" s="236"/>
    </row>
    <row r="14" spans="1:17" s="235" customFormat="1" ht="13.15">
      <c r="A14" s="654"/>
      <c r="B14" s="654"/>
      <c r="C14" s="654"/>
      <c r="D14" s="654"/>
      <c r="E14" s="655" t="str">
        <f>Performance!E248</f>
        <v>Outperformance payments earned this reporting year - Dummy control</v>
      </c>
      <c r="F14" s="588">
        <f>Performance!F248</f>
        <v>0</v>
      </c>
      <c r="G14" s="655" t="str">
        <f>Performance!G248</f>
        <v>£m (2017-18 prices)</v>
      </c>
      <c r="H14" s="588"/>
      <c r="I14" s="654"/>
      <c r="J14" s="654"/>
      <c r="K14" s="654"/>
      <c r="L14" s="654"/>
      <c r="O14" s="236"/>
      <c r="Q14" s="236"/>
    </row>
    <row r="15" spans="1:17" ht="13.15">
      <c r="A15" s="455"/>
      <c r="B15" s="455"/>
      <c r="C15" s="455"/>
      <c r="D15" s="455"/>
      <c r="E15" s="455"/>
      <c r="F15" s="455"/>
      <c r="G15" s="471"/>
      <c r="H15" s="455"/>
      <c r="I15" s="455"/>
      <c r="J15" s="455"/>
      <c r="K15" s="455"/>
      <c r="L15" s="455"/>
      <c r="O15" s="211"/>
      <c r="Q15" s="211"/>
    </row>
    <row r="16" spans="1:17" ht="13.15">
      <c r="A16" s="455"/>
      <c r="B16" s="455"/>
      <c r="C16" s="455"/>
      <c r="D16" s="460" t="s">
        <v>1368</v>
      </c>
      <c r="E16" s="455"/>
      <c r="F16" s="455"/>
      <c r="G16" s="471"/>
      <c r="H16" s="455"/>
      <c r="I16" s="455"/>
      <c r="J16" s="460"/>
      <c r="K16" s="460"/>
      <c r="L16" s="460"/>
      <c r="M16" s="211"/>
      <c r="O16" s="211"/>
      <c r="Q16" s="211"/>
    </row>
    <row r="17" spans="1:17" ht="13.15">
      <c r="A17" s="455"/>
      <c r="B17" s="455"/>
      <c r="C17" s="455"/>
      <c r="D17" s="455"/>
      <c r="E17" s="453" t="s">
        <v>1369</v>
      </c>
      <c r="F17" s="455"/>
      <c r="G17" s="471" t="str">
        <f>InpCompany!$F$11</f>
        <v>£m (2017-18 prices)</v>
      </c>
      <c r="H17" s="455"/>
      <c r="I17" s="455"/>
      <c r="J17" s="490">
        <f>F8</f>
        <v>0.51100000000000001</v>
      </c>
      <c r="K17" s="455"/>
      <c r="L17" s="455"/>
      <c r="O17" s="211"/>
      <c r="Q17" s="211"/>
    </row>
    <row r="18" spans="1:17" ht="13.15">
      <c r="A18" s="455"/>
      <c r="B18" s="455"/>
      <c r="C18" s="455"/>
      <c r="D18" s="455"/>
      <c r="E18" s="453" t="s">
        <v>1370</v>
      </c>
      <c r="F18" s="455"/>
      <c r="G18" s="471" t="str">
        <f>InpCompany!$F$11</f>
        <v>£m (2017-18 prices)</v>
      </c>
      <c r="H18" s="455"/>
      <c r="I18" s="455"/>
      <c r="J18" s="490">
        <f>F9</f>
        <v>0</v>
      </c>
      <c r="K18" s="455"/>
      <c r="L18" s="455"/>
      <c r="O18" s="211"/>
      <c r="Q18" s="211"/>
    </row>
    <row r="19" spans="1:17" ht="13.15">
      <c r="A19" s="455"/>
      <c r="B19" s="455"/>
      <c r="C19" s="455"/>
      <c r="D19" s="455"/>
      <c r="E19" s="453" t="s">
        <v>1371</v>
      </c>
      <c r="F19" s="455"/>
      <c r="G19" s="471" t="str">
        <f>InpCompany!$F$11</f>
        <v>£m (2017-18 prices)</v>
      </c>
      <c r="H19" s="455"/>
      <c r="I19" s="455"/>
      <c r="J19" s="653"/>
      <c r="K19" s="490">
        <f>F10</f>
        <v>1.70299991</v>
      </c>
      <c r="L19" s="455"/>
      <c r="O19" s="211"/>
      <c r="Q19" s="211"/>
    </row>
    <row r="20" spans="1:17" ht="13.15">
      <c r="A20" s="455"/>
      <c r="B20" s="455"/>
      <c r="C20" s="455"/>
      <c r="D20" s="455"/>
      <c r="E20" s="453" t="s">
        <v>1372</v>
      </c>
      <c r="F20" s="455"/>
      <c r="G20" s="471" t="str">
        <f>InpCompany!$F$11</f>
        <v>£m (2017-18 prices)</v>
      </c>
      <c r="H20" s="455"/>
      <c r="I20" s="455"/>
      <c r="J20" s="653"/>
      <c r="K20" s="490">
        <f>F11</f>
        <v>0</v>
      </c>
      <c r="L20" s="455"/>
      <c r="O20" s="211"/>
      <c r="Q20" s="211"/>
    </row>
    <row r="21" spans="1:17" ht="13.15">
      <c r="A21" s="455"/>
      <c r="B21" s="455"/>
      <c r="C21" s="455"/>
      <c r="D21" s="455"/>
      <c r="E21" s="453" t="s">
        <v>1373</v>
      </c>
      <c r="F21" s="455"/>
      <c r="G21" s="471" t="str">
        <f>InpCompany!$F$11</f>
        <v>£m (2017-18 prices)</v>
      </c>
      <c r="H21" s="455"/>
      <c r="I21" s="455"/>
      <c r="J21" s="653"/>
      <c r="K21" s="455"/>
      <c r="L21" s="490">
        <f>F12</f>
        <v>0</v>
      </c>
      <c r="O21" s="211"/>
      <c r="Q21" s="211"/>
    </row>
    <row r="22" spans="1:17" ht="13.15">
      <c r="A22" s="455"/>
      <c r="B22" s="455"/>
      <c r="C22" s="455"/>
      <c r="D22" s="455"/>
      <c r="E22" s="453" t="s">
        <v>1374</v>
      </c>
      <c r="F22" s="455"/>
      <c r="G22" s="471" t="str">
        <f>InpCompany!$F$11</f>
        <v>£m (2017-18 prices)</v>
      </c>
      <c r="H22" s="455"/>
      <c r="I22" s="455"/>
      <c r="J22" s="653"/>
      <c r="K22" s="455"/>
      <c r="L22" s="490">
        <f>F13</f>
        <v>0</v>
      </c>
      <c r="O22" s="211"/>
      <c r="Q22" s="211"/>
    </row>
    <row r="23" spans="1:17" ht="13.15">
      <c r="A23" s="455"/>
      <c r="B23" s="455"/>
      <c r="C23" s="455"/>
      <c r="D23" s="455"/>
      <c r="E23" s="453" t="s">
        <v>1375</v>
      </c>
      <c r="F23" s="455"/>
      <c r="G23" s="471" t="str">
        <f>InpCompany!$F$11</f>
        <v>£m (2017-18 prices)</v>
      </c>
      <c r="H23" s="455"/>
      <c r="I23" s="455"/>
      <c r="J23" s="653"/>
      <c r="K23" s="455"/>
      <c r="L23" s="490">
        <f>F14</f>
        <v>0</v>
      </c>
      <c r="O23" s="211"/>
      <c r="Q23" s="211"/>
    </row>
    <row r="24" spans="1:17" ht="13.15">
      <c r="A24" s="455"/>
      <c r="B24" s="455"/>
      <c r="C24" s="455"/>
      <c r="D24" s="455"/>
      <c r="E24" s="455"/>
      <c r="F24" s="455"/>
      <c r="G24" s="471"/>
      <c r="H24" s="455"/>
      <c r="I24" s="455"/>
      <c r="J24" s="455"/>
      <c r="K24" s="455"/>
      <c r="L24" s="455"/>
      <c r="O24" s="211"/>
      <c r="Q24" s="211"/>
    </row>
    <row r="25" spans="1:17" ht="13.15">
      <c r="A25" s="455"/>
      <c r="B25" s="455"/>
      <c r="C25" s="455"/>
      <c r="D25" s="455"/>
      <c r="E25" s="455" t="s">
        <v>1376</v>
      </c>
      <c r="F25" s="455"/>
      <c r="G25" s="471" t="str">
        <f>InpCompany!$F$11</f>
        <v>£m (2017-18 prices)</v>
      </c>
      <c r="H25" s="455"/>
      <c r="I25" s="455"/>
      <c r="J25" s="490">
        <f>SUM(J17:J23)</f>
        <v>0.51100000000000001</v>
      </c>
      <c r="K25" s="490">
        <f>SUM(K17:K23)</f>
        <v>1.70299991</v>
      </c>
      <c r="L25" s="490">
        <f>SUM(L17:L23)</f>
        <v>0</v>
      </c>
      <c r="O25" s="211"/>
      <c r="Q25" s="211"/>
    </row>
    <row r="26" spans="1:17" ht="13.15">
      <c r="A26" s="455"/>
      <c r="B26" s="455"/>
      <c r="C26" s="455"/>
      <c r="D26" s="455"/>
      <c r="E26" s="455"/>
      <c r="F26" s="455"/>
      <c r="G26" s="471"/>
      <c r="H26" s="455"/>
      <c r="I26" s="455"/>
      <c r="J26" s="455"/>
      <c r="K26" s="653"/>
      <c r="L26" s="455"/>
      <c r="O26" s="211"/>
      <c r="Q26" s="211"/>
    </row>
    <row r="27" spans="1:17" ht="13.15">
      <c r="A27" s="455"/>
      <c r="B27" s="455"/>
      <c r="C27" s="455"/>
      <c r="D27" s="460" t="s">
        <v>1377</v>
      </c>
      <c r="E27" s="455"/>
      <c r="F27" s="455"/>
      <c r="G27" s="471"/>
      <c r="H27" s="455"/>
      <c r="I27" s="455"/>
      <c r="J27" s="455"/>
      <c r="K27" s="653"/>
      <c r="L27" s="455"/>
      <c r="O27" s="211"/>
      <c r="Q27" s="211"/>
    </row>
    <row r="28" spans="1:17" ht="13.15">
      <c r="A28" s="455"/>
      <c r="B28" s="455"/>
      <c r="C28" s="455"/>
      <c r="D28" s="455"/>
      <c r="E28" s="654" t="s">
        <v>1378</v>
      </c>
      <c r="F28" s="654"/>
      <c r="G28" s="656" t="s">
        <v>1379</v>
      </c>
      <c r="H28" s="654"/>
      <c r="I28" s="654"/>
      <c r="J28" s="655">
        <f>InpCompany!$F$17</f>
        <v>1313.0260000000001</v>
      </c>
      <c r="K28" s="655">
        <f>InpCompany!$F$21</f>
        <v>4038.5769999999998</v>
      </c>
      <c r="L28" s="653"/>
      <c r="M28" s="234"/>
      <c r="O28" s="211"/>
      <c r="Q28" s="211"/>
    </row>
    <row r="29" spans="1:17" ht="13.15">
      <c r="A29" s="455"/>
      <c r="B29" s="455"/>
      <c r="C29" s="455"/>
      <c r="D29" s="455"/>
      <c r="E29" s="654" t="str">
        <f>InpCompany!E24</f>
        <v>Regulatory equity (notional)</v>
      </c>
      <c r="F29" s="654"/>
      <c r="G29" s="656" t="str">
        <f>InpCompany!$G$24</f>
        <v>Percentage</v>
      </c>
      <c r="H29" s="654"/>
      <c r="I29" s="654"/>
      <c r="J29" s="657">
        <f>InpCompany!$F$24</f>
        <v>0.4</v>
      </c>
      <c r="K29" s="657">
        <f>InpCompany!$F$24</f>
        <v>0.4</v>
      </c>
      <c r="L29" s="658"/>
      <c r="O29" s="211"/>
      <c r="Q29" s="211"/>
    </row>
    <row r="30" spans="1:17" ht="13.15">
      <c r="A30" s="455"/>
      <c r="B30" s="455"/>
      <c r="C30" s="455"/>
      <c r="D30" s="455"/>
      <c r="E30" s="654" t="s">
        <v>1380</v>
      </c>
      <c r="F30" s="654"/>
      <c r="G30" s="656" t="str">
        <f>InpCompany!$G$30</f>
        <v>Percentage</v>
      </c>
      <c r="H30" s="654"/>
      <c r="I30" s="654"/>
      <c r="J30" s="659">
        <f>InpCompany!$F$30</f>
        <v>0.03</v>
      </c>
      <c r="K30" s="659">
        <f>InpCompany!$F$30</f>
        <v>0.03</v>
      </c>
      <c r="L30" s="660"/>
      <c r="O30" s="211"/>
      <c r="Q30" s="211"/>
    </row>
    <row r="31" spans="1:17" ht="13.15">
      <c r="A31" s="455"/>
      <c r="B31" s="455"/>
      <c r="C31" s="455"/>
      <c r="D31" s="455"/>
      <c r="E31" s="455" t="s">
        <v>1381</v>
      </c>
      <c r="F31" s="455"/>
      <c r="G31" s="471" t="str">
        <f>InpCompany!$F$11</f>
        <v>£m (2017-18 prices)</v>
      </c>
      <c r="H31" s="455"/>
      <c r="I31" s="455"/>
      <c r="J31" s="653">
        <f>J28*J29*J30</f>
        <v>15.756312000000001</v>
      </c>
      <c r="K31" s="653">
        <f>K28*K29*K30</f>
        <v>48.462924000000001</v>
      </c>
      <c r="L31" s="653"/>
      <c r="O31" s="211"/>
      <c r="Q31" s="211"/>
    </row>
    <row r="32" spans="1:17" ht="13.15">
      <c r="A32" s="455"/>
      <c r="B32" s="455"/>
      <c r="C32" s="455"/>
      <c r="D32" s="455"/>
      <c r="E32" s="455" t="s">
        <v>1382</v>
      </c>
      <c r="F32" s="455"/>
      <c r="G32" s="471" t="s">
        <v>1383</v>
      </c>
      <c r="H32" s="455"/>
      <c r="I32" s="455"/>
      <c r="J32" s="471" t="b">
        <f>IF(J25&gt;J31,TRUE,FALSE)</f>
        <v>0</v>
      </c>
      <c r="K32" s="471" t="b">
        <f>IF(K25&gt;K31,TRUE,FALSE)</f>
        <v>0</v>
      </c>
      <c r="L32" s="455"/>
      <c r="O32" s="211"/>
      <c r="Q32" s="211"/>
    </row>
    <row r="33" spans="1:17" ht="13.15">
      <c r="A33" s="455"/>
      <c r="B33" s="455"/>
      <c r="C33" s="455"/>
      <c r="D33" s="455"/>
      <c r="E33" s="654" t="s">
        <v>1149</v>
      </c>
      <c r="F33" s="654"/>
      <c r="G33" s="656" t="str">
        <f>InpCompany!$G$29</f>
        <v>Percentage</v>
      </c>
      <c r="H33" s="654"/>
      <c r="I33" s="654"/>
      <c r="J33" s="661">
        <f>InpCompany!$F$29</f>
        <v>0.5</v>
      </c>
      <c r="K33" s="661">
        <f>InpCompany!$F$29</f>
        <v>0.5</v>
      </c>
      <c r="L33" s="662"/>
      <c r="O33" s="211"/>
      <c r="Q33" s="211"/>
    </row>
    <row r="34" spans="1:17" ht="13.15">
      <c r="A34" s="455"/>
      <c r="B34" s="455"/>
      <c r="C34" s="455"/>
      <c r="D34" s="455"/>
      <c r="E34" s="455" t="s">
        <v>1384</v>
      </c>
      <c r="F34" s="455"/>
      <c r="G34" s="471" t="str">
        <f>InpCompany!$F$11</f>
        <v>£m (2017-18 prices)</v>
      </c>
      <c r="H34" s="455"/>
      <c r="I34" s="455"/>
      <c r="J34" s="490">
        <f>IF(J32,(J25-J31)*J33,0)</f>
        <v>0</v>
      </c>
      <c r="K34" s="490">
        <f>IF(K32,(K25-K31)*K33,0)</f>
        <v>0</v>
      </c>
      <c r="L34" s="653"/>
      <c r="O34" s="211"/>
      <c r="Q34" s="211"/>
    </row>
    <row r="35" spans="1:17" ht="13.15">
      <c r="A35" s="455"/>
      <c r="B35" s="455"/>
      <c r="C35" s="455"/>
      <c r="D35" s="455"/>
      <c r="E35" s="455"/>
      <c r="F35" s="455"/>
      <c r="G35" s="471"/>
      <c r="H35" s="455"/>
      <c r="I35" s="455"/>
      <c r="J35" s="455"/>
      <c r="K35" s="455"/>
      <c r="L35" s="455"/>
      <c r="O35" s="211"/>
      <c r="Q35" s="211"/>
    </row>
    <row r="36" spans="1:17" ht="13.15">
      <c r="A36" s="455"/>
      <c r="B36" s="455"/>
      <c r="C36" s="663" t="s">
        <v>1385</v>
      </c>
      <c r="D36" s="455"/>
      <c r="E36" s="455"/>
      <c r="F36" s="455"/>
      <c r="G36" s="471"/>
      <c r="H36" s="455"/>
      <c r="I36" s="455"/>
      <c r="J36" s="455"/>
      <c r="K36" s="455"/>
      <c r="L36" s="455"/>
      <c r="O36" s="234"/>
      <c r="Q36" s="234"/>
    </row>
    <row r="37" spans="1:17" ht="13.15">
      <c r="A37" s="455"/>
      <c r="B37" s="455"/>
      <c r="C37" s="455"/>
      <c r="D37" s="455"/>
      <c r="E37" s="455"/>
      <c r="F37" s="455"/>
      <c r="G37" s="471"/>
      <c r="H37" s="455"/>
      <c r="I37" s="455"/>
      <c r="J37" s="455"/>
      <c r="K37" s="455"/>
      <c r="L37" s="455"/>
      <c r="O37" s="234"/>
      <c r="Q37" s="234"/>
    </row>
    <row r="38" spans="1:17" ht="13.15">
      <c r="A38" s="455"/>
      <c r="B38" s="455"/>
      <c r="C38" s="455"/>
      <c r="D38" s="460" t="s">
        <v>1386</v>
      </c>
      <c r="E38" s="455"/>
      <c r="F38" s="455"/>
      <c r="G38" s="471"/>
      <c r="H38" s="455"/>
      <c r="I38" s="455"/>
      <c r="J38" s="653"/>
      <c r="K38" s="653"/>
      <c r="L38" s="653"/>
      <c r="O38" s="234"/>
      <c r="Q38" s="234"/>
    </row>
    <row r="39" spans="1:17" ht="13.15">
      <c r="A39" s="455"/>
      <c r="B39" s="455"/>
      <c r="C39" s="455"/>
      <c r="D39" s="455"/>
      <c r="E39" s="453" t="s">
        <v>1387</v>
      </c>
      <c r="F39" s="455"/>
      <c r="G39" s="471" t="str">
        <f>InpCompany!$F$11</f>
        <v>£m (2017-18 prices)</v>
      </c>
      <c r="H39" s="455"/>
      <c r="I39" s="455"/>
      <c r="J39" s="578">
        <f>IFERROR(J17/J$25,0)</f>
        <v>1</v>
      </c>
      <c r="K39" s="578">
        <f t="shared" ref="J39:L45" si="0">IFERROR(K17/K$25,0)</f>
        <v>0</v>
      </c>
      <c r="L39" s="578">
        <f>IFERROR(L17/L$25,0)</f>
        <v>0</v>
      </c>
      <c r="O39" s="234"/>
      <c r="Q39" s="234"/>
    </row>
    <row r="40" spans="1:17" ht="13.15">
      <c r="A40" s="455"/>
      <c r="B40" s="455"/>
      <c r="C40" s="455"/>
      <c r="D40" s="455"/>
      <c r="E40" s="453" t="s">
        <v>1388</v>
      </c>
      <c r="F40" s="455"/>
      <c r="G40" s="471" t="str">
        <f>InpCompany!$F$11</f>
        <v>£m (2017-18 prices)</v>
      </c>
      <c r="H40" s="455"/>
      <c r="I40" s="455"/>
      <c r="J40" s="578">
        <f t="shared" si="0"/>
        <v>0</v>
      </c>
      <c r="K40" s="578">
        <f t="shared" si="0"/>
        <v>0</v>
      </c>
      <c r="L40" s="578">
        <f t="shared" si="0"/>
        <v>0</v>
      </c>
      <c r="O40" s="234"/>
      <c r="Q40" s="234"/>
    </row>
    <row r="41" spans="1:17" ht="13.15">
      <c r="A41" s="455"/>
      <c r="B41" s="455"/>
      <c r="C41" s="455"/>
      <c r="D41" s="455"/>
      <c r="E41" s="453" t="s">
        <v>1389</v>
      </c>
      <c r="F41" s="455"/>
      <c r="G41" s="471" t="str">
        <f>InpCompany!$F$11</f>
        <v>£m (2017-18 prices)</v>
      </c>
      <c r="H41" s="455"/>
      <c r="I41" s="455"/>
      <c r="J41" s="578">
        <f t="shared" si="0"/>
        <v>0</v>
      </c>
      <c r="K41" s="578">
        <f t="shared" si="0"/>
        <v>1</v>
      </c>
      <c r="L41" s="578">
        <f t="shared" si="0"/>
        <v>0</v>
      </c>
      <c r="O41" s="234"/>
      <c r="Q41" s="234"/>
    </row>
    <row r="42" spans="1:17" ht="13.15">
      <c r="A42" s="455"/>
      <c r="B42" s="455"/>
      <c r="C42" s="455"/>
      <c r="D42" s="455"/>
      <c r="E42" s="453" t="s">
        <v>1390</v>
      </c>
      <c r="F42" s="455"/>
      <c r="G42" s="471" t="str">
        <f>InpCompany!$F$11</f>
        <v>£m (2017-18 prices)</v>
      </c>
      <c r="H42" s="455"/>
      <c r="I42" s="455"/>
      <c r="J42" s="578">
        <f t="shared" si="0"/>
        <v>0</v>
      </c>
      <c r="K42" s="578">
        <f t="shared" si="0"/>
        <v>0</v>
      </c>
      <c r="L42" s="578">
        <f t="shared" si="0"/>
        <v>0</v>
      </c>
      <c r="O42" s="234"/>
      <c r="Q42" s="234"/>
    </row>
    <row r="43" spans="1:17" ht="13.15">
      <c r="A43" s="455"/>
      <c r="B43" s="455"/>
      <c r="C43" s="455"/>
      <c r="D43" s="455"/>
      <c r="E43" s="453" t="s">
        <v>1391</v>
      </c>
      <c r="F43" s="455"/>
      <c r="G43" s="471" t="str">
        <f>InpCompany!$F$11</f>
        <v>£m (2017-18 prices)</v>
      </c>
      <c r="H43" s="455"/>
      <c r="I43" s="455"/>
      <c r="J43" s="578">
        <f t="shared" si="0"/>
        <v>0</v>
      </c>
      <c r="K43" s="578">
        <f t="shared" si="0"/>
        <v>0</v>
      </c>
      <c r="L43" s="578">
        <f t="shared" si="0"/>
        <v>0</v>
      </c>
      <c r="O43" s="234"/>
      <c r="Q43" s="234"/>
    </row>
    <row r="44" spans="1:17" ht="13.15">
      <c r="A44" s="455"/>
      <c r="B44" s="455"/>
      <c r="C44" s="455"/>
      <c r="D44" s="455"/>
      <c r="E44" s="453" t="s">
        <v>1392</v>
      </c>
      <c r="F44" s="455"/>
      <c r="G44" s="471" t="str">
        <f>InpCompany!$F$11</f>
        <v>£m (2017-18 prices)</v>
      </c>
      <c r="H44" s="455"/>
      <c r="I44" s="455"/>
      <c r="J44" s="578">
        <f t="shared" si="0"/>
        <v>0</v>
      </c>
      <c r="K44" s="578">
        <f t="shared" si="0"/>
        <v>0</v>
      </c>
      <c r="L44" s="578">
        <f t="shared" si="0"/>
        <v>0</v>
      </c>
      <c r="O44" s="234"/>
      <c r="Q44" s="234"/>
    </row>
    <row r="45" spans="1:17" ht="13.15">
      <c r="A45" s="455"/>
      <c r="B45" s="455"/>
      <c r="C45" s="455"/>
      <c r="D45" s="455"/>
      <c r="E45" s="453" t="s">
        <v>1393</v>
      </c>
      <c r="F45" s="455"/>
      <c r="G45" s="471" t="str">
        <f>InpCompany!$F$11</f>
        <v>£m (2017-18 prices)</v>
      </c>
      <c r="H45" s="455"/>
      <c r="I45" s="455"/>
      <c r="J45" s="578">
        <f t="shared" si="0"/>
        <v>0</v>
      </c>
      <c r="K45" s="578">
        <f t="shared" si="0"/>
        <v>0</v>
      </c>
      <c r="L45" s="578">
        <f t="shared" si="0"/>
        <v>0</v>
      </c>
      <c r="O45" s="234"/>
      <c r="Q45" s="234"/>
    </row>
    <row r="46" spans="1:17" ht="14.25">
      <c r="A46" s="455"/>
      <c r="B46" s="455"/>
      <c r="C46" s="455"/>
      <c r="D46" s="455"/>
      <c r="E46" s="1378"/>
      <c r="F46" s="455"/>
      <c r="G46" s="471"/>
      <c r="H46" s="455"/>
      <c r="I46" s="455"/>
      <c r="J46" s="588"/>
      <c r="K46" s="658"/>
      <c r="L46" s="658"/>
      <c r="O46" s="234"/>
      <c r="Q46" s="234"/>
    </row>
    <row r="47" spans="1:17" ht="14.25">
      <c r="A47" s="455"/>
      <c r="B47" s="455"/>
      <c r="C47" s="455"/>
      <c r="D47" s="460" t="str">
        <f>E34</f>
        <v>Outperformance payments shared with customers (£m)</v>
      </c>
      <c r="E47" s="1378"/>
      <c r="F47" s="455"/>
      <c r="G47" s="471"/>
      <c r="H47" s="455"/>
      <c r="I47" s="455"/>
      <c r="J47" s="653"/>
      <c r="K47" s="653"/>
      <c r="L47" s="653"/>
      <c r="O47" s="234"/>
      <c r="Q47" s="234"/>
    </row>
    <row r="48" spans="1:17" ht="13.15">
      <c r="A48" s="455"/>
      <c r="B48" s="455"/>
      <c r="C48" s="455"/>
      <c r="D48" s="455"/>
      <c r="E48" s="453" t="s">
        <v>1394</v>
      </c>
      <c r="F48" s="455"/>
      <c r="G48" s="471" t="str">
        <f>InpCompany!$F$11</f>
        <v>£m (2017-18 prices)</v>
      </c>
      <c r="H48" s="455"/>
      <c r="I48" s="455"/>
      <c r="J48" s="490">
        <f>J39*J$34</f>
        <v>0</v>
      </c>
      <c r="K48" s="490">
        <f>K39*K$34</f>
        <v>0</v>
      </c>
      <c r="L48" s="490">
        <f>L39*L$34</f>
        <v>0</v>
      </c>
      <c r="O48" s="234"/>
      <c r="Q48" s="234"/>
    </row>
    <row r="49" spans="1:17" ht="13.15">
      <c r="A49" s="455"/>
      <c r="B49" s="455"/>
      <c r="C49" s="455"/>
      <c r="D49" s="455"/>
      <c r="E49" s="453" t="s">
        <v>1395</v>
      </c>
      <c r="F49" s="455"/>
      <c r="G49" s="471" t="str">
        <f>InpCompany!$F$11</f>
        <v>£m (2017-18 prices)</v>
      </c>
      <c r="H49" s="455"/>
      <c r="I49" s="455"/>
      <c r="J49" s="490">
        <f t="shared" ref="J49:L54" si="1">J40*J$34</f>
        <v>0</v>
      </c>
      <c r="K49" s="490">
        <f t="shared" si="1"/>
        <v>0</v>
      </c>
      <c r="L49" s="490">
        <f t="shared" si="1"/>
        <v>0</v>
      </c>
      <c r="O49" s="234"/>
      <c r="Q49" s="234"/>
    </row>
    <row r="50" spans="1:17" ht="13.15">
      <c r="A50" s="455"/>
      <c r="B50" s="455"/>
      <c r="C50" s="455"/>
      <c r="D50" s="455"/>
      <c r="E50" s="453" t="s">
        <v>1396</v>
      </c>
      <c r="F50" s="455"/>
      <c r="G50" s="471" t="str">
        <f>InpCompany!$F$11</f>
        <v>£m (2017-18 prices)</v>
      </c>
      <c r="H50" s="455"/>
      <c r="I50" s="455"/>
      <c r="J50" s="490">
        <f t="shared" si="1"/>
        <v>0</v>
      </c>
      <c r="K50" s="490">
        <f t="shared" si="1"/>
        <v>0</v>
      </c>
      <c r="L50" s="490">
        <f t="shared" si="1"/>
        <v>0</v>
      </c>
      <c r="O50" s="234"/>
      <c r="Q50" s="234"/>
    </row>
    <row r="51" spans="1:17" ht="13.15">
      <c r="A51" s="455"/>
      <c r="B51" s="455"/>
      <c r="C51" s="455"/>
      <c r="D51" s="455"/>
      <c r="E51" s="453" t="s">
        <v>1397</v>
      </c>
      <c r="F51" s="455"/>
      <c r="G51" s="471" t="str">
        <f>InpCompany!$F$11</f>
        <v>£m (2017-18 prices)</v>
      </c>
      <c r="H51" s="455"/>
      <c r="I51" s="455"/>
      <c r="J51" s="490">
        <f t="shared" si="1"/>
        <v>0</v>
      </c>
      <c r="K51" s="490">
        <f t="shared" si="1"/>
        <v>0</v>
      </c>
      <c r="L51" s="490">
        <f t="shared" si="1"/>
        <v>0</v>
      </c>
      <c r="O51" s="234"/>
      <c r="Q51" s="234"/>
    </row>
    <row r="52" spans="1:17" ht="13.15">
      <c r="A52" s="455"/>
      <c r="B52" s="455"/>
      <c r="C52" s="455"/>
      <c r="D52" s="455"/>
      <c r="E52" s="453" t="s">
        <v>1398</v>
      </c>
      <c r="F52" s="455"/>
      <c r="G52" s="471" t="str">
        <f>InpCompany!$F$11</f>
        <v>£m (2017-18 prices)</v>
      </c>
      <c r="H52" s="455"/>
      <c r="I52" s="455"/>
      <c r="J52" s="490">
        <f t="shared" si="1"/>
        <v>0</v>
      </c>
      <c r="K52" s="490">
        <f t="shared" si="1"/>
        <v>0</v>
      </c>
      <c r="L52" s="490">
        <f t="shared" si="1"/>
        <v>0</v>
      </c>
      <c r="O52" s="234"/>
      <c r="Q52" s="234"/>
    </row>
    <row r="53" spans="1:17" ht="13.15">
      <c r="A53" s="455"/>
      <c r="B53" s="455"/>
      <c r="C53" s="455"/>
      <c r="D53" s="455"/>
      <c r="E53" s="453" t="s">
        <v>1399</v>
      </c>
      <c r="F53" s="455"/>
      <c r="G53" s="471" t="str">
        <f>InpCompany!$F$11</f>
        <v>£m (2017-18 prices)</v>
      </c>
      <c r="H53" s="455"/>
      <c r="I53" s="455"/>
      <c r="J53" s="490">
        <f t="shared" si="1"/>
        <v>0</v>
      </c>
      <c r="K53" s="490">
        <f t="shared" si="1"/>
        <v>0</v>
      </c>
      <c r="L53" s="490">
        <f t="shared" si="1"/>
        <v>0</v>
      </c>
      <c r="O53" s="234"/>
      <c r="Q53" s="234"/>
    </row>
    <row r="54" spans="1:17" ht="13.15">
      <c r="A54" s="455"/>
      <c r="B54" s="455"/>
      <c r="C54" s="455"/>
      <c r="D54" s="455"/>
      <c r="E54" s="453" t="s">
        <v>1400</v>
      </c>
      <c r="F54" s="455"/>
      <c r="G54" s="471" t="str">
        <f>InpCompany!$F$11</f>
        <v>£m (2017-18 prices)</v>
      </c>
      <c r="H54" s="455"/>
      <c r="I54" s="455"/>
      <c r="J54" s="490">
        <f t="shared" si="1"/>
        <v>0</v>
      </c>
      <c r="K54" s="490">
        <f t="shared" si="1"/>
        <v>0</v>
      </c>
      <c r="L54" s="490">
        <f t="shared" si="1"/>
        <v>0</v>
      </c>
      <c r="O54" s="234"/>
      <c r="Q54" s="234"/>
    </row>
    <row r="55" spans="1:17" ht="14.25">
      <c r="A55" s="455"/>
      <c r="B55" s="455"/>
      <c r="C55" s="455"/>
      <c r="D55" s="455"/>
      <c r="E55" s="1378"/>
      <c r="F55" s="455"/>
      <c r="G55" s="471"/>
      <c r="H55" s="455"/>
      <c r="I55" s="455"/>
      <c r="J55" s="455"/>
      <c r="K55" s="455"/>
      <c r="L55" s="455"/>
      <c r="O55" s="234"/>
      <c r="Q55" s="234"/>
    </row>
    <row r="56" spans="1:17" ht="13.15">
      <c r="A56" s="455"/>
      <c r="B56" s="455"/>
      <c r="C56" s="455"/>
      <c r="D56" s="460" t="s">
        <v>1401</v>
      </c>
      <c r="E56" s="460"/>
      <c r="F56" s="460"/>
      <c r="G56" s="664"/>
      <c r="H56" s="455"/>
      <c r="I56" s="455"/>
      <c r="J56" s="455"/>
      <c r="K56" s="455"/>
      <c r="L56" s="455"/>
      <c r="O56" s="234"/>
      <c r="Q56" s="234"/>
    </row>
    <row r="57" spans="1:17" ht="13.15">
      <c r="A57" s="455"/>
      <c r="B57" s="455"/>
      <c r="C57" s="455"/>
      <c r="D57" s="455"/>
      <c r="E57" s="453" t="s">
        <v>1402</v>
      </c>
      <c r="F57" s="455"/>
      <c r="G57" s="471" t="str">
        <f>InpCompany!$F$11</f>
        <v>£m (2017-18 prices)</v>
      </c>
      <c r="H57" s="629">
        <f t="shared" ref="H57:H63" si="2">J57+K57+L57</f>
        <v>0.51100000000000001</v>
      </c>
      <c r="I57" s="629"/>
      <c r="J57" s="490">
        <f t="shared" ref="J57:L63" si="3">J17-J48</f>
        <v>0.51100000000000001</v>
      </c>
      <c r="K57" s="490">
        <f t="shared" si="3"/>
        <v>0</v>
      </c>
      <c r="L57" s="490">
        <f t="shared" si="3"/>
        <v>0</v>
      </c>
    </row>
    <row r="58" spans="1:17" ht="13.15">
      <c r="A58" s="455"/>
      <c r="B58" s="455"/>
      <c r="C58" s="455"/>
      <c r="D58" s="455"/>
      <c r="E58" s="453" t="s">
        <v>1403</v>
      </c>
      <c r="F58" s="455"/>
      <c r="G58" s="471" t="str">
        <f>InpCompany!$F$11</f>
        <v>£m (2017-18 prices)</v>
      </c>
      <c r="H58" s="629">
        <f t="shared" si="2"/>
        <v>0</v>
      </c>
      <c r="I58" s="629"/>
      <c r="J58" s="490">
        <f t="shared" si="3"/>
        <v>0</v>
      </c>
      <c r="K58" s="490">
        <f t="shared" si="3"/>
        <v>0</v>
      </c>
      <c r="L58" s="490">
        <f t="shared" si="3"/>
        <v>0</v>
      </c>
    </row>
    <row r="59" spans="1:17" ht="13.15">
      <c r="A59" s="455"/>
      <c r="B59" s="455"/>
      <c r="C59" s="455"/>
      <c r="D59" s="455"/>
      <c r="E59" s="453" t="s">
        <v>1404</v>
      </c>
      <c r="F59" s="455"/>
      <c r="G59" s="471" t="str">
        <f>InpCompany!$F$11</f>
        <v>£m (2017-18 prices)</v>
      </c>
      <c r="H59" s="629">
        <f t="shared" si="2"/>
        <v>1.70299991</v>
      </c>
      <c r="I59" s="629"/>
      <c r="J59" s="490">
        <f t="shared" si="3"/>
        <v>0</v>
      </c>
      <c r="K59" s="490">
        <f t="shared" si="3"/>
        <v>1.70299991</v>
      </c>
      <c r="L59" s="490">
        <f t="shared" si="3"/>
        <v>0</v>
      </c>
    </row>
    <row r="60" spans="1:17" ht="13.15">
      <c r="A60" s="455"/>
      <c r="B60" s="455"/>
      <c r="C60" s="455"/>
      <c r="D60" s="455"/>
      <c r="E60" s="453" t="s">
        <v>1405</v>
      </c>
      <c r="F60" s="455"/>
      <c r="G60" s="471" t="str">
        <f>InpCompany!$F$11</f>
        <v>£m (2017-18 prices)</v>
      </c>
      <c r="H60" s="629">
        <f t="shared" si="2"/>
        <v>0</v>
      </c>
      <c r="I60" s="629"/>
      <c r="J60" s="490">
        <f t="shared" si="3"/>
        <v>0</v>
      </c>
      <c r="K60" s="490">
        <f t="shared" si="3"/>
        <v>0</v>
      </c>
      <c r="L60" s="490">
        <f t="shared" si="3"/>
        <v>0</v>
      </c>
    </row>
    <row r="61" spans="1:17" ht="13.15">
      <c r="A61" s="455"/>
      <c r="B61" s="455"/>
      <c r="C61" s="455"/>
      <c r="D61" s="455"/>
      <c r="E61" s="453" t="s">
        <v>1406</v>
      </c>
      <c r="F61" s="455"/>
      <c r="G61" s="471" t="str">
        <f>InpCompany!$F$11</f>
        <v>£m (2017-18 prices)</v>
      </c>
      <c r="H61" s="629">
        <f t="shared" si="2"/>
        <v>0</v>
      </c>
      <c r="I61" s="629"/>
      <c r="J61" s="490">
        <f t="shared" si="3"/>
        <v>0</v>
      </c>
      <c r="K61" s="490">
        <f t="shared" si="3"/>
        <v>0</v>
      </c>
      <c r="L61" s="490">
        <f t="shared" si="3"/>
        <v>0</v>
      </c>
    </row>
    <row r="62" spans="1:17" ht="13.15">
      <c r="A62" s="455"/>
      <c r="B62" s="455"/>
      <c r="C62" s="455"/>
      <c r="D62" s="455"/>
      <c r="E62" s="453" t="s">
        <v>1407</v>
      </c>
      <c r="F62" s="455"/>
      <c r="G62" s="471" t="str">
        <f>InpCompany!$F$11</f>
        <v>£m (2017-18 prices)</v>
      </c>
      <c r="H62" s="629">
        <f t="shared" si="2"/>
        <v>0</v>
      </c>
      <c r="I62" s="629"/>
      <c r="J62" s="490">
        <f t="shared" si="3"/>
        <v>0</v>
      </c>
      <c r="K62" s="490">
        <f t="shared" si="3"/>
        <v>0</v>
      </c>
      <c r="L62" s="490">
        <f t="shared" si="3"/>
        <v>0</v>
      </c>
    </row>
    <row r="63" spans="1:17" ht="13.15">
      <c r="A63" s="455"/>
      <c r="B63" s="455"/>
      <c r="C63" s="455"/>
      <c r="D63" s="455"/>
      <c r="E63" s="453" t="s">
        <v>1408</v>
      </c>
      <c r="F63" s="455"/>
      <c r="G63" s="471" t="str">
        <f>InpCompany!$F$11</f>
        <v>£m (2017-18 prices)</v>
      </c>
      <c r="H63" s="629">
        <f t="shared" si="2"/>
        <v>0</v>
      </c>
      <c r="I63" s="629"/>
      <c r="J63" s="490">
        <f t="shared" si="3"/>
        <v>0</v>
      </c>
      <c r="K63" s="490">
        <f t="shared" si="3"/>
        <v>0</v>
      </c>
      <c r="L63" s="490">
        <f t="shared" si="3"/>
        <v>0</v>
      </c>
    </row>
    <row r="64" spans="1:17" ht="13.15">
      <c r="A64" s="455"/>
      <c r="B64" s="455"/>
      <c r="C64" s="455"/>
      <c r="D64" s="455"/>
      <c r="E64" s="455"/>
      <c r="F64" s="455"/>
      <c r="G64" s="471"/>
      <c r="H64" s="455"/>
      <c r="I64" s="455"/>
      <c r="J64" s="455"/>
      <c r="K64" s="455"/>
      <c r="L64" s="455"/>
    </row>
    <row r="65" spans="1:12" ht="13.15">
      <c r="A65" s="455"/>
      <c r="B65" s="455"/>
      <c r="C65" s="663" t="s">
        <v>1409</v>
      </c>
      <c r="D65" s="455"/>
      <c r="E65" s="455"/>
      <c r="F65" s="455"/>
      <c r="G65" s="471"/>
      <c r="H65" s="455"/>
      <c r="I65" s="455"/>
      <c r="J65" s="455"/>
      <c r="K65" s="455"/>
      <c r="L65" s="455"/>
    </row>
    <row r="66" spans="1:12" ht="13.15">
      <c r="A66" s="455"/>
      <c r="B66" s="455"/>
      <c r="C66" s="455"/>
      <c r="D66" s="455"/>
      <c r="E66" s="455"/>
      <c r="F66" s="455"/>
      <c r="G66" s="471"/>
      <c r="H66" s="455"/>
      <c r="I66" s="455"/>
      <c r="J66" s="455"/>
      <c r="K66" s="455"/>
      <c r="L66" s="455"/>
    </row>
    <row r="67" spans="1:12" ht="13.15">
      <c r="A67" s="455"/>
      <c r="B67" s="455"/>
      <c r="C67" s="455"/>
      <c r="D67" s="460" t="s">
        <v>1410</v>
      </c>
      <c r="E67" s="455"/>
      <c r="F67" s="455"/>
      <c r="G67" s="664"/>
      <c r="H67" s="460"/>
      <c r="I67" s="460"/>
      <c r="J67" s="455"/>
      <c r="K67" s="455"/>
      <c r="L67" s="455"/>
    </row>
    <row r="68" spans="1:12" s="235" customFormat="1" ht="13.15">
      <c r="A68" s="654"/>
      <c r="B68" s="654"/>
      <c r="C68" s="654"/>
      <c r="D68" s="654"/>
      <c r="E68" s="654" t="str">
        <f>Performance!E298</f>
        <v>Proportion of outperformance payments to be paid in-period - Water resources</v>
      </c>
      <c r="F68" s="665">
        <f>Performance!F298</f>
        <v>1</v>
      </c>
      <c r="G68" s="654" t="str">
        <f>Performance!G298</f>
        <v>Percentage</v>
      </c>
      <c r="H68" s="665"/>
      <c r="I68" s="657"/>
      <c r="J68" s="654"/>
      <c r="K68" s="654"/>
      <c r="L68" s="654"/>
    </row>
    <row r="69" spans="1:12" s="235" customFormat="1" ht="13.15">
      <c r="A69" s="654"/>
      <c r="B69" s="654"/>
      <c r="C69" s="654"/>
      <c r="D69" s="654"/>
      <c r="E69" s="654" t="str">
        <f>Performance!E299</f>
        <v>Proportion of outperformance payments to be paid in-period - Water network plus</v>
      </c>
      <c r="F69" s="665">
        <f>Performance!F299</f>
        <v>0</v>
      </c>
      <c r="G69" s="654" t="str">
        <f>Performance!G299</f>
        <v>Percentage</v>
      </c>
      <c r="H69" s="665"/>
      <c r="I69" s="657"/>
      <c r="J69" s="654"/>
      <c r="K69" s="654"/>
      <c r="L69" s="654"/>
    </row>
    <row r="70" spans="1:12" s="235" customFormat="1" ht="13.15">
      <c r="A70" s="654"/>
      <c r="B70" s="654"/>
      <c r="C70" s="654"/>
      <c r="D70" s="654"/>
      <c r="E70" s="654" t="str">
        <f>Performance!E300</f>
        <v>Proportion of outperformance payments to be paid in-period - Wastewater network plus</v>
      </c>
      <c r="F70" s="665">
        <f>Performance!F300</f>
        <v>1</v>
      </c>
      <c r="G70" s="654" t="str">
        <f>Performance!G300</f>
        <v>Percentage</v>
      </c>
      <c r="H70" s="665"/>
      <c r="I70" s="657"/>
      <c r="J70" s="654"/>
      <c r="K70" s="654"/>
      <c r="L70" s="654"/>
    </row>
    <row r="71" spans="1:12" s="235" customFormat="1" ht="13.15">
      <c r="A71" s="654"/>
      <c r="B71" s="654"/>
      <c r="C71" s="654"/>
      <c r="D71" s="654"/>
      <c r="E71" s="654" t="str">
        <f>Performance!E301</f>
        <v>Proportion of outperformance payments to be paid in-period - Bioresources (sludge)</v>
      </c>
      <c r="F71" s="665">
        <f>Performance!F301</f>
        <v>0</v>
      </c>
      <c r="G71" s="654" t="str">
        <f>Performance!G301</f>
        <v>Percentage</v>
      </c>
      <c r="H71" s="665"/>
      <c r="I71" s="657"/>
      <c r="J71" s="654"/>
      <c r="K71" s="654"/>
      <c r="L71" s="654"/>
    </row>
    <row r="72" spans="1:12" s="235" customFormat="1" ht="13.15">
      <c r="A72" s="654"/>
      <c r="B72" s="654"/>
      <c r="C72" s="654"/>
      <c r="D72" s="654"/>
      <c r="E72" s="654" t="str">
        <f>Performance!E302</f>
        <v>Proportion of outperformance payments to be paid in-period - Residential retail</v>
      </c>
      <c r="F72" s="665">
        <f>Performance!F302</f>
        <v>0</v>
      </c>
      <c r="G72" s="654" t="str">
        <f>Performance!G302</f>
        <v>Percentage</v>
      </c>
      <c r="H72" s="665"/>
      <c r="I72" s="657"/>
      <c r="J72" s="654"/>
      <c r="K72" s="654"/>
      <c r="L72" s="654"/>
    </row>
    <row r="73" spans="1:12" s="235" customFormat="1" ht="13.15">
      <c r="A73" s="654"/>
      <c r="B73" s="654"/>
      <c r="C73" s="654"/>
      <c r="D73" s="654"/>
      <c r="E73" s="654" t="str">
        <f>Performance!E303</f>
        <v>Proportion of outperformance payments to be paid in-period - Business retail</v>
      </c>
      <c r="F73" s="665">
        <f>Performance!F303</f>
        <v>0</v>
      </c>
      <c r="G73" s="654" t="str">
        <f>Performance!G303</f>
        <v>Percentage</v>
      </c>
      <c r="H73" s="665"/>
      <c r="I73" s="657"/>
      <c r="J73" s="654"/>
      <c r="K73" s="654"/>
      <c r="L73" s="654"/>
    </row>
    <row r="74" spans="1:12" s="235" customFormat="1" ht="13.15">
      <c r="A74" s="654"/>
      <c r="B74" s="654"/>
      <c r="C74" s="654"/>
      <c r="D74" s="654"/>
      <c r="E74" s="654" t="str">
        <f>Performance!E304</f>
        <v>Proportion of outperformance payments to be paid in-period - Dummy control</v>
      </c>
      <c r="F74" s="665">
        <f>Performance!F304</f>
        <v>0</v>
      </c>
      <c r="G74" s="654" t="str">
        <f>Performance!G304</f>
        <v>Percentage</v>
      </c>
      <c r="H74" s="665"/>
      <c r="I74" s="657"/>
      <c r="J74" s="654"/>
      <c r="K74" s="654"/>
      <c r="L74" s="654"/>
    </row>
    <row r="75" spans="1:12" ht="13.15">
      <c r="A75" s="455"/>
      <c r="B75" s="455"/>
      <c r="C75" s="455"/>
      <c r="D75" s="455"/>
      <c r="E75" s="455"/>
      <c r="F75" s="455"/>
      <c r="G75" s="471"/>
      <c r="H75" s="455"/>
      <c r="I75" s="455"/>
      <c r="J75" s="455"/>
      <c r="K75" s="455"/>
      <c r="L75" s="455"/>
    </row>
    <row r="76" spans="1:12" ht="13.15">
      <c r="A76" s="455"/>
      <c r="B76" s="455"/>
      <c r="C76" s="455"/>
      <c r="D76" s="460" t="s">
        <v>1411</v>
      </c>
      <c r="E76" s="455"/>
      <c r="F76" s="455"/>
      <c r="G76" s="664"/>
      <c r="H76" s="460"/>
      <c r="I76" s="460"/>
      <c r="J76" s="455"/>
      <c r="K76" s="455"/>
      <c r="L76" s="455"/>
    </row>
    <row r="77" spans="1:12" ht="13.15">
      <c r="A77" s="455"/>
      <c r="B77" s="455"/>
      <c r="C77" s="455"/>
      <c r="D77" s="455"/>
      <c r="E77" s="632" t="s">
        <v>1412</v>
      </c>
      <c r="F77" s="635">
        <f>H57*F68</f>
        <v>0.51100000000000001</v>
      </c>
      <c r="G77" s="666" t="str">
        <f>InpCompany!$F$11</f>
        <v>£m (2017-18 prices)</v>
      </c>
      <c r="H77" s="455"/>
      <c r="I77" s="667"/>
      <c r="J77" s="455"/>
      <c r="K77" s="455"/>
      <c r="L77" s="455"/>
    </row>
    <row r="78" spans="1:12" ht="13.15">
      <c r="A78" s="455"/>
      <c r="B78" s="455"/>
      <c r="C78" s="455"/>
      <c r="D78" s="455"/>
      <c r="E78" s="632" t="s">
        <v>1413</v>
      </c>
      <c r="F78" s="635">
        <f t="shared" ref="F78:F83" si="4">H58*F69</f>
        <v>0</v>
      </c>
      <c r="G78" s="666" t="str">
        <f>InpCompany!$F$11</f>
        <v>£m (2017-18 prices)</v>
      </c>
      <c r="H78" s="455"/>
      <c r="I78" s="667"/>
      <c r="J78" s="455"/>
      <c r="K78" s="455"/>
      <c r="L78" s="455"/>
    </row>
    <row r="79" spans="1:12" ht="13.15">
      <c r="A79" s="455"/>
      <c r="B79" s="455"/>
      <c r="C79" s="455"/>
      <c r="D79" s="455"/>
      <c r="E79" s="632" t="s">
        <v>1414</v>
      </c>
      <c r="F79" s="635">
        <f t="shared" si="4"/>
        <v>1.70299991</v>
      </c>
      <c r="G79" s="666" t="str">
        <f>InpCompany!$F$11</f>
        <v>£m (2017-18 prices)</v>
      </c>
      <c r="H79" s="455"/>
      <c r="I79" s="667"/>
      <c r="J79" s="455"/>
      <c r="K79" s="455"/>
      <c r="L79" s="455"/>
    </row>
    <row r="80" spans="1:12" ht="13.15">
      <c r="A80" s="455"/>
      <c r="B80" s="455"/>
      <c r="C80" s="455"/>
      <c r="D80" s="455"/>
      <c r="E80" s="632" t="s">
        <v>1415</v>
      </c>
      <c r="F80" s="635">
        <f t="shared" si="4"/>
        <v>0</v>
      </c>
      <c r="G80" s="666" t="str">
        <f>InpCompany!$F$11</f>
        <v>£m (2017-18 prices)</v>
      </c>
      <c r="H80" s="455"/>
      <c r="I80" s="667"/>
      <c r="J80" s="455"/>
      <c r="K80" s="455"/>
      <c r="L80" s="455"/>
    </row>
    <row r="81" spans="1:12" ht="13.15">
      <c r="A81" s="455"/>
      <c r="B81" s="455"/>
      <c r="C81" s="455"/>
      <c r="D81" s="455"/>
      <c r="E81" s="632" t="s">
        <v>1416</v>
      </c>
      <c r="F81" s="635">
        <f t="shared" si="4"/>
        <v>0</v>
      </c>
      <c r="G81" s="666" t="str">
        <f>InpCompany!$F$11</f>
        <v>£m (2017-18 prices)</v>
      </c>
      <c r="H81" s="455"/>
      <c r="I81" s="667"/>
      <c r="J81" s="455"/>
      <c r="K81" s="455"/>
      <c r="L81" s="455"/>
    </row>
    <row r="82" spans="1:12" ht="13.15">
      <c r="A82" s="455"/>
      <c r="B82" s="455"/>
      <c r="C82" s="455"/>
      <c r="D82" s="455"/>
      <c r="E82" s="632" t="s">
        <v>1417</v>
      </c>
      <c r="F82" s="635">
        <f t="shared" si="4"/>
        <v>0</v>
      </c>
      <c r="G82" s="666" t="str">
        <f>InpCompany!$F$11</f>
        <v>£m (2017-18 prices)</v>
      </c>
      <c r="H82" s="455"/>
      <c r="I82" s="667"/>
      <c r="J82" s="455"/>
      <c r="K82" s="455"/>
      <c r="L82" s="455"/>
    </row>
    <row r="83" spans="1:12" ht="13.15">
      <c r="A83" s="455"/>
      <c r="B83" s="455"/>
      <c r="C83" s="455"/>
      <c r="D83" s="455"/>
      <c r="E83" s="632" t="s">
        <v>1418</v>
      </c>
      <c r="F83" s="635">
        <f t="shared" si="4"/>
        <v>0</v>
      </c>
      <c r="G83" s="666" t="str">
        <f>InpCompany!$F$11</f>
        <v>£m (2017-18 prices)</v>
      </c>
      <c r="H83" s="455"/>
      <c r="I83" s="667"/>
      <c r="J83" s="455"/>
      <c r="K83" s="455"/>
      <c r="L83" s="455"/>
    </row>
    <row r="84" spans="1:12" ht="14.25">
      <c r="A84" s="455"/>
      <c r="B84" s="455"/>
      <c r="C84" s="455"/>
      <c r="D84" s="455"/>
      <c r="E84" s="27"/>
      <c r="F84" s="455"/>
      <c r="G84" s="666"/>
      <c r="H84" s="668"/>
      <c r="I84" s="668"/>
      <c r="J84" s="455"/>
      <c r="K84" s="455"/>
      <c r="L84" s="455"/>
    </row>
    <row r="85" spans="1:12" ht="14.25">
      <c r="A85" s="455"/>
      <c r="B85" s="455"/>
      <c r="C85" s="455"/>
      <c r="D85" s="460" t="s">
        <v>1419</v>
      </c>
      <c r="E85" s="27"/>
      <c r="F85" s="455"/>
      <c r="G85" s="669"/>
      <c r="H85" s="668"/>
      <c r="I85" s="668"/>
      <c r="J85" s="455"/>
      <c r="K85" s="455"/>
      <c r="L85" s="455"/>
    </row>
    <row r="86" spans="1:12" ht="13.15">
      <c r="A86" s="455"/>
      <c r="B86" s="455"/>
      <c r="C86" s="455"/>
      <c r="D86" s="455"/>
      <c r="E86" s="632" t="s">
        <v>1420</v>
      </c>
      <c r="F86" s="635">
        <f t="shared" ref="F86:F92" si="5">H57*(1-F68)</f>
        <v>0</v>
      </c>
      <c r="G86" s="666" t="str">
        <f>InpCompany!$F$11</f>
        <v>£m (2017-18 prices)</v>
      </c>
      <c r="H86" s="455"/>
      <c r="I86" s="667"/>
      <c r="J86" s="455"/>
      <c r="K86" s="455"/>
      <c r="L86" s="455"/>
    </row>
    <row r="87" spans="1:12" ht="13.15">
      <c r="A87" s="455"/>
      <c r="B87" s="455"/>
      <c r="C87" s="455"/>
      <c r="D87" s="455"/>
      <c r="E87" s="632" t="s">
        <v>1421</v>
      </c>
      <c r="F87" s="635">
        <f t="shared" si="5"/>
        <v>0</v>
      </c>
      <c r="G87" s="666" t="str">
        <f>InpCompany!$F$11</f>
        <v>£m (2017-18 prices)</v>
      </c>
      <c r="H87" s="455"/>
      <c r="I87" s="667"/>
      <c r="J87" s="455"/>
      <c r="K87" s="455"/>
      <c r="L87" s="455"/>
    </row>
    <row r="88" spans="1:12" ht="13.15">
      <c r="A88" s="455"/>
      <c r="B88" s="455"/>
      <c r="C88" s="455"/>
      <c r="D88" s="455"/>
      <c r="E88" s="632" t="s">
        <v>1422</v>
      </c>
      <c r="F88" s="635">
        <f t="shared" si="5"/>
        <v>0</v>
      </c>
      <c r="G88" s="666" t="str">
        <f>InpCompany!$F$11</f>
        <v>£m (2017-18 prices)</v>
      </c>
      <c r="H88" s="455"/>
      <c r="I88" s="667"/>
      <c r="J88" s="455"/>
      <c r="K88" s="455"/>
      <c r="L88" s="455"/>
    </row>
    <row r="89" spans="1:12" ht="13.15">
      <c r="A89" s="455"/>
      <c r="B89" s="455"/>
      <c r="C89" s="455"/>
      <c r="D89" s="455"/>
      <c r="E89" s="632" t="s">
        <v>1423</v>
      </c>
      <c r="F89" s="635">
        <f t="shared" si="5"/>
        <v>0</v>
      </c>
      <c r="G89" s="666" t="str">
        <f>InpCompany!$F$11</f>
        <v>£m (2017-18 prices)</v>
      </c>
      <c r="H89" s="455"/>
      <c r="I89" s="667"/>
      <c r="J89" s="455"/>
      <c r="K89" s="455"/>
      <c r="L89" s="455"/>
    </row>
    <row r="90" spans="1:12" ht="13.15">
      <c r="A90" s="455"/>
      <c r="B90" s="455"/>
      <c r="C90" s="455"/>
      <c r="D90" s="455"/>
      <c r="E90" s="632" t="s">
        <v>1424</v>
      </c>
      <c r="F90" s="635">
        <f t="shared" si="5"/>
        <v>0</v>
      </c>
      <c r="G90" s="666" t="str">
        <f>InpCompany!$F$11</f>
        <v>£m (2017-18 prices)</v>
      </c>
      <c r="H90" s="455"/>
      <c r="I90" s="667"/>
      <c r="J90" s="455"/>
      <c r="K90" s="455"/>
      <c r="L90" s="455"/>
    </row>
    <row r="91" spans="1:12" ht="13.15">
      <c r="A91" s="455"/>
      <c r="B91" s="455"/>
      <c r="C91" s="455"/>
      <c r="D91" s="455"/>
      <c r="E91" s="632" t="s">
        <v>1425</v>
      </c>
      <c r="F91" s="635">
        <f t="shared" si="5"/>
        <v>0</v>
      </c>
      <c r="G91" s="666" t="str">
        <f>InpCompany!$F$11</f>
        <v>£m (2017-18 prices)</v>
      </c>
      <c r="H91" s="455"/>
      <c r="I91" s="667"/>
      <c r="J91" s="455"/>
      <c r="K91" s="455"/>
      <c r="L91" s="455"/>
    </row>
    <row r="92" spans="1:12" ht="13.15">
      <c r="A92" s="455"/>
      <c r="B92" s="455"/>
      <c r="C92" s="455"/>
      <c r="D92" s="455"/>
      <c r="E92" s="632" t="s">
        <v>1426</v>
      </c>
      <c r="F92" s="635">
        <f t="shared" si="5"/>
        <v>0</v>
      </c>
      <c r="G92" s="666" t="str">
        <f>InpCompany!$F$11</f>
        <v>£m (2017-18 prices)</v>
      </c>
      <c r="H92" s="455"/>
      <c r="I92" s="667"/>
      <c r="J92" s="455"/>
      <c r="K92" s="455"/>
      <c r="L92" s="455"/>
    </row>
    <row r="93" spans="1:12" ht="13.15">
      <c r="A93" s="455"/>
      <c r="B93" s="455"/>
      <c r="C93" s="455"/>
      <c r="D93" s="455"/>
      <c r="E93" s="632"/>
      <c r="F93" s="635"/>
      <c r="G93" s="666"/>
      <c r="H93" s="455"/>
      <c r="I93" s="667"/>
      <c r="J93" s="455"/>
      <c r="K93" s="455"/>
      <c r="L93" s="455"/>
    </row>
    <row r="94" spans="1:12" s="206" customFormat="1" ht="13.15">
      <c r="A94" s="642" t="s">
        <v>1427</v>
      </c>
      <c r="B94" s="643"/>
      <c r="C94" s="643"/>
      <c r="D94" s="644"/>
      <c r="E94" s="645"/>
      <c r="F94" s="645"/>
      <c r="G94" s="645"/>
      <c r="H94" s="646"/>
      <c r="I94" s="645"/>
      <c r="J94" s="645"/>
      <c r="K94" s="645"/>
      <c r="L94" s="645"/>
    </row>
    <row r="95" spans="1:12" s="1411" customFormat="1" ht="13.15">
      <c r="A95" s="1407"/>
      <c r="B95" s="1407"/>
      <c r="C95" s="1407"/>
      <c r="D95" s="1407"/>
      <c r="E95" s="617"/>
      <c r="F95" s="1408"/>
      <c r="G95" s="1409"/>
      <c r="H95" s="1407"/>
      <c r="I95" s="1410"/>
      <c r="J95" s="1424" t="s">
        <v>1364</v>
      </c>
      <c r="K95" s="1424" t="s">
        <v>1365</v>
      </c>
      <c r="L95" s="1424" t="s">
        <v>1366</v>
      </c>
    </row>
    <row r="96" spans="1:12" s="1411" customFormat="1" ht="13.15">
      <c r="A96" s="1407"/>
      <c r="B96" s="1407"/>
      <c r="C96" s="1425" t="s">
        <v>1428</v>
      </c>
      <c r="D96" s="1407"/>
      <c r="E96" s="617"/>
      <c r="F96" s="1408"/>
      <c r="G96" s="1409"/>
      <c r="H96" s="1407"/>
      <c r="I96" s="1410"/>
      <c r="J96" s="1407"/>
      <c r="K96" s="1407"/>
      <c r="L96" s="1407"/>
    </row>
    <row r="97" spans="1:12" s="235" customFormat="1" ht="13.15">
      <c r="A97" s="654"/>
      <c r="B97" s="1453"/>
      <c r="C97" s="1453"/>
      <c r="D97" s="1453"/>
      <c r="E97" s="605" t="str">
        <f>InpCompany!E5</f>
        <v>Company name</v>
      </c>
      <c r="F97" s="605" t="str">
        <f>InpCompany!F5</f>
        <v>Southern Water</v>
      </c>
      <c r="G97" s="605"/>
      <c r="H97" s="583"/>
      <c r="I97" s="655"/>
      <c r="J97" s="654"/>
      <c r="K97" s="654"/>
      <c r="L97" s="654"/>
    </row>
    <row r="98" spans="1:12" s="235" customFormat="1" ht="13.15">
      <c r="A98" s="654"/>
      <c r="B98" s="1453"/>
      <c r="C98" s="1453"/>
      <c r="D98" s="1453"/>
      <c r="E98" s="605" t="str">
        <f>InpCompany!E6</f>
        <v>Ofwat company acronym</v>
      </c>
      <c r="F98" s="605" t="str">
        <f>InpCompany!F6</f>
        <v>SRN</v>
      </c>
      <c r="G98" s="605"/>
      <c r="H98" s="583"/>
      <c r="I98" s="655"/>
      <c r="J98" s="654"/>
      <c r="K98" s="654"/>
      <c r="L98" s="654"/>
    </row>
    <row r="99" spans="1:12" s="1411" customFormat="1" ht="13.15">
      <c r="A99" s="1407"/>
      <c r="B99" s="1249"/>
      <c r="C99" s="1249"/>
      <c r="D99" s="1249"/>
      <c r="E99" s="617"/>
      <c r="F99" s="1408"/>
      <c r="G99" s="1409"/>
      <c r="H99" s="1407"/>
      <c r="I99" s="1410"/>
      <c r="J99" s="1407"/>
      <c r="K99" s="1407"/>
      <c r="L99" s="1407"/>
    </row>
    <row r="100" spans="1:12" s="1411" customFormat="1" ht="13.15">
      <c r="A100" s="1407"/>
      <c r="B100" s="1249"/>
      <c r="C100" s="1249"/>
      <c r="D100" s="1249"/>
      <c r="E100" s="602" t="s">
        <v>1429</v>
      </c>
      <c r="F100" s="1426" t="b">
        <f>IF(IFERROR(VLOOKUP($F$98,Validation!$Z$5:$Z$22,1,FALSE),FALSE)=F98,TRUE,FALSE)</f>
        <v>0</v>
      </c>
      <c r="G100" s="1409"/>
      <c r="H100" s="1407"/>
      <c r="I100" s="1410"/>
      <c r="J100" s="1407"/>
      <c r="K100" s="1407"/>
      <c r="L100" s="1407"/>
    </row>
    <row r="101" spans="1:12" s="1411" customFormat="1" ht="13.15">
      <c r="A101" s="1407"/>
      <c r="B101" s="1249"/>
      <c r="C101" s="1249"/>
      <c r="D101" s="1249"/>
      <c r="E101" s="617"/>
      <c r="F101" s="1408"/>
      <c r="G101" s="1409"/>
      <c r="H101" s="1407"/>
      <c r="I101" s="1410"/>
      <c r="J101" s="1407"/>
      <c r="K101" s="1407"/>
      <c r="L101" s="1407"/>
    </row>
    <row r="102" spans="1:12" s="1411" customFormat="1" ht="13.15">
      <c r="A102" s="1407"/>
      <c r="B102" s="1249"/>
      <c r="C102" s="1425" t="s">
        <v>1367</v>
      </c>
      <c r="D102" s="1249"/>
      <c r="E102" s="617"/>
      <c r="F102" s="1408"/>
      <c r="G102" s="1409"/>
      <c r="H102" s="1407"/>
      <c r="I102" s="1410"/>
      <c r="J102" s="1407"/>
      <c r="K102" s="1407"/>
      <c r="L102" s="1407"/>
    </row>
    <row r="103" spans="1:12" s="1411" customFormat="1" ht="13.15">
      <c r="A103" s="1407"/>
      <c r="B103" s="1249"/>
      <c r="C103" s="1249"/>
      <c r="D103" s="1249"/>
      <c r="E103" s="617"/>
      <c r="F103" s="1408"/>
      <c r="G103" s="1409"/>
      <c r="H103" s="1407"/>
      <c r="I103" s="1410"/>
      <c r="J103" s="1407"/>
      <c r="K103" s="1407"/>
      <c r="L103" s="1407"/>
    </row>
    <row r="104" spans="1:12" s="235" customFormat="1" ht="13.15">
      <c r="A104" s="654"/>
      <c r="B104" s="1453"/>
      <c r="C104" s="1453"/>
      <c r="D104" s="1453"/>
      <c r="E104" s="605" t="str">
        <f>Performance!E242</f>
        <v>Outperformance payments earned this reporting year - Water resources</v>
      </c>
      <c r="F104" s="1438">
        <f>Performance!F242</f>
        <v>0.51100000000000001</v>
      </c>
      <c r="G104" s="605" t="str">
        <f>Performance!G242</f>
        <v>£m (2017-18 prices)</v>
      </c>
      <c r="H104" s="583"/>
      <c r="I104" s="583"/>
      <c r="J104" s="654"/>
      <c r="K104" s="654"/>
      <c r="L104" s="654"/>
    </row>
    <row r="105" spans="1:12" s="235" customFormat="1" ht="13.15">
      <c r="A105" s="654"/>
      <c r="B105" s="1453"/>
      <c r="C105" s="1453"/>
      <c r="D105" s="1453"/>
      <c r="E105" s="605" t="str">
        <f>Performance!E243</f>
        <v>Outperformance payments earned this reporting year - Water network plus</v>
      </c>
      <c r="F105" s="1438">
        <f>Performance!F243</f>
        <v>0</v>
      </c>
      <c r="G105" s="605" t="str">
        <f>Performance!G243</f>
        <v>£m (2017-18 prices)</v>
      </c>
      <c r="H105" s="583"/>
      <c r="I105" s="655"/>
      <c r="J105" s="654"/>
      <c r="K105" s="654"/>
      <c r="L105" s="654"/>
    </row>
    <row r="106" spans="1:12" s="235" customFormat="1" ht="13.15">
      <c r="A106" s="654"/>
      <c r="B106" s="1453"/>
      <c r="C106" s="1453"/>
      <c r="D106" s="1453"/>
      <c r="E106" s="605" t="str">
        <f>Performance!E244</f>
        <v>Outperformance payments earned this reporting year - Wastewater network plus</v>
      </c>
      <c r="F106" s="1438">
        <f>Performance!F244</f>
        <v>1.70299991</v>
      </c>
      <c r="G106" s="605" t="str">
        <f>Performance!G244</f>
        <v>£m (2017-18 prices)</v>
      </c>
      <c r="H106" s="583"/>
      <c r="I106" s="655"/>
      <c r="J106" s="654"/>
      <c r="K106" s="654"/>
      <c r="L106" s="654"/>
    </row>
    <row r="107" spans="1:12" s="235" customFormat="1" ht="13.15">
      <c r="A107" s="654"/>
      <c r="B107" s="1453"/>
      <c r="C107" s="1453"/>
      <c r="D107" s="1453"/>
      <c r="E107" s="605" t="str">
        <f>Performance!E245</f>
        <v>Outperformance payments earned this reporting year - Bioresources (sludge)</v>
      </c>
      <c r="F107" s="1438">
        <f>Performance!F245</f>
        <v>0</v>
      </c>
      <c r="G107" s="605" t="str">
        <f>Performance!G245</f>
        <v>£m (2017-18 prices)</v>
      </c>
      <c r="H107" s="583"/>
      <c r="I107" s="655"/>
      <c r="J107" s="654"/>
      <c r="K107" s="654"/>
      <c r="L107" s="654"/>
    </row>
    <row r="108" spans="1:12" s="235" customFormat="1" ht="13.15">
      <c r="A108" s="654"/>
      <c r="B108" s="1453"/>
      <c r="C108" s="1453"/>
      <c r="D108" s="1453"/>
      <c r="E108" s="605" t="str">
        <f>Performance!E246</f>
        <v>Outperformance payments earned this reporting year - Residential retail</v>
      </c>
      <c r="F108" s="1438">
        <f>Performance!F246</f>
        <v>0</v>
      </c>
      <c r="G108" s="605" t="str">
        <f>Performance!G246</f>
        <v>£m (2017-18 prices)</v>
      </c>
      <c r="H108" s="583"/>
      <c r="I108" s="655"/>
      <c r="J108" s="654"/>
      <c r="K108" s="654"/>
      <c r="L108" s="654"/>
    </row>
    <row r="109" spans="1:12" s="235" customFormat="1" ht="13.15">
      <c r="A109" s="654"/>
      <c r="B109" s="1453"/>
      <c r="C109" s="1453"/>
      <c r="D109" s="1453"/>
      <c r="E109" s="605" t="str">
        <f>Performance!E247</f>
        <v>Outperformance payments earned this reporting year - Business retail</v>
      </c>
      <c r="F109" s="1438">
        <f>Performance!F247</f>
        <v>0</v>
      </c>
      <c r="G109" s="605" t="str">
        <f>Performance!G247</f>
        <v>£m (2017-18 prices)</v>
      </c>
      <c r="H109" s="583"/>
      <c r="I109" s="655"/>
      <c r="J109" s="654"/>
      <c r="K109" s="654"/>
      <c r="L109" s="654"/>
    </row>
    <row r="110" spans="1:12" s="235" customFormat="1" ht="13.15">
      <c r="A110" s="654"/>
      <c r="B110" s="1453"/>
      <c r="C110" s="1453"/>
      <c r="D110" s="1453"/>
      <c r="E110" s="605" t="str">
        <f>Performance!E248</f>
        <v>Outperformance payments earned this reporting year - Dummy control</v>
      </c>
      <c r="F110" s="1438">
        <f>Performance!F248</f>
        <v>0</v>
      </c>
      <c r="G110" s="605" t="str">
        <f>Performance!G248</f>
        <v>£m (2017-18 prices)</v>
      </c>
      <c r="H110" s="583"/>
      <c r="I110" s="655"/>
      <c r="J110" s="654"/>
      <c r="K110" s="654"/>
      <c r="L110" s="654"/>
    </row>
    <row r="111" spans="1:12" s="1411" customFormat="1" ht="13.15">
      <c r="A111" s="1407"/>
      <c r="B111" s="1249"/>
      <c r="C111" s="1249"/>
      <c r="D111" s="1249"/>
      <c r="E111" s="617"/>
      <c r="F111" s="677"/>
      <c r="G111" s="617"/>
      <c r="H111" s="617"/>
      <c r="I111" s="1410"/>
      <c r="J111" s="1407"/>
      <c r="K111" s="1407"/>
      <c r="L111" s="1407"/>
    </row>
    <row r="112" spans="1:12" s="1411" customFormat="1" ht="13.15">
      <c r="A112" s="1407"/>
      <c r="B112" s="1249"/>
      <c r="C112" s="1249"/>
      <c r="D112" s="1249"/>
      <c r="E112" s="602" t="s">
        <v>1250</v>
      </c>
      <c r="F112" s="1427">
        <f>SUM(F104:F110)</f>
        <v>2.2139999100000001</v>
      </c>
      <c r="G112" s="602" t="str">
        <f>InpCompany!$F$11</f>
        <v>£m (2017-18 prices)</v>
      </c>
      <c r="H112" s="617"/>
      <c r="I112" s="1410"/>
      <c r="J112" s="1407"/>
      <c r="K112" s="1407"/>
      <c r="L112" s="1407"/>
    </row>
    <row r="113" spans="1:12" s="1411" customFormat="1" ht="13.15">
      <c r="A113" s="1407"/>
      <c r="B113" s="1249"/>
      <c r="C113" s="1249"/>
      <c r="D113" s="1249"/>
      <c r="E113" s="617"/>
      <c r="F113" s="677"/>
      <c r="G113" s="617"/>
      <c r="H113" s="617"/>
      <c r="I113" s="1410"/>
      <c r="J113" s="1407"/>
      <c r="K113" s="1407"/>
      <c r="L113" s="1407"/>
    </row>
    <row r="114" spans="1:12" s="235" customFormat="1" ht="13.15">
      <c r="A114" s="654"/>
      <c r="B114" s="1453"/>
      <c r="C114" s="1453"/>
      <c r="D114" s="1453"/>
      <c r="E114" s="605" t="str">
        <f>Performance!E251</f>
        <v>Underperformance payments earned this reporting year - Water resources</v>
      </c>
      <c r="F114" s="1438">
        <f>Performance!F251</f>
        <v>-0.32354399999999994</v>
      </c>
      <c r="G114" s="605" t="str">
        <f>Performance!G251</f>
        <v>£m (2017-18 prices)</v>
      </c>
      <c r="H114" s="583"/>
      <c r="I114" s="655"/>
      <c r="J114" s="654"/>
      <c r="K114" s="654"/>
      <c r="L114" s="654"/>
    </row>
    <row r="115" spans="1:12" s="235" customFormat="1" ht="13.15">
      <c r="A115" s="654"/>
      <c r="B115" s="1453"/>
      <c r="C115" s="1453"/>
      <c r="D115" s="1453"/>
      <c r="E115" s="605" t="str">
        <f>Performance!E252</f>
        <v>Underperformance payments earned this reporting year - Water network plus</v>
      </c>
      <c r="F115" s="1438">
        <f>Performance!F252</f>
        <v>-13.457406666666666</v>
      </c>
      <c r="G115" s="605" t="str">
        <f>Performance!G252</f>
        <v>£m (2017-18 prices)</v>
      </c>
      <c r="H115" s="583"/>
      <c r="I115" s="655"/>
      <c r="J115" s="654"/>
      <c r="K115" s="654"/>
      <c r="L115" s="654"/>
    </row>
    <row r="116" spans="1:12" s="235" customFormat="1" ht="13.15">
      <c r="A116" s="654"/>
      <c r="B116" s="1453"/>
      <c r="C116" s="1453"/>
      <c r="D116" s="1453"/>
      <c r="E116" s="605" t="str">
        <f>Performance!E253</f>
        <v>Underperformance payments earned this reporting year - Wastewater network plus</v>
      </c>
      <c r="F116" s="1438">
        <f>Performance!F253</f>
        <v>-19.353538399999998</v>
      </c>
      <c r="G116" s="605" t="str">
        <f>Performance!G253</f>
        <v>£m (2017-18 prices)</v>
      </c>
      <c r="H116" s="583"/>
      <c r="I116" s="655"/>
      <c r="J116" s="654"/>
      <c r="K116" s="654"/>
      <c r="L116" s="654"/>
    </row>
    <row r="117" spans="1:12" s="235" customFormat="1" ht="13.15">
      <c r="A117" s="654"/>
      <c r="B117" s="1453"/>
      <c r="C117" s="1453"/>
      <c r="D117" s="1453"/>
      <c r="E117" s="605" t="str">
        <f>Performance!E254</f>
        <v>Underperformance payments earned this reporting year - Bioresources (sludge)</v>
      </c>
      <c r="F117" s="1438">
        <f>Performance!F254</f>
        <v>-1.2862200000000001</v>
      </c>
      <c r="G117" s="605" t="str">
        <f>Performance!G254</f>
        <v>£m (2017-18 prices)</v>
      </c>
      <c r="H117" s="583"/>
      <c r="I117" s="655"/>
      <c r="J117" s="654"/>
      <c r="K117" s="654"/>
      <c r="L117" s="654"/>
    </row>
    <row r="118" spans="1:12" s="235" customFormat="1" ht="13.15">
      <c r="A118" s="654"/>
      <c r="B118" s="1453"/>
      <c r="C118" s="1453"/>
      <c r="D118" s="1453"/>
      <c r="E118" s="605" t="str">
        <f>Performance!E255</f>
        <v>Underperformance payments earned this reporting year - Residential retail</v>
      </c>
      <c r="F118" s="1438">
        <f>Performance!F255</f>
        <v>-0.6</v>
      </c>
      <c r="G118" s="605" t="str">
        <f>Performance!G255</f>
        <v>£m (2017-18 prices)</v>
      </c>
      <c r="H118" s="583"/>
      <c r="I118" s="655"/>
      <c r="J118" s="654"/>
      <c r="K118" s="654"/>
      <c r="L118" s="654"/>
    </row>
    <row r="119" spans="1:12" s="235" customFormat="1" ht="13.15">
      <c r="A119" s="654"/>
      <c r="B119" s="1453"/>
      <c r="C119" s="1453"/>
      <c r="D119" s="1453"/>
      <c r="E119" s="605" t="str">
        <f>Performance!E256</f>
        <v>Underperformance payments earned this reporting year - Business retail</v>
      </c>
      <c r="F119" s="1438">
        <f>Performance!F256</f>
        <v>0</v>
      </c>
      <c r="G119" s="605" t="str">
        <f>Performance!G256</f>
        <v>£m (2017-18 prices)</v>
      </c>
      <c r="H119" s="583"/>
      <c r="I119" s="655"/>
      <c r="J119" s="654"/>
      <c r="K119" s="654"/>
      <c r="L119" s="654"/>
    </row>
    <row r="120" spans="1:12" s="235" customFormat="1" ht="13.15">
      <c r="A120" s="654"/>
      <c r="B120" s="1453"/>
      <c r="C120" s="1453"/>
      <c r="D120" s="1453"/>
      <c r="E120" s="605" t="str">
        <f>Performance!E257</f>
        <v>Underperformance payments earned this reporting year - Dummy control</v>
      </c>
      <c r="F120" s="1438">
        <f>Performance!F257</f>
        <v>0</v>
      </c>
      <c r="G120" s="605" t="str">
        <f>Performance!G257</f>
        <v>£m (2017-18 prices)</v>
      </c>
      <c r="H120" s="583"/>
      <c r="I120" s="655"/>
      <c r="J120" s="654"/>
      <c r="K120" s="654"/>
      <c r="L120" s="654"/>
    </row>
    <row r="121" spans="1:12" s="1411" customFormat="1" ht="13.15">
      <c r="A121" s="1407"/>
      <c r="B121" s="1249"/>
      <c r="C121" s="1249"/>
      <c r="D121" s="1249"/>
      <c r="E121" s="617"/>
      <c r="F121" s="677"/>
      <c r="G121" s="617"/>
      <c r="H121" s="617"/>
      <c r="I121" s="1410"/>
      <c r="J121" s="1407"/>
      <c r="K121" s="1407"/>
      <c r="L121" s="1407"/>
    </row>
    <row r="122" spans="1:12" s="1411" customFormat="1" ht="13.15">
      <c r="A122" s="1407"/>
      <c r="B122" s="1249"/>
      <c r="C122" s="1249"/>
      <c r="D122" s="1249"/>
      <c r="E122" s="602" t="s">
        <v>1258</v>
      </c>
      <c r="F122" s="1427">
        <f>SUM(F114:F120)</f>
        <v>-35.020709066666662</v>
      </c>
      <c r="G122" s="602" t="str">
        <f>InpCompany!$F$11</f>
        <v>£m (2017-18 prices)</v>
      </c>
      <c r="H122" s="617"/>
      <c r="I122" s="1410"/>
      <c r="J122" s="1407"/>
      <c r="K122" s="1407"/>
      <c r="L122" s="1407"/>
    </row>
    <row r="123" spans="1:12" s="235" customFormat="1" ht="13.15">
      <c r="A123" s="654"/>
      <c r="B123" s="1453"/>
      <c r="C123" s="1453"/>
      <c r="D123" s="1453"/>
      <c r="E123" s="583"/>
      <c r="F123" s="680"/>
      <c r="G123" s="583"/>
      <c r="H123" s="583"/>
      <c r="I123" s="655"/>
      <c r="J123" s="654"/>
      <c r="K123" s="654"/>
      <c r="L123" s="654"/>
    </row>
    <row r="124" spans="1:12" s="1411" customFormat="1" ht="13.15">
      <c r="A124" s="1407"/>
      <c r="B124" s="1249"/>
      <c r="C124" s="1249"/>
      <c r="D124" s="1454" t="s">
        <v>1430</v>
      </c>
      <c r="E124" s="617"/>
      <c r="F124" s="677"/>
      <c r="G124" s="617"/>
      <c r="H124" s="617"/>
      <c r="I124" s="1410"/>
      <c r="J124" s="1407"/>
      <c r="K124" s="1407"/>
      <c r="L124" s="1407"/>
    </row>
    <row r="125" spans="1:12" s="1411" customFormat="1" ht="13.15">
      <c r="A125" s="1407"/>
      <c r="B125" s="1249"/>
      <c r="C125" s="1249"/>
      <c r="D125" s="1249"/>
      <c r="E125" s="1249" t="s">
        <v>1431</v>
      </c>
      <c r="F125" s="1427">
        <f>F104+F114</f>
        <v>0.18745600000000007</v>
      </c>
      <c r="G125" s="602" t="str">
        <f>InpCompany!$F$11</f>
        <v>£m (2017-18 prices)</v>
      </c>
      <c r="H125" s="617"/>
      <c r="I125" s="1410"/>
      <c r="J125" s="1407"/>
      <c r="K125" s="1407"/>
      <c r="L125" s="1407"/>
    </row>
    <row r="126" spans="1:12" s="1411" customFormat="1" ht="13.15">
      <c r="A126" s="1407"/>
      <c r="B126" s="1249"/>
      <c r="C126" s="1249"/>
      <c r="D126" s="1249"/>
      <c r="E126" s="1249" t="s">
        <v>1432</v>
      </c>
      <c r="F126" s="1427">
        <f t="shared" ref="F126:F130" si="6">F105+F115</f>
        <v>-13.457406666666666</v>
      </c>
      <c r="G126" s="602" t="str">
        <f>InpCompany!$F$11</f>
        <v>£m (2017-18 prices)</v>
      </c>
      <c r="H126" s="617"/>
      <c r="I126" s="1410"/>
      <c r="J126" s="1407"/>
      <c r="K126" s="1407"/>
      <c r="L126" s="1407"/>
    </row>
    <row r="127" spans="1:12" s="1411" customFormat="1" ht="13.15">
      <c r="A127" s="1407"/>
      <c r="B127" s="1249"/>
      <c r="C127" s="1249"/>
      <c r="D127" s="1249"/>
      <c r="E127" s="1249" t="s">
        <v>1433</v>
      </c>
      <c r="F127" s="1427">
        <f t="shared" si="6"/>
        <v>-17.650538489999999</v>
      </c>
      <c r="G127" s="602" t="str">
        <f>InpCompany!$F$11</f>
        <v>£m (2017-18 prices)</v>
      </c>
      <c r="H127" s="617"/>
      <c r="I127" s="1410"/>
      <c r="J127" s="1407"/>
      <c r="K127" s="1407"/>
      <c r="L127" s="1407"/>
    </row>
    <row r="128" spans="1:12" s="1411" customFormat="1" ht="13.15">
      <c r="A128" s="1407"/>
      <c r="B128" s="1249"/>
      <c r="C128" s="1249"/>
      <c r="D128" s="1249"/>
      <c r="E128" s="1249" t="s">
        <v>1434</v>
      </c>
      <c r="F128" s="1427">
        <f t="shared" si="6"/>
        <v>-1.2862200000000001</v>
      </c>
      <c r="G128" s="602" t="str">
        <f>InpCompany!$F$11</f>
        <v>£m (2017-18 prices)</v>
      </c>
      <c r="H128" s="617"/>
      <c r="I128" s="1410"/>
      <c r="J128" s="1407"/>
      <c r="K128" s="1407"/>
      <c r="L128" s="1407"/>
    </row>
    <row r="129" spans="1:12" s="1411" customFormat="1" ht="13.15">
      <c r="A129" s="1407"/>
      <c r="B129" s="1249"/>
      <c r="C129" s="1249"/>
      <c r="D129" s="1249"/>
      <c r="E129" s="1249" t="s">
        <v>1435</v>
      </c>
      <c r="F129" s="1427">
        <f t="shared" si="6"/>
        <v>-0.6</v>
      </c>
      <c r="G129" s="602" t="str">
        <f>InpCompany!$F$11</f>
        <v>£m (2017-18 prices)</v>
      </c>
      <c r="H129" s="617"/>
      <c r="I129" s="1410"/>
      <c r="J129" s="1407"/>
      <c r="K129" s="1407"/>
      <c r="L129" s="1407"/>
    </row>
    <row r="130" spans="1:12" s="1411" customFormat="1" ht="13.15">
      <c r="A130" s="1407"/>
      <c r="B130" s="1249"/>
      <c r="C130" s="1249"/>
      <c r="D130" s="1249"/>
      <c r="E130" s="1249" t="s">
        <v>1436</v>
      </c>
      <c r="F130" s="1427">
        <f t="shared" si="6"/>
        <v>0</v>
      </c>
      <c r="G130" s="602" t="str">
        <f>InpCompany!$F$11</f>
        <v>£m (2017-18 prices)</v>
      </c>
      <c r="H130" s="617"/>
      <c r="I130" s="1410"/>
      <c r="J130" s="1407"/>
      <c r="K130" s="1407"/>
      <c r="L130" s="1407"/>
    </row>
    <row r="131" spans="1:12" s="1411" customFormat="1" ht="13.15">
      <c r="A131" s="1407"/>
      <c r="B131" s="1249"/>
      <c r="C131" s="1249"/>
      <c r="D131" s="1249"/>
      <c r="E131" s="1249" t="s">
        <v>1437</v>
      </c>
      <c r="F131" s="1427">
        <f>F110+F120</f>
        <v>0</v>
      </c>
      <c r="G131" s="602" t="str">
        <f>InpCompany!$F$11</f>
        <v>£m (2017-18 prices)</v>
      </c>
      <c r="H131" s="617"/>
      <c r="I131" s="1410"/>
      <c r="J131" s="1407"/>
      <c r="K131" s="1407"/>
      <c r="L131" s="1407"/>
    </row>
    <row r="132" spans="1:12" s="235" customFormat="1" ht="13.15">
      <c r="A132" s="654"/>
      <c r="B132" s="1453"/>
      <c r="C132" s="1453"/>
      <c r="D132" s="1453"/>
      <c r="E132" s="583"/>
      <c r="F132" s="680"/>
      <c r="G132" s="583"/>
      <c r="H132" s="583"/>
      <c r="I132" s="655"/>
      <c r="J132" s="654"/>
      <c r="K132" s="654"/>
      <c r="L132" s="654"/>
    </row>
    <row r="133" spans="1:12" s="1411" customFormat="1" ht="13.15">
      <c r="A133" s="1407"/>
      <c r="B133" s="1249"/>
      <c r="C133" s="1249"/>
      <c r="D133" s="1455" t="s">
        <v>1368</v>
      </c>
      <c r="E133" s="617"/>
      <c r="F133" s="677"/>
      <c r="G133" s="617"/>
      <c r="H133" s="617"/>
      <c r="I133" s="1410"/>
      <c r="J133" s="1407"/>
      <c r="K133" s="1407"/>
      <c r="L133" s="1407"/>
    </row>
    <row r="134" spans="1:12" s="1411" customFormat="1" ht="13.15">
      <c r="A134" s="1407"/>
      <c r="B134" s="1249"/>
      <c r="C134" s="1249"/>
      <c r="D134" s="1249"/>
      <c r="E134" s="510" t="s">
        <v>1438</v>
      </c>
      <c r="F134" s="677"/>
      <c r="G134" s="602" t="str">
        <f>InpCompany!$F$11</f>
        <v>£m (2017-18 prices)</v>
      </c>
      <c r="H134" s="617"/>
      <c r="I134" s="1410"/>
      <c r="J134" s="1428">
        <f>F125</f>
        <v>0.18745600000000007</v>
      </c>
      <c r="K134" s="1410"/>
      <c r="L134" s="1410"/>
    </row>
    <row r="135" spans="1:12" s="1411" customFormat="1" ht="13.15">
      <c r="A135" s="1407"/>
      <c r="B135" s="1249"/>
      <c r="C135" s="1249"/>
      <c r="D135" s="1249"/>
      <c r="E135" s="510" t="s">
        <v>1439</v>
      </c>
      <c r="F135" s="677"/>
      <c r="G135" s="602" t="str">
        <f>InpCompany!$F$11</f>
        <v>£m (2017-18 prices)</v>
      </c>
      <c r="H135" s="617"/>
      <c r="I135" s="1410"/>
      <c r="J135" s="1428">
        <f>F126</f>
        <v>-13.457406666666666</v>
      </c>
      <c r="K135" s="1410"/>
      <c r="L135" s="1410"/>
    </row>
    <row r="136" spans="1:12" s="1411" customFormat="1" ht="13.15">
      <c r="A136" s="1407"/>
      <c r="B136" s="1249"/>
      <c r="C136" s="1249"/>
      <c r="D136" s="1249"/>
      <c r="E136" s="510" t="s">
        <v>1440</v>
      </c>
      <c r="F136" s="677"/>
      <c r="G136" s="602" t="str">
        <f>InpCompany!$F$11</f>
        <v>£m (2017-18 prices)</v>
      </c>
      <c r="H136" s="617"/>
      <c r="I136" s="1410"/>
      <c r="J136" s="1410"/>
      <c r="K136" s="1428">
        <f>F127</f>
        <v>-17.650538489999999</v>
      </c>
      <c r="L136" s="1410"/>
    </row>
    <row r="137" spans="1:12" s="1411" customFormat="1" ht="13.15">
      <c r="A137" s="1407"/>
      <c r="B137" s="1249"/>
      <c r="C137" s="1249"/>
      <c r="D137" s="1249"/>
      <c r="E137" s="510" t="s">
        <v>1441</v>
      </c>
      <c r="F137" s="677"/>
      <c r="G137" s="602" t="str">
        <f>InpCompany!$F$11</f>
        <v>£m (2017-18 prices)</v>
      </c>
      <c r="H137" s="617"/>
      <c r="I137" s="1410"/>
      <c r="J137" s="1410"/>
      <c r="K137" s="1428">
        <f>F128</f>
        <v>-1.2862200000000001</v>
      </c>
      <c r="L137" s="1410"/>
    </row>
    <row r="138" spans="1:12" s="1411" customFormat="1" ht="13.15">
      <c r="A138" s="1407"/>
      <c r="B138" s="1249"/>
      <c r="C138" s="1249"/>
      <c r="D138" s="1249"/>
      <c r="E138" s="510" t="s">
        <v>1442</v>
      </c>
      <c r="F138" s="677"/>
      <c r="G138" s="602" t="str">
        <f>InpCompany!$F$11</f>
        <v>£m (2017-18 prices)</v>
      </c>
      <c r="H138" s="617"/>
      <c r="I138" s="1410"/>
      <c r="J138" s="1410"/>
      <c r="K138" s="1410"/>
      <c r="L138" s="1428">
        <f>F129</f>
        <v>-0.6</v>
      </c>
    </row>
    <row r="139" spans="1:12" s="1411" customFormat="1" ht="13.15">
      <c r="A139" s="1407"/>
      <c r="B139" s="1249"/>
      <c r="C139" s="1249"/>
      <c r="D139" s="1249"/>
      <c r="E139" s="510" t="s">
        <v>1443</v>
      </c>
      <c r="F139" s="677"/>
      <c r="G139" s="602" t="str">
        <f>InpCompany!$F$11</f>
        <v>£m (2017-18 prices)</v>
      </c>
      <c r="H139" s="617"/>
      <c r="I139" s="1410"/>
      <c r="J139" s="1410"/>
      <c r="K139" s="1410"/>
      <c r="L139" s="1428">
        <f t="shared" ref="L139:L140" si="7">F130</f>
        <v>0</v>
      </c>
    </row>
    <row r="140" spans="1:12" s="1411" customFormat="1" ht="13.15">
      <c r="A140" s="1407"/>
      <c r="B140" s="1249"/>
      <c r="C140" s="1249"/>
      <c r="D140" s="1249"/>
      <c r="E140" s="510" t="s">
        <v>1444</v>
      </c>
      <c r="F140" s="677"/>
      <c r="G140" s="602" t="str">
        <f>InpCompany!$F$11</f>
        <v>£m (2017-18 prices)</v>
      </c>
      <c r="H140" s="617"/>
      <c r="I140" s="1410"/>
      <c r="J140" s="1410"/>
      <c r="K140" s="1410"/>
      <c r="L140" s="1428">
        <f t="shared" si="7"/>
        <v>0</v>
      </c>
    </row>
    <row r="141" spans="1:12" s="1411" customFormat="1" ht="13.15">
      <c r="A141" s="1407"/>
      <c r="B141" s="1249"/>
      <c r="C141" s="1249"/>
      <c r="D141" s="1249"/>
      <c r="E141" s="453"/>
      <c r="F141" s="617"/>
      <c r="G141" s="617"/>
      <c r="H141" s="617"/>
      <c r="I141" s="1410"/>
      <c r="J141" s="1410"/>
      <c r="K141" s="1410"/>
      <c r="L141" s="1410"/>
    </row>
    <row r="142" spans="1:12" s="1411" customFormat="1" ht="13.15">
      <c r="A142" s="1407"/>
      <c r="B142" s="1249"/>
      <c r="C142" s="1249"/>
      <c r="D142" s="1249"/>
      <c r="E142" s="1429" t="s">
        <v>1445</v>
      </c>
      <c r="F142" s="617"/>
      <c r="G142" s="617"/>
      <c r="H142" s="617"/>
      <c r="I142" s="1410"/>
      <c r="J142" s="1428">
        <f>SUM(J134:J140)</f>
        <v>-13.269950666666666</v>
      </c>
      <c r="K142" s="1428">
        <f>SUM(K134:K140)</f>
        <v>-18.936758489999999</v>
      </c>
      <c r="L142" s="1428">
        <f>SUM(L134:L140)</f>
        <v>-0.6</v>
      </c>
    </row>
    <row r="143" spans="1:12" s="1411" customFormat="1" ht="13.15">
      <c r="A143" s="1407"/>
      <c r="B143" s="1249"/>
      <c r="C143" s="1249"/>
      <c r="D143" s="1249"/>
      <c r="E143" s="455"/>
      <c r="F143" s="617"/>
      <c r="G143" s="617"/>
      <c r="H143" s="617"/>
      <c r="I143" s="1410"/>
      <c r="J143" s="1410"/>
      <c r="K143" s="1410"/>
      <c r="L143" s="1410"/>
    </row>
    <row r="144" spans="1:12" s="1411" customFormat="1" ht="13.15">
      <c r="A144" s="1407"/>
      <c r="B144" s="1249"/>
      <c r="C144" s="1249"/>
      <c r="D144" s="1249"/>
      <c r="E144" s="510" t="s">
        <v>1446</v>
      </c>
      <c r="F144" s="617"/>
      <c r="G144" s="602" t="str">
        <f>InpCompany!$F$11</f>
        <v>£m (2017-18 prices)</v>
      </c>
      <c r="H144" s="617"/>
      <c r="I144" s="1410"/>
      <c r="J144" s="1428">
        <f>F114</f>
        <v>-0.32354399999999994</v>
      </c>
      <c r="K144" s="1410"/>
      <c r="L144" s="1410"/>
    </row>
    <row r="145" spans="1:12" s="1411" customFormat="1" ht="13.15">
      <c r="A145" s="1407"/>
      <c r="B145" s="1249"/>
      <c r="C145" s="1249"/>
      <c r="D145" s="1249"/>
      <c r="E145" s="510" t="s">
        <v>1447</v>
      </c>
      <c r="F145" s="617"/>
      <c r="G145" s="602" t="str">
        <f>InpCompany!$F$11</f>
        <v>£m (2017-18 prices)</v>
      </c>
      <c r="H145" s="617"/>
      <c r="I145" s="1410"/>
      <c r="J145" s="1428">
        <f>F115</f>
        <v>-13.457406666666666</v>
      </c>
      <c r="K145" s="1410"/>
      <c r="L145" s="1410"/>
    </row>
    <row r="146" spans="1:12" s="1411" customFormat="1" ht="13.15">
      <c r="A146" s="1407"/>
      <c r="B146" s="1249"/>
      <c r="C146" s="1249"/>
      <c r="D146" s="1249"/>
      <c r="E146" s="510" t="s">
        <v>1448</v>
      </c>
      <c r="F146" s="617"/>
      <c r="G146" s="602" t="str">
        <f>InpCompany!$F$11</f>
        <v>£m (2017-18 prices)</v>
      </c>
      <c r="H146" s="617"/>
      <c r="I146" s="1410"/>
      <c r="J146" s="1410"/>
      <c r="K146" s="1428">
        <f>F116</f>
        <v>-19.353538399999998</v>
      </c>
      <c r="L146" s="1410"/>
    </row>
    <row r="147" spans="1:12" s="1411" customFormat="1" ht="13.15">
      <c r="A147" s="1407"/>
      <c r="B147" s="1249"/>
      <c r="C147" s="1249"/>
      <c r="D147" s="1249"/>
      <c r="E147" s="510" t="s">
        <v>1449</v>
      </c>
      <c r="F147" s="617"/>
      <c r="G147" s="602" t="str">
        <f>InpCompany!$F$11</f>
        <v>£m (2017-18 prices)</v>
      </c>
      <c r="H147" s="617"/>
      <c r="I147" s="1410"/>
      <c r="J147" s="1410"/>
      <c r="K147" s="1428">
        <f>F117</f>
        <v>-1.2862200000000001</v>
      </c>
      <c r="L147" s="1410"/>
    </row>
    <row r="148" spans="1:12" s="1411" customFormat="1" ht="13.15">
      <c r="A148" s="1407"/>
      <c r="B148" s="1249"/>
      <c r="C148" s="1249"/>
      <c r="D148" s="1249"/>
      <c r="E148" s="510" t="s">
        <v>1450</v>
      </c>
      <c r="F148" s="617"/>
      <c r="G148" s="602" t="str">
        <f>InpCompany!$F$11</f>
        <v>£m (2017-18 prices)</v>
      </c>
      <c r="H148" s="617"/>
      <c r="I148" s="1410"/>
      <c r="J148" s="1410"/>
      <c r="K148" s="1410"/>
      <c r="L148" s="1428">
        <f>F118</f>
        <v>-0.6</v>
      </c>
    </row>
    <row r="149" spans="1:12" s="1411" customFormat="1" ht="13.15">
      <c r="A149" s="1407"/>
      <c r="B149" s="1249"/>
      <c r="C149" s="1249"/>
      <c r="D149" s="1249"/>
      <c r="E149" s="510" t="s">
        <v>1451</v>
      </c>
      <c r="F149" s="617"/>
      <c r="G149" s="602" t="str">
        <f>InpCompany!$F$11</f>
        <v>£m (2017-18 prices)</v>
      </c>
      <c r="H149" s="617"/>
      <c r="I149" s="1410"/>
      <c r="J149" s="1410"/>
      <c r="K149" s="1410"/>
      <c r="L149" s="1428">
        <f t="shared" ref="L149:L150" si="8">F119</f>
        <v>0</v>
      </c>
    </row>
    <row r="150" spans="1:12" s="1411" customFormat="1" ht="13.15">
      <c r="A150" s="1407"/>
      <c r="B150" s="1249"/>
      <c r="C150" s="1249"/>
      <c r="D150" s="1249"/>
      <c r="E150" s="510" t="s">
        <v>1452</v>
      </c>
      <c r="F150" s="617"/>
      <c r="G150" s="602" t="str">
        <f>InpCompany!$F$11</f>
        <v>£m (2017-18 prices)</v>
      </c>
      <c r="H150" s="617"/>
      <c r="I150" s="1410"/>
      <c r="J150" s="1410"/>
      <c r="K150" s="1410"/>
      <c r="L150" s="1428">
        <f t="shared" si="8"/>
        <v>0</v>
      </c>
    </row>
    <row r="151" spans="1:12" s="1411" customFormat="1" ht="13.15">
      <c r="A151" s="1407"/>
      <c r="B151" s="1249"/>
      <c r="C151" s="1249"/>
      <c r="D151" s="1249"/>
      <c r="E151" s="455"/>
      <c r="F151" s="617"/>
      <c r="G151" s="617"/>
      <c r="H151" s="617"/>
      <c r="I151" s="1410"/>
      <c r="J151" s="1410"/>
      <c r="K151" s="1410"/>
      <c r="L151" s="1410"/>
    </row>
    <row r="152" spans="1:12" s="1411" customFormat="1" ht="13.15">
      <c r="A152" s="1407"/>
      <c r="B152" s="1249"/>
      <c r="C152" s="1249"/>
      <c r="D152" s="1249"/>
      <c r="E152" s="1429" t="s">
        <v>1453</v>
      </c>
      <c r="F152" s="617"/>
      <c r="G152" s="617"/>
      <c r="H152" s="617"/>
      <c r="I152" s="1410"/>
      <c r="J152" s="1428">
        <f>SUM(J144:J150)</f>
        <v>-13.780950666666666</v>
      </c>
      <c r="K152" s="1428">
        <f>SUM(K144:K150)</f>
        <v>-20.639758399999998</v>
      </c>
      <c r="L152" s="1428">
        <f>SUM(L144:L150)</f>
        <v>-0.6</v>
      </c>
    </row>
    <row r="153" spans="1:12" s="1411" customFormat="1" ht="13.15">
      <c r="A153" s="1407"/>
      <c r="B153" s="1249"/>
      <c r="C153" s="1249"/>
      <c r="D153" s="1249"/>
      <c r="E153" s="455"/>
      <c r="F153" s="617"/>
      <c r="G153" s="617"/>
      <c r="H153" s="617"/>
      <c r="I153" s="1410"/>
      <c r="J153" s="1407"/>
      <c r="K153" s="1407"/>
      <c r="L153" s="1407"/>
    </row>
    <row r="154" spans="1:12" s="1411" customFormat="1" ht="13.15">
      <c r="A154" s="1407"/>
      <c r="B154" s="1249"/>
      <c r="C154" s="1249"/>
      <c r="D154" s="1455" t="s">
        <v>1377</v>
      </c>
      <c r="E154" s="455"/>
      <c r="F154" s="617"/>
      <c r="G154" s="617"/>
      <c r="H154" s="617"/>
      <c r="I154" s="1410"/>
      <c r="J154" s="1407"/>
      <c r="K154" s="1407"/>
      <c r="L154" s="1407"/>
    </row>
    <row r="155" spans="1:12" s="1411" customFormat="1" ht="13.15">
      <c r="A155" s="1407"/>
      <c r="B155" s="1249"/>
      <c r="C155" s="1249"/>
      <c r="D155" s="1249"/>
      <c r="E155" s="1429" t="s">
        <v>1454</v>
      </c>
      <c r="F155" s="455"/>
      <c r="G155" s="602" t="str">
        <f>InpCompany!$F$11</f>
        <v>£m (2017-18 prices)</v>
      </c>
      <c r="H155" s="455"/>
      <c r="I155" s="455"/>
      <c r="J155" s="1430">
        <f>J31*-1</f>
        <v>-15.756312000000001</v>
      </c>
      <c r="K155" s="1430">
        <f t="shared" ref="K155" si="9">K31*-1</f>
        <v>-48.462924000000001</v>
      </c>
      <c r="L155" s="1430"/>
    </row>
    <row r="156" spans="1:12" s="1411" customFormat="1" ht="13.15">
      <c r="A156" s="1407"/>
      <c r="B156" s="1249"/>
      <c r="C156" s="1249"/>
      <c r="D156" s="1249"/>
      <c r="E156" s="1429" t="s">
        <v>1455</v>
      </c>
      <c r="F156" s="455"/>
      <c r="G156" s="1431" t="s">
        <v>1383</v>
      </c>
      <c r="H156" s="617"/>
      <c r="I156" s="1410"/>
      <c r="J156" s="1431" t="b">
        <f>IF(J142&lt;J155,TRUE,FALSE)</f>
        <v>0</v>
      </c>
      <c r="K156" s="1431" t="b">
        <f>IF(K142&lt;K155,TRUE,FALSE)</f>
        <v>0</v>
      </c>
      <c r="L156" s="455"/>
    </row>
    <row r="157" spans="1:12" s="235" customFormat="1" ht="13.15">
      <c r="A157" s="654"/>
      <c r="B157" s="1453"/>
      <c r="C157" s="1453"/>
      <c r="D157" s="1453"/>
      <c r="E157" s="605" t="s">
        <v>1149</v>
      </c>
      <c r="G157" s="605" t="s">
        <v>1146</v>
      </c>
      <c r="H157" s="583"/>
      <c r="I157" s="655"/>
      <c r="J157" s="1432">
        <f>InpCompany!$F$29</f>
        <v>0.5</v>
      </c>
      <c r="K157" s="1432">
        <f>InpCompany!$F$29</f>
        <v>0.5</v>
      </c>
      <c r="L157" s="654"/>
    </row>
    <row r="158" spans="1:12" s="1411" customFormat="1" ht="13.15">
      <c r="A158" s="1407"/>
      <c r="B158" s="1249"/>
      <c r="C158" s="1249"/>
      <c r="D158" s="1249"/>
      <c r="E158" s="602" t="str">
        <f>E100</f>
        <v>Bespoke sharing mechanism applies?</v>
      </c>
      <c r="F158" s="602" t="b">
        <f t="shared" ref="F158" si="10">F100</f>
        <v>0</v>
      </c>
      <c r="G158" s="602"/>
      <c r="H158" s="617"/>
      <c r="I158" s="1410"/>
      <c r="J158" s="1412"/>
      <c r="K158" s="1412"/>
      <c r="L158" s="1407"/>
    </row>
    <row r="159" spans="1:12" s="235" customFormat="1" ht="13.15">
      <c r="A159" s="654"/>
      <c r="B159" s="1453"/>
      <c r="C159" s="1453"/>
      <c r="D159" s="1453"/>
      <c r="E159" s="1429" t="s">
        <v>1456</v>
      </c>
      <c r="F159" s="455"/>
      <c r="G159" s="1431" t="str">
        <f>InpCompany!$F$11</f>
        <v>£m (2017-18 prices)</v>
      </c>
      <c r="H159" s="455"/>
      <c r="I159" s="455"/>
      <c r="J159" s="610">
        <f>IF(AND(J156,$F$158),(J142-J155)*J157,0)</f>
        <v>0</v>
      </c>
      <c r="K159" s="610">
        <f t="shared" ref="K159" si="11">IF(AND(K156,$F$158),(K142-K155)*K157,0)</f>
        <v>0</v>
      </c>
      <c r="L159" s="610"/>
    </row>
    <row r="160" spans="1:12" s="1411" customFormat="1" ht="13.15">
      <c r="A160" s="1407"/>
      <c r="B160" s="1249"/>
      <c r="C160" s="1249"/>
      <c r="D160" s="1249"/>
      <c r="E160" s="1407"/>
      <c r="F160" s="1407"/>
      <c r="G160" s="1409"/>
      <c r="H160" s="1407"/>
      <c r="I160" s="1407"/>
      <c r="J160" s="492"/>
      <c r="K160" s="492"/>
      <c r="L160" s="1407"/>
    </row>
    <row r="161" spans="1:12" s="1411" customFormat="1" ht="13.15">
      <c r="A161" s="1407"/>
      <c r="B161" s="1249"/>
      <c r="C161" s="1249"/>
      <c r="D161" s="1249"/>
      <c r="E161" s="1407"/>
      <c r="F161" s="1407"/>
      <c r="G161" s="1409"/>
      <c r="H161" s="1407"/>
      <c r="I161" s="1407"/>
      <c r="J161" s="492"/>
      <c r="K161" s="492"/>
      <c r="L161" s="1407"/>
    </row>
    <row r="162" spans="1:12" s="1411" customFormat="1" ht="13.15">
      <c r="A162" s="1407"/>
      <c r="B162" s="1249"/>
      <c r="C162" s="1456" t="s">
        <v>1385</v>
      </c>
      <c r="D162" s="1249"/>
      <c r="E162" s="1407"/>
      <c r="F162" s="1407"/>
      <c r="G162" s="1409"/>
      <c r="H162" s="1407"/>
      <c r="I162" s="1407"/>
      <c r="J162" s="492"/>
      <c r="K162" s="492"/>
      <c r="L162" s="1407"/>
    </row>
    <row r="163" spans="1:12" s="1411" customFormat="1" ht="13.15">
      <c r="A163" s="1407"/>
      <c r="B163" s="1249"/>
      <c r="C163" s="1249"/>
      <c r="D163" s="1249"/>
      <c r="E163" s="1407"/>
      <c r="F163" s="1407"/>
      <c r="G163" s="1409"/>
      <c r="H163" s="1407"/>
      <c r="I163" s="1407"/>
      <c r="J163" s="492"/>
      <c r="K163" s="492"/>
      <c r="L163" s="1407"/>
    </row>
    <row r="164" spans="1:12" s="1411" customFormat="1" ht="13.15">
      <c r="A164" s="1407"/>
      <c r="B164" s="1249"/>
      <c r="C164" s="1249"/>
      <c r="D164" s="1455" t="s">
        <v>1457</v>
      </c>
      <c r="E164" s="1407"/>
      <c r="F164" s="1407"/>
      <c r="G164" s="1409"/>
      <c r="H164" s="1407"/>
      <c r="I164" s="1407"/>
      <c r="J164" s="492"/>
      <c r="K164" s="492"/>
      <c r="L164" s="1407"/>
    </row>
    <row r="165" spans="1:12" s="1411" customFormat="1" ht="13.15">
      <c r="A165" s="1407"/>
      <c r="B165" s="1249"/>
      <c r="C165" s="1249"/>
      <c r="D165" s="1249"/>
      <c r="E165" s="510" t="s">
        <v>1458</v>
      </c>
      <c r="F165" s="1433"/>
      <c r="G165" s="1431" t="s">
        <v>1146</v>
      </c>
      <c r="H165" s="455"/>
      <c r="I165" s="455"/>
      <c r="J165" s="1433">
        <f>IFERROR(J144/J$152,0)</f>
        <v>2.3477625588094405E-2</v>
      </c>
      <c r="K165" s="1433">
        <f t="shared" ref="K165" si="12">IFERROR(K144/K$152,0)</f>
        <v>0</v>
      </c>
      <c r="L165" s="1433"/>
    </row>
    <row r="166" spans="1:12" s="1411" customFormat="1" ht="13.15">
      <c r="A166" s="1407"/>
      <c r="B166" s="1249"/>
      <c r="C166" s="1249"/>
      <c r="D166" s="1249"/>
      <c r="E166" s="510" t="s">
        <v>1459</v>
      </c>
      <c r="F166" s="1433"/>
      <c r="G166" s="1431" t="s">
        <v>1146</v>
      </c>
      <c r="H166" s="1407"/>
      <c r="I166" s="1407"/>
      <c r="J166" s="1433">
        <f t="shared" ref="J166:J171" si="13">IFERROR(J145/J$152,0)</f>
        <v>0.97652237441190559</v>
      </c>
      <c r="K166" s="1433">
        <f t="shared" ref="K166:K171" si="14">IFERROR(K145/K$152,0)</f>
        <v>0</v>
      </c>
      <c r="L166" s="1433"/>
    </row>
    <row r="167" spans="1:12" s="1411" customFormat="1" ht="13.15">
      <c r="A167" s="1407"/>
      <c r="B167" s="1249"/>
      <c r="C167" s="1249"/>
      <c r="D167" s="1249"/>
      <c r="E167" s="510" t="s">
        <v>1460</v>
      </c>
      <c r="F167" s="1433"/>
      <c r="G167" s="1431" t="s">
        <v>1146</v>
      </c>
      <c r="H167" s="1407"/>
      <c r="I167" s="1407"/>
      <c r="J167" s="1433">
        <f t="shared" si="13"/>
        <v>0</v>
      </c>
      <c r="K167" s="1433">
        <f t="shared" si="14"/>
        <v>0.93768241008092423</v>
      </c>
      <c r="L167" s="1433"/>
    </row>
    <row r="168" spans="1:12" s="1411" customFormat="1" ht="13.15">
      <c r="A168" s="1407"/>
      <c r="B168" s="1249"/>
      <c r="C168" s="1249"/>
      <c r="D168" s="1249"/>
      <c r="E168" s="510" t="s">
        <v>1461</v>
      </c>
      <c r="F168" s="1433"/>
      <c r="G168" s="1431" t="s">
        <v>1146</v>
      </c>
      <c r="H168" s="1407"/>
      <c r="I168" s="1407"/>
      <c r="J168" s="1433">
        <f t="shared" si="13"/>
        <v>0</v>
      </c>
      <c r="K168" s="1433">
        <f>IFERROR(K147/K$152,0)</f>
        <v>6.2317589919075808E-2</v>
      </c>
      <c r="L168" s="1433"/>
    </row>
    <row r="169" spans="1:12" s="1411" customFormat="1" ht="13.15">
      <c r="A169" s="1407"/>
      <c r="B169" s="1249"/>
      <c r="C169" s="1249"/>
      <c r="D169" s="1249"/>
      <c r="E169" s="510" t="s">
        <v>1462</v>
      </c>
      <c r="F169" s="1433"/>
      <c r="G169" s="1431" t="s">
        <v>1146</v>
      </c>
      <c r="H169" s="1407"/>
      <c r="I169" s="1407"/>
      <c r="J169" s="1433">
        <f t="shared" si="13"/>
        <v>0</v>
      </c>
      <c r="K169" s="1433">
        <f t="shared" si="14"/>
        <v>0</v>
      </c>
      <c r="L169" s="1433"/>
    </row>
    <row r="170" spans="1:12" s="1411" customFormat="1" ht="13.15">
      <c r="A170" s="1407"/>
      <c r="B170" s="1249"/>
      <c r="C170" s="1249"/>
      <c r="D170" s="1249"/>
      <c r="E170" s="510" t="s">
        <v>1463</v>
      </c>
      <c r="F170" s="1433"/>
      <c r="G170" s="1431" t="s">
        <v>1146</v>
      </c>
      <c r="H170" s="1407"/>
      <c r="I170" s="1407"/>
      <c r="J170" s="1433">
        <f t="shared" si="13"/>
        <v>0</v>
      </c>
      <c r="K170" s="1433">
        <f t="shared" si="14"/>
        <v>0</v>
      </c>
      <c r="L170" s="1433"/>
    </row>
    <row r="171" spans="1:12" s="1411" customFormat="1" ht="13.15">
      <c r="A171" s="1407"/>
      <c r="B171" s="1249"/>
      <c r="C171" s="1249"/>
      <c r="D171" s="1249"/>
      <c r="E171" s="510" t="s">
        <v>1464</v>
      </c>
      <c r="F171" s="1433"/>
      <c r="G171" s="1431" t="s">
        <v>1146</v>
      </c>
      <c r="H171" s="1407"/>
      <c r="I171" s="1407"/>
      <c r="J171" s="1433">
        <f t="shared" si="13"/>
        <v>0</v>
      </c>
      <c r="K171" s="1433">
        <f t="shared" si="14"/>
        <v>0</v>
      </c>
      <c r="L171" s="1433"/>
    </row>
    <row r="172" spans="1:12" s="1411" customFormat="1" ht="13.15">
      <c r="A172" s="1407"/>
      <c r="B172" s="1249"/>
      <c r="C172" s="1249"/>
      <c r="D172" s="1249"/>
      <c r="E172" s="453"/>
      <c r="G172" s="617"/>
      <c r="H172" s="617"/>
      <c r="I172" s="1410"/>
      <c r="J172" s="1412"/>
      <c r="K172" s="1412"/>
      <c r="L172" s="1407"/>
    </row>
    <row r="173" spans="1:12" s="1411" customFormat="1" ht="14.25">
      <c r="A173" s="1407"/>
      <c r="B173" s="1249"/>
      <c r="C173" s="1249"/>
      <c r="D173" s="1455" t="s">
        <v>1465</v>
      </c>
      <c r="E173" s="1378"/>
      <c r="F173" s="455"/>
      <c r="G173" s="471"/>
      <c r="H173" s="455"/>
      <c r="I173" s="455"/>
      <c r="J173" s="653"/>
      <c r="K173" s="653"/>
      <c r="L173" s="653"/>
    </row>
    <row r="174" spans="1:12" s="1411" customFormat="1" ht="13.15">
      <c r="A174" s="1407"/>
      <c r="B174" s="1249"/>
      <c r="C174" s="1249"/>
      <c r="D174" s="1429"/>
      <c r="E174" s="510" t="s">
        <v>1466</v>
      </c>
      <c r="F174" s="455"/>
      <c r="G174" s="1431" t="str">
        <f>InpCompany!$F$11</f>
        <v>£m (2017-18 prices)</v>
      </c>
      <c r="H174" s="455"/>
      <c r="I174" s="455"/>
      <c r="J174" s="610">
        <f>J$159*J165</f>
        <v>0</v>
      </c>
      <c r="K174" s="610">
        <f t="shared" ref="K174" si="15">K$159*K165</f>
        <v>0</v>
      </c>
      <c r="L174" s="610"/>
    </row>
    <row r="175" spans="1:12" s="1411" customFormat="1" ht="13.15">
      <c r="A175" s="1407"/>
      <c r="B175" s="1249"/>
      <c r="C175" s="1249"/>
      <c r="D175" s="1429"/>
      <c r="E175" s="510" t="s">
        <v>1467</v>
      </c>
      <c r="F175" s="455"/>
      <c r="G175" s="1431" t="str">
        <f>InpCompany!$F$11</f>
        <v>£m (2017-18 prices)</v>
      </c>
      <c r="H175" s="455"/>
      <c r="I175" s="455"/>
      <c r="J175" s="610">
        <f t="shared" ref="J175:K180" si="16">J$159*J166</f>
        <v>0</v>
      </c>
      <c r="K175" s="610">
        <f t="shared" si="16"/>
        <v>0</v>
      </c>
      <c r="L175" s="610"/>
    </row>
    <row r="176" spans="1:12" s="1411" customFormat="1" ht="13.15">
      <c r="A176" s="1407"/>
      <c r="B176" s="1249"/>
      <c r="C176" s="1249"/>
      <c r="D176" s="1429"/>
      <c r="E176" s="510" t="s">
        <v>1468</v>
      </c>
      <c r="F176" s="455"/>
      <c r="G176" s="1431" t="str">
        <f>InpCompany!$F$11</f>
        <v>£m (2017-18 prices)</v>
      </c>
      <c r="H176" s="455"/>
      <c r="I176" s="455"/>
      <c r="J176" s="610">
        <f t="shared" si="16"/>
        <v>0</v>
      </c>
      <c r="K176" s="610">
        <f t="shared" si="16"/>
        <v>0</v>
      </c>
      <c r="L176" s="610"/>
    </row>
    <row r="177" spans="1:12" s="1411" customFormat="1" ht="13.15">
      <c r="A177" s="1407"/>
      <c r="B177" s="1249"/>
      <c r="C177" s="1249"/>
      <c r="D177" s="1429"/>
      <c r="E177" s="510" t="s">
        <v>1469</v>
      </c>
      <c r="F177" s="455"/>
      <c r="G177" s="1431" t="str">
        <f>InpCompany!$F$11</f>
        <v>£m (2017-18 prices)</v>
      </c>
      <c r="H177" s="455"/>
      <c r="I177" s="455"/>
      <c r="J177" s="610">
        <f t="shared" si="16"/>
        <v>0</v>
      </c>
      <c r="K177" s="610">
        <f t="shared" si="16"/>
        <v>0</v>
      </c>
      <c r="L177" s="610"/>
    </row>
    <row r="178" spans="1:12" s="1411" customFormat="1" ht="13.15">
      <c r="A178" s="1407"/>
      <c r="B178" s="1249"/>
      <c r="C178" s="1249"/>
      <c r="D178" s="1429"/>
      <c r="E178" s="510" t="s">
        <v>1470</v>
      </c>
      <c r="F178" s="455"/>
      <c r="G178" s="1431" t="str">
        <f>InpCompany!$F$11</f>
        <v>£m (2017-18 prices)</v>
      </c>
      <c r="H178" s="455"/>
      <c r="I178" s="455"/>
      <c r="J178" s="610">
        <f t="shared" si="16"/>
        <v>0</v>
      </c>
      <c r="K178" s="610">
        <f t="shared" si="16"/>
        <v>0</v>
      </c>
      <c r="L178" s="610"/>
    </row>
    <row r="179" spans="1:12" s="1411" customFormat="1" ht="13.15">
      <c r="A179" s="1407"/>
      <c r="B179" s="1249"/>
      <c r="C179" s="1249"/>
      <c r="D179" s="1429"/>
      <c r="E179" s="510" t="s">
        <v>1471</v>
      </c>
      <c r="F179" s="455"/>
      <c r="G179" s="1431" t="str">
        <f>InpCompany!$F$11</f>
        <v>£m (2017-18 prices)</v>
      </c>
      <c r="H179" s="455"/>
      <c r="I179" s="455"/>
      <c r="J179" s="610">
        <f t="shared" si="16"/>
        <v>0</v>
      </c>
      <c r="K179" s="610">
        <f t="shared" si="16"/>
        <v>0</v>
      </c>
      <c r="L179" s="610"/>
    </row>
    <row r="180" spans="1:12" s="1411" customFormat="1" ht="13.15">
      <c r="A180" s="1407"/>
      <c r="B180" s="1249"/>
      <c r="C180" s="1249"/>
      <c r="D180" s="1429"/>
      <c r="E180" s="510" t="s">
        <v>1472</v>
      </c>
      <c r="F180" s="455"/>
      <c r="G180" s="1431" t="str">
        <f>InpCompany!$F$11</f>
        <v>£m (2017-18 prices)</v>
      </c>
      <c r="H180" s="455"/>
      <c r="I180" s="455"/>
      <c r="J180" s="610">
        <f t="shared" si="16"/>
        <v>0</v>
      </c>
      <c r="K180" s="610">
        <f t="shared" si="16"/>
        <v>0</v>
      </c>
      <c r="L180" s="610"/>
    </row>
    <row r="181" spans="1:12" s="1411" customFormat="1" ht="14.25">
      <c r="A181" s="1407"/>
      <c r="B181" s="1249"/>
      <c r="C181" s="1249"/>
      <c r="D181" s="1429"/>
      <c r="E181" s="1378"/>
      <c r="F181" s="455"/>
      <c r="G181" s="471"/>
      <c r="H181" s="455"/>
      <c r="I181" s="455"/>
      <c r="J181" s="455"/>
      <c r="K181" s="455"/>
      <c r="L181" s="455"/>
    </row>
    <row r="182" spans="1:12" s="1411" customFormat="1" ht="13.15">
      <c r="A182" s="1407"/>
      <c r="B182" s="1249"/>
      <c r="C182" s="1249"/>
      <c r="D182" s="1455" t="s">
        <v>1473</v>
      </c>
      <c r="E182" s="460"/>
      <c r="F182" s="460"/>
      <c r="G182" s="664"/>
      <c r="H182" s="455"/>
      <c r="I182" s="455"/>
      <c r="J182" s="455"/>
      <c r="K182" s="455"/>
      <c r="L182" s="455"/>
    </row>
    <row r="183" spans="1:12" s="1411" customFormat="1" ht="13.15">
      <c r="A183" s="1407"/>
      <c r="B183" s="1249"/>
      <c r="C183" s="1249"/>
      <c r="D183" s="1429"/>
      <c r="E183" s="510" t="s">
        <v>1474</v>
      </c>
      <c r="F183" s="455"/>
      <c r="G183" s="1431" t="str">
        <f>InpCompany!$F$11</f>
        <v>£m (2017-18 prices)</v>
      </c>
      <c r="H183" s="1434">
        <f>J183+K183+L183</f>
        <v>-0.32354399999999994</v>
      </c>
      <c r="I183" s="629"/>
      <c r="J183" s="1927">
        <f>J144-J174</f>
        <v>-0.32354399999999994</v>
      </c>
      <c r="K183" s="610">
        <f t="shared" ref="K183:L183" si="17">K144-K174</f>
        <v>0</v>
      </c>
      <c r="L183" s="610">
        <f t="shared" si="17"/>
        <v>0</v>
      </c>
    </row>
    <row r="184" spans="1:12" s="1411" customFormat="1" ht="13.15">
      <c r="A184" s="1407"/>
      <c r="B184" s="1249"/>
      <c r="C184" s="1249"/>
      <c r="D184" s="1429"/>
      <c r="E184" s="510" t="s">
        <v>1475</v>
      </c>
      <c r="F184" s="455"/>
      <c r="G184" s="1431" t="str">
        <f>InpCompany!$F$11</f>
        <v>£m (2017-18 prices)</v>
      </c>
      <c r="H184" s="1434">
        <f t="shared" ref="H184:H189" si="18">J184+K184+L184</f>
        <v>-13.457406666666666</v>
      </c>
      <c r="I184" s="629"/>
      <c r="J184" s="610">
        <f t="shared" ref="J184:L184" si="19">J145-J175</f>
        <v>-13.457406666666666</v>
      </c>
      <c r="K184" s="610">
        <f t="shared" si="19"/>
        <v>0</v>
      </c>
      <c r="L184" s="610">
        <f t="shared" si="19"/>
        <v>0</v>
      </c>
    </row>
    <row r="185" spans="1:12" s="1411" customFormat="1" ht="13.15">
      <c r="A185" s="1407"/>
      <c r="B185" s="1249"/>
      <c r="C185" s="1249"/>
      <c r="D185" s="1429"/>
      <c r="E185" s="510" t="s">
        <v>1476</v>
      </c>
      <c r="F185" s="455"/>
      <c r="G185" s="1431" t="str">
        <f>InpCompany!$F$11</f>
        <v>£m (2017-18 prices)</v>
      </c>
      <c r="H185" s="1434">
        <f t="shared" si="18"/>
        <v>-19.353538399999998</v>
      </c>
      <c r="I185" s="629"/>
      <c r="J185" s="610">
        <f t="shared" ref="J185:L185" si="20">J146-J176</f>
        <v>0</v>
      </c>
      <c r="K185" s="610">
        <f t="shared" si="20"/>
        <v>-19.353538399999998</v>
      </c>
      <c r="L185" s="610">
        <f t="shared" si="20"/>
        <v>0</v>
      </c>
    </row>
    <row r="186" spans="1:12" s="1411" customFormat="1" ht="13.15">
      <c r="A186" s="1407"/>
      <c r="B186" s="1249"/>
      <c r="C186" s="1249"/>
      <c r="D186" s="1429"/>
      <c r="E186" s="510" t="s">
        <v>1477</v>
      </c>
      <c r="F186" s="455"/>
      <c r="G186" s="1431" t="str">
        <f>InpCompany!$F$11</f>
        <v>£m (2017-18 prices)</v>
      </c>
      <c r="H186" s="1434">
        <f t="shared" si="18"/>
        <v>-1.2862200000000001</v>
      </c>
      <c r="I186" s="629"/>
      <c r="J186" s="610">
        <f t="shared" ref="J186:L186" si="21">J147-J177</f>
        <v>0</v>
      </c>
      <c r="K186" s="610">
        <f t="shared" si="21"/>
        <v>-1.2862200000000001</v>
      </c>
      <c r="L186" s="610">
        <f t="shared" si="21"/>
        <v>0</v>
      </c>
    </row>
    <row r="187" spans="1:12" s="1411" customFormat="1" ht="13.15">
      <c r="A187" s="1407"/>
      <c r="B187" s="1249"/>
      <c r="C187" s="1249"/>
      <c r="D187" s="1429"/>
      <c r="E187" s="510" t="s">
        <v>1478</v>
      </c>
      <c r="F187" s="455"/>
      <c r="G187" s="1431" t="str">
        <f>InpCompany!$F$11</f>
        <v>£m (2017-18 prices)</v>
      </c>
      <c r="H187" s="1434">
        <f t="shared" si="18"/>
        <v>-0.6</v>
      </c>
      <c r="I187" s="629"/>
      <c r="J187" s="610">
        <f t="shared" ref="J187:L187" si="22">J148-J178</f>
        <v>0</v>
      </c>
      <c r="K187" s="610">
        <f t="shared" si="22"/>
        <v>0</v>
      </c>
      <c r="L187" s="610">
        <f t="shared" si="22"/>
        <v>-0.6</v>
      </c>
    </row>
    <row r="188" spans="1:12" s="1411" customFormat="1" ht="13.15">
      <c r="A188" s="1407"/>
      <c r="B188" s="1249"/>
      <c r="C188" s="1249"/>
      <c r="D188" s="1429"/>
      <c r="E188" s="510" t="s">
        <v>1479</v>
      </c>
      <c r="F188" s="455"/>
      <c r="G188" s="1431" t="str">
        <f>InpCompany!$F$11</f>
        <v>£m (2017-18 prices)</v>
      </c>
      <c r="H188" s="1434">
        <f t="shared" si="18"/>
        <v>0</v>
      </c>
      <c r="I188" s="629"/>
      <c r="J188" s="610">
        <f t="shared" ref="J188:L188" si="23">J149-J179</f>
        <v>0</v>
      </c>
      <c r="K188" s="610">
        <f t="shared" si="23"/>
        <v>0</v>
      </c>
      <c r="L188" s="610">
        <f t="shared" si="23"/>
        <v>0</v>
      </c>
    </row>
    <row r="189" spans="1:12" s="1411" customFormat="1" ht="13.15">
      <c r="A189" s="1407"/>
      <c r="B189" s="1249"/>
      <c r="C189" s="1249"/>
      <c r="D189" s="1429"/>
      <c r="E189" s="510" t="s">
        <v>1480</v>
      </c>
      <c r="F189" s="455"/>
      <c r="G189" s="1431" t="str">
        <f>InpCompany!$F$11</f>
        <v>£m (2017-18 prices)</v>
      </c>
      <c r="H189" s="1434">
        <f t="shared" si="18"/>
        <v>0</v>
      </c>
      <c r="I189" s="629"/>
      <c r="J189" s="610">
        <f t="shared" ref="J189:L189" si="24">J150-J180</f>
        <v>0</v>
      </c>
      <c r="K189" s="610">
        <f t="shared" si="24"/>
        <v>0</v>
      </c>
      <c r="L189" s="610">
        <f t="shared" si="24"/>
        <v>0</v>
      </c>
    </row>
    <row r="190" spans="1:12" s="1411" customFormat="1" ht="13.15">
      <c r="A190" s="1407"/>
      <c r="B190" s="1249"/>
      <c r="C190" s="1249"/>
      <c r="D190" s="1249"/>
      <c r="E190" s="453"/>
      <c r="G190" s="617"/>
      <c r="H190" s="617"/>
      <c r="I190" s="1410"/>
      <c r="J190" s="1412"/>
      <c r="K190" s="1412"/>
      <c r="L190" s="1407"/>
    </row>
    <row r="191" spans="1:12" s="1411" customFormat="1" ht="13.15">
      <c r="A191" s="1407"/>
      <c r="B191" s="1249"/>
      <c r="C191" s="1456" t="s">
        <v>1409</v>
      </c>
      <c r="D191" s="1429"/>
      <c r="E191" s="453"/>
      <c r="G191" s="617"/>
      <c r="H191" s="617"/>
      <c r="I191" s="1410"/>
      <c r="J191" s="1412"/>
      <c r="K191" s="1412"/>
      <c r="L191" s="1407"/>
    </row>
    <row r="192" spans="1:12" s="1411" customFormat="1" ht="13.15">
      <c r="A192" s="1407"/>
      <c r="B192" s="1249"/>
      <c r="C192" s="1429"/>
      <c r="D192" s="1429"/>
      <c r="E192" s="453"/>
      <c r="G192" s="617"/>
      <c r="H192" s="617"/>
      <c r="I192" s="1410"/>
      <c r="J192" s="1412"/>
      <c r="K192" s="1412"/>
      <c r="L192" s="1407"/>
    </row>
    <row r="193" spans="1:12" s="1411" customFormat="1" ht="13.15">
      <c r="A193" s="1407"/>
      <c r="B193" s="1249"/>
      <c r="C193" s="1429"/>
      <c r="D193" s="1455" t="s">
        <v>1481</v>
      </c>
      <c r="E193" s="453"/>
      <c r="G193" s="617"/>
      <c r="H193" s="617"/>
      <c r="I193" s="1410"/>
      <c r="J193" s="1412"/>
      <c r="K193" s="1412"/>
      <c r="L193" s="1407"/>
    </row>
    <row r="194" spans="1:12" s="235" customFormat="1" ht="13.15">
      <c r="A194" s="654"/>
      <c r="B194" s="1453"/>
      <c r="C194" s="1453"/>
      <c r="D194" s="1453"/>
      <c r="E194" s="605" t="str">
        <f>Performance!E307</f>
        <v>Proportion of underperformance payments to be paid in-period - Water resources</v>
      </c>
      <c r="F194" s="1445">
        <f>Performance!F307</f>
        <v>1</v>
      </c>
      <c r="G194" s="605" t="str">
        <f>Performance!G307</f>
        <v>Percentage</v>
      </c>
      <c r="H194" s="583"/>
      <c r="I194" s="655"/>
      <c r="J194" s="1413"/>
      <c r="K194" s="1413"/>
      <c r="L194" s="654"/>
    </row>
    <row r="195" spans="1:12" s="235" customFormat="1" ht="13.15">
      <c r="A195" s="654"/>
      <c r="B195" s="1453"/>
      <c r="C195" s="1453"/>
      <c r="D195" s="1453"/>
      <c r="E195" s="605" t="str">
        <f>Performance!E308</f>
        <v>Proportion of underperformance payments to be paid in-period - Water network plus</v>
      </c>
      <c r="F195" s="1445">
        <f>Performance!F308</f>
        <v>1</v>
      </c>
      <c r="G195" s="605" t="str">
        <f>Performance!G308</f>
        <v>Percentage</v>
      </c>
      <c r="H195" s="583"/>
      <c r="I195" s="655"/>
      <c r="J195" s="1413"/>
      <c r="K195" s="1413"/>
      <c r="L195" s="654"/>
    </row>
    <row r="196" spans="1:12" s="235" customFormat="1" ht="13.15">
      <c r="A196" s="654"/>
      <c r="B196" s="1453"/>
      <c r="C196" s="1453"/>
      <c r="D196" s="1453"/>
      <c r="E196" s="605" t="str">
        <f>Performance!E309</f>
        <v>Proportion of underperformance payments to be paid in-period - Wastewater network plus</v>
      </c>
      <c r="F196" s="1445">
        <f>Performance!F309</f>
        <v>1</v>
      </c>
      <c r="G196" s="605" t="str">
        <f>Performance!G309</f>
        <v>Percentage</v>
      </c>
      <c r="H196" s="583"/>
      <c r="I196" s="655"/>
      <c r="J196" s="1413"/>
      <c r="K196" s="1413"/>
      <c r="L196" s="654"/>
    </row>
    <row r="197" spans="1:12" s="235" customFormat="1" ht="13.15">
      <c r="A197" s="654"/>
      <c r="B197" s="1453"/>
      <c r="C197" s="1453"/>
      <c r="D197" s="1453"/>
      <c r="E197" s="605" t="str">
        <f>Performance!E310</f>
        <v>Proportion of underperformance payments to be paid in-period - Bioresources (sludge)</v>
      </c>
      <c r="F197" s="1445">
        <f>Performance!F310</f>
        <v>1</v>
      </c>
      <c r="G197" s="605" t="str">
        <f>Performance!G310</f>
        <v>Percentage</v>
      </c>
      <c r="H197" s="583"/>
      <c r="I197" s="655"/>
      <c r="J197" s="1413"/>
      <c r="K197" s="1413"/>
      <c r="L197" s="654"/>
    </row>
    <row r="198" spans="1:12" s="235" customFormat="1" ht="13.15">
      <c r="A198" s="654"/>
      <c r="B198" s="1453"/>
      <c r="C198" s="1453"/>
      <c r="D198" s="1453"/>
      <c r="E198" s="605" t="str">
        <f>Performance!E311</f>
        <v>Proportion of underperformance payments to be paid in-period - Residential retail</v>
      </c>
      <c r="F198" s="1445">
        <f>Performance!F311</f>
        <v>1</v>
      </c>
      <c r="G198" s="605" t="str">
        <f>Performance!G311</f>
        <v>Percentage</v>
      </c>
      <c r="H198" s="583"/>
      <c r="I198" s="655"/>
      <c r="J198" s="1413"/>
      <c r="K198" s="1413"/>
      <c r="L198" s="654"/>
    </row>
    <row r="199" spans="1:12" s="235" customFormat="1" ht="13.15">
      <c r="A199" s="654"/>
      <c r="B199" s="1453"/>
      <c r="C199" s="1453"/>
      <c r="D199" s="1453"/>
      <c r="E199" s="605" t="str">
        <f>Performance!E312</f>
        <v>Proportion of underperformance payments to be paid in-period - Business retail</v>
      </c>
      <c r="F199" s="1445">
        <f>Performance!F312</f>
        <v>0</v>
      </c>
      <c r="G199" s="605" t="str">
        <f>Performance!G312</f>
        <v>Percentage</v>
      </c>
      <c r="H199" s="583"/>
      <c r="I199" s="655"/>
      <c r="J199" s="1413"/>
      <c r="K199" s="1413"/>
      <c r="L199" s="654"/>
    </row>
    <row r="200" spans="1:12" s="235" customFormat="1" ht="13.15">
      <c r="A200" s="654"/>
      <c r="B200" s="1453"/>
      <c r="C200" s="1453"/>
      <c r="D200" s="1453"/>
      <c r="E200" s="605" t="str">
        <f>Performance!E313</f>
        <v>Proportion of underperformance payments to be paid in-period - Dummy control</v>
      </c>
      <c r="F200" s="1445">
        <f>Performance!F313</f>
        <v>0</v>
      </c>
      <c r="G200" s="605" t="str">
        <f>Performance!G313</f>
        <v>Percentage</v>
      </c>
      <c r="H200" s="583"/>
      <c r="I200" s="655"/>
      <c r="J200" s="1413"/>
      <c r="K200" s="1413"/>
      <c r="L200" s="654"/>
    </row>
    <row r="201" spans="1:12" s="1831" customFormat="1" ht="13.15">
      <c r="A201" s="1826"/>
      <c r="B201" s="1827"/>
      <c r="C201" s="1827"/>
      <c r="D201" s="1828"/>
      <c r="E201" s="1829"/>
      <c r="F201" s="1829"/>
      <c r="G201" s="1829"/>
      <c r="H201" s="1830"/>
      <c r="I201" s="1829"/>
      <c r="J201" s="1829"/>
      <c r="K201" s="1829"/>
      <c r="L201" s="1829"/>
    </row>
    <row r="202" spans="1:12" s="1838" customFormat="1" ht="13.15">
      <c r="A202" s="1832"/>
      <c r="B202" s="1833"/>
      <c r="C202" s="1833"/>
      <c r="D202" s="1834" t="s">
        <v>1482</v>
      </c>
      <c r="E202" s="1832"/>
      <c r="F202" s="1835"/>
      <c r="G202" s="1446"/>
      <c r="H202" s="1446"/>
      <c r="I202" s="1836"/>
      <c r="J202" s="1837"/>
      <c r="K202" s="1837"/>
      <c r="L202" s="1832"/>
    </row>
    <row r="203" spans="1:12" s="1838" customFormat="1" ht="13.15">
      <c r="A203" s="1832"/>
      <c r="B203" s="1833"/>
      <c r="C203" s="1833"/>
      <c r="D203" s="1833"/>
      <c r="E203" s="1839" t="s">
        <v>1483</v>
      </c>
      <c r="F203" s="1840">
        <f>H183*F194</f>
        <v>-0.32354399999999994</v>
      </c>
      <c r="G203" s="1841" t="str">
        <f>InpCompany!$F$11</f>
        <v>£m (2017-18 prices)</v>
      </c>
      <c r="H203" s="1446"/>
      <c r="I203" s="1836"/>
      <c r="J203" s="1837"/>
      <c r="K203" s="1837"/>
      <c r="L203" s="1832"/>
    </row>
    <row r="204" spans="1:12" s="1838" customFormat="1" ht="13.15">
      <c r="A204" s="1832"/>
      <c r="B204" s="1833"/>
      <c r="C204" s="1833"/>
      <c r="D204" s="1833"/>
      <c r="E204" s="1839" t="s">
        <v>1484</v>
      </c>
      <c r="F204" s="1840">
        <f t="shared" ref="F204:F209" si="25">H184*F195</f>
        <v>-13.457406666666666</v>
      </c>
      <c r="G204" s="1841" t="str">
        <f>InpCompany!$F$11</f>
        <v>£m (2017-18 prices)</v>
      </c>
      <c r="H204" s="1446"/>
      <c r="I204" s="1836"/>
      <c r="J204" s="1837"/>
      <c r="K204" s="1837"/>
      <c r="L204" s="1832"/>
    </row>
    <row r="205" spans="1:12" s="1838" customFormat="1" ht="13.15">
      <c r="A205" s="1832"/>
      <c r="B205" s="1833"/>
      <c r="C205" s="1833"/>
      <c r="D205" s="1833"/>
      <c r="E205" s="1839" t="s">
        <v>1485</v>
      </c>
      <c r="F205" s="1840">
        <f t="shared" si="25"/>
        <v>-19.353538399999998</v>
      </c>
      <c r="G205" s="1841" t="str">
        <f>InpCompany!$F$11</f>
        <v>£m (2017-18 prices)</v>
      </c>
      <c r="H205" s="1446"/>
      <c r="I205" s="1836"/>
      <c r="J205" s="1837"/>
      <c r="K205" s="1837"/>
      <c r="L205" s="1832"/>
    </row>
    <row r="206" spans="1:12" s="1838" customFormat="1" ht="13.15">
      <c r="A206" s="1832"/>
      <c r="B206" s="1833"/>
      <c r="C206" s="1833"/>
      <c r="D206" s="1833"/>
      <c r="E206" s="1839" t="s">
        <v>1486</v>
      </c>
      <c r="F206" s="1840">
        <f t="shared" si="25"/>
        <v>-1.2862200000000001</v>
      </c>
      <c r="G206" s="1841" t="str">
        <f>InpCompany!$F$11</f>
        <v>£m (2017-18 prices)</v>
      </c>
      <c r="H206" s="1446"/>
      <c r="I206" s="1836"/>
      <c r="J206" s="1837"/>
      <c r="K206" s="1837"/>
      <c r="L206" s="1832"/>
    </row>
    <row r="207" spans="1:12" s="1838" customFormat="1" ht="13.15">
      <c r="A207" s="1832"/>
      <c r="B207" s="1833"/>
      <c r="C207" s="1833"/>
      <c r="D207" s="1833"/>
      <c r="E207" s="1839" t="s">
        <v>1487</v>
      </c>
      <c r="F207" s="1840">
        <f t="shared" si="25"/>
        <v>-0.6</v>
      </c>
      <c r="G207" s="1841" t="str">
        <f>InpCompany!$F$11</f>
        <v>£m (2017-18 prices)</v>
      </c>
      <c r="H207" s="1446"/>
      <c r="I207" s="1836"/>
      <c r="J207" s="1837"/>
      <c r="K207" s="1837"/>
      <c r="L207" s="1832"/>
    </row>
    <row r="208" spans="1:12" s="1838" customFormat="1" ht="13.15">
      <c r="A208" s="1832"/>
      <c r="B208" s="1833"/>
      <c r="C208" s="1833"/>
      <c r="D208" s="1833"/>
      <c r="E208" s="1839" t="s">
        <v>1488</v>
      </c>
      <c r="F208" s="1840">
        <f t="shared" si="25"/>
        <v>0</v>
      </c>
      <c r="G208" s="1841" t="str">
        <f>InpCompany!$F$11</f>
        <v>£m (2017-18 prices)</v>
      </c>
      <c r="H208" s="1446"/>
      <c r="I208" s="1836"/>
      <c r="J208" s="1837"/>
      <c r="K208" s="1837"/>
      <c r="L208" s="1832"/>
    </row>
    <row r="209" spans="1:12" s="1838" customFormat="1" ht="13.15">
      <c r="A209" s="1832"/>
      <c r="B209" s="1833"/>
      <c r="C209" s="1833"/>
      <c r="D209" s="1833"/>
      <c r="E209" s="1839" t="s">
        <v>1489</v>
      </c>
      <c r="F209" s="1840">
        <f t="shared" si="25"/>
        <v>0</v>
      </c>
      <c r="G209" s="1841" t="str">
        <f>InpCompany!$F$11</f>
        <v>£m (2017-18 prices)</v>
      </c>
      <c r="H209" s="1446"/>
      <c r="I209" s="1836"/>
      <c r="J209" s="1837"/>
      <c r="K209" s="1837"/>
      <c r="L209" s="1832"/>
    </row>
    <row r="210" spans="1:12" s="1838" customFormat="1" ht="14.25">
      <c r="A210" s="1832"/>
      <c r="B210" s="1833"/>
      <c r="C210" s="1833"/>
      <c r="D210" s="1833"/>
      <c r="E210" s="1842"/>
      <c r="F210" s="1835"/>
      <c r="G210" s="1446"/>
      <c r="H210" s="1446"/>
      <c r="I210" s="1836"/>
      <c r="J210" s="1837"/>
      <c r="K210" s="1837"/>
      <c r="L210" s="1832"/>
    </row>
    <row r="211" spans="1:12" s="1838" customFormat="1" ht="14.25">
      <c r="A211" s="1832"/>
      <c r="B211" s="1833"/>
      <c r="C211" s="1833"/>
      <c r="D211" s="1834" t="s">
        <v>1490</v>
      </c>
      <c r="E211" s="1842"/>
      <c r="F211" s="1835"/>
      <c r="G211" s="1446"/>
      <c r="H211" s="1446"/>
      <c r="I211" s="1836"/>
      <c r="J211" s="1837"/>
      <c r="K211" s="1837"/>
      <c r="L211" s="1832"/>
    </row>
    <row r="212" spans="1:12" s="1838" customFormat="1" ht="13.15">
      <c r="A212" s="1832"/>
      <c r="B212" s="1833"/>
      <c r="C212" s="1833"/>
      <c r="D212" s="1833"/>
      <c r="E212" s="1839" t="s">
        <v>1491</v>
      </c>
      <c r="F212" s="1840">
        <f>H183*(1-F194)</f>
        <v>0</v>
      </c>
      <c r="G212" s="1841" t="str">
        <f>InpCompany!$F$11</f>
        <v>£m (2017-18 prices)</v>
      </c>
      <c r="H212" s="1446"/>
      <c r="I212" s="1836"/>
      <c r="J212" s="1837"/>
      <c r="K212" s="1837"/>
      <c r="L212" s="1832"/>
    </row>
    <row r="213" spans="1:12" s="1838" customFormat="1" ht="13.15">
      <c r="A213" s="1832"/>
      <c r="B213" s="1833"/>
      <c r="C213" s="1833"/>
      <c r="D213" s="1833"/>
      <c r="E213" s="1839" t="s">
        <v>1492</v>
      </c>
      <c r="F213" s="1840">
        <f t="shared" ref="F213:F218" si="26">H184*(1-F195)</f>
        <v>0</v>
      </c>
      <c r="G213" s="1841" t="str">
        <f>InpCompany!$F$11</f>
        <v>£m (2017-18 prices)</v>
      </c>
      <c r="H213" s="1446"/>
      <c r="I213" s="1836"/>
      <c r="J213" s="1837"/>
      <c r="K213" s="1837"/>
      <c r="L213" s="1832"/>
    </row>
    <row r="214" spans="1:12" s="1838" customFormat="1" ht="13.15">
      <c r="A214" s="1832"/>
      <c r="B214" s="1833"/>
      <c r="C214" s="1833"/>
      <c r="D214" s="1833"/>
      <c r="E214" s="1839" t="s">
        <v>1493</v>
      </c>
      <c r="F214" s="1840">
        <f t="shared" si="26"/>
        <v>0</v>
      </c>
      <c r="G214" s="1841" t="str">
        <f>InpCompany!$F$11</f>
        <v>£m (2017-18 prices)</v>
      </c>
      <c r="H214" s="1446"/>
      <c r="I214" s="1836"/>
      <c r="J214" s="1837"/>
      <c r="K214" s="1837"/>
      <c r="L214" s="1832"/>
    </row>
    <row r="215" spans="1:12" s="1838" customFormat="1" ht="13.15">
      <c r="A215" s="1832"/>
      <c r="B215" s="1833"/>
      <c r="C215" s="1833"/>
      <c r="D215" s="1833"/>
      <c r="E215" s="1839" t="s">
        <v>1494</v>
      </c>
      <c r="F215" s="1840">
        <f t="shared" si="26"/>
        <v>0</v>
      </c>
      <c r="G215" s="1841" t="str">
        <f>InpCompany!$F$11</f>
        <v>£m (2017-18 prices)</v>
      </c>
      <c r="H215" s="1446"/>
      <c r="I215" s="1836"/>
      <c r="J215" s="1837"/>
      <c r="K215" s="1837"/>
      <c r="L215" s="1832"/>
    </row>
    <row r="216" spans="1:12" s="1838" customFormat="1" ht="13.15">
      <c r="A216" s="1832"/>
      <c r="B216" s="1833"/>
      <c r="C216" s="1833"/>
      <c r="D216" s="1833"/>
      <c r="E216" s="1839" t="s">
        <v>1495</v>
      </c>
      <c r="F216" s="1840">
        <f t="shared" si="26"/>
        <v>0</v>
      </c>
      <c r="G216" s="1841" t="str">
        <f>InpCompany!$F$11</f>
        <v>£m (2017-18 prices)</v>
      </c>
      <c r="H216" s="1446"/>
      <c r="I216" s="1836"/>
      <c r="J216" s="1837"/>
      <c r="K216" s="1837"/>
      <c r="L216" s="1832"/>
    </row>
    <row r="217" spans="1:12" s="1838" customFormat="1" ht="13.15">
      <c r="A217" s="1832"/>
      <c r="B217" s="1833"/>
      <c r="C217" s="1833"/>
      <c r="D217" s="1833"/>
      <c r="E217" s="1839" t="s">
        <v>1496</v>
      </c>
      <c r="F217" s="1840">
        <f t="shared" si="26"/>
        <v>0</v>
      </c>
      <c r="G217" s="1841" t="str">
        <f>InpCompany!$F$11</f>
        <v>£m (2017-18 prices)</v>
      </c>
      <c r="H217" s="1446"/>
      <c r="I217" s="1836"/>
      <c r="J217" s="1843"/>
      <c r="K217" s="1837"/>
      <c r="L217" s="1832"/>
    </row>
    <row r="218" spans="1:12" s="1838" customFormat="1" ht="13.15">
      <c r="A218" s="1832"/>
      <c r="B218" s="1833"/>
      <c r="C218" s="1833"/>
      <c r="D218" s="1833"/>
      <c r="E218" s="1839" t="s">
        <v>1497</v>
      </c>
      <c r="F218" s="1840">
        <f t="shared" si="26"/>
        <v>0</v>
      </c>
      <c r="G218" s="1841" t="str">
        <f>InpCompany!$F$11</f>
        <v>£m (2017-18 prices)</v>
      </c>
      <c r="H218" s="1832"/>
      <c r="I218" s="1836"/>
      <c r="J218" s="1832"/>
      <c r="K218" s="1832"/>
      <c r="L218" s="1832"/>
    </row>
    <row r="219" spans="1:12" s="1411" customFormat="1" ht="13.15">
      <c r="A219" s="1407"/>
      <c r="B219" s="1249"/>
      <c r="C219" s="1249"/>
      <c r="D219" s="1249"/>
      <c r="E219" s="453"/>
      <c r="F219" s="1419"/>
      <c r="G219" s="617"/>
      <c r="H219" s="617"/>
      <c r="I219" s="1410"/>
      <c r="J219" s="1412"/>
      <c r="K219" s="1412"/>
      <c r="L219" s="1407"/>
    </row>
    <row r="220" spans="1:12" s="206" customFormat="1" ht="13.15">
      <c r="A220" s="642" t="s">
        <v>1498</v>
      </c>
      <c r="B220" s="643"/>
      <c r="C220" s="643"/>
      <c r="D220" s="644"/>
      <c r="E220" s="645"/>
      <c r="F220" s="645"/>
      <c r="G220" s="645"/>
      <c r="H220" s="646"/>
      <c r="I220" s="645"/>
      <c r="J220" s="645"/>
      <c r="K220" s="645"/>
      <c r="L220" s="645"/>
    </row>
    <row r="221" spans="1:12" s="206" customFormat="1" ht="13.15">
      <c r="A221" s="1821"/>
      <c r="B221" s="1822"/>
      <c r="C221" s="1822"/>
      <c r="D221" s="1823"/>
      <c r="E221" s="1824"/>
      <c r="F221" s="1824"/>
      <c r="G221" s="1824"/>
      <c r="H221" s="1825"/>
      <c r="I221" s="1824"/>
      <c r="J221" s="1824"/>
      <c r="K221" s="1824"/>
      <c r="L221" s="1824"/>
    </row>
    <row r="222" spans="1:12" s="1411" customFormat="1" ht="13.15">
      <c r="A222" s="1407"/>
      <c r="B222" s="1249"/>
      <c r="C222" s="1249"/>
      <c r="D222" s="1455" t="s">
        <v>1482</v>
      </c>
      <c r="E222" s="455"/>
      <c r="F222" s="1419"/>
      <c r="G222" s="617"/>
      <c r="H222" s="617"/>
      <c r="I222" s="1410"/>
      <c r="J222" s="1412"/>
      <c r="K222" s="1412"/>
      <c r="L222" s="1407"/>
    </row>
    <row r="223" spans="1:12" s="1417" customFormat="1" ht="13.15">
      <c r="A223" s="668"/>
      <c r="B223" s="1457"/>
      <c r="C223" s="1457"/>
      <c r="D223" s="1457"/>
      <c r="E223" s="1435" t="s">
        <v>1483</v>
      </c>
      <c r="F223" s="1845">
        <f>IF('Sharing mechanism'!$F$100=FALSE, Performance!F269, F203)</f>
        <v>-0.32354399999999994</v>
      </c>
      <c r="G223" s="1436" t="str">
        <f>InpCompany!$F$11</f>
        <v>£m (2017-18 prices)</v>
      </c>
      <c r="H223" s="632"/>
      <c r="I223" s="667"/>
      <c r="J223" s="1416"/>
      <c r="K223" s="1416"/>
      <c r="L223" s="668"/>
    </row>
    <row r="224" spans="1:12" s="1417" customFormat="1" ht="13.15">
      <c r="A224" s="668"/>
      <c r="B224" s="1457"/>
      <c r="C224" s="1457"/>
      <c r="D224" s="1457"/>
      <c r="E224" s="1435" t="s">
        <v>1484</v>
      </c>
      <c r="F224" s="1845">
        <f>IF('Sharing mechanism'!$F$100=FALSE, Performance!F270, F204)</f>
        <v>-13.457406666666666</v>
      </c>
      <c r="G224" s="1436" t="str">
        <f>InpCompany!$F$11</f>
        <v>£m (2017-18 prices)</v>
      </c>
      <c r="H224" s="632"/>
      <c r="I224" s="667"/>
      <c r="J224" s="1416"/>
      <c r="K224" s="1416"/>
      <c r="L224" s="668"/>
    </row>
    <row r="225" spans="1:12" s="1417" customFormat="1" ht="13.15">
      <c r="A225" s="668"/>
      <c r="B225" s="1457"/>
      <c r="C225" s="1457"/>
      <c r="D225" s="1457"/>
      <c r="E225" s="1435" t="s">
        <v>1485</v>
      </c>
      <c r="F225" s="1845">
        <f>IF('Sharing mechanism'!$F$100=FALSE, Performance!F271, F205)</f>
        <v>-19.353538399999998</v>
      </c>
      <c r="G225" s="1436" t="str">
        <f>InpCompany!$F$11</f>
        <v>£m (2017-18 prices)</v>
      </c>
      <c r="H225" s="632"/>
      <c r="I225" s="667"/>
      <c r="J225" s="1416"/>
      <c r="K225" s="1416"/>
      <c r="L225" s="668"/>
    </row>
    <row r="226" spans="1:12" s="1417" customFormat="1" ht="13.15">
      <c r="A226" s="668"/>
      <c r="B226" s="1457"/>
      <c r="C226" s="1457"/>
      <c r="D226" s="1457"/>
      <c r="E226" s="1435" t="s">
        <v>1486</v>
      </c>
      <c r="F226" s="1845">
        <f>IF('Sharing mechanism'!$F$100=FALSE, Performance!F272, F206)</f>
        <v>-1.2862200000000001</v>
      </c>
      <c r="G226" s="1436" t="str">
        <f>InpCompany!$F$11</f>
        <v>£m (2017-18 prices)</v>
      </c>
      <c r="H226" s="632"/>
      <c r="I226" s="667"/>
      <c r="J226" s="1416"/>
      <c r="K226" s="1416"/>
      <c r="L226" s="668"/>
    </row>
    <row r="227" spans="1:12" s="1417" customFormat="1" ht="13.15">
      <c r="A227" s="668"/>
      <c r="B227" s="1457"/>
      <c r="C227" s="1457"/>
      <c r="D227" s="1457"/>
      <c r="E227" s="1435" t="s">
        <v>1487</v>
      </c>
      <c r="F227" s="1845">
        <f>IF('Sharing mechanism'!$F$100=FALSE, Performance!F273, F207)</f>
        <v>-0.6</v>
      </c>
      <c r="G227" s="1436" t="str">
        <f>InpCompany!$F$11</f>
        <v>£m (2017-18 prices)</v>
      </c>
      <c r="H227" s="632"/>
      <c r="I227" s="667"/>
      <c r="J227" s="1416"/>
      <c r="K227" s="1416"/>
      <c r="L227" s="668"/>
    </row>
    <row r="228" spans="1:12" s="1417" customFormat="1" ht="13.15">
      <c r="A228" s="668"/>
      <c r="B228" s="1457"/>
      <c r="C228" s="1457"/>
      <c r="D228" s="1457"/>
      <c r="E228" s="1435" t="s">
        <v>1488</v>
      </c>
      <c r="F228" s="1845">
        <f>IF('Sharing mechanism'!$F$100=FALSE, Performance!F274, F208)</f>
        <v>0</v>
      </c>
      <c r="G228" s="1436" t="str">
        <f>InpCompany!$F$11</f>
        <v>£m (2017-18 prices)</v>
      </c>
      <c r="H228" s="632"/>
      <c r="I228" s="667"/>
      <c r="J228" s="1416"/>
      <c r="K228" s="1416"/>
      <c r="L228" s="668"/>
    </row>
    <row r="229" spans="1:12" s="1417" customFormat="1" ht="13.15">
      <c r="A229" s="668"/>
      <c r="B229" s="1457"/>
      <c r="C229" s="1457"/>
      <c r="D229" s="1457"/>
      <c r="E229" s="1435" t="s">
        <v>1489</v>
      </c>
      <c r="F229" s="1845">
        <f>IF('Sharing mechanism'!$F$100=FALSE, Performance!F275, F209)</f>
        <v>0</v>
      </c>
      <c r="G229" s="1436" t="str">
        <f>InpCompany!$F$11</f>
        <v>£m (2017-18 prices)</v>
      </c>
      <c r="H229" s="632"/>
      <c r="I229" s="667"/>
      <c r="J229" s="1416"/>
      <c r="K229" s="1416"/>
      <c r="L229" s="668"/>
    </row>
    <row r="230" spans="1:12" s="1411" customFormat="1" ht="14.25">
      <c r="A230" s="1407"/>
      <c r="B230" s="1249"/>
      <c r="C230" s="1249"/>
      <c r="D230" s="1429"/>
      <c r="E230" s="27"/>
      <c r="F230" s="1419"/>
      <c r="G230" s="617"/>
      <c r="H230" s="617"/>
      <c r="I230" s="1410"/>
      <c r="J230" s="1412"/>
      <c r="K230" s="1412"/>
      <c r="L230" s="1407"/>
    </row>
    <row r="231" spans="1:12" s="1411" customFormat="1" ht="14.25">
      <c r="A231" s="1407"/>
      <c r="B231" s="1249"/>
      <c r="C231" s="1249"/>
      <c r="D231" s="1455" t="s">
        <v>1490</v>
      </c>
      <c r="E231" s="27"/>
      <c r="F231" s="1419"/>
      <c r="G231" s="617"/>
      <c r="H231" s="617"/>
      <c r="I231" s="1410"/>
      <c r="J231" s="1412"/>
      <c r="K231" s="1412"/>
      <c r="L231" s="1407"/>
    </row>
    <row r="232" spans="1:12" s="1417" customFormat="1" ht="13.15">
      <c r="A232" s="668"/>
      <c r="B232" s="1457"/>
      <c r="C232" s="1457"/>
      <c r="D232" s="1457"/>
      <c r="E232" s="1435" t="s">
        <v>1491</v>
      </c>
      <c r="F232" s="1845">
        <f>IF('Sharing mechanism'!$F$100=FALSE, Performance!F287, F212)</f>
        <v>0</v>
      </c>
      <c r="G232" s="1436" t="str">
        <f>InpCompany!$F$11</f>
        <v>£m (2017-18 prices)</v>
      </c>
      <c r="H232" s="632"/>
      <c r="I232" s="667"/>
      <c r="J232" s="1416"/>
      <c r="K232" s="1416"/>
      <c r="L232" s="668"/>
    </row>
    <row r="233" spans="1:12" s="1417" customFormat="1" ht="13.15">
      <c r="A233" s="668"/>
      <c r="B233" s="1457"/>
      <c r="C233" s="1457"/>
      <c r="D233" s="1457"/>
      <c r="E233" s="1435" t="s">
        <v>1492</v>
      </c>
      <c r="F233" s="1845">
        <f>IF('Sharing mechanism'!$F$100=FALSE, Performance!F288, F213)</f>
        <v>0</v>
      </c>
      <c r="G233" s="1436" t="str">
        <f>InpCompany!$F$11</f>
        <v>£m (2017-18 prices)</v>
      </c>
      <c r="H233" s="632"/>
      <c r="I233" s="667"/>
      <c r="J233" s="1416"/>
      <c r="K233" s="1416"/>
      <c r="L233" s="668"/>
    </row>
    <row r="234" spans="1:12" s="1417" customFormat="1" ht="13.15">
      <c r="A234" s="668"/>
      <c r="B234" s="1457"/>
      <c r="C234" s="1457"/>
      <c r="D234" s="1457"/>
      <c r="E234" s="1435" t="s">
        <v>1493</v>
      </c>
      <c r="F234" s="1845">
        <f>IF('Sharing mechanism'!$F$100=FALSE, Performance!F289, F214)</f>
        <v>0</v>
      </c>
      <c r="G234" s="1436" t="str">
        <f>InpCompany!$F$11</f>
        <v>£m (2017-18 prices)</v>
      </c>
      <c r="H234" s="632"/>
      <c r="I234" s="667"/>
      <c r="J234" s="1416"/>
      <c r="K234" s="1416"/>
      <c r="L234" s="668"/>
    </row>
    <row r="235" spans="1:12" s="1417" customFormat="1" ht="13.15">
      <c r="A235" s="668"/>
      <c r="B235" s="1457"/>
      <c r="C235" s="1457"/>
      <c r="D235" s="1457"/>
      <c r="E235" s="1435" t="s">
        <v>1494</v>
      </c>
      <c r="F235" s="1845">
        <f>IF('Sharing mechanism'!$F$100=FALSE, Performance!F290, F215)</f>
        <v>0</v>
      </c>
      <c r="G235" s="1436" t="str">
        <f>InpCompany!$F$11</f>
        <v>£m (2017-18 prices)</v>
      </c>
      <c r="H235" s="632"/>
      <c r="I235" s="667"/>
      <c r="J235" s="1416"/>
      <c r="K235" s="1416"/>
      <c r="L235" s="668"/>
    </row>
    <row r="236" spans="1:12" s="1417" customFormat="1" ht="13.15">
      <c r="A236" s="668"/>
      <c r="B236" s="1457"/>
      <c r="C236" s="1457"/>
      <c r="D236" s="1457"/>
      <c r="E236" s="1435" t="s">
        <v>1495</v>
      </c>
      <c r="F236" s="1845">
        <f>IF('Sharing mechanism'!$F$100=FALSE, Performance!F291, F216)</f>
        <v>0</v>
      </c>
      <c r="G236" s="1436" t="str">
        <f>InpCompany!$F$11</f>
        <v>£m (2017-18 prices)</v>
      </c>
      <c r="H236" s="632"/>
      <c r="I236" s="667"/>
      <c r="J236" s="1416"/>
      <c r="K236" s="1416"/>
      <c r="L236" s="668"/>
    </row>
    <row r="237" spans="1:12" s="1417" customFormat="1" ht="13.15">
      <c r="A237" s="668"/>
      <c r="B237" s="1457"/>
      <c r="C237" s="1457"/>
      <c r="D237" s="1457"/>
      <c r="E237" s="1435" t="s">
        <v>1496</v>
      </c>
      <c r="F237" s="1845">
        <f>IF('Sharing mechanism'!$F$100=FALSE, Performance!F292, F217)</f>
        <v>0</v>
      </c>
      <c r="G237" s="1436" t="str">
        <f>InpCompany!$F$11</f>
        <v>£m (2017-18 prices)</v>
      </c>
      <c r="H237" s="632"/>
      <c r="I237" s="667"/>
      <c r="J237" s="1418"/>
      <c r="K237" s="1416"/>
      <c r="L237" s="668"/>
    </row>
    <row r="238" spans="1:12" s="1417" customFormat="1" ht="13.15">
      <c r="A238" s="668"/>
      <c r="B238" s="1457"/>
      <c r="C238" s="1457"/>
      <c r="D238" s="1457"/>
      <c r="E238" s="1435" t="s">
        <v>1497</v>
      </c>
      <c r="F238" s="1845">
        <f>IF('Sharing mechanism'!$F$100=FALSE, Performance!F293, F218)</f>
        <v>0</v>
      </c>
      <c r="G238" s="1436" t="str">
        <f>InpCompany!$F$11</f>
        <v>£m (2017-18 prices)</v>
      </c>
      <c r="H238" s="668"/>
      <c r="I238" s="667"/>
      <c r="J238" s="668"/>
      <c r="K238" s="668"/>
      <c r="L238" s="668"/>
    </row>
    <row r="239" spans="1:12" s="1411" customFormat="1" ht="13.15">
      <c r="A239" s="1407"/>
      <c r="B239" s="1407"/>
      <c r="C239" s="1407"/>
      <c r="D239" s="1407"/>
      <c r="E239" s="1407"/>
      <c r="F239" s="1407"/>
      <c r="G239" s="1409"/>
      <c r="H239" s="1407"/>
      <c r="I239" s="1407"/>
      <c r="J239" s="1407"/>
      <c r="K239" s="1407"/>
      <c r="L239" s="1407"/>
    </row>
    <row r="240" spans="1:12" ht="20.25">
      <c r="A240" s="439" t="s">
        <v>980</v>
      </c>
      <c r="B240" s="185"/>
      <c r="C240" s="186"/>
      <c r="D240" s="187"/>
      <c r="E240" s="188"/>
      <c r="F240" s="188"/>
      <c r="G240" s="188"/>
      <c r="H240" s="188"/>
      <c r="I240" s="188"/>
      <c r="J240" s="188"/>
      <c r="K240" s="188"/>
      <c r="L240" s="188"/>
    </row>
    <row r="241" spans="8:11">
      <c r="H241" s="234"/>
      <c r="I241" s="234"/>
      <c r="J241" s="234"/>
      <c r="K241" s="234"/>
    </row>
    <row r="242" spans="8:11">
      <c r="H242" s="234"/>
      <c r="I242" s="234"/>
      <c r="J242" s="234"/>
      <c r="K242" s="234"/>
    </row>
    <row r="243" spans="8:11">
      <c r="H243" s="234"/>
      <c r="I243" s="234"/>
      <c r="J243" s="234"/>
      <c r="K243" s="234"/>
    </row>
    <row r="244" spans="8:11">
      <c r="H244" s="234"/>
      <c r="I244" s="234"/>
      <c r="J244" s="234"/>
      <c r="K244" s="234"/>
    </row>
    <row r="245" spans="8:11">
      <c r="H245" s="234"/>
      <c r="I245" s="234"/>
      <c r="J245" s="234"/>
      <c r="K245" s="234"/>
    </row>
  </sheetData>
  <conditionalFormatting sqref="F8:F14">
    <cfRule type="cellIs" dxfId="174" priority="22" operator="equal">
      <formula>0</formula>
    </cfRule>
  </conditionalFormatting>
  <conditionalFormatting sqref="F68:F74">
    <cfRule type="cellIs" dxfId="173" priority="21" operator="equal">
      <formula>0</formula>
    </cfRule>
    <cfRule type="cellIs" dxfId="172" priority="20" operator="equal">
      <formula>0</formula>
    </cfRule>
  </conditionalFormatting>
  <conditionalFormatting sqref="F77:F83">
    <cfRule type="cellIs" dxfId="171" priority="26" operator="equal">
      <formula>0</formula>
    </cfRule>
    <cfRule type="cellIs" dxfId="170" priority="25" operator="equal">
      <formula>0</formula>
    </cfRule>
  </conditionalFormatting>
  <conditionalFormatting sqref="F86:F93 F95:F96 F99:F103">
    <cfRule type="cellIs" dxfId="169" priority="27" operator="equal">
      <formula>0</formula>
    </cfRule>
    <cfRule type="cellIs" dxfId="168" priority="28" operator="equal">
      <formula>0</formula>
    </cfRule>
  </conditionalFormatting>
  <conditionalFormatting sqref="F165:F171">
    <cfRule type="cellIs" dxfId="167" priority="6" operator="equal">
      <formula>0</formula>
    </cfRule>
  </conditionalFormatting>
  <conditionalFormatting sqref="F194:F200">
    <cfRule type="cellIs" dxfId="166" priority="5" operator="equal">
      <formula>0</formula>
    </cfRule>
  </conditionalFormatting>
  <conditionalFormatting sqref="F203:F209">
    <cfRule type="cellIs" dxfId="165" priority="1" operator="equal">
      <formula>0</formula>
    </cfRule>
    <cfRule type="cellIs" dxfId="164" priority="2" operator="equal">
      <formula>0</formula>
    </cfRule>
  </conditionalFormatting>
  <conditionalFormatting sqref="F212:F218">
    <cfRule type="cellIs" dxfId="163" priority="3" operator="equal">
      <formula>0</formula>
    </cfRule>
    <cfRule type="cellIs" dxfId="162" priority="4" operator="equal">
      <formula>0</formula>
    </cfRule>
  </conditionalFormatting>
  <conditionalFormatting sqref="F223:F229">
    <cfRule type="cellIs" dxfId="161" priority="7" operator="equal">
      <formula>0</formula>
    </cfRule>
    <cfRule type="cellIs" dxfId="160" priority="8" operator="equal">
      <formula>0</formula>
    </cfRule>
  </conditionalFormatting>
  <conditionalFormatting sqref="F232:F238">
    <cfRule type="cellIs" dxfId="159" priority="9" operator="equal">
      <formula>0</formula>
    </cfRule>
    <cfRule type="cellIs" dxfId="158" priority="10" operator="equal">
      <formula>0</formula>
    </cfRule>
  </conditionalFormatting>
  <conditionalFormatting sqref="H8:H14">
    <cfRule type="cellIs" dxfId="157" priority="23" operator="equal">
      <formula>0</formula>
    </cfRule>
  </conditionalFormatting>
  <conditionalFormatting sqref="H68:H74">
    <cfRule type="cellIs" dxfId="156" priority="18" operator="equal">
      <formula>0</formula>
    </cfRule>
    <cfRule type="cellIs" dxfId="155" priority="19" operator="equal">
      <formula>0</formula>
    </cfRule>
  </conditionalFormatting>
  <conditionalFormatting sqref="H57:I63">
    <cfRule type="cellIs" dxfId="154" priority="37" operator="equal">
      <formula>0</formula>
    </cfRule>
  </conditionalFormatting>
  <conditionalFormatting sqref="H183:I189">
    <cfRule type="cellIs" dxfId="153" priority="13" operator="equal">
      <formula>0</formula>
    </cfRule>
  </conditionalFormatting>
  <conditionalFormatting sqref="H57:L63">
    <cfRule type="cellIs" dxfId="152" priority="36" operator="equal">
      <formula>0</formula>
    </cfRule>
  </conditionalFormatting>
  <conditionalFormatting sqref="H183:L189">
    <cfRule type="cellIs" dxfId="151" priority="12" operator="equal">
      <formula>0</formula>
    </cfRule>
  </conditionalFormatting>
  <conditionalFormatting sqref="J17:J18">
    <cfRule type="cellIs" dxfId="150" priority="32" operator="equal">
      <formula>0</formula>
    </cfRule>
  </conditionalFormatting>
  <conditionalFormatting sqref="J42:J46">
    <cfRule type="cellIs" dxfId="149" priority="15" operator="equal">
      <formula>0</formula>
    </cfRule>
  </conditionalFormatting>
  <conditionalFormatting sqref="J34:K34">
    <cfRule type="cellIs" dxfId="148" priority="30" operator="equal">
      <formula>0</formula>
    </cfRule>
  </conditionalFormatting>
  <conditionalFormatting sqref="J25:L25">
    <cfRule type="cellIs" dxfId="147" priority="31" operator="equal">
      <formula>0</formula>
    </cfRule>
  </conditionalFormatting>
  <conditionalFormatting sqref="J39:L41 K42:L45">
    <cfRule type="cellIs" dxfId="146" priority="29" operator="equal">
      <formula>0</formula>
    </cfRule>
  </conditionalFormatting>
  <conditionalFormatting sqref="J48:L54">
    <cfRule type="cellIs" dxfId="145" priority="35" operator="equal">
      <formula>0</formula>
    </cfRule>
  </conditionalFormatting>
  <conditionalFormatting sqref="J159:L159 J160:K164">
    <cfRule type="cellIs" dxfId="144" priority="17" operator="equal">
      <formula>0</formula>
    </cfRule>
  </conditionalFormatting>
  <conditionalFormatting sqref="J165:L171">
    <cfRule type="cellIs" dxfId="143" priority="16" operator="equal">
      <formula>0</formula>
    </cfRule>
  </conditionalFormatting>
  <conditionalFormatting sqref="J174:L180">
    <cfRule type="cellIs" dxfId="142" priority="11" operator="equal">
      <formula>0</formula>
    </cfRule>
  </conditionalFormatting>
  <conditionalFormatting sqref="K19:K20">
    <cfRule type="cellIs" dxfId="141" priority="33" operator="equal">
      <formula>0</formula>
    </cfRule>
  </conditionalFormatting>
  <conditionalFormatting sqref="L21:L23">
    <cfRule type="cellIs" dxfId="140"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66F41-0D9F-4BDF-81FC-D401AEC71FA4}">
  <sheetPr>
    <tabColor theme="5"/>
    <pageSetUpPr fitToPage="1"/>
  </sheetPr>
  <dimension ref="A1:M137"/>
  <sheetViews>
    <sheetView showGridLines="0" zoomScale="80" zoomScaleNormal="80" zoomScaleSheetLayoutView="80" workbookViewId="0"/>
  </sheetViews>
  <sheetFormatPr defaultColWidth="8.625" defaultRowHeight="12.75"/>
  <cols>
    <col min="1" max="4" width="1.625" style="207" customWidth="1"/>
    <col min="5" max="5" width="80.875" style="207" customWidth="1"/>
    <col min="6" max="8" width="15.625" style="207" customWidth="1"/>
    <col min="9" max="9" width="2.625" style="207" customWidth="1"/>
    <col min="10" max="16384" width="8.625" style="207"/>
  </cols>
  <sheetData>
    <row r="1" spans="1:13" s="201" customFormat="1" ht="44.25">
      <c r="A1" s="1191" t="str">
        <f ca="1" xml:space="preserve"> RIGHT(CELL("filename", $A$1), LEN(CELL("filename", $A$1)) - SEARCH("]", CELL("filename", $A$1)))</f>
        <v>Aggregate calculations</v>
      </c>
      <c r="B1" s="670"/>
      <c r="C1" s="237"/>
      <c r="D1" s="237"/>
      <c r="E1" s="238"/>
      <c r="F1" s="238"/>
      <c r="G1" s="238"/>
      <c r="H1" s="671" t="str">
        <f>InpCompany!F5</f>
        <v>Southern Water</v>
      </c>
      <c r="I1" s="239"/>
      <c r="L1" s="240"/>
    </row>
    <row r="2" spans="1:13" s="241" customFormat="1" ht="13.15">
      <c r="A2" s="672"/>
      <c r="B2" s="672"/>
      <c r="C2" s="672"/>
      <c r="D2" s="672"/>
      <c r="E2" s="672"/>
      <c r="F2" s="647" t="s">
        <v>1130</v>
      </c>
      <c r="G2" s="647" t="s">
        <v>114</v>
      </c>
      <c r="H2" s="647" t="s">
        <v>1131</v>
      </c>
      <c r="I2" s="672"/>
    </row>
    <row r="3" spans="1:13" s="206" customFormat="1" ht="13.15">
      <c r="A3" s="642" t="s">
        <v>1499</v>
      </c>
      <c r="B3" s="643"/>
      <c r="C3" s="643"/>
      <c r="D3" s="644"/>
      <c r="E3" s="645"/>
      <c r="F3" s="673"/>
      <c r="G3" s="673"/>
      <c r="H3" s="646"/>
      <c r="I3" s="645"/>
    </row>
    <row r="4" spans="1:13" s="227" customFormat="1" ht="13.15">
      <c r="A4" s="674"/>
      <c r="B4" s="675"/>
      <c r="C4" s="675"/>
      <c r="D4" s="676"/>
      <c r="E4" s="617"/>
      <c r="F4" s="529"/>
      <c r="G4" s="529"/>
      <c r="H4" s="617"/>
      <c r="I4" s="677"/>
    </row>
    <row r="5" spans="1:13" s="227" customFormat="1" ht="13.15">
      <c r="A5" s="674"/>
      <c r="B5" s="617"/>
      <c r="C5" s="678" t="s">
        <v>1500</v>
      </c>
      <c r="D5" s="676"/>
      <c r="E5" s="617"/>
      <c r="F5" s="529"/>
      <c r="G5" s="529"/>
      <c r="H5" s="617"/>
      <c r="I5" s="677"/>
    </row>
    <row r="6" spans="1:13" s="227" customFormat="1" ht="13.15">
      <c r="A6" s="674"/>
      <c r="B6" s="675"/>
      <c r="C6" s="675"/>
      <c r="D6" s="676"/>
      <c r="E6" s="617"/>
      <c r="F6" s="529"/>
      <c r="G6" s="529"/>
      <c r="H6" s="617"/>
      <c r="I6" s="677"/>
    </row>
    <row r="7" spans="1:13" s="202" customFormat="1" ht="13.15">
      <c r="A7" s="453"/>
      <c r="B7" s="453"/>
      <c r="C7" s="453"/>
      <c r="D7" s="463" t="s">
        <v>1411</v>
      </c>
      <c r="E7" s="453"/>
      <c r="F7" s="494"/>
      <c r="G7" s="494"/>
      <c r="H7" s="453"/>
      <c r="I7" s="453"/>
    </row>
    <row r="8" spans="1:13" s="228" customFormat="1" ht="13.15">
      <c r="A8" s="583"/>
      <c r="B8" s="583"/>
      <c r="C8" s="583"/>
      <c r="D8" s="583"/>
      <c r="E8" s="679" t="str">
        <f>'Sharing mechanism'!E77</f>
        <v>Outperformance payments after sharing (to be applied in-period) - Water resources</v>
      </c>
      <c r="F8" s="588">
        <f>'Sharing mechanism'!F77</f>
        <v>0.51100000000000001</v>
      </c>
      <c r="G8" s="679" t="str">
        <f>'Sharing mechanism'!G77</f>
        <v>£m (2017-18 prices)</v>
      </c>
      <c r="H8" s="588"/>
      <c r="I8" s="583"/>
    </row>
    <row r="9" spans="1:13" s="228" customFormat="1" ht="13.15">
      <c r="A9" s="583"/>
      <c r="B9" s="583"/>
      <c r="C9" s="583"/>
      <c r="D9" s="583"/>
      <c r="E9" s="679" t="str">
        <f>'Sharing mechanism'!E78</f>
        <v>Outperformance payments after sharing (to be applied in-period) - Water network plus</v>
      </c>
      <c r="F9" s="588">
        <f>'Sharing mechanism'!F78</f>
        <v>0</v>
      </c>
      <c r="G9" s="679" t="str">
        <f>'Sharing mechanism'!G78</f>
        <v>£m (2017-18 prices)</v>
      </c>
      <c r="H9" s="588"/>
      <c r="I9" s="583"/>
    </row>
    <row r="10" spans="1:13" s="228" customFormat="1" ht="13.15">
      <c r="A10" s="583"/>
      <c r="B10" s="583"/>
      <c r="C10" s="583"/>
      <c r="D10" s="583"/>
      <c r="E10" s="679" t="str">
        <f>'Sharing mechanism'!E79</f>
        <v>Outperformance payments after sharing (to be applied in-period) - Wastewater network plus</v>
      </c>
      <c r="F10" s="588">
        <f>'Sharing mechanism'!F79</f>
        <v>1.70299991</v>
      </c>
      <c r="G10" s="679" t="str">
        <f>'Sharing mechanism'!G79</f>
        <v>£m (2017-18 prices)</v>
      </c>
      <c r="H10" s="588"/>
      <c r="I10" s="583"/>
    </row>
    <row r="11" spans="1:13" s="228" customFormat="1" ht="13.5">
      <c r="A11" s="583"/>
      <c r="B11" s="583"/>
      <c r="C11" s="583"/>
      <c r="D11" s="583"/>
      <c r="E11" s="679" t="str">
        <f>'Sharing mechanism'!E80</f>
        <v>Outperformance payments after sharing (to be applied in-period) - Bioresources (sludge)</v>
      </c>
      <c r="F11" s="588">
        <f>'Sharing mechanism'!F80</f>
        <v>0</v>
      </c>
      <c r="G11" s="679" t="str">
        <f>'Sharing mechanism'!G80</f>
        <v>£m (2017-18 prices)</v>
      </c>
      <c r="H11" s="588"/>
      <c r="I11" s="583"/>
      <c r="M11" s="242"/>
    </row>
    <row r="12" spans="1:13" s="228" customFormat="1" ht="13.15">
      <c r="A12" s="583"/>
      <c r="B12" s="583"/>
      <c r="C12" s="583"/>
      <c r="D12" s="583"/>
      <c r="E12" s="679" t="str">
        <f>'Sharing mechanism'!E81</f>
        <v>Outperformance payments after sharing (to be applied in-period) - Residential retail</v>
      </c>
      <c r="F12" s="588">
        <f>'Sharing mechanism'!F81</f>
        <v>0</v>
      </c>
      <c r="G12" s="679" t="str">
        <f>'Sharing mechanism'!G81</f>
        <v>£m (2017-18 prices)</v>
      </c>
      <c r="H12" s="588"/>
      <c r="I12" s="583"/>
    </row>
    <row r="13" spans="1:13" s="228" customFormat="1" ht="13.15">
      <c r="A13" s="583"/>
      <c r="B13" s="583"/>
      <c r="C13" s="583"/>
      <c r="D13" s="583"/>
      <c r="E13" s="679" t="str">
        <f>'Sharing mechanism'!E82</f>
        <v>Outperformance payments after sharing (to be applied in-period) - Business retail</v>
      </c>
      <c r="F13" s="588">
        <f>'Sharing mechanism'!F82</f>
        <v>0</v>
      </c>
      <c r="G13" s="679" t="str">
        <f>'Sharing mechanism'!G82</f>
        <v>£m (2017-18 prices)</v>
      </c>
      <c r="H13" s="588"/>
      <c r="I13" s="583"/>
    </row>
    <row r="14" spans="1:13" s="228" customFormat="1" ht="13.15">
      <c r="A14" s="583"/>
      <c r="B14" s="583"/>
      <c r="C14" s="583"/>
      <c r="D14" s="583"/>
      <c r="E14" s="679" t="str">
        <f>'Sharing mechanism'!E83</f>
        <v>Outperformance payments after sharing (to be applied in-period) - Dummy control</v>
      </c>
      <c r="F14" s="588">
        <f>'Sharing mechanism'!F83</f>
        <v>0</v>
      </c>
      <c r="G14" s="679" t="str">
        <f>'Sharing mechanism'!G83</f>
        <v>£m (2017-18 prices)</v>
      </c>
      <c r="H14" s="588"/>
      <c r="I14" s="583"/>
    </row>
    <row r="15" spans="1:13" s="202" customFormat="1" ht="13.15">
      <c r="A15" s="453"/>
      <c r="B15" s="453"/>
      <c r="C15" s="453"/>
      <c r="D15" s="453"/>
      <c r="E15" s="583"/>
      <c r="F15" s="591"/>
      <c r="G15" s="591"/>
      <c r="H15" s="680"/>
      <c r="I15" s="453"/>
    </row>
    <row r="16" spans="1:13" s="202" customFormat="1" ht="13.15">
      <c r="A16" s="453"/>
      <c r="B16" s="453"/>
      <c r="C16" s="453"/>
      <c r="D16" s="463" t="s">
        <v>1501</v>
      </c>
      <c r="E16" s="453"/>
      <c r="F16" s="494"/>
      <c r="G16" s="494"/>
      <c r="H16" s="583"/>
      <c r="I16" s="453"/>
    </row>
    <row r="17" spans="1:9" s="228" customFormat="1" ht="13.15">
      <c r="A17" s="583"/>
      <c r="B17" s="583"/>
      <c r="C17" s="583"/>
      <c r="D17" s="605"/>
      <c r="E17" s="1437" t="str">
        <f>'Sharing mechanism'!E223</f>
        <v>Underperformance payments after sharing (to be applied in-period) - Water resources</v>
      </c>
      <c r="F17" s="615">
        <f>'Sharing mechanism'!F223</f>
        <v>-0.32354399999999994</v>
      </c>
      <c r="G17" s="1437" t="str">
        <f>'Sharing mechanism'!G223</f>
        <v>£m (2017-18 prices)</v>
      </c>
      <c r="H17" s="588"/>
      <c r="I17" s="583"/>
    </row>
    <row r="18" spans="1:9" s="228" customFormat="1" ht="13.15">
      <c r="A18" s="583"/>
      <c r="B18" s="583"/>
      <c r="C18" s="583"/>
      <c r="D18" s="605"/>
      <c r="E18" s="1437" t="str">
        <f>'Sharing mechanism'!E224</f>
        <v>Underperformance payments after sharing (to be applied in-period) - Water network plus</v>
      </c>
      <c r="F18" s="615">
        <f>'Sharing mechanism'!F224</f>
        <v>-13.457406666666666</v>
      </c>
      <c r="G18" s="1437" t="str">
        <f>'Sharing mechanism'!G224</f>
        <v>£m (2017-18 prices)</v>
      </c>
      <c r="H18" s="588"/>
      <c r="I18" s="583"/>
    </row>
    <row r="19" spans="1:9" s="228" customFormat="1" ht="13.15">
      <c r="A19" s="583"/>
      <c r="B19" s="583"/>
      <c r="C19" s="583"/>
      <c r="D19" s="605"/>
      <c r="E19" s="1437" t="str">
        <f>'Sharing mechanism'!E225</f>
        <v>Underperformance payments after sharing (to be applied in-period) - Wastewater network plus</v>
      </c>
      <c r="F19" s="615">
        <f>'Sharing mechanism'!F225</f>
        <v>-19.353538399999998</v>
      </c>
      <c r="G19" s="1437" t="str">
        <f>'Sharing mechanism'!G225</f>
        <v>£m (2017-18 prices)</v>
      </c>
      <c r="H19" s="588"/>
      <c r="I19" s="583"/>
    </row>
    <row r="20" spans="1:9" s="228" customFormat="1" ht="13.15">
      <c r="A20" s="583"/>
      <c r="B20" s="583"/>
      <c r="C20" s="583"/>
      <c r="D20" s="605"/>
      <c r="E20" s="1437" t="str">
        <f>'Sharing mechanism'!E226</f>
        <v>Underperformance payments after sharing (to be applied in-period) - Bioresources (sludge)</v>
      </c>
      <c r="F20" s="615">
        <f>'Sharing mechanism'!F226</f>
        <v>-1.2862200000000001</v>
      </c>
      <c r="G20" s="1437" t="str">
        <f>'Sharing mechanism'!G226</f>
        <v>£m (2017-18 prices)</v>
      </c>
      <c r="H20" s="588"/>
      <c r="I20" s="583"/>
    </row>
    <row r="21" spans="1:9" s="228" customFormat="1" ht="13.15">
      <c r="A21" s="583"/>
      <c r="B21" s="583"/>
      <c r="C21" s="583"/>
      <c r="D21" s="605"/>
      <c r="E21" s="1437" t="str">
        <f>'Sharing mechanism'!E227</f>
        <v>Underperformance payments after sharing (to be applied in-period) - Residential retail</v>
      </c>
      <c r="F21" s="615">
        <f>'Sharing mechanism'!F227</f>
        <v>-0.6</v>
      </c>
      <c r="G21" s="1437" t="str">
        <f>'Sharing mechanism'!G227</f>
        <v>£m (2017-18 prices)</v>
      </c>
      <c r="H21" s="588"/>
      <c r="I21" s="583"/>
    </row>
    <row r="22" spans="1:9" s="228" customFormat="1" ht="13.15">
      <c r="A22" s="583"/>
      <c r="B22" s="583"/>
      <c r="C22" s="583"/>
      <c r="D22" s="605"/>
      <c r="E22" s="1437" t="str">
        <f>'Sharing mechanism'!E228</f>
        <v>Underperformance payments after sharing (to be applied in-period) - Business retail</v>
      </c>
      <c r="F22" s="615">
        <f>'Sharing mechanism'!F228</f>
        <v>0</v>
      </c>
      <c r="G22" s="1437" t="str">
        <f>'Sharing mechanism'!G228</f>
        <v>£m (2017-18 prices)</v>
      </c>
      <c r="H22" s="588"/>
      <c r="I22" s="583"/>
    </row>
    <row r="23" spans="1:9" s="228" customFormat="1" ht="13.15">
      <c r="A23" s="583"/>
      <c r="B23" s="583"/>
      <c r="C23" s="583"/>
      <c r="D23" s="605"/>
      <c r="E23" s="1437" t="str">
        <f>'Sharing mechanism'!E229</f>
        <v>Underperformance payments after sharing (to be applied in-period) - Dummy control</v>
      </c>
      <c r="F23" s="615">
        <f>'Sharing mechanism'!F229</f>
        <v>0</v>
      </c>
      <c r="G23" s="1437" t="str">
        <f>'Sharing mechanism'!G229</f>
        <v>£m (2017-18 prices)</v>
      </c>
      <c r="H23" s="588"/>
      <c r="I23" s="583"/>
    </row>
    <row r="24" spans="1:9" s="202" customFormat="1" ht="13.15">
      <c r="A24" s="453"/>
      <c r="B24" s="453"/>
      <c r="C24" s="453"/>
      <c r="D24" s="453"/>
      <c r="E24" s="453"/>
      <c r="F24" s="494"/>
      <c r="G24" s="494"/>
      <c r="H24" s="453"/>
      <c r="I24" s="453"/>
    </row>
    <row r="25" spans="1:9" s="202" customFormat="1" ht="13.15">
      <c r="A25" s="453"/>
      <c r="B25" s="453"/>
      <c r="C25" s="453"/>
      <c r="D25" s="463" t="s">
        <v>1502</v>
      </c>
      <c r="E25" s="453"/>
      <c r="F25" s="494"/>
      <c r="G25" s="494"/>
      <c r="H25" s="453"/>
      <c r="I25" s="453"/>
    </row>
    <row r="26" spans="1:9" s="230" customFormat="1" ht="13.15">
      <c r="A26" s="632"/>
      <c r="B26" s="632"/>
      <c r="C26" s="632"/>
      <c r="D26" s="632"/>
      <c r="E26" s="632" t="s">
        <v>1503</v>
      </c>
      <c r="F26" s="681">
        <f>F8+F17</f>
        <v>0.18745600000000007</v>
      </c>
      <c r="G26" s="682" t="str">
        <f>InpCompany!$F$11</f>
        <v>£m (2017-18 prices)</v>
      </c>
      <c r="H26" s="681"/>
      <c r="I26" s="632"/>
    </row>
    <row r="27" spans="1:9" s="230" customFormat="1" ht="13.15">
      <c r="A27" s="632"/>
      <c r="B27" s="632"/>
      <c r="C27" s="632"/>
      <c r="D27" s="632"/>
      <c r="E27" s="632" t="s">
        <v>1504</v>
      </c>
      <c r="F27" s="681">
        <f t="shared" ref="F27:F32" si="0">F9+F18</f>
        <v>-13.457406666666666</v>
      </c>
      <c r="G27" s="682" t="str">
        <f>InpCompany!$F$11</f>
        <v>£m (2017-18 prices)</v>
      </c>
      <c r="H27" s="681"/>
      <c r="I27" s="632"/>
    </row>
    <row r="28" spans="1:9" s="230" customFormat="1" ht="13.15">
      <c r="A28" s="632"/>
      <c r="B28" s="632"/>
      <c r="C28" s="632"/>
      <c r="D28" s="632"/>
      <c r="E28" s="632" t="s">
        <v>1505</v>
      </c>
      <c r="F28" s="681">
        <f t="shared" si="0"/>
        <v>-17.650538489999999</v>
      </c>
      <c r="G28" s="682" t="str">
        <f>InpCompany!$F$11</f>
        <v>£m (2017-18 prices)</v>
      </c>
      <c r="H28" s="681"/>
      <c r="I28" s="632"/>
    </row>
    <row r="29" spans="1:9" s="230" customFormat="1" ht="13.15">
      <c r="A29" s="632"/>
      <c r="B29" s="632"/>
      <c r="C29" s="632"/>
      <c r="D29" s="632"/>
      <c r="E29" s="632" t="s">
        <v>1506</v>
      </c>
      <c r="F29" s="681">
        <f t="shared" si="0"/>
        <v>-1.2862200000000001</v>
      </c>
      <c r="G29" s="682" t="str">
        <f>InpCompany!$F$11</f>
        <v>£m (2017-18 prices)</v>
      </c>
      <c r="H29" s="681"/>
      <c r="I29" s="632"/>
    </row>
    <row r="30" spans="1:9" s="230" customFormat="1" ht="13.15">
      <c r="A30" s="632"/>
      <c r="B30" s="632"/>
      <c r="C30" s="632"/>
      <c r="D30" s="632"/>
      <c r="E30" s="632" t="s">
        <v>1507</v>
      </c>
      <c r="F30" s="681">
        <f t="shared" si="0"/>
        <v>-0.6</v>
      </c>
      <c r="G30" s="682" t="str">
        <f>InpCompany!$F$11</f>
        <v>£m (2017-18 prices)</v>
      </c>
      <c r="H30" s="681"/>
      <c r="I30" s="632"/>
    </row>
    <row r="31" spans="1:9" s="230" customFormat="1" ht="13.15">
      <c r="A31" s="632"/>
      <c r="B31" s="632"/>
      <c r="C31" s="632"/>
      <c r="D31" s="632"/>
      <c r="E31" s="632" t="s">
        <v>1508</v>
      </c>
      <c r="F31" s="681">
        <f t="shared" si="0"/>
        <v>0</v>
      </c>
      <c r="G31" s="682" t="str">
        <f>InpCompany!$F$11</f>
        <v>£m (2017-18 prices)</v>
      </c>
      <c r="H31" s="681"/>
      <c r="I31" s="632"/>
    </row>
    <row r="32" spans="1:9" s="230" customFormat="1" ht="13.15">
      <c r="A32" s="632"/>
      <c r="B32" s="632"/>
      <c r="C32" s="632"/>
      <c r="D32" s="632"/>
      <c r="E32" s="632" t="s">
        <v>1509</v>
      </c>
      <c r="F32" s="681">
        <f t="shared" si="0"/>
        <v>0</v>
      </c>
      <c r="G32" s="682" t="str">
        <f>InpCompany!$F$11</f>
        <v>£m (2017-18 prices)</v>
      </c>
      <c r="H32" s="681"/>
      <c r="I32" s="632"/>
    </row>
    <row r="33" spans="1:13" s="202" customFormat="1" ht="13.15">
      <c r="A33" s="453"/>
      <c r="B33" s="453"/>
      <c r="C33" s="453"/>
      <c r="D33" s="453"/>
      <c r="E33" s="453"/>
      <c r="F33" s="494"/>
      <c r="G33" s="494"/>
      <c r="H33" s="453"/>
      <c r="I33" s="453"/>
      <c r="M33" s="230"/>
    </row>
    <row r="34" spans="1:13" s="202" customFormat="1" ht="13.15">
      <c r="A34" s="453"/>
      <c r="B34" s="453"/>
      <c r="C34" s="453"/>
      <c r="D34" s="453"/>
      <c r="E34" s="453"/>
      <c r="F34" s="494"/>
      <c r="G34" s="494"/>
      <c r="H34" s="453"/>
      <c r="I34" s="453"/>
    </row>
    <row r="35" spans="1:13" s="206" customFormat="1" ht="13.15">
      <c r="A35" s="642" t="s">
        <v>1510</v>
      </c>
      <c r="B35" s="643"/>
      <c r="C35" s="643"/>
      <c r="D35" s="644"/>
      <c r="E35" s="645"/>
      <c r="F35" s="673"/>
      <c r="G35" s="673"/>
      <c r="H35" s="646"/>
      <c r="I35" s="645"/>
    </row>
    <row r="36" spans="1:13" s="202" customFormat="1" ht="13.15">
      <c r="A36" s="453"/>
      <c r="B36" s="453"/>
      <c r="C36" s="453"/>
      <c r="D36" s="453"/>
      <c r="E36" s="453"/>
      <c r="F36" s="494"/>
      <c r="G36" s="494"/>
      <c r="H36" s="453"/>
      <c r="I36" s="453"/>
    </row>
    <row r="37" spans="1:13" s="202" customFormat="1" ht="13.15">
      <c r="A37" s="453"/>
      <c r="B37" s="453"/>
      <c r="C37" s="678" t="s">
        <v>1500</v>
      </c>
      <c r="D37" s="453"/>
      <c r="E37" s="453"/>
      <c r="F37" s="494"/>
      <c r="G37" s="494"/>
      <c r="H37" s="453"/>
      <c r="I37" s="453"/>
    </row>
    <row r="38" spans="1:13" s="202" customFormat="1" ht="13.15">
      <c r="A38" s="453"/>
      <c r="B38" s="453"/>
      <c r="C38" s="453"/>
      <c r="D38" s="453"/>
      <c r="E38" s="453"/>
      <c r="F38" s="494"/>
      <c r="G38" s="494"/>
      <c r="H38" s="453"/>
      <c r="I38" s="453"/>
    </row>
    <row r="39" spans="1:13" s="202" customFormat="1" ht="13.15">
      <c r="A39" s="453"/>
      <c r="B39" s="453"/>
      <c r="C39" s="453"/>
      <c r="D39" s="463" t="s">
        <v>1419</v>
      </c>
      <c r="E39" s="453"/>
      <c r="F39" s="588"/>
      <c r="G39" s="494"/>
      <c r="H39" s="453"/>
      <c r="I39" s="453"/>
    </row>
    <row r="40" spans="1:13" s="228" customFormat="1" ht="13.15">
      <c r="A40" s="583"/>
      <c r="B40" s="583"/>
      <c r="C40" s="583"/>
      <c r="D40" s="583"/>
      <c r="E40" s="679" t="str">
        <f>'Sharing mechanism'!E86</f>
        <v>Outperformance payments after sharing (to be applied end of period) - Water resources</v>
      </c>
      <c r="F40" s="588">
        <f>'Sharing mechanism'!F86</f>
        <v>0</v>
      </c>
      <c r="G40" s="679" t="str">
        <f>'Sharing mechanism'!G86</f>
        <v>£m (2017-18 prices)</v>
      </c>
      <c r="H40" s="588"/>
      <c r="I40" s="583"/>
    </row>
    <row r="41" spans="1:13" s="228" customFormat="1" ht="13.15">
      <c r="A41" s="583"/>
      <c r="B41" s="583"/>
      <c r="C41" s="583"/>
      <c r="D41" s="583"/>
      <c r="E41" s="679" t="str">
        <f>'Sharing mechanism'!E87</f>
        <v>Outperformance payments after sharing (to be applied end of period) - Water network plus</v>
      </c>
      <c r="F41" s="588">
        <f>'Sharing mechanism'!F87</f>
        <v>0</v>
      </c>
      <c r="G41" s="679" t="str">
        <f>'Sharing mechanism'!G87</f>
        <v>£m (2017-18 prices)</v>
      </c>
      <c r="H41" s="588"/>
      <c r="I41" s="583"/>
    </row>
    <row r="42" spans="1:13" s="228" customFormat="1" ht="13.15">
      <c r="A42" s="583"/>
      <c r="B42" s="583"/>
      <c r="C42" s="583"/>
      <c r="D42" s="583"/>
      <c r="E42" s="679" t="str">
        <f>'Sharing mechanism'!E88</f>
        <v>Outperformance payments after sharing (to be applied end of period) - Wastewater network plus</v>
      </c>
      <c r="F42" s="588">
        <f>'Sharing mechanism'!F88</f>
        <v>0</v>
      </c>
      <c r="G42" s="679" t="str">
        <f>'Sharing mechanism'!G88</f>
        <v>£m (2017-18 prices)</v>
      </c>
      <c r="H42" s="588"/>
      <c r="I42" s="583"/>
    </row>
    <row r="43" spans="1:13" s="228" customFormat="1" ht="13.15">
      <c r="A43" s="583"/>
      <c r="B43" s="583"/>
      <c r="C43" s="583"/>
      <c r="D43" s="583"/>
      <c r="E43" s="679" t="str">
        <f>'Sharing mechanism'!E89</f>
        <v>Outperformance payments after sharing (to be applied end of period) - Bioresources (sludge)</v>
      </c>
      <c r="F43" s="588">
        <f>'Sharing mechanism'!F89</f>
        <v>0</v>
      </c>
      <c r="G43" s="679" t="str">
        <f>'Sharing mechanism'!G89</f>
        <v>£m (2017-18 prices)</v>
      </c>
      <c r="H43" s="588"/>
      <c r="I43" s="583"/>
    </row>
    <row r="44" spans="1:13" s="228" customFormat="1" ht="13.15">
      <c r="A44" s="583"/>
      <c r="B44" s="583"/>
      <c r="C44" s="583"/>
      <c r="D44" s="583"/>
      <c r="E44" s="679" t="str">
        <f>'Sharing mechanism'!E90</f>
        <v>Outperformance payments after sharing (to be applied end of period) - Residential retail</v>
      </c>
      <c r="F44" s="588">
        <f>'Sharing mechanism'!F90</f>
        <v>0</v>
      </c>
      <c r="G44" s="679" t="str">
        <f>'Sharing mechanism'!G90</f>
        <v>£m (2017-18 prices)</v>
      </c>
      <c r="H44" s="588"/>
      <c r="I44" s="583"/>
    </row>
    <row r="45" spans="1:13" s="228" customFormat="1" ht="13.15">
      <c r="A45" s="583"/>
      <c r="B45" s="583"/>
      <c r="C45" s="583"/>
      <c r="D45" s="583"/>
      <c r="E45" s="679" t="str">
        <f>'Sharing mechanism'!E91</f>
        <v>Outperformance payments after sharing (to be applied end of period) - Business retail</v>
      </c>
      <c r="F45" s="588">
        <f>'Sharing mechanism'!F91</f>
        <v>0</v>
      </c>
      <c r="G45" s="679" t="str">
        <f>'Sharing mechanism'!G91</f>
        <v>£m (2017-18 prices)</v>
      </c>
      <c r="H45" s="588"/>
      <c r="I45" s="583"/>
    </row>
    <row r="46" spans="1:13" s="228" customFormat="1" ht="13.15">
      <c r="A46" s="583"/>
      <c r="B46" s="583"/>
      <c r="C46" s="583"/>
      <c r="D46" s="583"/>
      <c r="E46" s="679" t="str">
        <f>'Sharing mechanism'!E92</f>
        <v>Outperformance payments after sharing (to be applied end of period) - Dummy control</v>
      </c>
      <c r="F46" s="588">
        <f>'Sharing mechanism'!F92</f>
        <v>0</v>
      </c>
      <c r="G46" s="679" t="str">
        <f>'Sharing mechanism'!G92</f>
        <v>£m (2017-18 prices)</v>
      </c>
      <c r="H46" s="588"/>
      <c r="I46" s="583"/>
    </row>
    <row r="47" spans="1:13" s="202" customFormat="1" ht="13.15">
      <c r="A47" s="453"/>
      <c r="B47" s="453"/>
      <c r="C47" s="453"/>
      <c r="D47" s="453"/>
      <c r="E47" s="453"/>
      <c r="F47" s="494"/>
      <c r="G47" s="494"/>
      <c r="H47" s="583"/>
      <c r="I47" s="453"/>
    </row>
    <row r="48" spans="1:13" s="202" customFormat="1" ht="13.15">
      <c r="A48" s="453"/>
      <c r="B48" s="453"/>
      <c r="C48" s="453"/>
      <c r="D48" s="463" t="s">
        <v>1511</v>
      </c>
      <c r="E48" s="453"/>
      <c r="F48" s="494"/>
      <c r="G48" s="494"/>
      <c r="H48" s="583"/>
      <c r="I48" s="453"/>
    </row>
    <row r="49" spans="1:9" s="202" customFormat="1" ht="13.15">
      <c r="A49" s="453"/>
      <c r="B49" s="453"/>
      <c r="C49" s="510"/>
      <c r="D49" s="510"/>
      <c r="E49" s="1438" t="str">
        <f>'Sharing mechanism'!E232</f>
        <v>Underperformance payments after sharing (to be applied end of period) - Water resources</v>
      </c>
      <c r="F49" s="588">
        <f>'Sharing mechanism'!F232</f>
        <v>0</v>
      </c>
      <c r="G49" s="1438" t="str">
        <f>'Sharing mechanism'!G232</f>
        <v>£m (2017-18 prices)</v>
      </c>
      <c r="H49" s="588"/>
      <c r="I49" s="453"/>
    </row>
    <row r="50" spans="1:9" s="202" customFormat="1" ht="13.15">
      <c r="A50" s="453"/>
      <c r="B50" s="453"/>
      <c r="C50" s="510"/>
      <c r="D50" s="510"/>
      <c r="E50" s="1438" t="str">
        <f>'Sharing mechanism'!E233</f>
        <v>Underperformance payments after sharing (to be applied end of period) - Water network plus</v>
      </c>
      <c r="F50" s="588">
        <f>'Sharing mechanism'!F233</f>
        <v>0</v>
      </c>
      <c r="G50" s="1438" t="str">
        <f>'Sharing mechanism'!G233</f>
        <v>£m (2017-18 prices)</v>
      </c>
      <c r="H50" s="588"/>
      <c r="I50" s="453"/>
    </row>
    <row r="51" spans="1:9" s="202" customFormat="1" ht="13.15">
      <c r="A51" s="453"/>
      <c r="B51" s="453"/>
      <c r="C51" s="510"/>
      <c r="D51" s="510"/>
      <c r="E51" s="1438" t="str">
        <f>'Sharing mechanism'!E234</f>
        <v>Underperformance payments after sharing (to be applied end of period) - Wastewater network plus</v>
      </c>
      <c r="F51" s="588">
        <f>'Sharing mechanism'!F234</f>
        <v>0</v>
      </c>
      <c r="G51" s="1438" t="str">
        <f>'Sharing mechanism'!G234</f>
        <v>£m (2017-18 prices)</v>
      </c>
      <c r="H51" s="588"/>
      <c r="I51" s="453"/>
    </row>
    <row r="52" spans="1:9" s="202" customFormat="1" ht="13.15">
      <c r="A52" s="453"/>
      <c r="B52" s="453"/>
      <c r="C52" s="510"/>
      <c r="D52" s="510"/>
      <c r="E52" s="1438" t="str">
        <f>'Sharing mechanism'!E235</f>
        <v>Underperformance payments after sharing (to be applied end of period) - Bioresources (sludge)</v>
      </c>
      <c r="F52" s="588">
        <f>'Sharing mechanism'!F235</f>
        <v>0</v>
      </c>
      <c r="G52" s="1438" t="str">
        <f>'Sharing mechanism'!G235</f>
        <v>£m (2017-18 prices)</v>
      </c>
      <c r="H52" s="588"/>
      <c r="I52" s="453"/>
    </row>
    <row r="53" spans="1:9" s="202" customFormat="1" ht="13.15">
      <c r="A53" s="453"/>
      <c r="B53" s="453"/>
      <c r="C53" s="510"/>
      <c r="D53" s="510"/>
      <c r="E53" s="1438" t="str">
        <f>'Sharing mechanism'!E236</f>
        <v>Underperformance payments after sharing (to be applied end of period) - Residential retail</v>
      </c>
      <c r="F53" s="588">
        <f>'Sharing mechanism'!F236</f>
        <v>0</v>
      </c>
      <c r="G53" s="1438" t="str">
        <f>'Sharing mechanism'!G236</f>
        <v>£m (2017-18 prices)</v>
      </c>
      <c r="H53" s="588"/>
      <c r="I53" s="453"/>
    </row>
    <row r="54" spans="1:9" s="202" customFormat="1" ht="13.15">
      <c r="A54" s="453"/>
      <c r="B54" s="453"/>
      <c r="C54" s="510"/>
      <c r="D54" s="510"/>
      <c r="E54" s="1438" t="str">
        <f>'Sharing mechanism'!E237</f>
        <v>Underperformance payments after sharing (to be applied end of period) - Business retail</v>
      </c>
      <c r="F54" s="588">
        <f>'Sharing mechanism'!F237</f>
        <v>0</v>
      </c>
      <c r="G54" s="1438" t="str">
        <f>'Sharing mechanism'!G237</f>
        <v>£m (2017-18 prices)</v>
      </c>
      <c r="H54" s="588"/>
      <c r="I54" s="453"/>
    </row>
    <row r="55" spans="1:9" s="202" customFormat="1" ht="13.15">
      <c r="A55" s="453"/>
      <c r="B55" s="453"/>
      <c r="C55" s="510"/>
      <c r="D55" s="510"/>
      <c r="E55" s="1438" t="str">
        <f>'Sharing mechanism'!E238</f>
        <v>Underperformance payments after sharing (to be applied end of period) - Dummy control</v>
      </c>
      <c r="F55" s="588">
        <f>'Sharing mechanism'!F238</f>
        <v>0</v>
      </c>
      <c r="G55" s="1438" t="str">
        <f>'Sharing mechanism'!G238</f>
        <v>£m (2017-18 prices)</v>
      </c>
      <c r="H55" s="588"/>
      <c r="I55" s="453"/>
    </row>
    <row r="56" spans="1:9" s="202" customFormat="1" ht="13.15">
      <c r="A56" s="453"/>
      <c r="B56" s="453"/>
      <c r="C56" s="453"/>
      <c r="D56" s="453"/>
      <c r="E56" s="453"/>
      <c r="F56" s="494"/>
      <c r="G56" s="494"/>
      <c r="H56" s="583"/>
      <c r="I56" s="453"/>
    </row>
    <row r="57" spans="1:9" s="202" customFormat="1" ht="13.15">
      <c r="A57" s="453"/>
      <c r="B57" s="453"/>
      <c r="C57" s="473" t="s">
        <v>1512</v>
      </c>
      <c r="D57" s="453"/>
      <c r="E57" s="453"/>
      <c r="F57" s="494"/>
      <c r="G57" s="494"/>
      <c r="H57" s="583"/>
      <c r="I57" s="453"/>
    </row>
    <row r="58" spans="1:9" s="202" customFormat="1" ht="13.15">
      <c r="A58" s="453"/>
      <c r="B58" s="453"/>
      <c r="C58" s="453"/>
      <c r="D58" s="453"/>
      <c r="E58" s="453"/>
      <c r="F58" s="494"/>
      <c r="G58" s="494"/>
      <c r="H58" s="583"/>
      <c r="I58" s="453"/>
    </row>
    <row r="59" spans="1:9" s="202" customFormat="1" ht="13.15">
      <c r="A59" s="453"/>
      <c r="B59" s="453"/>
      <c r="C59" s="453"/>
      <c r="D59" s="463" t="str">
        <f>Performance!D317</f>
        <v>Proportion of end of period outperformance payments to be paid through the RCV</v>
      </c>
      <c r="E59" s="453"/>
      <c r="F59" s="494"/>
      <c r="G59" s="494"/>
      <c r="H59" s="583"/>
      <c r="I59" s="453"/>
    </row>
    <row r="60" spans="1:9" s="202" customFormat="1" ht="13.15">
      <c r="A60" s="453"/>
      <c r="B60" s="453"/>
      <c r="C60" s="453"/>
      <c r="D60" s="453"/>
      <c r="E60" s="683" t="str">
        <f>Performance!E318</f>
        <v>Proportion of end of period outperformance payments to be paid through the RCV - Water resources</v>
      </c>
      <c r="F60" s="684">
        <f>Performance!F318</f>
        <v>0</v>
      </c>
      <c r="G60" s="683" t="str">
        <f>Performance!G318</f>
        <v>Percentage</v>
      </c>
      <c r="H60" s="684"/>
      <c r="I60" s="453"/>
    </row>
    <row r="61" spans="1:9" s="202" customFormat="1" ht="13.15">
      <c r="A61" s="453"/>
      <c r="B61" s="453"/>
      <c r="C61" s="453"/>
      <c r="D61" s="453"/>
      <c r="E61" s="683" t="str">
        <f>Performance!E319</f>
        <v>Proportion of end of period outperformance payments to be paid through the RCV - Water network plus</v>
      </c>
      <c r="F61" s="684">
        <f>Performance!F319</f>
        <v>0</v>
      </c>
      <c r="G61" s="683" t="str">
        <f>Performance!G319</f>
        <v>Percentage</v>
      </c>
      <c r="H61" s="684"/>
      <c r="I61" s="453"/>
    </row>
    <row r="62" spans="1:9" s="202" customFormat="1" ht="13.15">
      <c r="A62" s="453"/>
      <c r="B62" s="453"/>
      <c r="C62" s="453"/>
      <c r="D62" s="453"/>
      <c r="E62" s="683" t="str">
        <f>Performance!E320</f>
        <v>Proportion of end of period outperformance payments to be paid through the RCV - Wastewater network plus</v>
      </c>
      <c r="F62" s="684">
        <f>Performance!F320</f>
        <v>0</v>
      </c>
      <c r="G62" s="683" t="str">
        <f>Performance!G320</f>
        <v>Percentage</v>
      </c>
      <c r="H62" s="684"/>
      <c r="I62" s="453"/>
    </row>
    <row r="63" spans="1:9" s="202" customFormat="1" ht="13.15">
      <c r="A63" s="453"/>
      <c r="B63" s="453"/>
      <c r="C63" s="453"/>
      <c r="D63" s="453"/>
      <c r="E63" s="683" t="str">
        <f>Performance!E321</f>
        <v>Proportion of end of period outperformance payments to be paid through the RCV - Bioresources (sludge)</v>
      </c>
      <c r="F63" s="684">
        <f>Performance!F321</f>
        <v>0</v>
      </c>
      <c r="G63" s="683" t="str">
        <f>Performance!G321</f>
        <v>Percentage</v>
      </c>
      <c r="H63" s="684"/>
      <c r="I63" s="453"/>
    </row>
    <row r="64" spans="1:9" s="202" customFormat="1" ht="13.15">
      <c r="A64" s="453"/>
      <c r="B64" s="453"/>
      <c r="C64" s="453"/>
      <c r="D64" s="453"/>
      <c r="E64" s="683" t="str">
        <f>Performance!E322</f>
        <v>Proportion of end of period outperformance payments to be paid through the RCV - Residential retail</v>
      </c>
      <c r="F64" s="684">
        <f>Performance!F322</f>
        <v>0</v>
      </c>
      <c r="G64" s="683" t="str">
        <f>Performance!G322</f>
        <v>Percentage</v>
      </c>
      <c r="H64" s="684"/>
      <c r="I64" s="453"/>
    </row>
    <row r="65" spans="1:9" s="202" customFormat="1" ht="13.15">
      <c r="A65" s="453"/>
      <c r="B65" s="453"/>
      <c r="C65" s="453"/>
      <c r="D65" s="453"/>
      <c r="E65" s="683" t="str">
        <f>Performance!E323</f>
        <v>Proportion of end of period outperformance payments to be paid through the RCV - Business retail</v>
      </c>
      <c r="F65" s="684">
        <f>Performance!F323</f>
        <v>0</v>
      </c>
      <c r="G65" s="683" t="str">
        <f>Performance!G323</f>
        <v>Percentage</v>
      </c>
      <c r="H65" s="684"/>
      <c r="I65" s="453"/>
    </row>
    <row r="66" spans="1:9" s="202" customFormat="1" ht="13.15">
      <c r="A66" s="453"/>
      <c r="B66" s="453"/>
      <c r="C66" s="453"/>
      <c r="D66" s="453"/>
      <c r="E66" s="683" t="str">
        <f>Performance!E324</f>
        <v>Proportion of end of period outperformance payments to be paid through the RCV - Dummy control</v>
      </c>
      <c r="F66" s="684">
        <f>Performance!F324</f>
        <v>0</v>
      </c>
      <c r="G66" s="683" t="str">
        <f>Performance!G324</f>
        <v>Percentage</v>
      </c>
      <c r="H66" s="684"/>
      <c r="I66" s="453"/>
    </row>
    <row r="67" spans="1:9" s="202" customFormat="1" ht="13.15">
      <c r="A67" s="453"/>
      <c r="B67" s="453"/>
      <c r="C67" s="453"/>
      <c r="D67" s="453"/>
      <c r="E67" s="453"/>
      <c r="F67" s="494"/>
      <c r="G67" s="494"/>
      <c r="H67" s="583"/>
      <c r="I67" s="453"/>
    </row>
    <row r="68" spans="1:9" s="202" customFormat="1" ht="13.15">
      <c r="A68" s="453"/>
      <c r="B68" s="453"/>
      <c r="C68" s="453"/>
      <c r="D68" s="463" t="str">
        <f>Performance!D326</f>
        <v>Proportion of end of period underperformance payments to be paid through the RCV</v>
      </c>
      <c r="E68" s="453"/>
      <c r="F68" s="494"/>
      <c r="G68" s="494"/>
      <c r="H68" s="583"/>
      <c r="I68" s="453"/>
    </row>
    <row r="69" spans="1:9" s="202" customFormat="1" ht="13.15">
      <c r="A69" s="453"/>
      <c r="B69" s="453"/>
      <c r="C69" s="453"/>
      <c r="D69" s="453"/>
      <c r="E69" s="683" t="str">
        <f>Performance!E327</f>
        <v>Proportion of end of period underperformance payments to be paid through the RCV - Water resources</v>
      </c>
      <c r="F69" s="684">
        <f>Performance!F327</f>
        <v>0</v>
      </c>
      <c r="G69" s="683" t="str">
        <f>Performance!G327</f>
        <v>Percentage</v>
      </c>
      <c r="H69" s="684"/>
      <c r="I69" s="453"/>
    </row>
    <row r="70" spans="1:9" s="202" customFormat="1" ht="13.15">
      <c r="A70" s="453"/>
      <c r="B70" s="453"/>
      <c r="C70" s="453"/>
      <c r="D70" s="453"/>
      <c r="E70" s="683" t="str">
        <f>Performance!E328</f>
        <v>Proportion of end of period underperformance payments to be paid through the RCV - Water network plus</v>
      </c>
      <c r="F70" s="684">
        <f>Performance!F328</f>
        <v>0</v>
      </c>
      <c r="G70" s="683" t="str">
        <f>Performance!G328</f>
        <v>Percentage</v>
      </c>
      <c r="H70" s="684"/>
      <c r="I70" s="453"/>
    </row>
    <row r="71" spans="1:9" s="202" customFormat="1" ht="13.15">
      <c r="A71" s="453"/>
      <c r="B71" s="453"/>
      <c r="C71" s="453"/>
      <c r="D71" s="453"/>
      <c r="E71" s="683" t="str">
        <f>Performance!E329</f>
        <v>Proportion of end of period underperformance payments to be paid through the RCV - Wastewater network plus</v>
      </c>
      <c r="F71" s="684">
        <f>Performance!F329</f>
        <v>0</v>
      </c>
      <c r="G71" s="683" t="str">
        <f>Performance!G329</f>
        <v>Percentage</v>
      </c>
      <c r="H71" s="684"/>
      <c r="I71" s="453"/>
    </row>
    <row r="72" spans="1:9" s="202" customFormat="1" ht="13.15">
      <c r="A72" s="453"/>
      <c r="B72" s="453"/>
      <c r="C72" s="453"/>
      <c r="D72" s="453"/>
      <c r="E72" s="683" t="str">
        <f>Performance!E330</f>
        <v>Proportion of end of period underperformance payments to be paid through the RCV - Bioresources (sludge)</v>
      </c>
      <c r="F72" s="684">
        <f>Performance!F330</f>
        <v>0</v>
      </c>
      <c r="G72" s="683" t="str">
        <f>Performance!G330</f>
        <v>Percentage</v>
      </c>
      <c r="H72" s="684"/>
      <c r="I72" s="453"/>
    </row>
    <row r="73" spans="1:9" s="202" customFormat="1" ht="13.15">
      <c r="A73" s="453"/>
      <c r="B73" s="453"/>
      <c r="C73" s="453"/>
      <c r="D73" s="453"/>
      <c r="E73" s="683" t="str">
        <f>Performance!E331</f>
        <v>Proportion of end of period underperformance payments to be paid through the RCV - Residential retail</v>
      </c>
      <c r="F73" s="684">
        <f>Performance!F331</f>
        <v>0</v>
      </c>
      <c r="G73" s="683" t="str">
        <f>Performance!G331</f>
        <v>Percentage</v>
      </c>
      <c r="H73" s="684"/>
      <c r="I73" s="453"/>
    </row>
    <row r="74" spans="1:9" s="202" customFormat="1" ht="13.15">
      <c r="A74" s="453"/>
      <c r="B74" s="453"/>
      <c r="C74" s="453"/>
      <c r="D74" s="453"/>
      <c r="E74" s="683" t="str">
        <f>Performance!E332</f>
        <v>Proportion of end of period underperformance payments to be paid through the RCV - Business retail</v>
      </c>
      <c r="F74" s="684">
        <f>Performance!F332</f>
        <v>0</v>
      </c>
      <c r="G74" s="683" t="str">
        <f>Performance!G332</f>
        <v>Percentage</v>
      </c>
      <c r="H74" s="684"/>
      <c r="I74" s="453"/>
    </row>
    <row r="75" spans="1:9" s="202" customFormat="1" ht="13.15">
      <c r="A75" s="453"/>
      <c r="B75" s="453"/>
      <c r="C75" s="453"/>
      <c r="D75" s="453"/>
      <c r="E75" s="683" t="str">
        <f>Performance!E333</f>
        <v>Proportion of end of period underperformance payments to be paid through the RCV - Dummy control</v>
      </c>
      <c r="F75" s="684">
        <f>Performance!F333</f>
        <v>0</v>
      </c>
      <c r="G75" s="683" t="str">
        <f>Performance!G333</f>
        <v>Percentage</v>
      </c>
      <c r="H75" s="684"/>
      <c r="I75" s="453"/>
    </row>
    <row r="76" spans="1:9" s="202" customFormat="1" ht="13.15">
      <c r="A76" s="453"/>
      <c r="B76" s="453"/>
      <c r="C76" s="453"/>
      <c r="D76" s="453"/>
      <c r="E76" s="453"/>
      <c r="F76" s="494"/>
      <c r="G76" s="494"/>
      <c r="H76" s="453"/>
      <c r="I76" s="453"/>
    </row>
    <row r="77" spans="1:9" s="202" customFormat="1" ht="13.15">
      <c r="A77" s="453"/>
      <c r="B77" s="453"/>
      <c r="C77" s="453"/>
      <c r="D77" s="463" t="s">
        <v>1513</v>
      </c>
      <c r="E77" s="453"/>
      <c r="F77" s="494"/>
      <c r="G77" s="529"/>
      <c r="H77" s="453"/>
      <c r="I77" s="453"/>
    </row>
    <row r="78" spans="1:9" s="202" customFormat="1" ht="13.15">
      <c r="A78" s="453"/>
      <c r="B78" s="453"/>
      <c r="C78" s="453"/>
      <c r="D78" s="453"/>
      <c r="E78" s="453" t="s">
        <v>1514</v>
      </c>
      <c r="F78" s="492">
        <f>F40*(1-F60)</f>
        <v>0</v>
      </c>
      <c r="G78" s="529" t="str">
        <f>InpCompany!$F$11</f>
        <v>£m (2017-18 prices)</v>
      </c>
      <c r="H78" s="492"/>
      <c r="I78" s="453"/>
    </row>
    <row r="79" spans="1:9" s="202" customFormat="1" ht="13.15">
      <c r="A79" s="453"/>
      <c r="B79" s="453"/>
      <c r="C79" s="453"/>
      <c r="D79" s="453"/>
      <c r="E79" s="453" t="s">
        <v>1515</v>
      </c>
      <c r="F79" s="492">
        <f t="shared" ref="F79:F84" si="1">F41*(1-F61)</f>
        <v>0</v>
      </c>
      <c r="G79" s="529" t="str">
        <f>InpCompany!$F$11</f>
        <v>£m (2017-18 prices)</v>
      </c>
      <c r="H79" s="492"/>
      <c r="I79" s="453"/>
    </row>
    <row r="80" spans="1:9" s="202" customFormat="1" ht="13.15">
      <c r="A80" s="453"/>
      <c r="B80" s="453"/>
      <c r="C80" s="453"/>
      <c r="D80" s="453"/>
      <c r="E80" s="453" t="s">
        <v>1516</v>
      </c>
      <c r="F80" s="492">
        <f t="shared" si="1"/>
        <v>0</v>
      </c>
      <c r="G80" s="529" t="str">
        <f>InpCompany!$F$11</f>
        <v>£m (2017-18 prices)</v>
      </c>
      <c r="H80" s="492"/>
      <c r="I80" s="453"/>
    </row>
    <row r="81" spans="1:9" s="202" customFormat="1" ht="13.15">
      <c r="A81" s="453"/>
      <c r="B81" s="453"/>
      <c r="C81" s="453"/>
      <c r="D81" s="453"/>
      <c r="E81" s="453" t="s">
        <v>1517</v>
      </c>
      <c r="F81" s="492">
        <f t="shared" si="1"/>
        <v>0</v>
      </c>
      <c r="G81" s="529" t="str">
        <f>InpCompany!$F$11</f>
        <v>£m (2017-18 prices)</v>
      </c>
      <c r="H81" s="492"/>
      <c r="I81" s="453"/>
    </row>
    <row r="82" spans="1:9" s="202" customFormat="1" ht="13.15">
      <c r="A82" s="453"/>
      <c r="B82" s="453"/>
      <c r="C82" s="453"/>
      <c r="D82" s="453"/>
      <c r="E82" s="453" t="s">
        <v>1518</v>
      </c>
      <c r="F82" s="492">
        <f t="shared" si="1"/>
        <v>0</v>
      </c>
      <c r="G82" s="529" t="str">
        <f>InpCompany!$F$11</f>
        <v>£m (2017-18 prices)</v>
      </c>
      <c r="H82" s="492"/>
      <c r="I82" s="453"/>
    </row>
    <row r="83" spans="1:9" s="202" customFormat="1" ht="13.15">
      <c r="A83" s="453"/>
      <c r="B83" s="453"/>
      <c r="C83" s="453"/>
      <c r="D83" s="453"/>
      <c r="E83" s="453" t="s">
        <v>1519</v>
      </c>
      <c r="F83" s="492">
        <f t="shared" si="1"/>
        <v>0</v>
      </c>
      <c r="G83" s="529" t="str">
        <f>InpCompany!$F$11</f>
        <v>£m (2017-18 prices)</v>
      </c>
      <c r="H83" s="492"/>
      <c r="I83" s="453"/>
    </row>
    <row r="84" spans="1:9" s="202" customFormat="1" ht="13.15">
      <c r="A84" s="453"/>
      <c r="B84" s="453"/>
      <c r="C84" s="453"/>
      <c r="D84" s="453"/>
      <c r="E84" s="453" t="s">
        <v>1520</v>
      </c>
      <c r="F84" s="492">
        <f t="shared" si="1"/>
        <v>0</v>
      </c>
      <c r="G84" s="529" t="str">
        <f>InpCompany!$F$11</f>
        <v>£m (2017-18 prices)</v>
      </c>
      <c r="H84" s="492"/>
      <c r="I84" s="453"/>
    </row>
    <row r="85" spans="1:9" s="202" customFormat="1" ht="13.15">
      <c r="A85" s="453"/>
      <c r="B85" s="453"/>
      <c r="C85" s="453"/>
      <c r="D85" s="453"/>
      <c r="E85" s="494"/>
      <c r="F85" s="494"/>
      <c r="G85" s="529"/>
      <c r="H85" s="617"/>
      <c r="I85" s="453"/>
    </row>
    <row r="86" spans="1:9" s="202" customFormat="1" ht="13.15">
      <c r="A86" s="453"/>
      <c r="B86" s="453"/>
      <c r="C86" s="453"/>
      <c r="D86" s="463" t="s">
        <v>1521</v>
      </c>
      <c r="E86" s="494"/>
      <c r="F86" s="494"/>
      <c r="G86" s="529"/>
      <c r="H86" s="617"/>
      <c r="I86" s="453"/>
    </row>
    <row r="87" spans="1:9" s="202" customFormat="1" ht="13.15">
      <c r="A87" s="453"/>
      <c r="B87" s="453"/>
      <c r="C87" s="453"/>
      <c r="D87" s="453"/>
      <c r="E87" s="453" t="s">
        <v>1522</v>
      </c>
      <c r="F87" s="492">
        <f>F40*F60</f>
        <v>0</v>
      </c>
      <c r="G87" s="529" t="str">
        <f>InpCompany!$F$11</f>
        <v>£m (2017-18 prices)</v>
      </c>
      <c r="H87" s="492"/>
      <c r="I87" s="453"/>
    </row>
    <row r="88" spans="1:9" s="202" customFormat="1" ht="13.15">
      <c r="A88" s="453"/>
      <c r="B88" s="453"/>
      <c r="C88" s="453"/>
      <c r="D88" s="453"/>
      <c r="E88" s="453" t="s">
        <v>1523</v>
      </c>
      <c r="F88" s="492">
        <f t="shared" ref="F88:F93" si="2">F41*F61</f>
        <v>0</v>
      </c>
      <c r="G88" s="529" t="str">
        <f>InpCompany!$F$11</f>
        <v>£m (2017-18 prices)</v>
      </c>
      <c r="H88" s="492"/>
      <c r="I88" s="453"/>
    </row>
    <row r="89" spans="1:9" s="202" customFormat="1" ht="13.15">
      <c r="A89" s="453"/>
      <c r="B89" s="453"/>
      <c r="C89" s="453"/>
      <c r="D89" s="453"/>
      <c r="E89" s="453" t="s">
        <v>1524</v>
      </c>
      <c r="F89" s="492">
        <f t="shared" si="2"/>
        <v>0</v>
      </c>
      <c r="G89" s="529" t="str">
        <f>InpCompany!$F$11</f>
        <v>£m (2017-18 prices)</v>
      </c>
      <c r="H89" s="492"/>
      <c r="I89" s="453"/>
    </row>
    <row r="90" spans="1:9" s="202" customFormat="1" ht="13.15">
      <c r="A90" s="453"/>
      <c r="B90" s="453"/>
      <c r="C90" s="453"/>
      <c r="D90" s="453"/>
      <c r="E90" s="453" t="s">
        <v>1525</v>
      </c>
      <c r="F90" s="492">
        <f t="shared" si="2"/>
        <v>0</v>
      </c>
      <c r="G90" s="529" t="str">
        <f>InpCompany!$F$11</f>
        <v>£m (2017-18 prices)</v>
      </c>
      <c r="H90" s="492"/>
      <c r="I90" s="453"/>
    </row>
    <row r="91" spans="1:9" s="202" customFormat="1" ht="13.15">
      <c r="A91" s="453"/>
      <c r="B91" s="453"/>
      <c r="C91" s="453"/>
      <c r="D91" s="453"/>
      <c r="E91" s="453" t="s">
        <v>1526</v>
      </c>
      <c r="F91" s="492">
        <f t="shared" si="2"/>
        <v>0</v>
      </c>
      <c r="G91" s="529" t="str">
        <f>InpCompany!$F$11</f>
        <v>£m (2017-18 prices)</v>
      </c>
      <c r="H91" s="492"/>
      <c r="I91" s="453"/>
    </row>
    <row r="92" spans="1:9" s="202" customFormat="1" ht="13.15">
      <c r="A92" s="453"/>
      <c r="B92" s="453"/>
      <c r="C92" s="453"/>
      <c r="D92" s="453"/>
      <c r="E92" s="453" t="s">
        <v>1527</v>
      </c>
      <c r="F92" s="492">
        <f t="shared" si="2"/>
        <v>0</v>
      </c>
      <c r="G92" s="529" t="str">
        <f>InpCompany!$F$11</f>
        <v>£m (2017-18 prices)</v>
      </c>
      <c r="H92" s="492"/>
      <c r="I92" s="453"/>
    </row>
    <row r="93" spans="1:9" s="202" customFormat="1" ht="13.15">
      <c r="A93" s="453"/>
      <c r="B93" s="453"/>
      <c r="C93" s="453"/>
      <c r="D93" s="453"/>
      <c r="E93" s="453" t="s">
        <v>1528</v>
      </c>
      <c r="F93" s="492">
        <f t="shared" si="2"/>
        <v>0</v>
      </c>
      <c r="G93" s="529" t="str">
        <f>InpCompany!$F$11</f>
        <v>£m (2017-18 prices)</v>
      </c>
      <c r="H93" s="492"/>
      <c r="I93" s="453"/>
    </row>
    <row r="94" spans="1:9" s="202" customFormat="1" ht="13.15">
      <c r="A94" s="453"/>
      <c r="B94" s="453"/>
      <c r="C94" s="453"/>
      <c r="D94" s="453"/>
      <c r="E94" s="494"/>
      <c r="F94" s="494"/>
      <c r="G94" s="529"/>
      <c r="H94" s="617"/>
      <c r="I94" s="453"/>
    </row>
    <row r="95" spans="1:9" s="202" customFormat="1" ht="13.15">
      <c r="A95" s="453"/>
      <c r="B95" s="453"/>
      <c r="C95" s="453"/>
      <c r="D95" s="463" t="s">
        <v>1529</v>
      </c>
      <c r="E95" s="494"/>
      <c r="F95" s="494"/>
      <c r="G95" s="529"/>
      <c r="H95" s="617"/>
      <c r="I95" s="453"/>
    </row>
    <row r="96" spans="1:9" s="202" customFormat="1" ht="13.15">
      <c r="A96" s="453"/>
      <c r="B96" s="453"/>
      <c r="C96" s="453"/>
      <c r="D96" s="453"/>
      <c r="E96" s="453" t="s">
        <v>1530</v>
      </c>
      <c r="F96" s="492">
        <f>F49*(1-F69)</f>
        <v>0</v>
      </c>
      <c r="G96" s="529" t="str">
        <f>InpCompany!$F$11</f>
        <v>£m (2017-18 prices)</v>
      </c>
      <c r="H96" s="492"/>
      <c r="I96" s="453"/>
    </row>
    <row r="97" spans="1:9" s="202" customFormat="1" ht="13.15">
      <c r="A97" s="453"/>
      <c r="B97" s="453"/>
      <c r="C97" s="453"/>
      <c r="D97" s="453"/>
      <c r="E97" s="453" t="s">
        <v>1531</v>
      </c>
      <c r="F97" s="492">
        <f t="shared" ref="F97:F102" si="3">F50*(1-F70)</f>
        <v>0</v>
      </c>
      <c r="G97" s="529" t="str">
        <f>InpCompany!$F$11</f>
        <v>£m (2017-18 prices)</v>
      </c>
      <c r="H97" s="492"/>
      <c r="I97" s="453"/>
    </row>
    <row r="98" spans="1:9" s="202" customFormat="1" ht="13.15">
      <c r="A98" s="453"/>
      <c r="B98" s="453"/>
      <c r="C98" s="453"/>
      <c r="D98" s="453"/>
      <c r="E98" s="453" t="s">
        <v>1532</v>
      </c>
      <c r="F98" s="492">
        <f t="shared" si="3"/>
        <v>0</v>
      </c>
      <c r="G98" s="529" t="str">
        <f>InpCompany!$F$11</f>
        <v>£m (2017-18 prices)</v>
      </c>
      <c r="H98" s="492"/>
      <c r="I98" s="453"/>
    </row>
    <row r="99" spans="1:9" s="202" customFormat="1" ht="13.15">
      <c r="A99" s="453"/>
      <c r="B99" s="453"/>
      <c r="C99" s="453"/>
      <c r="D99" s="453"/>
      <c r="E99" s="453" t="s">
        <v>1533</v>
      </c>
      <c r="F99" s="492">
        <f t="shared" si="3"/>
        <v>0</v>
      </c>
      <c r="G99" s="529" t="str">
        <f>InpCompany!$F$11</f>
        <v>£m (2017-18 prices)</v>
      </c>
      <c r="H99" s="492"/>
      <c r="I99" s="453"/>
    </row>
    <row r="100" spans="1:9" s="202" customFormat="1" ht="13.15">
      <c r="A100" s="453"/>
      <c r="B100" s="453"/>
      <c r="C100" s="453"/>
      <c r="D100" s="453"/>
      <c r="E100" s="453" t="s">
        <v>1534</v>
      </c>
      <c r="F100" s="492">
        <f t="shared" si="3"/>
        <v>0</v>
      </c>
      <c r="G100" s="529" t="str">
        <f>InpCompany!$F$11</f>
        <v>£m (2017-18 prices)</v>
      </c>
      <c r="H100" s="492"/>
      <c r="I100" s="453"/>
    </row>
    <row r="101" spans="1:9" s="202" customFormat="1" ht="13.15">
      <c r="A101" s="453"/>
      <c r="B101" s="453"/>
      <c r="C101" s="453"/>
      <c r="D101" s="453"/>
      <c r="E101" s="453" t="s">
        <v>1535</v>
      </c>
      <c r="F101" s="492">
        <f t="shared" si="3"/>
        <v>0</v>
      </c>
      <c r="G101" s="529" t="str">
        <f>InpCompany!$F$11</f>
        <v>£m (2017-18 prices)</v>
      </c>
      <c r="H101" s="492"/>
      <c r="I101" s="453"/>
    </row>
    <row r="102" spans="1:9" s="202" customFormat="1" ht="13.15">
      <c r="A102" s="453"/>
      <c r="B102" s="453"/>
      <c r="C102" s="453"/>
      <c r="D102" s="453"/>
      <c r="E102" s="453" t="s">
        <v>1536</v>
      </c>
      <c r="F102" s="492">
        <f t="shared" si="3"/>
        <v>0</v>
      </c>
      <c r="G102" s="529" t="str">
        <f>InpCompany!$F$11</f>
        <v>£m (2017-18 prices)</v>
      </c>
      <c r="H102" s="492"/>
      <c r="I102" s="453"/>
    </row>
    <row r="103" spans="1:9" s="202" customFormat="1" ht="13.15">
      <c r="A103" s="453"/>
      <c r="B103" s="453"/>
      <c r="C103" s="453"/>
      <c r="D103" s="453"/>
      <c r="E103" s="494"/>
      <c r="F103" s="494"/>
      <c r="G103" s="529"/>
      <c r="H103" s="617"/>
      <c r="I103" s="453"/>
    </row>
    <row r="104" spans="1:9" s="202" customFormat="1" ht="13.15">
      <c r="A104" s="453"/>
      <c r="B104" s="453"/>
      <c r="C104" s="453"/>
      <c r="D104" s="463" t="s">
        <v>1537</v>
      </c>
      <c r="E104" s="494"/>
      <c r="F104" s="494"/>
      <c r="G104" s="529"/>
      <c r="H104" s="617"/>
      <c r="I104" s="453"/>
    </row>
    <row r="105" spans="1:9" s="202" customFormat="1" ht="13.15">
      <c r="A105" s="453"/>
      <c r="B105" s="453"/>
      <c r="C105" s="453"/>
      <c r="D105" s="453"/>
      <c r="E105" s="453" t="s">
        <v>1538</v>
      </c>
      <c r="F105" s="492">
        <f>F49*F69</f>
        <v>0</v>
      </c>
      <c r="G105" s="529" t="str">
        <f>InpCompany!$F$11</f>
        <v>£m (2017-18 prices)</v>
      </c>
      <c r="H105" s="492"/>
      <c r="I105" s="453"/>
    </row>
    <row r="106" spans="1:9" s="202" customFormat="1" ht="13.15">
      <c r="A106" s="453"/>
      <c r="B106" s="453"/>
      <c r="C106" s="453"/>
      <c r="D106" s="453"/>
      <c r="E106" s="453" t="s">
        <v>1539</v>
      </c>
      <c r="F106" s="492">
        <f t="shared" ref="F106:F111" si="4">F50*F70</f>
        <v>0</v>
      </c>
      <c r="G106" s="529" t="str">
        <f>InpCompany!$F$11</f>
        <v>£m (2017-18 prices)</v>
      </c>
      <c r="H106" s="492"/>
      <c r="I106" s="453"/>
    </row>
    <row r="107" spans="1:9" s="202" customFormat="1" ht="13.15">
      <c r="A107" s="453"/>
      <c r="B107" s="453"/>
      <c r="C107" s="453"/>
      <c r="D107" s="453"/>
      <c r="E107" s="453" t="s">
        <v>1540</v>
      </c>
      <c r="F107" s="492">
        <f t="shared" si="4"/>
        <v>0</v>
      </c>
      <c r="G107" s="529" t="str">
        <f>InpCompany!$F$11</f>
        <v>£m (2017-18 prices)</v>
      </c>
      <c r="H107" s="492"/>
      <c r="I107" s="453"/>
    </row>
    <row r="108" spans="1:9" s="202" customFormat="1" ht="13.15">
      <c r="A108" s="453"/>
      <c r="B108" s="453"/>
      <c r="C108" s="453"/>
      <c r="D108" s="453"/>
      <c r="E108" s="453" t="s">
        <v>1541</v>
      </c>
      <c r="F108" s="492">
        <f t="shared" si="4"/>
        <v>0</v>
      </c>
      <c r="G108" s="529" t="str">
        <f>InpCompany!$F$11</f>
        <v>£m (2017-18 prices)</v>
      </c>
      <c r="H108" s="492"/>
      <c r="I108" s="453"/>
    </row>
    <row r="109" spans="1:9" s="202" customFormat="1" ht="13.15">
      <c r="A109" s="453"/>
      <c r="B109" s="453"/>
      <c r="C109" s="453"/>
      <c r="D109" s="453"/>
      <c r="E109" s="453" t="s">
        <v>1542</v>
      </c>
      <c r="F109" s="492">
        <f t="shared" si="4"/>
        <v>0</v>
      </c>
      <c r="G109" s="529" t="str">
        <f>InpCompany!$F$11</f>
        <v>£m (2017-18 prices)</v>
      </c>
      <c r="H109" s="492"/>
      <c r="I109" s="453"/>
    </row>
    <row r="110" spans="1:9" s="202" customFormat="1" ht="13.15">
      <c r="A110" s="453"/>
      <c r="B110" s="453"/>
      <c r="C110" s="453"/>
      <c r="D110" s="453"/>
      <c r="E110" s="453" t="s">
        <v>1543</v>
      </c>
      <c r="F110" s="492">
        <f t="shared" si="4"/>
        <v>0</v>
      </c>
      <c r="G110" s="529" t="str">
        <f>InpCompany!$F$11</f>
        <v>£m (2017-18 prices)</v>
      </c>
      <c r="H110" s="492"/>
      <c r="I110" s="453"/>
    </row>
    <row r="111" spans="1:9" s="202" customFormat="1" ht="13.15">
      <c r="A111" s="453"/>
      <c r="B111" s="453"/>
      <c r="C111" s="453"/>
      <c r="D111" s="453"/>
      <c r="E111" s="453" t="s">
        <v>1544</v>
      </c>
      <c r="F111" s="492">
        <f t="shared" si="4"/>
        <v>0</v>
      </c>
      <c r="G111" s="529" t="str">
        <f>InpCompany!$F$11</f>
        <v>£m (2017-18 prices)</v>
      </c>
      <c r="H111" s="492"/>
      <c r="I111" s="453"/>
    </row>
    <row r="112" spans="1:9" s="202" customFormat="1" ht="13.15">
      <c r="A112" s="453"/>
      <c r="B112" s="453"/>
      <c r="C112" s="453"/>
      <c r="D112" s="453"/>
      <c r="E112" s="453"/>
      <c r="F112" s="494"/>
      <c r="G112" s="494"/>
      <c r="H112" s="453"/>
      <c r="I112" s="453"/>
    </row>
    <row r="113" spans="1:9" s="202" customFormat="1" ht="13.15">
      <c r="A113" s="453"/>
      <c r="B113" s="453"/>
      <c r="C113" s="473" t="s">
        <v>1545</v>
      </c>
      <c r="D113" s="453"/>
      <c r="E113" s="453"/>
      <c r="F113" s="494"/>
      <c r="G113" s="494"/>
      <c r="H113" s="453"/>
      <c r="I113" s="453"/>
    </row>
    <row r="114" spans="1:9" s="202" customFormat="1" ht="13.15">
      <c r="A114" s="453"/>
      <c r="B114" s="453"/>
      <c r="C114" s="453"/>
      <c r="D114" s="453"/>
      <c r="E114" s="453"/>
      <c r="F114" s="494"/>
      <c r="G114" s="494"/>
      <c r="H114" s="453"/>
      <c r="I114" s="453"/>
    </row>
    <row r="115" spans="1:9" s="202" customFormat="1" ht="13.15">
      <c r="A115" s="453"/>
      <c r="B115" s="453"/>
      <c r="C115" s="453"/>
      <c r="D115" s="463" t="s">
        <v>1546</v>
      </c>
      <c r="E115" s="453"/>
      <c r="F115" s="494"/>
      <c r="G115" s="494"/>
      <c r="H115" s="453"/>
      <c r="I115" s="453"/>
    </row>
    <row r="116" spans="1:9" s="202" customFormat="1" ht="13.15">
      <c r="A116" s="453"/>
      <c r="B116" s="453"/>
      <c r="C116" s="453"/>
      <c r="D116" s="453"/>
      <c r="E116" s="632" t="s">
        <v>1547</v>
      </c>
      <c r="F116" s="681">
        <f>F78+F96</f>
        <v>0</v>
      </c>
      <c r="G116" s="682" t="str">
        <f>InpCompany!$F$11</f>
        <v>£m (2017-18 prices)</v>
      </c>
      <c r="H116" s="681"/>
      <c r="I116" s="453"/>
    </row>
    <row r="117" spans="1:9" s="202" customFormat="1" ht="13.15">
      <c r="A117" s="453"/>
      <c r="B117" s="453"/>
      <c r="C117" s="453"/>
      <c r="D117" s="453"/>
      <c r="E117" s="632" t="s">
        <v>1548</v>
      </c>
      <c r="F117" s="681">
        <f t="shared" ref="F117:F122" si="5">F79+F97</f>
        <v>0</v>
      </c>
      <c r="G117" s="682" t="str">
        <f>InpCompany!$F$11</f>
        <v>£m (2017-18 prices)</v>
      </c>
      <c r="H117" s="681"/>
      <c r="I117" s="453"/>
    </row>
    <row r="118" spans="1:9" s="202" customFormat="1" ht="13.15">
      <c r="A118" s="453"/>
      <c r="B118" s="453"/>
      <c r="C118" s="453"/>
      <c r="D118" s="453"/>
      <c r="E118" s="632" t="s">
        <v>1549</v>
      </c>
      <c r="F118" s="681">
        <f t="shared" si="5"/>
        <v>0</v>
      </c>
      <c r="G118" s="682" t="str">
        <f>InpCompany!$F$11</f>
        <v>£m (2017-18 prices)</v>
      </c>
      <c r="H118" s="681"/>
      <c r="I118" s="453"/>
    </row>
    <row r="119" spans="1:9" s="202" customFormat="1" ht="13.15">
      <c r="A119" s="453"/>
      <c r="B119" s="453"/>
      <c r="C119" s="453"/>
      <c r="D119" s="453"/>
      <c r="E119" s="632" t="s">
        <v>1550</v>
      </c>
      <c r="F119" s="681">
        <f t="shared" si="5"/>
        <v>0</v>
      </c>
      <c r="G119" s="682" t="str">
        <f>InpCompany!$F$11</f>
        <v>£m (2017-18 prices)</v>
      </c>
      <c r="H119" s="681"/>
      <c r="I119" s="453"/>
    </row>
    <row r="120" spans="1:9" s="202" customFormat="1" ht="13.15">
      <c r="A120" s="453"/>
      <c r="B120" s="453"/>
      <c r="C120" s="453"/>
      <c r="D120" s="453"/>
      <c r="E120" s="632" t="s">
        <v>1551</v>
      </c>
      <c r="F120" s="681">
        <f t="shared" si="5"/>
        <v>0</v>
      </c>
      <c r="G120" s="682" t="str">
        <f>InpCompany!$F$11</f>
        <v>£m (2017-18 prices)</v>
      </c>
      <c r="H120" s="681"/>
      <c r="I120" s="453"/>
    </row>
    <row r="121" spans="1:9" s="202" customFormat="1" ht="13.15">
      <c r="A121" s="453"/>
      <c r="B121" s="453"/>
      <c r="C121" s="453"/>
      <c r="D121" s="453"/>
      <c r="E121" s="632" t="s">
        <v>1552</v>
      </c>
      <c r="F121" s="681">
        <f t="shared" si="5"/>
        <v>0</v>
      </c>
      <c r="G121" s="682" t="str">
        <f>InpCompany!$F$11</f>
        <v>£m (2017-18 prices)</v>
      </c>
      <c r="H121" s="681"/>
      <c r="I121" s="453"/>
    </row>
    <row r="122" spans="1:9" s="202" customFormat="1" ht="13.15">
      <c r="A122" s="453"/>
      <c r="B122" s="453"/>
      <c r="C122" s="453"/>
      <c r="D122" s="453"/>
      <c r="E122" s="632" t="s">
        <v>1553</v>
      </c>
      <c r="F122" s="681">
        <f t="shared" si="5"/>
        <v>0</v>
      </c>
      <c r="G122" s="682" t="str">
        <f>InpCompany!$F$11</f>
        <v>£m (2017-18 prices)</v>
      </c>
      <c r="H122" s="681"/>
      <c r="I122" s="453"/>
    </row>
    <row r="123" spans="1:9" s="202" customFormat="1" ht="13.15">
      <c r="A123" s="453"/>
      <c r="B123" s="453"/>
      <c r="C123" s="453"/>
      <c r="D123" s="453"/>
      <c r="E123" s="682"/>
      <c r="F123" s="494"/>
      <c r="G123" s="494"/>
      <c r="H123" s="632"/>
      <c r="I123" s="453"/>
    </row>
    <row r="124" spans="1:9" s="202" customFormat="1" ht="13.15">
      <c r="A124" s="453"/>
      <c r="B124" s="453"/>
      <c r="C124" s="453"/>
      <c r="D124" s="463" t="s">
        <v>1554</v>
      </c>
      <c r="E124" s="682"/>
      <c r="F124" s="494"/>
      <c r="G124" s="494"/>
      <c r="H124" s="632"/>
      <c r="I124" s="453"/>
    </row>
    <row r="125" spans="1:9" s="202" customFormat="1" ht="13.15">
      <c r="A125" s="453"/>
      <c r="B125" s="453"/>
      <c r="C125" s="453"/>
      <c r="D125" s="453"/>
      <c r="E125" s="632" t="s">
        <v>1555</v>
      </c>
      <c r="F125" s="681">
        <f>F87+F105</f>
        <v>0</v>
      </c>
      <c r="G125" s="682" t="str">
        <f>InpCompany!$F$11</f>
        <v>£m (2017-18 prices)</v>
      </c>
      <c r="H125" s="681"/>
      <c r="I125" s="453"/>
    </row>
    <row r="126" spans="1:9" s="202" customFormat="1" ht="13.15">
      <c r="A126" s="453"/>
      <c r="B126" s="453"/>
      <c r="C126" s="453"/>
      <c r="D126" s="453"/>
      <c r="E126" s="632" t="s">
        <v>1556</v>
      </c>
      <c r="F126" s="681">
        <f t="shared" ref="F126:F131" si="6">F88+F106</f>
        <v>0</v>
      </c>
      <c r="G126" s="682" t="str">
        <f>InpCompany!$F$11</f>
        <v>£m (2017-18 prices)</v>
      </c>
      <c r="H126" s="681"/>
      <c r="I126" s="453"/>
    </row>
    <row r="127" spans="1:9" s="202" customFormat="1" ht="13.15">
      <c r="A127" s="453"/>
      <c r="B127" s="453"/>
      <c r="C127" s="453"/>
      <c r="D127" s="453"/>
      <c r="E127" s="632" t="s">
        <v>1557</v>
      </c>
      <c r="F127" s="681">
        <f t="shared" si="6"/>
        <v>0</v>
      </c>
      <c r="G127" s="682" t="str">
        <f>InpCompany!$F$11</f>
        <v>£m (2017-18 prices)</v>
      </c>
      <c r="H127" s="681"/>
      <c r="I127" s="453"/>
    </row>
    <row r="128" spans="1:9" s="202" customFormat="1" ht="13.15">
      <c r="A128" s="453"/>
      <c r="B128" s="453"/>
      <c r="C128" s="453"/>
      <c r="D128" s="453"/>
      <c r="E128" s="632" t="s">
        <v>1558</v>
      </c>
      <c r="F128" s="681">
        <f t="shared" si="6"/>
        <v>0</v>
      </c>
      <c r="G128" s="682" t="str">
        <f>InpCompany!$F$11</f>
        <v>£m (2017-18 prices)</v>
      </c>
      <c r="H128" s="681"/>
      <c r="I128" s="453"/>
    </row>
    <row r="129" spans="1:12" s="202" customFormat="1" ht="13.15">
      <c r="A129" s="453"/>
      <c r="B129" s="453"/>
      <c r="C129" s="453"/>
      <c r="D129" s="453"/>
      <c r="E129" s="632" t="s">
        <v>1559</v>
      </c>
      <c r="F129" s="681">
        <f t="shared" si="6"/>
        <v>0</v>
      </c>
      <c r="G129" s="682" t="str">
        <f>InpCompany!$F$11</f>
        <v>£m (2017-18 prices)</v>
      </c>
      <c r="H129" s="681"/>
      <c r="I129" s="453"/>
    </row>
    <row r="130" spans="1:12" s="202" customFormat="1" ht="13.15">
      <c r="A130" s="453"/>
      <c r="B130" s="453"/>
      <c r="C130" s="453"/>
      <c r="D130" s="453"/>
      <c r="E130" s="632" t="s">
        <v>1560</v>
      </c>
      <c r="F130" s="681">
        <f t="shared" si="6"/>
        <v>0</v>
      </c>
      <c r="G130" s="682" t="str">
        <f>InpCompany!$F$11</f>
        <v>£m (2017-18 prices)</v>
      </c>
      <c r="H130" s="681"/>
      <c r="I130" s="453"/>
    </row>
    <row r="131" spans="1:12" s="202" customFormat="1" ht="13.15">
      <c r="A131" s="453"/>
      <c r="B131" s="453"/>
      <c r="C131" s="453"/>
      <c r="D131" s="453"/>
      <c r="E131" s="632" t="s">
        <v>1561</v>
      </c>
      <c r="F131" s="681">
        <f t="shared" si="6"/>
        <v>0</v>
      </c>
      <c r="G131" s="682" t="str">
        <f>InpCompany!$F$11</f>
        <v>£m (2017-18 prices)</v>
      </c>
      <c r="H131" s="681"/>
      <c r="I131" s="453"/>
    </row>
    <row r="132" spans="1:12" s="202" customFormat="1" ht="13.15">
      <c r="A132" s="453"/>
      <c r="B132" s="453"/>
      <c r="C132" s="453"/>
      <c r="D132" s="453"/>
      <c r="E132" s="453"/>
      <c r="F132" s="494"/>
      <c r="G132" s="494"/>
      <c r="H132" s="453"/>
      <c r="I132" s="453"/>
    </row>
    <row r="133" spans="1:12" ht="20.25">
      <c r="A133" s="439" t="s">
        <v>980</v>
      </c>
      <c r="B133" s="185"/>
      <c r="C133" s="186"/>
      <c r="D133" s="187"/>
      <c r="E133" s="188"/>
      <c r="F133" s="188"/>
      <c r="G133" s="188"/>
      <c r="H133" s="188"/>
      <c r="I133" s="188"/>
      <c r="J133" s="202"/>
      <c r="K133" s="202"/>
      <c r="L133" s="202"/>
    </row>
    <row r="134" spans="1:12">
      <c r="J134" s="202"/>
      <c r="K134" s="202"/>
      <c r="L134" s="202"/>
    </row>
    <row r="135" spans="1:12">
      <c r="J135" s="202"/>
      <c r="K135" s="202"/>
      <c r="L135" s="202"/>
    </row>
    <row r="136" spans="1:12">
      <c r="J136" s="202"/>
      <c r="K136" s="202"/>
      <c r="L136" s="202"/>
    </row>
    <row r="137" spans="1:12">
      <c r="J137" s="202"/>
      <c r="K137" s="202"/>
      <c r="L137" s="202"/>
    </row>
  </sheetData>
  <conditionalFormatting sqref="E40:E46 G40:H46">
    <cfRule type="cellIs" dxfId="139" priority="29" operator="equal">
      <formula>0</formula>
    </cfRule>
  </conditionalFormatting>
  <conditionalFormatting sqref="E8:H14">
    <cfRule type="cellIs" dxfId="138" priority="15" operator="equal">
      <formula>0</formula>
    </cfRule>
  </conditionalFormatting>
  <conditionalFormatting sqref="E17:H23">
    <cfRule type="cellIs" dxfId="137" priority="13" operator="equal">
      <formula>0</formula>
    </cfRule>
  </conditionalFormatting>
  <conditionalFormatting sqref="F26:F32">
    <cfRule type="cellIs" dxfId="136" priority="12" operator="equal">
      <formula>0</formula>
    </cfRule>
  </conditionalFormatting>
  <conditionalFormatting sqref="F39:F46">
    <cfRule type="cellIs" dxfId="135" priority="11" operator="equal">
      <formula>0</formula>
    </cfRule>
  </conditionalFormatting>
  <conditionalFormatting sqref="F49:F55">
    <cfRule type="cellIs" dxfId="134" priority="1" operator="equal">
      <formula>0</formula>
    </cfRule>
  </conditionalFormatting>
  <conditionalFormatting sqref="F60:F66">
    <cfRule type="cellIs" dxfId="133" priority="9" operator="equal">
      <formula>0</formula>
    </cfRule>
  </conditionalFormatting>
  <conditionalFormatting sqref="F69:F75">
    <cfRule type="cellIs" dxfId="132" priority="8" operator="equal">
      <formula>0</formula>
    </cfRule>
  </conditionalFormatting>
  <conditionalFormatting sqref="F78:F84">
    <cfRule type="cellIs" dxfId="131" priority="7" operator="equal">
      <formula>0</formula>
    </cfRule>
  </conditionalFormatting>
  <conditionalFormatting sqref="F87:F93">
    <cfRule type="cellIs" dxfId="130" priority="6" operator="equal">
      <formula>0</formula>
    </cfRule>
  </conditionalFormatting>
  <conditionalFormatting sqref="F96:F102">
    <cfRule type="cellIs" dxfId="129" priority="5" operator="equal">
      <formula>0</formula>
    </cfRule>
  </conditionalFormatting>
  <conditionalFormatting sqref="F105:F111">
    <cfRule type="cellIs" dxfId="128" priority="4" operator="equal">
      <formula>0</formula>
    </cfRule>
  </conditionalFormatting>
  <conditionalFormatting sqref="F116:F122">
    <cfRule type="cellIs" dxfId="127" priority="3" operator="equal">
      <formula>0</formula>
    </cfRule>
  </conditionalFormatting>
  <conditionalFormatting sqref="F125:F131">
    <cfRule type="cellIs" dxfId="126" priority="2" operator="equal">
      <formula>0</formula>
    </cfRule>
  </conditionalFormatting>
  <conditionalFormatting sqref="H26:H32">
    <cfRule type="cellIs" dxfId="125" priority="30" operator="equal">
      <formula>0</formula>
    </cfRule>
  </conditionalFormatting>
  <conditionalFormatting sqref="H49:H55">
    <cfRule type="cellIs" dxfId="124" priority="28" operator="equal">
      <formula>0</formula>
    </cfRule>
  </conditionalFormatting>
  <conditionalFormatting sqref="H60:H66">
    <cfRule type="cellIs" dxfId="123" priority="27" operator="equal">
      <formula>0</formula>
    </cfRule>
  </conditionalFormatting>
  <conditionalFormatting sqref="H69:H75">
    <cfRule type="cellIs" dxfId="122" priority="26" operator="equal">
      <formula>0</formula>
    </cfRule>
  </conditionalFormatting>
  <conditionalFormatting sqref="H78:H84">
    <cfRule type="cellIs" dxfId="121" priority="25" operator="equal">
      <formula>0</formula>
    </cfRule>
  </conditionalFormatting>
  <conditionalFormatting sqref="H87:H93">
    <cfRule type="cellIs" dxfId="120" priority="24" operator="equal">
      <formula>0</formula>
    </cfRule>
  </conditionalFormatting>
  <conditionalFormatting sqref="H96:H102">
    <cfRule type="cellIs" dxfId="119" priority="23" operator="equal">
      <formula>0</formula>
    </cfRule>
  </conditionalFormatting>
  <conditionalFormatting sqref="H105:H111">
    <cfRule type="cellIs" dxfId="118" priority="22" operator="equal">
      <formula>0</formula>
    </cfRule>
  </conditionalFormatting>
  <conditionalFormatting sqref="H116:H122">
    <cfRule type="cellIs" dxfId="117" priority="21" operator="equal">
      <formula>0</formula>
    </cfRule>
  </conditionalFormatting>
  <conditionalFormatting sqref="H125:H131">
    <cfRule type="cellIs" dxfId="116" priority="20" operator="equal">
      <formula>0</formula>
    </cfRule>
  </conditionalFormatting>
  <conditionalFormatting sqref="H133">
    <cfRule type="cellIs" dxfId="115"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37ABA-268E-4248-81AE-9B6803A6411C}">
  <sheetPr>
    <tabColor theme="7"/>
    <pageSetUpPr fitToPage="1"/>
  </sheetPr>
  <dimension ref="A1:BT21"/>
  <sheetViews>
    <sheetView showGridLines="0" zoomScale="80" zoomScaleNormal="80" zoomScaleSheetLayoutView="80" workbookViewId="0">
      <pane xSplit="8" ySplit="7" topLeftCell="I8" activePane="bottomRight" state="frozen"/>
      <selection activeCell="G4" sqref="G4"/>
      <selection pane="topRight" activeCell="G4" sqref="G4"/>
      <selection pane="bottomLeft" activeCell="G4" sqref="G4"/>
      <selection pane="bottomRight"/>
    </sheetView>
  </sheetViews>
  <sheetFormatPr defaultColWidth="0" defaultRowHeight="12.75" customHeight="1" outlineLevelCol="1"/>
  <cols>
    <col min="1" max="4" width="1.625" style="207" customWidth="1"/>
    <col min="5" max="5" width="45.625" style="207" customWidth="1"/>
    <col min="6" max="8" width="15.625" style="207" customWidth="1"/>
    <col min="9" max="9" width="2.625" style="207" customWidth="1"/>
    <col min="10" max="55" width="28.625" style="207" customWidth="1"/>
    <col min="56" max="71" width="25.625" style="207" hidden="1" customWidth="1" outlineLevel="1"/>
    <col min="72" max="72" width="8.625" style="207" hidden="1" customWidth="1" collapsed="1"/>
    <col min="73" max="16384" width="8.625" style="207" hidden="1"/>
  </cols>
  <sheetData>
    <row r="1" spans="1:71" s="246" customFormat="1" ht="44.25">
      <c r="A1" s="685" t="str">
        <f ca="1" xml:space="preserve"> RIGHT(CELL("filename", $A$1), LEN(CELL("filename", $A$1)) - SEARCH("]", CELL("filename", $A$1)))</f>
        <v>Model outputs - PC level</v>
      </c>
      <c r="B1" s="243"/>
      <c r="C1" s="243"/>
      <c r="D1" s="244"/>
      <c r="E1" s="245"/>
      <c r="F1" s="245"/>
      <c r="G1" s="245"/>
      <c r="H1" s="671" t="str">
        <f>InpCompany!F5</f>
        <v>Southern Water</v>
      </c>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1205"/>
      <c r="BE1" s="1205"/>
      <c r="BF1" s="1205"/>
      <c r="BG1" s="1205"/>
      <c r="BH1" s="1205"/>
      <c r="BI1" s="1205"/>
      <c r="BJ1" s="1205"/>
      <c r="BK1" s="1205"/>
      <c r="BL1" s="1205"/>
      <c r="BM1" s="1205"/>
      <c r="BN1" s="1205"/>
      <c r="BO1" s="1205"/>
      <c r="BP1" s="1205"/>
      <c r="BQ1" s="1205"/>
      <c r="BR1" s="1205"/>
      <c r="BS1" s="1205"/>
    </row>
    <row r="2" spans="1:71" s="202" customFormat="1" ht="13.15">
      <c r="A2" s="453"/>
      <c r="B2" s="453"/>
      <c r="C2" s="453"/>
      <c r="D2" s="453"/>
      <c r="E2" s="453"/>
      <c r="F2" s="462" t="s">
        <v>1130</v>
      </c>
      <c r="G2" s="462" t="s">
        <v>114</v>
      </c>
      <c r="H2" s="462" t="s">
        <v>1131</v>
      </c>
      <c r="I2" s="45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row>
    <row r="3" spans="1:71" s="206" customFormat="1" ht="13.15">
      <c r="A3" s="642" t="s">
        <v>1562</v>
      </c>
      <c r="B3" s="643"/>
      <c r="C3" s="643"/>
      <c r="D3" s="644"/>
      <c r="E3" s="645"/>
      <c r="F3" s="645"/>
      <c r="G3" s="645"/>
      <c r="H3" s="646"/>
      <c r="I3" s="645"/>
      <c r="J3" s="673" t="str">
        <f>IF(InpPerformance!J3&lt;&gt;"",InpPerformance!J3,"")</f>
        <v>Water | Common | Financial</v>
      </c>
      <c r="K3" s="673" t="str">
        <f>IF(InpPerformance!K3&lt;&gt;"",InpPerformance!K3,"")</f>
        <v>Water | Common | Financial</v>
      </c>
      <c r="L3" s="673" t="str">
        <f>IF(InpPerformance!L3&lt;&gt;"",InpPerformance!L3,"")</f>
        <v>Water | Common | Financial</v>
      </c>
      <c r="M3" s="673" t="str">
        <f>IF(InpPerformance!M3&lt;&gt;"",InpPerformance!M3,"")</f>
        <v>Water | Common | Financial</v>
      </c>
      <c r="N3" s="673" t="str">
        <f>IF(InpPerformance!N3&lt;&gt;"",InpPerformance!N3,"")</f>
        <v>Water | Common | Financial</v>
      </c>
      <c r="O3" s="673" t="str">
        <f>IF(InpPerformance!O3&lt;&gt;"",InpPerformance!O3,"")</f>
        <v>Water | Common | Financial</v>
      </c>
      <c r="P3" s="673" t="str">
        <f>IF(InpPerformance!P3&lt;&gt;"",InpPerformance!P3,"")</f>
        <v>Water | Common | Financial</v>
      </c>
      <c r="Q3" s="686" t="str">
        <f>IF(InpPerformance!Q3&lt;&gt;"",InpPerformance!Q3,"")</f>
        <v>Water | Common | Financial</v>
      </c>
      <c r="R3" s="673" t="str">
        <f>IF(InpPerformance!R3&lt;&gt;"",InpPerformance!R3,"")</f>
        <v>Water | Bespoke | Financial</v>
      </c>
      <c r="S3" s="673" t="str">
        <f>IF(InpPerformance!S3&lt;&gt;"",InpPerformance!S3,"")</f>
        <v>Water | Bespoke | Financial</v>
      </c>
      <c r="T3" s="673" t="str">
        <f>IF(InpPerformance!T3&lt;&gt;"",InpPerformance!T3,"")</f>
        <v>Water | Bespoke | Financial</v>
      </c>
      <c r="U3" s="673" t="str">
        <f>IF(InpPerformance!U3&lt;&gt;"",InpPerformance!U3,"")</f>
        <v>Water | Bespoke | Financial</v>
      </c>
      <c r="V3" s="673" t="str">
        <f>IF(InpPerformance!V3&lt;&gt;"",InpPerformance!V3,"")</f>
        <v>Water | Bespoke | Financial</v>
      </c>
      <c r="W3" s="673" t="str">
        <f>IF(InpPerformance!W3&lt;&gt;"",InpPerformance!W3,"")</f>
        <v>Water | Bespoke | Financial</v>
      </c>
      <c r="X3" s="673" t="str">
        <f>IF(InpPerformance!X3&lt;&gt;"",InpPerformance!X3,"")</f>
        <v>Water | Bespoke | Financial</v>
      </c>
      <c r="Y3" s="673" t="str">
        <f>IF(InpPerformance!Y3&lt;&gt;"",InpPerformance!Y3,"")</f>
        <v>Water | Bespoke | Financial</v>
      </c>
      <c r="Z3" s="673" t="str">
        <f>IF(InpPerformance!Z3&lt;&gt;"",InpPerformance!Z3,"")</f>
        <v>Water | Bespoke | Financial</v>
      </c>
      <c r="AA3" s="673" t="str">
        <f>IF(InpPerformance!AA3&lt;&gt;"",InpPerformance!AA3,"")</f>
        <v>Water | Bespoke | Financial</v>
      </c>
      <c r="AB3" s="673" t="str">
        <f>IF(InpPerformance!AB3&lt;&gt;"",InpPerformance!AB3,"")</f>
        <v>Water | Bespoke | Financial</v>
      </c>
      <c r="AC3" s="673" t="str">
        <f>IF(InpPerformance!AC3&lt;&gt;"",InpPerformance!AC3,"")</f>
        <v>Water | Bespoke | Financial</v>
      </c>
      <c r="AD3" s="673" t="str">
        <f>IF(InpPerformance!AD3&lt;&gt;"",InpPerformance!AD3,"")</f>
        <v>Water | Bespoke | Financial</v>
      </c>
      <c r="AE3" s="673" t="str">
        <f>IF(InpPerformance!AE3&lt;&gt;"",InpPerformance!AE3,"")</f>
        <v>Water | Bespoke | Financial</v>
      </c>
      <c r="AF3" s="673" t="str">
        <f>IF(InpPerformance!AF3&lt;&gt;"",InpPerformance!AF3,"")</f>
        <v>Water | Bespoke | Financial</v>
      </c>
      <c r="AG3" s="673" t="str">
        <f>IF(InpPerformance!AG3&lt;&gt;"",InpPerformance!AG3,"")</f>
        <v>Water | Bespoke | Financial</v>
      </c>
      <c r="AH3" s="673" t="str">
        <f>IF(InpPerformance!AH3&lt;&gt;"",InpPerformance!AH3,"")</f>
        <v>Water | Bespoke | Financial</v>
      </c>
      <c r="AI3" s="673" t="str">
        <f>IF(InpPerformance!AI3&lt;&gt;"",InpPerformance!AI3,"")</f>
        <v>Water | Bespoke | Financial</v>
      </c>
      <c r="AJ3" s="673" t="str">
        <f>IF(InpPerformance!AJ3&lt;&gt;"",InpPerformance!AJ3,"")</f>
        <v>Water | Bespoke | Financial</v>
      </c>
      <c r="AK3" s="686" t="str">
        <f>IF(InpPerformance!AK3&lt;&gt;"",InpPerformance!AK3,"")</f>
        <v>Water | Bespoke | Financial</v>
      </c>
      <c r="AL3" s="673" t="str">
        <f>IF(InpPerformance!AL3&lt;&gt;"",InpPerformance!AL3,"")</f>
        <v>Wastewater | Common | Financial</v>
      </c>
      <c r="AM3" s="673" t="str">
        <f>IF(InpPerformance!AM3&lt;&gt;"",InpPerformance!AM3,"")</f>
        <v>Wastewater | Common | Financial</v>
      </c>
      <c r="AN3" s="673" t="str">
        <f>IF(InpPerformance!AN3&lt;&gt;"",InpPerformance!AN3,"")</f>
        <v>Wastewater | Common | Financial</v>
      </c>
      <c r="AO3" s="686" t="str">
        <f>IF(InpPerformance!AO3&lt;&gt;"",InpPerformance!AO3,"")</f>
        <v>Wastewater | Common | Financial</v>
      </c>
      <c r="AP3" s="673" t="str">
        <f>IF(InpPerformance!AP3&lt;&gt;"",InpPerformance!AP3,"")</f>
        <v>Wastewater | Bespoke | Financial</v>
      </c>
      <c r="AQ3" s="673" t="str">
        <f>IF(InpPerformance!AQ3&lt;&gt;"",InpPerformance!AQ3,"")</f>
        <v>Wastewater | Bespoke | Financial</v>
      </c>
      <c r="AR3" s="673" t="str">
        <f>IF(InpPerformance!AR3&lt;&gt;"",InpPerformance!AR3,"")</f>
        <v>Wastewater | Bespoke | Financial</v>
      </c>
      <c r="AS3" s="673" t="str">
        <f>IF(InpPerformance!AS3&lt;&gt;"",InpPerformance!AS3,"")</f>
        <v>Wastewater | Bespoke | Financial</v>
      </c>
      <c r="AT3" s="673" t="str">
        <f>IF(InpPerformance!AT3&lt;&gt;"",InpPerformance!AT3,"")</f>
        <v>Wastewater | Bespoke | Financial</v>
      </c>
      <c r="AU3" s="673" t="str">
        <f>IF(InpPerformance!AU3&lt;&gt;"",InpPerformance!AU3,"")</f>
        <v>Wastewater | Bespoke | Financial</v>
      </c>
      <c r="AV3" s="673" t="str">
        <f>IF(InpPerformance!AV3&lt;&gt;"",InpPerformance!AV3,"")</f>
        <v>Wastewater | Bespoke | Financial</v>
      </c>
      <c r="AW3" s="673" t="str">
        <f>IF(InpPerformance!AW3&lt;&gt;"",InpPerformance!AW3,"")</f>
        <v>Wastewater | Bespoke | Financial</v>
      </c>
      <c r="AX3" s="673" t="str">
        <f>IF(InpPerformance!AX3&lt;&gt;"",InpPerformance!AX3,"")</f>
        <v>Wastewater | Bespoke | Financial</v>
      </c>
      <c r="AY3" s="673" t="str">
        <f>IF(InpPerformance!AY3&lt;&gt;"",InpPerformance!AY3,"")</f>
        <v>Wastewater | Bespoke | Financial</v>
      </c>
      <c r="AZ3" s="673" t="str">
        <f>IF(InpPerformance!AZ3&lt;&gt;"",InpPerformance!AZ3,"")</f>
        <v>Wastewater | Bespoke | Financial</v>
      </c>
      <c r="BA3" s="673" t="str">
        <f>IF(InpPerformance!BA3&lt;&gt;"",InpPerformance!BA3,"")</f>
        <v>Wastewater | Bespoke | Financial</v>
      </c>
      <c r="BB3" s="673" t="str">
        <f>IF(InpPerformance!BB3&lt;&gt;"",InpPerformance!BB3,"")</f>
        <v>Wastewater | Bespoke | Financial</v>
      </c>
      <c r="BC3" s="673" t="str">
        <f>IF(InpPerformance!BC3&lt;&gt;"",InpPerformance!BC3,"")</f>
        <v>Wastewater | Bespoke | Financial</v>
      </c>
      <c r="BD3" s="645" t="str">
        <f>IF(InpPerformance!BD3&lt;&gt;"",InpPerformance!BD3,"")</f>
        <v/>
      </c>
      <c r="BE3" s="645" t="str">
        <f>IF(InpPerformance!BE3&lt;&gt;"",InpPerformance!BE3,"")</f>
        <v/>
      </c>
      <c r="BF3" s="645" t="str">
        <f>IF(InpPerformance!BF3&lt;&gt;"",InpPerformance!BF3,"")</f>
        <v/>
      </c>
      <c r="BG3" s="645" t="str">
        <f>IF(InpPerformance!BG3&lt;&gt;"",InpPerformance!BG3,"")</f>
        <v/>
      </c>
      <c r="BH3" s="645" t="str">
        <f>IF(InpPerformance!BH3&lt;&gt;"",InpPerformance!BH3,"")</f>
        <v/>
      </c>
      <c r="BI3" s="645" t="str">
        <f>IF(InpPerformance!BI3&lt;&gt;"",InpPerformance!BI3,"")</f>
        <v/>
      </c>
      <c r="BJ3" s="645" t="str">
        <f>IF(InpPerformance!BJ3&lt;&gt;"",InpPerformance!BJ3,"")</f>
        <v/>
      </c>
      <c r="BK3" s="645" t="str">
        <f>IF(InpPerformance!BK3&lt;&gt;"",InpPerformance!BK3,"")</f>
        <v/>
      </c>
      <c r="BL3" s="645" t="str">
        <f>IF(InpPerformance!BL3&lt;&gt;"",InpPerformance!BL3,"")</f>
        <v/>
      </c>
      <c r="BM3" s="645" t="str">
        <f>IF(InpPerformance!BM3&lt;&gt;"",InpPerformance!BM3,"")</f>
        <v/>
      </c>
      <c r="BN3" s="645" t="str">
        <f>IF(InpPerformance!BN3&lt;&gt;"",InpPerformance!BN3,"")</f>
        <v/>
      </c>
      <c r="BO3" s="645" t="str">
        <f>IF(InpPerformance!BO3&lt;&gt;"",InpPerformance!BO3,"")</f>
        <v/>
      </c>
      <c r="BP3" s="645" t="str">
        <f>IF(InpPerformance!BP3&lt;&gt;"",InpPerformance!BP3,"")</f>
        <v/>
      </c>
      <c r="BQ3" s="645" t="str">
        <f>IF(InpPerformance!BQ3&lt;&gt;"",InpPerformance!BQ3,"")</f>
        <v/>
      </c>
      <c r="BR3" s="645" t="str">
        <f>IF(InpPerformance!BR3&lt;&gt;"",InpPerformance!BR3,"")</f>
        <v/>
      </c>
      <c r="BS3" s="645" t="str">
        <f>IF(InpPerformance!BS3&lt;&gt;"",InpPerformance!BS3,"")</f>
        <v/>
      </c>
    </row>
    <row r="4" spans="1:71" ht="13.15">
      <c r="A4" s="455"/>
      <c r="B4" s="687"/>
      <c r="C4" s="455"/>
      <c r="D4" s="455"/>
      <c r="E4" s="455"/>
      <c r="F4" s="455"/>
      <c r="G4" s="455"/>
      <c r="H4" s="455"/>
      <c r="I4" s="455"/>
      <c r="J4" s="455"/>
      <c r="K4" s="455"/>
      <c r="L4" s="455"/>
      <c r="M4" s="455"/>
      <c r="N4" s="455"/>
      <c r="O4" s="455"/>
      <c r="P4" s="455"/>
      <c r="Q4" s="472"/>
      <c r="R4" s="455"/>
      <c r="S4" s="455"/>
      <c r="T4" s="455"/>
      <c r="U4" s="455"/>
      <c r="V4" s="455"/>
      <c r="W4" s="455"/>
      <c r="X4" s="455"/>
      <c r="Y4" s="455"/>
      <c r="Z4" s="455"/>
      <c r="AA4" s="455"/>
      <c r="AB4" s="455"/>
      <c r="AC4" s="455"/>
      <c r="AD4" s="455"/>
      <c r="AE4" s="455"/>
      <c r="AF4" s="455"/>
      <c r="AG4" s="455"/>
      <c r="AH4" s="455"/>
      <c r="AI4" s="455"/>
      <c r="AJ4" s="455"/>
      <c r="AK4" s="472"/>
      <c r="AL4" s="455"/>
      <c r="AM4" s="455"/>
      <c r="AN4" s="455"/>
      <c r="AO4" s="472"/>
      <c r="AP4" s="455"/>
      <c r="AQ4" s="455"/>
      <c r="AR4" s="455"/>
      <c r="AS4" s="455"/>
      <c r="AT4" s="455"/>
      <c r="AU4" s="455"/>
      <c r="AV4" s="455"/>
      <c r="AW4" s="455"/>
      <c r="AX4" s="455"/>
      <c r="AY4" s="455"/>
      <c r="AZ4" s="455"/>
      <c r="BA4" s="455"/>
      <c r="BB4" s="455"/>
      <c r="BC4" s="455"/>
      <c r="BD4" s="455"/>
      <c r="BE4" s="455"/>
      <c r="BF4" s="455"/>
      <c r="BG4" s="455"/>
      <c r="BH4" s="455"/>
      <c r="BI4" s="455"/>
      <c r="BJ4" s="455"/>
      <c r="BK4" s="455"/>
      <c r="BL4" s="455"/>
      <c r="BM4" s="455"/>
      <c r="BN4" s="455"/>
      <c r="BO4" s="455"/>
      <c r="BP4" s="455"/>
      <c r="BQ4" s="455"/>
      <c r="BR4" s="455"/>
      <c r="BS4" s="455"/>
    </row>
    <row r="5" spans="1:71" s="229" customFormat="1" ht="12" customHeight="1">
      <c r="A5" s="587"/>
      <c r="B5" s="587"/>
      <c r="C5" s="587"/>
      <c r="D5" s="587"/>
      <c r="E5" s="587" t="str">
        <f>InpPerformance!E16</f>
        <v>Performance commitment reference</v>
      </c>
      <c r="F5" s="587"/>
      <c r="G5" s="587" t="str">
        <f>InpPerformance!G16</f>
        <v>Text</v>
      </c>
      <c r="H5" s="584"/>
      <c r="I5" s="584"/>
      <c r="J5" s="688" t="str">
        <f>IF(InpPerformance!J16&lt;&gt;"",InpPerformance!J16,"")</f>
        <v>PR19SRN_WN02</v>
      </c>
      <c r="K5" s="688" t="str">
        <f>IF(InpPerformance!K16&lt;&gt;"",InpPerformance!K16,"")</f>
        <v>PR19SRN_WN03</v>
      </c>
      <c r="L5" s="688" t="str">
        <f>IF(InpPerformance!L16&lt;&gt;"",InpPerformance!L16,"")</f>
        <v>PR19SRN_WN04</v>
      </c>
      <c r="M5" s="688" t="str">
        <f>IF(InpPerformance!M16&lt;&gt;"",InpPerformance!M16,"")</f>
        <v/>
      </c>
      <c r="N5" s="688" t="str">
        <f>IF(InpPerformance!N16&lt;&gt;"",InpPerformance!N16,"")</f>
        <v>PR19SRN_WR01</v>
      </c>
      <c r="O5" s="688" t="str">
        <f>IF(InpPerformance!O16&lt;&gt;"",InpPerformance!O16,"")</f>
        <v/>
      </c>
      <c r="P5" s="688" t="str">
        <f>IF(InpPerformance!P16&lt;&gt;"",InpPerformance!P16,"")</f>
        <v>PR19SRN_WN05</v>
      </c>
      <c r="Q5" s="689" t="str">
        <f>IF(InpPerformance!Q16&lt;&gt;"",InpPerformance!Q16,"")</f>
        <v>PR19SRN_WN06</v>
      </c>
      <c r="R5" s="688" t="str">
        <f>IF(InpPerformance!R16&lt;&gt;"",InpPerformance!R16,"")</f>
        <v>PR19SRN_WN07</v>
      </c>
      <c r="S5" s="688" t="str">
        <f>IF(InpPerformance!S16&lt;&gt;"",InpPerformance!S16,"")</f>
        <v>PR19SRN_WN08</v>
      </c>
      <c r="T5" s="688" t="str">
        <f>IF(InpPerformance!T16&lt;&gt;"",InpPerformance!T16,"")</f>
        <v>PR19SRN_WR05</v>
      </c>
      <c r="U5" s="688" t="str">
        <f>IF(InpPerformance!U16&lt;&gt;"",InpPerformance!U16,"")</f>
        <v>PR19SRN_RR02</v>
      </c>
      <c r="V5" s="688" t="str">
        <f>IF(InpPerformance!V16&lt;&gt;"",InpPerformance!V16,"")</f>
        <v>PR19SRN_RR03</v>
      </c>
      <c r="W5" s="688" t="str">
        <f>IF(InpPerformance!W16&lt;&gt;"",InpPerformance!W16,"")</f>
        <v>PR19SRN_WN09</v>
      </c>
      <c r="X5" s="688" t="str">
        <f>IF(InpPerformance!X16&lt;&gt;"",InpPerformance!X16,"")</f>
        <v>PR19SRN_WN11</v>
      </c>
      <c r="Y5" s="688" t="str">
        <f>IF(InpPerformance!Y16&lt;&gt;"",InpPerformance!Y16,"")</f>
        <v>PR19SRN_WN13</v>
      </c>
      <c r="Z5" s="688" t="str">
        <f>IF(InpPerformance!Z16&lt;&gt;"",InpPerformance!Z16,"")</f>
        <v>PR19SRN_WR07</v>
      </c>
      <c r="AA5" s="688" t="str">
        <f>IF(InpPerformance!AA16&lt;&gt;"",InpPerformance!AA16,"")</f>
        <v/>
      </c>
      <c r="AB5" s="688" t="str">
        <f>IF(InpPerformance!AB16&lt;&gt;"",InpPerformance!AB16,"")</f>
        <v/>
      </c>
      <c r="AC5" s="688" t="str">
        <f>IF(InpPerformance!AC16&lt;&gt;"",InpPerformance!AC16,"")</f>
        <v/>
      </c>
      <c r="AD5" s="688" t="str">
        <f>IF(InpPerformance!AD16&lt;&gt;"",InpPerformance!AD16,"")</f>
        <v/>
      </c>
      <c r="AE5" s="688" t="str">
        <f>IF(InpPerformance!AE16&lt;&gt;"",InpPerformance!AE16,"")</f>
        <v/>
      </c>
      <c r="AF5" s="688" t="str">
        <f>IF(InpPerformance!AF16&lt;&gt;"",InpPerformance!AF16,"")</f>
        <v/>
      </c>
      <c r="AG5" s="688" t="str">
        <f>IF(InpPerformance!AG16&lt;&gt;"",InpPerformance!AG16,"")</f>
        <v/>
      </c>
      <c r="AH5" s="688" t="str">
        <f>IF(InpPerformance!AH16&lt;&gt;"",InpPerformance!AH16,"")</f>
        <v/>
      </c>
      <c r="AI5" s="688" t="str">
        <f>IF(InpPerformance!AI16&lt;&gt;"",InpPerformance!AI16,"")</f>
        <v/>
      </c>
      <c r="AJ5" s="688" t="str">
        <f>IF(InpPerformance!AJ16&lt;&gt;"",InpPerformance!AJ16,"")</f>
        <v/>
      </c>
      <c r="AK5" s="689" t="str">
        <f>IF(InpPerformance!AK16&lt;&gt;"",InpPerformance!AK16,"")</f>
        <v/>
      </c>
      <c r="AL5" s="688" t="str">
        <f>IF(InpPerformance!AL16&lt;&gt;"",InpPerformance!AL16,"")</f>
        <v>PR19SRN_WWN01</v>
      </c>
      <c r="AM5" s="688" t="str">
        <f>IF(InpPerformance!AM16&lt;&gt;"",InpPerformance!AM16,"")</f>
        <v>PR19SRN_WWN02</v>
      </c>
      <c r="AN5" s="688" t="str">
        <f>IF(InpPerformance!AN16&lt;&gt;"",InpPerformance!AN16,"")</f>
        <v>PR19SRN_WWN04</v>
      </c>
      <c r="AO5" s="689" t="str">
        <f>IF(InpPerformance!AO16&lt;&gt;"",InpPerformance!AO16,"")</f>
        <v>PR19SRN_WWN05</v>
      </c>
      <c r="AP5" s="688" t="str">
        <f>IF(InpPerformance!AP16&lt;&gt;"",InpPerformance!AP16,"")</f>
        <v>PR19SRN_WWN07</v>
      </c>
      <c r="AQ5" s="688" t="str">
        <f>IF(InpPerformance!AQ16&lt;&gt;"",InpPerformance!AQ16,"")</f>
        <v>PR19SRN_BIO01</v>
      </c>
      <c r="AR5" s="688" t="str">
        <f>IF(InpPerformance!AR16&lt;&gt;"",InpPerformance!AR16,"")</f>
        <v>PR19SRN_BIO02</v>
      </c>
      <c r="AS5" s="688" t="str">
        <f>IF(InpPerformance!AS16&lt;&gt;"",InpPerformance!AS16,"")</f>
        <v>PR19SRN_WWN09</v>
      </c>
      <c r="AT5" s="688" t="str">
        <f>IF(InpPerformance!AT16&lt;&gt;"",InpPerformance!AT16,"")</f>
        <v>PR19SRN_WWN11</v>
      </c>
      <c r="AU5" s="688" t="str">
        <f>IF(InpPerformance!AU16&lt;&gt;"",InpPerformance!AU16,"")</f>
        <v>PR19SRN_WWN12</v>
      </c>
      <c r="AV5" s="688" t="str">
        <f>IF(InpPerformance!AV16&lt;&gt;"",InpPerformance!AV16,"")</f>
        <v>PR19SRN_WWN13</v>
      </c>
      <c r="AW5" s="688" t="str">
        <f>IF(InpPerformance!AW16&lt;&gt;"",InpPerformance!AW16,"")</f>
        <v>PR19SRN_WWN06</v>
      </c>
      <c r="AX5" s="688" t="str">
        <f>IF(InpPerformance!AX16&lt;&gt;"",InpPerformance!AX16,"")</f>
        <v>PR19SRN_WWN08</v>
      </c>
      <c r="AY5" s="688" t="str">
        <f>IF(InpPerformance!AY16&lt;&gt;"",InpPerformance!AY16,"")</f>
        <v>PR19SRN_WWN16</v>
      </c>
      <c r="AZ5" s="688" t="str">
        <f>IF(InpPerformance!AZ16&lt;&gt;"",InpPerformance!AZ16,"")</f>
        <v/>
      </c>
      <c r="BA5" s="688" t="str">
        <f>IF(InpPerformance!BA16&lt;&gt;"",InpPerformance!BA16,"")</f>
        <v/>
      </c>
      <c r="BB5" s="688" t="str">
        <f>IF(InpPerformance!BB16&lt;&gt;"",InpPerformance!BB16,"")</f>
        <v/>
      </c>
      <c r="BC5" s="689" t="str">
        <f>IF(InpPerformance!BC16&lt;&gt;"",InpPerformance!BC16,"")</f>
        <v/>
      </c>
      <c r="BD5" s="688" t="str">
        <f>IF(InpPerformance!BD16&lt;&gt;"",InpPerformance!BD16,"")</f>
        <v/>
      </c>
      <c r="BE5" s="688" t="str">
        <f>IF(InpPerformance!BE16&lt;&gt;"",InpPerformance!BE16,"")</f>
        <v/>
      </c>
      <c r="BF5" s="688" t="str">
        <f>IF(InpPerformance!BF16&lt;&gt;"",InpPerformance!BF16,"")</f>
        <v/>
      </c>
      <c r="BG5" s="688" t="str">
        <f>IF(InpPerformance!BG16&lt;&gt;"",InpPerformance!BG16,"")</f>
        <v/>
      </c>
      <c r="BH5" s="688" t="str">
        <f>IF(InpPerformance!BH16&lt;&gt;"",InpPerformance!BH16,"")</f>
        <v/>
      </c>
      <c r="BI5" s="688" t="str">
        <f>IF(InpPerformance!BI16&lt;&gt;"",InpPerformance!BI16,"")</f>
        <v/>
      </c>
      <c r="BJ5" s="688" t="str">
        <f>IF(InpPerformance!BJ16&lt;&gt;"",InpPerformance!BJ16,"")</f>
        <v/>
      </c>
      <c r="BK5" s="688" t="str">
        <f>IF(InpPerformance!BK16&lt;&gt;"",InpPerformance!BK16,"")</f>
        <v/>
      </c>
      <c r="BL5" s="688" t="str">
        <f>IF(InpPerformance!BL16&lt;&gt;"",InpPerformance!BL16,"")</f>
        <v/>
      </c>
      <c r="BM5" s="688" t="str">
        <f>IF(InpPerformance!BM16&lt;&gt;"",InpPerformance!BM16,"")</f>
        <v/>
      </c>
      <c r="BN5" s="688" t="str">
        <f>IF(InpPerformance!BN16&lt;&gt;"",InpPerformance!BN16,"")</f>
        <v/>
      </c>
      <c r="BO5" s="688" t="str">
        <f>IF(InpPerformance!BO16&lt;&gt;"",InpPerformance!BO16,"")</f>
        <v/>
      </c>
      <c r="BP5" s="688" t="str">
        <f>IF(InpPerformance!BP16&lt;&gt;"",InpPerformance!BP16,"")</f>
        <v/>
      </c>
      <c r="BQ5" s="688" t="str">
        <f>IF(InpPerformance!BQ16&lt;&gt;"",InpPerformance!BQ16,"")</f>
        <v/>
      </c>
      <c r="BR5" s="688" t="str">
        <f>IF(InpPerformance!BR16&lt;&gt;"",InpPerformance!BR16,"")</f>
        <v/>
      </c>
      <c r="BS5" s="688" t="str">
        <f>IF(InpPerformance!BS16&lt;&gt;"",InpPerformance!BS16,"")</f>
        <v/>
      </c>
    </row>
    <row r="6" spans="1:71" s="202" customFormat="1" ht="13.15">
      <c r="A6" s="453"/>
      <c r="B6" s="453"/>
      <c r="C6" s="453"/>
      <c r="D6" s="453"/>
      <c r="E6" s="453"/>
      <c r="F6" s="453"/>
      <c r="G6" s="453"/>
      <c r="H6" s="690"/>
      <c r="I6" s="690"/>
      <c r="J6" s="691"/>
      <c r="K6" s="691"/>
      <c r="L6" s="691"/>
      <c r="M6" s="691"/>
      <c r="N6" s="691"/>
      <c r="O6" s="691"/>
      <c r="P6" s="691"/>
      <c r="Q6" s="692"/>
      <c r="R6" s="691"/>
      <c r="S6" s="691"/>
      <c r="T6" s="691"/>
      <c r="U6" s="691"/>
      <c r="V6" s="691"/>
      <c r="W6" s="691"/>
      <c r="X6" s="691"/>
      <c r="Y6" s="691"/>
      <c r="Z6" s="691"/>
      <c r="AA6" s="691"/>
      <c r="AB6" s="691"/>
      <c r="AC6" s="691"/>
      <c r="AD6" s="691"/>
      <c r="AE6" s="691"/>
      <c r="AF6" s="691"/>
      <c r="AG6" s="691"/>
      <c r="AH6" s="691"/>
      <c r="AI6" s="691"/>
      <c r="AJ6" s="691"/>
      <c r="AK6" s="692"/>
      <c r="AL6" s="691"/>
      <c r="AM6" s="691"/>
      <c r="AN6" s="691"/>
      <c r="AO6" s="692"/>
      <c r="AP6" s="691"/>
      <c r="AQ6" s="691"/>
      <c r="AR6" s="691"/>
      <c r="AS6" s="691"/>
      <c r="AT6" s="691"/>
      <c r="AU6" s="691"/>
      <c r="AV6" s="691"/>
      <c r="AW6" s="691"/>
      <c r="AX6" s="691"/>
      <c r="AY6" s="691"/>
      <c r="AZ6" s="691"/>
      <c r="BA6" s="691"/>
      <c r="BB6" s="691"/>
      <c r="BC6" s="692"/>
      <c r="BD6" s="691"/>
      <c r="BE6" s="691"/>
      <c r="BF6" s="691"/>
      <c r="BG6" s="691"/>
      <c r="BH6" s="691"/>
      <c r="BI6" s="691"/>
      <c r="BJ6" s="691"/>
      <c r="BK6" s="691"/>
      <c r="BL6" s="691"/>
      <c r="BM6" s="691"/>
      <c r="BN6" s="691"/>
      <c r="BO6" s="691"/>
      <c r="BP6" s="691"/>
      <c r="BQ6" s="691"/>
      <c r="BR6" s="691"/>
      <c r="BS6" s="691"/>
    </row>
    <row r="7" spans="1:71" s="229" customFormat="1" ht="12" customHeight="1">
      <c r="A7" s="587"/>
      <c r="B7" s="587"/>
      <c r="C7" s="587"/>
      <c r="D7" s="587"/>
      <c r="E7" s="587" t="str">
        <f>InpPerformance!E17</f>
        <v>Performance commitment name</v>
      </c>
      <c r="F7" s="587"/>
      <c r="G7" s="587" t="str">
        <f>InpPerformance!G17</f>
        <v>Text</v>
      </c>
      <c r="H7" s="584"/>
      <c r="I7" s="584"/>
      <c r="J7" s="688" t="str">
        <f>IF(InpPerformance!J17&lt;&gt;"",InpPerformance!J17,"")</f>
        <v>Water quality compliance (CRI)</v>
      </c>
      <c r="K7" s="688" t="str">
        <f>IF(InpPerformance!K17&lt;&gt;"",InpPerformance!K17,"")</f>
        <v>Water supply interruptions</v>
      </c>
      <c r="L7" s="688" t="str">
        <f>IF(InpPerformance!L17&lt;&gt;"",InpPerformance!L17,"")</f>
        <v>Leakage</v>
      </c>
      <c r="M7" s="688" t="str">
        <f>IF(InpPerformance!M17&lt;&gt;"",InpPerformance!M17,"")</f>
        <v>[For use by NES and SSC only]</v>
      </c>
      <c r="N7" s="688" t="str">
        <f>IF(InpPerformance!N17&lt;&gt;"",InpPerformance!N17,"")</f>
        <v>Per capita consumption</v>
      </c>
      <c r="O7" s="688" t="str">
        <f>IF(InpPerformance!O17&lt;&gt;"",InpPerformance!O17,"")</f>
        <v>[For use by SSC only]</v>
      </c>
      <c r="P7" s="688" t="str">
        <f>IF(InpPerformance!P17&lt;&gt;"",InpPerformance!P17,"")</f>
        <v>Mains repairs</v>
      </c>
      <c r="Q7" s="689" t="str">
        <f>IF(InpPerformance!Q17&lt;&gt;"",InpPerformance!Q17,"")</f>
        <v>Unplanned outage</v>
      </c>
      <c r="R7" s="688" t="str">
        <f>IF(InpPerformance!R17&lt;&gt;"",InpPerformance!R17,"")</f>
        <v>Drinking water appearance</v>
      </c>
      <c r="S7" s="688" t="str">
        <f>IF(InpPerformance!S17&lt;&gt;"",InpPerformance!S17,"")</f>
        <v>Drinking water taste and Odour</v>
      </c>
      <c r="T7" s="688" t="str">
        <f>IF(InpPerformance!T17&lt;&gt;"",InpPerformance!T17,"")</f>
        <v>Abstraction Incentive Mechanism</v>
      </c>
      <c r="U7" s="688" t="str">
        <f>IF(InpPerformance!U17&lt;&gt;"",InpPerformance!U17,"")</f>
        <v>Access to daily water consumption data</v>
      </c>
      <c r="V7" s="688" t="str">
        <f>IF(InpPerformance!V17&lt;&gt;"",InpPerformance!V17,"")</f>
        <v>Void properties</v>
      </c>
      <c r="W7" s="688" t="str">
        <f>IF(InpPerformance!W17&lt;&gt;"",InpPerformance!W17,"")</f>
        <v>Replace lead customer pipes</v>
      </c>
      <c r="X7" s="688" t="str">
        <f>IF(InpPerformance!X17&lt;&gt;"",InpPerformance!X17,"")</f>
        <v>Properties at risk of receiving low pressure</v>
      </c>
      <c r="Y7" s="688" t="str">
        <f>IF(InpPerformance!Y17&lt;&gt;"",InpPerformance!Y17,"")</f>
        <v>Long term supply demand schemes</v>
      </c>
      <c r="Z7" s="688" t="str">
        <f>IF(InpPerformance!Z17&lt;&gt;"",InpPerformance!Z17,"")</f>
        <v>Impounding reservoirs</v>
      </c>
      <c r="AA7" s="688" t="str">
        <f>IF(InpPerformance!AA17&lt;&gt;"",InpPerformance!AA17,"")</f>
        <v/>
      </c>
      <c r="AB7" s="688" t="str">
        <f>IF(InpPerformance!AB17&lt;&gt;"",InpPerformance!AB17,"")</f>
        <v/>
      </c>
      <c r="AC7" s="688" t="str">
        <f>IF(InpPerformance!AC17&lt;&gt;"",InpPerformance!AC17,"")</f>
        <v/>
      </c>
      <c r="AD7" s="688" t="str">
        <f>IF(InpPerformance!AD17&lt;&gt;"",InpPerformance!AD17,"")</f>
        <v/>
      </c>
      <c r="AE7" s="688" t="str">
        <f>IF(InpPerformance!AE17&lt;&gt;"",InpPerformance!AE17,"")</f>
        <v/>
      </c>
      <c r="AF7" s="688" t="str">
        <f>IF(InpPerformance!AF17&lt;&gt;"",InpPerformance!AF17,"")</f>
        <v/>
      </c>
      <c r="AG7" s="688" t="str">
        <f>IF(InpPerformance!AG17&lt;&gt;"",InpPerformance!AG17,"")</f>
        <v/>
      </c>
      <c r="AH7" s="688" t="str">
        <f>IF(InpPerformance!AH17&lt;&gt;"",InpPerformance!AH17,"")</f>
        <v/>
      </c>
      <c r="AI7" s="688" t="str">
        <f>IF(InpPerformance!AI17&lt;&gt;"",InpPerformance!AI17,"")</f>
        <v/>
      </c>
      <c r="AJ7" s="688" t="str">
        <f>IF(InpPerformance!AJ17&lt;&gt;"",InpPerformance!AJ17,"")</f>
        <v/>
      </c>
      <c r="AK7" s="689" t="str">
        <f>IF(InpPerformance!AK17&lt;&gt;"",InpPerformance!AK17,"")</f>
        <v/>
      </c>
      <c r="AL7" s="688" t="str">
        <f>IF(InpPerformance!AL17&lt;&gt;"",InpPerformance!AL17,"")</f>
        <v>Internal sewer flooding</v>
      </c>
      <c r="AM7" s="688" t="str">
        <f>IF(InpPerformance!AM17&lt;&gt;"",InpPerformance!AM17,"")</f>
        <v>Pollution incidents</v>
      </c>
      <c r="AN7" s="688" t="str">
        <f>IF(InpPerformance!AN17&lt;&gt;"",InpPerformance!AN17,"")</f>
        <v>Sewer collapses</v>
      </c>
      <c r="AO7" s="689" t="str">
        <f>IF(InpPerformance!AO17&lt;&gt;"",InpPerformance!AO17,"")</f>
        <v>Treatment works compliance</v>
      </c>
      <c r="AP7" s="688" t="str">
        <f>IF(InpPerformance!AP17&lt;&gt;"",InpPerformance!AP17,"")</f>
        <v>Effluent re-use</v>
      </c>
      <c r="AQ7" s="688" t="str">
        <f>IF(InpPerformance!AQ17&lt;&gt;"",InpPerformance!AQ17,"")</f>
        <v xml:space="preserve">Renewable Generation </v>
      </c>
      <c r="AR7" s="688" t="str">
        <f>IF(InpPerformance!AR17&lt;&gt;"",InpPerformance!AR17,"")</f>
        <v>Satisfactory bioresources recycling</v>
      </c>
      <c r="AS7" s="688" t="str">
        <f>IF(InpPerformance!AS17&lt;&gt;"",InpPerformance!AS17,"")</f>
        <v>River water quality</v>
      </c>
      <c r="AT7" s="688" t="str">
        <f>IF(InpPerformance!AT17&lt;&gt;"",InpPerformance!AT17,"")</f>
        <v>Maintain Bathing waters at ‘Excellent’.</v>
      </c>
      <c r="AU7" s="688" t="str">
        <f>IF(InpPerformance!AU17&lt;&gt;"",InpPerformance!AU17,"")</f>
        <v>Improve the number of Bathing waters to at least ‘Good’ (Cost Adjustment Claim).</v>
      </c>
      <c r="AV7" s="688" t="str">
        <f>IF(InpPerformance!AV17&lt;&gt;"",InpPerformance!AV17,"")</f>
        <v>Improve the bathing waters at ‘Excellent’ quality (Cost Adjustment Claim).</v>
      </c>
      <c r="AW7" s="688" t="str">
        <f>IF(InpPerformance!AW17&lt;&gt;"",InpPerformance!AW17,"")</f>
        <v>Surface water management</v>
      </c>
      <c r="AX7" s="688" t="str">
        <f>IF(InpPerformance!AX17&lt;&gt;"",InpPerformance!AX17,"")</f>
        <v>External sewer flooding</v>
      </c>
      <c r="AY7" s="688" t="str">
        <f>IF(InpPerformance!AY17&lt;&gt;"",InpPerformance!AY17,"")</f>
        <v>Thanet Sewers</v>
      </c>
      <c r="AZ7" s="688" t="str">
        <f>IF(InpPerformance!AZ17&lt;&gt;"",InpPerformance!AZ17,"")</f>
        <v/>
      </c>
      <c r="BA7" s="688" t="str">
        <f>IF(InpPerformance!BA17&lt;&gt;"",InpPerformance!BA17,"")</f>
        <v/>
      </c>
      <c r="BB7" s="688" t="str">
        <f>IF(InpPerformance!BB17&lt;&gt;"",InpPerformance!BB17,"")</f>
        <v/>
      </c>
      <c r="BC7" s="689" t="str">
        <f>IF(InpPerformance!BC17&lt;&gt;"",InpPerformance!BC17,"")</f>
        <v/>
      </c>
      <c r="BD7" s="688" t="str">
        <f>IF(InpPerformance!BD17&lt;&gt;"",InpPerformance!BD17,"")</f>
        <v/>
      </c>
      <c r="BE7" s="688" t="str">
        <f>IF(InpPerformance!BE17&lt;&gt;"",InpPerformance!BE17,"")</f>
        <v/>
      </c>
      <c r="BF7" s="688" t="str">
        <f>IF(InpPerformance!BF17&lt;&gt;"",InpPerformance!BF17,"")</f>
        <v/>
      </c>
      <c r="BG7" s="688" t="str">
        <f>IF(InpPerformance!BG17&lt;&gt;"",InpPerformance!BG17,"")</f>
        <v/>
      </c>
      <c r="BH7" s="688" t="str">
        <f>IF(InpPerformance!BH17&lt;&gt;"",InpPerformance!BH17,"")</f>
        <v/>
      </c>
      <c r="BI7" s="688" t="str">
        <f>IF(InpPerformance!BI17&lt;&gt;"",InpPerformance!BI17,"")</f>
        <v/>
      </c>
      <c r="BJ7" s="688" t="str">
        <f>IF(InpPerformance!BJ17&lt;&gt;"",InpPerformance!BJ17,"")</f>
        <v/>
      </c>
      <c r="BK7" s="688" t="str">
        <f>IF(InpPerformance!BK17&lt;&gt;"",InpPerformance!BK17,"")</f>
        <v/>
      </c>
      <c r="BL7" s="688" t="str">
        <f>IF(InpPerformance!BL17&lt;&gt;"",InpPerformance!BL17,"")</f>
        <v/>
      </c>
      <c r="BM7" s="688" t="str">
        <f>IF(InpPerformance!BM17&lt;&gt;"",InpPerformance!BM17,"")</f>
        <v/>
      </c>
      <c r="BN7" s="688" t="str">
        <f>IF(InpPerformance!BN17&lt;&gt;"",InpPerformance!BN17,"")</f>
        <v/>
      </c>
      <c r="BO7" s="688" t="str">
        <f>IF(InpPerformance!BO17&lt;&gt;"",InpPerformance!BO17,"")</f>
        <v/>
      </c>
      <c r="BP7" s="688" t="str">
        <f>IF(InpPerformance!BP17&lt;&gt;"",InpPerformance!BP17,"")</f>
        <v/>
      </c>
      <c r="BQ7" s="688" t="str">
        <f>IF(InpPerformance!BQ17&lt;&gt;"",InpPerformance!BQ17,"")</f>
        <v/>
      </c>
      <c r="BR7" s="688" t="str">
        <f>IF(InpPerformance!BR17&lt;&gt;"",InpPerformance!BR17,"")</f>
        <v/>
      </c>
      <c r="BS7" s="688" t="str">
        <f>IF(InpPerformance!BS17&lt;&gt;"",InpPerformance!BS17,"")</f>
        <v/>
      </c>
    </row>
    <row r="8" spans="1:71" customFormat="1" ht="14.25">
      <c r="A8" s="1378"/>
      <c r="B8" s="1378"/>
      <c r="C8" s="1378"/>
      <c r="D8" s="1378"/>
      <c r="E8" s="1378"/>
      <c r="F8" s="1378"/>
      <c r="G8" s="1378"/>
      <c r="H8" s="1378"/>
      <c r="I8" s="1378"/>
      <c r="J8" s="1393"/>
      <c r="K8" s="1393"/>
      <c r="L8" s="1393"/>
      <c r="M8" s="1393"/>
      <c r="N8" s="1393"/>
      <c r="O8" s="1393"/>
      <c r="P8" s="1393"/>
      <c r="Q8" s="1394"/>
      <c r="R8" s="1393"/>
      <c r="S8" s="1393"/>
      <c r="T8" s="1393"/>
      <c r="U8" s="1393"/>
      <c r="V8" s="1393"/>
      <c r="W8" s="1393"/>
      <c r="X8" s="1393"/>
      <c r="Y8" s="1393"/>
      <c r="Z8" s="1393"/>
      <c r="AA8" s="1393"/>
      <c r="AB8" s="1393"/>
      <c r="AC8" s="1393"/>
      <c r="AD8" s="1393"/>
      <c r="AE8" s="1393"/>
      <c r="AF8" s="1393"/>
      <c r="AG8" s="1393"/>
      <c r="AH8" s="1393"/>
      <c r="AI8" s="1393"/>
      <c r="AJ8" s="1393"/>
      <c r="AK8" s="1394"/>
      <c r="AL8" s="1393"/>
      <c r="AM8" s="1393"/>
      <c r="AN8" s="1393"/>
      <c r="AO8" s="1394"/>
      <c r="AP8" s="1393"/>
      <c r="AQ8" s="1393"/>
      <c r="AR8" s="1393"/>
      <c r="AS8" s="1393"/>
      <c r="AT8" s="1393"/>
      <c r="AU8" s="1393"/>
      <c r="AV8" s="1393"/>
      <c r="AW8" s="1393"/>
      <c r="AX8" s="1393"/>
      <c r="AY8" s="1393"/>
      <c r="AZ8" s="1393"/>
      <c r="BA8" s="1393"/>
      <c r="BB8" s="1393"/>
      <c r="BC8" s="1394"/>
      <c r="BD8" s="1393"/>
      <c r="BE8" s="1393"/>
      <c r="BF8" s="1393"/>
      <c r="BG8" s="1393"/>
      <c r="BH8" s="1393"/>
      <c r="BI8" s="1393"/>
      <c r="BJ8" s="1393"/>
      <c r="BK8" s="1393"/>
      <c r="BL8" s="1393"/>
      <c r="BM8" s="1393"/>
      <c r="BN8" s="1393"/>
      <c r="BO8" s="1393"/>
      <c r="BP8" s="1393"/>
      <c r="BQ8" s="1393"/>
      <c r="BR8" s="1393"/>
      <c r="BS8" s="1393"/>
    </row>
    <row r="9" spans="1:71" customFormat="1" ht="14.25">
      <c r="A9" s="1378"/>
      <c r="B9" s="1378"/>
      <c r="C9" s="1378"/>
      <c r="D9" s="1378"/>
      <c r="E9" s="587" t="str">
        <f>Performance!E174</f>
        <v>Total outperformance payments</v>
      </c>
      <c r="F9" s="1378"/>
      <c r="G9" s="587" t="str">
        <f>Performance!G174</f>
        <v>£m (2017-18 prices)</v>
      </c>
      <c r="H9" s="1378"/>
      <c r="I9" s="1378"/>
      <c r="J9" s="693" t="str">
        <f>IF(Performance!J174=0,"",Performance!J174)</f>
        <v/>
      </c>
      <c r="K9" s="693" t="str">
        <f>IF(Performance!K174=0,"",Performance!K174)</f>
        <v/>
      </c>
      <c r="L9" s="693" t="str">
        <f>IF(Performance!L174=0,"",Performance!L174)</f>
        <v/>
      </c>
      <c r="M9" s="693" t="str">
        <f>IF(Performance!M174=0,"",Performance!M174)</f>
        <v/>
      </c>
      <c r="N9" s="693" t="str">
        <f>IF(Performance!N174=0,"",Performance!N174)</f>
        <v/>
      </c>
      <c r="O9" s="693" t="str">
        <f>IF(Performance!O174=0,"",Performance!O174)</f>
        <v/>
      </c>
      <c r="P9" s="693" t="str">
        <f>IF(Performance!P174=0,"",Performance!P174)</f>
        <v/>
      </c>
      <c r="Q9" s="694" t="str">
        <f>IF(Performance!Q174=0,"",Performance!Q174)</f>
        <v/>
      </c>
      <c r="R9" s="693" t="str">
        <f>IF(Performance!R174=0,"",Performance!R174)</f>
        <v/>
      </c>
      <c r="S9" s="693" t="str">
        <f>IF(Performance!S174=0,"",Performance!S174)</f>
        <v/>
      </c>
      <c r="T9" s="693">
        <f>IF(Performance!T174=0,"",Performance!T174)</f>
        <v>0.51100000000000001</v>
      </c>
      <c r="U9" s="693" t="str">
        <f>IF(Performance!U174=0,"",Performance!U174)</f>
        <v/>
      </c>
      <c r="V9" s="693" t="str">
        <f>IF(Performance!V174=0,"",Performance!V174)</f>
        <v/>
      </c>
      <c r="W9" s="693" t="str">
        <f>IF(Performance!W174=0,"",Performance!W174)</f>
        <v/>
      </c>
      <c r="X9" s="693" t="str">
        <f>IF(Performance!X174=0,"",Performance!X174)</f>
        <v/>
      </c>
      <c r="Y9" s="693" t="str">
        <f>IF(Performance!Y174=0,"",Performance!Y174)</f>
        <v/>
      </c>
      <c r="Z9" s="693" t="str">
        <f>IF(Performance!Z174=0,"",Performance!Z174)</f>
        <v/>
      </c>
      <c r="AA9" s="693" t="str">
        <f>IF(Performance!AA174=0,"",Performance!AA174)</f>
        <v/>
      </c>
      <c r="AB9" s="693" t="str">
        <f>IF(Performance!AB174=0,"",Performance!AB174)</f>
        <v/>
      </c>
      <c r="AC9" s="693" t="str">
        <f>IF(Performance!AC174=0,"",Performance!AC174)</f>
        <v/>
      </c>
      <c r="AD9" s="693" t="str">
        <f>IF(Performance!AD174=0,"",Performance!AD174)</f>
        <v/>
      </c>
      <c r="AE9" s="693" t="str">
        <f>IF(Performance!AE174=0,"",Performance!AE174)</f>
        <v/>
      </c>
      <c r="AF9" s="693" t="str">
        <f>IF(Performance!AF174=0,"",Performance!AF174)</f>
        <v/>
      </c>
      <c r="AG9" s="693" t="str">
        <f>IF(Performance!AG174=0,"",Performance!AG174)</f>
        <v/>
      </c>
      <c r="AH9" s="693" t="str">
        <f>IF(Performance!AH174=0,"",Performance!AH174)</f>
        <v/>
      </c>
      <c r="AI9" s="693" t="str">
        <f>IF(Performance!AI174=0,"",Performance!AI174)</f>
        <v/>
      </c>
      <c r="AJ9" s="693" t="str">
        <f>IF(Performance!AJ174=0,"",Performance!AJ174)</f>
        <v/>
      </c>
      <c r="AK9" s="694" t="str">
        <f>IF(Performance!AK174=0,"",Performance!AK174)</f>
        <v/>
      </c>
      <c r="AL9" s="693" t="str">
        <f>IF(Performance!AL174=0,"",Performance!AL174)</f>
        <v/>
      </c>
      <c r="AM9" s="693" t="str">
        <f>IF(Performance!AM174=0,"",Performance!AM174)</f>
        <v/>
      </c>
      <c r="AN9" s="693" t="str">
        <f>IF(Performance!AN174=0,"",Performance!AN174)</f>
        <v/>
      </c>
      <c r="AO9" s="694" t="str">
        <f>IF(Performance!AO174=0,"",Performance!AO174)</f>
        <v/>
      </c>
      <c r="AP9" s="693">
        <f>IF(Performance!AP174=0,"",Performance!AP174)</f>
        <v>2.5990999999999997E-4</v>
      </c>
      <c r="AQ9" s="693" t="str">
        <f>IF(Performance!AQ174=0,"",Performance!AQ174)</f>
        <v/>
      </c>
      <c r="AR9" s="693" t="str">
        <f>IF(Performance!AR174=0,"",Performance!AR174)</f>
        <v/>
      </c>
      <c r="AS9" s="693" t="str">
        <f>IF(Performance!AS174=0,"",Performance!AS174)</f>
        <v/>
      </c>
      <c r="AT9" s="693" t="str">
        <f>IF(Performance!AT174=0,"",Performance!AT174)</f>
        <v/>
      </c>
      <c r="AU9" s="693" t="str">
        <f>IF(Performance!AU174=0,"",Performance!AU174)</f>
        <v/>
      </c>
      <c r="AV9" s="693" t="str">
        <f>IF(Performance!AV174=0,"",Performance!AV174)</f>
        <v/>
      </c>
      <c r="AW9" s="693" t="str">
        <f>IF(Performance!AW174=0,"",Performance!AW174)</f>
        <v/>
      </c>
      <c r="AX9" s="693">
        <f>IF(Performance!AX174=0,"",Performance!AX174)</f>
        <v>1.7027399999999999</v>
      </c>
      <c r="AY9" s="693" t="str">
        <f>IF(Performance!AY174=0,"",Performance!AY174)</f>
        <v/>
      </c>
      <c r="AZ9" s="693" t="str">
        <f>IF(Performance!AZ174=0,"",Performance!AZ174)</f>
        <v/>
      </c>
      <c r="BA9" s="693" t="str">
        <f>IF(Performance!BA174=0,"",Performance!BA174)</f>
        <v/>
      </c>
      <c r="BB9" s="693" t="str">
        <f>IF(Performance!BB174=0,"",Performance!BB174)</f>
        <v/>
      </c>
      <c r="BC9" s="694" t="str">
        <f>IF(Performance!BC174=0,"",Performance!BC174)</f>
        <v/>
      </c>
      <c r="BD9" s="693" t="str">
        <f>IF(Performance!BD174=0,"",Performance!BD174)</f>
        <v/>
      </c>
      <c r="BE9" s="693" t="str">
        <f>IF(Performance!BE174=0,"",Performance!BE174)</f>
        <v/>
      </c>
      <c r="BF9" s="693" t="str">
        <f>IF(Performance!BF174=0,"",Performance!BF174)</f>
        <v/>
      </c>
      <c r="BG9" s="693" t="str">
        <f>IF(Performance!BG174=0,"",Performance!BG174)</f>
        <v/>
      </c>
      <c r="BH9" s="693" t="str">
        <f>IF(Performance!BH174=0,"",Performance!BH174)</f>
        <v/>
      </c>
      <c r="BI9" s="693" t="str">
        <f>IF(Performance!BI174=0,"",Performance!BI174)</f>
        <v/>
      </c>
      <c r="BJ9" s="693" t="str">
        <f>IF(Performance!BJ174=0,"",Performance!BJ174)</f>
        <v/>
      </c>
      <c r="BK9" s="693" t="str">
        <f>IF(Performance!BK174=0,"",Performance!BK174)</f>
        <v/>
      </c>
      <c r="BL9" s="693" t="str">
        <f>IF(Performance!BL174=0,"",Performance!BL174)</f>
        <v/>
      </c>
      <c r="BM9" s="693" t="str">
        <f>IF(Performance!BM174=0,"",Performance!BM174)</f>
        <v/>
      </c>
      <c r="BN9" s="693" t="str">
        <f>IF(Performance!BN174=0,"",Performance!BN174)</f>
        <v/>
      </c>
      <c r="BO9" s="693" t="str">
        <f>IF(Performance!BO174=0,"",Performance!BO174)</f>
        <v/>
      </c>
      <c r="BP9" s="693" t="str">
        <f>IF(Performance!BP174=0,"",Performance!BP174)</f>
        <v/>
      </c>
      <c r="BQ9" s="693" t="str">
        <f>IF(Performance!BQ174=0,"",Performance!BQ174)</f>
        <v/>
      </c>
      <c r="BR9" s="693" t="str">
        <f>IF(Performance!BR174=0,"",Performance!BR174)</f>
        <v/>
      </c>
      <c r="BS9" s="693" t="str">
        <f>IF(Performance!BS174=0,"",Performance!BS174)</f>
        <v/>
      </c>
    </row>
    <row r="10" spans="1:71" customFormat="1" ht="14.25">
      <c r="A10" s="1378"/>
      <c r="B10" s="1378"/>
      <c r="C10" s="1378"/>
      <c r="D10" s="1378"/>
      <c r="E10" s="587" t="str">
        <f>Performance!E179</f>
        <v>Total underperformance payments</v>
      </c>
      <c r="F10" s="1378"/>
      <c r="G10" s="587" t="str">
        <f>Performance!G179</f>
        <v>£m (2017-18 prices)</v>
      </c>
      <c r="H10" s="1378"/>
      <c r="I10" s="1378"/>
      <c r="J10" s="693">
        <f>IF(Performance!J179=0,"",Performance!J179)</f>
        <v>-0.67195999999999989</v>
      </c>
      <c r="K10" s="693">
        <f>IF(Performance!K179=0,"",Performance!K179)</f>
        <v>-4.2374666666666672</v>
      </c>
      <c r="L10" s="693">
        <f>IF(Performance!L179=0,"",Performance!L179)</f>
        <v>-4.3460000000000001</v>
      </c>
      <c r="M10" s="693" t="str">
        <f>IF(Performance!M179=0,"",Performance!M179)</f>
        <v/>
      </c>
      <c r="N10" s="693" t="str">
        <f>IF(Performance!N179=0,"",Performance!N179)</f>
        <v/>
      </c>
      <c r="O10" s="693" t="str">
        <f>IF(Performance!O179=0,"",Performance!O179)</f>
        <v/>
      </c>
      <c r="P10" s="693">
        <f>IF(Performance!P179=0,"",Performance!P179)</f>
        <v>-1.9907999999999992</v>
      </c>
      <c r="Q10" s="694" t="str">
        <f>IF(Performance!Q179=0,"",Performance!Q179)</f>
        <v/>
      </c>
      <c r="R10" s="693">
        <f>IF(Performance!R179=0,"",Performance!R179)</f>
        <v>-2.0789999999999997</v>
      </c>
      <c r="S10" s="693">
        <f>IF(Performance!S179=0,"",Performance!S179)</f>
        <v>-9.2399999999999954E-2</v>
      </c>
      <c r="T10" s="693" t="str">
        <f>IF(Performance!T179=0,"",Performance!T179)</f>
        <v/>
      </c>
      <c r="U10" s="693" t="str">
        <f>IF(Performance!U179=0,"",Performance!U179)</f>
        <v/>
      </c>
      <c r="V10" s="693">
        <f>IF(Performance!V179=0,"",Performance!V179)</f>
        <v>-0.6</v>
      </c>
      <c r="W10" s="693" t="str">
        <f>IF(Performance!W179=0,"",Performance!W179)</f>
        <v/>
      </c>
      <c r="X10" s="693" t="str">
        <f>IF(Performance!X179=0,"",Performance!X179)</f>
        <v/>
      </c>
      <c r="Y10" s="693" t="str">
        <f>IF(Performance!Y179=0,"",Performance!Y179)</f>
        <v/>
      </c>
      <c r="Z10" s="693">
        <f>IF(Performance!Z179=0,"",Performance!Z179)</f>
        <v>-0.32354399999999994</v>
      </c>
      <c r="AA10" s="693" t="str">
        <f>IF(Performance!AA179=0,"",Performance!AA179)</f>
        <v/>
      </c>
      <c r="AB10" s="693" t="str">
        <f>IF(Performance!AB179=0,"",Performance!AB179)</f>
        <v/>
      </c>
      <c r="AC10" s="693" t="str">
        <f>IF(Performance!AC179=0,"",Performance!AC179)</f>
        <v/>
      </c>
      <c r="AD10" s="693" t="str">
        <f>IF(Performance!AD179=0,"",Performance!AD179)</f>
        <v/>
      </c>
      <c r="AE10" s="693" t="str">
        <f>IF(Performance!AE179=0,"",Performance!AE179)</f>
        <v/>
      </c>
      <c r="AF10" s="693" t="str">
        <f>IF(Performance!AF179=0,"",Performance!AF179)</f>
        <v/>
      </c>
      <c r="AG10" s="693" t="str">
        <f>IF(Performance!AG179=0,"",Performance!AG179)</f>
        <v/>
      </c>
      <c r="AH10" s="693" t="str">
        <f>IF(Performance!AH179=0,"",Performance!AH179)</f>
        <v/>
      </c>
      <c r="AI10" s="693" t="str">
        <f>IF(Performance!AI179=0,"",Performance!AI179)</f>
        <v/>
      </c>
      <c r="AJ10" s="693" t="str">
        <f>IF(Performance!AJ179=0,"",Performance!AJ179)</f>
        <v/>
      </c>
      <c r="AK10" s="694" t="str">
        <f>IF(Performance!AK179=0,"",Performance!AK179)</f>
        <v/>
      </c>
      <c r="AL10" s="693">
        <f>IF(Performance!AL179=0,"",Performance!AL179)</f>
        <v>-6.2794099999999995</v>
      </c>
      <c r="AM10" s="693">
        <f>IF(Performance!AM179=0,"",Performance!AM179)</f>
        <v>-8.3821499999999993</v>
      </c>
      <c r="AN10" s="693">
        <f>IF(Performance!AN179=0,"",Performance!AN179)</f>
        <v>-0.58975999999999884</v>
      </c>
      <c r="AO10" s="694" t="str">
        <f>IF(Performance!AO179=0,"",Performance!AO179)</f>
        <v/>
      </c>
      <c r="AP10" s="693" t="str">
        <f>IF(Performance!AP179=0,"",Performance!AP179)</f>
        <v/>
      </c>
      <c r="AQ10" s="693">
        <f>IF(Performance!AQ179=0,"",Performance!AQ179)</f>
        <v>-1.3260000000000001</v>
      </c>
      <c r="AR10" s="693" t="str">
        <f>IF(Performance!AR179=0,"",Performance!AR179)</f>
        <v/>
      </c>
      <c r="AS10" s="693" t="str">
        <f>IF(Performance!AS179=0,"",Performance!AS179)</f>
        <v/>
      </c>
      <c r="AT10" s="693">
        <f>IF(Performance!AT179=0,"",Performance!AT179)</f>
        <v>-4.05</v>
      </c>
      <c r="AU10" s="693" t="str">
        <f>IF(Performance!AU179=0,"",Performance!AU179)</f>
        <v/>
      </c>
      <c r="AV10" s="693" t="str">
        <f>IF(Performance!AV179=0,"",Performance!AV179)</f>
        <v/>
      </c>
      <c r="AW10" s="693">
        <f>IF(Performance!AW179=0,"",Performance!AW179)</f>
        <v>-5.2218399999999998E-2</v>
      </c>
      <c r="AX10" s="693" t="str">
        <f>IF(Performance!AX179=0,"",Performance!AX179)</f>
        <v/>
      </c>
      <c r="AY10" s="693" t="str">
        <f>IF(Performance!AY179=0,"",Performance!AY179)</f>
        <v/>
      </c>
      <c r="AZ10" s="693" t="str">
        <f>IF(Performance!AZ179=0,"",Performance!AZ179)</f>
        <v/>
      </c>
      <c r="BA10" s="693" t="str">
        <f>IF(Performance!BA179=0,"",Performance!BA179)</f>
        <v/>
      </c>
      <c r="BB10" s="693" t="str">
        <f>IF(Performance!BB179=0,"",Performance!BB179)</f>
        <v/>
      </c>
      <c r="BC10" s="694" t="str">
        <f>IF(Performance!BC179=0,"",Performance!BC179)</f>
        <v/>
      </c>
      <c r="BD10" s="693" t="str">
        <f>IF(Performance!BD179=0,"",Performance!BD179)</f>
        <v/>
      </c>
      <c r="BE10" s="693" t="str">
        <f>IF(Performance!BE179=0,"",Performance!BE179)</f>
        <v/>
      </c>
      <c r="BF10" s="693" t="str">
        <f>IF(Performance!BF179=0,"",Performance!BF179)</f>
        <v/>
      </c>
      <c r="BG10" s="693" t="str">
        <f>IF(Performance!BG179=0,"",Performance!BG179)</f>
        <v/>
      </c>
      <c r="BH10" s="693" t="str">
        <f>IF(Performance!BH179=0,"",Performance!BH179)</f>
        <v/>
      </c>
      <c r="BI10" s="693" t="str">
        <f>IF(Performance!BI179=0,"",Performance!BI179)</f>
        <v/>
      </c>
      <c r="BJ10" s="693" t="str">
        <f>IF(Performance!BJ179=0,"",Performance!BJ179)</f>
        <v/>
      </c>
      <c r="BK10" s="693" t="str">
        <f>IF(Performance!BK179=0,"",Performance!BK179)</f>
        <v/>
      </c>
      <c r="BL10" s="693" t="str">
        <f>IF(Performance!BL179=0,"",Performance!BL179)</f>
        <v/>
      </c>
      <c r="BM10" s="693" t="str">
        <f>IF(Performance!BM179=0,"",Performance!BM179)</f>
        <v/>
      </c>
      <c r="BN10" s="693" t="str">
        <f>IF(Performance!BN179=0,"",Performance!BN179)</f>
        <v/>
      </c>
      <c r="BO10" s="693" t="str">
        <f>IF(Performance!BO179=0,"",Performance!BO179)</f>
        <v/>
      </c>
      <c r="BP10" s="693" t="str">
        <f>IF(Performance!BP179=0,"",Performance!BP179)</f>
        <v/>
      </c>
      <c r="BQ10" s="693" t="str">
        <f>IF(Performance!BQ179=0,"",Performance!BQ179)</f>
        <v/>
      </c>
      <c r="BR10" s="693" t="str">
        <f>IF(Performance!BR179=0,"",Performance!BR179)</f>
        <v/>
      </c>
      <c r="BS10" s="693" t="str">
        <f>IF(Performance!BS179=0,"",Performance!BS179)</f>
        <v/>
      </c>
    </row>
    <row r="11" spans="1:71" customFormat="1" ht="14.25">
      <c r="A11" s="1378"/>
      <c r="B11" s="1378"/>
      <c r="C11" s="1378"/>
      <c r="D11" s="1378"/>
      <c r="E11" s="587"/>
      <c r="F11" s="1378"/>
      <c r="G11" s="587"/>
      <c r="H11" s="1378"/>
      <c r="I11" s="1378"/>
      <c r="J11" s="693"/>
      <c r="K11" s="693"/>
      <c r="L11" s="693"/>
      <c r="M11" s="693"/>
      <c r="N11" s="693"/>
      <c r="O11" s="693"/>
      <c r="P11" s="693"/>
      <c r="Q11" s="694"/>
      <c r="R11" s="693"/>
      <c r="S11" s="693"/>
      <c r="T11" s="693"/>
      <c r="U11" s="693"/>
      <c r="V11" s="693"/>
      <c r="W11" s="693"/>
      <c r="X11" s="693"/>
      <c r="Y11" s="693"/>
      <c r="Z11" s="693"/>
      <c r="AA11" s="693"/>
      <c r="AB11" s="693"/>
      <c r="AC11" s="693"/>
      <c r="AD11" s="693"/>
      <c r="AE11" s="693"/>
      <c r="AF11" s="693"/>
      <c r="AG11" s="693"/>
      <c r="AH11" s="693"/>
      <c r="AI11" s="693"/>
      <c r="AJ11" s="693"/>
      <c r="AK11" s="694"/>
      <c r="AL11" s="693"/>
      <c r="AM11" s="693"/>
      <c r="AN11" s="693"/>
      <c r="AO11" s="694"/>
      <c r="AP11" s="693"/>
      <c r="AQ11" s="693"/>
      <c r="AR11" s="693"/>
      <c r="AS11" s="693"/>
      <c r="AT11" s="693"/>
      <c r="AU11" s="693"/>
      <c r="AV11" s="693"/>
      <c r="AW11" s="693"/>
      <c r="AX11" s="693"/>
      <c r="AY11" s="693"/>
      <c r="AZ11" s="693"/>
      <c r="BA11" s="693"/>
      <c r="BB11" s="693"/>
      <c r="BC11" s="694"/>
      <c r="BD11" s="693"/>
      <c r="BE11" s="693"/>
      <c r="BF11" s="693"/>
      <c r="BG11" s="693"/>
      <c r="BH11" s="693"/>
      <c r="BI11" s="693"/>
      <c r="BJ11" s="693"/>
      <c r="BK11" s="693"/>
      <c r="BL11" s="693"/>
      <c r="BM11" s="693"/>
      <c r="BN11" s="693"/>
      <c r="BO11" s="693"/>
      <c r="BP11" s="693"/>
      <c r="BQ11" s="693"/>
      <c r="BR11" s="693"/>
      <c r="BS11" s="693"/>
    </row>
    <row r="12" spans="1:71" customFormat="1" ht="14.25">
      <c r="A12" s="1378"/>
      <c r="B12" s="1378"/>
      <c r="C12" s="1378"/>
      <c r="D12" s="1378"/>
      <c r="E12" s="587" t="s">
        <v>1563</v>
      </c>
      <c r="F12" s="1378"/>
      <c r="G12" s="587" t="s">
        <v>1072</v>
      </c>
      <c r="H12" s="1378"/>
      <c r="I12" s="1378"/>
      <c r="J12" s="693" t="str">
        <f>IF(AND(InpPerformance!J23="",InpPerformance!J24="",InpPerformance!J25="",InpPerformance!J26="",InpPerformance!J27="",InpPerformance!J28="",InpPerformance!J29=""),"","YES")</f>
        <v/>
      </c>
      <c r="K12" s="693" t="str">
        <f>IF(AND(InpPerformance!K23="",InpPerformance!K24="",InpPerformance!K25="",InpPerformance!K26="",InpPerformance!K27="",InpPerformance!K28="",InpPerformance!K29=""),"","YES")</f>
        <v/>
      </c>
      <c r="L12" s="693" t="str">
        <f>IF(AND(InpPerformance!L23="",InpPerformance!L24="",InpPerformance!L25="",InpPerformance!L26="",InpPerformance!L27="",InpPerformance!L28="",InpPerformance!L29=""),"","YES")</f>
        <v/>
      </c>
      <c r="M12" s="693" t="str">
        <f>IF(AND(InpPerformance!M23="",InpPerformance!M24="",InpPerformance!M25="",InpPerformance!M26="",InpPerformance!M27="",InpPerformance!M28="",InpPerformance!M29=""),"","YES")</f>
        <v/>
      </c>
      <c r="N12" s="693" t="str">
        <f>IF(AND(InpPerformance!N23="",InpPerformance!N24="",InpPerformance!N25="",InpPerformance!N26="",InpPerformance!N27="",InpPerformance!N28="",InpPerformance!N29=""),"","YES")</f>
        <v>YES</v>
      </c>
      <c r="O12" s="693" t="str">
        <f>IF(AND(InpPerformance!O23="",InpPerformance!O24="",InpPerformance!O25="",InpPerformance!O26="",InpPerformance!O27="",InpPerformance!O28="",InpPerformance!O29=""),"","YES")</f>
        <v/>
      </c>
      <c r="P12" s="693" t="str">
        <f>IF(AND(InpPerformance!P23="",InpPerformance!P24="",InpPerformance!P25="",InpPerformance!P26="",InpPerformance!P27="",InpPerformance!P28="",InpPerformance!P29=""),"","YES")</f>
        <v/>
      </c>
      <c r="Q12" s="694" t="str">
        <f>IF(AND(InpPerformance!Q23="",InpPerformance!Q24="",InpPerformance!Q25="",InpPerformance!Q26="",InpPerformance!Q27="",InpPerformance!Q28="",InpPerformance!Q29=""),"","YES")</f>
        <v/>
      </c>
      <c r="R12" s="693" t="str">
        <f>IF(AND(InpPerformance!R23="",InpPerformance!R24="",InpPerformance!R25="",InpPerformance!R26="",InpPerformance!R27="",InpPerformance!R28="",InpPerformance!R29=""),"","YES")</f>
        <v/>
      </c>
      <c r="S12" s="693" t="str">
        <f>IF(AND(InpPerformance!S23="",InpPerformance!S24="",InpPerformance!S25="",InpPerformance!S26="",InpPerformance!S27="",InpPerformance!S28="",InpPerformance!S29=""),"","YES")</f>
        <v/>
      </c>
      <c r="T12" s="693" t="str">
        <f>IF(AND(InpPerformance!T23="",InpPerformance!T24="",InpPerformance!T25="",InpPerformance!T26="",InpPerformance!T27="",InpPerformance!T28="",InpPerformance!T29=""),"","YES")</f>
        <v/>
      </c>
      <c r="U12" s="693" t="str">
        <f>IF(AND(InpPerformance!U23="",InpPerformance!U24="",InpPerformance!U25="",InpPerformance!U26="",InpPerformance!U27="",InpPerformance!U28="",InpPerformance!U29=""),"","YES")</f>
        <v/>
      </c>
      <c r="V12" s="693" t="str">
        <f>IF(AND(InpPerformance!V23="",InpPerformance!V24="",InpPerformance!V25="",InpPerformance!V26="",InpPerformance!V27="",InpPerformance!V28="",InpPerformance!V29=""),"","YES")</f>
        <v/>
      </c>
      <c r="W12" s="693" t="str">
        <f>IF(AND(InpPerformance!W23="",InpPerformance!W24="",InpPerformance!W25="",InpPerformance!W26="",InpPerformance!W27="",InpPerformance!W28="",InpPerformance!W29=""),"","YES")</f>
        <v/>
      </c>
      <c r="X12" s="693" t="str">
        <f>IF(AND(InpPerformance!X23="",InpPerformance!X24="",InpPerformance!X25="",InpPerformance!X26="",InpPerformance!X27="",InpPerformance!X28="",InpPerformance!X29=""),"","YES")</f>
        <v/>
      </c>
      <c r="Y12" s="693" t="str">
        <f>IF(AND(InpPerformance!Y23="",InpPerformance!Y24="",InpPerformance!Y25="",InpPerformance!Y26="",InpPerformance!Y27="",InpPerformance!Y28="",InpPerformance!Y29=""),"","YES")</f>
        <v/>
      </c>
      <c r="Z12" s="693" t="str">
        <f>IF(AND(InpPerformance!Z23="",InpPerformance!Z24="",InpPerformance!Z25="",InpPerformance!Z26="",InpPerformance!Z27="",InpPerformance!Z28="",InpPerformance!Z29=""),"","YES")</f>
        <v/>
      </c>
      <c r="AA12" s="693" t="str">
        <f>IF(AND(InpPerformance!AA23="",InpPerformance!AA24="",InpPerformance!AA25="",InpPerformance!AA26="",InpPerformance!AA27="",InpPerformance!AA28="",InpPerformance!AA29=""),"","YES")</f>
        <v/>
      </c>
      <c r="AB12" s="693" t="str">
        <f>IF(AND(InpPerformance!AB23="",InpPerformance!AB24="",InpPerformance!AB25="",InpPerformance!AB26="",InpPerformance!AB27="",InpPerformance!AB28="",InpPerformance!AB29=""),"","YES")</f>
        <v/>
      </c>
      <c r="AC12" s="693" t="str">
        <f>IF(AND(InpPerformance!AC23="",InpPerformance!AC24="",InpPerformance!AC25="",InpPerformance!AC26="",InpPerformance!AC27="",InpPerformance!AC28="",InpPerformance!AC29=""),"","YES")</f>
        <v/>
      </c>
      <c r="AD12" s="693" t="str">
        <f>IF(AND(InpPerformance!AD23="",InpPerformance!AD24="",InpPerformance!AD25="",InpPerformance!AD26="",InpPerformance!AD27="",InpPerformance!AD28="",InpPerformance!AD29=""),"","YES")</f>
        <v/>
      </c>
      <c r="AE12" s="693" t="str">
        <f>IF(AND(InpPerformance!AE23="",InpPerformance!AE24="",InpPerformance!AE25="",InpPerformance!AE26="",InpPerformance!AE27="",InpPerformance!AE28="",InpPerformance!AE29=""),"","YES")</f>
        <v/>
      </c>
      <c r="AF12" s="693" t="str">
        <f>IF(AND(InpPerformance!AF23="",InpPerformance!AF24="",InpPerformance!AF25="",InpPerformance!AF26="",InpPerformance!AF27="",InpPerformance!AF28="",InpPerformance!AF29=""),"","YES")</f>
        <v/>
      </c>
      <c r="AG12" s="693" t="str">
        <f>IF(AND(InpPerformance!AG23="",InpPerformance!AG24="",InpPerformance!AG25="",InpPerformance!AG26="",InpPerformance!AG27="",InpPerformance!AG28="",InpPerformance!AG29=""),"","YES")</f>
        <v/>
      </c>
      <c r="AH12" s="693" t="str">
        <f>IF(AND(InpPerformance!AH23="",InpPerformance!AH24="",InpPerformance!AH25="",InpPerformance!AH26="",InpPerformance!AH27="",InpPerformance!AH28="",InpPerformance!AH29=""),"","YES")</f>
        <v/>
      </c>
      <c r="AI12" s="693" t="str">
        <f>IF(AND(InpPerformance!AI23="",InpPerformance!AI24="",InpPerformance!AI25="",InpPerformance!AI26="",InpPerformance!AI27="",InpPerformance!AI28="",InpPerformance!AI29=""),"","YES")</f>
        <v/>
      </c>
      <c r="AJ12" s="693" t="str">
        <f>IF(AND(InpPerformance!AJ23="",InpPerformance!AJ24="",InpPerformance!AJ25="",InpPerformance!AJ26="",InpPerformance!AJ27="",InpPerformance!AJ28="",InpPerformance!AJ29=""),"","YES")</f>
        <v/>
      </c>
      <c r="AK12" s="694" t="str">
        <f>IF(AND(InpPerformance!AK23="",InpPerformance!AK24="",InpPerformance!AK25="",InpPerformance!AK26="",InpPerformance!AK27="",InpPerformance!AK28="",InpPerformance!AK29=""),"","YES")</f>
        <v/>
      </c>
      <c r="AL12" s="693" t="str">
        <f>IF(AND(InpPerformance!AL23="",InpPerformance!AL24="",InpPerformance!AL25="",InpPerformance!AL26="",InpPerformance!AL27="",InpPerformance!AL28="",InpPerformance!AL29=""),"","YES")</f>
        <v/>
      </c>
      <c r="AM12" s="693" t="str">
        <f>IF(AND(InpPerformance!AM23="",InpPerformance!AM24="",InpPerformance!AM25="",InpPerformance!AM26="",InpPerformance!AM27="",InpPerformance!AM28="",InpPerformance!AM29=""),"","YES")</f>
        <v/>
      </c>
      <c r="AN12" s="693" t="str">
        <f>IF(AND(InpPerformance!AN23="",InpPerformance!AN24="",InpPerformance!AN25="",InpPerformance!AN26="",InpPerformance!AN27="",InpPerformance!AN28="",InpPerformance!AN29=""),"","YES")</f>
        <v/>
      </c>
      <c r="AO12" s="694" t="str">
        <f>IF(AND(InpPerformance!AO23="",InpPerformance!AO24="",InpPerformance!AO25="",InpPerformance!AO26="",InpPerformance!AO27="",InpPerformance!AO28="",InpPerformance!AO29=""),"","YES")</f>
        <v/>
      </c>
      <c r="AP12" s="693" t="str">
        <f>IF(AND(InpPerformance!AP23="",InpPerformance!AP24="",InpPerformance!AP25="",InpPerformance!AP26="",InpPerformance!AP27="",InpPerformance!AP28="",InpPerformance!AP29=""),"","YES")</f>
        <v/>
      </c>
      <c r="AQ12" s="693" t="str">
        <f>IF(AND(InpPerformance!AQ23="",InpPerformance!AQ24="",InpPerformance!AQ25="",InpPerformance!AQ26="",InpPerformance!AQ27="",InpPerformance!AQ28="",InpPerformance!AQ29=""),"","YES")</f>
        <v/>
      </c>
      <c r="AR12" s="693" t="str">
        <f>IF(AND(InpPerformance!AR23="",InpPerformance!AR24="",InpPerformance!AR25="",InpPerformance!AR26="",InpPerformance!AR27="",InpPerformance!AR28="",InpPerformance!AR29=""),"","YES")</f>
        <v/>
      </c>
      <c r="AS12" s="693" t="str">
        <f>IF(AND(InpPerformance!AS23="",InpPerformance!AS24="",InpPerformance!AS25="",InpPerformance!AS26="",InpPerformance!AS27="",InpPerformance!AS28="",InpPerformance!AS29=""),"","YES")</f>
        <v/>
      </c>
      <c r="AT12" s="693" t="str">
        <f>IF(AND(InpPerformance!AT23="",InpPerformance!AT24="",InpPerformance!AT25="",InpPerformance!AT26="",InpPerformance!AT27="",InpPerformance!AT28="",InpPerformance!AT29=""),"","YES")</f>
        <v/>
      </c>
      <c r="AU12" s="693" t="str">
        <f>IF(AND(InpPerformance!AU23="",InpPerformance!AU24="",InpPerformance!AU25="",InpPerformance!AU26="",InpPerformance!AU27="",InpPerformance!AU28="",InpPerformance!AU29=""),"","YES")</f>
        <v/>
      </c>
      <c r="AV12" s="693" t="str">
        <f>IF(AND(InpPerformance!AV23="",InpPerformance!AV24="",InpPerformance!AV25="",InpPerformance!AV26="",InpPerformance!AV27="",InpPerformance!AV28="",InpPerformance!AV29=""),"","YES")</f>
        <v/>
      </c>
      <c r="AW12" s="693" t="str">
        <f>IF(AND(InpPerformance!AW23="",InpPerformance!AW24="",InpPerformance!AW25="",InpPerformance!AW26="",InpPerformance!AW27="",InpPerformance!AW28="",InpPerformance!AW29=""),"","YES")</f>
        <v/>
      </c>
      <c r="AX12" s="693" t="str">
        <f>IF(AND(InpPerformance!AX23="",InpPerformance!AX24="",InpPerformance!AX25="",InpPerformance!AX26="",InpPerformance!AX27="",InpPerformance!AX28="",InpPerformance!AX29=""),"","YES")</f>
        <v/>
      </c>
      <c r="AY12" s="693" t="str">
        <f>IF(AND(InpPerformance!AY23="",InpPerformance!AY24="",InpPerformance!AY25="",InpPerformance!AY26="",InpPerformance!AY27="",InpPerformance!AY28="",InpPerformance!AY29=""),"","YES")</f>
        <v/>
      </c>
      <c r="AZ12" s="693" t="str">
        <f>IF(AND(InpPerformance!AZ23="",InpPerformance!AZ24="",InpPerformance!AZ25="",InpPerformance!AZ26="",InpPerformance!AZ27="",InpPerformance!AZ28="",InpPerformance!AZ29=""),"","YES")</f>
        <v/>
      </c>
      <c r="BA12" s="693" t="str">
        <f>IF(AND(InpPerformance!BA23="",InpPerformance!BA24="",InpPerformance!BA25="",InpPerformance!BA26="",InpPerformance!BA27="",InpPerformance!BA28="",InpPerformance!BA29=""),"","YES")</f>
        <v/>
      </c>
      <c r="BB12" s="693" t="str">
        <f>IF(AND(InpPerformance!BB23="",InpPerformance!BB24="",InpPerformance!BB25="",InpPerformance!BB26="",InpPerformance!BB27="",InpPerformance!BB28="",InpPerformance!BB29=""),"","YES")</f>
        <v/>
      </c>
      <c r="BC12" s="694" t="str">
        <f>IF(AND(InpPerformance!BC23="",InpPerformance!BC24="",InpPerformance!BC25="",InpPerformance!BC26="",InpPerformance!BC27="",InpPerformance!BC28="",InpPerformance!BC29=""),"","YES")</f>
        <v/>
      </c>
      <c r="BD12" s="693" t="str">
        <f>IF(AND(InpPerformance!BD23="",InpPerformance!BD24="",InpPerformance!BD25="",InpPerformance!BD26="",InpPerformance!BD27="",InpPerformance!BD28="",InpPerformance!BD29=""),"","YES")</f>
        <v/>
      </c>
      <c r="BE12" s="693" t="str">
        <f>IF(AND(InpPerformance!BE23="",InpPerformance!BE24="",InpPerformance!BE25="",InpPerformance!BE26="",InpPerformance!BE27="",InpPerformance!BE28="",InpPerformance!BE29=""),"","YES")</f>
        <v/>
      </c>
      <c r="BF12" s="693" t="str">
        <f>IF(AND(InpPerformance!BF23="",InpPerformance!BF24="",InpPerformance!BF25="",InpPerformance!BF26="",InpPerformance!BF27="",InpPerformance!BF28="",InpPerformance!BF29=""),"","YES")</f>
        <v/>
      </c>
      <c r="BG12" s="693" t="str">
        <f>IF(AND(InpPerformance!BG23="",InpPerformance!BG24="",InpPerformance!BG25="",InpPerformance!BG26="",InpPerformance!BG27="",InpPerformance!BG28="",InpPerformance!BG29=""),"","YES")</f>
        <v/>
      </c>
      <c r="BH12" s="693" t="str">
        <f>IF(AND(InpPerformance!BH23="",InpPerformance!BH24="",InpPerformance!BH25="",InpPerformance!BH26="",InpPerformance!BH27="",InpPerformance!BH28="",InpPerformance!BH29=""),"","YES")</f>
        <v/>
      </c>
      <c r="BI12" s="693" t="str">
        <f>IF(AND(InpPerformance!BI23="",InpPerformance!BI24="",InpPerformance!BI25="",InpPerformance!BI26="",InpPerformance!BI27="",InpPerformance!BI28="",InpPerformance!BI29=""),"","YES")</f>
        <v/>
      </c>
      <c r="BJ12" s="693" t="str">
        <f>IF(AND(InpPerformance!BJ23="",InpPerformance!BJ24="",InpPerformance!BJ25="",InpPerformance!BJ26="",InpPerformance!BJ27="",InpPerformance!BJ28="",InpPerformance!BJ29=""),"","YES")</f>
        <v/>
      </c>
      <c r="BK12" s="693" t="str">
        <f>IF(AND(InpPerformance!BK23="",InpPerformance!BK24="",InpPerformance!BK25="",InpPerformance!BK26="",InpPerformance!BK27="",InpPerformance!BK28="",InpPerformance!BK29=""),"","YES")</f>
        <v/>
      </c>
      <c r="BL12" s="693" t="str">
        <f>IF(AND(InpPerformance!BL23="",InpPerformance!BL24="",InpPerformance!BL25="",InpPerformance!BL26="",InpPerformance!BL27="",InpPerformance!BL28="",InpPerformance!BL29=""),"","YES")</f>
        <v/>
      </c>
      <c r="BM12" s="693" t="str">
        <f>IF(AND(InpPerformance!BM23="",InpPerformance!BM24="",InpPerformance!BM25="",InpPerformance!BM26="",InpPerformance!BM27="",InpPerformance!BM28="",InpPerformance!BM29=""),"","YES")</f>
        <v/>
      </c>
      <c r="BN12" s="693" t="str">
        <f>IF(AND(InpPerformance!BN23="",InpPerformance!BN24="",InpPerformance!BN25="",InpPerformance!BN26="",InpPerformance!BN27="",InpPerformance!BN28="",InpPerformance!BN29=""),"","YES")</f>
        <v/>
      </c>
      <c r="BO12" s="693" t="str">
        <f>IF(AND(InpPerformance!BO23="",InpPerformance!BO24="",InpPerformance!BO25="",InpPerformance!BO26="",InpPerformance!BO27="",InpPerformance!BO28="",InpPerformance!BO29=""),"","YES")</f>
        <v/>
      </c>
      <c r="BP12" s="693" t="str">
        <f>IF(AND(InpPerformance!BP23="",InpPerformance!BP24="",InpPerformance!BP25="",InpPerformance!BP26="",InpPerformance!BP27="",InpPerformance!BP28="",InpPerformance!BP29=""),"","YES")</f>
        <v/>
      </c>
      <c r="BQ12" s="693" t="str">
        <f>IF(AND(InpPerformance!BQ23="",InpPerformance!BQ24="",InpPerformance!BQ25="",InpPerformance!BQ26="",InpPerformance!BQ27="",InpPerformance!BQ28="",InpPerformance!BQ29=""),"","YES")</f>
        <v/>
      </c>
      <c r="BR12" s="693" t="str">
        <f>IF(AND(InpPerformance!BR23="",InpPerformance!BR24="",InpPerformance!BR25="",InpPerformance!BR26="",InpPerformance!BR27="",InpPerformance!BR28="",InpPerformance!BR29=""),"","YES")</f>
        <v/>
      </c>
      <c r="BS12" s="693" t="str">
        <f>IF(AND(InpPerformance!BS23="",InpPerformance!BS24="",InpPerformance!BS25="",InpPerformance!BS26="",InpPerformance!BS27="",InpPerformance!BS28="",InpPerformance!BS29=""),"","YES")</f>
        <v/>
      </c>
    </row>
    <row r="13" spans="1:71" customFormat="1" ht="14.25">
      <c r="A13" s="1378"/>
      <c r="B13" s="1378"/>
      <c r="C13" s="1378"/>
      <c r="D13" s="1378"/>
      <c r="E13" s="587" t="s">
        <v>1564</v>
      </c>
      <c r="F13" s="1378"/>
      <c r="G13" s="587" t="s">
        <v>1072</v>
      </c>
      <c r="H13" s="1378"/>
      <c r="I13" s="1378"/>
      <c r="J13" s="693" t="str">
        <f>IF(AND(InpPerformance!J24="",InpPerformance!J25="",InpPerformance!J26="",InpPerformance!J27="",InpPerformance!J28="",InpPerformance!J29="",InpPerformance!J30=""),"","YES")</f>
        <v/>
      </c>
      <c r="K13" s="693" t="str">
        <f>IF(AND(InpPerformance!K24="",InpPerformance!K25="",InpPerformance!K26="",InpPerformance!K27="",InpPerformance!K28="",InpPerformance!K29="",InpPerformance!K30=""),"","YES")</f>
        <v/>
      </c>
      <c r="L13" s="693" t="str">
        <f>IF(AND(InpPerformance!L24="",InpPerformance!L25="",InpPerformance!L26="",InpPerformance!L27="",InpPerformance!L28="",InpPerformance!L29="",InpPerformance!L30=""),"","YES")</f>
        <v/>
      </c>
      <c r="M13" s="693" t="str">
        <f>IF(AND(InpPerformance!M24="",InpPerformance!M25="",InpPerformance!M26="",InpPerformance!M27="",InpPerformance!M28="",InpPerformance!M29="",InpPerformance!M30=""),"","YES")</f>
        <v/>
      </c>
      <c r="N13" s="693" t="str">
        <f>IF(AND(InpPerformance!N24="",InpPerformance!N25="",InpPerformance!N26="",InpPerformance!N27="",InpPerformance!N28="",InpPerformance!N29="",InpPerformance!N30=""),"","YES")</f>
        <v>YES</v>
      </c>
      <c r="O13" s="693" t="str">
        <f>IF(AND(InpPerformance!O24="",InpPerformance!O25="",InpPerformance!O26="",InpPerformance!O27="",InpPerformance!O28="",InpPerformance!O29="",InpPerformance!O30=""),"","YES")</f>
        <v/>
      </c>
      <c r="P13" s="693" t="str">
        <f>IF(AND(InpPerformance!P24="",InpPerformance!P25="",InpPerformance!P26="",InpPerformance!P27="",InpPerformance!P28="",InpPerformance!P29="",InpPerformance!P30=""),"","YES")</f>
        <v/>
      </c>
      <c r="Q13" s="694" t="str">
        <f>IF(AND(InpPerformance!Q24="",InpPerformance!Q25="",InpPerformance!Q26="",InpPerformance!Q27="",InpPerformance!Q28="",InpPerformance!Q29="",InpPerformance!Q30=""),"","YES")</f>
        <v/>
      </c>
      <c r="R13" s="693" t="str">
        <f>IF(AND(InpPerformance!R24="",InpPerformance!R25="",InpPerformance!R26="",InpPerformance!R27="",InpPerformance!R28="",InpPerformance!R29="",InpPerformance!R30=""),"","YES")</f>
        <v/>
      </c>
      <c r="S13" s="693" t="str">
        <f>IF(AND(InpPerformance!S24="",InpPerformance!S25="",InpPerformance!S26="",InpPerformance!S27="",InpPerformance!S28="",InpPerformance!S29="",InpPerformance!S30=""),"","YES")</f>
        <v/>
      </c>
      <c r="T13" s="693" t="str">
        <f>IF(AND(InpPerformance!T24="",InpPerformance!T25="",InpPerformance!T26="",InpPerformance!T27="",InpPerformance!T28="",InpPerformance!T29="",InpPerformance!T30=""),"","YES")</f>
        <v/>
      </c>
      <c r="U13" s="693" t="str">
        <f>IF(AND(InpPerformance!U24="",InpPerformance!U25="",InpPerformance!U26="",InpPerformance!U27="",InpPerformance!U28="",InpPerformance!U29="",InpPerformance!U30=""),"","YES")</f>
        <v/>
      </c>
      <c r="V13" s="693" t="str">
        <f>IF(AND(InpPerformance!V24="",InpPerformance!V25="",InpPerformance!V26="",InpPerformance!V27="",InpPerformance!V28="",InpPerformance!V29="",InpPerformance!V30=""),"","YES")</f>
        <v/>
      </c>
      <c r="W13" s="693" t="str">
        <f>IF(AND(InpPerformance!W24="",InpPerformance!W25="",InpPerformance!W26="",InpPerformance!W27="",InpPerformance!W28="",InpPerformance!W29="",InpPerformance!W30=""),"","YES")</f>
        <v/>
      </c>
      <c r="X13" s="693" t="str">
        <f>IF(AND(InpPerformance!X24="",InpPerformance!X25="",InpPerformance!X26="",InpPerformance!X27="",InpPerformance!X28="",InpPerformance!X29="",InpPerformance!X30=""),"","YES")</f>
        <v/>
      </c>
      <c r="Y13" s="693" t="str">
        <f>IF(AND(InpPerformance!Y24="",InpPerformance!Y25="",InpPerformance!Y26="",InpPerformance!Y27="",InpPerformance!Y28="",InpPerformance!Y29="",InpPerformance!Y30=""),"","YES")</f>
        <v/>
      </c>
      <c r="Z13" s="693" t="str">
        <f>IF(AND(InpPerformance!Z24="",InpPerformance!Z25="",InpPerformance!Z26="",InpPerformance!Z27="",InpPerformance!Z28="",InpPerformance!Z29="",InpPerformance!Z30=""),"","YES")</f>
        <v/>
      </c>
      <c r="AA13" s="693" t="str">
        <f>IF(AND(InpPerformance!AA24="",InpPerformance!AA25="",InpPerformance!AA26="",InpPerformance!AA27="",InpPerformance!AA28="",InpPerformance!AA29="",InpPerformance!AA30=""),"","YES")</f>
        <v/>
      </c>
      <c r="AB13" s="693" t="str">
        <f>IF(AND(InpPerformance!AB24="",InpPerformance!AB25="",InpPerformance!AB26="",InpPerformance!AB27="",InpPerformance!AB28="",InpPerformance!AB29="",InpPerformance!AB30=""),"","YES")</f>
        <v/>
      </c>
      <c r="AC13" s="693" t="str">
        <f>IF(AND(InpPerformance!AC24="",InpPerformance!AC25="",InpPerformance!AC26="",InpPerformance!AC27="",InpPerformance!AC28="",InpPerformance!AC29="",InpPerformance!AC30=""),"","YES")</f>
        <v/>
      </c>
      <c r="AD13" s="693" t="str">
        <f>IF(AND(InpPerformance!AD24="",InpPerformance!AD25="",InpPerformance!AD26="",InpPerformance!AD27="",InpPerformance!AD28="",InpPerformance!AD29="",InpPerformance!AD30=""),"","YES")</f>
        <v/>
      </c>
      <c r="AE13" s="693" t="str">
        <f>IF(AND(InpPerformance!AE24="",InpPerformance!AE25="",InpPerformance!AE26="",InpPerformance!AE27="",InpPerformance!AE28="",InpPerformance!AE29="",InpPerformance!AE30=""),"","YES")</f>
        <v/>
      </c>
      <c r="AF13" s="693" t="str">
        <f>IF(AND(InpPerformance!AF24="",InpPerformance!AF25="",InpPerformance!AF26="",InpPerformance!AF27="",InpPerformance!AF28="",InpPerformance!AF29="",InpPerformance!AF30=""),"","YES")</f>
        <v/>
      </c>
      <c r="AG13" s="693" t="str">
        <f>IF(AND(InpPerformance!AG24="",InpPerformance!AG25="",InpPerformance!AG26="",InpPerformance!AG27="",InpPerformance!AG28="",InpPerformance!AG29="",InpPerformance!AG30=""),"","YES")</f>
        <v/>
      </c>
      <c r="AH13" s="693" t="str">
        <f>IF(AND(InpPerformance!AH24="",InpPerformance!AH25="",InpPerformance!AH26="",InpPerformance!AH27="",InpPerformance!AH28="",InpPerformance!AH29="",InpPerformance!AH30=""),"","YES")</f>
        <v/>
      </c>
      <c r="AI13" s="693" t="str">
        <f>IF(AND(InpPerformance!AI24="",InpPerformance!AI25="",InpPerformance!AI26="",InpPerformance!AI27="",InpPerformance!AI28="",InpPerformance!AI29="",InpPerformance!AI30=""),"","YES")</f>
        <v/>
      </c>
      <c r="AJ13" s="693" t="str">
        <f>IF(AND(InpPerformance!AJ24="",InpPerformance!AJ25="",InpPerformance!AJ26="",InpPerformance!AJ27="",InpPerformance!AJ28="",InpPerformance!AJ29="",InpPerformance!AJ30=""),"","YES")</f>
        <v/>
      </c>
      <c r="AK13" s="694" t="str">
        <f>IF(AND(InpPerformance!AK24="",InpPerformance!AK25="",InpPerformance!AK26="",InpPerformance!AK27="",InpPerformance!AK28="",InpPerformance!AK29="",InpPerformance!AK30=""),"","YES")</f>
        <v/>
      </c>
      <c r="AL13" s="693" t="str">
        <f>IF(AND(InpPerformance!AL24="",InpPerformance!AL25="",InpPerformance!AL26="",InpPerformance!AL27="",InpPerformance!AL28="",InpPerformance!AL29="",InpPerformance!AL30=""),"","YES")</f>
        <v/>
      </c>
      <c r="AM13" s="693" t="str">
        <f>IF(AND(InpPerformance!AM24="",InpPerformance!AM25="",InpPerformance!AM26="",InpPerformance!AM27="",InpPerformance!AM28="",InpPerformance!AM29="",InpPerformance!AM30=""),"","YES")</f>
        <v/>
      </c>
      <c r="AN13" s="693" t="str">
        <f>IF(AND(InpPerformance!AN24="",InpPerformance!AN25="",InpPerformance!AN26="",InpPerformance!AN27="",InpPerformance!AN28="",InpPerformance!AN29="",InpPerformance!AN30=""),"","YES")</f>
        <v/>
      </c>
      <c r="AO13" s="694" t="str">
        <f>IF(AND(InpPerformance!AO24="",InpPerformance!AO25="",InpPerformance!AO26="",InpPerformance!AO27="",InpPerformance!AO28="",InpPerformance!AO29="",InpPerformance!AO30=""),"","YES")</f>
        <v/>
      </c>
      <c r="AP13" s="693" t="str">
        <f>IF(AND(InpPerformance!AP24="",InpPerformance!AP25="",InpPerformance!AP26="",InpPerformance!AP27="",InpPerformance!AP28="",InpPerformance!AP29="",InpPerformance!AP30=""),"","YES")</f>
        <v/>
      </c>
      <c r="AQ13" s="693" t="str">
        <f>IF(AND(InpPerformance!AQ24="",InpPerformance!AQ25="",InpPerformance!AQ26="",InpPerformance!AQ27="",InpPerformance!AQ28="",InpPerformance!AQ29="",InpPerformance!AQ30=""),"","YES")</f>
        <v/>
      </c>
      <c r="AR13" s="693" t="str">
        <f>IF(AND(InpPerformance!AR24="",InpPerformance!AR25="",InpPerformance!AR26="",InpPerformance!AR27="",InpPerformance!AR28="",InpPerformance!AR29="",InpPerformance!AR30=""),"","YES")</f>
        <v/>
      </c>
      <c r="AS13" s="693" t="str">
        <f>IF(AND(InpPerformance!AS24="",InpPerformance!AS25="",InpPerformance!AS26="",InpPerformance!AS27="",InpPerformance!AS28="",InpPerformance!AS29="",InpPerformance!AS30=""),"","YES")</f>
        <v/>
      </c>
      <c r="AT13" s="693" t="str">
        <f>IF(AND(InpPerformance!AT24="",InpPerformance!AT25="",InpPerformance!AT26="",InpPerformance!AT27="",InpPerformance!AT28="",InpPerformance!AT29="",InpPerformance!AT30=""),"","YES")</f>
        <v/>
      </c>
      <c r="AU13" s="693" t="str">
        <f>IF(AND(InpPerformance!AU24="",InpPerformance!AU25="",InpPerformance!AU26="",InpPerformance!AU27="",InpPerformance!AU28="",InpPerformance!AU29="",InpPerformance!AU30=""),"","YES")</f>
        <v/>
      </c>
      <c r="AV13" s="693" t="str">
        <f>IF(AND(InpPerformance!AV24="",InpPerformance!AV25="",InpPerformance!AV26="",InpPerformance!AV27="",InpPerformance!AV28="",InpPerformance!AV29="",InpPerformance!AV30=""),"","YES")</f>
        <v/>
      </c>
      <c r="AW13" s="693" t="str">
        <f>IF(AND(InpPerformance!AW24="",InpPerformance!AW25="",InpPerformance!AW26="",InpPerformance!AW27="",InpPerformance!AW28="",InpPerformance!AW29="",InpPerformance!AW30=""),"","YES")</f>
        <v/>
      </c>
      <c r="AX13" s="693" t="str">
        <f>IF(AND(InpPerformance!AX24="",InpPerformance!AX25="",InpPerformance!AX26="",InpPerformance!AX27="",InpPerformance!AX28="",InpPerformance!AX29="",InpPerformance!AX30=""),"","YES")</f>
        <v/>
      </c>
      <c r="AY13" s="693" t="str">
        <f>IF(AND(InpPerformance!AY24="",InpPerformance!AY25="",InpPerformance!AY26="",InpPerformance!AY27="",InpPerformance!AY28="",InpPerformance!AY29="",InpPerformance!AY30=""),"","YES")</f>
        <v/>
      </c>
      <c r="AZ13" s="693" t="str">
        <f>IF(AND(InpPerformance!AZ24="",InpPerformance!AZ25="",InpPerformance!AZ26="",InpPerformance!AZ27="",InpPerformance!AZ28="",InpPerformance!AZ29="",InpPerformance!AZ30=""),"","YES")</f>
        <v/>
      </c>
      <c r="BA13" s="693" t="str">
        <f>IF(AND(InpPerformance!BA24="",InpPerformance!BA25="",InpPerformance!BA26="",InpPerformance!BA27="",InpPerformance!BA28="",InpPerformance!BA29="",InpPerformance!BA30=""),"","YES")</f>
        <v/>
      </c>
      <c r="BB13" s="693" t="str">
        <f>IF(AND(InpPerformance!BB24="",InpPerformance!BB25="",InpPerformance!BB26="",InpPerformance!BB27="",InpPerformance!BB28="",InpPerformance!BB29="",InpPerformance!BB30=""),"","YES")</f>
        <v/>
      </c>
      <c r="BC13" s="694" t="str">
        <f>IF(AND(InpPerformance!BC24="",InpPerformance!BC25="",InpPerformance!BC26="",InpPerformance!BC27="",InpPerformance!BC28="",InpPerformance!BC29="",InpPerformance!BC30=""),"","YES")</f>
        <v/>
      </c>
      <c r="BD13" s="693" t="str">
        <f>IF(AND(InpPerformance!BD24="",InpPerformance!BD25="",InpPerformance!BD26="",InpPerformance!BD27="",InpPerformance!BD28="",InpPerformance!BD29="",InpPerformance!BD30=""),"","YES")</f>
        <v/>
      </c>
      <c r="BE13" s="693" t="str">
        <f>IF(AND(InpPerformance!BE24="",InpPerformance!BE25="",InpPerformance!BE26="",InpPerformance!BE27="",InpPerformance!BE28="",InpPerformance!BE29="",InpPerformance!BE30=""),"","YES")</f>
        <v/>
      </c>
      <c r="BF13" s="693" t="str">
        <f>IF(AND(InpPerformance!BF24="",InpPerformance!BF25="",InpPerformance!BF26="",InpPerformance!BF27="",InpPerformance!BF28="",InpPerformance!BF29="",InpPerformance!BF30=""),"","YES")</f>
        <v/>
      </c>
      <c r="BG13" s="693" t="str">
        <f>IF(AND(InpPerformance!BG24="",InpPerformance!BG25="",InpPerformance!BG26="",InpPerformance!BG27="",InpPerformance!BG28="",InpPerformance!BG29="",InpPerformance!BG30=""),"","YES")</f>
        <v/>
      </c>
      <c r="BH13" s="693" t="str">
        <f>IF(AND(InpPerformance!BH24="",InpPerformance!BH25="",InpPerformance!BH26="",InpPerformance!BH27="",InpPerformance!BH28="",InpPerformance!BH29="",InpPerformance!BH30=""),"","YES")</f>
        <v/>
      </c>
      <c r="BI13" s="693" t="str">
        <f>IF(AND(InpPerformance!BI24="",InpPerformance!BI25="",InpPerformance!BI26="",InpPerformance!BI27="",InpPerformance!BI28="",InpPerformance!BI29="",InpPerformance!BI30=""),"","YES")</f>
        <v/>
      </c>
      <c r="BJ13" s="693" t="str">
        <f>IF(AND(InpPerformance!BJ24="",InpPerformance!BJ25="",InpPerformance!BJ26="",InpPerformance!BJ27="",InpPerformance!BJ28="",InpPerformance!BJ29="",InpPerformance!BJ30=""),"","YES")</f>
        <v/>
      </c>
      <c r="BK13" s="693" t="str">
        <f>IF(AND(InpPerformance!BK24="",InpPerformance!BK25="",InpPerformance!BK26="",InpPerformance!BK27="",InpPerformance!BK28="",InpPerformance!BK29="",InpPerformance!BK30=""),"","YES")</f>
        <v/>
      </c>
      <c r="BL13" s="693" t="str">
        <f>IF(AND(InpPerformance!BL24="",InpPerformance!BL25="",InpPerformance!BL26="",InpPerformance!BL27="",InpPerformance!BL28="",InpPerformance!BL29="",InpPerformance!BL30=""),"","YES")</f>
        <v/>
      </c>
      <c r="BM13" s="693" t="str">
        <f>IF(AND(InpPerformance!BM24="",InpPerformance!BM25="",InpPerformance!BM26="",InpPerformance!BM27="",InpPerformance!BM28="",InpPerformance!BM29="",InpPerformance!BM30=""),"","YES")</f>
        <v/>
      </c>
      <c r="BN13" s="693" t="str">
        <f>IF(AND(InpPerformance!BN24="",InpPerformance!BN25="",InpPerformance!BN26="",InpPerformance!BN27="",InpPerformance!BN28="",InpPerformance!BN29="",InpPerformance!BN30=""),"","YES")</f>
        <v/>
      </c>
      <c r="BO13" s="693" t="str">
        <f>IF(AND(InpPerformance!BO24="",InpPerformance!BO25="",InpPerformance!BO26="",InpPerformance!BO27="",InpPerformance!BO28="",InpPerformance!BO29="",InpPerformance!BO30=""),"","YES")</f>
        <v/>
      </c>
      <c r="BP13" s="693" t="str">
        <f>IF(AND(InpPerformance!BP24="",InpPerformance!BP25="",InpPerformance!BP26="",InpPerformance!BP27="",InpPerformance!BP28="",InpPerformance!BP29="",InpPerformance!BP30=""),"","YES")</f>
        <v/>
      </c>
      <c r="BQ13" s="693" t="str">
        <f>IF(AND(InpPerformance!BQ24="",InpPerformance!BQ25="",InpPerformance!BQ26="",InpPerformance!BQ27="",InpPerformance!BQ28="",InpPerformance!BQ29="",InpPerformance!BQ30=""),"","YES")</f>
        <v/>
      </c>
      <c r="BR13" s="693" t="str">
        <f>IF(AND(InpPerformance!BR24="",InpPerformance!BR25="",InpPerformance!BR26="",InpPerformance!BR27="",InpPerformance!BR28="",InpPerformance!BR29="",InpPerformance!BR30=""),"","YES")</f>
        <v/>
      </c>
      <c r="BS13" s="693" t="str">
        <f>IF(AND(InpPerformance!BS24="",InpPerformance!BS25="",InpPerformance!BS26="",InpPerformance!BS27="",InpPerformance!BS28="",InpPerformance!BS29="",InpPerformance!BS30=""),"","YES")</f>
        <v/>
      </c>
    </row>
    <row r="14" spans="1:71" customFormat="1" ht="14.25">
      <c r="A14" s="1378"/>
      <c r="B14" s="1378"/>
      <c r="C14" s="1378"/>
      <c r="D14" s="1378"/>
      <c r="E14" s="587" t="s">
        <v>1565</v>
      </c>
      <c r="F14" s="1378"/>
      <c r="G14" s="587" t="s">
        <v>1072</v>
      </c>
      <c r="H14" s="1378"/>
      <c r="I14" s="1378"/>
      <c r="J14" s="693"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93"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93"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93"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93"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YES</v>
      </c>
      <c r="O14" s="693"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93"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94"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93"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93"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93"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93"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93"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693"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693"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693"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YES</v>
      </c>
      <c r="Z14" s="693"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693"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693"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693"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93"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93"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93"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93"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93"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93"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93"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94"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93"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93"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93"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94"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93"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693"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93"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693"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693"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93"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YES</v>
      </c>
      <c r="AV14" s="693"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YES</v>
      </c>
      <c r="AW14" s="693"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93"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93"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93"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93"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93"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94"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93"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93"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93"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93"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93"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93"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93"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93"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93"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93"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93"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93"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93"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93"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93"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93"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25">
      <c r="A15" s="1378"/>
      <c r="B15" s="1378"/>
      <c r="C15" s="1378"/>
      <c r="D15" s="1378"/>
      <c r="E15" s="587"/>
      <c r="F15" s="1378"/>
      <c r="G15" s="587"/>
      <c r="H15" s="1378"/>
      <c r="I15" s="1378"/>
      <c r="J15" s="695"/>
      <c r="K15" s="693"/>
      <c r="L15" s="693"/>
      <c r="M15" s="693"/>
      <c r="N15" s="693"/>
      <c r="O15" s="693"/>
      <c r="P15" s="693"/>
      <c r="Q15" s="694"/>
      <c r="R15" s="693"/>
      <c r="S15" s="693"/>
      <c r="T15" s="693"/>
      <c r="U15" s="693"/>
      <c r="V15" s="693"/>
      <c r="W15" s="693"/>
      <c r="X15" s="693"/>
      <c r="Y15" s="693"/>
      <c r="Z15" s="693"/>
      <c r="AA15" s="693"/>
      <c r="AB15" s="693"/>
      <c r="AC15" s="693"/>
      <c r="AD15" s="693"/>
      <c r="AE15" s="693"/>
      <c r="AF15" s="693"/>
      <c r="AG15" s="693"/>
      <c r="AH15" s="693"/>
      <c r="AI15" s="693"/>
      <c r="AJ15" s="693"/>
      <c r="AK15" s="694"/>
      <c r="AL15" s="693"/>
      <c r="AM15" s="693"/>
      <c r="AN15" s="693"/>
      <c r="AO15" s="694"/>
      <c r="AP15" s="693"/>
      <c r="AQ15" s="693"/>
      <c r="AR15" s="693"/>
      <c r="AS15" s="693"/>
      <c r="AT15" s="693"/>
      <c r="AU15" s="693"/>
      <c r="AV15" s="693"/>
      <c r="AW15" s="693"/>
      <c r="AX15" s="693"/>
      <c r="AY15" s="693"/>
      <c r="AZ15" s="693"/>
      <c r="BA15" s="693"/>
      <c r="BB15" s="693"/>
      <c r="BC15" s="694"/>
      <c r="BD15" s="693"/>
      <c r="BE15" s="693"/>
      <c r="BF15" s="693"/>
      <c r="BG15" s="693"/>
      <c r="BH15" s="693"/>
      <c r="BI15" s="693"/>
      <c r="BJ15" s="693"/>
      <c r="BK15" s="693"/>
      <c r="BL15" s="693"/>
      <c r="BM15" s="693"/>
      <c r="BN15" s="693"/>
      <c r="BO15" s="693"/>
      <c r="BP15" s="693"/>
      <c r="BQ15" s="693"/>
      <c r="BR15" s="693"/>
      <c r="BS15" s="693"/>
    </row>
    <row r="16" spans="1:71" customFormat="1" ht="14.25">
      <c r="A16" s="1378"/>
      <c r="B16" s="1378"/>
      <c r="C16" s="1378"/>
      <c r="D16" s="1378"/>
      <c r="E16" s="587" t="str">
        <f>Performance!E185</f>
        <v>Total outperformance payments to be applied in-period</v>
      </c>
      <c r="F16" s="1378"/>
      <c r="G16" s="587" t="str">
        <f>Performance!G185</f>
        <v>£m (2017-18 prices)</v>
      </c>
      <c r="H16" s="1378"/>
      <c r="I16" s="1378"/>
      <c r="J16" s="696">
        <f>Performance!J185</f>
        <v>0</v>
      </c>
      <c r="K16" s="696">
        <f>Performance!K185</f>
        <v>0</v>
      </c>
      <c r="L16" s="696">
        <f>Performance!L185</f>
        <v>0</v>
      </c>
      <c r="M16" s="696">
        <f>Performance!M185</f>
        <v>0</v>
      </c>
      <c r="N16" s="696">
        <f>Performance!N185</f>
        <v>0</v>
      </c>
      <c r="O16" s="696">
        <f>Performance!O185</f>
        <v>0</v>
      </c>
      <c r="P16" s="696">
        <f>Performance!P185</f>
        <v>0</v>
      </c>
      <c r="Q16" s="697">
        <f>Performance!Q185</f>
        <v>0</v>
      </c>
      <c r="R16" s="696">
        <f>Performance!R185</f>
        <v>0</v>
      </c>
      <c r="S16" s="696">
        <f>Performance!S185</f>
        <v>0</v>
      </c>
      <c r="T16" s="696">
        <f>Performance!T185</f>
        <v>0.51100000000000001</v>
      </c>
      <c r="U16" s="696">
        <f>Performance!U185</f>
        <v>0</v>
      </c>
      <c r="V16" s="696">
        <f>Performance!V185</f>
        <v>0</v>
      </c>
      <c r="W16" s="696">
        <f>Performance!W185</f>
        <v>0</v>
      </c>
      <c r="X16" s="696">
        <f>Performance!X185</f>
        <v>0</v>
      </c>
      <c r="Y16" s="696">
        <f>Performance!Y185</f>
        <v>0</v>
      </c>
      <c r="Z16" s="696">
        <f>Performance!Z185</f>
        <v>0</v>
      </c>
      <c r="AA16" s="696">
        <f>Performance!AA185</f>
        <v>0</v>
      </c>
      <c r="AB16" s="696">
        <f>Performance!AB185</f>
        <v>0</v>
      </c>
      <c r="AC16" s="696">
        <f>Performance!AC185</f>
        <v>0</v>
      </c>
      <c r="AD16" s="696">
        <f>Performance!AD185</f>
        <v>0</v>
      </c>
      <c r="AE16" s="696">
        <f>Performance!AE185</f>
        <v>0</v>
      </c>
      <c r="AF16" s="696">
        <f>Performance!AF185</f>
        <v>0</v>
      </c>
      <c r="AG16" s="696">
        <f>Performance!AG185</f>
        <v>0</v>
      </c>
      <c r="AH16" s="696">
        <f>Performance!AH185</f>
        <v>0</v>
      </c>
      <c r="AI16" s="696">
        <f>Performance!AI185</f>
        <v>0</v>
      </c>
      <c r="AJ16" s="696">
        <f>Performance!AJ185</f>
        <v>0</v>
      </c>
      <c r="AK16" s="697">
        <f>Performance!AK185</f>
        <v>0</v>
      </c>
      <c r="AL16" s="696">
        <f>Performance!AL185</f>
        <v>0</v>
      </c>
      <c r="AM16" s="696">
        <f>Performance!AM185</f>
        <v>0</v>
      </c>
      <c r="AN16" s="696">
        <f>Performance!AN185</f>
        <v>0</v>
      </c>
      <c r="AO16" s="697">
        <f>Performance!AO185</f>
        <v>0</v>
      </c>
      <c r="AP16" s="696">
        <f>Performance!AP185</f>
        <v>2.5990999999999997E-4</v>
      </c>
      <c r="AQ16" s="696">
        <f>Performance!AQ185</f>
        <v>0</v>
      </c>
      <c r="AR16" s="696">
        <f>Performance!AR185</f>
        <v>0</v>
      </c>
      <c r="AS16" s="696">
        <f>Performance!AS185</f>
        <v>0</v>
      </c>
      <c r="AT16" s="696">
        <f>Performance!AT185</f>
        <v>0</v>
      </c>
      <c r="AU16" s="696">
        <f>Performance!AU185</f>
        <v>0</v>
      </c>
      <c r="AV16" s="696">
        <f>Performance!AV185</f>
        <v>0</v>
      </c>
      <c r="AW16" s="696">
        <f>Performance!AW185</f>
        <v>0</v>
      </c>
      <c r="AX16" s="696">
        <f>Performance!AX185</f>
        <v>1.7027399999999999</v>
      </c>
      <c r="AY16" s="696">
        <f>Performance!AY185</f>
        <v>0</v>
      </c>
      <c r="AZ16" s="696">
        <f>Performance!AZ185</f>
        <v>0</v>
      </c>
      <c r="BA16" s="696">
        <f>Performance!BA185</f>
        <v>0</v>
      </c>
      <c r="BB16" s="696">
        <f>Performance!BB185</f>
        <v>0</v>
      </c>
      <c r="BC16" s="697">
        <f>Performance!BC185</f>
        <v>0</v>
      </c>
      <c r="BD16" s="696">
        <f>Performance!BD185</f>
        <v>0</v>
      </c>
      <c r="BE16" s="696">
        <f>Performance!BE185</f>
        <v>0</v>
      </c>
      <c r="BF16" s="696">
        <f>Performance!BF185</f>
        <v>0</v>
      </c>
      <c r="BG16" s="696">
        <f>Performance!BG185</f>
        <v>0</v>
      </c>
      <c r="BH16" s="696">
        <f>Performance!BH185</f>
        <v>0</v>
      </c>
      <c r="BI16" s="696">
        <f>Performance!BI185</f>
        <v>0</v>
      </c>
      <c r="BJ16" s="696">
        <f>Performance!BJ185</f>
        <v>0</v>
      </c>
      <c r="BK16" s="696">
        <f>Performance!BK185</f>
        <v>0</v>
      </c>
      <c r="BL16" s="696">
        <f>Performance!BL185</f>
        <v>0</v>
      </c>
      <c r="BM16" s="696">
        <f>Performance!BM185</f>
        <v>0</v>
      </c>
      <c r="BN16" s="696">
        <f>Performance!BN185</f>
        <v>0</v>
      </c>
      <c r="BO16" s="696">
        <f>Performance!BO185</f>
        <v>0</v>
      </c>
      <c r="BP16" s="696">
        <f>Performance!BP185</f>
        <v>0</v>
      </c>
      <c r="BQ16" s="696">
        <f>Performance!BQ185</f>
        <v>0</v>
      </c>
      <c r="BR16" s="696">
        <f>Performance!BR185</f>
        <v>0</v>
      </c>
      <c r="BS16" s="696">
        <f>Performance!BS185</f>
        <v>0</v>
      </c>
    </row>
    <row r="17" spans="1:71" customFormat="1" ht="14.25">
      <c r="A17" s="1378"/>
      <c r="B17" s="1378"/>
      <c r="C17" s="1378"/>
      <c r="D17" s="1378"/>
      <c r="E17" s="587" t="str">
        <f>Performance!E186</f>
        <v>Total underperformance payments to be applied in-period</v>
      </c>
      <c r="F17" s="1378"/>
      <c r="G17" s="587" t="str">
        <f>Performance!G186</f>
        <v>£m (2017-18 prices)</v>
      </c>
      <c r="H17" s="1378"/>
      <c r="I17" s="1378"/>
      <c r="J17" s="696">
        <f>Performance!J186</f>
        <v>-0.67195999999999989</v>
      </c>
      <c r="K17" s="696">
        <f>Performance!K186</f>
        <v>-4.2374666666666672</v>
      </c>
      <c r="L17" s="696">
        <f>Performance!L186</f>
        <v>-4.3460000000000001</v>
      </c>
      <c r="M17" s="696">
        <f>Performance!M186</f>
        <v>0</v>
      </c>
      <c r="N17" s="696">
        <f>Performance!N186</f>
        <v>0</v>
      </c>
      <c r="O17" s="696">
        <f>Performance!O186</f>
        <v>0</v>
      </c>
      <c r="P17" s="696">
        <f>Performance!P186</f>
        <v>-1.9907999999999992</v>
      </c>
      <c r="Q17" s="697">
        <f>Performance!Q186</f>
        <v>0</v>
      </c>
      <c r="R17" s="696">
        <f>Performance!R186</f>
        <v>-2.0789999999999997</v>
      </c>
      <c r="S17" s="696">
        <f>Performance!S186</f>
        <v>-9.2399999999999954E-2</v>
      </c>
      <c r="T17" s="696">
        <f>Performance!T186</f>
        <v>0</v>
      </c>
      <c r="U17" s="696">
        <f>Performance!U186</f>
        <v>0</v>
      </c>
      <c r="V17" s="696">
        <f>Performance!V186</f>
        <v>-0.6</v>
      </c>
      <c r="W17" s="696">
        <f>Performance!W186</f>
        <v>0</v>
      </c>
      <c r="X17" s="696">
        <f>Performance!X186</f>
        <v>0</v>
      </c>
      <c r="Y17" s="696">
        <f>Performance!Y186</f>
        <v>0</v>
      </c>
      <c r="Z17" s="696">
        <f>Performance!Z186</f>
        <v>-0.32354399999999994</v>
      </c>
      <c r="AA17" s="696">
        <f>Performance!AA186</f>
        <v>0</v>
      </c>
      <c r="AB17" s="696">
        <f>Performance!AB186</f>
        <v>0</v>
      </c>
      <c r="AC17" s="696">
        <f>Performance!AC186</f>
        <v>0</v>
      </c>
      <c r="AD17" s="696">
        <f>Performance!AD186</f>
        <v>0</v>
      </c>
      <c r="AE17" s="696">
        <f>Performance!AE186</f>
        <v>0</v>
      </c>
      <c r="AF17" s="696">
        <f>Performance!AF186</f>
        <v>0</v>
      </c>
      <c r="AG17" s="696">
        <f>Performance!AG186</f>
        <v>0</v>
      </c>
      <c r="AH17" s="696">
        <f>Performance!AH186</f>
        <v>0</v>
      </c>
      <c r="AI17" s="696">
        <f>Performance!AI186</f>
        <v>0</v>
      </c>
      <c r="AJ17" s="696">
        <f>Performance!AJ186</f>
        <v>0</v>
      </c>
      <c r="AK17" s="697">
        <f>Performance!AK186</f>
        <v>0</v>
      </c>
      <c r="AL17" s="696">
        <f>Performance!AL186</f>
        <v>-6.2794099999999995</v>
      </c>
      <c r="AM17" s="696">
        <f>Performance!AM186</f>
        <v>-8.3821499999999993</v>
      </c>
      <c r="AN17" s="696">
        <f>Performance!AN186</f>
        <v>-0.58975999999999884</v>
      </c>
      <c r="AO17" s="697">
        <f>Performance!AO186</f>
        <v>0</v>
      </c>
      <c r="AP17" s="696">
        <f>Performance!AP186</f>
        <v>0</v>
      </c>
      <c r="AQ17" s="696">
        <f>Performance!AQ186</f>
        <v>-1.3260000000000001</v>
      </c>
      <c r="AR17" s="696">
        <f>Performance!AR186</f>
        <v>0</v>
      </c>
      <c r="AS17" s="696">
        <f>Performance!AS186</f>
        <v>0</v>
      </c>
      <c r="AT17" s="696">
        <f>Performance!AT186</f>
        <v>-4.05</v>
      </c>
      <c r="AU17" s="696">
        <f>Performance!AU186</f>
        <v>0</v>
      </c>
      <c r="AV17" s="696">
        <f>Performance!AV186</f>
        <v>0</v>
      </c>
      <c r="AW17" s="696">
        <f>Performance!AW186</f>
        <v>-5.2218399999999998E-2</v>
      </c>
      <c r="AX17" s="696">
        <f>Performance!AX186</f>
        <v>0</v>
      </c>
      <c r="AY17" s="696">
        <f>Performance!AY186</f>
        <v>0</v>
      </c>
      <c r="AZ17" s="696">
        <f>Performance!AZ186</f>
        <v>0</v>
      </c>
      <c r="BA17" s="696">
        <f>Performance!BA186</f>
        <v>0</v>
      </c>
      <c r="BB17" s="696">
        <f>Performance!BB186</f>
        <v>0</v>
      </c>
      <c r="BC17" s="697">
        <f>Performance!BC186</f>
        <v>0</v>
      </c>
      <c r="BD17" s="696">
        <f>Performance!BD186</f>
        <v>0</v>
      </c>
      <c r="BE17" s="696">
        <f>Performance!BE186</f>
        <v>0</v>
      </c>
      <c r="BF17" s="696">
        <f>Performance!BF186</f>
        <v>0</v>
      </c>
      <c r="BG17" s="696">
        <f>Performance!BG186</f>
        <v>0</v>
      </c>
      <c r="BH17" s="696">
        <f>Performance!BH186</f>
        <v>0</v>
      </c>
      <c r="BI17" s="696">
        <f>Performance!BI186</f>
        <v>0</v>
      </c>
      <c r="BJ17" s="696">
        <f>Performance!BJ186</f>
        <v>0</v>
      </c>
      <c r="BK17" s="696">
        <f>Performance!BK186</f>
        <v>0</v>
      </c>
      <c r="BL17" s="696">
        <f>Performance!BL186</f>
        <v>0</v>
      </c>
      <c r="BM17" s="696">
        <f>Performance!BM186</f>
        <v>0</v>
      </c>
      <c r="BN17" s="696">
        <f>Performance!BN186</f>
        <v>0</v>
      </c>
      <c r="BO17" s="696">
        <f>Performance!BO186</f>
        <v>0</v>
      </c>
      <c r="BP17" s="696">
        <f>Performance!BP186</f>
        <v>0</v>
      </c>
      <c r="BQ17" s="696">
        <f>Performance!BQ186</f>
        <v>0</v>
      </c>
      <c r="BR17" s="696">
        <f>Performance!BR186</f>
        <v>0</v>
      </c>
      <c r="BS17" s="696">
        <f>Performance!BS186</f>
        <v>0</v>
      </c>
    </row>
    <row r="18" spans="1:71" customFormat="1" ht="14.25">
      <c r="A18" s="1378"/>
      <c r="B18" s="1378"/>
      <c r="C18" s="1378"/>
      <c r="D18" s="1378"/>
      <c r="E18" s="587"/>
      <c r="F18" s="1378"/>
      <c r="G18" s="587"/>
      <c r="H18" s="1378"/>
      <c r="I18" s="1378"/>
      <c r="J18" s="693"/>
      <c r="K18" s="693"/>
      <c r="L18" s="693"/>
      <c r="M18" s="693"/>
      <c r="N18" s="693"/>
      <c r="O18" s="693"/>
      <c r="P18" s="693"/>
      <c r="Q18" s="694"/>
      <c r="R18" s="693"/>
      <c r="S18" s="693"/>
      <c r="T18" s="693"/>
      <c r="U18" s="693"/>
      <c r="V18" s="693"/>
      <c r="W18" s="693"/>
      <c r="X18" s="693"/>
      <c r="Y18" s="693"/>
      <c r="Z18" s="693"/>
      <c r="AA18" s="693"/>
      <c r="AB18" s="693"/>
      <c r="AC18" s="693"/>
      <c r="AD18" s="693"/>
      <c r="AE18" s="693"/>
      <c r="AF18" s="693"/>
      <c r="AG18" s="693"/>
      <c r="AH18" s="693"/>
      <c r="AI18" s="693"/>
      <c r="AJ18" s="693"/>
      <c r="AK18" s="694"/>
      <c r="AL18" s="693"/>
      <c r="AM18" s="693"/>
      <c r="AN18" s="693"/>
      <c r="AO18" s="694"/>
      <c r="AP18" s="693"/>
      <c r="AQ18" s="693"/>
      <c r="AR18" s="693"/>
      <c r="AS18" s="693"/>
      <c r="AT18" s="693"/>
      <c r="AU18" s="693"/>
      <c r="AV18" s="693"/>
      <c r="AW18" s="693"/>
      <c r="AX18" s="693"/>
      <c r="AY18" s="693"/>
      <c r="AZ18" s="693"/>
      <c r="BA18" s="693"/>
      <c r="BB18" s="693"/>
      <c r="BC18" s="694"/>
      <c r="BD18" s="693"/>
      <c r="BE18" s="693"/>
      <c r="BF18" s="693"/>
      <c r="BG18" s="693"/>
      <c r="BH18" s="693"/>
      <c r="BI18" s="693"/>
      <c r="BJ18" s="693"/>
      <c r="BK18" s="693"/>
      <c r="BL18" s="693"/>
      <c r="BM18" s="693"/>
      <c r="BN18" s="693"/>
      <c r="BO18" s="693"/>
      <c r="BP18" s="693"/>
      <c r="BQ18" s="693"/>
      <c r="BR18" s="693"/>
      <c r="BS18" s="693"/>
    </row>
    <row r="19" spans="1:71" customFormat="1" ht="14.25">
      <c r="A19" s="1378"/>
      <c r="B19" s="1378"/>
      <c r="C19" s="1378"/>
      <c r="D19" s="1378"/>
      <c r="E19" s="587" t="str">
        <f>Performance!E190</f>
        <v>ODI form</v>
      </c>
      <c r="F19" s="1378"/>
      <c r="G19" s="587" t="str">
        <f>Performance!G190</f>
        <v>Text</v>
      </c>
      <c r="H19" s="1378"/>
      <c r="I19" s="1378"/>
      <c r="J19" s="698" t="str">
        <f>Performance!J190</f>
        <v>Revenue</v>
      </c>
      <c r="K19" s="698" t="str">
        <f>Performance!K190</f>
        <v>Revenue</v>
      </c>
      <c r="L19" s="698" t="str">
        <f>Performance!L190</f>
        <v>Revenue</v>
      </c>
      <c r="M19" s="698" t="str">
        <f>Performance!M190</f>
        <v/>
      </c>
      <c r="N19" s="698" t="str">
        <f>Performance!N190</f>
        <v>Revenue</v>
      </c>
      <c r="O19" s="698" t="str">
        <f>Performance!O190</f>
        <v/>
      </c>
      <c r="P19" s="698" t="str">
        <f>Performance!P190</f>
        <v>Revenue</v>
      </c>
      <c r="Q19" s="699" t="str">
        <f>Performance!Q190</f>
        <v>Revenue</v>
      </c>
      <c r="R19" s="698" t="str">
        <f>Performance!R190</f>
        <v>Revenue</v>
      </c>
      <c r="S19" s="698" t="str">
        <f>Performance!S190</f>
        <v>Revenue</v>
      </c>
      <c r="T19" s="698" t="str">
        <f>Performance!T190</f>
        <v>Revenue</v>
      </c>
      <c r="U19" s="698" t="str">
        <f>Performance!U190</f>
        <v>Revenue</v>
      </c>
      <c r="V19" s="698" t="str">
        <f>Performance!V190</f>
        <v>Revenue</v>
      </c>
      <c r="W19" s="698" t="str">
        <f>Performance!W190</f>
        <v>Revenue</v>
      </c>
      <c r="X19" s="698" t="str">
        <f>Performance!X190</f>
        <v>Revenue</v>
      </c>
      <c r="Y19" s="698" t="str">
        <f>Performance!Y190</f>
        <v>Revenue</v>
      </c>
      <c r="Z19" s="698" t="str">
        <f>Performance!Z190</f>
        <v>Revenue</v>
      </c>
      <c r="AA19" s="698" t="str">
        <f>Performance!AA190</f>
        <v/>
      </c>
      <c r="AB19" s="698" t="str">
        <f>Performance!AB190</f>
        <v/>
      </c>
      <c r="AC19" s="698" t="str">
        <f>Performance!AC190</f>
        <v/>
      </c>
      <c r="AD19" s="698" t="str">
        <f>Performance!AD190</f>
        <v/>
      </c>
      <c r="AE19" s="698" t="str">
        <f>Performance!AE190</f>
        <v/>
      </c>
      <c r="AF19" s="698" t="str">
        <f>Performance!AF190</f>
        <v/>
      </c>
      <c r="AG19" s="698" t="str">
        <f>Performance!AG190</f>
        <v/>
      </c>
      <c r="AH19" s="698" t="str">
        <f>Performance!AH190</f>
        <v/>
      </c>
      <c r="AI19" s="698" t="str">
        <f>Performance!AI190</f>
        <v/>
      </c>
      <c r="AJ19" s="698" t="str">
        <f>Performance!AJ190</f>
        <v/>
      </c>
      <c r="AK19" s="699" t="str">
        <f>Performance!AK190</f>
        <v/>
      </c>
      <c r="AL19" s="698" t="str">
        <f>Performance!AL190</f>
        <v>Revenue</v>
      </c>
      <c r="AM19" s="698" t="str">
        <f>Performance!AM190</f>
        <v>Revenue</v>
      </c>
      <c r="AN19" s="698" t="str">
        <f>Performance!AN190</f>
        <v>Revenue</v>
      </c>
      <c r="AO19" s="699" t="str">
        <f>Performance!AO190</f>
        <v>Revenue</v>
      </c>
      <c r="AP19" s="698" t="str">
        <f>Performance!AP190</f>
        <v>Revenue</v>
      </c>
      <c r="AQ19" s="698" t="str">
        <f>Performance!AQ190</f>
        <v>Revenue</v>
      </c>
      <c r="AR19" s="698" t="str">
        <f>Performance!AR190</f>
        <v>Revenue</v>
      </c>
      <c r="AS19" s="698" t="str">
        <f>Performance!AS190</f>
        <v>Revenue</v>
      </c>
      <c r="AT19" s="698" t="str">
        <f>Performance!AT190</f>
        <v>Revenue</v>
      </c>
      <c r="AU19" s="698" t="str">
        <f>Performance!AU190</f>
        <v>Revenue</v>
      </c>
      <c r="AV19" s="698" t="str">
        <f>Performance!AV190</f>
        <v>Revenue</v>
      </c>
      <c r="AW19" s="698" t="str">
        <f>Performance!AW190</f>
        <v>Revenue</v>
      </c>
      <c r="AX19" s="698" t="str">
        <f>Performance!AX190</f>
        <v>Revenue</v>
      </c>
      <c r="AY19" s="698" t="str">
        <f>Performance!AY190</f>
        <v>Revenue</v>
      </c>
      <c r="AZ19" s="698" t="str">
        <f>Performance!AZ190</f>
        <v/>
      </c>
      <c r="BA19" s="698" t="str">
        <f>Performance!BA190</f>
        <v/>
      </c>
      <c r="BB19" s="698" t="str">
        <f>Performance!BB190</f>
        <v/>
      </c>
      <c r="BC19" s="699" t="str">
        <f>Performance!BC190</f>
        <v/>
      </c>
      <c r="BD19" s="698" t="str">
        <f>Performance!BD190</f>
        <v/>
      </c>
      <c r="BE19" s="698" t="str">
        <f>Performance!BE190</f>
        <v/>
      </c>
      <c r="BF19" s="698" t="str">
        <f>Performance!BF190</f>
        <v/>
      </c>
      <c r="BG19" s="698" t="str">
        <f>Performance!BG190</f>
        <v/>
      </c>
      <c r="BH19" s="698" t="str">
        <f>Performance!BH190</f>
        <v/>
      </c>
      <c r="BI19" s="698" t="str">
        <f>Performance!BI190</f>
        <v/>
      </c>
      <c r="BJ19" s="698" t="str">
        <f>Performance!BJ190</f>
        <v/>
      </c>
      <c r="BK19" s="698" t="str">
        <f>Performance!BK190</f>
        <v/>
      </c>
      <c r="BL19" s="698" t="str">
        <f>Performance!BL190</f>
        <v/>
      </c>
      <c r="BM19" s="698" t="str">
        <f>Performance!BM190</f>
        <v/>
      </c>
      <c r="BN19" s="698" t="str">
        <f>Performance!BN190</f>
        <v/>
      </c>
      <c r="BO19" s="698" t="str">
        <f>Performance!BO190</f>
        <v/>
      </c>
      <c r="BP19" s="698" t="str">
        <f>Performance!BP190</f>
        <v/>
      </c>
      <c r="BQ19" s="698" t="str">
        <f>Performance!BQ190</f>
        <v/>
      </c>
      <c r="BR19" s="698" t="str">
        <f>Performance!BR190</f>
        <v/>
      </c>
      <c r="BS19" s="698" t="str">
        <f>Performance!BS190</f>
        <v/>
      </c>
    </row>
    <row r="20" spans="1:71" customFormat="1" ht="14.25">
      <c r="A20" s="1378"/>
      <c r="B20" s="1378"/>
      <c r="C20" s="1378"/>
      <c r="D20" s="1378"/>
      <c r="E20" s="1378"/>
      <c r="F20" s="1378"/>
      <c r="G20" s="1378"/>
      <c r="H20" s="1378"/>
      <c r="I20" s="1378"/>
      <c r="J20" s="1395"/>
      <c r="K20" s="1378"/>
      <c r="L20" s="1378"/>
      <c r="M20" s="1378"/>
      <c r="N20" s="1378"/>
      <c r="O20" s="1378"/>
      <c r="P20" s="1378"/>
      <c r="Q20" s="1378"/>
      <c r="R20" s="1378"/>
      <c r="S20" s="1378"/>
      <c r="T20" s="1378"/>
      <c r="U20" s="1378"/>
      <c r="V20" s="1378"/>
      <c r="W20" s="1378"/>
      <c r="X20" s="1378"/>
      <c r="Y20" s="1378"/>
      <c r="Z20" s="1378"/>
      <c r="AA20" s="1378"/>
      <c r="AB20" s="1378"/>
      <c r="AC20" s="1378"/>
      <c r="AD20" s="1378"/>
      <c r="AE20" s="1378"/>
      <c r="AF20" s="1378"/>
      <c r="AG20" s="1378"/>
      <c r="AH20" s="1378"/>
      <c r="AI20" s="1378"/>
      <c r="AJ20" s="1378"/>
      <c r="AK20" s="1378"/>
      <c r="AL20" s="1378"/>
      <c r="AM20" s="1378"/>
      <c r="AN20" s="1378"/>
      <c r="AO20" s="1378"/>
      <c r="AP20" s="1378"/>
      <c r="AQ20" s="1378"/>
      <c r="AR20" s="1378"/>
      <c r="AS20" s="1378"/>
      <c r="AT20" s="1378"/>
      <c r="AU20" s="1378"/>
      <c r="AV20" s="1378"/>
      <c r="AW20" s="1378"/>
      <c r="AX20" s="1378"/>
      <c r="AY20" s="1378"/>
      <c r="AZ20" s="1378"/>
      <c r="BA20" s="1378"/>
      <c r="BB20" s="1378"/>
      <c r="BC20" s="1378"/>
      <c r="BD20" s="1378"/>
      <c r="BE20" s="1378"/>
      <c r="BF20" s="1378"/>
      <c r="BG20" s="1378"/>
      <c r="BH20" s="1378"/>
      <c r="BI20" s="1378"/>
      <c r="BJ20" s="1378"/>
      <c r="BK20" s="1378"/>
      <c r="BL20" s="1378"/>
      <c r="BM20" s="1378"/>
      <c r="BN20" s="1378"/>
      <c r="BO20" s="1378"/>
      <c r="BP20" s="1378"/>
      <c r="BQ20" s="1378"/>
      <c r="BR20" s="1378"/>
      <c r="BS20" s="1378"/>
    </row>
    <row r="21" spans="1:71" ht="20.25">
      <c r="A21" s="439" t="s">
        <v>980</v>
      </c>
      <c r="B21" s="185"/>
      <c r="C21" s="186"/>
      <c r="D21" s="187"/>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row>
  </sheetData>
  <conditionalFormatting sqref="H4">
    <cfRule type="cellIs" dxfId="114" priority="9" operator="equal">
      <formula>0</formula>
    </cfRule>
  </conditionalFormatting>
  <conditionalFormatting sqref="H21">
    <cfRule type="cellIs" dxfId="113" priority="8" operator="equal">
      <formula>0</formula>
    </cfRule>
  </conditionalFormatting>
  <conditionalFormatting sqref="J16:BS17">
    <cfRule type="cellIs" dxfId="112"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257D-F55F-4138-8037-BF1BBB09A418}">
  <sheetPr>
    <pageSetUpPr fitToPage="1"/>
  </sheetPr>
  <dimension ref="A1:AA19"/>
  <sheetViews>
    <sheetView zoomScale="80" zoomScaleNormal="80" zoomScaleSheetLayoutView="100" workbookViewId="0"/>
  </sheetViews>
  <sheetFormatPr defaultColWidth="0" defaultRowHeight="13.5" zeroHeight="1"/>
  <cols>
    <col min="1" max="1" width="2.625" customWidth="1"/>
    <col min="2" max="2" width="67.25" customWidth="1"/>
    <col min="3" max="3" width="19.875" customWidth="1"/>
    <col min="4" max="4" width="20.25" customWidth="1"/>
    <col min="5" max="5" width="101.75" bestFit="1" customWidth="1"/>
    <col min="6" max="6" width="9" customWidth="1"/>
    <col min="7" max="27" width="0" hidden="1" customWidth="1"/>
    <col min="28" max="16384" width="9" hidden="1"/>
  </cols>
  <sheetData>
    <row r="1" spans="2:6" ht="30" thickBot="1">
      <c r="B1" s="402" t="s">
        <v>87</v>
      </c>
      <c r="C1" s="247"/>
      <c r="D1" s="247"/>
      <c r="E1" s="277"/>
    </row>
    <row r="2" spans="2:6" ht="22.5" thickBot="1">
      <c r="B2" s="1925" t="s">
        <v>88</v>
      </c>
      <c r="C2" s="405" t="s">
        <v>89</v>
      </c>
    </row>
    <row r="3" spans="2:6" ht="22.5" thickBot="1">
      <c r="B3" s="1925" t="s">
        <v>90</v>
      </c>
      <c r="C3" s="405" t="s">
        <v>91</v>
      </c>
      <c r="D3" s="8"/>
      <c r="E3" s="8"/>
      <c r="F3" s="1378" t="str">
        <f>VLOOKUP($B$3,Validation!$B$5:$D$22,3,0)</f>
        <v>WaSC</v>
      </c>
    </row>
    <row r="4" spans="2:6"/>
    <row r="5" spans="2:6" ht="14.25">
      <c r="B5" s="1378" t="s">
        <v>92</v>
      </c>
    </row>
    <row r="6" spans="2:6"/>
    <row r="7" spans="2:6" ht="26.25">
      <c r="B7" s="1562" t="s">
        <v>93</v>
      </c>
      <c r="C7" s="1563" t="s">
        <v>94</v>
      </c>
      <c r="D7" s="1564" t="s">
        <v>95</v>
      </c>
      <c r="E7" s="1564" t="s">
        <v>96</v>
      </c>
    </row>
    <row r="8" spans="2:6" ht="25.15" customHeight="1">
      <c r="B8" s="335" t="s">
        <v>97</v>
      </c>
      <c r="C8" s="338" t="str">
        <f>IF($B$3="Select company","",IF(SUM('3A'!$V$9:$Z$16,'3A'!$V$19:$Z$38)&gt;0,"Review validation checks","No issues identified"))</f>
        <v>No issues identified</v>
      </c>
      <c r="D8" s="338" t="str">
        <f>IF($B$3="Select company","",IF(SUM('3A'!$AB$9:$AE$16,'3A'!$AB$19:$AE$38)&gt;0,"Review validation checks","No issues identified"))</f>
        <v>No issues identified</v>
      </c>
      <c r="E8" s="1379" t="str">
        <f>'3A'!$B$53</f>
        <v>Please refer to RAG 4.12 - Guideline for the table definitions in the annual performance report for the reporting year 2023-24</v>
      </c>
    </row>
    <row r="9" spans="2:6" ht="25.15" customHeight="1">
      <c r="B9" s="335" t="s">
        <v>98</v>
      </c>
      <c r="C9" s="338" t="str">
        <f>IF($B$3="Select company","",(IF($F$3="WoC","",IF(SUM('3B'!$V$9:$Z$12,'3B'!$V$15:$Z$28)&gt;0,"Review validation checks","No issues identified"))))</f>
        <v>No issues identified</v>
      </c>
      <c r="D9" s="338" t="str">
        <f>IF($B$3="Select company","",(IF($F$3="WoC","",IF(OR(SUM('3B'!$AB$9:$AE$12,'3B'!$AB$15:$AE$28)&gt;0,ISERROR(SUM('3B'!$AB$9:$AE$12))=TRUE),"Review validation checks","No issues identified"))))</f>
        <v>No issues identified</v>
      </c>
      <c r="E9" s="1379" t="str">
        <f>'3B'!B$42</f>
        <v>Please refer to RAG 4.12 - Guideline for the table definitions in the annual performance report for the reporting year 2023-24</v>
      </c>
    </row>
    <row r="10" spans="2:6" ht="25.15" customHeight="1">
      <c r="B10" s="335" t="s">
        <v>99</v>
      </c>
      <c r="C10" s="338" t="str">
        <f>IF($B$3="Select company","",IF(SUM('3C'!$P$6:$P$13)&gt;0,"Review validation checks","No issues identified"))</f>
        <v>No issues identified</v>
      </c>
      <c r="D10" s="338" t="str">
        <f>IF($B$3="Select company","",IF(SUM('3C'!$V$6:$V$13)&gt;0,"Review validation checks","No issues identified"))</f>
        <v>No issues identified</v>
      </c>
      <c r="E10" s="1379" t="str">
        <f>'3C'!$B$25</f>
        <v>Please refer to RAG 4.12 - Guideline for the table definitions in the annual performance report for the reporting year 2023-24</v>
      </c>
    </row>
    <row r="11" spans="2:6" ht="25.15" customHeight="1">
      <c r="B11" s="335" t="s">
        <v>100</v>
      </c>
      <c r="C11" s="338" t="str">
        <f>IF($B$3="Select company","",IF(SUM('3D'!$Q$6:$Q$10,'3D'!$O$14:$O$63)&gt;0,"Review validation checks","No issues identified"))</f>
        <v>No issues identified</v>
      </c>
      <c r="D11" s="338" t="str">
        <f>IF($B$3="Select company","",IF(SUM('3D'!$W$6:$W$10,'3D'!$X$14:$X$63)&gt;0,"Review validation checks","No issues identified"))</f>
        <v>No issues identified</v>
      </c>
      <c r="E11" s="1379" t="str">
        <f>'3D'!$B$78</f>
        <v>Please refer to RAG 4.12 - Guideline for the table definitions in the annual performance report for the reporting year 2023-24</v>
      </c>
    </row>
    <row r="12" spans="2:6" ht="25.15" customHeight="1">
      <c r="B12" s="335" t="s">
        <v>101</v>
      </c>
      <c r="C12" s="338" t="str">
        <f>IF($B$3="Select company","",IF(SUM('3E'!$V$9:$X$13,'3E'!$V$16:$X$38)&gt;0,"Review validation checks","No issues identified"))</f>
        <v>No issues identified</v>
      </c>
      <c r="D12" s="338" t="str">
        <f>IF($B$3="Select company","",IF(SUM('3E'!$AB$9:$AB$13)&gt;0,"Review validation checks","No issues identified"))</f>
        <v>No issues identified</v>
      </c>
      <c r="E12" s="1380" t="str">
        <f>'3E'!$B$52</f>
        <v>Please refer to RAG 4.12 - Guideline for the table definitions in the annual performance report for the reporting year 2023-24</v>
      </c>
    </row>
    <row r="13" spans="2:6" ht="25.15" customHeight="1">
      <c r="B13" s="335" t="s">
        <v>102</v>
      </c>
      <c r="C13" s="338" t="str">
        <f>IF($B$3="Select company","",IF(SUM('3F'!$V$9:$X$12,'3F'!$V$18:$AD$19,'3F'!$V$25:$Y$25,'3F'!$V$31:$X$31,'3F'!$V$37:$AD$37)&gt;0,"Review validation checks","No issues identified"))</f>
        <v>No issues identified</v>
      </c>
      <c r="D13" s="338" t="str">
        <f>IF($B$3="Select company","",IF(SUM('3F'!$AF$9:$AH$12,'3F'!$AF$18:$AN$19,'3F'!$AF$25:$AI$25,'3F'!$AF$31:$AH$31,'3F'!$AF$37:$AN$37)&gt;0,"Review validation checks","No issues identified"))</f>
        <v>No issues identified</v>
      </c>
      <c r="E13" s="1380" t="str">
        <f>'3F'!$B$49</f>
        <v>Please refer to RAG 4.12 - Guideline for the table definitions in the annual performance report for the reporting year 2023-24</v>
      </c>
    </row>
    <row r="14" spans="2:6" ht="25.15" customHeight="1">
      <c r="B14" s="335" t="s">
        <v>103</v>
      </c>
      <c r="C14" s="338" t="str">
        <f>IF(OR($B$3="Northumbrian Water",$B$3="South Staffs Water"),IF(SUM('3F.1'!$V$9:$X$12,'3F.1'!$V$18:$AD$19)&gt;0,"Review validation checks","No issues identified"),"[For use by NES and SSC only]")</f>
        <v>[For use by NES and SSC only]</v>
      </c>
      <c r="D14" s="338" t="str">
        <f>IF(OR($B$3="Northumbrian Water",$B$3="South Staffs Water"),IF(SUM('3F.1'!$AF$12:$AH$12,'3F.1'!$AF$18:$AN$19)&gt;0,"Review validation checks","No issues identified"),"[For use by NES and SSC only]")</f>
        <v>[For use by NES and SSC only]</v>
      </c>
      <c r="E14" s="1380" t="str">
        <f>'3F.1'!$B$49</f>
        <v>Please refer to RAG 4.12 - Guideline for the table definitions in the annual performance report for the reporting year 2023-24</v>
      </c>
    </row>
    <row r="15" spans="2:6" ht="25.15" customHeight="1">
      <c r="B15" s="335" t="s">
        <v>104</v>
      </c>
      <c r="C15" s="338" t="str">
        <f>IF(OR($B$3="Northumbrian Water",$B$3="South Staffs Water"),IF(SUM('3F.2'!$V$9:$X$12,'3F.2'!$V$18:$AD$19)&gt;0,"Review validation checks","No issues identified"),"[For use by NES and SSC only]")</f>
        <v>[For use by NES and SSC only]</v>
      </c>
      <c r="D15" s="338" t="str">
        <f>IF(OR($B$3="Northumbrian Water",$B$3="South Staffs Water"),IF(SUM('3F.2'!$AF$12:$AH$12,'3F.2'!$AF$18:$AN$19)&gt;0,"Review validation checks","No issues identified"),"[For use by NES and SSC only]")</f>
        <v>[For use by NES and SSC only]</v>
      </c>
      <c r="E15" s="1380" t="str">
        <f>'3F.2'!$B$49</f>
        <v>Please refer to RAG 4.12 - Guideline for the table definitions in the annual performance report for the reporting year 2023-24</v>
      </c>
    </row>
    <row r="16" spans="2:6" ht="25.15" customHeight="1">
      <c r="B16" s="335" t="s">
        <v>105</v>
      </c>
      <c r="C16" s="338" t="str">
        <f>IF($B$3="Select company","",(IF($F$3="WoC","",IF(SUM('3G'!$W$9:$Y$13)&gt;0,"Review validation checks","No issues identified"))))</f>
        <v>No issues identified</v>
      </c>
      <c r="D16" s="338" t="str">
        <f>IF($B$3="Select company","",(IF($F$3="WoC","",IF(SUM('3G'!$AC$9:$AE$13)&gt;0,"Review validation checks","No issues identified"))))</f>
        <v>No issues identified</v>
      </c>
      <c r="E16" s="1380" t="str">
        <f>'3G'!$B$25</f>
        <v>Please refer to RAG 4.12 - Guideline for the table definitions in the annual performance report for the reporting year 2023-24</v>
      </c>
    </row>
    <row r="17" spans="2:5" ht="25.15" customHeight="1">
      <c r="B17" s="335" t="s">
        <v>106</v>
      </c>
      <c r="C17" s="338"/>
      <c r="D17" s="338" t="str">
        <f>IF($B$3="Select company","",IF(SUM('3H'!$AC$10:$AC$34)&gt;0,"Review validation checks","No issues identified"))</f>
        <v>No issues identified</v>
      </c>
      <c r="E17" s="1380" t="str">
        <f>'3H'!$B$46</f>
        <v>Please refer to RAG 4.12 - Guideline for the table definitions in the annual performance report for the reporting year 2023-24</v>
      </c>
    </row>
    <row r="18" spans="2:5" ht="25.15" customHeight="1">
      <c r="B18" s="336" t="s">
        <v>107</v>
      </c>
      <c r="C18" s="338" t="str">
        <f>IF($B$3="Select company","",IF(SUM('3I'!$X$9,'3I'!$W$15:$AB$15,'3I'!$W$23:$AF$23,'3I'!$W$29)&gt;0,"Review validation checks","No issues identified"))</f>
        <v>No issues identified</v>
      </c>
      <c r="D18" s="338" t="str">
        <f>IF($B$3="Select company","",IF(SUM('3I'!$AH$9:AJ9,'3I'!$AH$15:$AM$15,'3I'!$AH$23:$AQ$23,'3I'!$AH$29)&gt;0,"Review validation checks","No issues identified"))</f>
        <v>No issues identified</v>
      </c>
      <c r="E18" s="337" t="str">
        <f>'3I'!$B$41</f>
        <v>Please refer to RAG 4.12 - Guideline for the table definitions in the annual performance report for the reporting year 2023-24</v>
      </c>
    </row>
    <row r="19" spans="2:5"/>
  </sheetData>
  <conditionalFormatting sqref="C8:D18">
    <cfRule type="cellIs" dxfId="314" priority="2" operator="equal">
      <formula>"Review validation checks"</formula>
    </cfRule>
    <cfRule type="containsBlanks" dxfId="313" priority="37">
      <formula>LEN(TRIM(C8))=0</formula>
    </cfRule>
  </conditionalFormatting>
  <conditionalFormatting sqref="C14:D15">
    <cfRule type="containsText" dxfId="312" priority="1" operator="containsText" text="[For use by NES and SSC only]">
      <formula>NOT(ISERROR(SEARCH("[For use by NES and SSC only]",C14)))</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Validation!$A$4:$A$5</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DDF63-F7D2-444F-8301-2227617FAD5B}">
  <sheetPr>
    <tabColor theme="7"/>
    <pageSetUpPr fitToPage="1"/>
  </sheetPr>
  <dimension ref="A1:P54"/>
  <sheetViews>
    <sheetView zoomScale="80" zoomScaleNormal="80" zoomScaleSheetLayoutView="50" workbookViewId="0"/>
  </sheetViews>
  <sheetFormatPr defaultRowHeight="13.5"/>
  <cols>
    <col min="1" max="3" width="1.625" style="208" customWidth="1"/>
    <col min="4" max="4" width="11" style="208" customWidth="1"/>
    <col min="5" max="5" width="56.875" style="208" bestFit="1" customWidth="1"/>
    <col min="6" max="6" width="20.625" style="208" customWidth="1"/>
    <col min="7" max="7" width="7.5" style="208" bestFit="1" customWidth="1"/>
    <col min="8" max="8" width="15.625" style="208" customWidth="1"/>
    <col min="9" max="9" width="2.625" style="208" customWidth="1"/>
    <col min="10" max="11" width="40.625" style="208" customWidth="1"/>
    <col min="12" max="12" width="15.625" customWidth="1"/>
    <col min="13" max="14" width="20.625" customWidth="1"/>
    <col min="15" max="16" width="50.625" customWidth="1"/>
  </cols>
  <sheetData>
    <row r="1" spans="1:16" ht="44.25">
      <c r="A1" s="685" t="str">
        <f ca="1" xml:space="preserve"> RIGHT(CELL("filename", $A$1), LEN(CELL("filename", $A$1)) - SEARCH("]", CELL("filename", $A$1)))</f>
        <v>Model outputs - interventions</v>
      </c>
      <c r="B1" s="243"/>
      <c r="C1" s="243"/>
      <c r="D1" s="244"/>
      <c r="E1" s="245"/>
      <c r="F1" s="245"/>
      <c r="G1" s="245"/>
      <c r="H1" s="671" t="str">
        <f>InpCompany!F5</f>
        <v>Southern Water</v>
      </c>
      <c r="I1" s="245"/>
      <c r="J1" s="245"/>
      <c r="K1" s="245"/>
      <c r="L1" s="245"/>
      <c r="M1" s="245"/>
      <c r="N1" s="245"/>
      <c r="O1" s="245"/>
      <c r="P1" s="245"/>
    </row>
    <row r="2" spans="1:16">
      <c r="A2" s="453"/>
      <c r="B2" s="453"/>
      <c r="C2" s="453"/>
      <c r="D2" s="453"/>
      <c r="E2" s="453"/>
      <c r="F2" s="462" t="s">
        <v>1566</v>
      </c>
      <c r="G2" s="462" t="s">
        <v>114</v>
      </c>
      <c r="H2" s="462" t="s">
        <v>1131</v>
      </c>
      <c r="I2" s="453"/>
      <c r="J2" s="453"/>
      <c r="K2" s="453"/>
      <c r="L2" s="453"/>
      <c r="M2" s="453"/>
      <c r="N2" s="453"/>
      <c r="O2" s="453"/>
      <c r="P2" s="453"/>
    </row>
    <row r="3" spans="1:16">
      <c r="A3" s="642" t="s">
        <v>1567</v>
      </c>
      <c r="B3" s="643"/>
      <c r="C3" s="643"/>
      <c r="D3" s="644"/>
      <c r="E3" s="645"/>
      <c r="F3" s="645"/>
      <c r="G3" s="645"/>
      <c r="H3" s="646"/>
      <c r="I3" s="645"/>
      <c r="J3" s="645" t="s">
        <v>1568</v>
      </c>
      <c r="K3" s="673" t="s">
        <v>1569</v>
      </c>
      <c r="L3" s="673" t="s">
        <v>1570</v>
      </c>
      <c r="M3" s="673" t="s">
        <v>1571</v>
      </c>
      <c r="N3" s="673" t="s">
        <v>1572</v>
      </c>
      <c r="O3" s="673" t="s">
        <v>1573</v>
      </c>
      <c r="P3" s="673" t="s">
        <v>1574</v>
      </c>
    </row>
    <row r="4" spans="1:16" ht="13.9">
      <c r="A4" s="455"/>
      <c r="B4" s="687"/>
      <c r="C4" s="455"/>
      <c r="D4" s="455"/>
      <c r="E4" s="455"/>
      <c r="F4" s="455"/>
      <c r="G4" s="455"/>
      <c r="H4" s="455"/>
      <c r="I4" s="455"/>
      <c r="J4" s="455"/>
      <c r="K4" s="455"/>
      <c r="L4" s="172"/>
      <c r="M4" s="172"/>
      <c r="N4" s="172"/>
      <c r="O4" s="172"/>
      <c r="P4" s="172"/>
    </row>
    <row r="5" spans="1:16" ht="13.9">
      <c r="A5" s="587"/>
      <c r="B5" s="587"/>
      <c r="C5" s="678" t="s">
        <v>1575</v>
      </c>
      <c r="D5" s="676"/>
      <c r="E5" s="617"/>
      <c r="F5" s="587"/>
      <c r="G5" s="587"/>
      <c r="H5" s="584"/>
      <c r="I5" s="584"/>
      <c r="J5" s="584"/>
      <c r="K5" s="688"/>
      <c r="L5" s="172"/>
      <c r="M5" s="172"/>
      <c r="N5" s="172"/>
      <c r="O5" s="172"/>
      <c r="P5" s="172"/>
    </row>
    <row r="6" spans="1:16">
      <c r="A6" s="453"/>
      <c r="B6" s="453"/>
      <c r="C6" s="675"/>
      <c r="D6" s="676"/>
      <c r="E6" s="617"/>
      <c r="F6" s="453"/>
      <c r="G6" s="453"/>
      <c r="H6" s="690"/>
      <c r="I6" s="690"/>
      <c r="J6" s="690"/>
      <c r="K6" s="691"/>
      <c r="L6" s="172"/>
      <c r="M6" s="172"/>
      <c r="N6" s="172"/>
      <c r="O6" s="172"/>
      <c r="P6" s="172"/>
    </row>
    <row r="7" spans="1:16" ht="13.9">
      <c r="A7" s="678" t="s">
        <v>1011</v>
      </c>
      <c r="B7" s="587"/>
      <c r="C7" s="453"/>
      <c r="D7" s="463"/>
      <c r="E7" s="1461" t="str" cm="1">
        <f t="array" ref="E7:E52">TRANSPOSE(Performance!J6:BC6)</f>
        <v>Water quality compliance (CRI)</v>
      </c>
      <c r="F7" s="1462" t="str" cm="1">
        <f t="array" ref="F7:F52">TRANSPOSE(Performance!J5:BC5)</f>
        <v>PR19SRN_WN02</v>
      </c>
      <c r="G7" s="1462" t="str" cm="1">
        <f t="array" ref="G7:G52">TRANSPOSE(Performance!J9:BC9)</f>
        <v>number</v>
      </c>
      <c r="H7" s="584"/>
      <c r="I7" s="584"/>
      <c r="J7" s="1463" cm="1">
        <f t="array" ref="J7:J52">TRANSPOSE(Company_PC_inputs!J7:BC7)</f>
        <v>3.0649999999999999</v>
      </c>
      <c r="K7" s="1463" cm="1">
        <f t="array" ref="K7:K52">TRANSPOSE(Performance!J7:BC7)</f>
        <v>3.0649999999999999</v>
      </c>
      <c r="L7" s="1463" t="str" cm="1">
        <f t="array" ref="L7:L52">TRANSPOSE('Model outputs - PC level'!J12:BC12)</f>
        <v/>
      </c>
      <c r="M7" s="1463" t="str" cm="1">
        <f t="array" ref="M7:M52">TRANSPOSE('Model outputs - PC level'!J13:BC13)</f>
        <v/>
      </c>
      <c r="N7" s="1463" t="str" cm="1">
        <f t="array" ref="N7:N52">TRANSPOSE('Model outputs - PC level'!J14:BC14)</f>
        <v>No</v>
      </c>
      <c r="O7" s="1534">
        <f>VLOOKUP(F7,'3A'!$C$9:$H$38,6,FALSE)</f>
        <v>-0.67195999999999989</v>
      </c>
      <c r="P7" s="1463" cm="1">
        <f t="array" ref="P7:P52">TRANSPOSE('Model outputs - PC level'!J16:BC16)+TRANSPOSE('Model outputs - PC level'!J17:BC17)</f>
        <v>-0.67195999999999989</v>
      </c>
    </row>
    <row r="8" spans="1:16" ht="13.9">
      <c r="A8" s="587"/>
      <c r="B8" s="587"/>
      <c r="C8" s="453"/>
      <c r="D8" s="463"/>
      <c r="E8" s="1461" t="str">
        <v>Water supply interruptions</v>
      </c>
      <c r="F8" s="1462" t="str">
        <v>PR19SRN_WN03</v>
      </c>
      <c r="G8" s="1462" t="str">
        <v>hh:mm:ss</v>
      </c>
      <c r="H8" s="584"/>
      <c r="I8" s="584"/>
      <c r="J8" s="1464">
        <v>5.6635957305140185E-2</v>
      </c>
      <c r="K8" s="1464">
        <v>5.6635957305140185E-2</v>
      </c>
      <c r="L8" s="1464" t="str">
        <v/>
      </c>
      <c r="M8" s="1464" t="str">
        <v/>
      </c>
      <c r="N8" s="1464" t="str">
        <v>No</v>
      </c>
      <c r="O8" s="1463">
        <f>VLOOKUP(F8,'3A'!$C$9:$H$38,6,FALSE)</f>
        <v>-4.2374666666666672</v>
      </c>
      <c r="P8" s="1463">
        <v>-4.2374666666666672</v>
      </c>
    </row>
    <row r="9" spans="1:16" ht="13.9">
      <c r="A9" s="587"/>
      <c r="B9" s="587"/>
      <c r="C9" s="453"/>
      <c r="D9" s="463"/>
      <c r="E9" s="1461" t="str">
        <v>Leakage</v>
      </c>
      <c r="F9" s="1462" t="str">
        <v>PR19SRN_WN04</v>
      </c>
      <c r="G9" s="1462" t="str">
        <v>%</v>
      </c>
      <c r="H9" s="584"/>
      <c r="I9" s="584"/>
      <c r="J9" s="1463">
        <v>-4.404404404404394</v>
      </c>
      <c r="K9" s="1463">
        <v>-4.404404404404394</v>
      </c>
      <c r="L9" s="1463" t="str">
        <v/>
      </c>
      <c r="M9" s="1463" t="str">
        <v/>
      </c>
      <c r="N9" s="1463" t="str">
        <v>No</v>
      </c>
      <c r="O9" s="1463">
        <f>VLOOKUP(F9,'3A'!$C$9:$H$38,6,FALSE)</f>
        <v>-4.3460000000000001</v>
      </c>
      <c r="P9" s="1463">
        <v>-4.3460000000000001</v>
      </c>
    </row>
    <row r="10" spans="1:16" ht="13.9">
      <c r="A10" s="587"/>
      <c r="B10" s="587"/>
      <c r="C10" s="453"/>
      <c r="D10" s="463"/>
      <c r="E10" s="1461" t="str">
        <v>[For use by NES and SSC only]</v>
      </c>
      <c r="F10" s="1462" t="str">
        <v/>
      </c>
      <c r="G10" s="1462" t="str">
        <v/>
      </c>
      <c r="H10" s="584"/>
      <c r="I10" s="584"/>
      <c r="J10" s="1463" t="str">
        <v/>
      </c>
      <c r="K10" s="1463" t="str">
        <v/>
      </c>
      <c r="L10" s="1463" t="str">
        <v/>
      </c>
      <c r="M10" s="1463" t="str">
        <v/>
      </c>
      <c r="N10" s="1463" t="str">
        <v>No</v>
      </c>
      <c r="O10" s="1463" t="str">
        <f>VLOOKUP(F10,'3A'!$C$9:$H$38,6,FALSE)</f>
        <v/>
      </c>
      <c r="P10" s="1463">
        <v>0</v>
      </c>
    </row>
    <row r="11" spans="1:16" ht="13.9">
      <c r="A11" s="587"/>
      <c r="B11" s="587"/>
      <c r="C11" s="453"/>
      <c r="D11" s="463"/>
      <c r="E11" s="1461" t="str">
        <v>Per capita consumption</v>
      </c>
      <c r="F11" s="1462" t="str">
        <v>PR19SRN_WR01</v>
      </c>
      <c r="G11" s="1462" t="str">
        <v xml:space="preserve">% </v>
      </c>
      <c r="H11" s="584"/>
      <c r="I11" s="584"/>
      <c r="J11" s="1463">
        <v>-1.2499999999999956</v>
      </c>
      <c r="K11" s="1463">
        <v>-1.2499999999999956</v>
      </c>
      <c r="L11" s="1463" t="str">
        <v>YES</v>
      </c>
      <c r="M11" s="1463" t="str">
        <v>YES</v>
      </c>
      <c r="N11" s="1463" t="str">
        <v>YES</v>
      </c>
      <c r="O11" s="1463">
        <f>VLOOKUP(F11,'3A'!$C$9:$H$38,6,FALSE)</f>
        <v>0</v>
      </c>
      <c r="P11" s="1463">
        <v>0</v>
      </c>
    </row>
    <row r="12" spans="1:16" ht="13.9">
      <c r="A12" s="587"/>
      <c r="B12" s="587"/>
      <c r="C12" s="453"/>
      <c r="D12" s="463"/>
      <c r="E12" s="1461" t="str">
        <v>[For use by SSC only]</v>
      </c>
      <c r="F12" s="1462" t="str">
        <v/>
      </c>
      <c r="G12" s="1462" t="str">
        <v/>
      </c>
      <c r="H12" s="584"/>
      <c r="I12" s="584"/>
      <c r="J12" s="1463" t="str">
        <v/>
      </c>
      <c r="K12" s="1463" t="str">
        <v/>
      </c>
      <c r="L12" s="1463" t="str">
        <v/>
      </c>
      <c r="M12" s="1463" t="str">
        <v/>
      </c>
      <c r="N12" s="1463" t="str">
        <v>No</v>
      </c>
      <c r="O12" s="1463" t="str">
        <f>VLOOKUP(F12,'3A'!$C$9:$H$38,6,FALSE)</f>
        <v/>
      </c>
      <c r="P12" s="1463">
        <v>0</v>
      </c>
    </row>
    <row r="13" spans="1:16" ht="13.9">
      <c r="A13" s="587"/>
      <c r="B13" s="587"/>
      <c r="C13" s="453"/>
      <c r="D13" s="463"/>
      <c r="E13" s="1461" t="str">
        <v>Mains repairs</v>
      </c>
      <c r="F13" s="1462" t="str">
        <v>PR19SRN_WN05</v>
      </c>
      <c r="G13" s="1462" t="str">
        <v>number</v>
      </c>
      <c r="H13" s="584"/>
      <c r="I13" s="584"/>
      <c r="J13" s="1463">
        <v>121.09414139100812</v>
      </c>
      <c r="K13" s="1463">
        <v>121.09414139100812</v>
      </c>
      <c r="L13" s="1463" t="str">
        <v/>
      </c>
      <c r="M13" s="1463" t="str">
        <v/>
      </c>
      <c r="N13" s="1463" t="str">
        <v>No</v>
      </c>
      <c r="O13" s="1463">
        <f>VLOOKUP(F13,'3A'!$C$9:$H$38,6,FALSE)</f>
        <v>-1.9907999999999992</v>
      </c>
      <c r="P13" s="1463">
        <v>-1.9907999999999992</v>
      </c>
    </row>
    <row r="14" spans="1:16" ht="13.9">
      <c r="A14" s="587"/>
      <c r="B14" s="587"/>
      <c r="C14" s="453"/>
      <c r="D14" s="463"/>
      <c r="E14" s="1461" t="str">
        <v>Unplanned outage</v>
      </c>
      <c r="F14" s="1462" t="str">
        <v>PR19SRN_WN06</v>
      </c>
      <c r="G14" s="1462" t="str">
        <v>%</v>
      </c>
      <c r="H14" s="584"/>
      <c r="I14" s="584"/>
      <c r="J14" s="1463">
        <v>5.6772736178501049</v>
      </c>
      <c r="K14" s="1463">
        <v>5.6772736178501049</v>
      </c>
      <c r="L14" s="1463" t="str">
        <v/>
      </c>
      <c r="M14" s="1463" t="str">
        <v/>
      </c>
      <c r="N14" s="1463" t="str">
        <v>No</v>
      </c>
      <c r="O14" s="1463">
        <f>VLOOKUP(F14,'3A'!$C$9:$H$38,6,FALSE)</f>
        <v>0</v>
      </c>
      <c r="P14" s="1463">
        <v>0</v>
      </c>
    </row>
    <row r="15" spans="1:16" ht="13.9">
      <c r="A15" s="587"/>
      <c r="B15" s="587"/>
      <c r="C15" s="453"/>
      <c r="D15" s="463"/>
      <c r="E15" s="1461" t="str">
        <v>Drinking water appearance</v>
      </c>
      <c r="F15" s="1462" t="str">
        <v>PR19SRN_WN07</v>
      </c>
      <c r="G15" s="1462" t="str">
        <v>nr</v>
      </c>
      <c r="H15" s="584"/>
      <c r="I15" s="584"/>
      <c r="J15" s="1465">
        <v>1</v>
      </c>
      <c r="K15" s="1533">
        <v>1</v>
      </c>
      <c r="L15" s="1465" t="str">
        <v/>
      </c>
      <c r="M15" s="1465" t="str">
        <v/>
      </c>
      <c r="N15" s="1465" t="str">
        <v>No</v>
      </c>
      <c r="O15" s="1463">
        <f>VLOOKUP(F15,'3A'!$C$9:$H$38,6,FALSE)</f>
        <v>-2.0789999999999997</v>
      </c>
      <c r="P15" s="1468">
        <v>-2.0789999999999997</v>
      </c>
    </row>
    <row r="16" spans="1:16" ht="13.9">
      <c r="A16" s="587"/>
      <c r="B16" s="587"/>
      <c r="C16" s="453"/>
      <c r="D16" s="463"/>
      <c r="E16" s="1461" t="str">
        <v>Drinking water taste and Odour</v>
      </c>
      <c r="F16" s="1462" t="str">
        <v>PR19SRN_WN08</v>
      </c>
      <c r="G16" s="1462" t="str">
        <v>nr</v>
      </c>
      <c r="H16" s="584"/>
      <c r="I16" s="584"/>
      <c r="J16" s="1465">
        <v>0.24</v>
      </c>
      <c r="K16" s="1465">
        <v>0.24</v>
      </c>
      <c r="L16" s="1465" t="str">
        <v/>
      </c>
      <c r="M16" s="1465" t="str">
        <v/>
      </c>
      <c r="N16" s="1465" t="str">
        <v>No</v>
      </c>
      <c r="O16" s="1463">
        <f>VLOOKUP(F16,'3A'!$C$9:$H$38,6,FALSE)</f>
        <v>-9.2399999999999954E-2</v>
      </c>
      <c r="P16" s="1468">
        <v>-9.2399999999999954E-2</v>
      </c>
    </row>
    <row r="17" spans="1:16" ht="13.9">
      <c r="A17" s="587"/>
      <c r="B17" s="587"/>
      <c r="C17" s="453"/>
      <c r="D17" s="463"/>
      <c r="E17" s="1461" t="str">
        <v>Abstraction Incentive Mechanism</v>
      </c>
      <c r="F17" s="1462" t="str">
        <v>PR19SRN_WR05</v>
      </c>
      <c r="G17" s="1462" t="str">
        <v>nr</v>
      </c>
      <c r="H17" s="584"/>
      <c r="I17" s="584"/>
      <c r="J17" s="1465">
        <v>-19</v>
      </c>
      <c r="K17" s="1465">
        <v>-19</v>
      </c>
      <c r="L17" s="1465" t="str">
        <v/>
      </c>
      <c r="M17" s="1465" t="str">
        <v/>
      </c>
      <c r="N17" s="1465" t="str">
        <v>No</v>
      </c>
      <c r="O17" s="1463">
        <f>VLOOKUP(F17,'3A'!$C$9:$H$38,6,FALSE)</f>
        <v>0.51100000000000001</v>
      </c>
      <c r="P17" s="1468">
        <v>0.51100000000000001</v>
      </c>
    </row>
    <row r="18" spans="1:16" ht="13.9">
      <c r="A18" s="587"/>
      <c r="B18" s="587"/>
      <c r="C18" s="453"/>
      <c r="D18" s="463"/>
      <c r="E18" s="1461" t="str">
        <v>Access to daily water consumption data</v>
      </c>
      <c r="F18" s="1462" t="str">
        <v>PR19SRN_RR02</v>
      </c>
      <c r="G18" s="1462" t="str">
        <v>nr</v>
      </c>
      <c r="H18" s="584"/>
      <c r="I18" s="584"/>
      <c r="J18" s="1465">
        <v>0</v>
      </c>
      <c r="K18" s="1465">
        <v>0</v>
      </c>
      <c r="L18" s="1465" t="str">
        <v/>
      </c>
      <c r="M18" s="1465" t="str">
        <v/>
      </c>
      <c r="N18" s="1465" t="str">
        <v>No</v>
      </c>
      <c r="O18" s="1463">
        <f>VLOOKUP(F18,'3A'!$C$9:$H$38,6,FALSE)</f>
        <v>0</v>
      </c>
      <c r="P18" s="1468">
        <v>0</v>
      </c>
    </row>
    <row r="19" spans="1:16" ht="13.9">
      <c r="A19" s="587"/>
      <c r="B19" s="587"/>
      <c r="C19" s="453"/>
      <c r="D19" s="463"/>
      <c r="E19" s="1461" t="str">
        <v>Void properties</v>
      </c>
      <c r="F19" s="1462" t="str">
        <v>PR19SRN_RR03</v>
      </c>
      <c r="G19" s="1462" t="str">
        <v>%</v>
      </c>
      <c r="H19" s="584"/>
      <c r="I19" s="584"/>
      <c r="J19" s="1465">
        <v>2.97</v>
      </c>
      <c r="K19" s="1465">
        <v>2.97</v>
      </c>
      <c r="L19" s="1465" t="str">
        <v/>
      </c>
      <c r="M19" s="1465" t="str">
        <v/>
      </c>
      <c r="N19" s="1465" t="str">
        <v>No</v>
      </c>
      <c r="O19" s="1463">
        <f>VLOOKUP(F19,'3A'!$C$9:$H$38,6,FALSE)</f>
        <v>-0.6</v>
      </c>
      <c r="P19" s="1468">
        <v>-0.6</v>
      </c>
    </row>
    <row r="20" spans="1:16" ht="13.9">
      <c r="A20" s="587"/>
      <c r="B20" s="587"/>
      <c r="C20" s="453"/>
      <c r="D20" s="463"/>
      <c r="E20" s="1461" t="str">
        <v>Replace lead customer pipes</v>
      </c>
      <c r="F20" s="1462" t="str">
        <v>PR19SRN_WN09</v>
      </c>
      <c r="G20" s="1462" t="str">
        <v>nr</v>
      </c>
      <c r="H20" s="584"/>
      <c r="I20" s="584"/>
      <c r="J20" s="1465">
        <v>0</v>
      </c>
      <c r="K20" s="1465">
        <v>0</v>
      </c>
      <c r="L20" s="1465" t="str">
        <v/>
      </c>
      <c r="M20" s="1465" t="str">
        <v/>
      </c>
      <c r="N20" s="1465" t="str">
        <v>No</v>
      </c>
      <c r="O20" s="1463">
        <f>VLOOKUP(F20,'3A'!$C$9:$H$38,6,FALSE)</f>
        <v>0</v>
      </c>
      <c r="P20" s="1468">
        <v>0</v>
      </c>
    </row>
    <row r="21" spans="1:16" ht="13.9">
      <c r="A21" s="587"/>
      <c r="B21" s="587"/>
      <c r="C21" s="453"/>
      <c r="D21" s="463"/>
      <c r="E21" s="1461" t="str">
        <v>Properties at risk of receiving low pressure</v>
      </c>
      <c r="F21" s="1462" t="str">
        <v>PR19SRN_WN11</v>
      </c>
      <c r="G21" s="1462" t="str">
        <v>nr</v>
      </c>
      <c r="H21" s="584"/>
      <c r="I21" s="584"/>
      <c r="J21" s="1465">
        <v>173</v>
      </c>
      <c r="K21" s="1465">
        <v>173</v>
      </c>
      <c r="L21" s="1465" t="str">
        <v/>
      </c>
      <c r="M21" s="1465" t="str">
        <v/>
      </c>
      <c r="N21" s="1465" t="str">
        <v>No</v>
      </c>
      <c r="O21" s="1463">
        <f>VLOOKUP(F21,'3A'!$C$9:$H$38,6,FALSE)</f>
        <v>0</v>
      </c>
      <c r="P21" s="1468">
        <v>0</v>
      </c>
    </row>
    <row r="22" spans="1:16" ht="13.9">
      <c r="A22" s="587"/>
      <c r="B22" s="587"/>
      <c r="C22" s="453"/>
      <c r="D22" s="463"/>
      <c r="E22" s="1461" t="str">
        <v>Long term supply demand schemes</v>
      </c>
      <c r="F22" s="1462" t="str">
        <v>PR19SRN_WN13</v>
      </c>
      <c r="G22" s="1462" t="str">
        <v>months</v>
      </c>
      <c r="H22" s="584"/>
      <c r="I22" s="584"/>
      <c r="J22" s="1465">
        <v>51</v>
      </c>
      <c r="K22" s="1465">
        <v>51</v>
      </c>
      <c r="L22" s="1465" t="str">
        <v/>
      </c>
      <c r="M22" s="1465" t="str">
        <v/>
      </c>
      <c r="N22" s="1465" t="str">
        <v>YES</v>
      </c>
      <c r="O22" s="1463">
        <f>VLOOKUP(F22,'3A'!$C$9:$H$38,6,FALSE)</f>
        <v>0</v>
      </c>
      <c r="P22" s="1468">
        <v>0</v>
      </c>
    </row>
    <row r="23" spans="1:16" ht="13.9">
      <c r="A23" s="587"/>
      <c r="B23" s="587"/>
      <c r="C23" s="453"/>
      <c r="D23" s="463"/>
      <c r="E23" s="1461" t="str">
        <v>Impounding reservoirs</v>
      </c>
      <c r="F23" s="1462" t="str">
        <v>PR19SRN_WR07</v>
      </c>
      <c r="G23" s="1462" t="str">
        <v>%</v>
      </c>
      <c r="H23" s="584"/>
      <c r="I23" s="584"/>
      <c r="J23" s="1465">
        <v>0</v>
      </c>
      <c r="K23" s="1465">
        <v>0</v>
      </c>
      <c r="L23" s="1465" t="str">
        <v/>
      </c>
      <c r="M23" s="1465" t="str">
        <v/>
      </c>
      <c r="N23" s="1465" t="str">
        <v>No</v>
      </c>
      <c r="O23" s="1463">
        <f>VLOOKUP(F23,'3A'!$C$9:$H$38,6,FALSE)</f>
        <v>-0.32354399999999994</v>
      </c>
      <c r="P23" s="1468">
        <v>-0.32354399999999994</v>
      </c>
    </row>
    <row r="24" spans="1:16" ht="13.9">
      <c r="A24" s="587"/>
      <c r="B24" s="587"/>
      <c r="C24" s="453"/>
      <c r="D24" s="463"/>
      <c r="E24" s="1461" t="str">
        <v/>
      </c>
      <c r="F24" s="1462" t="str">
        <v/>
      </c>
      <c r="G24" s="1462" t="str">
        <v/>
      </c>
      <c r="H24" s="584"/>
      <c r="I24" s="584"/>
      <c r="J24" s="1465" t="str">
        <v/>
      </c>
      <c r="K24" s="1465" t="str">
        <v/>
      </c>
      <c r="L24" s="1465" t="str">
        <v/>
      </c>
      <c r="M24" s="1465" t="str">
        <v/>
      </c>
      <c r="N24" s="1465" t="str">
        <v>No</v>
      </c>
      <c r="O24" s="1463" t="str">
        <f>VLOOKUP(F24,'3A'!$C$9:$H$38,6,FALSE)</f>
        <v/>
      </c>
      <c r="P24" s="1468">
        <v>0</v>
      </c>
    </row>
    <row r="25" spans="1:16" ht="13.9">
      <c r="A25" s="587"/>
      <c r="B25" s="587"/>
      <c r="C25" s="453"/>
      <c r="D25" s="463"/>
      <c r="E25" s="1461" t="str">
        <v/>
      </c>
      <c r="F25" s="1462" t="str">
        <v/>
      </c>
      <c r="G25" s="1462" t="str">
        <v/>
      </c>
      <c r="H25" s="584"/>
      <c r="I25" s="584"/>
      <c r="J25" s="1465" t="str">
        <v/>
      </c>
      <c r="K25" s="1465" t="str">
        <v/>
      </c>
      <c r="L25" s="1465" t="str">
        <v/>
      </c>
      <c r="M25" s="1465" t="str">
        <v/>
      </c>
      <c r="N25" s="1465" t="str">
        <v>No</v>
      </c>
      <c r="O25" s="1463" t="str">
        <f>VLOOKUP(F25,'3A'!$C$9:$H$38,6,FALSE)</f>
        <v/>
      </c>
      <c r="P25" s="1468">
        <v>0</v>
      </c>
    </row>
    <row r="26" spans="1:16" ht="13.9">
      <c r="A26" s="587"/>
      <c r="B26" s="587"/>
      <c r="C26" s="453"/>
      <c r="D26" s="463"/>
      <c r="E26" s="1461" t="str">
        <v/>
      </c>
      <c r="F26" s="1462" t="str">
        <v/>
      </c>
      <c r="G26" s="1462" t="str">
        <v/>
      </c>
      <c r="H26" s="584"/>
      <c r="I26" s="584"/>
      <c r="J26" s="1465" t="str">
        <v/>
      </c>
      <c r="K26" s="1465" t="str">
        <v/>
      </c>
      <c r="L26" s="1465" t="str">
        <v/>
      </c>
      <c r="M26" s="1465" t="str">
        <v/>
      </c>
      <c r="N26" s="1465" t="str">
        <v>No</v>
      </c>
      <c r="O26" s="1463" t="str">
        <f>VLOOKUP(F26,'3A'!$C$9:$H$38,6,FALSE)</f>
        <v/>
      </c>
      <c r="P26" s="1468">
        <v>0</v>
      </c>
    </row>
    <row r="27" spans="1:16" ht="14.25">
      <c r="A27" s="1392"/>
      <c r="B27" s="1392"/>
      <c r="C27" s="1392"/>
      <c r="D27" s="1392"/>
      <c r="E27" s="1538" t="str">
        <v/>
      </c>
      <c r="F27" s="1538" t="str">
        <v/>
      </c>
      <c r="G27" s="1538" t="str">
        <v/>
      </c>
      <c r="H27" s="455"/>
      <c r="I27" s="455"/>
      <c r="J27" s="1466" t="str">
        <v/>
      </c>
      <c r="K27" s="1466" t="str">
        <v/>
      </c>
      <c r="L27" s="1466" t="str">
        <v/>
      </c>
      <c r="M27" s="1466" t="str">
        <v/>
      </c>
      <c r="N27" s="1466" t="str">
        <v>No</v>
      </c>
      <c r="O27" s="1463" t="str">
        <f>VLOOKUP(F27,'3A'!$C$9:$H$38,6,FALSE)</f>
        <v/>
      </c>
      <c r="P27" s="1469">
        <v>0</v>
      </c>
    </row>
    <row r="28" spans="1:16" ht="14.25">
      <c r="A28" s="1392"/>
      <c r="B28" s="1392"/>
      <c r="C28" s="1392"/>
      <c r="D28" s="1392"/>
      <c r="E28" s="1538" t="str">
        <v/>
      </c>
      <c r="F28" s="1538" t="str">
        <v/>
      </c>
      <c r="G28" s="1538" t="str">
        <v/>
      </c>
      <c r="H28" s="455"/>
      <c r="I28" s="455"/>
      <c r="J28" s="1466" t="str">
        <v/>
      </c>
      <c r="K28" s="1466" t="str">
        <v/>
      </c>
      <c r="L28" s="1466" t="str">
        <v/>
      </c>
      <c r="M28" s="1466" t="str">
        <v/>
      </c>
      <c r="N28" s="1466" t="str">
        <v>No</v>
      </c>
      <c r="O28" s="1463" t="str">
        <f>VLOOKUP(F28,'3A'!$C$9:$H$38,6,FALSE)</f>
        <v/>
      </c>
      <c r="P28" s="1469">
        <v>0</v>
      </c>
    </row>
    <row r="29" spans="1:16" ht="14.25">
      <c r="A29" s="1392"/>
      <c r="B29" s="1392"/>
      <c r="C29" s="1392"/>
      <c r="D29" s="1392"/>
      <c r="E29" s="1538" t="str">
        <v/>
      </c>
      <c r="F29" s="1538" t="str">
        <v/>
      </c>
      <c r="G29" s="1538" t="str">
        <v/>
      </c>
      <c r="H29" s="455"/>
      <c r="I29" s="455"/>
      <c r="J29" s="1466" t="str">
        <v/>
      </c>
      <c r="K29" s="1466" t="str">
        <v/>
      </c>
      <c r="L29" s="1466" t="str">
        <v/>
      </c>
      <c r="M29" s="1466" t="str">
        <v/>
      </c>
      <c r="N29" s="1466" t="str">
        <v>No</v>
      </c>
      <c r="O29" s="1463" t="str">
        <f>VLOOKUP(F29,'3A'!$C$9:$H$38,6,FALSE)</f>
        <v/>
      </c>
      <c r="P29" s="1469">
        <v>0</v>
      </c>
    </row>
    <row r="30" spans="1:16" ht="14.25">
      <c r="A30" s="1392"/>
      <c r="B30" s="1392"/>
      <c r="C30" s="1392"/>
      <c r="D30" s="1392"/>
      <c r="E30" s="1538" t="str">
        <v/>
      </c>
      <c r="F30" s="1538" t="str">
        <v/>
      </c>
      <c r="G30" s="1538" t="str">
        <v/>
      </c>
      <c r="H30" s="455"/>
      <c r="I30" s="455"/>
      <c r="J30" s="1466" t="str">
        <v/>
      </c>
      <c r="K30" s="1466" t="str">
        <v/>
      </c>
      <c r="L30" s="1466" t="str">
        <v/>
      </c>
      <c r="M30" s="1466" t="str">
        <v/>
      </c>
      <c r="N30" s="1466" t="str">
        <v>No</v>
      </c>
      <c r="O30" s="1463" t="str">
        <f>VLOOKUP(F30,'3A'!$C$9:$H$38,6,FALSE)</f>
        <v/>
      </c>
      <c r="P30" s="1469">
        <v>0</v>
      </c>
    </row>
    <row r="31" spans="1:16" ht="14.25">
      <c r="A31" s="1392"/>
      <c r="B31" s="1392"/>
      <c r="C31" s="1392"/>
      <c r="D31" s="1392"/>
      <c r="E31" s="1538" t="str">
        <v/>
      </c>
      <c r="F31" s="1538" t="str">
        <v/>
      </c>
      <c r="G31" s="1538" t="str">
        <v/>
      </c>
      <c r="H31" s="455"/>
      <c r="I31" s="455"/>
      <c r="J31" s="1466" t="str">
        <v/>
      </c>
      <c r="K31" s="1466" t="str">
        <v/>
      </c>
      <c r="L31" s="1466" t="str">
        <v/>
      </c>
      <c r="M31" s="1466" t="str">
        <v/>
      </c>
      <c r="N31" s="1466" t="str">
        <v>No</v>
      </c>
      <c r="O31" s="1463" t="str">
        <f>VLOOKUP(F31,'3A'!$C$9:$H$38,6,FALSE)</f>
        <v/>
      </c>
      <c r="P31" s="1469">
        <v>0</v>
      </c>
    </row>
    <row r="32" spans="1:16" ht="14.25">
      <c r="A32" s="1392"/>
      <c r="B32" s="1392"/>
      <c r="C32" s="1392"/>
      <c r="D32" s="1392"/>
      <c r="E32" s="1538" t="str">
        <v/>
      </c>
      <c r="F32" s="1538" t="str">
        <v/>
      </c>
      <c r="G32" s="1538" t="str">
        <v/>
      </c>
      <c r="H32" s="455"/>
      <c r="I32" s="455"/>
      <c r="J32" s="1466" t="str">
        <v/>
      </c>
      <c r="K32" s="1466" t="str">
        <v/>
      </c>
      <c r="L32" s="1466" t="str">
        <v/>
      </c>
      <c r="M32" s="1466" t="str">
        <v/>
      </c>
      <c r="N32" s="1466" t="str">
        <v>No</v>
      </c>
      <c r="O32" s="1463" t="str">
        <f>VLOOKUP(F32,'3A'!$C$9:$H$38,6,FALSE)</f>
        <v/>
      </c>
      <c r="P32" s="1469">
        <v>0</v>
      </c>
    </row>
    <row r="33" spans="1:16" ht="14.25">
      <c r="A33" s="1392"/>
      <c r="B33" s="1392"/>
      <c r="C33" s="1392"/>
      <c r="D33" s="1392"/>
      <c r="E33" s="1538" t="str">
        <v/>
      </c>
      <c r="F33" s="1538" t="str">
        <v/>
      </c>
      <c r="G33" s="1538" t="str">
        <v/>
      </c>
      <c r="H33" s="455"/>
      <c r="I33" s="455"/>
      <c r="J33" s="1466" t="str">
        <v/>
      </c>
      <c r="K33" s="1466" t="str">
        <v/>
      </c>
      <c r="L33" s="1466" t="str">
        <v/>
      </c>
      <c r="M33" s="1466" t="str">
        <v/>
      </c>
      <c r="N33" s="1466" t="str">
        <v>No</v>
      </c>
      <c r="O33" s="1463" t="str">
        <f>VLOOKUP(F33,'3A'!$C$9:$H$38,6,FALSE)</f>
        <v/>
      </c>
      <c r="P33" s="1469">
        <v>0</v>
      </c>
    </row>
    <row r="34" spans="1:16" ht="14.25">
      <c r="A34" s="1392"/>
      <c r="B34" s="1392"/>
      <c r="C34" s="1392"/>
      <c r="D34" s="1392"/>
      <c r="E34" s="1538" t="str">
        <v/>
      </c>
      <c r="F34" s="1538" t="str">
        <v/>
      </c>
      <c r="G34" s="1538" t="str">
        <v/>
      </c>
      <c r="H34" s="455"/>
      <c r="I34" s="455"/>
      <c r="J34" s="1466" t="str">
        <v/>
      </c>
      <c r="K34" s="1466" t="str">
        <v/>
      </c>
      <c r="L34" s="1466" t="str">
        <v/>
      </c>
      <c r="M34" s="1466" t="str">
        <v/>
      </c>
      <c r="N34" s="1466" t="str">
        <v>No</v>
      </c>
      <c r="O34" s="1463" t="str">
        <f>VLOOKUP(F34,'3A'!$C$9:$H$38,6,FALSE)</f>
        <v/>
      </c>
      <c r="P34" s="1469">
        <v>0</v>
      </c>
    </row>
    <row r="35" spans="1:16" ht="14.25">
      <c r="A35" s="678" t="s">
        <v>1021</v>
      </c>
      <c r="B35" s="1392"/>
      <c r="C35" s="1392"/>
      <c r="D35" s="1392"/>
      <c r="E35" s="1538" t="str">
        <v>Internal sewer flooding</v>
      </c>
      <c r="F35" s="1538" t="str">
        <v>PR19SRN_WWN01</v>
      </c>
      <c r="G35" s="1538" t="str">
        <v>number</v>
      </c>
      <c r="H35" s="455"/>
      <c r="I35" s="455"/>
      <c r="J35" s="1466">
        <v>2.5721106095414079</v>
      </c>
      <c r="K35" s="1466">
        <v>2.5721106095414079</v>
      </c>
      <c r="L35" s="1466" t="str">
        <v/>
      </c>
      <c r="M35" s="1466" t="str">
        <v/>
      </c>
      <c r="N35" s="1466" t="str">
        <v>No</v>
      </c>
      <c r="O35" s="1463">
        <f>VLOOKUP(F35,'3B'!$C$9:$H$38,6,FALSE)</f>
        <v>-6.2794099999999995</v>
      </c>
      <c r="P35" s="1469">
        <v>-6.2794099999999995</v>
      </c>
    </row>
    <row r="36" spans="1:16" ht="14.25">
      <c r="A36" s="1392"/>
      <c r="B36" s="1392"/>
      <c r="C36" s="1392"/>
      <c r="D36" s="1392"/>
      <c r="E36" s="1538" t="str">
        <v>Pollution incidents</v>
      </c>
      <c r="F36" s="1538" t="str">
        <v>PR19SRN_WWN02</v>
      </c>
      <c r="G36" s="1538" t="str">
        <v>number</v>
      </c>
      <c r="H36" s="455"/>
      <c r="I36" s="455"/>
      <c r="J36" s="1466">
        <v>58.899041002793929</v>
      </c>
      <c r="K36" s="1466">
        <v>58.899041002793929</v>
      </c>
      <c r="L36" s="1466" t="str">
        <v/>
      </c>
      <c r="M36" s="1466" t="str">
        <v/>
      </c>
      <c r="N36" s="1466" t="str">
        <v>No</v>
      </c>
      <c r="O36" s="1463">
        <f>VLOOKUP(F36,'3B'!$C$9:$H$38,6,FALSE)</f>
        <v>-8.3821499999999993</v>
      </c>
      <c r="P36" s="1469">
        <v>-8.3821499999999993</v>
      </c>
    </row>
    <row r="37" spans="1:16" ht="14.25">
      <c r="A37" s="1392"/>
      <c r="B37" s="1392"/>
      <c r="C37" s="1392"/>
      <c r="D37" s="1392"/>
      <c r="E37" s="1538" t="str">
        <v>Sewer collapses</v>
      </c>
      <c r="F37" s="1538" t="str">
        <v>PR19SRN_WWN04</v>
      </c>
      <c r="G37" s="1538" t="str">
        <v>number</v>
      </c>
      <c r="H37" s="455"/>
      <c r="I37" s="455"/>
      <c r="J37" s="1466">
        <v>5.8454697609352753</v>
      </c>
      <c r="K37" s="1466">
        <v>5.8454697609352753</v>
      </c>
      <c r="L37" s="1466" t="str">
        <v/>
      </c>
      <c r="M37" s="1466" t="str">
        <v/>
      </c>
      <c r="N37" s="1466" t="str">
        <v>No</v>
      </c>
      <c r="O37" s="1463">
        <f>VLOOKUP(F37,'3B'!$C$9:$H$38,6,FALSE)</f>
        <v>-0.58975999999999884</v>
      </c>
      <c r="P37" s="1469">
        <v>-0.58975999999999884</v>
      </c>
    </row>
    <row r="38" spans="1:16" ht="14.25">
      <c r="A38" s="1392"/>
      <c r="B38" s="1392"/>
      <c r="C38" s="1392"/>
      <c r="D38" s="1392"/>
      <c r="E38" s="1538" t="str">
        <v>Treatment works compliance</v>
      </c>
      <c r="F38" s="1538" t="str">
        <v>PR19SRN_WWN05</v>
      </c>
      <c r="G38" s="1538" t="str">
        <v>%</v>
      </c>
      <c r="H38" s="455"/>
      <c r="I38" s="455"/>
      <c r="J38" s="1466">
        <v>99.36</v>
      </c>
      <c r="K38" s="1466">
        <v>99.36</v>
      </c>
      <c r="L38" s="1466" t="str">
        <v/>
      </c>
      <c r="M38" s="1466" t="str">
        <v/>
      </c>
      <c r="N38" s="1466" t="str">
        <v>No</v>
      </c>
      <c r="O38" s="1463">
        <f>VLOOKUP(F38,'3B'!$C$9:$H$38,6,FALSE)</f>
        <v>0</v>
      </c>
      <c r="P38" s="1469">
        <v>0</v>
      </c>
    </row>
    <row r="39" spans="1:16" ht="14.25">
      <c r="A39" s="1392"/>
      <c r="B39" s="1392"/>
      <c r="C39" s="1392"/>
      <c r="D39" s="1392"/>
      <c r="E39" s="1538" t="str">
        <v>Effluent re-use</v>
      </c>
      <c r="F39" s="1538" t="str">
        <v>PR19SRN_WWN07</v>
      </c>
      <c r="G39" s="1538" t="str">
        <v>nr</v>
      </c>
      <c r="H39" s="455"/>
      <c r="I39" s="455"/>
      <c r="J39" s="1466">
        <v>79</v>
      </c>
      <c r="K39" s="1466">
        <v>79</v>
      </c>
      <c r="L39" s="1466" t="str">
        <v/>
      </c>
      <c r="M39" s="1466" t="str">
        <v/>
      </c>
      <c r="N39" s="1466" t="str">
        <v>No</v>
      </c>
      <c r="O39" s="1463">
        <f>VLOOKUP(F39,'3B'!$C$9:$H$38,6,FALSE)</f>
        <v>2.5990999999999997E-4</v>
      </c>
      <c r="P39" s="1469">
        <v>2.5990999999999997E-4</v>
      </c>
    </row>
    <row r="40" spans="1:16" ht="14.25">
      <c r="A40" s="1392"/>
      <c r="B40" s="1392"/>
      <c r="C40" s="1392"/>
      <c r="D40" s="1392"/>
      <c r="E40" s="1462" t="str">
        <v xml:space="preserve">Renewable Generation </v>
      </c>
      <c r="F40" s="1538" t="str">
        <v>PR19SRN_BIO01</v>
      </c>
      <c r="G40" s="1462" t="str">
        <v>%</v>
      </c>
      <c r="H40" s="455"/>
      <c r="I40" s="455"/>
      <c r="J40" s="1466">
        <v>13.32</v>
      </c>
      <c r="K40" s="1466">
        <v>13.32</v>
      </c>
      <c r="L40" s="1466" t="str">
        <v/>
      </c>
      <c r="M40" s="1466" t="str">
        <v/>
      </c>
      <c r="N40" s="1466" t="str">
        <v>No</v>
      </c>
      <c r="O40" s="1463">
        <f>VLOOKUP(F40,'3B'!$C$9:$H$38,6,FALSE)</f>
        <v>-1.3260000000000001</v>
      </c>
      <c r="P40" s="1469">
        <v>-1.3260000000000001</v>
      </c>
    </row>
    <row r="41" spans="1:16" ht="14.25">
      <c r="A41" s="1392"/>
      <c r="B41" s="1392"/>
      <c r="C41" s="1392"/>
      <c r="D41" s="1392"/>
      <c r="E41" s="1462" t="str">
        <v>Satisfactory bioresources recycling</v>
      </c>
      <c r="F41" s="1538" t="str">
        <v>PR19SRN_BIO02</v>
      </c>
      <c r="G41" s="1462" t="str">
        <v>%</v>
      </c>
      <c r="H41" s="455"/>
      <c r="I41" s="455"/>
      <c r="J41" s="1466">
        <v>100</v>
      </c>
      <c r="K41" s="1466">
        <v>100</v>
      </c>
      <c r="L41" s="1466" t="str">
        <v/>
      </c>
      <c r="M41" s="1466" t="str">
        <v/>
      </c>
      <c r="N41" s="1466" t="str">
        <v>No</v>
      </c>
      <c r="O41" s="1463">
        <f>VLOOKUP(F41,'3B'!$C$9:$H$38,6,FALSE)</f>
        <v>0</v>
      </c>
      <c r="P41" s="1469">
        <v>0</v>
      </c>
    </row>
    <row r="42" spans="1:16" ht="14.25">
      <c r="A42" s="1392"/>
      <c r="B42" s="1392"/>
      <c r="C42" s="1392"/>
      <c r="D42" s="1392"/>
      <c r="E42" s="1462" t="str">
        <v>River water quality</v>
      </c>
      <c r="F42" s="1538" t="str">
        <v>PR19SRN_WWN09</v>
      </c>
      <c r="G42" s="1462" t="str">
        <v>nr</v>
      </c>
      <c r="H42" s="455"/>
      <c r="I42" s="455"/>
      <c r="J42" s="1466">
        <v>102.7</v>
      </c>
      <c r="K42" s="1466">
        <v>102.7</v>
      </c>
      <c r="L42" s="1466" t="str">
        <v/>
      </c>
      <c r="M42" s="1466" t="str">
        <v/>
      </c>
      <c r="N42" s="1466" t="str">
        <v>No</v>
      </c>
      <c r="O42" s="1463">
        <f>VLOOKUP(F42,'3B'!$C$9:$H$38,6,FALSE)</f>
        <v>0</v>
      </c>
      <c r="P42" s="1469">
        <v>0</v>
      </c>
    </row>
    <row r="43" spans="1:16" ht="14.25">
      <c r="A43" s="1392"/>
      <c r="B43" s="1392"/>
      <c r="C43" s="1392"/>
      <c r="D43" s="1392"/>
      <c r="E43" s="1462" t="str">
        <v>Maintain Bathing waters at ‘Excellent’.</v>
      </c>
      <c r="F43" s="1538" t="str">
        <v>PR19SRN_WWN11</v>
      </c>
      <c r="G43" s="1462" t="str">
        <v>nr</v>
      </c>
      <c r="H43" s="455"/>
      <c r="I43" s="455"/>
      <c r="J43" s="1466">
        <v>48</v>
      </c>
      <c r="K43" s="1466">
        <v>48</v>
      </c>
      <c r="L43" s="1466" t="str">
        <v/>
      </c>
      <c r="M43" s="1466" t="str">
        <v/>
      </c>
      <c r="N43" s="1466" t="str">
        <v>No</v>
      </c>
      <c r="O43" s="1463">
        <f>VLOOKUP(F43,'3B'!$C$9:$H$38,6,FALSE)</f>
        <v>-4.05</v>
      </c>
      <c r="P43" s="1469">
        <v>-4.05</v>
      </c>
    </row>
    <row r="44" spans="1:16" ht="14.25">
      <c r="A44" s="1392"/>
      <c r="B44" s="1392"/>
      <c r="C44" s="1392"/>
      <c r="D44" s="1392"/>
      <c r="E44" s="1462" t="str">
        <v>Improve the number of Bathing waters to at least ‘Good’ (Cost Adjustment Claim).</v>
      </c>
      <c r="F44" s="1538" t="str">
        <v>PR19SRN_WWN12</v>
      </c>
      <c r="G44" s="1462" t="str">
        <v>nr</v>
      </c>
      <c r="H44" s="455"/>
      <c r="I44" s="455"/>
      <c r="J44" s="1466">
        <v>4</v>
      </c>
      <c r="K44" s="1466">
        <v>4</v>
      </c>
      <c r="L44" s="1466" t="str">
        <v/>
      </c>
      <c r="M44" s="1466" t="str">
        <v/>
      </c>
      <c r="N44" s="1466" t="str">
        <v>YES</v>
      </c>
      <c r="O44" s="1463">
        <f>VLOOKUP(F44,'3B'!$C$9:$H$38,6,FALSE)</f>
        <v>0</v>
      </c>
      <c r="P44" s="1469">
        <v>0</v>
      </c>
    </row>
    <row r="45" spans="1:16" ht="14.25">
      <c r="A45" s="1392"/>
      <c r="B45" s="1392"/>
      <c r="C45" s="1392"/>
      <c r="D45" s="1392"/>
      <c r="E45" s="1462" t="str">
        <v>Improve the bathing waters at ‘Excellent’ quality (Cost Adjustment Claim).</v>
      </c>
      <c r="F45" s="1538" t="str">
        <v>PR19SRN_WWN13</v>
      </c>
      <c r="G45" s="1462" t="str">
        <v>nr</v>
      </c>
      <c r="H45" s="455"/>
      <c r="I45" s="455"/>
      <c r="J45" s="1466">
        <v>4</v>
      </c>
      <c r="K45" s="1466">
        <v>4</v>
      </c>
      <c r="L45" s="1466" t="str">
        <v/>
      </c>
      <c r="M45" s="1466" t="str">
        <v/>
      </c>
      <c r="N45" s="1466" t="str">
        <v>YES</v>
      </c>
      <c r="O45" s="1463">
        <f>VLOOKUP(F45,'3B'!$C$9:$H$38,6,FALSE)</f>
        <v>0</v>
      </c>
      <c r="P45" s="1469">
        <v>0</v>
      </c>
    </row>
    <row r="46" spans="1:16" ht="14.25">
      <c r="A46" s="1392"/>
      <c r="B46" s="1392"/>
      <c r="C46" s="1392"/>
      <c r="D46" s="1392"/>
      <c r="E46" s="1462" t="str">
        <v>Surface water management</v>
      </c>
      <c r="F46" s="1538" t="str">
        <v>PR19SRN_WWN06</v>
      </c>
      <c r="G46" s="1462" t="str">
        <v>m3</v>
      </c>
      <c r="H46" s="455"/>
      <c r="I46" s="455"/>
      <c r="J46" s="1466">
        <v>0</v>
      </c>
      <c r="K46" s="1466">
        <v>0</v>
      </c>
      <c r="L46" s="1466" t="str">
        <v/>
      </c>
      <c r="M46" s="1466" t="str">
        <v/>
      </c>
      <c r="N46" s="1466" t="str">
        <v>No</v>
      </c>
      <c r="O46" s="1463">
        <f>VLOOKUP(F46,'3B'!$C$9:$H$38,6,FALSE)</f>
        <v>-5.2218399999999998E-2</v>
      </c>
      <c r="P46" s="1469">
        <v>-5.2218399999999998E-2</v>
      </c>
    </row>
    <row r="47" spans="1:16" ht="14.25">
      <c r="A47" s="1392"/>
      <c r="B47" s="1392"/>
      <c r="C47" s="1392"/>
      <c r="D47" s="1392"/>
      <c r="E47" s="1462" t="str">
        <v>External sewer flooding</v>
      </c>
      <c r="F47" s="1538" t="str">
        <v>PR19SRN_WWN08</v>
      </c>
      <c r="G47" s="1462" t="str">
        <v>nr</v>
      </c>
      <c r="H47" s="455"/>
      <c r="I47" s="455"/>
      <c r="J47" s="1466">
        <v>3245</v>
      </c>
      <c r="K47" s="1467">
        <v>3245</v>
      </c>
      <c r="L47" s="1467" t="str">
        <v/>
      </c>
      <c r="M47" s="1467" t="str">
        <v/>
      </c>
      <c r="N47" s="1467" t="str">
        <v>No</v>
      </c>
      <c r="O47" s="1463">
        <f>VLOOKUP(F47,'3B'!$C$9:$H$38,6,FALSE)</f>
        <v>1.7027399999999999</v>
      </c>
      <c r="P47" s="1463">
        <v>1.7027399999999999</v>
      </c>
    </row>
    <row r="48" spans="1:16" ht="14.25">
      <c r="A48" s="1392"/>
      <c r="B48" s="1392"/>
      <c r="C48" s="1392"/>
      <c r="D48" s="1392"/>
      <c r="E48" s="1462" t="str">
        <v>Thanet Sewers</v>
      </c>
      <c r="F48" s="1538" t="str">
        <v>PR19SRN_WWN16</v>
      </c>
      <c r="G48" s="1462" t="str">
        <v>months</v>
      </c>
      <c r="H48" s="455"/>
      <c r="I48" s="455"/>
      <c r="J48" s="1466">
        <v>0</v>
      </c>
      <c r="K48" s="1467">
        <v>0</v>
      </c>
      <c r="L48" s="1467" t="str">
        <v/>
      </c>
      <c r="M48" s="1467" t="str">
        <v/>
      </c>
      <c r="N48" s="1467" t="str">
        <v>No</v>
      </c>
      <c r="O48" s="1463">
        <f>VLOOKUP(F48,'3B'!$C$9:$H$38,6,FALSE)</f>
        <v>0</v>
      </c>
      <c r="P48" s="1463">
        <v>0</v>
      </c>
    </row>
    <row r="49" spans="1:16" ht="14.25">
      <c r="A49" s="1392"/>
      <c r="B49" s="1392"/>
      <c r="C49" s="1392"/>
      <c r="D49" s="1392"/>
      <c r="E49" s="1462" t="str">
        <v/>
      </c>
      <c r="F49" s="1538" t="str">
        <v/>
      </c>
      <c r="G49" s="1462" t="str">
        <v/>
      </c>
      <c r="H49" s="455"/>
      <c r="I49" s="455"/>
      <c r="J49" s="1466" t="str">
        <v/>
      </c>
      <c r="K49" s="1466" t="str">
        <v/>
      </c>
      <c r="L49" s="1466" t="str">
        <v/>
      </c>
      <c r="M49" s="1466" t="str">
        <v/>
      </c>
      <c r="N49" s="1466" t="str">
        <v>No</v>
      </c>
      <c r="O49" s="1463" t="str">
        <f>VLOOKUP(F49,'3B'!$C$9:$H$38,6,FALSE)</f>
        <v/>
      </c>
      <c r="P49" s="1469">
        <v>0</v>
      </c>
    </row>
    <row r="50" spans="1:16" ht="14.25">
      <c r="A50" s="1392"/>
      <c r="B50" s="1392"/>
      <c r="C50" s="1392"/>
      <c r="D50" s="1392"/>
      <c r="E50" s="1462" t="str">
        <v/>
      </c>
      <c r="F50" s="1538" t="str">
        <v/>
      </c>
      <c r="G50" s="1462" t="str">
        <v/>
      </c>
      <c r="H50" s="455"/>
      <c r="I50" s="455"/>
      <c r="J50" s="1466" t="str">
        <v/>
      </c>
      <c r="K50" s="1466" t="str">
        <v/>
      </c>
      <c r="L50" s="1466" t="str">
        <v/>
      </c>
      <c r="M50" s="1466" t="str">
        <v/>
      </c>
      <c r="N50" s="1466" t="str">
        <v>No</v>
      </c>
      <c r="O50" s="1463" t="str">
        <f>VLOOKUP(F50,'3B'!$C$9:$H$38,6,FALSE)</f>
        <v/>
      </c>
      <c r="P50" s="1469">
        <v>0</v>
      </c>
    </row>
    <row r="51" spans="1:16" ht="14.25">
      <c r="A51" s="1392"/>
      <c r="B51" s="1392"/>
      <c r="C51" s="1392"/>
      <c r="D51" s="1392"/>
      <c r="E51" s="1462" t="str">
        <v/>
      </c>
      <c r="F51" s="1538" t="str">
        <v/>
      </c>
      <c r="G51" s="1462" t="str">
        <v/>
      </c>
      <c r="H51" s="455"/>
      <c r="I51" s="455"/>
      <c r="J51" s="1466" t="str">
        <v/>
      </c>
      <c r="K51" s="1466" t="str">
        <v/>
      </c>
      <c r="L51" s="1466" t="str">
        <v/>
      </c>
      <c r="M51" s="1466" t="str">
        <v/>
      </c>
      <c r="N51" s="1466" t="str">
        <v>No</v>
      </c>
      <c r="O51" s="1463" t="str">
        <f>VLOOKUP(F51,'3B'!$C$9:$H$38,6,FALSE)</f>
        <v/>
      </c>
      <c r="P51" s="1469">
        <v>0</v>
      </c>
    </row>
    <row r="52" spans="1:16" ht="14.25">
      <c r="A52" s="1392"/>
      <c r="B52" s="1392"/>
      <c r="C52" s="1392"/>
      <c r="D52" s="1392"/>
      <c r="E52" s="1462" t="str">
        <v/>
      </c>
      <c r="F52" s="1538" t="str">
        <v/>
      </c>
      <c r="G52" s="1462" t="str">
        <v/>
      </c>
      <c r="H52" s="455"/>
      <c r="I52" s="455"/>
      <c r="J52" s="1466" t="str">
        <v/>
      </c>
      <c r="K52" s="1466" t="str">
        <v/>
      </c>
      <c r="L52" s="1466" t="str">
        <v/>
      </c>
      <c r="M52" s="1466" t="str">
        <v/>
      </c>
      <c r="N52" s="1466" t="str">
        <v>No</v>
      </c>
      <c r="O52" s="1463" t="str">
        <f>VLOOKUP(F52,'3B'!$C$9:$H$38,6,FALSE)</f>
        <v/>
      </c>
      <c r="P52" s="1469">
        <v>0</v>
      </c>
    </row>
    <row r="53" spans="1:16" ht="14.25">
      <c r="A53" s="1392"/>
      <c r="B53" s="1392"/>
      <c r="C53" s="1392"/>
      <c r="D53" s="1392"/>
      <c r="E53" s="1378"/>
      <c r="F53" s="1392"/>
      <c r="G53" s="1378"/>
      <c r="H53" s="1392"/>
      <c r="I53" s="1392"/>
      <c r="J53" s="1392"/>
      <c r="K53" s="1395"/>
      <c r="L53" s="172"/>
      <c r="M53" s="172"/>
      <c r="N53" s="172"/>
      <c r="O53" s="172"/>
      <c r="P53" s="172"/>
    </row>
    <row r="54" spans="1:16" ht="20.25">
      <c r="A54" s="439" t="s">
        <v>980</v>
      </c>
      <c r="B54" s="185"/>
      <c r="C54" s="186"/>
      <c r="D54" s="187"/>
      <c r="E54" s="188"/>
      <c r="F54" s="188"/>
      <c r="G54" s="188"/>
      <c r="H54" s="188"/>
      <c r="I54" s="188"/>
      <c r="J54" s="188"/>
      <c r="K54" s="188"/>
      <c r="L54" s="188"/>
      <c r="M54" s="188"/>
      <c r="N54" s="188"/>
      <c r="O54" s="188"/>
      <c r="P54" s="188"/>
    </row>
  </sheetData>
  <conditionalFormatting sqref="H4">
    <cfRule type="cellIs" dxfId="111" priority="10" operator="equal">
      <formula>0</formula>
    </cfRule>
  </conditionalFormatting>
  <conditionalFormatting sqref="H54">
    <cfRule type="cellIs" dxfId="110" priority="9" operator="equal">
      <formula>0</formula>
    </cfRule>
  </conditionalFormatting>
  <conditionalFormatting sqref="J15:K52">
    <cfRule type="cellIs" dxfId="109" priority="8" operator="equal">
      <formula>0</formula>
    </cfRule>
  </conditionalFormatting>
  <conditionalFormatting sqref="L7:N52">
    <cfRule type="cellIs" dxfId="108" priority="6" operator="equal">
      <formula>"No"</formula>
    </cfRule>
  </conditionalFormatting>
  <conditionalFormatting sqref="O7:P52">
    <cfRule type="cellIs" dxfId="107" priority="2" operator="equal">
      <formula>0</formula>
    </cfRule>
  </conditionalFormatting>
  <conditionalFormatting sqref="P7:P52">
    <cfRule type="expression" dxfId="106"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526C0-94D6-486F-A086-3DD5D25DD3D4}">
  <sheetPr>
    <tabColor theme="7"/>
    <pageSetUpPr fitToPage="1"/>
  </sheetPr>
  <dimension ref="A1:L36"/>
  <sheetViews>
    <sheetView showGridLines="0" zoomScale="80" zoomScaleNormal="80" zoomScaleSheetLayoutView="80" workbookViewId="0"/>
  </sheetViews>
  <sheetFormatPr defaultColWidth="8.625" defaultRowHeight="12.75"/>
  <cols>
    <col min="1" max="4" width="1.625" style="207" customWidth="1"/>
    <col min="5" max="5" width="71" style="207" customWidth="1"/>
    <col min="6" max="8" width="15.625" style="207" customWidth="1"/>
    <col min="9" max="9" width="2.625" style="207" customWidth="1"/>
    <col min="10" max="16384" width="8.625" style="207"/>
  </cols>
  <sheetData>
    <row r="1" spans="1:12" s="246" customFormat="1" ht="44.25">
      <c r="A1" s="685" t="str">
        <f ca="1" xml:space="preserve"> RIGHT(CELL("filename", $A$1), LEN(CELL("filename", $A$1)) - SEARCH("]", CELL("filename", $A$1)))</f>
        <v>Model outputs - Aggregate level</v>
      </c>
      <c r="B1" s="243"/>
      <c r="C1" s="243"/>
      <c r="D1" s="244"/>
      <c r="E1" s="245"/>
      <c r="F1" s="245"/>
      <c r="G1" s="245"/>
      <c r="H1" s="671" t="str">
        <f>InpCompany!F5</f>
        <v>Southern Water</v>
      </c>
      <c r="I1" s="245"/>
      <c r="J1" s="245"/>
      <c r="K1" s="245"/>
      <c r="L1" s="245"/>
    </row>
    <row r="2" spans="1:12" s="202" customFormat="1" ht="13.15">
      <c r="A2" s="453"/>
      <c r="B2" s="453"/>
      <c r="C2" s="453"/>
      <c r="D2" s="453"/>
      <c r="E2" s="453"/>
      <c r="F2" s="462" t="s">
        <v>1130</v>
      </c>
      <c r="G2" s="462" t="s">
        <v>114</v>
      </c>
      <c r="H2" s="462" t="s">
        <v>1131</v>
      </c>
      <c r="I2" s="453"/>
      <c r="J2" s="453"/>
      <c r="K2" s="453"/>
      <c r="L2" s="453"/>
    </row>
    <row r="3" spans="1:12" s="206" customFormat="1" ht="13.15">
      <c r="A3" s="642" t="s">
        <v>1576</v>
      </c>
      <c r="B3" s="643"/>
      <c r="C3" s="643"/>
      <c r="D3" s="644"/>
      <c r="E3" s="645"/>
      <c r="F3" s="645"/>
      <c r="G3" s="645"/>
      <c r="H3" s="646"/>
      <c r="I3" s="645"/>
      <c r="J3" s="645"/>
      <c r="K3" s="645"/>
      <c r="L3" s="645"/>
    </row>
    <row r="4" spans="1:12" ht="13.15">
      <c r="A4" s="455"/>
      <c r="B4" s="687" t="s">
        <v>1577</v>
      </c>
      <c r="C4" s="455"/>
      <c r="D4" s="455"/>
      <c r="E4" s="455"/>
      <c r="F4" s="455"/>
      <c r="G4" s="455"/>
      <c r="H4" s="455"/>
      <c r="I4" s="455"/>
      <c r="J4" s="455"/>
      <c r="K4" s="455"/>
      <c r="L4" s="455"/>
    </row>
    <row r="5" spans="1:12" ht="13.15">
      <c r="A5" s="455"/>
      <c r="B5" s="455"/>
      <c r="C5" s="455"/>
      <c r="D5" s="455"/>
      <c r="E5" s="455"/>
      <c r="F5" s="455"/>
      <c r="G5" s="455"/>
      <c r="H5" s="455"/>
      <c r="I5" s="455"/>
      <c r="J5" s="455"/>
      <c r="K5" s="455"/>
      <c r="L5" s="455"/>
    </row>
    <row r="6" spans="1:12" ht="13.15">
      <c r="A6" s="455"/>
      <c r="B6" s="455"/>
      <c r="C6" s="460" t="s">
        <v>1578</v>
      </c>
      <c r="D6" s="455"/>
      <c r="E6" s="455"/>
      <c r="F6" s="455"/>
      <c r="G6" s="455"/>
      <c r="H6" s="455"/>
      <c r="I6" s="455"/>
      <c r="J6" s="455"/>
      <c r="K6" s="455"/>
      <c r="L6" s="455"/>
    </row>
    <row r="7" spans="1:12" ht="13.15">
      <c r="A7" s="455"/>
      <c r="B7" s="455"/>
      <c r="C7" s="455"/>
      <c r="D7" s="455"/>
      <c r="E7" s="655" t="str">
        <f>'Aggregate calculations'!E26</f>
        <v>Revenue adjustments - Net ODI payments (to be applied in-period) - Water resources</v>
      </c>
      <c r="F7" s="655">
        <f>'Aggregate calculations'!F26</f>
        <v>0.18745600000000007</v>
      </c>
      <c r="G7" s="655" t="str">
        <f>'Aggregate calculations'!G26</f>
        <v>£m (2017-18 prices)</v>
      </c>
      <c r="H7" s="655"/>
      <c r="I7" s="455"/>
      <c r="J7" s="455"/>
      <c r="K7" s="455"/>
      <c r="L7" s="455"/>
    </row>
    <row r="8" spans="1:12" ht="13.15">
      <c r="A8" s="455"/>
      <c r="B8" s="455"/>
      <c r="C8" s="455"/>
      <c r="D8" s="455"/>
      <c r="E8" s="655" t="str">
        <f>'Aggregate calculations'!E27</f>
        <v>Revenue adjustments - Net ODI payments (to be applied in-period) - Water network plus</v>
      </c>
      <c r="F8" s="655">
        <f>'Aggregate calculations'!F27</f>
        <v>-13.457406666666666</v>
      </c>
      <c r="G8" s="655" t="str">
        <f>'Aggregate calculations'!G27</f>
        <v>£m (2017-18 prices)</v>
      </c>
      <c r="H8" s="655"/>
      <c r="I8" s="455"/>
      <c r="J8" s="455"/>
      <c r="K8" s="455"/>
      <c r="L8" s="455"/>
    </row>
    <row r="9" spans="1:12" ht="13.15">
      <c r="A9" s="455"/>
      <c r="B9" s="455"/>
      <c r="C9" s="455"/>
      <c r="D9" s="455"/>
      <c r="E9" s="655" t="str">
        <f>'Aggregate calculations'!E28</f>
        <v>Revenue adjustments - Net ODI payments (to be applied in-period) - Wastewater network plus</v>
      </c>
      <c r="F9" s="655">
        <f>'Aggregate calculations'!F28</f>
        <v>-17.650538489999999</v>
      </c>
      <c r="G9" s="655" t="str">
        <f>'Aggregate calculations'!G28</f>
        <v>£m (2017-18 prices)</v>
      </c>
      <c r="H9" s="655"/>
      <c r="I9" s="455"/>
      <c r="J9" s="455"/>
      <c r="K9" s="455"/>
      <c r="L9" s="455"/>
    </row>
    <row r="10" spans="1:12" ht="13.15">
      <c r="A10" s="455"/>
      <c r="B10" s="455"/>
      <c r="C10" s="455"/>
      <c r="D10" s="455"/>
      <c r="E10" s="655" t="str">
        <f>'Aggregate calculations'!E29</f>
        <v>Revenue adjustments - Net ODI payments (to be applied in-period) - Bioresources (sludge)</v>
      </c>
      <c r="F10" s="655">
        <f>'Aggregate calculations'!F29</f>
        <v>-1.2862200000000001</v>
      </c>
      <c r="G10" s="655" t="str">
        <f>'Aggregate calculations'!G29</f>
        <v>£m (2017-18 prices)</v>
      </c>
      <c r="H10" s="655"/>
      <c r="I10" s="455"/>
      <c r="J10" s="455"/>
      <c r="K10" s="455"/>
      <c r="L10" s="455"/>
    </row>
    <row r="11" spans="1:12" ht="13.15">
      <c r="A11" s="455"/>
      <c r="B11" s="455"/>
      <c r="C11" s="455"/>
      <c r="D11" s="455"/>
      <c r="E11" s="655" t="str">
        <f>'Aggregate calculations'!E30</f>
        <v>Revenue adjustments - Net ODI payments (to be applied in-period) - Residential retail</v>
      </c>
      <c r="F11" s="655">
        <f>'Aggregate calculations'!F30</f>
        <v>-0.6</v>
      </c>
      <c r="G11" s="655" t="str">
        <f>'Aggregate calculations'!G30</f>
        <v>£m (2017-18 prices)</v>
      </c>
      <c r="H11" s="655"/>
      <c r="I11" s="455"/>
      <c r="J11" s="455"/>
      <c r="K11" s="455"/>
      <c r="L11" s="455"/>
    </row>
    <row r="12" spans="1:12" ht="13.15">
      <c r="A12" s="455"/>
      <c r="B12" s="455"/>
      <c r="C12" s="455"/>
      <c r="D12" s="455"/>
      <c r="E12" s="655" t="str">
        <f>'Aggregate calculations'!E31</f>
        <v>Revenue adjustments - Net ODI payments (to be applied in-period) - Business retail</v>
      </c>
      <c r="F12" s="655">
        <f>'Aggregate calculations'!F31</f>
        <v>0</v>
      </c>
      <c r="G12" s="655" t="str">
        <f>'Aggregate calculations'!G31</f>
        <v>£m (2017-18 prices)</v>
      </c>
      <c r="H12" s="655"/>
      <c r="I12" s="455"/>
      <c r="J12" s="455"/>
      <c r="K12" s="455"/>
      <c r="L12" s="455"/>
    </row>
    <row r="13" spans="1:12" ht="13.15">
      <c r="A13" s="455"/>
      <c r="B13" s="455"/>
      <c r="C13" s="455"/>
      <c r="D13" s="455"/>
      <c r="E13" s="655" t="str">
        <f>'Aggregate calculations'!E32</f>
        <v>Revenue adjustments - Net ODI payments (to be applied in-period) - Dummy control</v>
      </c>
      <c r="F13" s="655">
        <f>'Aggregate calculations'!F32</f>
        <v>0</v>
      </c>
      <c r="G13" s="655" t="str">
        <f>'Aggregate calculations'!G32</f>
        <v>£m (2017-18 prices)</v>
      </c>
      <c r="H13" s="655"/>
      <c r="I13" s="455"/>
      <c r="J13" s="455"/>
      <c r="K13" s="455"/>
      <c r="L13" s="455"/>
    </row>
    <row r="14" spans="1:12" ht="13.15">
      <c r="A14" s="455"/>
      <c r="B14" s="455"/>
      <c r="C14" s="455"/>
      <c r="D14" s="455"/>
      <c r="E14" s="655"/>
      <c r="F14" s="655"/>
      <c r="G14" s="655"/>
      <c r="H14" s="455"/>
      <c r="I14" s="455"/>
      <c r="J14" s="455"/>
      <c r="K14" s="455"/>
      <c r="L14" s="455"/>
    </row>
    <row r="15" spans="1:12" s="206" customFormat="1" ht="13.15">
      <c r="A15" s="642" t="str">
        <f>"Net ODI payments to be applied at the end of the period"</f>
        <v>Net ODI payments to be applied at the end of the period</v>
      </c>
      <c r="B15" s="643"/>
      <c r="C15" s="643"/>
      <c r="D15" s="644"/>
      <c r="E15" s="645"/>
      <c r="F15" s="645"/>
      <c r="G15" s="645"/>
      <c r="H15" s="646"/>
      <c r="I15" s="645"/>
      <c r="J15" s="645"/>
      <c r="K15" s="645"/>
      <c r="L15" s="645"/>
    </row>
    <row r="16" spans="1:12" ht="13.15">
      <c r="A16" s="455"/>
      <c r="B16" s="687" t="s">
        <v>1579</v>
      </c>
      <c r="C16" s="455"/>
      <c r="D16" s="455"/>
      <c r="E16" s="455"/>
      <c r="F16" s="455"/>
      <c r="G16" s="455"/>
      <c r="H16" s="455"/>
      <c r="I16" s="455"/>
      <c r="J16" s="455"/>
      <c r="K16" s="455"/>
      <c r="L16" s="455"/>
    </row>
    <row r="17" spans="1:12" ht="13.15">
      <c r="A17" s="455"/>
      <c r="B17" s="455"/>
      <c r="C17" s="455"/>
      <c r="D17" s="455"/>
      <c r="E17" s="455"/>
      <c r="F17" s="455"/>
      <c r="G17" s="455"/>
      <c r="H17" s="455"/>
      <c r="I17" s="455"/>
      <c r="J17" s="455"/>
      <c r="K17" s="455"/>
      <c r="L17" s="455"/>
    </row>
    <row r="18" spans="1:12" ht="13.15">
      <c r="A18" s="455"/>
      <c r="B18" s="455"/>
      <c r="C18" s="460" t="s">
        <v>1546</v>
      </c>
      <c r="D18" s="455"/>
      <c r="E18" s="455"/>
      <c r="F18" s="455"/>
      <c r="G18" s="455"/>
      <c r="H18" s="455"/>
      <c r="I18" s="455"/>
      <c r="J18" s="455"/>
      <c r="K18" s="455"/>
      <c r="L18" s="455"/>
    </row>
    <row r="19" spans="1:12" ht="13.15">
      <c r="A19" s="455"/>
      <c r="B19" s="455"/>
      <c r="C19" s="455"/>
      <c r="D19" s="455"/>
      <c r="E19" s="655" t="str">
        <f>'Aggregate calculations'!E116</f>
        <v>Revenue adjustments - Net ODI payments (to be applied end of period) - Water resources</v>
      </c>
      <c r="F19" s="655">
        <f>'Aggregate calculations'!F116</f>
        <v>0</v>
      </c>
      <c r="G19" s="655" t="str">
        <f>'Aggregate calculations'!G116</f>
        <v>£m (2017-18 prices)</v>
      </c>
      <c r="H19" s="655"/>
      <c r="I19" s="455"/>
      <c r="J19" s="455"/>
      <c r="K19" s="455"/>
      <c r="L19" s="455"/>
    </row>
    <row r="20" spans="1:12" ht="13.15">
      <c r="A20" s="455"/>
      <c r="B20" s="455"/>
      <c r="C20" s="455"/>
      <c r="D20" s="455"/>
      <c r="E20" s="655" t="str">
        <f>'Aggregate calculations'!E117</f>
        <v>Revenue adjustments - Net ODI payments (to be applied end of period) - Water network plus</v>
      </c>
      <c r="F20" s="655">
        <f>'Aggregate calculations'!F117</f>
        <v>0</v>
      </c>
      <c r="G20" s="655" t="str">
        <f>'Aggregate calculations'!G117</f>
        <v>£m (2017-18 prices)</v>
      </c>
      <c r="H20" s="655"/>
      <c r="I20" s="455"/>
      <c r="J20" s="455"/>
      <c r="K20" s="455"/>
      <c r="L20" s="455"/>
    </row>
    <row r="21" spans="1:12" ht="13.15">
      <c r="A21" s="455"/>
      <c r="B21" s="455"/>
      <c r="C21" s="455"/>
      <c r="D21" s="455"/>
      <c r="E21" s="655" t="str">
        <f>'Aggregate calculations'!E118</f>
        <v>Revenue adjustments - Net ODI payments (to be applied end of period) - Wastewater network plus</v>
      </c>
      <c r="F21" s="655">
        <f>'Aggregate calculations'!F118</f>
        <v>0</v>
      </c>
      <c r="G21" s="655" t="str">
        <f>'Aggregate calculations'!G118</f>
        <v>£m (2017-18 prices)</v>
      </c>
      <c r="H21" s="655"/>
      <c r="I21" s="455"/>
      <c r="J21" s="455"/>
      <c r="K21" s="455"/>
      <c r="L21" s="455"/>
    </row>
    <row r="22" spans="1:12" ht="13.15">
      <c r="A22" s="455"/>
      <c r="B22" s="455"/>
      <c r="C22" s="455"/>
      <c r="D22" s="455"/>
      <c r="E22" s="655" t="str">
        <f>'Aggregate calculations'!E119</f>
        <v>Revenue adjustments - Net ODI payments (to be applied end of period) - Bioresources (sludge)</v>
      </c>
      <c r="F22" s="655">
        <f>'Aggregate calculations'!F119</f>
        <v>0</v>
      </c>
      <c r="G22" s="655" t="str">
        <f>'Aggregate calculations'!G119</f>
        <v>£m (2017-18 prices)</v>
      </c>
      <c r="H22" s="655"/>
      <c r="I22" s="455"/>
      <c r="J22" s="455"/>
      <c r="K22" s="455"/>
      <c r="L22" s="455"/>
    </row>
    <row r="23" spans="1:12" ht="13.15">
      <c r="A23" s="455"/>
      <c r="B23" s="455"/>
      <c r="C23" s="455"/>
      <c r="D23" s="455"/>
      <c r="E23" s="655" t="str">
        <f>'Aggregate calculations'!E120</f>
        <v>Revenue adjustments - Net ODI payments (to be applied end of period) - Residential retail</v>
      </c>
      <c r="F23" s="655">
        <f>'Aggregate calculations'!F120</f>
        <v>0</v>
      </c>
      <c r="G23" s="655" t="str">
        <f>'Aggregate calculations'!G120</f>
        <v>£m (2017-18 prices)</v>
      </c>
      <c r="H23" s="655"/>
      <c r="I23" s="455"/>
      <c r="J23" s="455"/>
      <c r="K23" s="455"/>
      <c r="L23" s="455"/>
    </row>
    <row r="24" spans="1:12" ht="13.15">
      <c r="A24" s="455"/>
      <c r="B24" s="455"/>
      <c r="C24" s="455"/>
      <c r="D24" s="455"/>
      <c r="E24" s="655" t="str">
        <f>'Aggregate calculations'!E121</f>
        <v>Revenue adjustments - Net ODI payments (to be applied end of period) - Business retail</v>
      </c>
      <c r="F24" s="655">
        <f>'Aggregate calculations'!F121</f>
        <v>0</v>
      </c>
      <c r="G24" s="655" t="str">
        <f>'Aggregate calculations'!G121</f>
        <v>£m (2017-18 prices)</v>
      </c>
      <c r="H24" s="655"/>
      <c r="I24" s="455"/>
      <c r="J24" s="455"/>
      <c r="K24" s="455"/>
      <c r="L24" s="455"/>
    </row>
    <row r="25" spans="1:12" ht="13.15">
      <c r="A25" s="455"/>
      <c r="B25" s="455"/>
      <c r="C25" s="455"/>
      <c r="D25" s="455"/>
      <c r="E25" s="655" t="str">
        <f>'Aggregate calculations'!E122</f>
        <v>Revenue adjustments - Net ODI payments (to be applied end of period) - Dummy control</v>
      </c>
      <c r="F25" s="655">
        <f>'Aggregate calculations'!F122</f>
        <v>0</v>
      </c>
      <c r="G25" s="655" t="str">
        <f>'Aggregate calculations'!G122</f>
        <v>£m (2017-18 prices)</v>
      </c>
      <c r="H25" s="655"/>
      <c r="I25" s="455"/>
      <c r="J25" s="455"/>
      <c r="K25" s="455"/>
      <c r="L25" s="455"/>
    </row>
    <row r="26" spans="1:12" ht="13.15">
      <c r="A26" s="455"/>
      <c r="B26" s="455"/>
      <c r="C26" s="455"/>
      <c r="D26" s="455"/>
      <c r="E26" s="455"/>
      <c r="F26" s="455"/>
      <c r="G26" s="455"/>
      <c r="H26" s="455"/>
      <c r="I26" s="455"/>
      <c r="J26" s="455"/>
      <c r="K26" s="455"/>
      <c r="L26" s="455"/>
    </row>
    <row r="27" spans="1:12" ht="13.15">
      <c r="A27" s="455"/>
      <c r="B27" s="455"/>
      <c r="C27" s="460" t="s">
        <v>1554</v>
      </c>
      <c r="D27" s="455"/>
      <c r="E27" s="455"/>
      <c r="F27" s="455"/>
      <c r="G27" s="455"/>
      <c r="H27" s="455"/>
      <c r="I27" s="455"/>
      <c r="J27" s="455"/>
      <c r="K27" s="455"/>
      <c r="L27" s="455"/>
    </row>
    <row r="28" spans="1:12" ht="13.15">
      <c r="A28" s="455"/>
      <c r="B28" s="455"/>
      <c r="C28" s="455"/>
      <c r="D28" s="455"/>
      <c r="E28" s="655" t="str">
        <f>'Aggregate calculations'!E125</f>
        <v>RCV adjustments - Net ODI adjustments (to be applied end of period) - Water resources</v>
      </c>
      <c r="F28" s="655">
        <f>'Aggregate calculations'!F125</f>
        <v>0</v>
      </c>
      <c r="G28" s="655" t="str">
        <f>'Aggregate calculations'!G125</f>
        <v>£m (2017-18 prices)</v>
      </c>
      <c r="H28" s="655"/>
      <c r="I28" s="455"/>
      <c r="J28" s="455"/>
      <c r="K28" s="455"/>
      <c r="L28" s="455"/>
    </row>
    <row r="29" spans="1:12" ht="13.15">
      <c r="A29" s="455"/>
      <c r="B29" s="455"/>
      <c r="C29" s="455"/>
      <c r="D29" s="455"/>
      <c r="E29" s="655" t="str">
        <f>'Aggregate calculations'!E126</f>
        <v>RCV adjustments - Net ODI adjustments (to be applied end of period) - Water network plus</v>
      </c>
      <c r="F29" s="655">
        <f>'Aggregate calculations'!F126</f>
        <v>0</v>
      </c>
      <c r="G29" s="655" t="str">
        <f>'Aggregate calculations'!G126</f>
        <v>£m (2017-18 prices)</v>
      </c>
      <c r="H29" s="655"/>
      <c r="I29" s="455"/>
      <c r="J29" s="455"/>
      <c r="K29" s="455"/>
      <c r="L29" s="455"/>
    </row>
    <row r="30" spans="1:12" ht="13.15">
      <c r="A30" s="455"/>
      <c r="B30" s="455"/>
      <c r="C30" s="455"/>
      <c r="D30" s="455"/>
      <c r="E30" s="655" t="str">
        <f>'Aggregate calculations'!E127</f>
        <v>RCV adjustments - Net ODI adjustments (to be applied end of period) - Wastewater network plus</v>
      </c>
      <c r="F30" s="655">
        <f>'Aggregate calculations'!F127</f>
        <v>0</v>
      </c>
      <c r="G30" s="655" t="str">
        <f>'Aggregate calculations'!G127</f>
        <v>£m (2017-18 prices)</v>
      </c>
      <c r="H30" s="655"/>
      <c r="I30" s="455"/>
      <c r="J30" s="455"/>
      <c r="K30" s="455"/>
      <c r="L30" s="455"/>
    </row>
    <row r="31" spans="1:12" ht="13.15">
      <c r="A31" s="455"/>
      <c r="B31" s="455"/>
      <c r="C31" s="455"/>
      <c r="D31" s="455"/>
      <c r="E31" s="655" t="str">
        <f>'Aggregate calculations'!E128</f>
        <v>RCV adjustments - Net ODI adjustments (to be applied end of period) - Bioresources (sludge)</v>
      </c>
      <c r="F31" s="655">
        <f>'Aggregate calculations'!F128</f>
        <v>0</v>
      </c>
      <c r="G31" s="655" t="str">
        <f>'Aggregate calculations'!G128</f>
        <v>£m (2017-18 prices)</v>
      </c>
      <c r="H31" s="655"/>
      <c r="I31" s="455"/>
      <c r="J31" s="455"/>
      <c r="K31" s="455"/>
      <c r="L31" s="455"/>
    </row>
    <row r="32" spans="1:12" ht="13.15">
      <c r="A32" s="455"/>
      <c r="B32" s="455"/>
      <c r="C32" s="455"/>
      <c r="D32" s="455"/>
      <c r="E32" s="655" t="str">
        <f>'Aggregate calculations'!E129</f>
        <v>RCV adjustments - Net ODI adjustments (to be applied end of period) - Residential retail</v>
      </c>
      <c r="F32" s="655">
        <f>'Aggregate calculations'!F129</f>
        <v>0</v>
      </c>
      <c r="G32" s="655" t="str">
        <f>'Aggregate calculations'!G129</f>
        <v>£m (2017-18 prices)</v>
      </c>
      <c r="H32" s="655"/>
      <c r="I32" s="455"/>
      <c r="J32" s="455"/>
      <c r="K32" s="455"/>
      <c r="L32" s="455"/>
    </row>
    <row r="33" spans="1:12" ht="13.15">
      <c r="A33" s="455"/>
      <c r="B33" s="455"/>
      <c r="C33" s="455"/>
      <c r="D33" s="455"/>
      <c r="E33" s="655" t="str">
        <f>'Aggregate calculations'!E130</f>
        <v>RCV adjustments - Net ODI adjustments (to be applied end of period) - Business retail</v>
      </c>
      <c r="F33" s="655">
        <f>'Aggregate calculations'!F130</f>
        <v>0</v>
      </c>
      <c r="G33" s="655" t="str">
        <f>'Aggregate calculations'!G130</f>
        <v>£m (2017-18 prices)</v>
      </c>
      <c r="H33" s="655"/>
      <c r="I33" s="455"/>
      <c r="J33" s="455"/>
      <c r="K33" s="455"/>
      <c r="L33" s="455"/>
    </row>
    <row r="34" spans="1:12" ht="13.15">
      <c r="A34" s="455"/>
      <c r="B34" s="455"/>
      <c r="C34" s="455"/>
      <c r="D34" s="455"/>
      <c r="E34" s="655" t="str">
        <f>'Aggregate calculations'!E131</f>
        <v>RCV adjustments - Net ODI adjustments (to be applied end of period) - Dummy control</v>
      </c>
      <c r="F34" s="655">
        <f>'Aggregate calculations'!F131</f>
        <v>0</v>
      </c>
      <c r="G34" s="655" t="str">
        <f>'Aggregate calculations'!G131</f>
        <v>£m (2017-18 prices)</v>
      </c>
      <c r="H34" s="655"/>
      <c r="I34" s="455"/>
      <c r="J34" s="455"/>
      <c r="K34" s="455"/>
      <c r="L34" s="455"/>
    </row>
    <row r="35" spans="1:12" ht="13.15">
      <c r="A35" s="455"/>
      <c r="B35" s="455"/>
      <c r="C35" s="455"/>
      <c r="D35" s="455"/>
      <c r="E35" s="455"/>
      <c r="F35" s="455"/>
      <c r="G35" s="455"/>
      <c r="H35" s="455"/>
      <c r="I35" s="455"/>
      <c r="J35" s="455"/>
      <c r="K35" s="455"/>
      <c r="L35" s="455"/>
    </row>
    <row r="36" spans="1:12" ht="20.25">
      <c r="A36" s="439" t="s">
        <v>980</v>
      </c>
      <c r="B36" s="185"/>
      <c r="C36" s="186"/>
      <c r="D36" s="187"/>
      <c r="E36" s="188"/>
      <c r="F36" s="188"/>
      <c r="G36" s="188"/>
      <c r="H36" s="188"/>
      <c r="I36" s="188"/>
      <c r="J36" s="188"/>
      <c r="K36" s="188"/>
      <c r="L36" s="188"/>
    </row>
  </sheetData>
  <conditionalFormatting sqref="E7:G13">
    <cfRule type="cellIs" dxfId="105" priority="7" operator="equal">
      <formula>0</formula>
    </cfRule>
  </conditionalFormatting>
  <conditionalFormatting sqref="F19:F25">
    <cfRule type="cellIs" dxfId="104" priority="6" operator="equal">
      <formula>0</formula>
    </cfRule>
  </conditionalFormatting>
  <conditionalFormatting sqref="F28:F34">
    <cfRule type="cellIs" dxfId="103" priority="5" operator="equal">
      <formula>0</formula>
    </cfRule>
  </conditionalFormatting>
  <conditionalFormatting sqref="H4:H13 E14:H14">
    <cfRule type="cellIs" dxfId="102" priority="10" operator="equal">
      <formula>0</formula>
    </cfRule>
  </conditionalFormatting>
  <conditionalFormatting sqref="H16:H36">
    <cfRule type="cellIs" dxfId="101" priority="8"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A8CFA-3029-4455-B4E5-CF5CC3FA3501}">
  <sheetPr>
    <tabColor theme="7"/>
    <pageSetUpPr fitToPage="1"/>
  </sheetPr>
  <dimension ref="A1:G120"/>
  <sheetViews>
    <sheetView zoomScale="80" zoomScaleNormal="80" workbookViewId="0"/>
  </sheetViews>
  <sheetFormatPr defaultColWidth="9" defaultRowHeight="14.25"/>
  <cols>
    <col min="1" max="1" width="7.25" style="1396" customWidth="1"/>
    <col min="2" max="2" width="30.625" style="1396" customWidth="1"/>
    <col min="3" max="3" width="145.625" style="1396" customWidth="1"/>
    <col min="4" max="4" width="4.625" style="1396" bestFit="1" customWidth="1"/>
    <col min="5" max="5" width="27.625" style="1396" customWidth="1"/>
    <col min="6" max="6" width="16.5" style="1396" bestFit="1" customWidth="1"/>
    <col min="7" max="7" width="10.375" style="1396" customWidth="1"/>
    <col min="8" max="16384" width="9" style="1396"/>
  </cols>
  <sheetData>
    <row r="1" spans="1:7">
      <c r="A1" s="1206"/>
      <c r="C1" s="1396" t="s">
        <v>1583</v>
      </c>
      <c r="D1"/>
      <c r="E1"/>
      <c r="F1" s="1397"/>
      <c r="G1"/>
    </row>
    <row r="2" spans="1:7">
      <c r="A2" s="1396" t="s">
        <v>983</v>
      </c>
      <c r="B2" s="1396" t="s">
        <v>1580</v>
      </c>
      <c r="C2" s="1396" t="s">
        <v>1090</v>
      </c>
      <c r="D2" s="1396" t="s">
        <v>114</v>
      </c>
      <c r="E2" s="1396" t="s">
        <v>1581</v>
      </c>
      <c r="F2" s="1396" t="s">
        <v>1582</v>
      </c>
      <c r="G2" s="1398" t="str">
        <f>'Validation summary'!B2</f>
        <v>2023-24</v>
      </c>
    </row>
    <row r="4" spans="1:7">
      <c r="B4" s="1208" t="s">
        <v>1584</v>
      </c>
      <c r="C4" s="1397" t="s">
        <v>1585</v>
      </c>
      <c r="D4" s="1397" t="s">
        <v>123</v>
      </c>
      <c r="E4" s="1397" t="s">
        <v>1586</v>
      </c>
      <c r="F4" s="1397"/>
      <c r="G4" s="1207">
        <f>'Model outputs - Aggregate level'!F7</f>
        <v>0.18745600000000007</v>
      </c>
    </row>
    <row r="5" spans="1:7">
      <c r="B5" s="1208" t="s">
        <v>1587</v>
      </c>
      <c r="C5" s="1397" t="s">
        <v>1588</v>
      </c>
      <c r="D5" s="1397" t="s">
        <v>123</v>
      </c>
      <c r="E5" s="1397" t="s">
        <v>1586</v>
      </c>
      <c r="F5" s="1397"/>
      <c r="G5" s="1207">
        <f>'Model outputs - Aggregate level'!F8</f>
        <v>-13.457406666666666</v>
      </c>
    </row>
    <row r="6" spans="1:7">
      <c r="B6" s="1208" t="s">
        <v>1589</v>
      </c>
      <c r="C6" s="1397" t="s">
        <v>1590</v>
      </c>
      <c r="D6" s="1397" t="s">
        <v>123</v>
      </c>
      <c r="E6" s="1397" t="s">
        <v>1586</v>
      </c>
      <c r="F6" s="1397"/>
      <c r="G6" s="1207">
        <f>'Model outputs - Aggregate level'!F9</f>
        <v>-17.650538489999999</v>
      </c>
    </row>
    <row r="7" spans="1:7">
      <c r="B7" s="1208" t="s">
        <v>1591</v>
      </c>
      <c r="C7" s="1397" t="s">
        <v>1592</v>
      </c>
      <c r="D7" s="1397" t="s">
        <v>123</v>
      </c>
      <c r="E7" s="1397" t="s">
        <v>1586</v>
      </c>
      <c r="F7" s="1397"/>
      <c r="G7" s="1207">
        <f>'Model outputs - Aggregate level'!F10</f>
        <v>-1.2862200000000001</v>
      </c>
    </row>
    <row r="8" spans="1:7">
      <c r="B8" s="1208" t="s">
        <v>1593</v>
      </c>
      <c r="C8" s="1397" t="s">
        <v>1594</v>
      </c>
      <c r="D8" s="1397" t="s">
        <v>123</v>
      </c>
      <c r="E8" s="1397" t="s">
        <v>1586</v>
      </c>
      <c r="F8" s="1397"/>
      <c r="G8" s="1207">
        <f>'Model outputs - Aggregate level'!F11</f>
        <v>-0.6</v>
      </c>
    </row>
    <row r="9" spans="1:7">
      <c r="B9" s="1208" t="s">
        <v>1595</v>
      </c>
      <c r="C9" s="1397" t="s">
        <v>1596</v>
      </c>
      <c r="D9" s="1397" t="s">
        <v>123</v>
      </c>
      <c r="E9" s="1397" t="s">
        <v>1586</v>
      </c>
      <c r="F9" s="1397"/>
      <c r="G9" s="1207">
        <f>'Model outputs - Aggregate level'!F12</f>
        <v>0</v>
      </c>
    </row>
    <row r="10" spans="1:7">
      <c r="B10" s="1208" t="s">
        <v>1597</v>
      </c>
      <c r="C10" s="1397" t="s">
        <v>1598</v>
      </c>
      <c r="D10" s="1397" t="s">
        <v>123</v>
      </c>
      <c r="E10" s="1397" t="s">
        <v>1586</v>
      </c>
      <c r="F10" s="1397"/>
      <c r="G10" s="1207">
        <f>'Model outputs - Aggregate level'!F13</f>
        <v>0</v>
      </c>
    </row>
    <row r="11" spans="1:7">
      <c r="B11" s="1208" t="s">
        <v>1599</v>
      </c>
      <c r="C11" s="1397" t="s">
        <v>1600</v>
      </c>
      <c r="D11" s="1397" t="s">
        <v>123</v>
      </c>
      <c r="E11" s="1397" t="s">
        <v>1586</v>
      </c>
      <c r="F11" s="1397"/>
      <c r="G11" s="1207">
        <f>'Model outputs - Aggregate level'!F19</f>
        <v>0</v>
      </c>
    </row>
    <row r="12" spans="1:7">
      <c r="B12" s="1208" t="s">
        <v>1601</v>
      </c>
      <c r="C12" s="1397" t="s">
        <v>1602</v>
      </c>
      <c r="D12" s="1397" t="s">
        <v>123</v>
      </c>
      <c r="E12" s="1397" t="s">
        <v>1586</v>
      </c>
      <c r="F12" s="1397"/>
      <c r="G12" s="1207">
        <f>'Model outputs - Aggregate level'!F20</f>
        <v>0</v>
      </c>
    </row>
    <row r="13" spans="1:7">
      <c r="B13" s="1208" t="s">
        <v>1603</v>
      </c>
      <c r="C13" s="1397" t="s">
        <v>1604</v>
      </c>
      <c r="D13" s="1397" t="s">
        <v>123</v>
      </c>
      <c r="E13" s="1397" t="s">
        <v>1586</v>
      </c>
      <c r="F13" s="1397"/>
      <c r="G13" s="1207">
        <f>'Model outputs - Aggregate level'!F21</f>
        <v>0</v>
      </c>
    </row>
    <row r="14" spans="1:7">
      <c r="B14" s="1208" t="s">
        <v>1605</v>
      </c>
      <c r="C14" s="1397" t="s">
        <v>1606</v>
      </c>
      <c r="D14" s="1397" t="s">
        <v>123</v>
      </c>
      <c r="E14" s="1397" t="s">
        <v>1586</v>
      </c>
      <c r="F14" s="1397"/>
      <c r="G14" s="1207">
        <f>'Model outputs - Aggregate level'!F22</f>
        <v>0</v>
      </c>
    </row>
    <row r="15" spans="1:7">
      <c r="B15" s="1208" t="s">
        <v>1607</v>
      </c>
      <c r="C15" s="1397" t="s">
        <v>1608</v>
      </c>
      <c r="D15" s="1397" t="s">
        <v>123</v>
      </c>
      <c r="E15" s="1397" t="s">
        <v>1586</v>
      </c>
      <c r="F15" s="1397"/>
      <c r="G15" s="1207">
        <f>'Model outputs - Aggregate level'!F23</f>
        <v>0</v>
      </c>
    </row>
    <row r="16" spans="1:7">
      <c r="B16" s="1208" t="s">
        <v>1609</v>
      </c>
      <c r="C16" s="1397" t="s">
        <v>1610</v>
      </c>
      <c r="D16" s="1397" t="s">
        <v>123</v>
      </c>
      <c r="E16" s="1397" t="s">
        <v>1586</v>
      </c>
      <c r="F16" s="1397"/>
      <c r="G16" s="1207">
        <f>'Model outputs - Aggregate level'!F24</f>
        <v>0</v>
      </c>
    </row>
    <row r="17" spans="1:7">
      <c r="B17" s="1208" t="s">
        <v>1611</v>
      </c>
      <c r="C17" s="1397" t="s">
        <v>1612</v>
      </c>
      <c r="D17" s="1397" t="s">
        <v>123</v>
      </c>
      <c r="E17" s="1397" t="s">
        <v>1586</v>
      </c>
      <c r="F17" s="1397"/>
      <c r="G17" s="1207">
        <f>'Model outputs - Aggregate level'!F25</f>
        <v>0</v>
      </c>
    </row>
    <row r="18" spans="1:7">
      <c r="B18" s="1208" t="s">
        <v>1613</v>
      </c>
      <c r="C18" s="1397" t="s">
        <v>1614</v>
      </c>
      <c r="D18" s="1397" t="s">
        <v>123</v>
      </c>
      <c r="E18" s="1397" t="s">
        <v>1586</v>
      </c>
      <c r="F18" s="1397"/>
      <c r="G18" s="1207">
        <f>'Model outputs - Aggregate level'!F28</f>
        <v>0</v>
      </c>
    </row>
    <row r="19" spans="1:7">
      <c r="B19" s="1208" t="s">
        <v>1615</v>
      </c>
      <c r="C19" s="1397" t="s">
        <v>1616</v>
      </c>
      <c r="D19" s="1397" t="s">
        <v>123</v>
      </c>
      <c r="E19" s="1397" t="s">
        <v>1586</v>
      </c>
      <c r="F19" s="1397"/>
      <c r="G19" s="1207">
        <f>'Model outputs - Aggregate level'!F29</f>
        <v>0</v>
      </c>
    </row>
    <row r="20" spans="1:7">
      <c r="B20" s="1208" t="s">
        <v>1617</v>
      </c>
      <c r="C20" s="1397" t="s">
        <v>1618</v>
      </c>
      <c r="D20" s="1397" t="s">
        <v>123</v>
      </c>
      <c r="E20" s="1397" t="s">
        <v>1586</v>
      </c>
      <c r="F20" s="1397"/>
      <c r="G20" s="1207">
        <f>'Model outputs - Aggregate level'!F30</f>
        <v>0</v>
      </c>
    </row>
    <row r="21" spans="1:7">
      <c r="B21" s="1208" t="s">
        <v>1619</v>
      </c>
      <c r="C21" s="1397" t="s">
        <v>1620</v>
      </c>
      <c r="D21" s="1397" t="s">
        <v>123</v>
      </c>
      <c r="E21" s="1397" t="s">
        <v>1586</v>
      </c>
      <c r="F21" s="1397"/>
      <c r="G21" s="1207">
        <f>'Model outputs - Aggregate level'!F31</f>
        <v>0</v>
      </c>
    </row>
    <row r="22" spans="1:7">
      <c r="B22" s="1208" t="s">
        <v>1621</v>
      </c>
      <c r="C22" s="1397" t="s">
        <v>1622</v>
      </c>
      <c r="D22" s="1397" t="s">
        <v>123</v>
      </c>
      <c r="E22" s="1397" t="s">
        <v>1586</v>
      </c>
      <c r="F22" s="1397"/>
      <c r="G22" s="1207">
        <f>'Model outputs - Aggregate level'!F32</f>
        <v>0</v>
      </c>
    </row>
    <row r="23" spans="1:7">
      <c r="A23" s="1397"/>
      <c r="B23" s="1208" t="s">
        <v>1623</v>
      </c>
      <c r="C23" s="1397" t="s">
        <v>1624</v>
      </c>
      <c r="D23" s="1397" t="s">
        <v>123</v>
      </c>
      <c r="E23" s="1397" t="s">
        <v>1586</v>
      </c>
      <c r="F23" s="1397"/>
      <c r="G23" s="1207">
        <f>'Model outputs - Aggregate level'!F33</f>
        <v>0</v>
      </c>
    </row>
    <row r="24" spans="1:7">
      <c r="A24" s="1397"/>
      <c r="B24" s="1208" t="s">
        <v>1625</v>
      </c>
      <c r="C24" s="1397" t="s">
        <v>1626</v>
      </c>
      <c r="D24" s="1397" t="s">
        <v>123</v>
      </c>
      <c r="E24" s="1397" t="s">
        <v>1586</v>
      </c>
      <c r="F24" s="1397"/>
      <c r="G24" s="1207">
        <f>'Model outputs - Aggregate level'!F34</f>
        <v>0</v>
      </c>
    </row>
    <row r="25" spans="1:7">
      <c r="A25" s="1397"/>
      <c r="B25" s="1208" t="s">
        <v>1627</v>
      </c>
      <c r="C25" s="1397" t="s">
        <v>1628</v>
      </c>
      <c r="D25" s="1397" t="s">
        <v>1033</v>
      </c>
      <c r="E25" s="1397" t="s">
        <v>1586</v>
      </c>
      <c r="F25" s="1397" t="str">
        <f>'Model outputs - interventions'!F7</f>
        <v>PR19SRN_WN02</v>
      </c>
      <c r="G25" s="1207">
        <f>'Model outputs - interventions'!K7</f>
        <v>3.0649999999999999</v>
      </c>
    </row>
    <row r="26" spans="1:7">
      <c r="A26" s="1397"/>
      <c r="B26" s="1208" t="s">
        <v>1629</v>
      </c>
      <c r="C26" s="1397" t="s">
        <v>1630</v>
      </c>
      <c r="D26" s="1397" t="s">
        <v>1033</v>
      </c>
      <c r="E26" s="1397" t="s">
        <v>1586</v>
      </c>
      <c r="F26" s="1397" t="str">
        <f>'Model outputs - interventions'!F8</f>
        <v>PR19SRN_WN03</v>
      </c>
      <c r="G26" s="1207">
        <f>'Model outputs - interventions'!K8</f>
        <v>5.6635957305140185E-2</v>
      </c>
    </row>
    <row r="27" spans="1:7">
      <c r="A27" s="1397"/>
      <c r="B27" s="1208" t="s">
        <v>1631</v>
      </c>
      <c r="C27" s="1397" t="s">
        <v>1632</v>
      </c>
      <c r="D27" s="1397" t="s">
        <v>1033</v>
      </c>
      <c r="E27" s="1397" t="s">
        <v>1586</v>
      </c>
      <c r="F27" s="1397" t="str">
        <f>'Model outputs - interventions'!F9</f>
        <v>PR19SRN_WN04</v>
      </c>
      <c r="G27" s="1207">
        <f>'Model outputs - interventions'!K9</f>
        <v>-4.404404404404394</v>
      </c>
    </row>
    <row r="28" spans="1:7">
      <c r="A28" s="1397"/>
      <c r="B28" s="1208" t="s">
        <v>1633</v>
      </c>
      <c r="C28" s="1397" t="s">
        <v>1634</v>
      </c>
      <c r="D28" s="1397" t="s">
        <v>1033</v>
      </c>
      <c r="E28" s="1397" t="s">
        <v>1586</v>
      </c>
      <c r="F28" s="1397" t="str">
        <f>'Model outputs - interventions'!F10</f>
        <v/>
      </c>
      <c r="G28" s="1207" t="str">
        <f>'Model outputs - interventions'!K10</f>
        <v/>
      </c>
    </row>
    <row r="29" spans="1:7">
      <c r="A29" s="1397"/>
      <c r="B29" s="1208" t="s">
        <v>1635</v>
      </c>
      <c r="C29" s="1397" t="s">
        <v>1636</v>
      </c>
      <c r="D29" s="1397" t="s">
        <v>1033</v>
      </c>
      <c r="E29" s="1397" t="s">
        <v>1586</v>
      </c>
      <c r="F29" s="1397" t="str">
        <f>'Model outputs - interventions'!F11</f>
        <v>PR19SRN_WR01</v>
      </c>
      <c r="G29" s="1207">
        <f>'Model outputs - interventions'!K11</f>
        <v>-1.2499999999999956</v>
      </c>
    </row>
    <row r="30" spans="1:7">
      <c r="A30" s="1397"/>
      <c r="B30" s="1208" t="s">
        <v>1637</v>
      </c>
      <c r="C30" s="1397" t="s">
        <v>1638</v>
      </c>
      <c r="D30" s="1397" t="s">
        <v>1033</v>
      </c>
      <c r="E30" s="1397" t="s">
        <v>1586</v>
      </c>
      <c r="F30" s="1397" t="str">
        <f>'Model outputs - interventions'!F12</f>
        <v/>
      </c>
      <c r="G30" s="1207" t="str">
        <f>'Model outputs - interventions'!K12</f>
        <v/>
      </c>
    </row>
    <row r="31" spans="1:7">
      <c r="A31" s="1397"/>
      <c r="B31" s="1208" t="s">
        <v>1639</v>
      </c>
      <c r="C31" s="1397" t="s">
        <v>1640</v>
      </c>
      <c r="D31" s="1397" t="s">
        <v>1033</v>
      </c>
      <c r="E31" s="1397" t="s">
        <v>1586</v>
      </c>
      <c r="F31" s="1397" t="str">
        <f>'Model outputs - interventions'!F13</f>
        <v>PR19SRN_WN05</v>
      </c>
      <c r="G31" s="1207">
        <f>'Model outputs - interventions'!K13</f>
        <v>121.09414139100812</v>
      </c>
    </row>
    <row r="32" spans="1:7">
      <c r="A32" s="1397"/>
      <c r="B32" s="1208" t="s">
        <v>1641</v>
      </c>
      <c r="C32" s="1397" t="s">
        <v>1642</v>
      </c>
      <c r="D32" s="1397" t="s">
        <v>1033</v>
      </c>
      <c r="E32" s="1397" t="s">
        <v>1586</v>
      </c>
      <c r="F32" s="1397" t="str">
        <f>'Model outputs - interventions'!F14</f>
        <v>PR19SRN_WN06</v>
      </c>
      <c r="G32" s="1207">
        <f>'Model outputs - interventions'!K14</f>
        <v>5.6772736178501049</v>
      </c>
    </row>
    <row r="33" spans="1:7">
      <c r="A33" s="1397"/>
      <c r="B33" s="1208" t="s">
        <v>1643</v>
      </c>
      <c r="C33" s="1397" t="s">
        <v>1644</v>
      </c>
      <c r="D33" s="1397" t="s">
        <v>1033</v>
      </c>
      <c r="E33" s="1397" t="s">
        <v>1586</v>
      </c>
      <c r="F33" s="1397" t="str">
        <f>'Model outputs - interventions'!F15</f>
        <v>PR19SRN_WN07</v>
      </c>
      <c r="G33" s="1207">
        <f>'Model outputs - interventions'!K15</f>
        <v>1</v>
      </c>
    </row>
    <row r="34" spans="1:7">
      <c r="A34" s="1397"/>
      <c r="B34" s="1208" t="s">
        <v>1645</v>
      </c>
      <c r="C34" s="1397" t="s">
        <v>1646</v>
      </c>
      <c r="D34" s="1397" t="s">
        <v>1033</v>
      </c>
      <c r="E34" s="1397" t="s">
        <v>1586</v>
      </c>
      <c r="F34" s="1397" t="str">
        <f>'Model outputs - interventions'!F16</f>
        <v>PR19SRN_WN08</v>
      </c>
      <c r="G34" s="1207">
        <f>'Model outputs - interventions'!K16</f>
        <v>0.24</v>
      </c>
    </row>
    <row r="35" spans="1:7">
      <c r="A35" s="1397"/>
      <c r="B35" s="1208" t="s">
        <v>1647</v>
      </c>
      <c r="C35" s="1397" t="s">
        <v>1648</v>
      </c>
      <c r="D35" s="1397" t="s">
        <v>1033</v>
      </c>
      <c r="E35" s="1397" t="s">
        <v>1586</v>
      </c>
      <c r="F35" s="1397" t="str">
        <f>'Model outputs - interventions'!F17</f>
        <v>PR19SRN_WR05</v>
      </c>
      <c r="G35" s="1207">
        <f>'Model outputs - interventions'!K17</f>
        <v>-19</v>
      </c>
    </row>
    <row r="36" spans="1:7">
      <c r="A36" s="1397"/>
      <c r="B36" s="1208" t="s">
        <v>1649</v>
      </c>
      <c r="C36" s="1397" t="s">
        <v>1650</v>
      </c>
      <c r="D36" s="1397" t="s">
        <v>1033</v>
      </c>
      <c r="E36" s="1397" t="s">
        <v>1586</v>
      </c>
      <c r="F36" s="1397" t="str">
        <f>'Model outputs - interventions'!F18</f>
        <v>PR19SRN_RR02</v>
      </c>
      <c r="G36" s="1207">
        <f>'Model outputs - interventions'!K18</f>
        <v>0</v>
      </c>
    </row>
    <row r="37" spans="1:7">
      <c r="A37" s="1397"/>
      <c r="B37" s="1208" t="s">
        <v>1651</v>
      </c>
      <c r="C37" s="1397" t="s">
        <v>1652</v>
      </c>
      <c r="D37" s="1397" t="s">
        <v>1033</v>
      </c>
      <c r="E37" s="1397" t="s">
        <v>1586</v>
      </c>
      <c r="F37" s="1397" t="str">
        <f>'Model outputs - interventions'!F19</f>
        <v>PR19SRN_RR03</v>
      </c>
      <c r="G37" s="1207">
        <f>'Model outputs - interventions'!K19</f>
        <v>2.97</v>
      </c>
    </row>
    <row r="38" spans="1:7">
      <c r="A38" s="1397"/>
      <c r="B38" s="1208" t="s">
        <v>1653</v>
      </c>
      <c r="C38" s="1397" t="s">
        <v>1654</v>
      </c>
      <c r="D38" s="1397" t="s">
        <v>1033</v>
      </c>
      <c r="E38" s="1397" t="s">
        <v>1586</v>
      </c>
      <c r="F38" s="1397" t="str">
        <f>'Model outputs - interventions'!F20</f>
        <v>PR19SRN_WN09</v>
      </c>
      <c r="G38" s="1207">
        <f>'Model outputs - interventions'!K20</f>
        <v>0</v>
      </c>
    </row>
    <row r="39" spans="1:7">
      <c r="A39" s="1397"/>
      <c r="B39" s="1208" t="s">
        <v>1655</v>
      </c>
      <c r="C39" s="1397" t="s">
        <v>1656</v>
      </c>
      <c r="D39" s="1397" t="s">
        <v>1033</v>
      </c>
      <c r="E39" s="1397" t="s">
        <v>1586</v>
      </c>
      <c r="F39" s="1397" t="str">
        <f>'Model outputs - interventions'!F21</f>
        <v>PR19SRN_WN11</v>
      </c>
      <c r="G39" s="1207">
        <f>'Model outputs - interventions'!K21</f>
        <v>173</v>
      </c>
    </row>
    <row r="40" spans="1:7">
      <c r="A40" s="1397"/>
      <c r="B40" s="1208" t="s">
        <v>1657</v>
      </c>
      <c r="C40" s="1397" t="s">
        <v>1658</v>
      </c>
      <c r="D40" s="1397" t="s">
        <v>1033</v>
      </c>
      <c r="E40" s="1397" t="s">
        <v>1586</v>
      </c>
      <c r="F40" s="1397" t="str">
        <f>'Model outputs - interventions'!F22</f>
        <v>PR19SRN_WN13</v>
      </c>
      <c r="G40" s="1207">
        <f>'Model outputs - interventions'!K22</f>
        <v>51</v>
      </c>
    </row>
    <row r="41" spans="1:7">
      <c r="A41" s="1397"/>
      <c r="B41" s="1208" t="s">
        <v>1659</v>
      </c>
      <c r="C41" s="1397" t="s">
        <v>1660</v>
      </c>
      <c r="D41" s="1397" t="s">
        <v>1033</v>
      </c>
      <c r="E41" s="1397" t="s">
        <v>1586</v>
      </c>
      <c r="F41" s="1397" t="str">
        <f>'Model outputs - interventions'!F23</f>
        <v>PR19SRN_WR07</v>
      </c>
      <c r="G41" s="1207">
        <f>'Model outputs - interventions'!K23</f>
        <v>0</v>
      </c>
    </row>
    <row r="42" spans="1:7">
      <c r="A42" s="1397"/>
      <c r="B42" s="1208" t="s">
        <v>1661</v>
      </c>
      <c r="C42" s="1397" t="s">
        <v>1662</v>
      </c>
      <c r="D42" s="1397" t="s">
        <v>1033</v>
      </c>
      <c r="E42" s="1397" t="s">
        <v>1586</v>
      </c>
      <c r="F42" s="1397" t="str">
        <f>'Model outputs - interventions'!F24</f>
        <v/>
      </c>
      <c r="G42" s="1207" t="str">
        <f>'Model outputs - interventions'!K24</f>
        <v/>
      </c>
    </row>
    <row r="43" spans="1:7">
      <c r="A43" s="1397"/>
      <c r="B43" s="1208" t="s">
        <v>1663</v>
      </c>
      <c r="C43" s="1397" t="s">
        <v>1664</v>
      </c>
      <c r="D43" s="1397" t="s">
        <v>1033</v>
      </c>
      <c r="E43" s="1397" t="s">
        <v>1586</v>
      </c>
      <c r="F43" s="1397" t="str">
        <f>'Model outputs - interventions'!F25</f>
        <v/>
      </c>
      <c r="G43" s="1207" t="str">
        <f>'Model outputs - interventions'!K25</f>
        <v/>
      </c>
    </row>
    <row r="44" spans="1:7">
      <c r="A44" s="1397"/>
      <c r="B44" s="1208" t="s">
        <v>1665</v>
      </c>
      <c r="C44" s="1397" t="s">
        <v>1666</v>
      </c>
      <c r="D44" s="1397" t="s">
        <v>1033</v>
      </c>
      <c r="E44" s="1397" t="s">
        <v>1586</v>
      </c>
      <c r="F44" s="1397" t="str">
        <f>'Model outputs - interventions'!F26</f>
        <v/>
      </c>
      <c r="G44" s="1207" t="str">
        <f>'Model outputs - interventions'!K26</f>
        <v/>
      </c>
    </row>
    <row r="45" spans="1:7">
      <c r="A45" s="1397"/>
      <c r="B45" s="1208" t="s">
        <v>1667</v>
      </c>
      <c r="C45" s="1397" t="s">
        <v>1668</v>
      </c>
      <c r="D45" s="1397" t="s">
        <v>1033</v>
      </c>
      <c r="E45" s="1397" t="s">
        <v>1586</v>
      </c>
      <c r="F45" s="1397" t="str">
        <f>'Model outputs - interventions'!F27</f>
        <v/>
      </c>
      <c r="G45" s="1207" t="str">
        <f>'Model outputs - interventions'!K27</f>
        <v/>
      </c>
    </row>
    <row r="46" spans="1:7">
      <c r="A46" s="1397"/>
      <c r="B46" s="1208" t="s">
        <v>1669</v>
      </c>
      <c r="C46" s="1397" t="s">
        <v>1670</v>
      </c>
      <c r="D46" s="1397" t="s">
        <v>1033</v>
      </c>
      <c r="E46" s="1397" t="s">
        <v>1586</v>
      </c>
      <c r="F46" s="1397" t="str">
        <f>'Model outputs - interventions'!F28</f>
        <v/>
      </c>
      <c r="G46" s="1207" t="str">
        <f>'Model outputs - interventions'!K28</f>
        <v/>
      </c>
    </row>
    <row r="47" spans="1:7">
      <c r="A47" s="1397"/>
      <c r="B47" s="1208" t="s">
        <v>1671</v>
      </c>
      <c r="C47" s="1397" t="s">
        <v>1672</v>
      </c>
      <c r="D47" s="1397" t="s">
        <v>1033</v>
      </c>
      <c r="E47" s="1397" t="s">
        <v>1586</v>
      </c>
      <c r="F47" s="1397" t="str">
        <f>'Model outputs - interventions'!F29</f>
        <v/>
      </c>
      <c r="G47" s="1207" t="str">
        <f>'Model outputs - interventions'!K29</f>
        <v/>
      </c>
    </row>
    <row r="48" spans="1:7">
      <c r="A48" s="1397"/>
      <c r="B48" s="1208" t="s">
        <v>1673</v>
      </c>
      <c r="C48" s="1397" t="s">
        <v>1674</v>
      </c>
      <c r="D48" s="1397" t="s">
        <v>1033</v>
      </c>
      <c r="E48" s="1397" t="s">
        <v>1586</v>
      </c>
      <c r="F48" s="1397" t="str">
        <f>'Model outputs - interventions'!F30</f>
        <v/>
      </c>
      <c r="G48" s="1207" t="str">
        <f>'Model outputs - interventions'!K30</f>
        <v/>
      </c>
    </row>
    <row r="49" spans="1:7">
      <c r="A49" s="1397"/>
      <c r="B49" s="1208" t="s">
        <v>1675</v>
      </c>
      <c r="C49" s="1397" t="s">
        <v>1676</v>
      </c>
      <c r="D49" s="1397" t="s">
        <v>1033</v>
      </c>
      <c r="E49" s="1397" t="s">
        <v>1586</v>
      </c>
      <c r="F49" s="1397" t="str">
        <f>'Model outputs - interventions'!F31</f>
        <v/>
      </c>
      <c r="G49" s="1207" t="str">
        <f>'Model outputs - interventions'!K31</f>
        <v/>
      </c>
    </row>
    <row r="50" spans="1:7">
      <c r="A50" s="1397"/>
      <c r="B50" s="1208" t="s">
        <v>1677</v>
      </c>
      <c r="C50" s="1397" t="s">
        <v>1678</v>
      </c>
      <c r="D50" s="1397" t="s">
        <v>1033</v>
      </c>
      <c r="E50" s="1397" t="s">
        <v>1586</v>
      </c>
      <c r="F50" s="1397" t="str">
        <f>'Model outputs - interventions'!F32</f>
        <v/>
      </c>
      <c r="G50" s="1207" t="str">
        <f>'Model outputs - interventions'!K32</f>
        <v/>
      </c>
    </row>
    <row r="51" spans="1:7">
      <c r="A51" s="1397"/>
      <c r="B51" s="1208" t="s">
        <v>1679</v>
      </c>
      <c r="C51" s="1397" t="s">
        <v>1680</v>
      </c>
      <c r="D51" s="1397" t="s">
        <v>1033</v>
      </c>
      <c r="E51" s="1397" t="s">
        <v>1586</v>
      </c>
      <c r="F51" s="1397" t="str">
        <f>'Model outputs - interventions'!F33</f>
        <v/>
      </c>
      <c r="G51" s="1207" t="str">
        <f>'Model outputs - interventions'!K33</f>
        <v/>
      </c>
    </row>
    <row r="52" spans="1:7">
      <c r="A52" s="1397"/>
      <c r="B52" s="1208" t="s">
        <v>1681</v>
      </c>
      <c r="C52" s="1397" t="s">
        <v>1682</v>
      </c>
      <c r="D52" s="1397" t="s">
        <v>1033</v>
      </c>
      <c r="E52" s="1397" t="s">
        <v>1586</v>
      </c>
      <c r="F52" s="1397" t="str">
        <f>'Model outputs - interventions'!F34</f>
        <v/>
      </c>
      <c r="G52" s="1207" t="str">
        <f>'Model outputs - interventions'!K34</f>
        <v/>
      </c>
    </row>
    <row r="53" spans="1:7">
      <c r="A53" s="1397"/>
      <c r="B53" s="1208" t="s">
        <v>1683</v>
      </c>
      <c r="C53" s="1397" t="s">
        <v>1684</v>
      </c>
      <c r="D53" s="1397" t="s">
        <v>1033</v>
      </c>
      <c r="E53" s="1397" t="s">
        <v>1586</v>
      </c>
      <c r="F53" s="1397" t="str">
        <f>'Model outputs - interventions'!F35</f>
        <v>PR19SRN_WWN01</v>
      </c>
      <c r="G53" s="1207">
        <f>'Model outputs - interventions'!K35</f>
        <v>2.5721106095414079</v>
      </c>
    </row>
    <row r="54" spans="1:7">
      <c r="A54" s="1397"/>
      <c r="B54" s="1208" t="s">
        <v>1685</v>
      </c>
      <c r="C54" s="1397" t="s">
        <v>1686</v>
      </c>
      <c r="D54" s="1397" t="s">
        <v>1033</v>
      </c>
      <c r="E54" s="1397" t="s">
        <v>1586</v>
      </c>
      <c r="F54" s="1397" t="str">
        <f>'Model outputs - interventions'!F36</f>
        <v>PR19SRN_WWN02</v>
      </c>
      <c r="G54" s="1207">
        <f>'Model outputs - interventions'!K36</f>
        <v>58.899041002793929</v>
      </c>
    </row>
    <row r="55" spans="1:7">
      <c r="A55" s="1397"/>
      <c r="B55" s="1208" t="s">
        <v>1687</v>
      </c>
      <c r="C55" s="1397" t="s">
        <v>1688</v>
      </c>
      <c r="D55" s="1397" t="s">
        <v>1033</v>
      </c>
      <c r="E55" s="1397" t="s">
        <v>1586</v>
      </c>
      <c r="F55" s="1397" t="str">
        <f>'Model outputs - interventions'!F37</f>
        <v>PR19SRN_WWN04</v>
      </c>
      <c r="G55" s="1207">
        <f>'Model outputs - interventions'!K37</f>
        <v>5.8454697609352753</v>
      </c>
    </row>
    <row r="56" spans="1:7">
      <c r="A56" s="1397"/>
      <c r="B56" s="1208" t="s">
        <v>1689</v>
      </c>
      <c r="C56" s="1397" t="s">
        <v>1690</v>
      </c>
      <c r="D56" s="1397" t="s">
        <v>1033</v>
      </c>
      <c r="E56" s="1397" t="s">
        <v>1586</v>
      </c>
      <c r="F56" s="1397" t="str">
        <f>'Model outputs - interventions'!F38</f>
        <v>PR19SRN_WWN05</v>
      </c>
      <c r="G56" s="1207">
        <f>'Model outputs - interventions'!K38</f>
        <v>99.36</v>
      </c>
    </row>
    <row r="57" spans="1:7">
      <c r="A57" s="1397"/>
      <c r="B57" s="1208" t="s">
        <v>1691</v>
      </c>
      <c r="C57" s="1397" t="s">
        <v>1692</v>
      </c>
      <c r="D57" s="1397" t="s">
        <v>1033</v>
      </c>
      <c r="E57" s="1397" t="s">
        <v>1586</v>
      </c>
      <c r="F57" s="1397" t="str">
        <f>'Model outputs - interventions'!F39</f>
        <v>PR19SRN_WWN07</v>
      </c>
      <c r="G57" s="1207">
        <f>'Model outputs - interventions'!K39</f>
        <v>79</v>
      </c>
    </row>
    <row r="58" spans="1:7">
      <c r="A58" s="1397"/>
      <c r="B58" s="1208" t="s">
        <v>1693</v>
      </c>
      <c r="C58" s="1397" t="s">
        <v>1694</v>
      </c>
      <c r="D58" s="1397" t="s">
        <v>1033</v>
      </c>
      <c r="E58" s="1397" t="s">
        <v>1586</v>
      </c>
      <c r="F58" s="1397" t="str">
        <f>'Model outputs - interventions'!F40</f>
        <v>PR19SRN_BIO01</v>
      </c>
      <c r="G58" s="1207">
        <f>'Model outputs - interventions'!K40</f>
        <v>13.32</v>
      </c>
    </row>
    <row r="59" spans="1:7">
      <c r="A59" s="1397"/>
      <c r="B59" s="1208" t="s">
        <v>1695</v>
      </c>
      <c r="C59" s="1397" t="s">
        <v>1696</v>
      </c>
      <c r="D59" s="1397" t="s">
        <v>1033</v>
      </c>
      <c r="E59" s="1397" t="s">
        <v>1586</v>
      </c>
      <c r="F59" s="1397" t="str">
        <f>'Model outputs - interventions'!F41</f>
        <v>PR19SRN_BIO02</v>
      </c>
      <c r="G59" s="1207">
        <f>'Model outputs - interventions'!K41</f>
        <v>100</v>
      </c>
    </row>
    <row r="60" spans="1:7">
      <c r="A60" s="1397"/>
      <c r="B60" s="1208" t="s">
        <v>1697</v>
      </c>
      <c r="C60" s="1397" t="s">
        <v>1698</v>
      </c>
      <c r="D60" s="1397" t="s">
        <v>1033</v>
      </c>
      <c r="E60" s="1397" t="s">
        <v>1586</v>
      </c>
      <c r="F60" s="1397" t="str">
        <f>'Model outputs - interventions'!F42</f>
        <v>PR19SRN_WWN09</v>
      </c>
      <c r="G60" s="1207">
        <f>'Model outputs - interventions'!K42</f>
        <v>102.7</v>
      </c>
    </row>
    <row r="61" spans="1:7">
      <c r="A61" s="1397"/>
      <c r="B61" s="1208" t="s">
        <v>1699</v>
      </c>
      <c r="C61" s="1397" t="s">
        <v>1700</v>
      </c>
      <c r="D61" s="1397" t="s">
        <v>1033</v>
      </c>
      <c r="E61" s="1397" t="s">
        <v>1586</v>
      </c>
      <c r="F61" s="1397" t="str">
        <f>'Model outputs - interventions'!F43</f>
        <v>PR19SRN_WWN11</v>
      </c>
      <c r="G61" s="1207">
        <f>'Model outputs - interventions'!K43</f>
        <v>48</v>
      </c>
    </row>
    <row r="62" spans="1:7">
      <c r="A62" s="1397"/>
      <c r="B62" s="1208" t="s">
        <v>1701</v>
      </c>
      <c r="C62" s="1397" t="s">
        <v>1702</v>
      </c>
      <c r="D62" s="1397" t="s">
        <v>1033</v>
      </c>
      <c r="E62" s="1397" t="s">
        <v>1586</v>
      </c>
      <c r="F62" s="1397" t="str">
        <f>'Model outputs - interventions'!F44</f>
        <v>PR19SRN_WWN12</v>
      </c>
      <c r="G62" s="1207">
        <f>'Model outputs - interventions'!K44</f>
        <v>4</v>
      </c>
    </row>
    <row r="63" spans="1:7">
      <c r="A63" s="1397"/>
      <c r="B63" s="1208" t="s">
        <v>1703</v>
      </c>
      <c r="C63" s="1397" t="s">
        <v>1704</v>
      </c>
      <c r="D63" s="1397" t="s">
        <v>1033</v>
      </c>
      <c r="E63" s="1397" t="s">
        <v>1586</v>
      </c>
      <c r="F63" s="1397" t="str">
        <f>'Model outputs - interventions'!F45</f>
        <v>PR19SRN_WWN13</v>
      </c>
      <c r="G63" s="1207">
        <f>'Model outputs - interventions'!K45</f>
        <v>4</v>
      </c>
    </row>
    <row r="64" spans="1:7">
      <c r="A64" s="1397"/>
      <c r="B64" s="1208" t="s">
        <v>1705</v>
      </c>
      <c r="C64" s="1397" t="s">
        <v>1706</v>
      </c>
      <c r="D64" s="1397" t="s">
        <v>1033</v>
      </c>
      <c r="E64" s="1397" t="s">
        <v>1586</v>
      </c>
      <c r="F64" s="1397" t="str">
        <f>'Model outputs - interventions'!F46</f>
        <v>PR19SRN_WWN06</v>
      </c>
      <c r="G64" s="1207">
        <f>'Model outputs - interventions'!K46</f>
        <v>0</v>
      </c>
    </row>
    <row r="65" spans="1:7">
      <c r="A65" s="1397"/>
      <c r="B65" s="1208" t="s">
        <v>1707</v>
      </c>
      <c r="C65" s="1397" t="s">
        <v>1708</v>
      </c>
      <c r="D65" s="1397" t="s">
        <v>1033</v>
      </c>
      <c r="E65" s="1397" t="s">
        <v>1586</v>
      </c>
      <c r="F65" s="1397" t="str">
        <f>'Model outputs - interventions'!F47</f>
        <v>PR19SRN_WWN08</v>
      </c>
      <c r="G65" s="1207">
        <f>'Model outputs - interventions'!K47</f>
        <v>3245</v>
      </c>
    </row>
    <row r="66" spans="1:7">
      <c r="A66" s="1397"/>
      <c r="B66" s="1208" t="s">
        <v>1709</v>
      </c>
      <c r="C66" s="1397" t="s">
        <v>1710</v>
      </c>
      <c r="D66" s="1397" t="s">
        <v>1033</v>
      </c>
      <c r="E66" s="1397" t="s">
        <v>1586</v>
      </c>
      <c r="F66" s="1397" t="str">
        <f>'Model outputs - interventions'!F48</f>
        <v>PR19SRN_WWN16</v>
      </c>
      <c r="G66" s="1207">
        <f>'Model outputs - interventions'!K48</f>
        <v>0</v>
      </c>
    </row>
    <row r="67" spans="1:7">
      <c r="A67" s="1397"/>
      <c r="B67" s="1208" t="s">
        <v>1711</v>
      </c>
      <c r="C67" s="1397" t="s">
        <v>1712</v>
      </c>
      <c r="D67" s="1397" t="s">
        <v>1033</v>
      </c>
      <c r="E67" s="1397" t="s">
        <v>1586</v>
      </c>
      <c r="F67" s="1397" t="str">
        <f>'Model outputs - interventions'!F49</f>
        <v/>
      </c>
      <c r="G67" s="1207" t="str">
        <f>'Model outputs - interventions'!K49</f>
        <v/>
      </c>
    </row>
    <row r="68" spans="1:7">
      <c r="A68" s="1397"/>
      <c r="B68" s="1208" t="s">
        <v>1713</v>
      </c>
      <c r="C68" s="1397" t="s">
        <v>1714</v>
      </c>
      <c r="D68" s="1397" t="s">
        <v>1033</v>
      </c>
      <c r="E68" s="1397" t="s">
        <v>1586</v>
      </c>
      <c r="F68" s="1397" t="str">
        <f>'Model outputs - interventions'!F50</f>
        <v/>
      </c>
      <c r="G68" s="1207" t="str">
        <f>'Model outputs - interventions'!K50</f>
        <v/>
      </c>
    </row>
    <row r="69" spans="1:7">
      <c r="A69" s="1397"/>
      <c r="B69" s="1208" t="s">
        <v>1715</v>
      </c>
      <c r="C69" s="1397" t="s">
        <v>1716</v>
      </c>
      <c r="D69" s="1397" t="s">
        <v>1033</v>
      </c>
      <c r="E69" s="1397" t="s">
        <v>1586</v>
      </c>
      <c r="F69" s="1397" t="str">
        <f>'Model outputs - interventions'!F51</f>
        <v/>
      </c>
      <c r="G69" s="1207" t="str">
        <f>'Model outputs - interventions'!K51</f>
        <v/>
      </c>
    </row>
    <row r="70" spans="1:7">
      <c r="A70" s="1397"/>
      <c r="B70" s="1208" t="s">
        <v>1717</v>
      </c>
      <c r="C70" s="1397" t="s">
        <v>1718</v>
      </c>
      <c r="D70" s="1397" t="s">
        <v>1033</v>
      </c>
      <c r="E70" s="1397" t="s">
        <v>1586</v>
      </c>
      <c r="F70" s="1397" t="str">
        <f>'Model outputs - interventions'!F52</f>
        <v/>
      </c>
      <c r="G70" s="1207" t="str">
        <f>'Model outputs - interventions'!K52</f>
        <v/>
      </c>
    </row>
    <row r="71" spans="1:7">
      <c r="A71" s="1397"/>
      <c r="B71" s="1208" t="s">
        <v>1719</v>
      </c>
      <c r="C71" s="1397" t="s">
        <v>1720</v>
      </c>
      <c r="D71" s="1397" t="s">
        <v>123</v>
      </c>
      <c r="E71" s="1397" t="s">
        <v>1586</v>
      </c>
      <c r="F71" s="1397" t="str">
        <f>'Model outputs - interventions'!F7</f>
        <v>PR19SRN_WN02</v>
      </c>
      <c r="G71" s="1207">
        <f>'Model outputs - interventions'!P7</f>
        <v>-0.67195999999999989</v>
      </c>
    </row>
    <row r="72" spans="1:7">
      <c r="A72" s="1397"/>
      <c r="B72" s="1208" t="s">
        <v>1721</v>
      </c>
      <c r="C72" s="1397" t="s">
        <v>1722</v>
      </c>
      <c r="D72" s="1397" t="s">
        <v>123</v>
      </c>
      <c r="E72" s="1397" t="s">
        <v>1586</v>
      </c>
      <c r="F72" s="1397" t="str">
        <f>'Model outputs - interventions'!F8</f>
        <v>PR19SRN_WN03</v>
      </c>
      <c r="G72" s="1207">
        <f>'Model outputs - interventions'!P8</f>
        <v>-4.2374666666666672</v>
      </c>
    </row>
    <row r="73" spans="1:7">
      <c r="A73" s="1397"/>
      <c r="B73" s="1208" t="s">
        <v>1723</v>
      </c>
      <c r="C73" s="1397" t="s">
        <v>1724</v>
      </c>
      <c r="D73" s="1397" t="s">
        <v>123</v>
      </c>
      <c r="E73" s="1397" t="s">
        <v>1586</v>
      </c>
      <c r="F73" s="1397" t="str">
        <f>'Model outputs - interventions'!F9</f>
        <v>PR19SRN_WN04</v>
      </c>
      <c r="G73" s="1207">
        <f>'Model outputs - interventions'!P9</f>
        <v>-4.3460000000000001</v>
      </c>
    </row>
    <row r="74" spans="1:7">
      <c r="A74" s="1397"/>
      <c r="B74" s="1208" t="s">
        <v>1725</v>
      </c>
      <c r="C74" s="1397" t="s">
        <v>1726</v>
      </c>
      <c r="D74" s="1397" t="s">
        <v>123</v>
      </c>
      <c r="E74" s="1397" t="s">
        <v>1586</v>
      </c>
      <c r="F74" s="1397" t="str">
        <f>'Model outputs - interventions'!F10</f>
        <v/>
      </c>
      <c r="G74" s="1207">
        <f>'Model outputs - interventions'!P10</f>
        <v>0</v>
      </c>
    </row>
    <row r="75" spans="1:7">
      <c r="A75" s="1397"/>
      <c r="B75" s="1208" t="s">
        <v>1727</v>
      </c>
      <c r="C75" s="1397" t="s">
        <v>1728</v>
      </c>
      <c r="D75" s="1397" t="s">
        <v>123</v>
      </c>
      <c r="E75" s="1397" t="s">
        <v>1586</v>
      </c>
      <c r="F75" s="1397" t="str">
        <f>'Model outputs - interventions'!F11</f>
        <v>PR19SRN_WR01</v>
      </c>
      <c r="G75" s="1207">
        <f>'Model outputs - interventions'!P11</f>
        <v>0</v>
      </c>
    </row>
    <row r="76" spans="1:7">
      <c r="A76" s="1397"/>
      <c r="B76" s="1208" t="s">
        <v>1729</v>
      </c>
      <c r="C76" s="1397" t="s">
        <v>1730</v>
      </c>
      <c r="D76" s="1397" t="s">
        <v>123</v>
      </c>
      <c r="E76" s="1397" t="s">
        <v>1586</v>
      </c>
      <c r="F76" s="1397" t="str">
        <f>'Model outputs - interventions'!F12</f>
        <v/>
      </c>
      <c r="G76" s="1207">
        <f>'Model outputs - interventions'!P12</f>
        <v>0</v>
      </c>
    </row>
    <row r="77" spans="1:7">
      <c r="A77" s="1397"/>
      <c r="B77" s="1208" t="s">
        <v>1731</v>
      </c>
      <c r="C77" s="1397" t="s">
        <v>1732</v>
      </c>
      <c r="D77" s="1397" t="s">
        <v>123</v>
      </c>
      <c r="E77" s="1397" t="s">
        <v>1586</v>
      </c>
      <c r="F77" s="1397" t="str">
        <f>'Model outputs - interventions'!F13</f>
        <v>PR19SRN_WN05</v>
      </c>
      <c r="G77" s="1207">
        <f>'Model outputs - interventions'!P13</f>
        <v>-1.9907999999999992</v>
      </c>
    </row>
    <row r="78" spans="1:7">
      <c r="A78" s="1397"/>
      <c r="B78" s="1208" t="s">
        <v>1733</v>
      </c>
      <c r="C78" s="1397" t="s">
        <v>1734</v>
      </c>
      <c r="D78" s="1397" t="s">
        <v>123</v>
      </c>
      <c r="E78" s="1397" t="s">
        <v>1586</v>
      </c>
      <c r="F78" s="1397" t="str">
        <f>'Model outputs - interventions'!F14</f>
        <v>PR19SRN_WN06</v>
      </c>
      <c r="G78" s="1207">
        <f>'Model outputs - interventions'!P14</f>
        <v>0</v>
      </c>
    </row>
    <row r="79" spans="1:7">
      <c r="A79" s="1397"/>
      <c r="B79" s="1208" t="s">
        <v>1735</v>
      </c>
      <c r="C79" s="1397" t="s">
        <v>1736</v>
      </c>
      <c r="D79" s="1397" t="s">
        <v>123</v>
      </c>
      <c r="E79" s="1397" t="s">
        <v>1586</v>
      </c>
      <c r="F79" s="1397" t="str">
        <f>'Model outputs - interventions'!F15</f>
        <v>PR19SRN_WN07</v>
      </c>
      <c r="G79" s="1207">
        <f>'Model outputs - interventions'!P15</f>
        <v>-2.0789999999999997</v>
      </c>
    </row>
    <row r="80" spans="1:7">
      <c r="A80" s="1397"/>
      <c r="B80" s="1208" t="s">
        <v>1737</v>
      </c>
      <c r="C80" s="1397" t="s">
        <v>1738</v>
      </c>
      <c r="D80" s="1397" t="s">
        <v>123</v>
      </c>
      <c r="E80" s="1397" t="s">
        <v>1586</v>
      </c>
      <c r="F80" s="1397" t="str">
        <f>'Model outputs - interventions'!F16</f>
        <v>PR19SRN_WN08</v>
      </c>
      <c r="G80" s="1207">
        <f>'Model outputs - interventions'!P16</f>
        <v>-9.2399999999999954E-2</v>
      </c>
    </row>
    <row r="81" spans="1:7">
      <c r="A81" s="1397"/>
      <c r="B81" s="1208" t="s">
        <v>1739</v>
      </c>
      <c r="C81" s="1397" t="s">
        <v>1740</v>
      </c>
      <c r="D81" s="1397" t="s">
        <v>123</v>
      </c>
      <c r="E81" s="1397" t="s">
        <v>1586</v>
      </c>
      <c r="F81" s="1397" t="str">
        <f>'Model outputs - interventions'!F17</f>
        <v>PR19SRN_WR05</v>
      </c>
      <c r="G81" s="1207">
        <f>'Model outputs - interventions'!P17</f>
        <v>0.51100000000000001</v>
      </c>
    </row>
    <row r="82" spans="1:7">
      <c r="A82" s="1397"/>
      <c r="B82" s="1208" t="s">
        <v>1741</v>
      </c>
      <c r="C82" s="1397" t="s">
        <v>1742</v>
      </c>
      <c r="D82" s="1397" t="s">
        <v>123</v>
      </c>
      <c r="E82" s="1397" t="s">
        <v>1586</v>
      </c>
      <c r="F82" s="1397" t="str">
        <f>'Model outputs - interventions'!F18</f>
        <v>PR19SRN_RR02</v>
      </c>
      <c r="G82" s="1207">
        <f>'Model outputs - interventions'!P18</f>
        <v>0</v>
      </c>
    </row>
    <row r="83" spans="1:7">
      <c r="A83" s="1397"/>
      <c r="B83" s="1208" t="s">
        <v>1743</v>
      </c>
      <c r="C83" s="1397" t="s">
        <v>1744</v>
      </c>
      <c r="D83" s="1397" t="s">
        <v>123</v>
      </c>
      <c r="E83" s="1397" t="s">
        <v>1586</v>
      </c>
      <c r="F83" s="1397" t="str">
        <f>'Model outputs - interventions'!F19</f>
        <v>PR19SRN_RR03</v>
      </c>
      <c r="G83" s="1207">
        <f>'Model outputs - interventions'!P19</f>
        <v>-0.6</v>
      </c>
    </row>
    <row r="84" spans="1:7">
      <c r="A84" s="1397"/>
      <c r="B84" s="1208" t="s">
        <v>1745</v>
      </c>
      <c r="C84" s="1397" t="s">
        <v>1746</v>
      </c>
      <c r="D84" s="1397" t="s">
        <v>123</v>
      </c>
      <c r="E84" s="1397" t="s">
        <v>1586</v>
      </c>
      <c r="F84" s="1397" t="str">
        <f>'Model outputs - interventions'!F20</f>
        <v>PR19SRN_WN09</v>
      </c>
      <c r="G84" s="1207">
        <f>'Model outputs - interventions'!P20</f>
        <v>0</v>
      </c>
    </row>
    <row r="85" spans="1:7">
      <c r="A85" s="1397"/>
      <c r="B85" s="1208" t="s">
        <v>1747</v>
      </c>
      <c r="C85" s="1397" t="s">
        <v>1748</v>
      </c>
      <c r="D85" s="1397" t="s">
        <v>123</v>
      </c>
      <c r="E85" s="1397" t="s">
        <v>1586</v>
      </c>
      <c r="F85" s="1397" t="str">
        <f>'Model outputs - interventions'!F21</f>
        <v>PR19SRN_WN11</v>
      </c>
      <c r="G85" s="1207">
        <f>'Model outputs - interventions'!P21</f>
        <v>0</v>
      </c>
    </row>
    <row r="86" spans="1:7">
      <c r="A86" s="1397"/>
      <c r="B86" s="1208" t="s">
        <v>1749</v>
      </c>
      <c r="C86" s="1397" t="s">
        <v>1750</v>
      </c>
      <c r="D86" s="1397" t="s">
        <v>123</v>
      </c>
      <c r="E86" s="1397" t="s">
        <v>1586</v>
      </c>
      <c r="F86" s="1397" t="str">
        <f>'Model outputs - interventions'!F22</f>
        <v>PR19SRN_WN13</v>
      </c>
      <c r="G86" s="1207">
        <f>'Model outputs - interventions'!P22</f>
        <v>0</v>
      </c>
    </row>
    <row r="87" spans="1:7">
      <c r="A87" s="1397"/>
      <c r="B87" s="1208" t="s">
        <v>1751</v>
      </c>
      <c r="C87" s="1397" t="s">
        <v>1752</v>
      </c>
      <c r="D87" s="1397" t="s">
        <v>123</v>
      </c>
      <c r="E87" s="1397" t="s">
        <v>1586</v>
      </c>
      <c r="F87" s="1397" t="str">
        <f>'Model outputs - interventions'!F23</f>
        <v>PR19SRN_WR07</v>
      </c>
      <c r="G87" s="1207">
        <f>'Model outputs - interventions'!P23</f>
        <v>-0.32354399999999994</v>
      </c>
    </row>
    <row r="88" spans="1:7">
      <c r="A88" s="1397"/>
      <c r="B88" s="1208" t="s">
        <v>1753</v>
      </c>
      <c r="C88" s="1397" t="s">
        <v>1754</v>
      </c>
      <c r="D88" s="1397" t="s">
        <v>123</v>
      </c>
      <c r="E88" s="1397" t="s">
        <v>1586</v>
      </c>
      <c r="F88" s="1397" t="str">
        <f>'Model outputs - interventions'!F24</f>
        <v/>
      </c>
      <c r="G88" s="1207">
        <f>'Model outputs - interventions'!P24</f>
        <v>0</v>
      </c>
    </row>
    <row r="89" spans="1:7">
      <c r="A89" s="1397"/>
      <c r="B89" s="1208" t="s">
        <v>1755</v>
      </c>
      <c r="C89" s="1397" t="s">
        <v>1756</v>
      </c>
      <c r="D89" s="1397" t="s">
        <v>123</v>
      </c>
      <c r="E89" s="1397" t="s">
        <v>1586</v>
      </c>
      <c r="F89" s="1397" t="str">
        <f>'Model outputs - interventions'!F25</f>
        <v/>
      </c>
      <c r="G89" s="1207">
        <f>'Model outputs - interventions'!P25</f>
        <v>0</v>
      </c>
    </row>
    <row r="90" spans="1:7">
      <c r="A90" s="1397"/>
      <c r="B90" s="1208" t="s">
        <v>1757</v>
      </c>
      <c r="C90" s="1397" t="s">
        <v>1758</v>
      </c>
      <c r="D90" s="1397" t="s">
        <v>123</v>
      </c>
      <c r="E90" s="1397" t="s">
        <v>1586</v>
      </c>
      <c r="F90" s="1397" t="str">
        <f>'Model outputs - interventions'!F26</f>
        <v/>
      </c>
      <c r="G90" s="1207">
        <f>'Model outputs - interventions'!P26</f>
        <v>0</v>
      </c>
    </row>
    <row r="91" spans="1:7">
      <c r="A91" s="1397"/>
      <c r="B91" s="1208" t="s">
        <v>1759</v>
      </c>
      <c r="C91" s="1397" t="s">
        <v>1760</v>
      </c>
      <c r="D91" s="1397" t="s">
        <v>123</v>
      </c>
      <c r="E91" s="1397" t="s">
        <v>1586</v>
      </c>
      <c r="F91" s="1397" t="str">
        <f>'Model outputs - interventions'!F27</f>
        <v/>
      </c>
      <c r="G91" s="1207">
        <f>'Model outputs - interventions'!P27</f>
        <v>0</v>
      </c>
    </row>
    <row r="92" spans="1:7">
      <c r="A92" s="1397"/>
      <c r="B92" s="1208" t="s">
        <v>1761</v>
      </c>
      <c r="C92" s="1397" t="s">
        <v>1762</v>
      </c>
      <c r="D92" s="1397" t="s">
        <v>123</v>
      </c>
      <c r="E92" s="1397" t="s">
        <v>1586</v>
      </c>
      <c r="F92" s="1397" t="str">
        <f>'Model outputs - interventions'!F28</f>
        <v/>
      </c>
      <c r="G92" s="1207">
        <f>'Model outputs - interventions'!P28</f>
        <v>0</v>
      </c>
    </row>
    <row r="93" spans="1:7">
      <c r="A93" s="1397"/>
      <c r="B93" s="1208" t="s">
        <v>1763</v>
      </c>
      <c r="C93" s="1397" t="s">
        <v>1764</v>
      </c>
      <c r="D93" s="1397" t="s">
        <v>123</v>
      </c>
      <c r="E93" s="1397" t="s">
        <v>1586</v>
      </c>
      <c r="F93" s="1397" t="str">
        <f>'Model outputs - interventions'!F29</f>
        <v/>
      </c>
      <c r="G93" s="1207">
        <f>'Model outputs - interventions'!P29</f>
        <v>0</v>
      </c>
    </row>
    <row r="94" spans="1:7">
      <c r="A94" s="1397"/>
      <c r="B94" s="1208" t="s">
        <v>1765</v>
      </c>
      <c r="C94" s="1397" t="s">
        <v>1766</v>
      </c>
      <c r="D94" s="1397" t="s">
        <v>123</v>
      </c>
      <c r="E94" s="1397" t="s">
        <v>1586</v>
      </c>
      <c r="F94" s="1397" t="str">
        <f>'Model outputs - interventions'!F30</f>
        <v/>
      </c>
      <c r="G94" s="1207">
        <f>'Model outputs - interventions'!P30</f>
        <v>0</v>
      </c>
    </row>
    <row r="95" spans="1:7">
      <c r="A95" s="1397"/>
      <c r="B95" s="1208" t="s">
        <v>1767</v>
      </c>
      <c r="C95" s="1397" t="s">
        <v>1768</v>
      </c>
      <c r="D95" s="1397" t="s">
        <v>123</v>
      </c>
      <c r="E95" s="1397" t="s">
        <v>1586</v>
      </c>
      <c r="F95" s="1397" t="str">
        <f>'Model outputs - interventions'!F31</f>
        <v/>
      </c>
      <c r="G95" s="1207">
        <f>'Model outputs - interventions'!P31</f>
        <v>0</v>
      </c>
    </row>
    <row r="96" spans="1:7">
      <c r="A96" s="1397"/>
      <c r="B96" s="1208" t="s">
        <v>1769</v>
      </c>
      <c r="C96" s="1397" t="s">
        <v>1770</v>
      </c>
      <c r="D96" s="1397" t="s">
        <v>123</v>
      </c>
      <c r="E96" s="1397" t="s">
        <v>1586</v>
      </c>
      <c r="F96" s="1397" t="str">
        <f>'Model outputs - interventions'!F32</f>
        <v/>
      </c>
      <c r="G96" s="1207">
        <f>'Model outputs - interventions'!P32</f>
        <v>0</v>
      </c>
    </row>
    <row r="97" spans="1:7">
      <c r="A97" s="1397"/>
      <c r="B97" s="1208" t="s">
        <v>1771</v>
      </c>
      <c r="C97" s="1397" t="s">
        <v>1772</v>
      </c>
      <c r="D97" s="1397" t="s">
        <v>123</v>
      </c>
      <c r="E97" s="1397" t="s">
        <v>1586</v>
      </c>
      <c r="F97" s="1397" t="str">
        <f>'Model outputs - interventions'!F33</f>
        <v/>
      </c>
      <c r="G97" s="1207">
        <f>'Model outputs - interventions'!P33</f>
        <v>0</v>
      </c>
    </row>
    <row r="98" spans="1:7">
      <c r="A98" s="1397"/>
      <c r="B98" s="1208" t="s">
        <v>1773</v>
      </c>
      <c r="C98" s="1397" t="s">
        <v>1774</v>
      </c>
      <c r="D98" s="1397" t="s">
        <v>123</v>
      </c>
      <c r="E98" s="1397" t="s">
        <v>1586</v>
      </c>
      <c r="F98" s="1397" t="str">
        <f>'Model outputs - interventions'!F34</f>
        <v/>
      </c>
      <c r="G98" s="1207">
        <f>'Model outputs - interventions'!P34</f>
        <v>0</v>
      </c>
    </row>
    <row r="99" spans="1:7">
      <c r="A99" s="1397"/>
      <c r="B99" s="1208" t="s">
        <v>1775</v>
      </c>
      <c r="C99" s="1397" t="s">
        <v>1776</v>
      </c>
      <c r="D99" s="1397" t="s">
        <v>123</v>
      </c>
      <c r="E99" s="1397" t="s">
        <v>1586</v>
      </c>
      <c r="F99" s="1397" t="str">
        <f>'Model outputs - interventions'!F35</f>
        <v>PR19SRN_WWN01</v>
      </c>
      <c r="G99" s="1207">
        <f>'Model outputs - interventions'!P35</f>
        <v>-6.2794099999999995</v>
      </c>
    </row>
    <row r="100" spans="1:7">
      <c r="A100" s="1397"/>
      <c r="B100" s="1208" t="s">
        <v>1777</v>
      </c>
      <c r="C100" s="1397" t="s">
        <v>1778</v>
      </c>
      <c r="D100" s="1397" t="s">
        <v>123</v>
      </c>
      <c r="E100" s="1397" t="s">
        <v>1586</v>
      </c>
      <c r="F100" s="1397" t="str">
        <f>'Model outputs - interventions'!F36</f>
        <v>PR19SRN_WWN02</v>
      </c>
      <c r="G100" s="1207">
        <f>'Model outputs - interventions'!P36</f>
        <v>-8.3821499999999993</v>
      </c>
    </row>
    <row r="101" spans="1:7">
      <c r="A101" s="1397"/>
      <c r="B101" s="1208" t="s">
        <v>1779</v>
      </c>
      <c r="C101" s="1397" t="s">
        <v>1780</v>
      </c>
      <c r="D101" s="1397" t="s">
        <v>123</v>
      </c>
      <c r="E101" s="1397" t="s">
        <v>1586</v>
      </c>
      <c r="F101" s="1397" t="str">
        <f>'Model outputs - interventions'!F37</f>
        <v>PR19SRN_WWN04</v>
      </c>
      <c r="G101" s="1207">
        <f>'Model outputs - interventions'!P37</f>
        <v>-0.58975999999999884</v>
      </c>
    </row>
    <row r="102" spans="1:7">
      <c r="A102" s="1397"/>
      <c r="B102" s="1208" t="s">
        <v>1781</v>
      </c>
      <c r="C102" s="1397" t="s">
        <v>1782</v>
      </c>
      <c r="D102" s="1397" t="s">
        <v>123</v>
      </c>
      <c r="E102" s="1397" t="s">
        <v>1586</v>
      </c>
      <c r="F102" s="1397" t="str">
        <f>'Model outputs - interventions'!F38</f>
        <v>PR19SRN_WWN05</v>
      </c>
      <c r="G102" s="1207">
        <f>'Model outputs - interventions'!P38</f>
        <v>0</v>
      </c>
    </row>
    <row r="103" spans="1:7">
      <c r="A103" s="1397"/>
      <c r="B103" s="1208" t="s">
        <v>1783</v>
      </c>
      <c r="C103" s="1397" t="s">
        <v>1784</v>
      </c>
      <c r="D103" s="1397" t="s">
        <v>123</v>
      </c>
      <c r="E103" s="1397" t="s">
        <v>1586</v>
      </c>
      <c r="F103" s="1397" t="str">
        <f>'Model outputs - interventions'!F39</f>
        <v>PR19SRN_WWN07</v>
      </c>
      <c r="G103" s="1207">
        <f>'Model outputs - interventions'!P39</f>
        <v>2.5990999999999997E-4</v>
      </c>
    </row>
    <row r="104" spans="1:7">
      <c r="A104" s="1397"/>
      <c r="B104" s="1208" t="s">
        <v>1785</v>
      </c>
      <c r="C104" s="1397" t="s">
        <v>1786</v>
      </c>
      <c r="D104" s="1397" t="s">
        <v>123</v>
      </c>
      <c r="E104" s="1397" t="s">
        <v>1586</v>
      </c>
      <c r="F104" s="1397" t="str">
        <f>'Model outputs - interventions'!F40</f>
        <v>PR19SRN_BIO01</v>
      </c>
      <c r="G104" s="1207">
        <f>'Model outputs - interventions'!P40</f>
        <v>-1.3260000000000001</v>
      </c>
    </row>
    <row r="105" spans="1:7">
      <c r="A105" s="1397"/>
      <c r="B105" s="1208" t="s">
        <v>1787</v>
      </c>
      <c r="C105" s="1397" t="s">
        <v>1788</v>
      </c>
      <c r="D105" s="1397" t="s">
        <v>123</v>
      </c>
      <c r="E105" s="1397" t="s">
        <v>1586</v>
      </c>
      <c r="F105" s="1397" t="str">
        <f>'Model outputs - interventions'!F41</f>
        <v>PR19SRN_BIO02</v>
      </c>
      <c r="G105" s="1207">
        <f>'Model outputs - interventions'!P41</f>
        <v>0</v>
      </c>
    </row>
    <row r="106" spans="1:7">
      <c r="A106" s="1397"/>
      <c r="B106" s="1208" t="s">
        <v>1789</v>
      </c>
      <c r="C106" s="1397" t="s">
        <v>1790</v>
      </c>
      <c r="D106" s="1397" t="s">
        <v>123</v>
      </c>
      <c r="E106" s="1397" t="s">
        <v>1586</v>
      </c>
      <c r="F106" s="1397" t="str">
        <f>'Model outputs - interventions'!F42</f>
        <v>PR19SRN_WWN09</v>
      </c>
      <c r="G106" s="1207">
        <f>'Model outputs - interventions'!P42</f>
        <v>0</v>
      </c>
    </row>
    <row r="107" spans="1:7">
      <c r="A107" s="1397"/>
      <c r="B107" s="1208" t="s">
        <v>1791</v>
      </c>
      <c r="C107" s="1397" t="s">
        <v>1792</v>
      </c>
      <c r="D107" s="1397" t="s">
        <v>123</v>
      </c>
      <c r="E107" s="1397" t="s">
        <v>1586</v>
      </c>
      <c r="F107" s="1397" t="str">
        <f>'Model outputs - interventions'!F43</f>
        <v>PR19SRN_WWN11</v>
      </c>
      <c r="G107" s="1207">
        <f>'Model outputs - interventions'!P43</f>
        <v>-4.05</v>
      </c>
    </row>
    <row r="108" spans="1:7">
      <c r="A108" s="1397"/>
      <c r="B108" s="1208" t="s">
        <v>1793</v>
      </c>
      <c r="C108" s="1397" t="s">
        <v>1794</v>
      </c>
      <c r="D108" s="1397" t="s">
        <v>123</v>
      </c>
      <c r="E108" s="1397" t="s">
        <v>1586</v>
      </c>
      <c r="F108" s="1397" t="str">
        <f>'Model outputs - interventions'!F44</f>
        <v>PR19SRN_WWN12</v>
      </c>
      <c r="G108" s="1207">
        <f>'Model outputs - interventions'!P44</f>
        <v>0</v>
      </c>
    </row>
    <row r="109" spans="1:7">
      <c r="A109" s="1397"/>
      <c r="B109" s="1208" t="s">
        <v>1795</v>
      </c>
      <c r="C109" s="1397" t="s">
        <v>1796</v>
      </c>
      <c r="D109" s="1397" t="s">
        <v>123</v>
      </c>
      <c r="E109" s="1397" t="s">
        <v>1586</v>
      </c>
      <c r="F109" s="1397" t="str">
        <f>'Model outputs - interventions'!F45</f>
        <v>PR19SRN_WWN13</v>
      </c>
      <c r="G109" s="1207">
        <f>'Model outputs - interventions'!P45</f>
        <v>0</v>
      </c>
    </row>
    <row r="110" spans="1:7">
      <c r="A110" s="1397"/>
      <c r="B110" s="1208" t="s">
        <v>1797</v>
      </c>
      <c r="C110" s="1397" t="s">
        <v>1798</v>
      </c>
      <c r="D110" s="1397" t="s">
        <v>123</v>
      </c>
      <c r="E110" s="1397" t="s">
        <v>1586</v>
      </c>
      <c r="F110" s="1397" t="str">
        <f>'Model outputs - interventions'!F46</f>
        <v>PR19SRN_WWN06</v>
      </c>
      <c r="G110" s="1207">
        <f>'Model outputs - interventions'!P46</f>
        <v>-5.2218399999999998E-2</v>
      </c>
    </row>
    <row r="111" spans="1:7">
      <c r="A111" s="1397"/>
      <c r="B111" s="1208" t="s">
        <v>1799</v>
      </c>
      <c r="C111" s="1397" t="s">
        <v>1800</v>
      </c>
      <c r="D111" s="1397" t="s">
        <v>123</v>
      </c>
      <c r="E111" s="1397" t="s">
        <v>1586</v>
      </c>
      <c r="F111" s="1397" t="str">
        <f>'Model outputs - interventions'!F47</f>
        <v>PR19SRN_WWN08</v>
      </c>
      <c r="G111" s="1207">
        <f>'Model outputs - interventions'!P47</f>
        <v>1.7027399999999999</v>
      </c>
    </row>
    <row r="112" spans="1:7">
      <c r="A112" s="1397"/>
      <c r="B112" s="1208" t="s">
        <v>1801</v>
      </c>
      <c r="C112" s="1397" t="s">
        <v>1802</v>
      </c>
      <c r="D112" s="1397" t="s">
        <v>123</v>
      </c>
      <c r="E112" s="1397" t="s">
        <v>1586</v>
      </c>
      <c r="F112" s="1397" t="str">
        <f>'Model outputs - interventions'!F48</f>
        <v>PR19SRN_WWN16</v>
      </c>
      <c r="G112" s="1207">
        <f>'Model outputs - interventions'!P48</f>
        <v>0</v>
      </c>
    </row>
    <row r="113" spans="1:7">
      <c r="A113" s="1397"/>
      <c r="B113" s="1208" t="s">
        <v>1803</v>
      </c>
      <c r="C113" s="1397" t="s">
        <v>1804</v>
      </c>
      <c r="D113" s="1397" t="s">
        <v>123</v>
      </c>
      <c r="E113" s="1397" t="s">
        <v>1586</v>
      </c>
      <c r="F113" s="1397" t="str">
        <f>'Model outputs - interventions'!F49</f>
        <v/>
      </c>
      <c r="G113" s="1207">
        <f>'Model outputs - interventions'!P49</f>
        <v>0</v>
      </c>
    </row>
    <row r="114" spans="1:7">
      <c r="A114" s="1397"/>
      <c r="B114" s="1208" t="s">
        <v>1805</v>
      </c>
      <c r="C114" s="1397" t="s">
        <v>1806</v>
      </c>
      <c r="D114" s="1397" t="s">
        <v>123</v>
      </c>
      <c r="E114" s="1397" t="s">
        <v>1586</v>
      </c>
      <c r="F114" s="1397" t="str">
        <f>'Model outputs - interventions'!F50</f>
        <v/>
      </c>
      <c r="G114" s="1207">
        <f>'Model outputs - interventions'!P50</f>
        <v>0</v>
      </c>
    </row>
    <row r="115" spans="1:7">
      <c r="A115" s="1397"/>
      <c r="B115" s="1208" t="s">
        <v>1807</v>
      </c>
      <c r="C115" s="1397" t="s">
        <v>1808</v>
      </c>
      <c r="D115" s="1397" t="s">
        <v>123</v>
      </c>
      <c r="E115" s="1397" t="s">
        <v>1586</v>
      </c>
      <c r="F115" s="1397" t="str">
        <f>'Model outputs - interventions'!F51</f>
        <v/>
      </c>
      <c r="G115" s="1207">
        <f>'Model outputs - interventions'!P51</f>
        <v>0</v>
      </c>
    </row>
    <row r="116" spans="1:7">
      <c r="A116" s="1397"/>
      <c r="B116" s="1208" t="s">
        <v>1809</v>
      </c>
      <c r="C116" s="1397" t="s">
        <v>1810</v>
      </c>
      <c r="D116" s="1397" t="s">
        <v>123</v>
      </c>
      <c r="E116" s="1397" t="s">
        <v>1586</v>
      </c>
      <c r="F116" s="1397" t="str">
        <f>'Model outputs - interventions'!F52</f>
        <v/>
      </c>
      <c r="G116" s="1207">
        <f>'Model outputs - interventions'!P52</f>
        <v>0</v>
      </c>
    </row>
    <row r="117" spans="1:7">
      <c r="A117" s="1397"/>
      <c r="B117" s="1397" t="s">
        <v>1811</v>
      </c>
      <c r="C117" s="1397" t="s">
        <v>1812</v>
      </c>
      <c r="D117" s="1397" t="s">
        <v>1137</v>
      </c>
      <c r="E117" s="1397" t="s">
        <v>1586</v>
      </c>
      <c r="F117" s="1397"/>
      <c r="G117" s="1399" t="str">
        <f ca="1">CONCATENATE("[…]", TEXT(NOW(),"dd/mm/yyy hh:mm:ss"))</f>
        <v>[…]11/12/2024 12:05:37</v>
      </c>
    </row>
    <row r="118" spans="1:7">
      <c r="A118" s="1397"/>
      <c r="B118" s="1397" t="s">
        <v>1813</v>
      </c>
      <c r="C118" s="1397" t="s">
        <v>1814</v>
      </c>
      <c r="D118" s="1397" t="s">
        <v>1137</v>
      </c>
      <c r="E118" s="1397" t="s">
        <v>1586</v>
      </c>
      <c r="F118" s="1397"/>
      <c r="G118" s="1535" t="str">
        <f ca="1">MID(CELL("filename"),SEARCH("[",CELL("filename"))+1,SEARCH("]",CELL("filename"))-SEARCH("[",CELL("filename"))-1)</f>
        <v>PR24PD01 FD Outcome delivery incentives model 2023-24 - Southern Water.xlsx</v>
      </c>
    </row>
    <row r="119" spans="1:7">
      <c r="B119" s="1397" t="s">
        <v>1815</v>
      </c>
      <c r="C119" s="1396" t="s">
        <v>1816</v>
      </c>
      <c r="D119" s="1397" t="s">
        <v>1137</v>
      </c>
      <c r="E119" s="1397" t="s">
        <v>1586</v>
      </c>
      <c r="F119"/>
      <c r="G119" s="1396" t="s">
        <v>1079</v>
      </c>
    </row>
    <row r="120" spans="1:7">
      <c r="B120" s="1397" t="s">
        <v>1817</v>
      </c>
      <c r="C120" s="1396" t="s">
        <v>1818</v>
      </c>
      <c r="D120" s="1397" t="s">
        <v>1033</v>
      </c>
      <c r="E120" s="1397" t="s">
        <v>1586</v>
      </c>
      <c r="F120"/>
      <c r="G120" s="1396" t="s">
        <v>1079</v>
      </c>
    </row>
  </sheetData>
  <sheetProtection sort="0"/>
  <conditionalFormatting sqref="G4:G116">
    <cfRule type="cellIs" dxfId="10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D8A2-BA44-4C67-8491-E09D74353AB7}">
  <sheetPr>
    <tabColor theme="1"/>
    <pageSetUpPr fitToPage="1"/>
  </sheetPr>
  <dimension ref="A1"/>
  <sheetViews>
    <sheetView showGridLines="0" zoomScale="80" zoomScaleNormal="80" zoomScaleSheetLayoutView="80" workbookViewId="0"/>
  </sheetViews>
  <sheetFormatPr defaultColWidth="9" defaultRowHeight="13.5"/>
  <sheetData>
    <row r="1" spans="1:1" ht="35.25"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416E-B9DD-4FC0-8647-3628210E95C7}">
  <sheetPr filterMode="1">
    <tabColor rgb="FF857362"/>
    <pageSetUpPr fitToPage="1"/>
  </sheetPr>
  <dimension ref="A1:DE778"/>
  <sheetViews>
    <sheetView showGridLines="0" zoomScale="80" zoomScaleNormal="80" workbookViewId="0">
      <pane xSplit="3" ySplit="6" topLeftCell="D278" activePane="bottomRight" state="frozen"/>
      <selection activeCell="G4" sqref="G4"/>
      <selection pane="topRight" activeCell="G4" sqref="G4"/>
      <selection pane="bottomLeft" activeCell="G4" sqref="G4"/>
      <selection pane="bottomRight"/>
    </sheetView>
  </sheetViews>
  <sheetFormatPr defaultColWidth="9" defaultRowHeight="12.75"/>
  <cols>
    <col min="1" max="1" width="6.25" style="58" customWidth="1"/>
    <col min="2" max="2" width="4.125" style="58" customWidth="1"/>
    <col min="3" max="3" width="23.25" style="58" customWidth="1"/>
    <col min="4" max="4" width="94.25" style="61" customWidth="1"/>
    <col min="5" max="5" width="15.125" style="61" customWidth="1"/>
    <col min="6" max="6" width="11.625" style="62" customWidth="1"/>
    <col min="7" max="7" width="62.5" style="61" customWidth="1"/>
    <col min="8" max="8" width="62.625" style="61" customWidth="1"/>
    <col min="9" max="10" width="10" style="61" customWidth="1"/>
    <col min="11" max="11" width="10.5" style="61" customWidth="1"/>
    <col min="12" max="12" width="11.25" style="61" customWidth="1"/>
    <col min="13" max="14" width="10" style="61" customWidth="1"/>
    <col min="15" max="15" width="13.125" style="61" customWidth="1"/>
    <col min="16" max="16" width="10" style="61" customWidth="1"/>
    <col min="17" max="17" width="7" style="61" customWidth="1"/>
    <col min="18" max="18" width="12.5" style="62" customWidth="1"/>
    <col min="19" max="19" width="18.125" style="61" customWidth="1"/>
    <col min="20" max="20" width="17.375" style="62" bestFit="1" customWidth="1"/>
    <col min="21" max="21" width="38.125" style="61" customWidth="1"/>
    <col min="22" max="22" width="8.75" style="61" customWidth="1"/>
    <col min="23" max="23" width="43.125" style="61" customWidth="1"/>
    <col min="24" max="24" width="13" style="63" bestFit="1" customWidth="1"/>
    <col min="25" max="25" width="9" style="64" customWidth="1"/>
    <col min="26" max="26" width="44.25" style="61" bestFit="1" customWidth="1"/>
    <col min="27" max="27" width="10" style="62" hidden="1" customWidth="1"/>
    <col min="28" max="28" width="9.625" style="62" hidden="1" customWidth="1"/>
    <col min="29" max="31" width="9" style="62" hidden="1" customWidth="1"/>
    <col min="32" max="32" width="12.5" style="62" hidden="1" customWidth="1"/>
    <col min="33" max="42" width="11.25" style="61" hidden="1" customWidth="1"/>
    <col min="43" max="45" width="11.25" style="61" customWidth="1"/>
    <col min="46" max="47" width="9.875" style="61" customWidth="1"/>
    <col min="48" max="63" width="11.25" style="61" hidden="1" customWidth="1"/>
    <col min="64" max="64" width="7.125" style="65" customWidth="1"/>
    <col min="65" max="68" width="7.5" style="65" customWidth="1"/>
    <col min="69" max="88" width="9.625" style="66" customWidth="1"/>
    <col min="89" max="98" width="10" style="66" customWidth="1"/>
    <col min="99" max="106" width="17.625" style="66" customWidth="1"/>
    <col min="107" max="107" width="10" style="65" customWidth="1"/>
    <col min="108" max="108" width="9.625" style="67" customWidth="1"/>
    <col min="109" max="109" width="10.625" style="68" customWidth="1"/>
    <col min="110" max="16384" width="9" style="57"/>
  </cols>
  <sheetData>
    <row r="1" spans="1:109" s="46" customFormat="1" ht="26.25" customHeight="1">
      <c r="A1" s="700" t="s">
        <v>1819</v>
      </c>
      <c r="B1" s="388"/>
      <c r="C1" s="387"/>
      <c r="D1" s="45"/>
      <c r="E1" s="45"/>
      <c r="F1" s="45"/>
      <c r="G1" s="389"/>
      <c r="H1" s="390" t="s">
        <v>1004</v>
      </c>
      <c r="I1" s="390" t="s">
        <v>1060</v>
      </c>
      <c r="J1" s="391" t="s">
        <v>1015</v>
      </c>
      <c r="K1" s="391" t="s">
        <v>1064</v>
      </c>
      <c r="L1" s="391" t="s">
        <v>1013</v>
      </c>
      <c r="M1" s="391" t="s">
        <v>1032</v>
      </c>
      <c r="N1" s="391" t="s">
        <v>1068</v>
      </c>
      <c r="O1" s="391" t="s">
        <v>1071</v>
      </c>
      <c r="P1" s="391" t="s">
        <v>1075</v>
      </c>
      <c r="Q1" s="391" t="s">
        <v>1038</v>
      </c>
      <c r="R1" s="392" t="s">
        <v>1078</v>
      </c>
      <c r="S1" s="391" t="s">
        <v>1036</v>
      </c>
      <c r="T1" s="392" t="s">
        <v>1041</v>
      </c>
      <c r="U1" s="391" t="s">
        <v>1045</v>
      </c>
      <c r="V1" s="391" t="s">
        <v>1050</v>
      </c>
      <c r="W1" s="391" t="s">
        <v>1024</v>
      </c>
      <c r="X1" s="393" t="s">
        <v>1054</v>
      </c>
      <c r="Y1" s="391" t="s">
        <v>1057</v>
      </c>
      <c r="Z1" s="393" t="s">
        <v>1004</v>
      </c>
      <c r="AA1" s="392"/>
      <c r="AB1" s="392"/>
      <c r="AC1" s="392"/>
      <c r="AD1" s="392"/>
      <c r="AE1" s="392"/>
      <c r="AF1" s="392"/>
      <c r="AG1" s="391"/>
      <c r="AH1" s="391"/>
      <c r="AI1" s="391"/>
      <c r="AJ1" s="391"/>
      <c r="AK1" s="391"/>
      <c r="AL1" s="391"/>
      <c r="AM1" s="391"/>
      <c r="AN1" s="391"/>
      <c r="AO1" s="391"/>
      <c r="AP1" s="391"/>
      <c r="AQ1" s="391"/>
      <c r="AR1" s="391"/>
      <c r="AS1" s="394" t="s">
        <v>1004</v>
      </c>
      <c r="AT1" s="391"/>
      <c r="AU1" s="391"/>
      <c r="AV1" s="391"/>
      <c r="AW1" s="391"/>
      <c r="AX1" s="391"/>
      <c r="AY1" s="391"/>
      <c r="AZ1" s="391"/>
      <c r="BA1" s="391"/>
      <c r="BB1" s="391"/>
      <c r="BC1" s="391"/>
      <c r="BD1" s="391"/>
      <c r="BE1" s="391"/>
      <c r="BF1" s="391"/>
      <c r="BG1" s="391"/>
      <c r="BH1" s="391"/>
      <c r="BI1" s="391"/>
      <c r="BJ1" s="391"/>
      <c r="BK1" s="395" t="s">
        <v>1004</v>
      </c>
      <c r="BL1" s="392"/>
      <c r="BM1" s="392"/>
      <c r="BN1" s="392"/>
      <c r="BO1" s="392"/>
      <c r="BP1" s="392"/>
      <c r="BQ1" s="393"/>
      <c r="BR1" s="393"/>
      <c r="BS1" s="393"/>
      <c r="BT1" s="393"/>
      <c r="BU1" s="393"/>
      <c r="BV1" s="393"/>
      <c r="BW1" s="393"/>
      <c r="BX1" s="393"/>
      <c r="BY1" s="393"/>
      <c r="BZ1" s="393"/>
      <c r="CA1" s="395" t="s">
        <v>1004</v>
      </c>
      <c r="CB1" s="393"/>
      <c r="CC1" s="393"/>
      <c r="CD1" s="393"/>
      <c r="CE1" s="393"/>
      <c r="CF1" s="393"/>
      <c r="CG1" s="393"/>
      <c r="CH1" s="393"/>
      <c r="CI1" s="393"/>
      <c r="CJ1" s="393"/>
      <c r="CK1" s="393"/>
      <c r="CL1" s="393"/>
      <c r="CM1" s="393"/>
      <c r="CN1" s="393"/>
      <c r="CO1" s="393"/>
      <c r="CP1" s="393"/>
      <c r="CQ1" s="393"/>
      <c r="CR1" s="393"/>
      <c r="CS1" s="393"/>
      <c r="CT1" s="393"/>
      <c r="CU1" s="390" t="s">
        <v>1004</v>
      </c>
      <c r="CV1" s="393"/>
      <c r="CW1" s="393"/>
      <c r="CX1" s="393"/>
      <c r="CY1" s="393"/>
      <c r="CZ1" s="393"/>
      <c r="DA1" s="393"/>
      <c r="DB1" s="393"/>
      <c r="DC1" s="392"/>
      <c r="DD1" s="393"/>
      <c r="DE1" s="395" t="s">
        <v>1004</v>
      </c>
    </row>
    <row r="2" spans="1:109" s="46" customFormat="1" ht="13.5" customHeight="1" thickBot="1">
      <c r="A2" s="701"/>
      <c r="B2" s="702"/>
      <c r="C2" s="703"/>
      <c r="D2" s="703"/>
      <c r="E2" s="703"/>
      <c r="F2" s="703"/>
      <c r="G2" s="703"/>
      <c r="H2" s="703"/>
      <c r="I2" s="703"/>
      <c r="J2" s="703"/>
      <c r="K2" s="703"/>
      <c r="L2" s="703"/>
      <c r="M2" s="703"/>
      <c r="N2" s="703"/>
      <c r="O2" s="703"/>
      <c r="P2" s="703"/>
      <c r="Q2" s="703"/>
      <c r="R2" s="703"/>
      <c r="S2" s="703"/>
      <c r="T2" s="703"/>
      <c r="U2" s="703"/>
      <c r="V2" s="703"/>
      <c r="W2" s="703"/>
      <c r="X2" s="703"/>
      <c r="Y2" s="703"/>
      <c r="Z2" s="703"/>
      <c r="AA2" s="704"/>
      <c r="AB2" s="704"/>
      <c r="AC2" s="704"/>
      <c r="AD2" s="704"/>
      <c r="AE2" s="704"/>
      <c r="AF2" s="704"/>
      <c r="AG2" s="704"/>
      <c r="AH2" s="704"/>
      <c r="AI2" s="704"/>
      <c r="AJ2" s="704"/>
      <c r="AK2" s="704"/>
      <c r="AL2" s="704"/>
      <c r="AM2" s="704"/>
      <c r="AN2" s="704"/>
      <c r="AO2" s="704"/>
      <c r="AP2" s="704"/>
      <c r="AQ2" s="703"/>
      <c r="AR2" s="703"/>
      <c r="AS2" s="703"/>
      <c r="AT2" s="703"/>
      <c r="AU2" s="703"/>
      <c r="AV2" s="704"/>
      <c r="AW2" s="704"/>
      <c r="AX2" s="704"/>
      <c r="AY2" s="704"/>
      <c r="AZ2" s="704"/>
      <c r="BA2" s="704"/>
      <c r="BB2" s="704"/>
      <c r="BC2" s="704"/>
      <c r="BD2" s="704"/>
      <c r="BE2" s="704"/>
      <c r="BF2" s="704"/>
      <c r="BG2" s="704"/>
      <c r="BH2" s="704"/>
      <c r="BI2" s="704"/>
      <c r="BJ2" s="704"/>
      <c r="BK2" s="704"/>
      <c r="BL2" s="703"/>
      <c r="BM2" s="703"/>
      <c r="BN2" s="703"/>
      <c r="BO2" s="703"/>
      <c r="BP2" s="703"/>
      <c r="BQ2" s="703"/>
      <c r="BR2" s="703"/>
      <c r="BS2" s="703"/>
      <c r="BT2" s="703"/>
      <c r="BU2" s="703"/>
      <c r="BV2" s="703"/>
      <c r="BW2" s="703"/>
      <c r="BX2" s="703"/>
      <c r="BY2" s="703"/>
      <c r="BZ2" s="703"/>
      <c r="CA2" s="703"/>
      <c r="CB2" s="703"/>
      <c r="CC2" s="703"/>
      <c r="CD2" s="703"/>
      <c r="CE2" s="703"/>
      <c r="CF2" s="703"/>
      <c r="CG2" s="703"/>
      <c r="CH2" s="703"/>
      <c r="CI2" s="703"/>
      <c r="CJ2" s="703"/>
      <c r="CK2" s="703"/>
      <c r="CL2" s="703"/>
      <c r="CM2" s="703"/>
      <c r="CN2" s="703"/>
      <c r="CO2" s="703"/>
      <c r="CP2" s="703"/>
      <c r="CQ2" s="703"/>
      <c r="CR2" s="703"/>
      <c r="CS2" s="703"/>
      <c r="CT2" s="703"/>
      <c r="CU2" s="703"/>
      <c r="CV2" s="703"/>
      <c r="CW2" s="703"/>
      <c r="CX2" s="703"/>
      <c r="CY2" s="703"/>
      <c r="CZ2" s="703"/>
      <c r="DA2" s="703"/>
      <c r="DB2" s="703"/>
      <c r="DC2" s="703"/>
      <c r="DD2" s="703"/>
      <c r="DE2" s="703"/>
    </row>
    <row r="3" spans="1:109" s="54" customFormat="1" ht="15" customHeight="1">
      <c r="A3" s="705"/>
      <c r="B3" s="706"/>
      <c r="C3" s="707">
        <v>1</v>
      </c>
      <c r="D3" s="708">
        <v>2</v>
      </c>
      <c r="E3" s="709">
        <v>3</v>
      </c>
      <c r="F3" s="1327">
        <v>4</v>
      </c>
      <c r="G3" s="710">
        <v>5</v>
      </c>
      <c r="H3" s="711">
        <v>6</v>
      </c>
      <c r="I3" s="2118">
        <v>7</v>
      </c>
      <c r="J3" s="2119"/>
      <c r="K3" s="2119"/>
      <c r="L3" s="2119"/>
      <c r="M3" s="2119"/>
      <c r="N3" s="2119"/>
      <c r="O3" s="2119"/>
      <c r="P3" s="2119"/>
      <c r="Q3" s="1328">
        <v>15</v>
      </c>
      <c r="R3" s="1326">
        <v>16</v>
      </c>
      <c r="S3" s="709">
        <v>17</v>
      </c>
      <c r="T3" s="1328">
        <v>18</v>
      </c>
      <c r="U3" s="709">
        <v>19</v>
      </c>
      <c r="V3" s="709">
        <v>20</v>
      </c>
      <c r="W3" s="709">
        <v>21</v>
      </c>
      <c r="X3" s="712">
        <v>22</v>
      </c>
      <c r="Y3" s="713">
        <v>23</v>
      </c>
      <c r="Z3" s="710">
        <v>24</v>
      </c>
      <c r="AA3" s="1327">
        <v>25</v>
      </c>
      <c r="AB3" s="1327">
        <v>26</v>
      </c>
      <c r="AC3" s="1327">
        <v>27</v>
      </c>
      <c r="AD3" s="1327">
        <v>28</v>
      </c>
      <c r="AE3" s="1327">
        <v>29</v>
      </c>
      <c r="AF3" s="714">
        <v>30</v>
      </c>
      <c r="AG3" s="2116">
        <v>31</v>
      </c>
      <c r="AH3" s="2117">
        <v>34</v>
      </c>
      <c r="AI3" s="2117">
        <v>35</v>
      </c>
      <c r="AJ3" s="2117">
        <v>36</v>
      </c>
      <c r="AK3" s="2117">
        <v>37</v>
      </c>
      <c r="AL3" s="2117">
        <v>38</v>
      </c>
      <c r="AM3" s="2117">
        <v>39</v>
      </c>
      <c r="AN3" s="2117">
        <v>40</v>
      </c>
      <c r="AO3" s="2117">
        <v>41</v>
      </c>
      <c r="AP3" s="2120">
        <v>42</v>
      </c>
      <c r="AQ3" s="2116">
        <v>41</v>
      </c>
      <c r="AR3" s="2117">
        <v>44</v>
      </c>
      <c r="AS3" s="2117">
        <v>45</v>
      </c>
      <c r="AT3" s="2117">
        <v>46</v>
      </c>
      <c r="AU3" s="2120">
        <v>47</v>
      </c>
      <c r="AV3" s="2116">
        <v>46</v>
      </c>
      <c r="AW3" s="2117">
        <v>49</v>
      </c>
      <c r="AX3" s="2117">
        <v>50</v>
      </c>
      <c r="AY3" s="2117">
        <v>51</v>
      </c>
      <c r="AZ3" s="2117">
        <v>52</v>
      </c>
      <c r="BA3" s="2117">
        <v>53</v>
      </c>
      <c r="BB3" s="2117">
        <v>54</v>
      </c>
      <c r="BC3" s="2117">
        <v>55</v>
      </c>
      <c r="BD3" s="2117">
        <v>56</v>
      </c>
      <c r="BE3" s="2117">
        <v>57</v>
      </c>
      <c r="BF3" s="2117">
        <v>58</v>
      </c>
      <c r="BG3" s="2117">
        <v>59</v>
      </c>
      <c r="BH3" s="2117">
        <v>60</v>
      </c>
      <c r="BI3" s="2117">
        <v>61</v>
      </c>
      <c r="BJ3" s="2117">
        <v>62</v>
      </c>
      <c r="BK3" s="2120">
        <v>63</v>
      </c>
      <c r="BL3" s="2116">
        <v>62</v>
      </c>
      <c r="BM3" s="2117">
        <v>65</v>
      </c>
      <c r="BN3" s="2117">
        <v>66</v>
      </c>
      <c r="BO3" s="2117">
        <v>67</v>
      </c>
      <c r="BP3" s="2120">
        <v>68</v>
      </c>
      <c r="BQ3" s="2116">
        <v>67</v>
      </c>
      <c r="BR3" s="2117">
        <v>70</v>
      </c>
      <c r="BS3" s="2117">
        <v>71</v>
      </c>
      <c r="BT3" s="2117">
        <v>72</v>
      </c>
      <c r="BU3" s="2120">
        <v>73</v>
      </c>
      <c r="BV3" s="2116">
        <v>72</v>
      </c>
      <c r="BW3" s="2117">
        <v>75</v>
      </c>
      <c r="BX3" s="2117">
        <v>76</v>
      </c>
      <c r="BY3" s="2117">
        <v>77</v>
      </c>
      <c r="BZ3" s="2120">
        <v>78</v>
      </c>
      <c r="CA3" s="2116">
        <v>77</v>
      </c>
      <c r="CB3" s="2117">
        <v>80</v>
      </c>
      <c r="CC3" s="2117">
        <v>81</v>
      </c>
      <c r="CD3" s="2117">
        <v>82</v>
      </c>
      <c r="CE3" s="2120">
        <v>83</v>
      </c>
      <c r="CF3" s="2116">
        <v>82</v>
      </c>
      <c r="CG3" s="2117">
        <v>85</v>
      </c>
      <c r="CH3" s="2117">
        <v>86</v>
      </c>
      <c r="CI3" s="2117">
        <v>87</v>
      </c>
      <c r="CJ3" s="2120">
        <v>88</v>
      </c>
      <c r="CK3" s="2116">
        <v>87</v>
      </c>
      <c r="CL3" s="2117">
        <v>90</v>
      </c>
      <c r="CM3" s="2117">
        <v>91</v>
      </c>
      <c r="CN3" s="2117">
        <v>92</v>
      </c>
      <c r="CO3" s="2120">
        <v>93</v>
      </c>
      <c r="CP3" s="2116">
        <v>92</v>
      </c>
      <c r="CQ3" s="2117">
        <v>95</v>
      </c>
      <c r="CR3" s="2117">
        <v>96</v>
      </c>
      <c r="CS3" s="2117">
        <v>97</v>
      </c>
      <c r="CT3" s="2120">
        <v>98</v>
      </c>
      <c r="CU3" s="2116">
        <v>97</v>
      </c>
      <c r="CV3" s="2117"/>
      <c r="CW3" s="2117"/>
      <c r="CX3" s="715">
        <v>100</v>
      </c>
      <c r="CY3" s="2116">
        <v>101</v>
      </c>
      <c r="CZ3" s="2117"/>
      <c r="DA3" s="2117"/>
      <c r="DB3" s="715">
        <v>104</v>
      </c>
      <c r="DC3" s="1327">
        <v>105</v>
      </c>
      <c r="DD3" s="715">
        <v>106</v>
      </c>
      <c r="DE3" s="707">
        <v>107</v>
      </c>
    </row>
    <row r="4" spans="1:109" s="54" customFormat="1" ht="15" customHeight="1">
      <c r="A4" s="716"/>
      <c r="B4" s="717"/>
      <c r="C4" s="718" t="s">
        <v>1820</v>
      </c>
      <c r="D4" s="719" t="s">
        <v>168</v>
      </c>
      <c r="E4" s="720" t="s">
        <v>168</v>
      </c>
      <c r="F4" s="1324" t="s">
        <v>168</v>
      </c>
      <c r="G4" s="721" t="s">
        <v>168</v>
      </c>
      <c r="H4" s="722" t="s">
        <v>168</v>
      </c>
      <c r="I4" s="2124"/>
      <c r="J4" s="2125"/>
      <c r="K4" s="2125"/>
      <c r="L4" s="2125"/>
      <c r="M4" s="2125"/>
      <c r="N4" s="2125"/>
      <c r="O4" s="2125"/>
      <c r="P4" s="2125"/>
      <c r="Q4" s="1325"/>
      <c r="R4" s="1323" t="s">
        <v>168</v>
      </c>
      <c r="S4" s="720" t="s">
        <v>168</v>
      </c>
      <c r="T4" s="1325" t="s">
        <v>168</v>
      </c>
      <c r="U4" s="720" t="s">
        <v>168</v>
      </c>
      <c r="V4" s="720" t="s">
        <v>168</v>
      </c>
      <c r="W4" s="720" t="s">
        <v>168</v>
      </c>
      <c r="X4" s="723" t="s">
        <v>168</v>
      </c>
      <c r="Y4" s="724" t="s">
        <v>168</v>
      </c>
      <c r="Z4" s="721" t="s">
        <v>168</v>
      </c>
      <c r="AA4" s="1324" t="s">
        <v>168</v>
      </c>
      <c r="AB4" s="1324" t="s">
        <v>168</v>
      </c>
      <c r="AC4" s="1324" t="s">
        <v>168</v>
      </c>
      <c r="AD4" s="1324" t="s">
        <v>168</v>
      </c>
      <c r="AE4" s="1324" t="s">
        <v>168</v>
      </c>
      <c r="AF4" s="718" t="s">
        <v>131</v>
      </c>
      <c r="AG4" s="2121" t="s">
        <v>131</v>
      </c>
      <c r="AH4" s="2122"/>
      <c r="AI4" s="2122"/>
      <c r="AJ4" s="2122"/>
      <c r="AK4" s="2122"/>
      <c r="AL4" s="2122"/>
      <c r="AM4" s="2122"/>
      <c r="AN4" s="2122"/>
      <c r="AO4" s="2122"/>
      <c r="AP4" s="2123"/>
      <c r="AQ4" s="2121" t="s">
        <v>131</v>
      </c>
      <c r="AR4" s="2122"/>
      <c r="AS4" s="2122"/>
      <c r="AT4" s="2122"/>
      <c r="AU4" s="2123"/>
      <c r="AV4" s="2121" t="s">
        <v>131</v>
      </c>
      <c r="AW4" s="2122"/>
      <c r="AX4" s="2122"/>
      <c r="AY4" s="2122"/>
      <c r="AZ4" s="2122"/>
      <c r="BA4" s="2122"/>
      <c r="BB4" s="2122"/>
      <c r="BC4" s="2122"/>
      <c r="BD4" s="2122"/>
      <c r="BE4" s="2122"/>
      <c r="BF4" s="2122"/>
      <c r="BG4" s="2122"/>
      <c r="BH4" s="2122"/>
      <c r="BI4" s="2122"/>
      <c r="BJ4" s="2122"/>
      <c r="BK4" s="2123"/>
      <c r="BL4" s="2121" t="s">
        <v>131</v>
      </c>
      <c r="BM4" s="2122"/>
      <c r="BN4" s="2122"/>
      <c r="BO4" s="2122"/>
      <c r="BP4" s="2123"/>
      <c r="BQ4" s="2121" t="s">
        <v>131</v>
      </c>
      <c r="BR4" s="2122"/>
      <c r="BS4" s="2122"/>
      <c r="BT4" s="2122"/>
      <c r="BU4" s="2123"/>
      <c r="BV4" s="2121" t="s">
        <v>131</v>
      </c>
      <c r="BW4" s="2122"/>
      <c r="BX4" s="2122"/>
      <c r="BY4" s="2122"/>
      <c r="BZ4" s="2123"/>
      <c r="CA4" s="2121" t="s">
        <v>131</v>
      </c>
      <c r="CB4" s="2122"/>
      <c r="CC4" s="2122"/>
      <c r="CD4" s="2122"/>
      <c r="CE4" s="2123"/>
      <c r="CF4" s="2121" t="s">
        <v>131</v>
      </c>
      <c r="CG4" s="2122"/>
      <c r="CH4" s="2122"/>
      <c r="CI4" s="2122"/>
      <c r="CJ4" s="2123"/>
      <c r="CK4" s="2121" t="s">
        <v>131</v>
      </c>
      <c r="CL4" s="2122"/>
      <c r="CM4" s="2122"/>
      <c r="CN4" s="2122"/>
      <c r="CO4" s="2123"/>
      <c r="CP4" s="2121" t="s">
        <v>131</v>
      </c>
      <c r="CQ4" s="2122"/>
      <c r="CR4" s="2122"/>
      <c r="CS4" s="2122"/>
      <c r="CT4" s="2123"/>
      <c r="CU4" s="725" t="s">
        <v>131</v>
      </c>
      <c r="CV4" s="726" t="s">
        <v>131</v>
      </c>
      <c r="CW4" s="727" t="s">
        <v>131</v>
      </c>
      <c r="CX4" s="728" t="s">
        <v>131</v>
      </c>
      <c r="CY4" s="725" t="s">
        <v>131</v>
      </c>
      <c r="CZ4" s="726" t="s">
        <v>131</v>
      </c>
      <c r="DA4" s="727" t="s">
        <v>131</v>
      </c>
      <c r="DB4" s="728" t="s">
        <v>131</v>
      </c>
      <c r="DC4" s="1324" t="s">
        <v>131</v>
      </c>
      <c r="DD4" s="729" t="s">
        <v>131</v>
      </c>
      <c r="DE4" s="718" t="s">
        <v>131</v>
      </c>
    </row>
    <row r="5" spans="1:109" s="55" customFormat="1" ht="40.9" customHeight="1">
      <c r="A5" s="730"/>
      <c r="B5" s="717"/>
      <c r="C5" s="731"/>
      <c r="D5" s="732"/>
      <c r="E5" s="733"/>
      <c r="F5" s="734"/>
      <c r="G5" s="735"/>
      <c r="H5" s="736"/>
      <c r="I5" s="2129" t="s">
        <v>1821</v>
      </c>
      <c r="J5" s="2130"/>
      <c r="K5" s="2130"/>
      <c r="L5" s="2130"/>
      <c r="M5" s="2130"/>
      <c r="N5" s="2130"/>
      <c r="O5" s="2130"/>
      <c r="P5" s="2130"/>
      <c r="Q5" s="2131"/>
      <c r="R5" s="737"/>
      <c r="S5" s="733"/>
      <c r="T5" s="738"/>
      <c r="U5" s="739"/>
      <c r="V5" s="739"/>
      <c r="W5" s="740"/>
      <c r="X5" s="741"/>
      <c r="Y5" s="1325"/>
      <c r="Z5" s="735"/>
      <c r="AA5" s="1322"/>
      <c r="AB5" s="742"/>
      <c r="AC5" s="742"/>
      <c r="AD5" s="742"/>
      <c r="AE5" s="742"/>
      <c r="AF5" s="743"/>
      <c r="AG5" s="2129" t="s">
        <v>1822</v>
      </c>
      <c r="AH5" s="2130"/>
      <c r="AI5" s="2130"/>
      <c r="AJ5" s="2130"/>
      <c r="AK5" s="2130"/>
      <c r="AL5" s="2130"/>
      <c r="AM5" s="2130"/>
      <c r="AN5" s="2130"/>
      <c r="AO5" s="2130"/>
      <c r="AP5" s="2132"/>
      <c r="AQ5" s="2129" t="s">
        <v>1823</v>
      </c>
      <c r="AR5" s="2130"/>
      <c r="AS5" s="2130"/>
      <c r="AT5" s="2130"/>
      <c r="AU5" s="2132"/>
      <c r="AV5" s="2129" t="s">
        <v>1824</v>
      </c>
      <c r="AW5" s="2130"/>
      <c r="AX5" s="2130"/>
      <c r="AY5" s="2130"/>
      <c r="AZ5" s="2130"/>
      <c r="BA5" s="2130"/>
      <c r="BB5" s="2130"/>
      <c r="BC5" s="2130"/>
      <c r="BD5" s="2130"/>
      <c r="BE5" s="2130"/>
      <c r="BF5" s="2130"/>
      <c r="BG5" s="2130"/>
      <c r="BH5" s="2130"/>
      <c r="BI5" s="2130"/>
      <c r="BJ5" s="2130"/>
      <c r="BK5" s="2132"/>
      <c r="BL5" s="2133" t="s">
        <v>1001</v>
      </c>
      <c r="BM5" s="2134"/>
      <c r="BN5" s="2134"/>
      <c r="BO5" s="2134"/>
      <c r="BP5" s="2135"/>
      <c r="BQ5" s="2136" t="s">
        <v>1825</v>
      </c>
      <c r="BR5" s="2137"/>
      <c r="BS5" s="2137"/>
      <c r="BT5" s="2137"/>
      <c r="BU5" s="2138"/>
      <c r="BV5" s="2136" t="s">
        <v>1826</v>
      </c>
      <c r="BW5" s="2137"/>
      <c r="BX5" s="2137"/>
      <c r="BY5" s="2137"/>
      <c r="BZ5" s="2138"/>
      <c r="CA5" s="2136" t="s">
        <v>1827</v>
      </c>
      <c r="CB5" s="2137"/>
      <c r="CC5" s="2137"/>
      <c r="CD5" s="2137"/>
      <c r="CE5" s="2138"/>
      <c r="CF5" s="2136" t="s">
        <v>1828</v>
      </c>
      <c r="CG5" s="2137"/>
      <c r="CH5" s="2137"/>
      <c r="CI5" s="2137"/>
      <c r="CJ5" s="2138"/>
      <c r="CK5" s="2136" t="s">
        <v>1829</v>
      </c>
      <c r="CL5" s="2137"/>
      <c r="CM5" s="2137"/>
      <c r="CN5" s="2137"/>
      <c r="CO5" s="2138"/>
      <c r="CP5" s="2136" t="s">
        <v>1830</v>
      </c>
      <c r="CQ5" s="2137"/>
      <c r="CR5" s="2137"/>
      <c r="CS5" s="2137"/>
      <c r="CT5" s="2138"/>
      <c r="CU5" s="2126" t="s">
        <v>1831</v>
      </c>
      <c r="CV5" s="2127"/>
      <c r="CW5" s="2127"/>
      <c r="CX5" s="2127"/>
      <c r="CY5" s="2126" t="s">
        <v>1832</v>
      </c>
      <c r="CZ5" s="2127"/>
      <c r="DA5" s="2127"/>
      <c r="DB5" s="2128"/>
      <c r="DC5" s="742"/>
      <c r="DD5" s="744"/>
      <c r="DE5" s="745"/>
    </row>
    <row r="6" spans="1:109" s="56" customFormat="1" ht="52.5">
      <c r="A6" s="746" t="s">
        <v>1833</v>
      </c>
      <c r="B6" s="747" t="s">
        <v>1834</v>
      </c>
      <c r="C6" s="748" t="s">
        <v>1566</v>
      </c>
      <c r="D6" s="749" t="s">
        <v>1835</v>
      </c>
      <c r="E6" s="750" t="s">
        <v>1836</v>
      </c>
      <c r="F6" s="751" t="s">
        <v>1837</v>
      </c>
      <c r="G6" s="752" t="s">
        <v>1838</v>
      </c>
      <c r="H6" s="753" t="s">
        <v>1839</v>
      </c>
      <c r="I6" s="754" t="s">
        <v>754</v>
      </c>
      <c r="J6" s="755" t="s">
        <v>757</v>
      </c>
      <c r="K6" s="755" t="s">
        <v>760</v>
      </c>
      <c r="L6" s="755" t="s">
        <v>763</v>
      </c>
      <c r="M6" s="755" t="s">
        <v>766</v>
      </c>
      <c r="N6" s="755" t="s">
        <v>769</v>
      </c>
      <c r="O6" s="755" t="s">
        <v>1840</v>
      </c>
      <c r="P6" s="755" t="s">
        <v>772</v>
      </c>
      <c r="Q6" s="756" t="s">
        <v>1131</v>
      </c>
      <c r="R6" s="757" t="s">
        <v>987</v>
      </c>
      <c r="S6" s="750" t="s">
        <v>988</v>
      </c>
      <c r="T6" s="758" t="s">
        <v>989</v>
      </c>
      <c r="U6" s="750" t="s">
        <v>1841</v>
      </c>
      <c r="V6" s="750" t="s">
        <v>1842</v>
      </c>
      <c r="W6" s="750" t="s">
        <v>1843</v>
      </c>
      <c r="X6" s="759" t="s">
        <v>115</v>
      </c>
      <c r="Y6" s="760" t="s">
        <v>1175</v>
      </c>
      <c r="Z6" s="752" t="s">
        <v>1844</v>
      </c>
      <c r="AA6" s="761" t="s">
        <v>1845</v>
      </c>
      <c r="AB6" s="761" t="s">
        <v>1846</v>
      </c>
      <c r="AC6" s="761" t="s">
        <v>1847</v>
      </c>
      <c r="AD6" s="761" t="s">
        <v>1848</v>
      </c>
      <c r="AE6" s="761" t="s">
        <v>1849</v>
      </c>
      <c r="AF6" s="762" t="s">
        <v>1850</v>
      </c>
      <c r="AG6" s="754" t="s">
        <v>1851</v>
      </c>
      <c r="AH6" s="755" t="s">
        <v>1852</v>
      </c>
      <c r="AI6" s="755" t="s">
        <v>1853</v>
      </c>
      <c r="AJ6" s="755" t="s">
        <v>1854</v>
      </c>
      <c r="AK6" s="755" t="s">
        <v>1855</v>
      </c>
      <c r="AL6" s="755" t="s">
        <v>1856</v>
      </c>
      <c r="AM6" s="755" t="s">
        <v>1857</v>
      </c>
      <c r="AN6" s="755" t="s">
        <v>1135</v>
      </c>
      <c r="AO6" s="755" t="s">
        <v>1858</v>
      </c>
      <c r="AP6" s="763" t="s">
        <v>1859</v>
      </c>
      <c r="AQ6" s="754" t="s">
        <v>1012</v>
      </c>
      <c r="AR6" s="755" t="s">
        <v>1022</v>
      </c>
      <c r="AS6" s="755" t="s">
        <v>1027</v>
      </c>
      <c r="AT6" s="755" t="s">
        <v>88</v>
      </c>
      <c r="AU6" s="763" t="s">
        <v>1034</v>
      </c>
      <c r="AV6" s="764" t="s">
        <v>1860</v>
      </c>
      <c r="AW6" s="765" t="s">
        <v>1861</v>
      </c>
      <c r="AX6" s="765" t="s">
        <v>1862</v>
      </c>
      <c r="AY6" s="765" t="s">
        <v>1863</v>
      </c>
      <c r="AZ6" s="765" t="s">
        <v>1864</v>
      </c>
      <c r="BA6" s="765" t="s">
        <v>1865</v>
      </c>
      <c r="BB6" s="765" t="s">
        <v>1866</v>
      </c>
      <c r="BC6" s="765" t="s">
        <v>1867</v>
      </c>
      <c r="BD6" s="765" t="s">
        <v>1868</v>
      </c>
      <c r="BE6" s="765" t="s">
        <v>1869</v>
      </c>
      <c r="BF6" s="765" t="s">
        <v>1870</v>
      </c>
      <c r="BG6" s="765" t="s">
        <v>1871</v>
      </c>
      <c r="BH6" s="765" t="s">
        <v>1872</v>
      </c>
      <c r="BI6" s="765" t="s">
        <v>1873</v>
      </c>
      <c r="BJ6" s="765" t="s">
        <v>1874</v>
      </c>
      <c r="BK6" s="766" t="s">
        <v>1875</v>
      </c>
      <c r="BL6" s="754" t="s">
        <v>1012</v>
      </c>
      <c r="BM6" s="755" t="s">
        <v>1022</v>
      </c>
      <c r="BN6" s="755" t="s">
        <v>1027</v>
      </c>
      <c r="BO6" s="755" t="s">
        <v>88</v>
      </c>
      <c r="BP6" s="763" t="s">
        <v>1034</v>
      </c>
      <c r="BQ6" s="754" t="s">
        <v>1012</v>
      </c>
      <c r="BR6" s="755" t="s">
        <v>1022</v>
      </c>
      <c r="BS6" s="755" t="s">
        <v>1027</v>
      </c>
      <c r="BT6" s="755" t="s">
        <v>88</v>
      </c>
      <c r="BU6" s="763" t="s">
        <v>1034</v>
      </c>
      <c r="BV6" s="754" t="s">
        <v>1012</v>
      </c>
      <c r="BW6" s="755" t="s">
        <v>1022</v>
      </c>
      <c r="BX6" s="755" t="s">
        <v>1027</v>
      </c>
      <c r="BY6" s="755" t="s">
        <v>88</v>
      </c>
      <c r="BZ6" s="763" t="s">
        <v>1034</v>
      </c>
      <c r="CA6" s="754" t="s">
        <v>1012</v>
      </c>
      <c r="CB6" s="755" t="s">
        <v>1022</v>
      </c>
      <c r="CC6" s="755" t="s">
        <v>1027</v>
      </c>
      <c r="CD6" s="755" t="s">
        <v>88</v>
      </c>
      <c r="CE6" s="763" t="s">
        <v>1034</v>
      </c>
      <c r="CF6" s="754" t="s">
        <v>1012</v>
      </c>
      <c r="CG6" s="755" t="s">
        <v>1022</v>
      </c>
      <c r="CH6" s="755" t="s">
        <v>1027</v>
      </c>
      <c r="CI6" s="755" t="s">
        <v>88</v>
      </c>
      <c r="CJ6" s="763" t="s">
        <v>1034</v>
      </c>
      <c r="CK6" s="754" t="s">
        <v>1012</v>
      </c>
      <c r="CL6" s="755" t="s">
        <v>1022</v>
      </c>
      <c r="CM6" s="755" t="s">
        <v>1027</v>
      </c>
      <c r="CN6" s="755" t="s">
        <v>88</v>
      </c>
      <c r="CO6" s="763" t="s">
        <v>1034</v>
      </c>
      <c r="CP6" s="754" t="s">
        <v>1012</v>
      </c>
      <c r="CQ6" s="755" t="s">
        <v>1022</v>
      </c>
      <c r="CR6" s="755" t="s">
        <v>1027</v>
      </c>
      <c r="CS6" s="755" t="s">
        <v>88</v>
      </c>
      <c r="CT6" s="763" t="s">
        <v>1034</v>
      </c>
      <c r="CU6" s="767" t="s">
        <v>1876</v>
      </c>
      <c r="CV6" s="768" t="s">
        <v>1877</v>
      </c>
      <c r="CW6" s="769" t="s">
        <v>1878</v>
      </c>
      <c r="CX6" s="770" t="s">
        <v>1879</v>
      </c>
      <c r="CY6" s="767" t="s">
        <v>1880</v>
      </c>
      <c r="CZ6" s="768" t="s">
        <v>1881</v>
      </c>
      <c r="DA6" s="769" t="s">
        <v>1882</v>
      </c>
      <c r="DB6" s="770" t="s">
        <v>1883</v>
      </c>
      <c r="DC6" s="761" t="s">
        <v>1884</v>
      </c>
      <c r="DD6" s="771" t="s">
        <v>1885</v>
      </c>
      <c r="DE6" s="762" t="s">
        <v>1886</v>
      </c>
    </row>
    <row r="7" spans="1:109" ht="15.75" hidden="1" customHeight="1">
      <c r="A7" s="772" t="s">
        <v>1060</v>
      </c>
      <c r="B7" s="773">
        <v>1</v>
      </c>
      <c r="C7" s="774" t="s">
        <v>1887</v>
      </c>
      <c r="D7" s="775" t="s">
        <v>1888</v>
      </c>
      <c r="E7" s="775" t="s">
        <v>1889</v>
      </c>
      <c r="F7" s="776" t="s">
        <v>1890</v>
      </c>
      <c r="G7" s="777" t="s">
        <v>137</v>
      </c>
      <c r="H7" s="778" t="s">
        <v>1891</v>
      </c>
      <c r="I7" s="779"/>
      <c r="J7" s="780">
        <v>1</v>
      </c>
      <c r="K7" s="780"/>
      <c r="L7" s="780"/>
      <c r="M7" s="780"/>
      <c r="N7" s="780"/>
      <c r="O7" s="780"/>
      <c r="P7" s="781"/>
      <c r="Q7" s="782">
        <f>SUM(I7:P7)</f>
        <v>1</v>
      </c>
      <c r="R7" s="774" t="s">
        <v>1030</v>
      </c>
      <c r="S7" s="775" t="s">
        <v>1008</v>
      </c>
      <c r="T7" s="783" t="s">
        <v>1009</v>
      </c>
      <c r="U7" s="775" t="s">
        <v>1892</v>
      </c>
      <c r="V7" s="775" t="s">
        <v>1029</v>
      </c>
      <c r="W7" s="775" t="s">
        <v>1893</v>
      </c>
      <c r="X7" s="1304">
        <v>0</v>
      </c>
      <c r="Y7" s="784" t="s">
        <v>1020</v>
      </c>
      <c r="Z7" s="777" t="s">
        <v>137</v>
      </c>
      <c r="AA7" s="785"/>
      <c r="AB7" s="785"/>
      <c r="AC7" s="785"/>
      <c r="AD7" s="785"/>
      <c r="AE7" s="785"/>
      <c r="AF7" s="786"/>
      <c r="AG7" s="787"/>
      <c r="AH7" s="787"/>
      <c r="AI7" s="788"/>
      <c r="AJ7" s="788"/>
      <c r="AK7" s="788"/>
      <c r="AL7" s="788"/>
      <c r="AM7" s="788"/>
      <c r="AN7" s="788"/>
      <c r="AO7" s="788"/>
      <c r="AP7" s="788"/>
      <c r="AQ7" s="1705"/>
      <c r="AR7" s="1706"/>
      <c r="AS7" s="1706"/>
      <c r="AT7" s="1706"/>
      <c r="AU7" s="1707"/>
      <c r="AV7" s="1708"/>
      <c r="AW7" s="1709"/>
      <c r="AX7" s="1709"/>
      <c r="AY7" s="1709"/>
      <c r="AZ7" s="1709"/>
      <c r="BA7" s="1709"/>
      <c r="BB7" s="1709"/>
      <c r="BC7" s="1709"/>
      <c r="BD7" s="1709"/>
      <c r="BE7" s="1709"/>
      <c r="BF7" s="1709"/>
      <c r="BG7" s="1709"/>
      <c r="BH7" s="1709"/>
      <c r="BI7" s="1709"/>
      <c r="BJ7" s="1709"/>
      <c r="BK7" s="1710"/>
      <c r="BL7" s="1711"/>
      <c r="BM7" s="1712"/>
      <c r="BN7" s="1712"/>
      <c r="BO7" s="1712"/>
      <c r="BP7" s="1713"/>
      <c r="BQ7" s="1714"/>
      <c r="BR7" s="1715"/>
      <c r="BS7" s="1715"/>
      <c r="BT7" s="1715"/>
      <c r="BU7" s="1716"/>
      <c r="BV7" s="1705"/>
      <c r="BW7" s="1706"/>
      <c r="BX7" s="1706"/>
      <c r="BY7" s="1706"/>
      <c r="BZ7" s="1706"/>
      <c r="CA7" s="1705"/>
      <c r="CB7" s="1706"/>
      <c r="CC7" s="1706"/>
      <c r="CD7" s="1706"/>
      <c r="CE7" s="1707"/>
      <c r="CF7" s="1706"/>
      <c r="CG7" s="1706"/>
      <c r="CH7" s="1706"/>
      <c r="CI7" s="1706"/>
      <c r="CJ7" s="1707"/>
      <c r="CK7" s="1705"/>
      <c r="CL7" s="1706"/>
      <c r="CM7" s="1706"/>
      <c r="CN7" s="1706"/>
      <c r="CO7" s="1707"/>
      <c r="CP7" s="1714"/>
      <c r="CQ7" s="1715"/>
      <c r="CR7" s="1715"/>
      <c r="CS7" s="1715"/>
      <c r="CT7" s="1716"/>
      <c r="CU7" s="1717"/>
      <c r="CV7" s="1718"/>
      <c r="CW7" s="1718"/>
      <c r="CX7" s="1719"/>
      <c r="CY7" s="1519"/>
      <c r="CZ7" s="1718"/>
      <c r="DA7" s="1718"/>
      <c r="DB7" s="1719"/>
      <c r="DC7" s="1712"/>
      <c r="DD7" s="1720"/>
      <c r="DE7" s="1745"/>
    </row>
    <row r="8" spans="1:109" ht="15.75" hidden="1" customHeight="1">
      <c r="A8" s="772" t="s">
        <v>1060</v>
      </c>
      <c r="B8" s="773">
        <v>2</v>
      </c>
      <c r="C8" s="789" t="s">
        <v>1894</v>
      </c>
      <c r="D8" s="773" t="s">
        <v>1895</v>
      </c>
      <c r="E8" s="773" t="s">
        <v>1896</v>
      </c>
      <c r="F8" s="785" t="s">
        <v>1897</v>
      </c>
      <c r="G8" s="790" t="s">
        <v>669</v>
      </c>
      <c r="H8" s="791" t="s">
        <v>1898</v>
      </c>
      <c r="I8" s="792"/>
      <c r="J8" s="793">
        <v>1</v>
      </c>
      <c r="K8" s="793"/>
      <c r="L8" s="793"/>
      <c r="M8" s="793"/>
      <c r="N8" s="793"/>
      <c r="O8" s="793"/>
      <c r="P8" s="794"/>
      <c r="Q8" s="795">
        <f>SUM(I8:P8)</f>
        <v>1</v>
      </c>
      <c r="R8" s="789" t="s">
        <v>1030</v>
      </c>
      <c r="S8" s="773" t="s">
        <v>1008</v>
      </c>
      <c r="T8" s="796" t="s">
        <v>1009</v>
      </c>
      <c r="U8" s="773" t="s">
        <v>669</v>
      </c>
      <c r="V8" s="773" t="s">
        <v>1033</v>
      </c>
      <c r="W8" s="773" t="s">
        <v>1899</v>
      </c>
      <c r="X8" s="1274">
        <v>1</v>
      </c>
      <c r="Y8" s="798" t="s">
        <v>1020</v>
      </c>
      <c r="Z8" s="790" t="s">
        <v>669</v>
      </c>
      <c r="AA8" s="785"/>
      <c r="AB8" s="785"/>
      <c r="AC8" s="785"/>
      <c r="AD8" s="785"/>
      <c r="AE8" s="785"/>
      <c r="AF8" s="799"/>
      <c r="AG8" s="800"/>
      <c r="AH8" s="800"/>
      <c r="AI8" s="800"/>
      <c r="AJ8" s="800"/>
      <c r="AK8" s="800"/>
      <c r="AL8" s="800"/>
      <c r="AM8" s="800"/>
      <c r="AN8" s="800"/>
      <c r="AO8" s="801"/>
      <c r="AP8" s="801"/>
      <c r="AQ8" s="1721"/>
      <c r="AR8" s="1722"/>
      <c r="AS8" s="1722"/>
      <c r="AT8" s="1722"/>
      <c r="AU8" s="1723"/>
      <c r="AV8" s="1721"/>
      <c r="AW8" s="1722"/>
      <c r="AX8" s="1722"/>
      <c r="AY8" s="1722"/>
      <c r="AZ8" s="1722"/>
      <c r="BA8" s="1722"/>
      <c r="BB8" s="1722"/>
      <c r="BC8" s="1722"/>
      <c r="BD8" s="1722"/>
      <c r="BE8" s="1722"/>
      <c r="BF8" s="1722"/>
      <c r="BG8" s="1722"/>
      <c r="BH8" s="1722"/>
      <c r="BI8" s="1722"/>
      <c r="BJ8" s="1722"/>
      <c r="BK8" s="1723"/>
      <c r="BL8" s="1376"/>
      <c r="BM8" s="1377"/>
      <c r="BN8" s="1377"/>
      <c r="BO8" s="1377"/>
      <c r="BP8" s="1440"/>
      <c r="BQ8" s="1724"/>
      <c r="BR8" s="1368"/>
      <c r="BS8" s="1368"/>
      <c r="BT8" s="1368"/>
      <c r="BU8" s="1369"/>
      <c r="BV8" s="1421"/>
      <c r="BW8" s="1373"/>
      <c r="BX8" s="1373"/>
      <c r="BY8" s="1373"/>
      <c r="BZ8" s="1373"/>
      <c r="CA8" s="1420"/>
      <c r="CB8" s="1368"/>
      <c r="CC8" s="1368"/>
      <c r="CD8" s="1368"/>
      <c r="CE8" s="1369"/>
      <c r="CF8" s="1368"/>
      <c r="CG8" s="1368"/>
      <c r="CH8" s="1368"/>
      <c r="CI8" s="1368"/>
      <c r="CJ8" s="1368"/>
      <c r="CK8" s="1725"/>
      <c r="CL8" s="1726"/>
      <c r="CM8" s="1726"/>
      <c r="CN8" s="1726"/>
      <c r="CO8" s="1727"/>
      <c r="CP8" s="1420"/>
      <c r="CQ8" s="1368"/>
      <c r="CR8" s="1368"/>
      <c r="CS8" s="1368"/>
      <c r="CT8" s="1369"/>
      <c r="CU8" s="1528"/>
      <c r="CV8" s="1519"/>
      <c r="CW8" s="1519"/>
      <c r="CX8" s="1728"/>
      <c r="CY8" s="1519"/>
      <c r="CZ8" s="1519"/>
      <c r="DA8" s="1519"/>
      <c r="DB8" s="1728"/>
      <c r="DC8" s="1377"/>
      <c r="DD8" s="1729"/>
      <c r="DE8" s="1734"/>
    </row>
    <row r="9" spans="1:109" ht="15.75" hidden="1" customHeight="1">
      <c r="A9" s="772" t="s">
        <v>1060</v>
      </c>
      <c r="B9" s="773">
        <v>3</v>
      </c>
      <c r="C9" s="789" t="s">
        <v>1900</v>
      </c>
      <c r="D9" s="773" t="s">
        <v>1895</v>
      </c>
      <c r="E9" s="773" t="s">
        <v>1896</v>
      </c>
      <c r="F9" s="785" t="s">
        <v>1901</v>
      </c>
      <c r="G9" s="790" t="s">
        <v>1902</v>
      </c>
      <c r="H9" s="791" t="s">
        <v>1903</v>
      </c>
      <c r="I9" s="792">
        <v>0.3</v>
      </c>
      <c r="J9" s="793">
        <v>0.7</v>
      </c>
      <c r="K9" s="793"/>
      <c r="L9" s="793"/>
      <c r="M9" s="793"/>
      <c r="N9" s="793"/>
      <c r="O9" s="793"/>
      <c r="P9" s="794"/>
      <c r="Q9" s="795">
        <f t="shared" ref="Q9:Q72" si="0">SUM(I9:P9)</f>
        <v>1</v>
      </c>
      <c r="R9" s="789" t="s">
        <v>1030</v>
      </c>
      <c r="S9" s="773" t="s">
        <v>1008</v>
      </c>
      <c r="T9" s="1440" t="s">
        <v>1019</v>
      </c>
      <c r="U9" s="773" t="s">
        <v>1904</v>
      </c>
      <c r="V9" s="773" t="s">
        <v>1033</v>
      </c>
      <c r="W9" s="773" t="s">
        <v>1905</v>
      </c>
      <c r="X9" s="829">
        <v>1</v>
      </c>
      <c r="Y9" s="798" t="s">
        <v>1020</v>
      </c>
      <c r="Z9" s="790" t="s">
        <v>1902</v>
      </c>
      <c r="AA9" s="785"/>
      <c r="AB9" s="785"/>
      <c r="AC9" s="785"/>
      <c r="AD9" s="785"/>
      <c r="AE9" s="785"/>
      <c r="AF9" s="799"/>
      <c r="AG9" s="800"/>
      <c r="AH9" s="800"/>
      <c r="AI9" s="800"/>
      <c r="AJ9" s="800"/>
      <c r="AK9" s="800"/>
      <c r="AL9" s="800"/>
      <c r="AM9" s="800"/>
      <c r="AN9" s="800"/>
      <c r="AO9" s="800"/>
      <c r="AP9" s="800"/>
      <c r="AQ9" s="1420"/>
      <c r="AR9" s="1368"/>
      <c r="AS9" s="1368"/>
      <c r="AT9" s="1368"/>
      <c r="AU9" s="1369"/>
      <c r="AV9" s="1420"/>
      <c r="AW9" s="1368"/>
      <c r="AX9" s="1368"/>
      <c r="AY9" s="1368"/>
      <c r="AZ9" s="1368"/>
      <c r="BA9" s="1368"/>
      <c r="BB9" s="1368"/>
      <c r="BC9" s="1368"/>
      <c r="BD9" s="1368"/>
      <c r="BE9" s="1368"/>
      <c r="BF9" s="1368"/>
      <c r="BG9" s="1368"/>
      <c r="BH9" s="1368"/>
      <c r="BI9" s="1368"/>
      <c r="BJ9" s="1368"/>
      <c r="BK9" s="1369"/>
      <c r="BL9" s="1376"/>
      <c r="BM9" s="1377"/>
      <c r="BN9" s="1377"/>
      <c r="BO9" s="1377"/>
      <c r="BP9" s="1440"/>
      <c r="BQ9" s="1420"/>
      <c r="BR9" s="1368"/>
      <c r="BS9" s="1368"/>
      <c r="BT9" s="1368"/>
      <c r="BU9" s="1369"/>
      <c r="BV9" s="1421"/>
      <c r="BW9" s="1373"/>
      <c r="BX9" s="1373"/>
      <c r="BY9" s="1373"/>
      <c r="BZ9" s="1373"/>
      <c r="CA9" s="1420"/>
      <c r="CB9" s="1368"/>
      <c r="CC9" s="1368"/>
      <c r="CD9" s="1368"/>
      <c r="CE9" s="1369"/>
      <c r="CF9" s="1368"/>
      <c r="CG9" s="1368"/>
      <c r="CH9" s="1368"/>
      <c r="CI9" s="1368"/>
      <c r="CJ9" s="1369"/>
      <c r="CK9" s="1420"/>
      <c r="CL9" s="1368"/>
      <c r="CM9" s="1368"/>
      <c r="CN9" s="1368"/>
      <c r="CO9" s="1369"/>
      <c r="CP9" s="1420"/>
      <c r="CQ9" s="1368"/>
      <c r="CR9" s="1368"/>
      <c r="CS9" s="1368"/>
      <c r="CT9" s="1369"/>
      <c r="CU9" s="1528"/>
      <c r="CV9" s="1519"/>
      <c r="CW9" s="1519"/>
      <c r="CX9" s="1728"/>
      <c r="CY9" s="1519"/>
      <c r="CZ9" s="1519"/>
      <c r="DA9" s="1519"/>
      <c r="DB9" s="1728"/>
      <c r="DC9" s="1377"/>
      <c r="DD9" s="1729"/>
      <c r="DE9" s="1734"/>
    </row>
    <row r="10" spans="1:109" ht="15.75" hidden="1" customHeight="1">
      <c r="A10" s="772" t="s">
        <v>1060</v>
      </c>
      <c r="B10" s="773">
        <v>4</v>
      </c>
      <c r="C10" s="789" t="s">
        <v>1906</v>
      </c>
      <c r="D10" s="773" t="s">
        <v>1888</v>
      </c>
      <c r="E10" s="773" t="s">
        <v>1907</v>
      </c>
      <c r="F10" s="785" t="s">
        <v>1908</v>
      </c>
      <c r="G10" s="790" t="s">
        <v>535</v>
      </c>
      <c r="H10" s="791" t="s">
        <v>1909</v>
      </c>
      <c r="I10" s="815"/>
      <c r="J10" s="793">
        <v>1</v>
      </c>
      <c r="K10" s="793"/>
      <c r="L10" s="793"/>
      <c r="M10" s="793"/>
      <c r="N10" s="793"/>
      <c r="O10" s="793"/>
      <c r="P10" s="794"/>
      <c r="Q10" s="795">
        <f t="shared" si="0"/>
        <v>1</v>
      </c>
      <c r="R10" s="789" t="s">
        <v>1007</v>
      </c>
      <c r="S10" s="773"/>
      <c r="T10" s="796"/>
      <c r="U10" s="773" t="s">
        <v>1910</v>
      </c>
      <c r="V10" s="773" t="s">
        <v>278</v>
      </c>
      <c r="W10" s="773" t="s">
        <v>1911</v>
      </c>
      <c r="X10" s="829">
        <v>1</v>
      </c>
      <c r="Y10" s="798" t="s">
        <v>1020</v>
      </c>
      <c r="Z10" s="790" t="s">
        <v>535</v>
      </c>
      <c r="AA10" s="785"/>
      <c r="AB10" s="785"/>
      <c r="AC10" s="785"/>
      <c r="AD10" s="785"/>
      <c r="AE10" s="785"/>
      <c r="AF10" s="799"/>
      <c r="AG10" s="816"/>
      <c r="AH10" s="816"/>
      <c r="AI10" s="816"/>
      <c r="AJ10" s="816"/>
      <c r="AK10" s="816"/>
      <c r="AL10" s="816"/>
      <c r="AM10" s="816"/>
      <c r="AN10" s="816"/>
      <c r="AO10" s="816"/>
      <c r="AP10" s="816"/>
      <c r="AQ10" s="1521"/>
      <c r="AR10" s="1730"/>
      <c r="AS10" s="1730"/>
      <c r="AT10" s="1730"/>
      <c r="AU10" s="1527"/>
      <c r="AV10" s="1521"/>
      <c r="AW10" s="1730"/>
      <c r="AX10" s="1730"/>
      <c r="AY10" s="1730"/>
      <c r="AZ10" s="1730"/>
      <c r="BA10" s="1730"/>
      <c r="BB10" s="1730"/>
      <c r="BC10" s="1730"/>
      <c r="BD10" s="1730"/>
      <c r="BE10" s="1730"/>
      <c r="BF10" s="1730"/>
      <c r="BG10" s="1730"/>
      <c r="BH10" s="1730"/>
      <c r="BI10" s="1730"/>
      <c r="BJ10" s="1730"/>
      <c r="BK10" s="1527"/>
      <c r="BL10" s="1376"/>
      <c r="BM10" s="1377"/>
      <c r="BN10" s="1377"/>
      <c r="BO10" s="1377"/>
      <c r="BP10" s="1440"/>
      <c r="BQ10" s="1420"/>
      <c r="BR10" s="1368"/>
      <c r="BS10" s="1368"/>
      <c r="BT10" s="1368"/>
      <c r="BU10" s="1369"/>
      <c r="BV10" s="1420"/>
      <c r="BW10" s="1368"/>
      <c r="BX10" s="1368"/>
      <c r="BY10" s="1368"/>
      <c r="BZ10" s="1368"/>
      <c r="CA10" s="1420"/>
      <c r="CB10" s="1368"/>
      <c r="CC10" s="1368"/>
      <c r="CD10" s="1368"/>
      <c r="CE10" s="1369"/>
      <c r="CF10" s="1368"/>
      <c r="CG10" s="1368"/>
      <c r="CH10" s="1368"/>
      <c r="CI10" s="1368"/>
      <c r="CJ10" s="1368"/>
      <c r="CK10" s="1420"/>
      <c r="CL10" s="1368"/>
      <c r="CM10" s="1368"/>
      <c r="CN10" s="1368"/>
      <c r="CO10" s="1369"/>
      <c r="CP10" s="1420"/>
      <c r="CQ10" s="1368"/>
      <c r="CR10" s="1368"/>
      <c r="CS10" s="1368"/>
      <c r="CT10" s="1369"/>
      <c r="CU10" s="1528"/>
      <c r="CV10" s="1519"/>
      <c r="CW10" s="1519"/>
      <c r="CX10" s="1728"/>
      <c r="CY10" s="1519"/>
      <c r="CZ10" s="1519"/>
      <c r="DA10" s="1519"/>
      <c r="DB10" s="1728"/>
      <c r="DC10" s="1377"/>
      <c r="DD10" s="1729"/>
      <c r="DE10" s="1734"/>
    </row>
    <row r="11" spans="1:109" ht="15.75" hidden="1" customHeight="1">
      <c r="A11" s="772" t="s">
        <v>1060</v>
      </c>
      <c r="B11" s="773">
        <v>5</v>
      </c>
      <c r="C11" s="789" t="s">
        <v>1912</v>
      </c>
      <c r="D11" s="773" t="s">
        <v>1888</v>
      </c>
      <c r="E11" s="773" t="s">
        <v>1907</v>
      </c>
      <c r="F11" s="785" t="s">
        <v>1913</v>
      </c>
      <c r="G11" s="790" t="s">
        <v>167</v>
      </c>
      <c r="H11" s="791" t="s">
        <v>1914</v>
      </c>
      <c r="I11" s="792"/>
      <c r="J11" s="793">
        <v>1</v>
      </c>
      <c r="K11" s="793"/>
      <c r="L11" s="793"/>
      <c r="M11" s="793"/>
      <c r="N11" s="793"/>
      <c r="O11" s="793"/>
      <c r="P11" s="794"/>
      <c r="Q11" s="795">
        <f t="shared" si="0"/>
        <v>1</v>
      </c>
      <c r="R11" s="789" t="s">
        <v>1026</v>
      </c>
      <c r="S11" s="773" t="s">
        <v>1008</v>
      </c>
      <c r="T11" s="796" t="s">
        <v>1009</v>
      </c>
      <c r="U11" s="773" t="s">
        <v>1915</v>
      </c>
      <c r="V11" s="773" t="s">
        <v>278</v>
      </c>
      <c r="W11" s="773" t="s">
        <v>1916</v>
      </c>
      <c r="X11" s="1274">
        <v>2</v>
      </c>
      <c r="Y11" s="819" t="s">
        <v>1020</v>
      </c>
      <c r="Z11" s="790" t="s">
        <v>167</v>
      </c>
      <c r="AA11" s="785"/>
      <c r="AB11" s="785"/>
      <c r="AC11" s="785"/>
      <c r="AD11" s="785"/>
      <c r="AE11" s="785"/>
      <c r="AF11" s="799"/>
      <c r="AG11" s="800"/>
      <c r="AH11" s="800"/>
      <c r="AI11" s="800"/>
      <c r="AJ11" s="800"/>
      <c r="AK11" s="800"/>
      <c r="AL11" s="800"/>
      <c r="AM11" s="800"/>
      <c r="AN11" s="800"/>
      <c r="AO11" s="800"/>
      <c r="AP11" s="800"/>
      <c r="AQ11" s="1421"/>
      <c r="AR11" s="1373"/>
      <c r="AS11" s="1373"/>
      <c r="AT11" s="1373"/>
      <c r="AU11" s="1374"/>
      <c r="AV11" s="1420"/>
      <c r="AW11" s="1368"/>
      <c r="AX11" s="1368"/>
      <c r="AY11" s="1368"/>
      <c r="AZ11" s="1368"/>
      <c r="BA11" s="1368"/>
      <c r="BB11" s="1368"/>
      <c r="BC11" s="1368"/>
      <c r="BD11" s="1368"/>
      <c r="BE11" s="1368"/>
      <c r="BF11" s="1368"/>
      <c r="BG11" s="1368"/>
      <c r="BH11" s="1368"/>
      <c r="BI11" s="1368"/>
      <c r="BJ11" s="1368"/>
      <c r="BK11" s="1369"/>
      <c r="BL11" s="1376"/>
      <c r="BM11" s="1377"/>
      <c r="BN11" s="1377"/>
      <c r="BO11" s="1377"/>
      <c r="BP11" s="1440"/>
      <c r="BQ11" s="1420"/>
      <c r="BR11" s="1368"/>
      <c r="BS11" s="1368"/>
      <c r="BT11" s="1368"/>
      <c r="BU11" s="1369"/>
      <c r="BV11" s="1420"/>
      <c r="BW11" s="1368"/>
      <c r="BX11" s="1368"/>
      <c r="BY11" s="1368"/>
      <c r="BZ11" s="1368"/>
      <c r="CA11" s="1420"/>
      <c r="CB11" s="1368"/>
      <c r="CC11" s="1368"/>
      <c r="CD11" s="1368"/>
      <c r="CE11" s="1369"/>
      <c r="CF11" s="1368"/>
      <c r="CG11" s="1368"/>
      <c r="CH11" s="1368"/>
      <c r="CI11" s="1368"/>
      <c r="CJ11" s="1369"/>
      <c r="CK11" s="1420"/>
      <c r="CL11" s="1368"/>
      <c r="CM11" s="1368"/>
      <c r="CN11" s="1368"/>
      <c r="CO11" s="1369"/>
      <c r="CP11" s="1420"/>
      <c r="CQ11" s="1368"/>
      <c r="CR11" s="1368"/>
      <c r="CS11" s="1368"/>
      <c r="CT11" s="1369"/>
      <c r="CU11" s="1528"/>
      <c r="CV11" s="1519"/>
      <c r="CW11" s="1519"/>
      <c r="CX11" s="1728"/>
      <c r="CY11" s="1519"/>
      <c r="CZ11" s="1519"/>
      <c r="DA11" s="1519"/>
      <c r="DB11" s="1728"/>
      <c r="DC11" s="1377"/>
      <c r="DD11" s="1729"/>
      <c r="DE11" s="1734"/>
    </row>
    <row r="12" spans="1:109" ht="15.75" hidden="1" customHeight="1">
      <c r="A12" s="772" t="s">
        <v>1060</v>
      </c>
      <c r="B12" s="773">
        <v>6</v>
      </c>
      <c r="C12" s="789" t="s">
        <v>1917</v>
      </c>
      <c r="D12" s="773" t="s">
        <v>1888</v>
      </c>
      <c r="E12" s="773" t="s">
        <v>1896</v>
      </c>
      <c r="F12" s="785" t="s">
        <v>1918</v>
      </c>
      <c r="G12" s="790" t="s">
        <v>161</v>
      </c>
      <c r="H12" s="791" t="s">
        <v>1919</v>
      </c>
      <c r="I12" s="792"/>
      <c r="J12" s="793">
        <v>1</v>
      </c>
      <c r="K12" s="793"/>
      <c r="L12" s="793"/>
      <c r="M12" s="793"/>
      <c r="N12" s="793"/>
      <c r="O12" s="793"/>
      <c r="P12" s="794"/>
      <c r="Q12" s="795">
        <f t="shared" si="0"/>
        <v>1</v>
      </c>
      <c r="R12" s="789" t="s">
        <v>1026</v>
      </c>
      <c r="S12" s="773" t="s">
        <v>1008</v>
      </c>
      <c r="T12" s="796" t="s">
        <v>1009</v>
      </c>
      <c r="U12" s="773" t="s">
        <v>1920</v>
      </c>
      <c r="V12" s="773" t="s">
        <v>1033</v>
      </c>
      <c r="W12" s="773" t="s">
        <v>1921</v>
      </c>
      <c r="X12" s="829">
        <v>1</v>
      </c>
      <c r="Y12" s="819" t="s">
        <v>1020</v>
      </c>
      <c r="Z12" s="790" t="s">
        <v>161</v>
      </c>
      <c r="AA12" s="785"/>
      <c r="AB12" s="785"/>
      <c r="AC12" s="785"/>
      <c r="AD12" s="785"/>
      <c r="AE12" s="785"/>
      <c r="AF12" s="799"/>
      <c r="AG12" s="800"/>
      <c r="AH12" s="800"/>
      <c r="AI12" s="800"/>
      <c r="AJ12" s="800"/>
      <c r="AK12" s="800"/>
      <c r="AL12" s="800"/>
      <c r="AM12" s="800"/>
      <c r="AN12" s="800"/>
      <c r="AO12" s="800"/>
      <c r="AP12" s="800"/>
      <c r="AQ12" s="1421"/>
      <c r="AR12" s="1373"/>
      <c r="AS12" s="1373"/>
      <c r="AT12" s="1373"/>
      <c r="AU12" s="1374"/>
      <c r="AV12" s="1420"/>
      <c r="AW12" s="1368"/>
      <c r="AX12" s="1368"/>
      <c r="AY12" s="1368"/>
      <c r="AZ12" s="1368"/>
      <c r="BA12" s="1368"/>
      <c r="BB12" s="1368"/>
      <c r="BC12" s="1368"/>
      <c r="BD12" s="1368"/>
      <c r="BE12" s="1368"/>
      <c r="BF12" s="1368"/>
      <c r="BG12" s="1368"/>
      <c r="BH12" s="1368"/>
      <c r="BI12" s="1368"/>
      <c r="BJ12" s="1368"/>
      <c r="BK12" s="1369"/>
      <c r="BL12" s="1376"/>
      <c r="BM12" s="1377"/>
      <c r="BN12" s="1377"/>
      <c r="BO12" s="1377"/>
      <c r="BP12" s="1440"/>
      <c r="BQ12" s="1420"/>
      <c r="BR12" s="1368"/>
      <c r="BS12" s="1368"/>
      <c r="BT12" s="1368"/>
      <c r="BU12" s="1369"/>
      <c r="BV12" s="1420"/>
      <c r="BW12" s="1368"/>
      <c r="BX12" s="1368"/>
      <c r="BY12" s="1368"/>
      <c r="BZ12" s="1368"/>
      <c r="CA12" s="1420"/>
      <c r="CB12" s="1368"/>
      <c r="CC12" s="1368"/>
      <c r="CD12" s="1368"/>
      <c r="CE12" s="1369"/>
      <c r="CF12" s="1368"/>
      <c r="CG12" s="1368"/>
      <c r="CH12" s="1368"/>
      <c r="CI12" s="1368"/>
      <c r="CJ12" s="1369"/>
      <c r="CK12" s="1420"/>
      <c r="CL12" s="1368"/>
      <c r="CM12" s="1368"/>
      <c r="CN12" s="1368"/>
      <c r="CO12" s="1369"/>
      <c r="CP12" s="1420"/>
      <c r="CQ12" s="1368"/>
      <c r="CR12" s="1368"/>
      <c r="CS12" s="1368"/>
      <c r="CT12" s="1369"/>
      <c r="CU12" s="1528"/>
      <c r="CV12" s="1519"/>
      <c r="CW12" s="1519"/>
      <c r="CX12" s="1728"/>
      <c r="CY12" s="1519"/>
      <c r="CZ12" s="1519"/>
      <c r="DA12" s="1519"/>
      <c r="DB12" s="1728"/>
      <c r="DC12" s="1377"/>
      <c r="DD12" s="1729"/>
      <c r="DE12" s="1734"/>
    </row>
    <row r="13" spans="1:109" ht="15.75" hidden="1" customHeight="1">
      <c r="A13" s="772" t="s">
        <v>1060</v>
      </c>
      <c r="B13" s="773">
        <v>7</v>
      </c>
      <c r="C13" s="789" t="s">
        <v>1922</v>
      </c>
      <c r="D13" s="773" t="s">
        <v>1923</v>
      </c>
      <c r="E13" s="773" t="s">
        <v>1889</v>
      </c>
      <c r="F13" s="785" t="s">
        <v>1924</v>
      </c>
      <c r="G13" s="790" t="s">
        <v>130</v>
      </c>
      <c r="H13" s="791" t="s">
        <v>1925</v>
      </c>
      <c r="I13" s="792"/>
      <c r="J13" s="793">
        <v>1</v>
      </c>
      <c r="K13" s="793"/>
      <c r="L13" s="793"/>
      <c r="M13" s="793"/>
      <c r="N13" s="793"/>
      <c r="O13" s="793"/>
      <c r="P13" s="794"/>
      <c r="Q13" s="795">
        <f t="shared" si="0"/>
        <v>1</v>
      </c>
      <c r="R13" s="789" t="s">
        <v>1026</v>
      </c>
      <c r="S13" s="773" t="s">
        <v>1008</v>
      </c>
      <c r="T13" s="796" t="s">
        <v>1009</v>
      </c>
      <c r="U13" s="773" t="s">
        <v>1926</v>
      </c>
      <c r="V13" s="773" t="s">
        <v>1081</v>
      </c>
      <c r="W13" s="773" t="s">
        <v>1927</v>
      </c>
      <c r="X13" s="1274">
        <v>2</v>
      </c>
      <c r="Y13" s="819" t="s">
        <v>1020</v>
      </c>
      <c r="Z13" s="790" t="s">
        <v>130</v>
      </c>
      <c r="AA13" s="785"/>
      <c r="AB13" s="785"/>
      <c r="AC13" s="785"/>
      <c r="AD13" s="785"/>
      <c r="AE13" s="785"/>
      <c r="AF13" s="799"/>
      <c r="AG13" s="800"/>
      <c r="AH13" s="800"/>
      <c r="AI13" s="800"/>
      <c r="AJ13" s="800"/>
      <c r="AK13" s="800"/>
      <c r="AL13" s="800"/>
      <c r="AM13" s="800"/>
      <c r="AN13" s="800"/>
      <c r="AO13" s="800"/>
      <c r="AP13" s="800"/>
      <c r="AQ13" s="1420"/>
      <c r="AR13" s="1368"/>
      <c r="AS13" s="1368"/>
      <c r="AT13" s="1368"/>
      <c r="AU13" s="1369"/>
      <c r="AV13" s="1420"/>
      <c r="AW13" s="1368"/>
      <c r="AX13" s="1368"/>
      <c r="AY13" s="1368"/>
      <c r="AZ13" s="1368"/>
      <c r="BA13" s="1368"/>
      <c r="BB13" s="1368"/>
      <c r="BC13" s="1368"/>
      <c r="BD13" s="1368"/>
      <c r="BE13" s="1368"/>
      <c r="BF13" s="1368"/>
      <c r="BG13" s="1368"/>
      <c r="BH13" s="1368"/>
      <c r="BI13" s="1368"/>
      <c r="BJ13" s="1368"/>
      <c r="BK13" s="1369"/>
      <c r="BL13" s="1376"/>
      <c r="BM13" s="1377"/>
      <c r="BN13" s="1377"/>
      <c r="BO13" s="1377"/>
      <c r="BP13" s="1440"/>
      <c r="BQ13" s="1420"/>
      <c r="BR13" s="1368"/>
      <c r="BS13" s="1368"/>
      <c r="BT13" s="1368"/>
      <c r="BU13" s="1369"/>
      <c r="BV13" s="1420"/>
      <c r="BW13" s="1368"/>
      <c r="BX13" s="1368"/>
      <c r="BY13" s="1368"/>
      <c r="BZ13" s="1368"/>
      <c r="CA13" s="1420"/>
      <c r="CB13" s="1368"/>
      <c r="CC13" s="1368"/>
      <c r="CD13" s="1368"/>
      <c r="CE13" s="1369"/>
      <c r="CF13" s="1368"/>
      <c r="CG13" s="1368"/>
      <c r="CH13" s="1368"/>
      <c r="CI13" s="1368"/>
      <c r="CJ13" s="1369"/>
      <c r="CK13" s="1420"/>
      <c r="CL13" s="1368"/>
      <c r="CM13" s="1368"/>
      <c r="CN13" s="1368"/>
      <c r="CO13" s="1369"/>
      <c r="CP13" s="1420"/>
      <c r="CQ13" s="1368"/>
      <c r="CR13" s="1368"/>
      <c r="CS13" s="1368"/>
      <c r="CT13" s="1369"/>
      <c r="CU13" s="1528"/>
      <c r="CV13" s="1519"/>
      <c r="CW13" s="1519"/>
      <c r="CX13" s="1728"/>
      <c r="CY13" s="1519"/>
      <c r="CZ13" s="1519"/>
      <c r="DA13" s="1519"/>
      <c r="DB13" s="1728"/>
      <c r="DC13" s="1377"/>
      <c r="DD13" s="1729"/>
      <c r="DE13" s="1734"/>
    </row>
    <row r="14" spans="1:109" ht="15.75" hidden="1" customHeight="1">
      <c r="A14" s="772" t="s">
        <v>1060</v>
      </c>
      <c r="B14" s="773">
        <v>8</v>
      </c>
      <c r="C14" s="789" t="s">
        <v>1928</v>
      </c>
      <c r="D14" s="773" t="s">
        <v>1929</v>
      </c>
      <c r="E14" s="773" t="s">
        <v>1907</v>
      </c>
      <c r="F14" s="785" t="s">
        <v>1930</v>
      </c>
      <c r="G14" s="790" t="s">
        <v>1931</v>
      </c>
      <c r="H14" s="791" t="s">
        <v>1932</v>
      </c>
      <c r="I14" s="792"/>
      <c r="J14" s="793"/>
      <c r="K14" s="793"/>
      <c r="L14" s="793"/>
      <c r="M14" s="793">
        <v>1</v>
      </c>
      <c r="N14" s="793"/>
      <c r="O14" s="793"/>
      <c r="P14" s="794"/>
      <c r="Q14" s="795">
        <f t="shared" si="0"/>
        <v>1</v>
      </c>
      <c r="R14" s="789" t="s">
        <v>1030</v>
      </c>
      <c r="S14" s="773" t="s">
        <v>1008</v>
      </c>
      <c r="T14" s="796" t="s">
        <v>1009</v>
      </c>
      <c r="U14" s="773" t="s">
        <v>1069</v>
      </c>
      <c r="V14" s="773" t="s">
        <v>1081</v>
      </c>
      <c r="W14" s="773" t="s">
        <v>1927</v>
      </c>
      <c r="X14" s="829">
        <v>2</v>
      </c>
      <c r="Y14" s="821" t="s">
        <v>1010</v>
      </c>
      <c r="Z14" s="790" t="s">
        <v>1931</v>
      </c>
      <c r="AA14" s="785"/>
      <c r="AB14" s="785"/>
      <c r="AC14" s="785"/>
      <c r="AD14" s="785"/>
      <c r="AE14" s="785"/>
      <c r="AF14" s="799"/>
      <c r="AG14" s="800"/>
      <c r="AH14" s="800"/>
      <c r="AI14" s="800"/>
      <c r="AJ14" s="800"/>
      <c r="AK14" s="800"/>
      <c r="AL14" s="800"/>
      <c r="AM14" s="800"/>
      <c r="AN14" s="800"/>
      <c r="AO14" s="800"/>
      <c r="AP14" s="800"/>
      <c r="AQ14" s="1420"/>
      <c r="AR14" s="1368"/>
      <c r="AS14" s="1368"/>
      <c r="AT14" s="1368"/>
      <c r="AU14" s="1369"/>
      <c r="AV14" s="1420"/>
      <c r="AW14" s="1368"/>
      <c r="AX14" s="1368"/>
      <c r="AY14" s="1368"/>
      <c r="AZ14" s="1368"/>
      <c r="BA14" s="1368"/>
      <c r="BB14" s="1368"/>
      <c r="BC14" s="1368"/>
      <c r="BD14" s="1368"/>
      <c r="BE14" s="1368"/>
      <c r="BF14" s="1368"/>
      <c r="BG14" s="1368"/>
      <c r="BH14" s="1368"/>
      <c r="BI14" s="1368"/>
      <c r="BJ14" s="1368"/>
      <c r="BK14" s="1369"/>
      <c r="BL14" s="1376"/>
      <c r="BM14" s="1377"/>
      <c r="BN14" s="1377"/>
      <c r="BO14" s="1377"/>
      <c r="BP14" s="1440"/>
      <c r="BQ14" s="1420"/>
      <c r="BR14" s="1368"/>
      <c r="BS14" s="1368"/>
      <c r="BT14" s="1368"/>
      <c r="BU14" s="1369"/>
      <c r="BV14" s="1420"/>
      <c r="BW14" s="1368"/>
      <c r="BX14" s="1368"/>
      <c r="BY14" s="1368"/>
      <c r="BZ14" s="1368"/>
      <c r="CA14" s="1420"/>
      <c r="CB14" s="1368"/>
      <c r="CC14" s="1368"/>
      <c r="CD14" s="1368"/>
      <c r="CE14" s="1369"/>
      <c r="CF14" s="1368"/>
      <c r="CG14" s="1368"/>
      <c r="CH14" s="1368"/>
      <c r="CI14" s="1368"/>
      <c r="CJ14" s="1369"/>
      <c r="CK14" s="1420"/>
      <c r="CL14" s="1368"/>
      <c r="CM14" s="1368"/>
      <c r="CN14" s="1368"/>
      <c r="CO14" s="1369"/>
      <c r="CP14" s="1420"/>
      <c r="CQ14" s="1368"/>
      <c r="CR14" s="1368"/>
      <c r="CS14" s="1368"/>
      <c r="CT14" s="1369"/>
      <c r="CU14" s="1528"/>
      <c r="CV14" s="1519"/>
      <c r="CW14" s="1519"/>
      <c r="CX14" s="1728"/>
      <c r="CY14" s="1519"/>
      <c r="CZ14" s="1519"/>
      <c r="DA14" s="1519"/>
      <c r="DB14" s="1728"/>
      <c r="DC14" s="1377"/>
      <c r="DD14" s="1729"/>
      <c r="DE14" s="1734"/>
    </row>
    <row r="15" spans="1:109" ht="15.75" hidden="1" customHeight="1">
      <c r="A15" s="772" t="s">
        <v>1060</v>
      </c>
      <c r="B15" s="773">
        <v>9</v>
      </c>
      <c r="C15" s="789" t="s">
        <v>1933</v>
      </c>
      <c r="D15" s="773" t="s">
        <v>1929</v>
      </c>
      <c r="E15" s="773" t="s">
        <v>1907</v>
      </c>
      <c r="F15" s="785" t="s">
        <v>1934</v>
      </c>
      <c r="G15" s="790" t="s">
        <v>1935</v>
      </c>
      <c r="H15" s="791" t="s">
        <v>1936</v>
      </c>
      <c r="I15" s="792"/>
      <c r="J15" s="793">
        <v>1</v>
      </c>
      <c r="K15" s="793"/>
      <c r="L15" s="793"/>
      <c r="M15" s="793"/>
      <c r="N15" s="793"/>
      <c r="O15" s="793"/>
      <c r="P15" s="794"/>
      <c r="Q15" s="795">
        <f t="shared" si="0"/>
        <v>1</v>
      </c>
      <c r="R15" s="789" t="s">
        <v>1030</v>
      </c>
      <c r="S15" s="773" t="s">
        <v>1008</v>
      </c>
      <c r="T15" s="796" t="s">
        <v>1009</v>
      </c>
      <c r="U15" s="773" t="s">
        <v>1073</v>
      </c>
      <c r="V15" s="773" t="s">
        <v>1081</v>
      </c>
      <c r="W15" s="773" t="s">
        <v>1927</v>
      </c>
      <c r="X15" s="829">
        <v>2</v>
      </c>
      <c r="Y15" s="819" t="s">
        <v>1010</v>
      </c>
      <c r="Z15" s="790" t="s">
        <v>1935</v>
      </c>
      <c r="AA15" s="785"/>
      <c r="AB15" s="785"/>
      <c r="AC15" s="785"/>
      <c r="AD15" s="785"/>
      <c r="AE15" s="785"/>
      <c r="AF15" s="799"/>
      <c r="AG15" s="800"/>
      <c r="AH15" s="800"/>
      <c r="AI15" s="800"/>
      <c r="AJ15" s="800"/>
      <c r="AK15" s="800"/>
      <c r="AL15" s="800"/>
      <c r="AM15" s="800"/>
      <c r="AN15" s="800"/>
      <c r="AO15" s="800"/>
      <c r="AP15" s="800"/>
      <c r="AQ15" s="1420"/>
      <c r="AR15" s="1368"/>
      <c r="AS15" s="1368"/>
      <c r="AT15" s="1368"/>
      <c r="AU15" s="1369"/>
      <c r="AV15" s="1420"/>
      <c r="AW15" s="1368"/>
      <c r="AX15" s="1368"/>
      <c r="AY15" s="1368"/>
      <c r="AZ15" s="1368"/>
      <c r="BA15" s="1368"/>
      <c r="BB15" s="1368"/>
      <c r="BC15" s="1368"/>
      <c r="BD15" s="1368"/>
      <c r="BE15" s="1368"/>
      <c r="BF15" s="1368"/>
      <c r="BG15" s="1368"/>
      <c r="BH15" s="1368"/>
      <c r="BI15" s="1368"/>
      <c r="BJ15" s="1368"/>
      <c r="BK15" s="1369"/>
      <c r="BL15" s="1376"/>
      <c r="BM15" s="1377"/>
      <c r="BN15" s="1377"/>
      <c r="BO15" s="1377"/>
      <c r="BP15" s="1440"/>
      <c r="BQ15" s="1420"/>
      <c r="BR15" s="1368"/>
      <c r="BS15" s="1368"/>
      <c r="BT15" s="1368"/>
      <c r="BU15" s="1369"/>
      <c r="BV15" s="1420"/>
      <c r="BW15" s="1368"/>
      <c r="BX15" s="1368"/>
      <c r="BY15" s="1368"/>
      <c r="BZ15" s="1368"/>
      <c r="CA15" s="1420"/>
      <c r="CB15" s="1368"/>
      <c r="CC15" s="1368"/>
      <c r="CD15" s="1368"/>
      <c r="CE15" s="1369"/>
      <c r="CF15" s="1368"/>
      <c r="CG15" s="1368"/>
      <c r="CH15" s="1368"/>
      <c r="CI15" s="1368"/>
      <c r="CJ15" s="1369"/>
      <c r="CK15" s="1420"/>
      <c r="CL15" s="1368"/>
      <c r="CM15" s="1368"/>
      <c r="CN15" s="1368"/>
      <c r="CO15" s="1369"/>
      <c r="CP15" s="1420"/>
      <c r="CQ15" s="1368"/>
      <c r="CR15" s="1368"/>
      <c r="CS15" s="1368"/>
      <c r="CT15" s="1369"/>
      <c r="CU15" s="1528"/>
      <c r="CV15" s="1519"/>
      <c r="CW15" s="1519"/>
      <c r="CX15" s="1728"/>
      <c r="CY15" s="1519"/>
      <c r="CZ15" s="1519"/>
      <c r="DA15" s="1519"/>
      <c r="DB15" s="1728"/>
      <c r="DC15" s="1377"/>
      <c r="DD15" s="1729"/>
      <c r="DE15" s="1734"/>
    </row>
    <row r="16" spans="1:109" ht="15.75" hidden="1" customHeight="1">
      <c r="A16" s="772" t="s">
        <v>1060</v>
      </c>
      <c r="B16" s="773">
        <v>10</v>
      </c>
      <c r="C16" s="789" t="s">
        <v>1937</v>
      </c>
      <c r="D16" s="773" t="s">
        <v>1888</v>
      </c>
      <c r="E16" s="773" t="s">
        <v>1907</v>
      </c>
      <c r="F16" s="785" t="s">
        <v>1938</v>
      </c>
      <c r="G16" s="790" t="s">
        <v>1939</v>
      </c>
      <c r="H16" s="791" t="s">
        <v>1940</v>
      </c>
      <c r="I16" s="792"/>
      <c r="J16" s="793">
        <v>1</v>
      </c>
      <c r="K16" s="793"/>
      <c r="L16" s="793"/>
      <c r="M16" s="793"/>
      <c r="N16" s="793"/>
      <c r="O16" s="793"/>
      <c r="P16" s="794"/>
      <c r="Q16" s="795">
        <f t="shared" si="0"/>
        <v>1</v>
      </c>
      <c r="R16" s="789" t="s">
        <v>1007</v>
      </c>
      <c r="S16" s="773"/>
      <c r="T16" s="796"/>
      <c r="U16" s="773" t="s">
        <v>1910</v>
      </c>
      <c r="V16" s="773" t="s">
        <v>1033</v>
      </c>
      <c r="W16" s="773" t="s">
        <v>1941</v>
      </c>
      <c r="X16" s="1274">
        <v>0</v>
      </c>
      <c r="Y16" s="822" t="s">
        <v>1020</v>
      </c>
      <c r="Z16" s="790"/>
      <c r="AA16" s="785"/>
      <c r="AB16" s="785"/>
      <c r="AC16" s="785"/>
      <c r="AD16" s="785"/>
      <c r="AE16" s="785"/>
      <c r="AF16" s="799"/>
      <c r="AG16" s="800"/>
      <c r="AH16" s="800"/>
      <c r="AI16" s="800"/>
      <c r="AJ16" s="800"/>
      <c r="AK16" s="800"/>
      <c r="AL16" s="800"/>
      <c r="AM16" s="800"/>
      <c r="AN16" s="800"/>
      <c r="AO16" s="800"/>
      <c r="AP16" s="800"/>
      <c r="AQ16" s="823">
        <v>0.5</v>
      </c>
      <c r="AR16" s="824">
        <v>0.45833333333333331</v>
      </c>
      <c r="AS16" s="824">
        <v>0.41666666666666669</v>
      </c>
      <c r="AT16" s="824">
        <v>0.375</v>
      </c>
      <c r="AU16" s="825">
        <v>0.36249999999999999</v>
      </c>
      <c r="AV16" s="823"/>
      <c r="AW16" s="824"/>
      <c r="AX16" s="824"/>
      <c r="AY16" s="824"/>
      <c r="AZ16" s="824"/>
      <c r="BA16" s="824"/>
      <c r="BB16" s="824"/>
      <c r="BC16" s="824"/>
      <c r="BD16" s="824"/>
      <c r="BE16" s="824"/>
      <c r="BF16" s="824"/>
      <c r="BG16" s="824"/>
      <c r="BH16" s="824"/>
      <c r="BI16" s="824"/>
      <c r="BJ16" s="824"/>
      <c r="BK16" s="825"/>
      <c r="BL16" s="789"/>
      <c r="BM16" s="785"/>
      <c r="BN16" s="785"/>
      <c r="BO16" s="785"/>
      <c r="BP16" s="796"/>
      <c r="BQ16" s="808">
        <v>0</v>
      </c>
      <c r="BR16" s="800">
        <v>0</v>
      </c>
      <c r="BS16" s="800">
        <v>0</v>
      </c>
      <c r="BT16" s="800">
        <v>0</v>
      </c>
      <c r="BU16" s="805">
        <v>0</v>
      </c>
      <c r="BV16" s="823" t="s">
        <v>1942</v>
      </c>
      <c r="BW16" s="824" t="s">
        <v>1942</v>
      </c>
      <c r="BX16" s="824" t="s">
        <v>1942</v>
      </c>
      <c r="BY16" s="824" t="s">
        <v>1942</v>
      </c>
      <c r="BZ16" s="824" t="s">
        <v>1942</v>
      </c>
      <c r="CA16" s="823">
        <v>0</v>
      </c>
      <c r="CB16" s="824">
        <v>0</v>
      </c>
      <c r="CC16" s="824">
        <v>0</v>
      </c>
      <c r="CD16" s="824">
        <v>0</v>
      </c>
      <c r="CE16" s="825">
        <v>0</v>
      </c>
      <c r="CF16" s="824">
        <v>0</v>
      </c>
      <c r="CG16" s="824">
        <v>0</v>
      </c>
      <c r="CH16" s="824">
        <v>0</v>
      </c>
      <c r="CI16" s="824">
        <v>0</v>
      </c>
      <c r="CJ16" s="825">
        <v>0</v>
      </c>
      <c r="CK16" s="808" t="s">
        <v>1942</v>
      </c>
      <c r="CL16" s="800" t="s">
        <v>1942</v>
      </c>
      <c r="CM16" s="800" t="s">
        <v>1942</v>
      </c>
      <c r="CN16" s="800" t="s">
        <v>1942</v>
      </c>
      <c r="CO16" s="805" t="s">
        <v>1942</v>
      </c>
      <c r="CP16" s="808">
        <v>0</v>
      </c>
      <c r="CQ16" s="800">
        <v>0</v>
      </c>
      <c r="CR16" s="800">
        <v>0</v>
      </c>
      <c r="CS16" s="800">
        <v>0</v>
      </c>
      <c r="CT16" s="805">
        <v>0</v>
      </c>
      <c r="CU16" s="1284" t="s">
        <v>1942</v>
      </c>
      <c r="CV16" s="1283" t="s">
        <v>1942</v>
      </c>
      <c r="CW16" s="1283" t="s">
        <v>1942</v>
      </c>
      <c r="CX16" s="1285" t="s">
        <v>1942</v>
      </c>
      <c r="CY16" s="1283" t="s">
        <v>1942</v>
      </c>
      <c r="CZ16" s="1283" t="s">
        <v>1942</v>
      </c>
      <c r="DA16" s="1283" t="s">
        <v>1942</v>
      </c>
      <c r="DB16" s="1285" t="s">
        <v>1942</v>
      </c>
      <c r="DC16" s="785"/>
      <c r="DD16" s="813">
        <v>1</v>
      </c>
      <c r="DE16" s="814"/>
    </row>
    <row r="17" spans="1:109" ht="15.75" hidden="1" customHeight="1">
      <c r="A17" s="772" t="s">
        <v>1060</v>
      </c>
      <c r="B17" s="773">
        <v>11</v>
      </c>
      <c r="C17" s="789" t="s">
        <v>1943</v>
      </c>
      <c r="D17" s="773" t="s">
        <v>1929</v>
      </c>
      <c r="E17" s="773" t="s">
        <v>1907</v>
      </c>
      <c r="F17" s="785" t="s">
        <v>1944</v>
      </c>
      <c r="G17" s="790" t="s">
        <v>1945</v>
      </c>
      <c r="H17" s="791" t="s">
        <v>1946</v>
      </c>
      <c r="I17" s="792"/>
      <c r="J17" s="793"/>
      <c r="K17" s="793"/>
      <c r="L17" s="793"/>
      <c r="M17" s="793">
        <v>1</v>
      </c>
      <c r="N17" s="793"/>
      <c r="O17" s="793"/>
      <c r="P17" s="794"/>
      <c r="Q17" s="795">
        <f t="shared" si="0"/>
        <v>1</v>
      </c>
      <c r="R17" s="789" t="s">
        <v>1007</v>
      </c>
      <c r="S17" s="773"/>
      <c r="T17" s="796"/>
      <c r="U17" s="773" t="s">
        <v>1947</v>
      </c>
      <c r="V17" s="773" t="s">
        <v>278</v>
      </c>
      <c r="W17" s="773" t="s">
        <v>1948</v>
      </c>
      <c r="X17" s="829">
        <v>0</v>
      </c>
      <c r="Y17" s="826" t="s">
        <v>1010</v>
      </c>
      <c r="Z17" s="790"/>
      <c r="AA17" s="785"/>
      <c r="AB17" s="785"/>
      <c r="AC17" s="785"/>
      <c r="AD17" s="785"/>
      <c r="AE17" s="785"/>
      <c r="AF17" s="799"/>
      <c r="AG17" s="800"/>
      <c r="AH17" s="800"/>
      <c r="AI17" s="800"/>
      <c r="AJ17" s="800"/>
      <c r="AK17" s="800"/>
      <c r="AL17" s="800"/>
      <c r="AM17" s="800"/>
      <c r="AN17" s="800"/>
      <c r="AO17" s="800"/>
      <c r="AP17" s="800"/>
      <c r="AQ17" s="808">
        <v>90</v>
      </c>
      <c r="AR17" s="800">
        <v>90</v>
      </c>
      <c r="AS17" s="800">
        <v>90</v>
      </c>
      <c r="AT17" s="800">
        <v>90</v>
      </c>
      <c r="AU17" s="805">
        <v>90</v>
      </c>
      <c r="AV17" s="808"/>
      <c r="AW17" s="800"/>
      <c r="AX17" s="800"/>
      <c r="AY17" s="800"/>
      <c r="AZ17" s="800"/>
      <c r="BA17" s="800"/>
      <c r="BB17" s="800"/>
      <c r="BC17" s="800"/>
      <c r="BD17" s="800"/>
      <c r="BE17" s="800"/>
      <c r="BF17" s="800"/>
      <c r="BG17" s="800"/>
      <c r="BH17" s="800"/>
      <c r="BI17" s="800"/>
      <c r="BJ17" s="800"/>
      <c r="BK17" s="805"/>
      <c r="BL17" s="789"/>
      <c r="BM17" s="785"/>
      <c r="BN17" s="785"/>
      <c r="BO17" s="785"/>
      <c r="BP17" s="796"/>
      <c r="BQ17" s="808" t="s">
        <v>1942</v>
      </c>
      <c r="BR17" s="800" t="s">
        <v>1942</v>
      </c>
      <c r="BS17" s="800" t="s">
        <v>1942</v>
      </c>
      <c r="BT17" s="800" t="s">
        <v>1942</v>
      </c>
      <c r="BU17" s="805" t="s">
        <v>1942</v>
      </c>
      <c r="BV17" s="808" t="s">
        <v>1942</v>
      </c>
      <c r="BW17" s="800" t="s">
        <v>1942</v>
      </c>
      <c r="BX17" s="800" t="s">
        <v>1942</v>
      </c>
      <c r="BY17" s="800" t="s">
        <v>1942</v>
      </c>
      <c r="BZ17" s="800" t="s">
        <v>1942</v>
      </c>
      <c r="CA17" s="808" t="s">
        <v>1942</v>
      </c>
      <c r="CB17" s="800" t="s">
        <v>1942</v>
      </c>
      <c r="CC17" s="800" t="s">
        <v>1942</v>
      </c>
      <c r="CD17" s="800" t="s">
        <v>1942</v>
      </c>
      <c r="CE17" s="805" t="s">
        <v>1942</v>
      </c>
      <c r="CF17" s="800" t="s">
        <v>1942</v>
      </c>
      <c r="CG17" s="800" t="s">
        <v>1942</v>
      </c>
      <c r="CH17" s="800" t="s">
        <v>1942</v>
      </c>
      <c r="CI17" s="800" t="s">
        <v>1942</v>
      </c>
      <c r="CJ17" s="805" t="s">
        <v>1942</v>
      </c>
      <c r="CK17" s="808" t="s">
        <v>1942</v>
      </c>
      <c r="CL17" s="800" t="s">
        <v>1942</v>
      </c>
      <c r="CM17" s="800" t="s">
        <v>1942</v>
      </c>
      <c r="CN17" s="800" t="s">
        <v>1942</v>
      </c>
      <c r="CO17" s="805" t="s">
        <v>1942</v>
      </c>
      <c r="CP17" s="808" t="s">
        <v>1942</v>
      </c>
      <c r="CQ17" s="800" t="s">
        <v>1942</v>
      </c>
      <c r="CR17" s="800" t="s">
        <v>1942</v>
      </c>
      <c r="CS17" s="800" t="s">
        <v>1942</v>
      </c>
      <c r="CT17" s="805" t="s">
        <v>1942</v>
      </c>
      <c r="CU17" s="1284" t="s">
        <v>1942</v>
      </c>
      <c r="CV17" s="1283" t="s">
        <v>1942</v>
      </c>
      <c r="CW17" s="1283" t="s">
        <v>1942</v>
      </c>
      <c r="CX17" s="1285" t="s">
        <v>1942</v>
      </c>
      <c r="CY17" s="1283" t="s">
        <v>1942</v>
      </c>
      <c r="CZ17" s="1283" t="s">
        <v>1942</v>
      </c>
      <c r="DA17" s="1283" t="s">
        <v>1942</v>
      </c>
      <c r="DB17" s="1285" t="s">
        <v>1942</v>
      </c>
      <c r="DC17" s="785"/>
      <c r="DD17" s="813">
        <v>1</v>
      </c>
      <c r="DE17" s="814"/>
    </row>
    <row r="18" spans="1:109" ht="15.75" hidden="1" customHeight="1">
      <c r="A18" s="772" t="s">
        <v>1060</v>
      </c>
      <c r="B18" s="773">
        <v>12</v>
      </c>
      <c r="C18" s="789" t="s">
        <v>1949</v>
      </c>
      <c r="D18" s="773" t="s">
        <v>1929</v>
      </c>
      <c r="E18" s="773" t="s">
        <v>1907</v>
      </c>
      <c r="F18" s="785" t="s">
        <v>1950</v>
      </c>
      <c r="G18" s="790" t="s">
        <v>1951</v>
      </c>
      <c r="H18" s="791" t="s">
        <v>1952</v>
      </c>
      <c r="I18" s="792"/>
      <c r="J18" s="793"/>
      <c r="K18" s="793"/>
      <c r="L18" s="793"/>
      <c r="M18" s="793">
        <v>1</v>
      </c>
      <c r="N18" s="793"/>
      <c r="O18" s="793"/>
      <c r="P18" s="794"/>
      <c r="Q18" s="795">
        <f t="shared" si="0"/>
        <v>1</v>
      </c>
      <c r="R18" s="789" t="s">
        <v>1007</v>
      </c>
      <c r="S18" s="773"/>
      <c r="T18" s="796"/>
      <c r="U18" s="773" t="s">
        <v>1947</v>
      </c>
      <c r="V18" s="773" t="s">
        <v>278</v>
      </c>
      <c r="W18" s="773" t="s">
        <v>1948</v>
      </c>
      <c r="X18" s="829">
        <v>0</v>
      </c>
      <c r="Y18" s="821" t="s">
        <v>1010</v>
      </c>
      <c r="Z18" s="790"/>
      <c r="AA18" s="785"/>
      <c r="AB18" s="785"/>
      <c r="AC18" s="785"/>
      <c r="AD18" s="785"/>
      <c r="AE18" s="785"/>
      <c r="AF18" s="799"/>
      <c r="AG18" s="800"/>
      <c r="AH18" s="800"/>
      <c r="AI18" s="800"/>
      <c r="AJ18" s="800"/>
      <c r="AK18" s="800"/>
      <c r="AL18" s="800"/>
      <c r="AM18" s="800"/>
      <c r="AN18" s="800"/>
      <c r="AO18" s="800"/>
      <c r="AP18" s="800"/>
      <c r="AQ18" s="808">
        <v>90</v>
      </c>
      <c r="AR18" s="800">
        <v>90</v>
      </c>
      <c r="AS18" s="800">
        <v>90</v>
      </c>
      <c r="AT18" s="800">
        <v>90</v>
      </c>
      <c r="AU18" s="805">
        <v>90</v>
      </c>
      <c r="AV18" s="808"/>
      <c r="AW18" s="800"/>
      <c r="AX18" s="800"/>
      <c r="AY18" s="800"/>
      <c r="AZ18" s="800"/>
      <c r="BA18" s="800"/>
      <c r="BB18" s="800"/>
      <c r="BC18" s="800"/>
      <c r="BD18" s="800"/>
      <c r="BE18" s="800"/>
      <c r="BF18" s="800"/>
      <c r="BG18" s="800"/>
      <c r="BH18" s="800"/>
      <c r="BI18" s="800"/>
      <c r="BJ18" s="800"/>
      <c r="BK18" s="805"/>
      <c r="BL18" s="789"/>
      <c r="BM18" s="785"/>
      <c r="BN18" s="785"/>
      <c r="BO18" s="785"/>
      <c r="BP18" s="796"/>
      <c r="BQ18" s="808" t="s">
        <v>1942</v>
      </c>
      <c r="BR18" s="800" t="s">
        <v>1942</v>
      </c>
      <c r="BS18" s="800" t="s">
        <v>1942</v>
      </c>
      <c r="BT18" s="800" t="s">
        <v>1942</v>
      </c>
      <c r="BU18" s="805" t="s">
        <v>1942</v>
      </c>
      <c r="BV18" s="808" t="s">
        <v>1942</v>
      </c>
      <c r="BW18" s="800" t="s">
        <v>1942</v>
      </c>
      <c r="BX18" s="800" t="s">
        <v>1942</v>
      </c>
      <c r="BY18" s="800" t="s">
        <v>1942</v>
      </c>
      <c r="BZ18" s="800" t="s">
        <v>1942</v>
      </c>
      <c r="CA18" s="808" t="s">
        <v>1942</v>
      </c>
      <c r="CB18" s="800" t="s">
        <v>1942</v>
      </c>
      <c r="CC18" s="800" t="s">
        <v>1942</v>
      </c>
      <c r="CD18" s="800" t="s">
        <v>1942</v>
      </c>
      <c r="CE18" s="805" t="s">
        <v>1942</v>
      </c>
      <c r="CF18" s="800" t="s">
        <v>1942</v>
      </c>
      <c r="CG18" s="800" t="s">
        <v>1942</v>
      </c>
      <c r="CH18" s="800" t="s">
        <v>1942</v>
      </c>
      <c r="CI18" s="800" t="s">
        <v>1942</v>
      </c>
      <c r="CJ18" s="805" t="s">
        <v>1942</v>
      </c>
      <c r="CK18" s="808" t="s">
        <v>1942</v>
      </c>
      <c r="CL18" s="800" t="s">
        <v>1942</v>
      </c>
      <c r="CM18" s="800" t="s">
        <v>1942</v>
      </c>
      <c r="CN18" s="800" t="s">
        <v>1942</v>
      </c>
      <c r="CO18" s="805" t="s">
        <v>1942</v>
      </c>
      <c r="CP18" s="808" t="s">
        <v>1942</v>
      </c>
      <c r="CQ18" s="800" t="s">
        <v>1942</v>
      </c>
      <c r="CR18" s="800" t="s">
        <v>1942</v>
      </c>
      <c r="CS18" s="800" t="s">
        <v>1942</v>
      </c>
      <c r="CT18" s="805" t="s">
        <v>1942</v>
      </c>
      <c r="CU18" s="1284" t="s">
        <v>1942</v>
      </c>
      <c r="CV18" s="1283" t="s">
        <v>1942</v>
      </c>
      <c r="CW18" s="1283" t="s">
        <v>1942</v>
      </c>
      <c r="CX18" s="1285" t="s">
        <v>1942</v>
      </c>
      <c r="CY18" s="1283" t="s">
        <v>1942</v>
      </c>
      <c r="CZ18" s="1283" t="s">
        <v>1942</v>
      </c>
      <c r="DA18" s="1283" t="s">
        <v>1942</v>
      </c>
      <c r="DB18" s="1285" t="s">
        <v>1942</v>
      </c>
      <c r="DC18" s="785"/>
      <c r="DD18" s="813">
        <v>1</v>
      </c>
      <c r="DE18" s="814"/>
    </row>
    <row r="19" spans="1:109" ht="15.75" hidden="1" customHeight="1">
      <c r="A19" s="772" t="s">
        <v>1060</v>
      </c>
      <c r="B19" s="773">
        <v>13</v>
      </c>
      <c r="C19" s="789" t="s">
        <v>1953</v>
      </c>
      <c r="D19" s="773" t="s">
        <v>1895</v>
      </c>
      <c r="E19" s="773" t="s">
        <v>1907</v>
      </c>
      <c r="F19" s="785" t="s">
        <v>1954</v>
      </c>
      <c r="G19" s="790" t="s">
        <v>1955</v>
      </c>
      <c r="H19" s="791" t="s">
        <v>1956</v>
      </c>
      <c r="I19" s="792">
        <v>1</v>
      </c>
      <c r="J19" s="793"/>
      <c r="K19" s="793"/>
      <c r="L19" s="793"/>
      <c r="M19" s="793"/>
      <c r="N19" s="793"/>
      <c r="O19" s="793"/>
      <c r="P19" s="794"/>
      <c r="Q19" s="795">
        <f t="shared" si="0"/>
        <v>1</v>
      </c>
      <c r="R19" s="789" t="s">
        <v>1017</v>
      </c>
      <c r="S19" s="773" t="s">
        <v>1008</v>
      </c>
      <c r="T19" s="796" t="s">
        <v>1009</v>
      </c>
      <c r="U19" s="773" t="s">
        <v>1904</v>
      </c>
      <c r="V19" s="773" t="s">
        <v>1033</v>
      </c>
      <c r="W19" s="773" t="s">
        <v>1957</v>
      </c>
      <c r="X19" s="829">
        <v>0</v>
      </c>
      <c r="Y19" s="826" t="s">
        <v>1010</v>
      </c>
      <c r="Z19" s="790"/>
      <c r="AA19" s="785"/>
      <c r="AB19" s="785"/>
      <c r="AC19" s="785"/>
      <c r="AD19" s="785"/>
      <c r="AE19" s="785"/>
      <c r="AF19" s="799"/>
      <c r="AG19" s="800"/>
      <c r="AH19" s="800"/>
      <c r="AI19" s="800"/>
      <c r="AJ19" s="800"/>
      <c r="AK19" s="800"/>
      <c r="AL19" s="800"/>
      <c r="AM19" s="800"/>
      <c r="AN19" s="800"/>
      <c r="AO19" s="800"/>
      <c r="AP19" s="800"/>
      <c r="AQ19" s="808">
        <v>0</v>
      </c>
      <c r="AR19" s="800">
        <v>0</v>
      </c>
      <c r="AS19" s="800">
        <v>0</v>
      </c>
      <c r="AT19" s="800">
        <v>0</v>
      </c>
      <c r="AU19" s="805">
        <v>0</v>
      </c>
      <c r="AV19" s="808"/>
      <c r="AW19" s="800"/>
      <c r="AX19" s="800"/>
      <c r="AY19" s="800"/>
      <c r="AZ19" s="800"/>
      <c r="BA19" s="800"/>
      <c r="BB19" s="800"/>
      <c r="BC19" s="800"/>
      <c r="BD19" s="800"/>
      <c r="BE19" s="800"/>
      <c r="BF19" s="800"/>
      <c r="BG19" s="800"/>
      <c r="BH19" s="800"/>
      <c r="BI19" s="800"/>
      <c r="BJ19" s="800"/>
      <c r="BK19" s="805"/>
      <c r="BL19" s="789" t="s">
        <v>168</v>
      </c>
      <c r="BM19" s="785" t="s">
        <v>168</v>
      </c>
      <c r="BN19" s="785" t="s">
        <v>168</v>
      </c>
      <c r="BO19" s="785" t="s">
        <v>168</v>
      </c>
      <c r="BP19" s="796" t="s">
        <v>168</v>
      </c>
      <c r="BQ19" s="808" t="s">
        <v>1942</v>
      </c>
      <c r="BR19" s="800" t="s">
        <v>1942</v>
      </c>
      <c r="BS19" s="800" t="s">
        <v>1942</v>
      </c>
      <c r="BT19" s="800" t="s">
        <v>1942</v>
      </c>
      <c r="BU19" s="805" t="s">
        <v>1942</v>
      </c>
      <c r="BV19" s="808" t="s">
        <v>1942</v>
      </c>
      <c r="BW19" s="800" t="s">
        <v>1942</v>
      </c>
      <c r="BX19" s="800" t="s">
        <v>1942</v>
      </c>
      <c r="BY19" s="800" t="s">
        <v>1942</v>
      </c>
      <c r="BZ19" s="800" t="s">
        <v>1942</v>
      </c>
      <c r="CA19" s="808" t="s">
        <v>1942</v>
      </c>
      <c r="CB19" s="800" t="s">
        <v>1942</v>
      </c>
      <c r="CC19" s="800" t="s">
        <v>1942</v>
      </c>
      <c r="CD19" s="800" t="s">
        <v>1942</v>
      </c>
      <c r="CE19" s="805" t="s">
        <v>1942</v>
      </c>
      <c r="CF19" s="800" t="s">
        <v>1942</v>
      </c>
      <c r="CG19" s="800" t="s">
        <v>1942</v>
      </c>
      <c r="CH19" s="800" t="s">
        <v>1942</v>
      </c>
      <c r="CI19" s="800" t="s">
        <v>1942</v>
      </c>
      <c r="CJ19" s="805" t="s">
        <v>1942</v>
      </c>
      <c r="CK19" s="808" t="s">
        <v>1942</v>
      </c>
      <c r="CL19" s="800" t="s">
        <v>1942</v>
      </c>
      <c r="CM19" s="800" t="s">
        <v>1942</v>
      </c>
      <c r="CN19" s="800" t="s">
        <v>1942</v>
      </c>
      <c r="CO19" s="805" t="s">
        <v>1942</v>
      </c>
      <c r="CP19" s="808" t="s">
        <v>1942</v>
      </c>
      <c r="CQ19" s="800" t="s">
        <v>1942</v>
      </c>
      <c r="CR19" s="800" t="s">
        <v>1942</v>
      </c>
      <c r="CS19" s="800" t="s">
        <v>1942</v>
      </c>
      <c r="CT19" s="805" t="s">
        <v>1942</v>
      </c>
      <c r="CU19" s="1284" t="s">
        <v>1942</v>
      </c>
      <c r="CV19" s="1283" t="s">
        <v>1942</v>
      </c>
      <c r="CW19" s="1283" t="s">
        <v>1942</v>
      </c>
      <c r="CX19" s="1285" t="s">
        <v>1942</v>
      </c>
      <c r="CY19" s="1283">
        <v>0.14299999999999999</v>
      </c>
      <c r="CZ19" s="1283" t="s">
        <v>1942</v>
      </c>
      <c r="DA19" s="1283" t="s">
        <v>1942</v>
      </c>
      <c r="DB19" s="1285" t="s">
        <v>1942</v>
      </c>
      <c r="DC19" s="785"/>
      <c r="DD19" s="813">
        <v>1</v>
      </c>
      <c r="DE19" s="814"/>
    </row>
    <row r="20" spans="1:109" ht="15.75" hidden="1" customHeight="1">
      <c r="A20" s="772" t="s">
        <v>1060</v>
      </c>
      <c r="B20" s="773">
        <v>14</v>
      </c>
      <c r="C20" s="789" t="s">
        <v>1958</v>
      </c>
      <c r="D20" s="773" t="s">
        <v>1929</v>
      </c>
      <c r="E20" s="773" t="s">
        <v>1907</v>
      </c>
      <c r="F20" s="785" t="s">
        <v>1959</v>
      </c>
      <c r="G20" s="790" t="s">
        <v>1960</v>
      </c>
      <c r="H20" s="791" t="s">
        <v>1960</v>
      </c>
      <c r="I20" s="792"/>
      <c r="J20" s="793"/>
      <c r="K20" s="793"/>
      <c r="L20" s="793"/>
      <c r="M20" s="793">
        <v>1</v>
      </c>
      <c r="N20" s="793"/>
      <c r="O20" s="793"/>
      <c r="P20" s="794"/>
      <c r="Q20" s="795">
        <f t="shared" si="0"/>
        <v>1</v>
      </c>
      <c r="R20" s="789" t="s">
        <v>1030</v>
      </c>
      <c r="S20" s="773" t="s">
        <v>1008</v>
      </c>
      <c r="T20" s="796" t="s">
        <v>1009</v>
      </c>
      <c r="U20" s="773" t="s">
        <v>1961</v>
      </c>
      <c r="V20" s="773" t="s">
        <v>278</v>
      </c>
      <c r="W20" s="773" t="s">
        <v>1962</v>
      </c>
      <c r="X20" s="829">
        <v>2</v>
      </c>
      <c r="Y20" s="821" t="s">
        <v>1020</v>
      </c>
      <c r="Z20" s="790"/>
      <c r="AA20" s="785"/>
      <c r="AB20" s="785"/>
      <c r="AC20" s="785"/>
      <c r="AD20" s="785"/>
      <c r="AE20" s="785"/>
      <c r="AF20" s="799"/>
      <c r="AG20" s="800"/>
      <c r="AH20" s="800"/>
      <c r="AI20" s="800"/>
      <c r="AJ20" s="800"/>
      <c r="AK20" s="800"/>
      <c r="AL20" s="800"/>
      <c r="AM20" s="800"/>
      <c r="AN20" s="800"/>
      <c r="AO20" s="800"/>
      <c r="AP20" s="800"/>
      <c r="AQ20" s="808">
        <v>2.39</v>
      </c>
      <c r="AR20" s="800">
        <v>2.27</v>
      </c>
      <c r="AS20" s="800">
        <v>2.2200000000000002</v>
      </c>
      <c r="AT20" s="800">
        <v>2.16</v>
      </c>
      <c r="AU20" s="805">
        <v>2.1</v>
      </c>
      <c r="AV20" s="808"/>
      <c r="AW20" s="800"/>
      <c r="AX20" s="800"/>
      <c r="AY20" s="800"/>
      <c r="AZ20" s="800"/>
      <c r="BA20" s="800"/>
      <c r="BB20" s="800"/>
      <c r="BC20" s="800"/>
      <c r="BD20" s="800"/>
      <c r="BE20" s="800"/>
      <c r="BF20" s="800"/>
      <c r="BG20" s="800"/>
      <c r="BH20" s="800"/>
      <c r="BI20" s="800"/>
      <c r="BJ20" s="800"/>
      <c r="BK20" s="805"/>
      <c r="BL20" s="789" t="s">
        <v>168</v>
      </c>
      <c r="BM20" s="785" t="s">
        <v>168</v>
      </c>
      <c r="BN20" s="785" t="s">
        <v>168</v>
      </c>
      <c r="BO20" s="785" t="s">
        <v>168</v>
      </c>
      <c r="BP20" s="796" t="s">
        <v>168</v>
      </c>
      <c r="BQ20" s="808" t="s">
        <v>1942</v>
      </c>
      <c r="BR20" s="800" t="s">
        <v>1942</v>
      </c>
      <c r="BS20" s="800" t="s">
        <v>1942</v>
      </c>
      <c r="BT20" s="800" t="s">
        <v>1942</v>
      </c>
      <c r="BU20" s="805" t="s">
        <v>1942</v>
      </c>
      <c r="BV20" s="806">
        <v>2.89</v>
      </c>
      <c r="BW20" s="807">
        <v>2.77</v>
      </c>
      <c r="BX20" s="807">
        <v>2.72</v>
      </c>
      <c r="BY20" s="807">
        <v>2.7</v>
      </c>
      <c r="BZ20" s="807">
        <v>2.7</v>
      </c>
      <c r="CA20" s="808" t="s">
        <v>1942</v>
      </c>
      <c r="CB20" s="800" t="s">
        <v>1942</v>
      </c>
      <c r="CC20" s="800" t="s">
        <v>1942</v>
      </c>
      <c r="CD20" s="800" t="s">
        <v>1942</v>
      </c>
      <c r="CE20" s="805" t="s">
        <v>1942</v>
      </c>
      <c r="CF20" s="810" t="s">
        <v>1942</v>
      </c>
      <c r="CG20" s="810" t="s">
        <v>1942</v>
      </c>
      <c r="CH20" s="810" t="s">
        <v>1942</v>
      </c>
      <c r="CI20" s="810" t="s">
        <v>1942</v>
      </c>
      <c r="CJ20" s="810" t="s">
        <v>1942</v>
      </c>
      <c r="CK20" s="808">
        <v>1.89</v>
      </c>
      <c r="CL20" s="800">
        <v>1.77</v>
      </c>
      <c r="CM20" s="800">
        <v>1.72</v>
      </c>
      <c r="CN20" s="800">
        <v>1.66</v>
      </c>
      <c r="CO20" s="805">
        <v>1.6</v>
      </c>
      <c r="CP20" s="808" t="s">
        <v>1942</v>
      </c>
      <c r="CQ20" s="800" t="s">
        <v>1942</v>
      </c>
      <c r="CR20" s="800" t="s">
        <v>1942</v>
      </c>
      <c r="CS20" s="800" t="s">
        <v>1942</v>
      </c>
      <c r="CT20" s="805" t="s">
        <v>1942</v>
      </c>
      <c r="CU20" s="1284">
        <v>-1.2230000000000001</v>
      </c>
      <c r="CV20" s="1283" t="s">
        <v>1942</v>
      </c>
      <c r="CW20" s="1283" t="s">
        <v>1942</v>
      </c>
      <c r="CX20" s="1285" t="s">
        <v>1942</v>
      </c>
      <c r="CY20" s="1283">
        <v>1.2230000000000001</v>
      </c>
      <c r="CZ20" s="1283" t="s">
        <v>1942</v>
      </c>
      <c r="DA20" s="1283" t="s">
        <v>1942</v>
      </c>
      <c r="DB20" s="1285" t="s">
        <v>1942</v>
      </c>
      <c r="DC20" s="785"/>
      <c r="DD20" s="813">
        <v>1</v>
      </c>
      <c r="DE20" s="814"/>
    </row>
    <row r="21" spans="1:109" ht="15.75" hidden="1" customHeight="1">
      <c r="A21" s="772" t="s">
        <v>1060</v>
      </c>
      <c r="B21" s="773">
        <v>15</v>
      </c>
      <c r="C21" s="789" t="s">
        <v>1963</v>
      </c>
      <c r="D21" s="773" t="s">
        <v>1895</v>
      </c>
      <c r="E21" s="773" t="s">
        <v>1907</v>
      </c>
      <c r="F21" s="785" t="s">
        <v>1964</v>
      </c>
      <c r="G21" s="790" t="s">
        <v>1965</v>
      </c>
      <c r="H21" s="791" t="s">
        <v>1966</v>
      </c>
      <c r="I21" s="792">
        <v>1</v>
      </c>
      <c r="J21" s="793"/>
      <c r="K21" s="793"/>
      <c r="L21" s="793"/>
      <c r="M21" s="793"/>
      <c r="N21" s="793"/>
      <c r="O21" s="793"/>
      <c r="P21" s="794"/>
      <c r="Q21" s="795">
        <f t="shared" si="0"/>
        <v>1</v>
      </c>
      <c r="R21" s="789" t="s">
        <v>1030</v>
      </c>
      <c r="S21" s="773" t="s">
        <v>1008</v>
      </c>
      <c r="T21" s="796" t="s">
        <v>1009</v>
      </c>
      <c r="U21" s="773" t="s">
        <v>1967</v>
      </c>
      <c r="V21" s="773" t="s">
        <v>1033</v>
      </c>
      <c r="W21" s="773" t="s">
        <v>1968</v>
      </c>
      <c r="X21" s="829">
        <v>0</v>
      </c>
      <c r="Y21" s="819" t="s">
        <v>1010</v>
      </c>
      <c r="Z21" s="790"/>
      <c r="AA21" s="785"/>
      <c r="AB21" s="785"/>
      <c r="AC21" s="785"/>
      <c r="AD21" s="785"/>
      <c r="AE21" s="785"/>
      <c r="AF21" s="799"/>
      <c r="AG21" s="800"/>
      <c r="AH21" s="800"/>
      <c r="AI21" s="800"/>
      <c r="AJ21" s="800"/>
      <c r="AK21" s="800"/>
      <c r="AL21" s="800"/>
      <c r="AM21" s="800"/>
      <c r="AN21" s="800"/>
      <c r="AO21" s="800"/>
      <c r="AP21" s="800"/>
      <c r="AQ21" s="808">
        <v>7</v>
      </c>
      <c r="AR21" s="800">
        <v>14</v>
      </c>
      <c r="AS21" s="800">
        <v>21</v>
      </c>
      <c r="AT21" s="800">
        <v>28</v>
      </c>
      <c r="AU21" s="805">
        <v>36</v>
      </c>
      <c r="AV21" s="808"/>
      <c r="AW21" s="800"/>
      <c r="AX21" s="800"/>
      <c r="AY21" s="800"/>
      <c r="AZ21" s="800"/>
      <c r="BA21" s="800"/>
      <c r="BB21" s="800"/>
      <c r="BC21" s="800"/>
      <c r="BD21" s="800"/>
      <c r="BE21" s="800"/>
      <c r="BF21" s="800"/>
      <c r="BG21" s="800"/>
      <c r="BH21" s="800"/>
      <c r="BI21" s="800"/>
      <c r="BJ21" s="800"/>
      <c r="BK21" s="805"/>
      <c r="BL21" s="789" t="s">
        <v>168</v>
      </c>
      <c r="BM21" s="785" t="s">
        <v>168</v>
      </c>
      <c r="BN21" s="785" t="s">
        <v>168</v>
      </c>
      <c r="BO21" s="785" t="s">
        <v>168</v>
      </c>
      <c r="BP21" s="796" t="s">
        <v>168</v>
      </c>
      <c r="BQ21" s="808" t="s">
        <v>1942</v>
      </c>
      <c r="BR21" s="800" t="s">
        <v>1942</v>
      </c>
      <c r="BS21" s="800" t="s">
        <v>1942</v>
      </c>
      <c r="BT21" s="800" t="s">
        <v>1942</v>
      </c>
      <c r="BU21" s="805" t="s">
        <v>1942</v>
      </c>
      <c r="BV21" s="808" t="s">
        <v>1942</v>
      </c>
      <c r="BW21" s="800" t="s">
        <v>1942</v>
      </c>
      <c r="BX21" s="800" t="s">
        <v>1942</v>
      </c>
      <c r="BY21" s="800" t="s">
        <v>1942</v>
      </c>
      <c r="BZ21" s="800" t="s">
        <v>1942</v>
      </c>
      <c r="CA21" s="808" t="s">
        <v>1942</v>
      </c>
      <c r="CB21" s="800" t="s">
        <v>1942</v>
      </c>
      <c r="CC21" s="800" t="s">
        <v>1942</v>
      </c>
      <c r="CD21" s="800" t="s">
        <v>1942</v>
      </c>
      <c r="CE21" s="805" t="s">
        <v>1942</v>
      </c>
      <c r="CF21" s="800" t="s">
        <v>1942</v>
      </c>
      <c r="CG21" s="800" t="s">
        <v>1942</v>
      </c>
      <c r="CH21" s="800" t="s">
        <v>1942</v>
      </c>
      <c r="CI21" s="800" t="s">
        <v>1942</v>
      </c>
      <c r="CJ21" s="805" t="s">
        <v>1942</v>
      </c>
      <c r="CK21" s="808" t="s">
        <v>1942</v>
      </c>
      <c r="CL21" s="800" t="s">
        <v>1942</v>
      </c>
      <c r="CM21" s="800" t="s">
        <v>1942</v>
      </c>
      <c r="CN21" s="800" t="s">
        <v>1942</v>
      </c>
      <c r="CO21" s="805" t="s">
        <v>1942</v>
      </c>
      <c r="CP21" s="808" t="s">
        <v>1942</v>
      </c>
      <c r="CQ21" s="800" t="s">
        <v>1942</v>
      </c>
      <c r="CR21" s="800" t="s">
        <v>1942</v>
      </c>
      <c r="CS21" s="800" t="s">
        <v>1942</v>
      </c>
      <c r="CT21" s="805" t="s">
        <v>1942</v>
      </c>
      <c r="CU21" s="1284">
        <v>-3.4700000000000002E-2</v>
      </c>
      <c r="CV21" s="1283" t="s">
        <v>1942</v>
      </c>
      <c r="CW21" s="1283" t="s">
        <v>1942</v>
      </c>
      <c r="CX21" s="1285" t="s">
        <v>1942</v>
      </c>
      <c r="CY21" s="1283">
        <v>1.7399999999999999E-2</v>
      </c>
      <c r="CZ21" s="1283" t="s">
        <v>1942</v>
      </c>
      <c r="DA21" s="1283" t="s">
        <v>1942</v>
      </c>
      <c r="DB21" s="1285" t="s">
        <v>1942</v>
      </c>
      <c r="DC21" s="785" t="s">
        <v>1969</v>
      </c>
      <c r="DD21" s="813">
        <v>1</v>
      </c>
      <c r="DE21" s="814"/>
    </row>
    <row r="22" spans="1:109" ht="15.75" hidden="1" customHeight="1">
      <c r="A22" s="772" t="s">
        <v>1060</v>
      </c>
      <c r="B22" s="773">
        <v>16</v>
      </c>
      <c r="C22" s="789" t="s">
        <v>1970</v>
      </c>
      <c r="D22" s="773" t="s">
        <v>1895</v>
      </c>
      <c r="E22" s="773" t="s">
        <v>1896</v>
      </c>
      <c r="F22" s="785" t="s">
        <v>1971</v>
      </c>
      <c r="G22" s="790" t="s">
        <v>1972</v>
      </c>
      <c r="H22" s="791" t="s">
        <v>1973</v>
      </c>
      <c r="I22" s="792">
        <v>1</v>
      </c>
      <c r="J22" s="793"/>
      <c r="K22" s="793"/>
      <c r="L22" s="793"/>
      <c r="M22" s="793"/>
      <c r="N22" s="793"/>
      <c r="O22" s="793"/>
      <c r="P22" s="794"/>
      <c r="Q22" s="795">
        <f t="shared" si="0"/>
        <v>1</v>
      </c>
      <c r="R22" s="789" t="s">
        <v>1026</v>
      </c>
      <c r="S22" s="773" t="s">
        <v>1008</v>
      </c>
      <c r="T22" s="796" t="s">
        <v>1009</v>
      </c>
      <c r="U22" s="773" t="s">
        <v>1904</v>
      </c>
      <c r="V22" s="773" t="s">
        <v>1033</v>
      </c>
      <c r="W22" s="773" t="s">
        <v>1974</v>
      </c>
      <c r="X22" s="829">
        <v>2</v>
      </c>
      <c r="Y22" s="819" t="s">
        <v>1010</v>
      </c>
      <c r="Z22" s="790"/>
      <c r="AA22" s="785"/>
      <c r="AB22" s="785"/>
      <c r="AC22" s="785"/>
      <c r="AD22" s="785"/>
      <c r="AE22" s="785"/>
      <c r="AF22" s="799"/>
      <c r="AG22" s="800"/>
      <c r="AH22" s="800"/>
      <c r="AI22" s="800"/>
      <c r="AJ22" s="800"/>
      <c r="AK22" s="800"/>
      <c r="AL22" s="800"/>
      <c r="AM22" s="800"/>
      <c r="AN22" s="800"/>
      <c r="AO22" s="800"/>
      <c r="AP22" s="800"/>
      <c r="AQ22" s="808">
        <v>0</v>
      </c>
      <c r="AR22" s="800">
        <v>0</v>
      </c>
      <c r="AS22" s="800">
        <v>0</v>
      </c>
      <c r="AT22" s="800">
        <v>0</v>
      </c>
      <c r="AU22" s="805">
        <v>27.33</v>
      </c>
      <c r="AV22" s="808"/>
      <c r="AW22" s="800"/>
      <c r="AX22" s="800"/>
      <c r="AY22" s="800"/>
      <c r="AZ22" s="800"/>
      <c r="BA22" s="800"/>
      <c r="BB22" s="800"/>
      <c r="BC22" s="800"/>
      <c r="BD22" s="800"/>
      <c r="BE22" s="800"/>
      <c r="BF22" s="800"/>
      <c r="BG22" s="800"/>
      <c r="BH22" s="800"/>
      <c r="BI22" s="800"/>
      <c r="BJ22" s="800"/>
      <c r="BK22" s="805"/>
      <c r="BL22" s="789" t="s">
        <v>168</v>
      </c>
      <c r="BM22" s="785" t="s">
        <v>168</v>
      </c>
      <c r="BN22" s="785" t="s">
        <v>168</v>
      </c>
      <c r="BO22" s="785" t="s">
        <v>168</v>
      </c>
      <c r="BP22" s="796" t="s">
        <v>168</v>
      </c>
      <c r="BQ22" s="808" t="s">
        <v>1942</v>
      </c>
      <c r="BR22" s="800" t="s">
        <v>1942</v>
      </c>
      <c r="BS22" s="800" t="s">
        <v>1942</v>
      </c>
      <c r="BT22" s="800" t="s">
        <v>1942</v>
      </c>
      <c r="BU22" s="805" t="s">
        <v>1942</v>
      </c>
      <c r="BV22" s="808" t="s">
        <v>1942</v>
      </c>
      <c r="BW22" s="800" t="s">
        <v>1942</v>
      </c>
      <c r="BX22" s="800" t="s">
        <v>1942</v>
      </c>
      <c r="BY22" s="800" t="s">
        <v>1942</v>
      </c>
      <c r="BZ22" s="800" t="s">
        <v>1942</v>
      </c>
      <c r="CA22" s="808" t="s">
        <v>1942</v>
      </c>
      <c r="CB22" s="800" t="s">
        <v>1942</v>
      </c>
      <c r="CC22" s="800" t="s">
        <v>1942</v>
      </c>
      <c r="CD22" s="800" t="s">
        <v>1942</v>
      </c>
      <c r="CE22" s="805" t="s">
        <v>1942</v>
      </c>
      <c r="CF22" s="800" t="s">
        <v>1942</v>
      </c>
      <c r="CG22" s="800" t="s">
        <v>1942</v>
      </c>
      <c r="CH22" s="800" t="s">
        <v>1942</v>
      </c>
      <c r="CI22" s="800" t="s">
        <v>1942</v>
      </c>
      <c r="CJ22" s="805" t="s">
        <v>1942</v>
      </c>
      <c r="CK22" s="808" t="s">
        <v>1942</v>
      </c>
      <c r="CL22" s="800" t="s">
        <v>1942</v>
      </c>
      <c r="CM22" s="800" t="s">
        <v>1942</v>
      </c>
      <c r="CN22" s="800" t="s">
        <v>1942</v>
      </c>
      <c r="CO22" s="805" t="s">
        <v>1942</v>
      </c>
      <c r="CP22" s="808" t="s">
        <v>1942</v>
      </c>
      <c r="CQ22" s="800" t="s">
        <v>1942</v>
      </c>
      <c r="CR22" s="800" t="s">
        <v>1942</v>
      </c>
      <c r="CS22" s="800" t="s">
        <v>1942</v>
      </c>
      <c r="CT22" s="805" t="s">
        <v>1942</v>
      </c>
      <c r="CU22" s="1284">
        <v>-0.24099999999999999</v>
      </c>
      <c r="CV22" s="1283" t="s">
        <v>1942</v>
      </c>
      <c r="CW22" s="1283" t="s">
        <v>1942</v>
      </c>
      <c r="CX22" s="1285" t="s">
        <v>1942</v>
      </c>
      <c r="CY22" s="1283" t="s">
        <v>1942</v>
      </c>
      <c r="CZ22" s="1283" t="s">
        <v>1942</v>
      </c>
      <c r="DA22" s="1283" t="s">
        <v>1942</v>
      </c>
      <c r="DB22" s="1285" t="s">
        <v>1942</v>
      </c>
      <c r="DC22" s="785"/>
      <c r="DD22" s="813">
        <v>1</v>
      </c>
      <c r="DE22" s="814"/>
    </row>
    <row r="23" spans="1:109" ht="15.75" hidden="1" customHeight="1">
      <c r="A23" s="772" t="s">
        <v>1060</v>
      </c>
      <c r="B23" s="773">
        <v>17</v>
      </c>
      <c r="C23" s="789" t="s">
        <v>1975</v>
      </c>
      <c r="D23" s="773" t="s">
        <v>1895</v>
      </c>
      <c r="E23" s="773" t="s">
        <v>1896</v>
      </c>
      <c r="F23" s="785" t="s">
        <v>1976</v>
      </c>
      <c r="G23" s="790" t="s">
        <v>1977</v>
      </c>
      <c r="H23" s="791" t="s">
        <v>1978</v>
      </c>
      <c r="I23" s="792">
        <v>1</v>
      </c>
      <c r="J23" s="793"/>
      <c r="K23" s="793"/>
      <c r="L23" s="793"/>
      <c r="M23" s="793"/>
      <c r="N23" s="793"/>
      <c r="O23" s="793"/>
      <c r="P23" s="794"/>
      <c r="Q23" s="795">
        <f t="shared" si="0"/>
        <v>1</v>
      </c>
      <c r="R23" s="789" t="s">
        <v>1030</v>
      </c>
      <c r="S23" s="773" t="s">
        <v>1008</v>
      </c>
      <c r="T23" s="796" t="s">
        <v>1009</v>
      </c>
      <c r="U23" s="773" t="s">
        <v>1979</v>
      </c>
      <c r="V23" s="773" t="s">
        <v>1033</v>
      </c>
      <c r="W23" s="773" t="s">
        <v>1980</v>
      </c>
      <c r="X23" s="1274">
        <v>0</v>
      </c>
      <c r="Y23" s="819" t="s">
        <v>1020</v>
      </c>
      <c r="Z23" s="790"/>
      <c r="AA23" s="785"/>
      <c r="AB23" s="785"/>
      <c r="AC23" s="785"/>
      <c r="AD23" s="785"/>
      <c r="AE23" s="785"/>
      <c r="AF23" s="799"/>
      <c r="AG23" s="800"/>
      <c r="AH23" s="800"/>
      <c r="AI23" s="800"/>
      <c r="AJ23" s="800"/>
      <c r="AK23" s="800"/>
      <c r="AL23" s="800"/>
      <c r="AM23" s="800"/>
      <c r="AN23" s="800"/>
      <c r="AO23" s="800"/>
      <c r="AP23" s="800"/>
      <c r="AQ23" s="808">
        <v>0</v>
      </c>
      <c r="AR23" s="800">
        <v>0</v>
      </c>
      <c r="AS23" s="800">
        <v>0</v>
      </c>
      <c r="AT23" s="800">
        <v>0</v>
      </c>
      <c r="AU23" s="805">
        <v>0</v>
      </c>
      <c r="AV23" s="808"/>
      <c r="AW23" s="800"/>
      <c r="AX23" s="800"/>
      <c r="AY23" s="800"/>
      <c r="AZ23" s="800"/>
      <c r="BA23" s="800"/>
      <c r="BB23" s="800"/>
      <c r="BC23" s="800"/>
      <c r="BD23" s="800"/>
      <c r="BE23" s="800"/>
      <c r="BF23" s="800"/>
      <c r="BG23" s="800"/>
      <c r="BH23" s="800"/>
      <c r="BI23" s="800"/>
      <c r="BJ23" s="800"/>
      <c r="BK23" s="805"/>
      <c r="BL23" s="789" t="s">
        <v>168</v>
      </c>
      <c r="BM23" s="785" t="s">
        <v>168</v>
      </c>
      <c r="BN23" s="785" t="s">
        <v>168</v>
      </c>
      <c r="BO23" s="785" t="s">
        <v>168</v>
      </c>
      <c r="BP23" s="796" t="s">
        <v>168</v>
      </c>
      <c r="BQ23" s="808" t="s">
        <v>1942</v>
      </c>
      <c r="BR23" s="800" t="s">
        <v>1942</v>
      </c>
      <c r="BS23" s="800" t="s">
        <v>1942</v>
      </c>
      <c r="BT23" s="800" t="s">
        <v>1942</v>
      </c>
      <c r="BU23" s="805" t="s">
        <v>1942</v>
      </c>
      <c r="BV23" s="808">
        <v>3500</v>
      </c>
      <c r="BW23" s="800">
        <v>3500</v>
      </c>
      <c r="BX23" s="800">
        <v>3500</v>
      </c>
      <c r="BY23" s="800">
        <v>3500</v>
      </c>
      <c r="BZ23" s="800">
        <v>3500</v>
      </c>
      <c r="CA23" s="808" t="s">
        <v>1942</v>
      </c>
      <c r="CB23" s="800" t="s">
        <v>1942</v>
      </c>
      <c r="CC23" s="800" t="s">
        <v>1942</v>
      </c>
      <c r="CD23" s="800" t="s">
        <v>1942</v>
      </c>
      <c r="CE23" s="805" t="s">
        <v>1942</v>
      </c>
      <c r="CF23" s="800" t="s">
        <v>1942</v>
      </c>
      <c r="CG23" s="800" t="s">
        <v>1942</v>
      </c>
      <c r="CH23" s="800" t="s">
        <v>1942</v>
      </c>
      <c r="CI23" s="800" t="s">
        <v>1942</v>
      </c>
      <c r="CJ23" s="805" t="s">
        <v>1942</v>
      </c>
      <c r="CK23" s="808">
        <v>-3500</v>
      </c>
      <c r="CL23" s="800">
        <v>-3500</v>
      </c>
      <c r="CM23" s="800">
        <v>-3500</v>
      </c>
      <c r="CN23" s="800">
        <v>-3500</v>
      </c>
      <c r="CO23" s="805">
        <v>-3500</v>
      </c>
      <c r="CP23" s="808" t="s">
        <v>1942</v>
      </c>
      <c r="CQ23" s="800" t="s">
        <v>1942</v>
      </c>
      <c r="CR23" s="800" t="s">
        <v>1942</v>
      </c>
      <c r="CS23" s="800" t="s">
        <v>1942</v>
      </c>
      <c r="CT23" s="805" t="s">
        <v>1942</v>
      </c>
      <c r="CU23" s="1284">
        <v>-1.1E-4</v>
      </c>
      <c r="CV23" s="1283" t="s">
        <v>1942</v>
      </c>
      <c r="CW23" s="1283" t="s">
        <v>1942</v>
      </c>
      <c r="CX23" s="1285" t="s">
        <v>1942</v>
      </c>
      <c r="CY23" s="1283">
        <v>9.3999999999999994E-5</v>
      </c>
      <c r="CZ23" s="1283" t="s">
        <v>1942</v>
      </c>
      <c r="DA23" s="1283" t="s">
        <v>1942</v>
      </c>
      <c r="DB23" s="1285" t="s">
        <v>1942</v>
      </c>
      <c r="DC23" s="785"/>
      <c r="DD23" s="813">
        <v>1</v>
      </c>
      <c r="DE23" s="814"/>
    </row>
    <row r="24" spans="1:109" ht="15.75" hidden="1" customHeight="1">
      <c r="A24" s="772" t="s">
        <v>1060</v>
      </c>
      <c r="B24" s="773">
        <v>18</v>
      </c>
      <c r="C24" s="789" t="s">
        <v>1981</v>
      </c>
      <c r="D24" s="773" t="s">
        <v>1888</v>
      </c>
      <c r="E24" s="773" t="s">
        <v>1907</v>
      </c>
      <c r="F24" s="785" t="s">
        <v>1982</v>
      </c>
      <c r="G24" s="790" t="s">
        <v>1983</v>
      </c>
      <c r="H24" s="791" t="s">
        <v>1984</v>
      </c>
      <c r="I24" s="792"/>
      <c r="J24" s="793">
        <v>1</v>
      </c>
      <c r="K24" s="793"/>
      <c r="L24" s="793"/>
      <c r="M24" s="793"/>
      <c r="N24" s="793"/>
      <c r="O24" s="793"/>
      <c r="P24" s="794"/>
      <c r="Q24" s="795">
        <f t="shared" si="0"/>
        <v>1</v>
      </c>
      <c r="R24" s="789" t="s">
        <v>1026</v>
      </c>
      <c r="S24" s="773" t="s">
        <v>1008</v>
      </c>
      <c r="T24" s="796" t="s">
        <v>1009</v>
      </c>
      <c r="U24" s="773" t="s">
        <v>1985</v>
      </c>
      <c r="V24" s="773" t="s">
        <v>1033</v>
      </c>
      <c r="W24" s="773" t="s">
        <v>1986</v>
      </c>
      <c r="X24" s="829">
        <v>3</v>
      </c>
      <c r="Y24" s="819" t="s">
        <v>1020</v>
      </c>
      <c r="Z24" s="790" t="s">
        <v>1987</v>
      </c>
      <c r="AA24" s="785"/>
      <c r="AB24" s="785"/>
      <c r="AC24" s="785"/>
      <c r="AD24" s="785"/>
      <c r="AE24" s="785"/>
      <c r="AF24" s="799"/>
      <c r="AG24" s="800"/>
      <c r="AH24" s="800"/>
      <c r="AI24" s="800"/>
      <c r="AJ24" s="800"/>
      <c r="AK24" s="800"/>
      <c r="AL24" s="800"/>
      <c r="AM24" s="800"/>
      <c r="AN24" s="800"/>
      <c r="AO24" s="800"/>
      <c r="AP24" s="800"/>
      <c r="AQ24" s="808">
        <v>1.645</v>
      </c>
      <c r="AR24" s="800">
        <v>1.5129999999999999</v>
      </c>
      <c r="AS24" s="800">
        <v>1.381</v>
      </c>
      <c r="AT24" s="800">
        <v>1.25</v>
      </c>
      <c r="AU24" s="805">
        <v>1.1180000000000001</v>
      </c>
      <c r="AV24" s="808"/>
      <c r="AW24" s="800"/>
      <c r="AX24" s="800"/>
      <c r="AY24" s="800"/>
      <c r="AZ24" s="800"/>
      <c r="BA24" s="800"/>
      <c r="BB24" s="800"/>
      <c r="BC24" s="800"/>
      <c r="BD24" s="800"/>
      <c r="BE24" s="800"/>
      <c r="BF24" s="800"/>
      <c r="BG24" s="800"/>
      <c r="BH24" s="800"/>
      <c r="BI24" s="800"/>
      <c r="BJ24" s="800"/>
      <c r="BK24" s="805"/>
      <c r="BL24" s="789" t="s">
        <v>168</v>
      </c>
      <c r="BM24" s="785" t="s">
        <v>168</v>
      </c>
      <c r="BN24" s="785" t="s">
        <v>168</v>
      </c>
      <c r="BO24" s="785" t="s">
        <v>168</v>
      </c>
      <c r="BP24" s="796" t="s">
        <v>168</v>
      </c>
      <c r="BQ24" s="808" t="s">
        <v>1942</v>
      </c>
      <c r="BR24" s="800" t="s">
        <v>1942</v>
      </c>
      <c r="BS24" s="800" t="s">
        <v>1942</v>
      </c>
      <c r="BT24" s="800" t="s">
        <v>1942</v>
      </c>
      <c r="BU24" s="805" t="s">
        <v>1942</v>
      </c>
      <c r="BV24" s="806">
        <v>4.9349999999999996</v>
      </c>
      <c r="BW24" s="807">
        <v>4.9349999999999996</v>
      </c>
      <c r="BX24" s="807">
        <v>4.9349999999999996</v>
      </c>
      <c r="BY24" s="807">
        <v>4.9349999999999996</v>
      </c>
      <c r="BZ24" s="807">
        <v>4.9349999999999996</v>
      </c>
      <c r="CA24" s="808" t="s">
        <v>1942</v>
      </c>
      <c r="CB24" s="800" t="s">
        <v>1942</v>
      </c>
      <c r="CC24" s="800" t="s">
        <v>1942</v>
      </c>
      <c r="CD24" s="800" t="s">
        <v>1942</v>
      </c>
      <c r="CE24" s="805" t="s">
        <v>1942</v>
      </c>
      <c r="CF24" s="800" t="s">
        <v>1942</v>
      </c>
      <c r="CG24" s="800" t="s">
        <v>1942</v>
      </c>
      <c r="CH24" s="800" t="s">
        <v>1942</v>
      </c>
      <c r="CI24" s="800" t="s">
        <v>1942</v>
      </c>
      <c r="CJ24" s="805" t="s">
        <v>1942</v>
      </c>
      <c r="CK24" s="808" t="s">
        <v>1942</v>
      </c>
      <c r="CL24" s="800" t="s">
        <v>1942</v>
      </c>
      <c r="CM24" s="800" t="s">
        <v>1942</v>
      </c>
      <c r="CN24" s="800" t="s">
        <v>1942</v>
      </c>
      <c r="CO24" s="805" t="s">
        <v>1942</v>
      </c>
      <c r="CP24" s="808" t="s">
        <v>1942</v>
      </c>
      <c r="CQ24" s="800" t="s">
        <v>1942</v>
      </c>
      <c r="CR24" s="800" t="s">
        <v>1942</v>
      </c>
      <c r="CS24" s="800" t="s">
        <v>1942</v>
      </c>
      <c r="CT24" s="805" t="s">
        <v>1942</v>
      </c>
      <c r="CU24" s="1284">
        <v>-0.26400000000000001</v>
      </c>
      <c r="CV24" s="1283" t="s">
        <v>1942</v>
      </c>
      <c r="CW24" s="1283" t="s">
        <v>1942</v>
      </c>
      <c r="CX24" s="1285" t="s">
        <v>1942</v>
      </c>
      <c r="CY24" s="1283">
        <v>0</v>
      </c>
      <c r="CZ24" s="1283" t="s">
        <v>1942</v>
      </c>
      <c r="DA24" s="1283" t="s">
        <v>1942</v>
      </c>
      <c r="DB24" s="1285" t="s">
        <v>1942</v>
      </c>
      <c r="DC24" s="785" t="s">
        <v>1969</v>
      </c>
      <c r="DD24" s="813">
        <v>1</v>
      </c>
      <c r="DE24" s="814"/>
    </row>
    <row r="25" spans="1:109" ht="15.75" hidden="1" customHeight="1">
      <c r="A25" s="772" t="s">
        <v>1060</v>
      </c>
      <c r="B25" s="773">
        <v>19</v>
      </c>
      <c r="C25" s="789" t="s">
        <v>1988</v>
      </c>
      <c r="D25" s="773" t="s">
        <v>1929</v>
      </c>
      <c r="E25" s="773" t="s">
        <v>1907</v>
      </c>
      <c r="F25" s="785" t="s">
        <v>1989</v>
      </c>
      <c r="G25" s="790" t="s">
        <v>1990</v>
      </c>
      <c r="H25" s="791" t="s">
        <v>1990</v>
      </c>
      <c r="I25" s="792"/>
      <c r="J25" s="793"/>
      <c r="K25" s="793"/>
      <c r="L25" s="793"/>
      <c r="M25" s="793">
        <v>1</v>
      </c>
      <c r="N25" s="793"/>
      <c r="O25" s="793"/>
      <c r="P25" s="794"/>
      <c r="Q25" s="795">
        <f t="shared" si="0"/>
        <v>1</v>
      </c>
      <c r="R25" s="789" t="s">
        <v>1026</v>
      </c>
      <c r="S25" s="773" t="s">
        <v>1008</v>
      </c>
      <c r="T25" s="796" t="s">
        <v>1009</v>
      </c>
      <c r="U25" s="773" t="s">
        <v>1961</v>
      </c>
      <c r="V25" s="773" t="s">
        <v>1033</v>
      </c>
      <c r="W25" s="773" t="s">
        <v>1991</v>
      </c>
      <c r="X25" s="829">
        <v>0</v>
      </c>
      <c r="Y25" s="821" t="s">
        <v>1010</v>
      </c>
      <c r="Z25" s="790"/>
      <c r="AA25" s="785"/>
      <c r="AB25" s="785"/>
      <c r="AC25" s="785"/>
      <c r="AD25" s="785"/>
      <c r="AE25" s="785"/>
      <c r="AF25" s="799"/>
      <c r="AG25" s="800"/>
      <c r="AH25" s="800"/>
      <c r="AI25" s="800"/>
      <c r="AJ25" s="800"/>
      <c r="AK25" s="800"/>
      <c r="AL25" s="800"/>
      <c r="AM25" s="800"/>
      <c r="AN25" s="800"/>
      <c r="AO25" s="800"/>
      <c r="AP25" s="800"/>
      <c r="AQ25" s="808">
        <v>50</v>
      </c>
      <c r="AR25" s="800">
        <v>50</v>
      </c>
      <c r="AS25" s="800">
        <v>50</v>
      </c>
      <c r="AT25" s="800">
        <v>50</v>
      </c>
      <c r="AU25" s="805">
        <v>50</v>
      </c>
      <c r="AV25" s="808"/>
      <c r="AW25" s="800"/>
      <c r="AX25" s="800"/>
      <c r="AY25" s="800"/>
      <c r="AZ25" s="800"/>
      <c r="BA25" s="800"/>
      <c r="BB25" s="800"/>
      <c r="BC25" s="800"/>
      <c r="BD25" s="800"/>
      <c r="BE25" s="800"/>
      <c r="BF25" s="800"/>
      <c r="BG25" s="800"/>
      <c r="BH25" s="800"/>
      <c r="BI25" s="800"/>
      <c r="BJ25" s="800"/>
      <c r="BK25" s="805"/>
      <c r="BL25" s="789" t="s">
        <v>168</v>
      </c>
      <c r="BM25" s="785" t="s">
        <v>168</v>
      </c>
      <c r="BN25" s="785" t="s">
        <v>168</v>
      </c>
      <c r="BO25" s="785" t="s">
        <v>168</v>
      </c>
      <c r="BP25" s="796" t="s">
        <v>168</v>
      </c>
      <c r="BQ25" s="808" t="s">
        <v>1942</v>
      </c>
      <c r="BR25" s="800" t="s">
        <v>1942</v>
      </c>
      <c r="BS25" s="800" t="s">
        <v>1942</v>
      </c>
      <c r="BT25" s="800" t="s">
        <v>1942</v>
      </c>
      <c r="BU25" s="805" t="s">
        <v>1942</v>
      </c>
      <c r="BV25" s="808" t="s">
        <v>1942</v>
      </c>
      <c r="BW25" s="800" t="s">
        <v>1942</v>
      </c>
      <c r="BX25" s="800" t="s">
        <v>1942</v>
      </c>
      <c r="BY25" s="800" t="s">
        <v>1942</v>
      </c>
      <c r="BZ25" s="800" t="s">
        <v>1942</v>
      </c>
      <c r="CA25" s="808" t="s">
        <v>1942</v>
      </c>
      <c r="CB25" s="800" t="s">
        <v>1942</v>
      </c>
      <c r="CC25" s="800" t="s">
        <v>1942</v>
      </c>
      <c r="CD25" s="800" t="s">
        <v>1942</v>
      </c>
      <c r="CE25" s="805" t="s">
        <v>1942</v>
      </c>
      <c r="CF25" s="800" t="s">
        <v>1942</v>
      </c>
      <c r="CG25" s="800" t="s">
        <v>1942</v>
      </c>
      <c r="CH25" s="800" t="s">
        <v>1942</v>
      </c>
      <c r="CI25" s="800" t="s">
        <v>1942</v>
      </c>
      <c r="CJ25" s="805" t="s">
        <v>1942</v>
      </c>
      <c r="CK25" s="808" t="s">
        <v>1942</v>
      </c>
      <c r="CL25" s="800" t="s">
        <v>1942</v>
      </c>
      <c r="CM25" s="800" t="s">
        <v>1942</v>
      </c>
      <c r="CN25" s="800" t="s">
        <v>1942</v>
      </c>
      <c r="CO25" s="805" t="s">
        <v>1942</v>
      </c>
      <c r="CP25" s="808" t="s">
        <v>1942</v>
      </c>
      <c r="CQ25" s="800" t="s">
        <v>1942</v>
      </c>
      <c r="CR25" s="800" t="s">
        <v>1942</v>
      </c>
      <c r="CS25" s="800" t="s">
        <v>1942</v>
      </c>
      <c r="CT25" s="805" t="s">
        <v>1942</v>
      </c>
      <c r="CU25" s="1284">
        <v>-7.1699999999999997E-4</v>
      </c>
      <c r="CV25" s="1283" t="s">
        <v>1942</v>
      </c>
      <c r="CW25" s="1283" t="s">
        <v>1942</v>
      </c>
      <c r="CX25" s="1285" t="s">
        <v>1942</v>
      </c>
      <c r="CY25" s="1283" t="s">
        <v>1942</v>
      </c>
      <c r="CZ25" s="1283" t="s">
        <v>1942</v>
      </c>
      <c r="DA25" s="1283" t="s">
        <v>1942</v>
      </c>
      <c r="DB25" s="1285" t="s">
        <v>1942</v>
      </c>
      <c r="DC25" s="785"/>
      <c r="DD25" s="813">
        <v>1</v>
      </c>
      <c r="DE25" s="814"/>
    </row>
    <row r="26" spans="1:109" ht="15.75" hidden="1" customHeight="1">
      <c r="A26" s="772" t="s">
        <v>1060</v>
      </c>
      <c r="B26" s="773">
        <v>20</v>
      </c>
      <c r="C26" s="789" t="s">
        <v>1992</v>
      </c>
      <c r="D26" s="773" t="s">
        <v>1888</v>
      </c>
      <c r="E26" s="773" t="s">
        <v>1896</v>
      </c>
      <c r="F26" s="785" t="s">
        <v>1993</v>
      </c>
      <c r="G26" s="790" t="s">
        <v>1994</v>
      </c>
      <c r="H26" s="791" t="s">
        <v>1995</v>
      </c>
      <c r="I26" s="792"/>
      <c r="J26" s="793">
        <v>1</v>
      </c>
      <c r="K26" s="793"/>
      <c r="L26" s="793"/>
      <c r="M26" s="793"/>
      <c r="N26" s="793"/>
      <c r="O26" s="793"/>
      <c r="P26" s="794"/>
      <c r="Q26" s="795">
        <f t="shared" si="0"/>
        <v>1</v>
      </c>
      <c r="R26" s="789" t="s">
        <v>1030</v>
      </c>
      <c r="S26" s="773" t="s">
        <v>1008</v>
      </c>
      <c r="T26" s="796" t="s">
        <v>1009</v>
      </c>
      <c r="U26" s="773" t="s">
        <v>1910</v>
      </c>
      <c r="V26" s="773" t="s">
        <v>1033</v>
      </c>
      <c r="W26" s="773" t="s">
        <v>1996</v>
      </c>
      <c r="X26" s="829">
        <v>0</v>
      </c>
      <c r="Y26" s="798" t="s">
        <v>1020</v>
      </c>
      <c r="Z26" s="790"/>
      <c r="AA26" s="785"/>
      <c r="AB26" s="785"/>
      <c r="AC26" s="785"/>
      <c r="AD26" s="785"/>
      <c r="AE26" s="785"/>
      <c r="AF26" s="799"/>
      <c r="AG26" s="800"/>
      <c r="AH26" s="800"/>
      <c r="AI26" s="800"/>
      <c r="AJ26" s="800"/>
      <c r="AK26" s="800"/>
      <c r="AL26" s="800"/>
      <c r="AM26" s="800"/>
      <c r="AN26" s="800"/>
      <c r="AO26" s="800"/>
      <c r="AP26" s="800"/>
      <c r="AQ26" s="808">
        <v>320</v>
      </c>
      <c r="AR26" s="800">
        <v>320</v>
      </c>
      <c r="AS26" s="800">
        <v>320</v>
      </c>
      <c r="AT26" s="800">
        <v>320</v>
      </c>
      <c r="AU26" s="805">
        <v>320</v>
      </c>
      <c r="AV26" s="808"/>
      <c r="AW26" s="800"/>
      <c r="AX26" s="800"/>
      <c r="AY26" s="800"/>
      <c r="AZ26" s="800"/>
      <c r="BA26" s="800"/>
      <c r="BB26" s="800"/>
      <c r="BC26" s="800"/>
      <c r="BD26" s="800"/>
      <c r="BE26" s="800"/>
      <c r="BF26" s="800"/>
      <c r="BG26" s="800"/>
      <c r="BH26" s="800"/>
      <c r="BI26" s="800"/>
      <c r="BJ26" s="800"/>
      <c r="BK26" s="805"/>
      <c r="BL26" s="789" t="s">
        <v>168</v>
      </c>
      <c r="BM26" s="785" t="s">
        <v>168</v>
      </c>
      <c r="BN26" s="785" t="s">
        <v>168</v>
      </c>
      <c r="BO26" s="785" t="s">
        <v>168</v>
      </c>
      <c r="BP26" s="796" t="s">
        <v>168</v>
      </c>
      <c r="BQ26" s="808" t="s">
        <v>1942</v>
      </c>
      <c r="BR26" s="800" t="s">
        <v>1942</v>
      </c>
      <c r="BS26" s="800" t="s">
        <v>1942</v>
      </c>
      <c r="BT26" s="800" t="s">
        <v>1942</v>
      </c>
      <c r="BU26" s="805" t="s">
        <v>1942</v>
      </c>
      <c r="BV26" s="827">
        <v>536</v>
      </c>
      <c r="BW26" s="797">
        <v>547</v>
      </c>
      <c r="BX26" s="797">
        <v>560</v>
      </c>
      <c r="BY26" s="797">
        <v>574</v>
      </c>
      <c r="BZ26" s="797">
        <v>590</v>
      </c>
      <c r="CA26" s="808" t="s">
        <v>1942</v>
      </c>
      <c r="CB26" s="800" t="s">
        <v>1942</v>
      </c>
      <c r="CC26" s="800" t="s">
        <v>1942</v>
      </c>
      <c r="CD26" s="800" t="s">
        <v>1942</v>
      </c>
      <c r="CE26" s="805" t="s">
        <v>1942</v>
      </c>
      <c r="CF26" s="800" t="s">
        <v>1942</v>
      </c>
      <c r="CG26" s="800" t="s">
        <v>1942</v>
      </c>
      <c r="CH26" s="800" t="s">
        <v>1942</v>
      </c>
      <c r="CI26" s="800" t="s">
        <v>1942</v>
      </c>
      <c r="CJ26" s="805" t="s">
        <v>1942</v>
      </c>
      <c r="CK26" s="808">
        <v>200</v>
      </c>
      <c r="CL26" s="800">
        <v>200</v>
      </c>
      <c r="CM26" s="800">
        <v>200</v>
      </c>
      <c r="CN26" s="800">
        <v>200</v>
      </c>
      <c r="CO26" s="805">
        <v>200</v>
      </c>
      <c r="CP26" s="808" t="s">
        <v>1942</v>
      </c>
      <c r="CQ26" s="800" t="s">
        <v>1942</v>
      </c>
      <c r="CR26" s="800" t="s">
        <v>1942</v>
      </c>
      <c r="CS26" s="800" t="s">
        <v>1942</v>
      </c>
      <c r="CT26" s="805" t="s">
        <v>1942</v>
      </c>
      <c r="CU26" s="1284">
        <v>-3.31E-3</v>
      </c>
      <c r="CV26" s="1283" t="s">
        <v>1942</v>
      </c>
      <c r="CW26" s="1283" t="s">
        <v>1942</v>
      </c>
      <c r="CX26" s="1285" t="s">
        <v>1942</v>
      </c>
      <c r="CY26" s="1283">
        <v>3.31E-3</v>
      </c>
      <c r="CZ26" s="1283" t="s">
        <v>1942</v>
      </c>
      <c r="DA26" s="1283" t="s">
        <v>1942</v>
      </c>
      <c r="DB26" s="1285" t="s">
        <v>1942</v>
      </c>
      <c r="DC26" s="785"/>
      <c r="DD26" s="813">
        <v>1</v>
      </c>
      <c r="DE26" s="814"/>
    </row>
    <row r="27" spans="1:109" ht="15.75" hidden="1" customHeight="1">
      <c r="A27" s="772" t="s">
        <v>1060</v>
      </c>
      <c r="B27" s="773">
        <v>21</v>
      </c>
      <c r="C27" s="789" t="s">
        <v>1997</v>
      </c>
      <c r="D27" s="773" t="s">
        <v>1923</v>
      </c>
      <c r="E27" s="773" t="s">
        <v>1896</v>
      </c>
      <c r="F27" s="785" t="s">
        <v>1998</v>
      </c>
      <c r="G27" s="790" t="s">
        <v>1999</v>
      </c>
      <c r="H27" s="791" t="s">
        <v>2000</v>
      </c>
      <c r="I27" s="792"/>
      <c r="J27" s="793">
        <v>1</v>
      </c>
      <c r="K27" s="793"/>
      <c r="L27" s="793"/>
      <c r="M27" s="793"/>
      <c r="N27" s="793"/>
      <c r="O27" s="793"/>
      <c r="P27" s="794"/>
      <c r="Q27" s="795">
        <f t="shared" si="0"/>
        <v>1</v>
      </c>
      <c r="R27" s="789" t="s">
        <v>1026</v>
      </c>
      <c r="S27" s="773" t="s">
        <v>1008</v>
      </c>
      <c r="T27" s="796" t="s">
        <v>1009</v>
      </c>
      <c r="U27" s="773" t="s">
        <v>1847</v>
      </c>
      <c r="V27" s="773" t="s">
        <v>1033</v>
      </c>
      <c r="W27" s="773" t="s">
        <v>2001</v>
      </c>
      <c r="X27" s="829">
        <v>2</v>
      </c>
      <c r="Y27" s="798" t="s">
        <v>1020</v>
      </c>
      <c r="Z27" s="790" t="s">
        <v>2002</v>
      </c>
      <c r="AA27" s="785"/>
      <c r="AB27" s="785"/>
      <c r="AC27" s="785"/>
      <c r="AD27" s="785"/>
      <c r="AE27" s="785"/>
      <c r="AF27" s="799"/>
      <c r="AG27" s="800"/>
      <c r="AH27" s="800"/>
      <c r="AI27" s="800"/>
      <c r="AJ27" s="800"/>
      <c r="AK27" s="800"/>
      <c r="AL27" s="800"/>
      <c r="AM27" s="800"/>
      <c r="AN27" s="800"/>
      <c r="AO27" s="800"/>
      <c r="AP27" s="800"/>
      <c r="AQ27" s="808">
        <v>0.67</v>
      </c>
      <c r="AR27" s="800">
        <v>0.67</v>
      </c>
      <c r="AS27" s="800">
        <v>0.67</v>
      </c>
      <c r="AT27" s="800">
        <v>0.67</v>
      </c>
      <c r="AU27" s="805">
        <v>0.67</v>
      </c>
      <c r="AV27" s="808"/>
      <c r="AW27" s="800"/>
      <c r="AX27" s="800"/>
      <c r="AY27" s="800"/>
      <c r="AZ27" s="800"/>
      <c r="BA27" s="800"/>
      <c r="BB27" s="800"/>
      <c r="BC27" s="800"/>
      <c r="BD27" s="800"/>
      <c r="BE27" s="800"/>
      <c r="BF27" s="800"/>
      <c r="BG27" s="800"/>
      <c r="BH27" s="800"/>
      <c r="BI27" s="800"/>
      <c r="BJ27" s="800"/>
      <c r="BK27" s="805"/>
      <c r="BL27" s="789" t="s">
        <v>168</v>
      </c>
      <c r="BM27" s="785" t="s">
        <v>168</v>
      </c>
      <c r="BN27" s="785" t="s">
        <v>168</v>
      </c>
      <c r="BO27" s="785" t="s">
        <v>168</v>
      </c>
      <c r="BP27" s="796" t="s">
        <v>168</v>
      </c>
      <c r="BQ27" s="804" t="s">
        <v>1942</v>
      </c>
      <c r="BR27" s="800" t="s">
        <v>1942</v>
      </c>
      <c r="BS27" s="800" t="s">
        <v>1942</v>
      </c>
      <c r="BT27" s="800" t="s">
        <v>1942</v>
      </c>
      <c r="BU27" s="805" t="s">
        <v>1942</v>
      </c>
      <c r="BV27" s="804" t="s">
        <v>1942</v>
      </c>
      <c r="BW27" s="800" t="s">
        <v>1942</v>
      </c>
      <c r="BX27" s="800" t="s">
        <v>1942</v>
      </c>
      <c r="BY27" s="800" t="s">
        <v>1942</v>
      </c>
      <c r="BZ27" s="800" t="s">
        <v>1942</v>
      </c>
      <c r="CA27" s="808" t="s">
        <v>1942</v>
      </c>
      <c r="CB27" s="800" t="s">
        <v>1942</v>
      </c>
      <c r="CC27" s="800" t="s">
        <v>1942</v>
      </c>
      <c r="CD27" s="800" t="s">
        <v>1942</v>
      </c>
      <c r="CE27" s="805" t="s">
        <v>1942</v>
      </c>
      <c r="CF27" s="800" t="s">
        <v>1942</v>
      </c>
      <c r="CG27" s="800" t="s">
        <v>1942</v>
      </c>
      <c r="CH27" s="800" t="s">
        <v>1942</v>
      </c>
      <c r="CI27" s="800" t="s">
        <v>1942</v>
      </c>
      <c r="CJ27" s="805" t="s">
        <v>1942</v>
      </c>
      <c r="CK27" s="808" t="s">
        <v>1942</v>
      </c>
      <c r="CL27" s="800" t="s">
        <v>1942</v>
      </c>
      <c r="CM27" s="800" t="s">
        <v>1942</v>
      </c>
      <c r="CN27" s="800" t="s">
        <v>1942</v>
      </c>
      <c r="CO27" s="805" t="s">
        <v>1942</v>
      </c>
      <c r="CP27" s="808" t="s">
        <v>1942</v>
      </c>
      <c r="CQ27" s="800" t="s">
        <v>1942</v>
      </c>
      <c r="CR27" s="800" t="s">
        <v>1942</v>
      </c>
      <c r="CS27" s="800" t="s">
        <v>1942</v>
      </c>
      <c r="CT27" s="805" t="s">
        <v>1942</v>
      </c>
      <c r="CU27" s="1284">
        <v>-2.04</v>
      </c>
      <c r="CV27" s="1283" t="s">
        <v>1942</v>
      </c>
      <c r="CW27" s="1283" t="s">
        <v>1942</v>
      </c>
      <c r="CX27" s="1285" t="s">
        <v>1942</v>
      </c>
      <c r="CY27" s="1283" t="s">
        <v>1942</v>
      </c>
      <c r="CZ27" s="1283" t="s">
        <v>1942</v>
      </c>
      <c r="DA27" s="1283" t="s">
        <v>1942</v>
      </c>
      <c r="DB27" s="1285" t="s">
        <v>1942</v>
      </c>
      <c r="DC27" s="785"/>
      <c r="DD27" s="813">
        <v>1</v>
      </c>
      <c r="DE27" s="814"/>
    </row>
    <row r="28" spans="1:109" ht="15.75" hidden="1" customHeight="1">
      <c r="A28" s="772" t="s">
        <v>1060</v>
      </c>
      <c r="B28" s="773">
        <v>22</v>
      </c>
      <c r="C28" s="789" t="s">
        <v>2003</v>
      </c>
      <c r="D28" s="773" t="s">
        <v>1929</v>
      </c>
      <c r="E28" s="773" t="s">
        <v>1907</v>
      </c>
      <c r="F28" s="785" t="s">
        <v>2004</v>
      </c>
      <c r="G28" s="790" t="s">
        <v>703</v>
      </c>
      <c r="H28" s="791" t="s">
        <v>2005</v>
      </c>
      <c r="I28" s="792"/>
      <c r="J28" s="793"/>
      <c r="K28" s="793"/>
      <c r="L28" s="793"/>
      <c r="M28" s="793">
        <v>1</v>
      </c>
      <c r="N28" s="793"/>
      <c r="O28" s="793"/>
      <c r="P28" s="794"/>
      <c r="Q28" s="795">
        <f t="shared" si="0"/>
        <v>1</v>
      </c>
      <c r="R28" s="789" t="s">
        <v>1007</v>
      </c>
      <c r="S28" s="773"/>
      <c r="T28" s="796"/>
      <c r="U28" s="773" t="s">
        <v>1947</v>
      </c>
      <c r="V28" s="773" t="s">
        <v>278</v>
      </c>
      <c r="W28" s="773" t="s">
        <v>2006</v>
      </c>
      <c r="X28" s="1274">
        <v>1</v>
      </c>
      <c r="Y28" s="798" t="s">
        <v>1010</v>
      </c>
      <c r="Z28" s="790" t="s">
        <v>703</v>
      </c>
      <c r="AA28" s="785"/>
      <c r="AB28" s="785"/>
      <c r="AC28" s="785"/>
      <c r="AD28" s="785"/>
      <c r="AE28" s="785"/>
      <c r="AF28" s="799"/>
      <c r="AG28" s="800"/>
      <c r="AH28" s="800"/>
      <c r="AI28" s="800"/>
      <c r="AJ28" s="800"/>
      <c r="AK28" s="800"/>
      <c r="AL28" s="800"/>
      <c r="AM28" s="800"/>
      <c r="AN28" s="800"/>
      <c r="AO28" s="800"/>
      <c r="AP28" s="800"/>
      <c r="AQ28" s="1420"/>
      <c r="AR28" s="1368"/>
      <c r="AS28" s="1368"/>
      <c r="AT28" s="1368"/>
      <c r="AU28" s="1369"/>
      <c r="AV28" s="1731"/>
      <c r="AW28" s="1732"/>
      <c r="AX28" s="1732"/>
      <c r="AY28" s="1732"/>
      <c r="AZ28" s="1732"/>
      <c r="BA28" s="1732"/>
      <c r="BB28" s="1732"/>
      <c r="BC28" s="1732"/>
      <c r="BD28" s="1732"/>
      <c r="BE28" s="1732"/>
      <c r="BF28" s="1732"/>
      <c r="BG28" s="1732"/>
      <c r="BH28" s="1732"/>
      <c r="BI28" s="1732"/>
      <c r="BJ28" s="1732"/>
      <c r="BK28" s="1733"/>
      <c r="BL28" s="1376"/>
      <c r="BM28" s="1377"/>
      <c r="BN28" s="1377"/>
      <c r="BO28" s="1377"/>
      <c r="BP28" s="1440"/>
      <c r="BQ28" s="1420"/>
      <c r="BR28" s="1368"/>
      <c r="BS28" s="1368"/>
      <c r="BT28" s="1368"/>
      <c r="BU28" s="1369"/>
      <c r="BV28" s="1420"/>
      <c r="BW28" s="1368"/>
      <c r="BX28" s="1368"/>
      <c r="BY28" s="1368"/>
      <c r="BZ28" s="1368"/>
      <c r="CA28" s="1420"/>
      <c r="CB28" s="1368"/>
      <c r="CC28" s="1368"/>
      <c r="CD28" s="1368"/>
      <c r="CE28" s="1369"/>
      <c r="CF28" s="1368"/>
      <c r="CG28" s="1368"/>
      <c r="CH28" s="1368"/>
      <c r="CI28" s="1368"/>
      <c r="CJ28" s="1369"/>
      <c r="CK28" s="1420"/>
      <c r="CL28" s="1368"/>
      <c r="CM28" s="1368"/>
      <c r="CN28" s="1368"/>
      <c r="CO28" s="1369"/>
      <c r="CP28" s="1420"/>
      <c r="CQ28" s="1368"/>
      <c r="CR28" s="1368"/>
      <c r="CS28" s="1368"/>
      <c r="CT28" s="1369"/>
      <c r="CU28" s="1528"/>
      <c r="CV28" s="1519"/>
      <c r="CW28" s="1519"/>
      <c r="CX28" s="1728"/>
      <c r="CY28" s="1519"/>
      <c r="CZ28" s="1519"/>
      <c r="DA28" s="1519"/>
      <c r="DB28" s="1728"/>
      <c r="DC28" s="1377"/>
      <c r="DD28" s="1729"/>
      <c r="DE28" s="1734"/>
    </row>
    <row r="29" spans="1:109" ht="15.75" hidden="1" customHeight="1">
      <c r="A29" s="772" t="s">
        <v>1060</v>
      </c>
      <c r="B29" s="773">
        <v>23</v>
      </c>
      <c r="C29" s="789" t="s">
        <v>2007</v>
      </c>
      <c r="D29" s="773" t="s">
        <v>1929</v>
      </c>
      <c r="E29" s="773" t="s">
        <v>1907</v>
      </c>
      <c r="F29" s="785" t="s">
        <v>2008</v>
      </c>
      <c r="G29" s="790" t="s">
        <v>2009</v>
      </c>
      <c r="H29" s="791" t="s">
        <v>2010</v>
      </c>
      <c r="I29" s="792"/>
      <c r="J29" s="793"/>
      <c r="K29" s="793"/>
      <c r="L29" s="793"/>
      <c r="M29" s="793">
        <v>1</v>
      </c>
      <c r="N29" s="793"/>
      <c r="O29" s="793"/>
      <c r="P29" s="794"/>
      <c r="Q29" s="795">
        <f t="shared" si="0"/>
        <v>1</v>
      </c>
      <c r="R29" s="789" t="s">
        <v>1007</v>
      </c>
      <c r="S29" s="773"/>
      <c r="T29" s="796"/>
      <c r="U29" s="773" t="s">
        <v>1910</v>
      </c>
      <c r="V29" s="773" t="s">
        <v>1072</v>
      </c>
      <c r="W29" s="773" t="s">
        <v>2011</v>
      </c>
      <c r="X29" s="1274">
        <v>0</v>
      </c>
      <c r="Y29" s="798"/>
      <c r="Z29" s="790"/>
      <c r="AA29" s="785"/>
      <c r="AB29" s="785"/>
      <c r="AC29" s="785"/>
      <c r="AD29" s="785"/>
      <c r="AE29" s="785"/>
      <c r="AF29" s="799"/>
      <c r="AG29" s="800"/>
      <c r="AH29" s="824"/>
      <c r="AI29" s="824"/>
      <c r="AJ29" s="824"/>
      <c r="AK29" s="824"/>
      <c r="AL29" s="824"/>
      <c r="AM29" s="824"/>
      <c r="AN29" s="824"/>
      <c r="AO29" s="824"/>
      <c r="AP29" s="824"/>
      <c r="AQ29" s="823" t="s">
        <v>2012</v>
      </c>
      <c r="AR29" s="824" t="s">
        <v>2012</v>
      </c>
      <c r="AS29" s="824" t="s">
        <v>2012</v>
      </c>
      <c r="AT29" s="824" t="s">
        <v>2012</v>
      </c>
      <c r="AU29" s="825" t="s">
        <v>2012</v>
      </c>
      <c r="AV29" s="808"/>
      <c r="AW29" s="800"/>
      <c r="AX29" s="800"/>
      <c r="AY29" s="800"/>
      <c r="AZ29" s="824"/>
      <c r="BA29" s="800"/>
      <c r="BB29" s="800"/>
      <c r="BC29" s="800"/>
      <c r="BD29" s="800"/>
      <c r="BE29" s="824"/>
      <c r="BF29" s="800"/>
      <c r="BG29" s="800"/>
      <c r="BH29" s="800"/>
      <c r="BI29" s="800"/>
      <c r="BJ29" s="800"/>
      <c r="BK29" s="805"/>
      <c r="BL29" s="789"/>
      <c r="BM29" s="785"/>
      <c r="BN29" s="785"/>
      <c r="BO29" s="785"/>
      <c r="BP29" s="796"/>
      <c r="BQ29" s="808" t="s">
        <v>1942</v>
      </c>
      <c r="BR29" s="800" t="s">
        <v>1942</v>
      </c>
      <c r="BS29" s="800" t="s">
        <v>1942</v>
      </c>
      <c r="BT29" s="800" t="s">
        <v>1942</v>
      </c>
      <c r="BU29" s="805" t="s">
        <v>1942</v>
      </c>
      <c r="BV29" s="808" t="s">
        <v>1942</v>
      </c>
      <c r="BW29" s="800" t="s">
        <v>1942</v>
      </c>
      <c r="BX29" s="800" t="s">
        <v>1942</v>
      </c>
      <c r="BY29" s="800" t="s">
        <v>1942</v>
      </c>
      <c r="BZ29" s="800" t="s">
        <v>1942</v>
      </c>
      <c r="CA29" s="808" t="s">
        <v>1942</v>
      </c>
      <c r="CB29" s="800" t="s">
        <v>1942</v>
      </c>
      <c r="CC29" s="800" t="s">
        <v>1942</v>
      </c>
      <c r="CD29" s="800" t="s">
        <v>1942</v>
      </c>
      <c r="CE29" s="805" t="s">
        <v>1942</v>
      </c>
      <c r="CF29" s="800" t="s">
        <v>1942</v>
      </c>
      <c r="CG29" s="800" t="s">
        <v>1942</v>
      </c>
      <c r="CH29" s="800" t="s">
        <v>1942</v>
      </c>
      <c r="CI29" s="800" t="s">
        <v>1942</v>
      </c>
      <c r="CJ29" s="800" t="s">
        <v>1942</v>
      </c>
      <c r="CK29" s="808" t="s">
        <v>1942</v>
      </c>
      <c r="CL29" s="800" t="s">
        <v>1942</v>
      </c>
      <c r="CM29" s="800" t="s">
        <v>1942</v>
      </c>
      <c r="CN29" s="800" t="s">
        <v>1942</v>
      </c>
      <c r="CO29" s="805" t="s">
        <v>1942</v>
      </c>
      <c r="CP29" s="808" t="s">
        <v>1942</v>
      </c>
      <c r="CQ29" s="800" t="s">
        <v>1942</v>
      </c>
      <c r="CR29" s="800" t="s">
        <v>1942</v>
      </c>
      <c r="CS29" s="800" t="s">
        <v>1942</v>
      </c>
      <c r="CT29" s="805" t="s">
        <v>1942</v>
      </c>
      <c r="CU29" s="1284" t="s">
        <v>1942</v>
      </c>
      <c r="CV29" s="1283" t="s">
        <v>1942</v>
      </c>
      <c r="CW29" s="1283" t="s">
        <v>1942</v>
      </c>
      <c r="CX29" s="1285" t="s">
        <v>1942</v>
      </c>
      <c r="CY29" s="1283" t="s">
        <v>1942</v>
      </c>
      <c r="CZ29" s="1283" t="s">
        <v>1942</v>
      </c>
      <c r="DA29" s="1283" t="s">
        <v>1942</v>
      </c>
      <c r="DB29" s="1285" t="s">
        <v>1942</v>
      </c>
      <c r="DC29" s="785"/>
      <c r="DD29" s="813">
        <v>1</v>
      </c>
      <c r="DE29" s="814"/>
    </row>
    <row r="30" spans="1:109" ht="15.75" hidden="1" customHeight="1">
      <c r="A30" s="772" t="s">
        <v>1060</v>
      </c>
      <c r="B30" s="773">
        <v>24</v>
      </c>
      <c r="C30" s="789" t="s">
        <v>2013</v>
      </c>
      <c r="D30" s="773" t="s">
        <v>1888</v>
      </c>
      <c r="E30" s="773" t="s">
        <v>1907</v>
      </c>
      <c r="F30" s="785" t="s">
        <v>2014</v>
      </c>
      <c r="G30" s="790" t="s">
        <v>2015</v>
      </c>
      <c r="H30" s="791" t="s">
        <v>2016</v>
      </c>
      <c r="I30" s="792"/>
      <c r="J30" s="793">
        <v>0.5</v>
      </c>
      <c r="K30" s="793"/>
      <c r="L30" s="793"/>
      <c r="M30" s="793">
        <v>0.5</v>
      </c>
      <c r="N30" s="793"/>
      <c r="O30" s="793"/>
      <c r="P30" s="794"/>
      <c r="Q30" s="795">
        <f t="shared" si="0"/>
        <v>1</v>
      </c>
      <c r="R30" s="789" t="s">
        <v>1007</v>
      </c>
      <c r="S30" s="773"/>
      <c r="T30" s="796"/>
      <c r="U30" s="773" t="s">
        <v>1910</v>
      </c>
      <c r="V30" s="773" t="s">
        <v>1033</v>
      </c>
      <c r="W30" s="773" t="s">
        <v>2017</v>
      </c>
      <c r="X30" s="829">
        <v>0</v>
      </c>
      <c r="Y30" s="819" t="s">
        <v>1020</v>
      </c>
      <c r="Z30" s="790"/>
      <c r="AA30" s="785"/>
      <c r="AB30" s="785"/>
      <c r="AC30" s="785"/>
      <c r="AD30" s="785"/>
      <c r="AE30" s="785"/>
      <c r="AF30" s="799"/>
      <c r="AG30" s="800"/>
      <c r="AH30" s="800"/>
      <c r="AI30" s="800"/>
      <c r="AJ30" s="800"/>
      <c r="AK30" s="800"/>
      <c r="AL30" s="800"/>
      <c r="AM30" s="800"/>
      <c r="AN30" s="800"/>
      <c r="AO30" s="800"/>
      <c r="AP30" s="800"/>
      <c r="AQ30" s="808">
        <v>1600</v>
      </c>
      <c r="AR30" s="800">
        <v>1500</v>
      </c>
      <c r="AS30" s="800">
        <v>1400</v>
      </c>
      <c r="AT30" s="800">
        <v>1300</v>
      </c>
      <c r="AU30" s="805">
        <v>1200</v>
      </c>
      <c r="AV30" s="808"/>
      <c r="AW30" s="800"/>
      <c r="AX30" s="800"/>
      <c r="AY30" s="800"/>
      <c r="AZ30" s="800"/>
      <c r="BA30" s="800"/>
      <c r="BB30" s="800"/>
      <c r="BC30" s="800"/>
      <c r="BD30" s="800"/>
      <c r="BE30" s="800"/>
      <c r="BF30" s="800"/>
      <c r="BG30" s="800"/>
      <c r="BH30" s="800"/>
      <c r="BI30" s="800"/>
      <c r="BJ30" s="800"/>
      <c r="BK30" s="805"/>
      <c r="BL30" s="789"/>
      <c r="BM30" s="785"/>
      <c r="BN30" s="785"/>
      <c r="BO30" s="785"/>
      <c r="BP30" s="796"/>
      <c r="BQ30" s="808" t="s">
        <v>1942</v>
      </c>
      <c r="BR30" s="800" t="s">
        <v>1942</v>
      </c>
      <c r="BS30" s="800" t="s">
        <v>1942</v>
      </c>
      <c r="BT30" s="800" t="s">
        <v>1942</v>
      </c>
      <c r="BU30" s="805" t="s">
        <v>1942</v>
      </c>
      <c r="BV30" s="808" t="s">
        <v>1942</v>
      </c>
      <c r="BW30" s="800" t="s">
        <v>1942</v>
      </c>
      <c r="BX30" s="800" t="s">
        <v>1942</v>
      </c>
      <c r="BY30" s="800" t="s">
        <v>1942</v>
      </c>
      <c r="BZ30" s="800" t="s">
        <v>1942</v>
      </c>
      <c r="CA30" s="808" t="s">
        <v>1942</v>
      </c>
      <c r="CB30" s="800" t="s">
        <v>1942</v>
      </c>
      <c r="CC30" s="800" t="s">
        <v>1942</v>
      </c>
      <c r="CD30" s="800" t="s">
        <v>1942</v>
      </c>
      <c r="CE30" s="805" t="s">
        <v>1942</v>
      </c>
      <c r="CF30" s="800" t="s">
        <v>1942</v>
      </c>
      <c r="CG30" s="800" t="s">
        <v>1942</v>
      </c>
      <c r="CH30" s="800" t="s">
        <v>1942</v>
      </c>
      <c r="CI30" s="800" t="s">
        <v>1942</v>
      </c>
      <c r="CJ30" s="805" t="s">
        <v>1942</v>
      </c>
      <c r="CK30" s="808" t="s">
        <v>1942</v>
      </c>
      <c r="CL30" s="800" t="s">
        <v>1942</v>
      </c>
      <c r="CM30" s="800" t="s">
        <v>1942</v>
      </c>
      <c r="CN30" s="800" t="s">
        <v>1942</v>
      </c>
      <c r="CO30" s="805" t="s">
        <v>1942</v>
      </c>
      <c r="CP30" s="808" t="s">
        <v>1942</v>
      </c>
      <c r="CQ30" s="800" t="s">
        <v>1942</v>
      </c>
      <c r="CR30" s="800" t="s">
        <v>1942</v>
      </c>
      <c r="CS30" s="800" t="s">
        <v>1942</v>
      </c>
      <c r="CT30" s="805" t="s">
        <v>1942</v>
      </c>
      <c r="CU30" s="1284" t="s">
        <v>1942</v>
      </c>
      <c r="CV30" s="1283" t="s">
        <v>1942</v>
      </c>
      <c r="CW30" s="1283" t="s">
        <v>1942</v>
      </c>
      <c r="CX30" s="1285" t="s">
        <v>1942</v>
      </c>
      <c r="CY30" s="1283" t="s">
        <v>1942</v>
      </c>
      <c r="CZ30" s="1283" t="s">
        <v>1942</v>
      </c>
      <c r="DA30" s="1283" t="s">
        <v>1942</v>
      </c>
      <c r="DB30" s="1285" t="s">
        <v>1942</v>
      </c>
      <c r="DC30" s="785"/>
      <c r="DD30" s="813">
        <v>1</v>
      </c>
      <c r="DE30" s="814"/>
    </row>
    <row r="31" spans="1:109" ht="15.75" hidden="1" customHeight="1">
      <c r="A31" s="772" t="s">
        <v>1060</v>
      </c>
      <c r="B31" s="773">
        <v>25</v>
      </c>
      <c r="C31" s="789" t="s">
        <v>2018</v>
      </c>
      <c r="D31" s="773" t="s">
        <v>1929</v>
      </c>
      <c r="E31" s="773" t="s">
        <v>1907</v>
      </c>
      <c r="F31" s="785" t="s">
        <v>2019</v>
      </c>
      <c r="G31" s="790" t="s">
        <v>2020</v>
      </c>
      <c r="H31" s="791" t="s">
        <v>2021</v>
      </c>
      <c r="I31" s="792"/>
      <c r="J31" s="793"/>
      <c r="K31" s="793"/>
      <c r="L31" s="793"/>
      <c r="M31" s="793">
        <v>1</v>
      </c>
      <c r="N31" s="793"/>
      <c r="O31" s="793"/>
      <c r="P31" s="794"/>
      <c r="Q31" s="795">
        <f t="shared" si="0"/>
        <v>1</v>
      </c>
      <c r="R31" s="789" t="s">
        <v>1007</v>
      </c>
      <c r="S31" s="773"/>
      <c r="T31" s="796"/>
      <c r="U31" s="773" t="s">
        <v>1947</v>
      </c>
      <c r="V31" s="773" t="s">
        <v>278</v>
      </c>
      <c r="W31" s="773" t="s">
        <v>1948</v>
      </c>
      <c r="X31" s="829">
        <v>0</v>
      </c>
      <c r="Y31" s="819" t="s">
        <v>1010</v>
      </c>
      <c r="Z31" s="790"/>
      <c r="AA31" s="785"/>
      <c r="AB31" s="785"/>
      <c r="AC31" s="785"/>
      <c r="AD31" s="785"/>
      <c r="AE31" s="785"/>
      <c r="AF31" s="799"/>
      <c r="AG31" s="800"/>
      <c r="AH31" s="800"/>
      <c r="AI31" s="800"/>
      <c r="AJ31" s="800"/>
      <c r="AK31" s="800"/>
      <c r="AL31" s="800"/>
      <c r="AM31" s="800"/>
      <c r="AN31" s="800"/>
      <c r="AO31" s="800"/>
      <c r="AP31" s="800"/>
      <c r="AQ31" s="808">
        <v>90</v>
      </c>
      <c r="AR31" s="800">
        <v>90</v>
      </c>
      <c r="AS31" s="800">
        <v>90</v>
      </c>
      <c r="AT31" s="800">
        <v>90</v>
      </c>
      <c r="AU31" s="805">
        <v>90</v>
      </c>
      <c r="AV31" s="808"/>
      <c r="AW31" s="800"/>
      <c r="AX31" s="800"/>
      <c r="AY31" s="800"/>
      <c r="AZ31" s="800"/>
      <c r="BA31" s="800"/>
      <c r="BB31" s="800"/>
      <c r="BC31" s="800"/>
      <c r="BD31" s="800"/>
      <c r="BE31" s="800"/>
      <c r="BF31" s="800"/>
      <c r="BG31" s="800"/>
      <c r="BH31" s="800"/>
      <c r="BI31" s="800"/>
      <c r="BJ31" s="800"/>
      <c r="BK31" s="805"/>
      <c r="BL31" s="789"/>
      <c r="BM31" s="785"/>
      <c r="BN31" s="785"/>
      <c r="BO31" s="785"/>
      <c r="BP31" s="796"/>
      <c r="BQ31" s="808" t="s">
        <v>1942</v>
      </c>
      <c r="BR31" s="800" t="s">
        <v>1942</v>
      </c>
      <c r="BS31" s="800" t="s">
        <v>1942</v>
      </c>
      <c r="BT31" s="800" t="s">
        <v>1942</v>
      </c>
      <c r="BU31" s="805" t="s">
        <v>1942</v>
      </c>
      <c r="BV31" s="808" t="s">
        <v>1942</v>
      </c>
      <c r="BW31" s="800" t="s">
        <v>1942</v>
      </c>
      <c r="BX31" s="800" t="s">
        <v>1942</v>
      </c>
      <c r="BY31" s="800" t="s">
        <v>1942</v>
      </c>
      <c r="BZ31" s="800" t="s">
        <v>1942</v>
      </c>
      <c r="CA31" s="808" t="s">
        <v>1942</v>
      </c>
      <c r="CB31" s="800" t="s">
        <v>1942</v>
      </c>
      <c r="CC31" s="800"/>
      <c r="CD31" s="800" t="s">
        <v>1942</v>
      </c>
      <c r="CE31" s="805" t="s">
        <v>1942</v>
      </c>
      <c r="CF31" s="800" t="s">
        <v>1942</v>
      </c>
      <c r="CG31" s="800" t="s">
        <v>1942</v>
      </c>
      <c r="CH31" s="800" t="s">
        <v>1942</v>
      </c>
      <c r="CI31" s="800" t="s">
        <v>1942</v>
      </c>
      <c r="CJ31" s="805" t="s">
        <v>1942</v>
      </c>
      <c r="CK31" s="808" t="s">
        <v>1942</v>
      </c>
      <c r="CL31" s="800" t="s">
        <v>1942</v>
      </c>
      <c r="CM31" s="800" t="s">
        <v>1942</v>
      </c>
      <c r="CN31" s="800" t="s">
        <v>1942</v>
      </c>
      <c r="CO31" s="805" t="s">
        <v>1942</v>
      </c>
      <c r="CP31" s="808" t="s">
        <v>1942</v>
      </c>
      <c r="CQ31" s="800" t="s">
        <v>1942</v>
      </c>
      <c r="CR31" s="800" t="s">
        <v>1942</v>
      </c>
      <c r="CS31" s="800" t="s">
        <v>1942</v>
      </c>
      <c r="CT31" s="805" t="s">
        <v>1942</v>
      </c>
      <c r="CU31" s="1284" t="s">
        <v>1942</v>
      </c>
      <c r="CV31" s="1283" t="s">
        <v>1942</v>
      </c>
      <c r="CW31" s="1283" t="s">
        <v>1942</v>
      </c>
      <c r="CX31" s="1285" t="s">
        <v>1942</v>
      </c>
      <c r="CY31" s="1283" t="s">
        <v>1942</v>
      </c>
      <c r="CZ31" s="1283" t="s">
        <v>1942</v>
      </c>
      <c r="DA31" s="1283" t="s">
        <v>1942</v>
      </c>
      <c r="DB31" s="1285" t="s">
        <v>1942</v>
      </c>
      <c r="DC31" s="785"/>
      <c r="DD31" s="813">
        <v>1</v>
      </c>
      <c r="DE31" s="814"/>
    </row>
    <row r="32" spans="1:109" ht="15.75" hidden="1" customHeight="1">
      <c r="A32" s="772" t="s">
        <v>1060</v>
      </c>
      <c r="B32" s="773">
        <v>26</v>
      </c>
      <c r="C32" s="789" t="s">
        <v>2022</v>
      </c>
      <c r="D32" s="773" t="s">
        <v>1929</v>
      </c>
      <c r="E32" s="773" t="s">
        <v>1907</v>
      </c>
      <c r="F32" s="785" t="s">
        <v>2023</v>
      </c>
      <c r="G32" s="790" t="s">
        <v>2024</v>
      </c>
      <c r="H32" s="791" t="s">
        <v>2025</v>
      </c>
      <c r="I32" s="792"/>
      <c r="J32" s="793"/>
      <c r="K32" s="793"/>
      <c r="L32" s="793"/>
      <c r="M32" s="793">
        <v>1</v>
      </c>
      <c r="N32" s="793"/>
      <c r="O32" s="793"/>
      <c r="P32" s="794"/>
      <c r="Q32" s="795">
        <f t="shared" si="0"/>
        <v>1</v>
      </c>
      <c r="R32" s="789" t="s">
        <v>1007</v>
      </c>
      <c r="S32" s="773"/>
      <c r="T32" s="796"/>
      <c r="U32" s="773" t="s">
        <v>1947</v>
      </c>
      <c r="V32" s="773" t="s">
        <v>278</v>
      </c>
      <c r="W32" s="773" t="s">
        <v>1948</v>
      </c>
      <c r="X32" s="829">
        <v>0</v>
      </c>
      <c r="Y32" s="821" t="s">
        <v>1010</v>
      </c>
      <c r="Z32" s="790"/>
      <c r="AA32" s="785"/>
      <c r="AB32" s="785"/>
      <c r="AC32" s="785"/>
      <c r="AD32" s="785"/>
      <c r="AE32" s="785"/>
      <c r="AF32" s="799"/>
      <c r="AG32" s="800"/>
      <c r="AH32" s="800"/>
      <c r="AI32" s="800"/>
      <c r="AJ32" s="800"/>
      <c r="AK32" s="800"/>
      <c r="AL32" s="800"/>
      <c r="AM32" s="800"/>
      <c r="AN32" s="800"/>
      <c r="AO32" s="800"/>
      <c r="AP32" s="800"/>
      <c r="AQ32" s="808">
        <v>90</v>
      </c>
      <c r="AR32" s="800">
        <v>90</v>
      </c>
      <c r="AS32" s="800">
        <v>90</v>
      </c>
      <c r="AT32" s="800">
        <v>90</v>
      </c>
      <c r="AU32" s="805">
        <v>90</v>
      </c>
      <c r="AV32" s="808"/>
      <c r="AW32" s="800"/>
      <c r="AX32" s="800"/>
      <c r="AY32" s="800"/>
      <c r="AZ32" s="800"/>
      <c r="BA32" s="800"/>
      <c r="BB32" s="800"/>
      <c r="BC32" s="800"/>
      <c r="BD32" s="800"/>
      <c r="BE32" s="800"/>
      <c r="BF32" s="800"/>
      <c r="BG32" s="800"/>
      <c r="BH32" s="800"/>
      <c r="BI32" s="800"/>
      <c r="BJ32" s="800"/>
      <c r="BK32" s="805"/>
      <c r="BL32" s="789"/>
      <c r="BM32" s="785"/>
      <c r="BN32" s="785"/>
      <c r="BO32" s="785"/>
      <c r="BP32" s="796"/>
      <c r="BQ32" s="808" t="s">
        <v>1942</v>
      </c>
      <c r="BR32" s="800" t="s">
        <v>1942</v>
      </c>
      <c r="BS32" s="800" t="s">
        <v>1942</v>
      </c>
      <c r="BT32" s="800" t="s">
        <v>1942</v>
      </c>
      <c r="BU32" s="805" t="s">
        <v>1942</v>
      </c>
      <c r="BV32" s="808" t="s">
        <v>1942</v>
      </c>
      <c r="BW32" s="800" t="s">
        <v>1942</v>
      </c>
      <c r="BX32" s="800" t="s">
        <v>1942</v>
      </c>
      <c r="BY32" s="800" t="s">
        <v>1942</v>
      </c>
      <c r="BZ32" s="800" t="s">
        <v>1942</v>
      </c>
      <c r="CA32" s="808" t="s">
        <v>1942</v>
      </c>
      <c r="CB32" s="800" t="s">
        <v>1942</v>
      </c>
      <c r="CC32" s="800" t="s">
        <v>1942</v>
      </c>
      <c r="CD32" s="800" t="s">
        <v>1942</v>
      </c>
      <c r="CE32" s="805" t="s">
        <v>1942</v>
      </c>
      <c r="CF32" s="800" t="s">
        <v>1942</v>
      </c>
      <c r="CG32" s="800" t="s">
        <v>1942</v>
      </c>
      <c r="CH32" s="800" t="s">
        <v>1942</v>
      </c>
      <c r="CI32" s="800" t="s">
        <v>1942</v>
      </c>
      <c r="CJ32" s="805" t="s">
        <v>1942</v>
      </c>
      <c r="CK32" s="808" t="s">
        <v>1942</v>
      </c>
      <c r="CL32" s="800" t="s">
        <v>1942</v>
      </c>
      <c r="CM32" s="800" t="s">
        <v>1942</v>
      </c>
      <c r="CN32" s="800" t="s">
        <v>1942</v>
      </c>
      <c r="CO32" s="805" t="s">
        <v>1942</v>
      </c>
      <c r="CP32" s="808" t="s">
        <v>1942</v>
      </c>
      <c r="CQ32" s="800" t="s">
        <v>1942</v>
      </c>
      <c r="CR32" s="800" t="s">
        <v>1942</v>
      </c>
      <c r="CS32" s="800" t="s">
        <v>1942</v>
      </c>
      <c r="CT32" s="805" t="s">
        <v>1942</v>
      </c>
      <c r="CU32" s="1284" t="s">
        <v>1942</v>
      </c>
      <c r="CV32" s="1283" t="s">
        <v>1942</v>
      </c>
      <c r="CW32" s="1283" t="s">
        <v>1942</v>
      </c>
      <c r="CX32" s="1285" t="s">
        <v>1942</v>
      </c>
      <c r="CY32" s="1283" t="s">
        <v>1942</v>
      </c>
      <c r="CZ32" s="1283" t="s">
        <v>1942</v>
      </c>
      <c r="DA32" s="1283" t="s">
        <v>1942</v>
      </c>
      <c r="DB32" s="1285" t="s">
        <v>1942</v>
      </c>
      <c r="DC32" s="785"/>
      <c r="DD32" s="813">
        <v>1</v>
      </c>
      <c r="DE32" s="814"/>
    </row>
    <row r="33" spans="1:109" ht="15.75" hidden="1" customHeight="1">
      <c r="A33" s="772" t="s">
        <v>1060</v>
      </c>
      <c r="B33" s="773">
        <v>27</v>
      </c>
      <c r="C33" s="789" t="s">
        <v>2026</v>
      </c>
      <c r="D33" s="773" t="s">
        <v>1929</v>
      </c>
      <c r="E33" s="773" t="s">
        <v>1889</v>
      </c>
      <c r="F33" s="785" t="s">
        <v>2027</v>
      </c>
      <c r="G33" s="790" t="s">
        <v>2028</v>
      </c>
      <c r="H33" s="791" t="s">
        <v>2028</v>
      </c>
      <c r="I33" s="792"/>
      <c r="J33" s="793"/>
      <c r="K33" s="793"/>
      <c r="L33" s="793"/>
      <c r="M33" s="793">
        <v>1</v>
      </c>
      <c r="N33" s="793"/>
      <c r="O33" s="793"/>
      <c r="P33" s="794"/>
      <c r="Q33" s="795">
        <f t="shared" si="0"/>
        <v>1</v>
      </c>
      <c r="R33" s="789" t="s">
        <v>1007</v>
      </c>
      <c r="S33" s="773"/>
      <c r="T33" s="796"/>
      <c r="U33" s="773" t="s">
        <v>2029</v>
      </c>
      <c r="V33" s="773" t="s">
        <v>1033</v>
      </c>
      <c r="W33" s="773" t="s">
        <v>2030</v>
      </c>
      <c r="X33" s="829">
        <v>2</v>
      </c>
      <c r="Y33" s="819" t="s">
        <v>1010</v>
      </c>
      <c r="Z33" s="790"/>
      <c r="AA33" s="785"/>
      <c r="AB33" s="785"/>
      <c r="AC33" s="785"/>
      <c r="AD33" s="785"/>
      <c r="AE33" s="785"/>
      <c r="AF33" s="799"/>
      <c r="AG33" s="800"/>
      <c r="AH33" s="800"/>
      <c r="AI33" s="800"/>
      <c r="AJ33" s="800"/>
      <c r="AK33" s="800"/>
      <c r="AL33" s="800"/>
      <c r="AM33" s="800"/>
      <c r="AN33" s="800"/>
      <c r="AO33" s="800"/>
      <c r="AP33" s="800"/>
      <c r="AQ33" s="808">
        <v>7.6</v>
      </c>
      <c r="AR33" s="800">
        <v>7.65</v>
      </c>
      <c r="AS33" s="800">
        <v>7.7</v>
      </c>
      <c r="AT33" s="800">
        <v>7.75</v>
      </c>
      <c r="AU33" s="805">
        <v>7.8</v>
      </c>
      <c r="AV33" s="808"/>
      <c r="AW33" s="800"/>
      <c r="AX33" s="800"/>
      <c r="AY33" s="800"/>
      <c r="AZ33" s="800"/>
      <c r="BA33" s="800"/>
      <c r="BB33" s="800"/>
      <c r="BC33" s="800"/>
      <c r="BD33" s="800"/>
      <c r="BE33" s="800"/>
      <c r="BF33" s="800"/>
      <c r="BG33" s="800"/>
      <c r="BH33" s="800"/>
      <c r="BI33" s="800"/>
      <c r="BJ33" s="800"/>
      <c r="BK33" s="805"/>
      <c r="BL33" s="789"/>
      <c r="BM33" s="785"/>
      <c r="BN33" s="785"/>
      <c r="BO33" s="785"/>
      <c r="BP33" s="796"/>
      <c r="BQ33" s="808" t="s">
        <v>1942</v>
      </c>
      <c r="BR33" s="800" t="s">
        <v>1942</v>
      </c>
      <c r="BS33" s="800" t="s">
        <v>1942</v>
      </c>
      <c r="BT33" s="800" t="s">
        <v>1942</v>
      </c>
      <c r="BU33" s="805" t="s">
        <v>1942</v>
      </c>
      <c r="BV33" s="808" t="s">
        <v>1942</v>
      </c>
      <c r="BW33" s="800" t="s">
        <v>1942</v>
      </c>
      <c r="BX33" s="800" t="s">
        <v>1942</v>
      </c>
      <c r="BY33" s="800" t="s">
        <v>1942</v>
      </c>
      <c r="BZ33" s="800" t="s">
        <v>1942</v>
      </c>
      <c r="CA33" s="808" t="s">
        <v>1942</v>
      </c>
      <c r="CB33" s="800" t="s">
        <v>1942</v>
      </c>
      <c r="CC33" s="800" t="s">
        <v>1942</v>
      </c>
      <c r="CD33" s="800" t="s">
        <v>1942</v>
      </c>
      <c r="CE33" s="805" t="s">
        <v>1942</v>
      </c>
      <c r="CF33" s="800" t="s">
        <v>1942</v>
      </c>
      <c r="CG33" s="800" t="s">
        <v>1942</v>
      </c>
      <c r="CH33" s="800" t="s">
        <v>1942</v>
      </c>
      <c r="CI33" s="800" t="s">
        <v>1942</v>
      </c>
      <c r="CJ33" s="805" t="s">
        <v>1942</v>
      </c>
      <c r="CK33" s="808" t="s">
        <v>1942</v>
      </c>
      <c r="CL33" s="800" t="s">
        <v>1942</v>
      </c>
      <c r="CM33" s="800" t="s">
        <v>1942</v>
      </c>
      <c r="CN33" s="800" t="s">
        <v>1942</v>
      </c>
      <c r="CO33" s="805" t="s">
        <v>1942</v>
      </c>
      <c r="CP33" s="808" t="s">
        <v>1942</v>
      </c>
      <c r="CQ33" s="800" t="s">
        <v>1942</v>
      </c>
      <c r="CR33" s="800" t="s">
        <v>1942</v>
      </c>
      <c r="CS33" s="800" t="s">
        <v>1942</v>
      </c>
      <c r="CT33" s="805" t="s">
        <v>1942</v>
      </c>
      <c r="CU33" s="1284" t="s">
        <v>1942</v>
      </c>
      <c r="CV33" s="1283" t="s">
        <v>1942</v>
      </c>
      <c r="CW33" s="1283" t="s">
        <v>1942</v>
      </c>
      <c r="CX33" s="1285" t="s">
        <v>1942</v>
      </c>
      <c r="CY33" s="1283" t="s">
        <v>1942</v>
      </c>
      <c r="CZ33" s="1283" t="s">
        <v>1942</v>
      </c>
      <c r="DA33" s="1283" t="s">
        <v>1942</v>
      </c>
      <c r="DB33" s="1285" t="s">
        <v>1942</v>
      </c>
      <c r="DC33" s="785"/>
      <c r="DD33" s="813">
        <v>1</v>
      </c>
      <c r="DE33" s="814"/>
    </row>
    <row r="34" spans="1:109" ht="15.75" hidden="1" customHeight="1">
      <c r="A34" s="772" t="s">
        <v>1060</v>
      </c>
      <c r="B34" s="773">
        <v>28</v>
      </c>
      <c r="C34" s="789" t="s">
        <v>2031</v>
      </c>
      <c r="D34" s="773"/>
      <c r="E34" s="773"/>
      <c r="F34" s="785" t="s">
        <v>2032</v>
      </c>
      <c r="G34" s="790" t="s">
        <v>2033</v>
      </c>
      <c r="H34" s="791"/>
      <c r="I34" s="792"/>
      <c r="J34" s="793"/>
      <c r="K34" s="793"/>
      <c r="L34" s="793"/>
      <c r="M34" s="793"/>
      <c r="N34" s="793"/>
      <c r="O34" s="793"/>
      <c r="P34" s="794"/>
      <c r="Q34" s="795">
        <f t="shared" si="0"/>
        <v>0</v>
      </c>
      <c r="R34" s="789" t="s">
        <v>1007</v>
      </c>
      <c r="S34" s="773"/>
      <c r="T34" s="796"/>
      <c r="U34" s="773"/>
      <c r="V34" s="1247" t="s">
        <v>1072</v>
      </c>
      <c r="W34" s="773" t="s">
        <v>2034</v>
      </c>
      <c r="X34" s="1274">
        <v>0</v>
      </c>
      <c r="Y34" s="819"/>
      <c r="Z34" s="790"/>
      <c r="AA34" s="785"/>
      <c r="AB34" s="785"/>
      <c r="AC34" s="785"/>
      <c r="AD34" s="785"/>
      <c r="AE34" s="785"/>
      <c r="AF34" s="799"/>
      <c r="AG34" s="800"/>
      <c r="AH34" s="800"/>
      <c r="AI34" s="800"/>
      <c r="AJ34" s="800"/>
      <c r="AK34" s="800"/>
      <c r="AL34" s="800"/>
      <c r="AM34" s="800"/>
      <c r="AN34" s="800"/>
      <c r="AO34" s="800"/>
      <c r="AP34" s="800"/>
      <c r="AQ34" s="808" t="s">
        <v>591</v>
      </c>
      <c r="AR34" s="800" t="s">
        <v>591</v>
      </c>
      <c r="AS34" s="800" t="s">
        <v>591</v>
      </c>
      <c r="AT34" s="800" t="s">
        <v>591</v>
      </c>
      <c r="AU34" s="805" t="s">
        <v>591</v>
      </c>
      <c r="AV34" s="808"/>
      <c r="AW34" s="800"/>
      <c r="AX34" s="800"/>
      <c r="AY34" s="800"/>
      <c r="AZ34" s="800"/>
      <c r="BA34" s="800"/>
      <c r="BB34" s="800"/>
      <c r="BC34" s="800"/>
      <c r="BD34" s="800"/>
      <c r="BE34" s="800"/>
      <c r="BF34" s="800"/>
      <c r="BG34" s="800"/>
      <c r="BH34" s="800"/>
      <c r="BI34" s="800"/>
      <c r="BJ34" s="800"/>
      <c r="BK34" s="805"/>
      <c r="BL34" s="789"/>
      <c r="BM34" s="785"/>
      <c r="BN34" s="785"/>
      <c r="BO34" s="785"/>
      <c r="BP34" s="796"/>
      <c r="BQ34" s="808" t="s">
        <v>1942</v>
      </c>
      <c r="BR34" s="800" t="s">
        <v>1942</v>
      </c>
      <c r="BS34" s="800" t="s">
        <v>1942</v>
      </c>
      <c r="BT34" s="800" t="s">
        <v>1942</v>
      </c>
      <c r="BU34" s="805" t="s">
        <v>1942</v>
      </c>
      <c r="BV34" s="808" t="s">
        <v>1942</v>
      </c>
      <c r="BW34" s="800" t="s">
        <v>1942</v>
      </c>
      <c r="BX34" s="800" t="s">
        <v>1942</v>
      </c>
      <c r="BY34" s="800" t="s">
        <v>1942</v>
      </c>
      <c r="BZ34" s="800" t="s">
        <v>1942</v>
      </c>
      <c r="CA34" s="808" t="s">
        <v>1942</v>
      </c>
      <c r="CB34" s="800" t="s">
        <v>1942</v>
      </c>
      <c r="CC34" s="800" t="s">
        <v>1942</v>
      </c>
      <c r="CD34" s="800" t="s">
        <v>1942</v>
      </c>
      <c r="CE34" s="805" t="s">
        <v>1942</v>
      </c>
      <c r="CF34" s="800" t="s">
        <v>1942</v>
      </c>
      <c r="CG34" s="800" t="s">
        <v>1942</v>
      </c>
      <c r="CH34" s="800" t="s">
        <v>1942</v>
      </c>
      <c r="CI34" s="800" t="s">
        <v>1942</v>
      </c>
      <c r="CJ34" s="805" t="s">
        <v>1942</v>
      </c>
      <c r="CK34" s="808" t="s">
        <v>1942</v>
      </c>
      <c r="CL34" s="800" t="s">
        <v>1942</v>
      </c>
      <c r="CM34" s="800" t="s">
        <v>1942</v>
      </c>
      <c r="CN34" s="800" t="s">
        <v>1942</v>
      </c>
      <c r="CO34" s="805" t="s">
        <v>1942</v>
      </c>
      <c r="CP34" s="808" t="s">
        <v>1942</v>
      </c>
      <c r="CQ34" s="800" t="s">
        <v>1942</v>
      </c>
      <c r="CR34" s="800" t="s">
        <v>1942</v>
      </c>
      <c r="CS34" s="800" t="s">
        <v>1942</v>
      </c>
      <c r="CT34" s="805" t="s">
        <v>1942</v>
      </c>
      <c r="CU34" s="1284" t="s">
        <v>1942</v>
      </c>
      <c r="CV34" s="1283" t="s">
        <v>1942</v>
      </c>
      <c r="CW34" s="1283" t="s">
        <v>1942</v>
      </c>
      <c r="CX34" s="1285" t="s">
        <v>1942</v>
      </c>
      <c r="CY34" s="1283" t="s">
        <v>1942</v>
      </c>
      <c r="CZ34" s="1283" t="s">
        <v>1942</v>
      </c>
      <c r="DA34" s="1283" t="s">
        <v>1942</v>
      </c>
      <c r="DB34" s="1285" t="s">
        <v>1942</v>
      </c>
      <c r="DC34" s="785"/>
      <c r="DD34" s="813"/>
      <c r="DE34" s="814"/>
    </row>
    <row r="35" spans="1:109" ht="15.75" hidden="1" customHeight="1">
      <c r="A35" s="772" t="s">
        <v>1015</v>
      </c>
      <c r="B35" s="773">
        <v>29</v>
      </c>
      <c r="C35" s="789" t="s">
        <v>2035</v>
      </c>
      <c r="D35" s="773" t="s">
        <v>2036</v>
      </c>
      <c r="E35" s="773" t="s">
        <v>1907</v>
      </c>
      <c r="F35" s="785">
        <v>1</v>
      </c>
      <c r="G35" s="790" t="s">
        <v>1931</v>
      </c>
      <c r="H35" s="791" t="s">
        <v>2037</v>
      </c>
      <c r="I35" s="792"/>
      <c r="J35" s="793"/>
      <c r="K35" s="793"/>
      <c r="L35" s="793"/>
      <c r="M35" s="793">
        <v>1</v>
      </c>
      <c r="N35" s="793"/>
      <c r="O35" s="793"/>
      <c r="P35" s="794"/>
      <c r="Q35" s="795">
        <f t="shared" si="0"/>
        <v>1</v>
      </c>
      <c r="R35" s="789" t="s">
        <v>1030</v>
      </c>
      <c r="S35" s="773" t="s">
        <v>1008</v>
      </c>
      <c r="T35" s="796" t="s">
        <v>1009</v>
      </c>
      <c r="U35" s="773" t="s">
        <v>1069</v>
      </c>
      <c r="V35" s="773" t="s">
        <v>1081</v>
      </c>
      <c r="W35" s="773" t="s">
        <v>2038</v>
      </c>
      <c r="X35" s="1274">
        <v>2</v>
      </c>
      <c r="Y35" s="822" t="s">
        <v>1010</v>
      </c>
      <c r="Z35" s="790" t="s">
        <v>1931</v>
      </c>
      <c r="AA35" s="785"/>
      <c r="AB35" s="785"/>
      <c r="AC35" s="785"/>
      <c r="AD35" s="785"/>
      <c r="AE35" s="785"/>
      <c r="AF35" s="799"/>
      <c r="AG35" s="800"/>
      <c r="AH35" s="800"/>
      <c r="AI35" s="800"/>
      <c r="AJ35" s="800"/>
      <c r="AK35" s="800"/>
      <c r="AL35" s="800"/>
      <c r="AM35" s="800"/>
      <c r="AN35" s="800"/>
      <c r="AO35" s="800"/>
      <c r="AP35" s="800"/>
      <c r="AQ35" s="1420"/>
      <c r="AR35" s="1368"/>
      <c r="AS35" s="1368"/>
      <c r="AT35" s="1368"/>
      <c r="AU35" s="1369"/>
      <c r="AV35" s="1420"/>
      <c r="AW35" s="1368"/>
      <c r="AX35" s="1368"/>
      <c r="AY35" s="1368"/>
      <c r="AZ35" s="1368"/>
      <c r="BA35" s="1368"/>
      <c r="BB35" s="1368"/>
      <c r="BC35" s="1368"/>
      <c r="BD35" s="1368"/>
      <c r="BE35" s="1368"/>
      <c r="BF35" s="1368"/>
      <c r="BG35" s="1368"/>
      <c r="BH35" s="1368"/>
      <c r="BI35" s="1368"/>
      <c r="BJ35" s="1368"/>
      <c r="BK35" s="1369"/>
      <c r="BL35" s="1376"/>
      <c r="BM35" s="1377"/>
      <c r="BN35" s="1377"/>
      <c r="BO35" s="1377"/>
      <c r="BP35" s="1440"/>
      <c r="BQ35" s="1420"/>
      <c r="BR35" s="1368"/>
      <c r="BS35" s="1368"/>
      <c r="BT35" s="1368"/>
      <c r="BU35" s="1369"/>
      <c r="BV35" s="1420"/>
      <c r="BW35" s="1368"/>
      <c r="BX35" s="1368"/>
      <c r="BY35" s="1368"/>
      <c r="BZ35" s="1368"/>
      <c r="CA35" s="1420"/>
      <c r="CB35" s="1368"/>
      <c r="CC35" s="1368"/>
      <c r="CD35" s="1368"/>
      <c r="CE35" s="1369"/>
      <c r="CF35" s="1368"/>
      <c r="CG35" s="1368"/>
      <c r="CH35" s="1368"/>
      <c r="CI35" s="1368"/>
      <c r="CJ35" s="1369"/>
      <c r="CK35" s="1420"/>
      <c r="CL35" s="1368"/>
      <c r="CM35" s="1368"/>
      <c r="CN35" s="1368"/>
      <c r="CO35" s="1369"/>
      <c r="CP35" s="1420"/>
      <c r="CQ35" s="1368"/>
      <c r="CR35" s="1368"/>
      <c r="CS35" s="1368"/>
      <c r="CT35" s="1369"/>
      <c r="CU35" s="1528"/>
      <c r="CV35" s="1519"/>
      <c r="CW35" s="1519"/>
      <c r="CX35" s="1728"/>
      <c r="CY35" s="1519"/>
      <c r="CZ35" s="1519"/>
      <c r="DA35" s="1519"/>
      <c r="DB35" s="1728"/>
      <c r="DC35" s="1377"/>
      <c r="DD35" s="1729"/>
      <c r="DE35" s="1734"/>
    </row>
    <row r="36" spans="1:109" ht="15.75" hidden="1" customHeight="1">
      <c r="A36" s="772" t="s">
        <v>1015</v>
      </c>
      <c r="B36" s="773">
        <v>30</v>
      </c>
      <c r="C36" s="789" t="s">
        <v>2039</v>
      </c>
      <c r="D36" s="773" t="s">
        <v>2036</v>
      </c>
      <c r="E36" s="773" t="s">
        <v>1907</v>
      </c>
      <c r="F36" s="785">
        <v>2</v>
      </c>
      <c r="G36" s="790" t="s">
        <v>1935</v>
      </c>
      <c r="H36" s="791" t="s">
        <v>2040</v>
      </c>
      <c r="I36" s="792"/>
      <c r="J36" s="793">
        <v>0.56000000000000005</v>
      </c>
      <c r="K36" s="793">
        <v>0.44</v>
      </c>
      <c r="L36" s="793"/>
      <c r="M36" s="793"/>
      <c r="N36" s="793"/>
      <c r="O36" s="793"/>
      <c r="P36" s="794"/>
      <c r="Q36" s="795">
        <f t="shared" si="0"/>
        <v>1</v>
      </c>
      <c r="R36" s="789" t="s">
        <v>1030</v>
      </c>
      <c r="S36" s="773" t="s">
        <v>1008</v>
      </c>
      <c r="T36" s="796" t="s">
        <v>1009</v>
      </c>
      <c r="U36" s="773" t="s">
        <v>1073</v>
      </c>
      <c r="V36" s="773" t="s">
        <v>1081</v>
      </c>
      <c r="W36" s="773" t="s">
        <v>427</v>
      </c>
      <c r="X36" s="1274">
        <v>2</v>
      </c>
      <c r="Y36" s="826" t="s">
        <v>1010</v>
      </c>
      <c r="Z36" s="790" t="s">
        <v>1935</v>
      </c>
      <c r="AA36" s="785"/>
      <c r="AB36" s="785"/>
      <c r="AC36" s="785"/>
      <c r="AD36" s="785"/>
      <c r="AE36" s="785"/>
      <c r="AF36" s="799"/>
      <c r="AG36" s="800"/>
      <c r="AH36" s="800"/>
      <c r="AI36" s="800"/>
      <c r="AJ36" s="800"/>
      <c r="AK36" s="800"/>
      <c r="AL36" s="800"/>
      <c r="AM36" s="800"/>
      <c r="AN36" s="800"/>
      <c r="AO36" s="800"/>
      <c r="AP36" s="800"/>
      <c r="AQ36" s="1420"/>
      <c r="AR36" s="1368"/>
      <c r="AS36" s="1368"/>
      <c r="AT36" s="1368"/>
      <c r="AU36" s="1369"/>
      <c r="AV36" s="1420"/>
      <c r="AW36" s="1368"/>
      <c r="AX36" s="1368"/>
      <c r="AY36" s="1368"/>
      <c r="AZ36" s="1368"/>
      <c r="BA36" s="1368"/>
      <c r="BB36" s="1368"/>
      <c r="BC36" s="1368"/>
      <c r="BD36" s="1368"/>
      <c r="BE36" s="1368"/>
      <c r="BF36" s="1368"/>
      <c r="BG36" s="1368"/>
      <c r="BH36" s="1368"/>
      <c r="BI36" s="1368"/>
      <c r="BJ36" s="1368"/>
      <c r="BK36" s="1369"/>
      <c r="BL36" s="1376"/>
      <c r="BM36" s="1377"/>
      <c r="BN36" s="1377"/>
      <c r="BO36" s="1377"/>
      <c r="BP36" s="1440"/>
      <c r="BQ36" s="1420"/>
      <c r="BR36" s="1368"/>
      <c r="BS36" s="1368"/>
      <c r="BT36" s="1368"/>
      <c r="BU36" s="1369"/>
      <c r="BV36" s="1420"/>
      <c r="BW36" s="1368"/>
      <c r="BX36" s="1368"/>
      <c r="BY36" s="1368"/>
      <c r="BZ36" s="1368"/>
      <c r="CA36" s="1420"/>
      <c r="CB36" s="1368"/>
      <c r="CC36" s="1368"/>
      <c r="CD36" s="1368"/>
      <c r="CE36" s="1369"/>
      <c r="CF36" s="1368"/>
      <c r="CG36" s="1368"/>
      <c r="CH36" s="1368"/>
      <c r="CI36" s="1368"/>
      <c r="CJ36" s="1369"/>
      <c r="CK36" s="1420"/>
      <c r="CL36" s="1368"/>
      <c r="CM36" s="1368"/>
      <c r="CN36" s="1368"/>
      <c r="CO36" s="1369"/>
      <c r="CP36" s="1420"/>
      <c r="CQ36" s="1368"/>
      <c r="CR36" s="1368"/>
      <c r="CS36" s="1368"/>
      <c r="CT36" s="1369"/>
      <c r="CU36" s="1528"/>
      <c r="CV36" s="1519"/>
      <c r="CW36" s="1519"/>
      <c r="CX36" s="1728"/>
      <c r="CY36" s="1519"/>
      <c r="CZ36" s="1519"/>
      <c r="DA36" s="1519"/>
      <c r="DB36" s="1728"/>
      <c r="DC36" s="1377"/>
      <c r="DD36" s="1729"/>
      <c r="DE36" s="1734"/>
    </row>
    <row r="37" spans="1:109" ht="15.75" hidden="1" customHeight="1">
      <c r="A37" s="772" t="s">
        <v>1015</v>
      </c>
      <c r="B37" s="773">
        <v>31</v>
      </c>
      <c r="C37" s="789" t="s">
        <v>2041</v>
      </c>
      <c r="D37" s="773" t="s">
        <v>2042</v>
      </c>
      <c r="E37" s="773" t="s">
        <v>1907</v>
      </c>
      <c r="F37" s="785">
        <v>3</v>
      </c>
      <c r="G37" s="790" t="s">
        <v>130</v>
      </c>
      <c r="H37" s="791" t="s">
        <v>2043</v>
      </c>
      <c r="I37" s="792"/>
      <c r="J37" s="793">
        <v>1</v>
      </c>
      <c r="K37" s="793"/>
      <c r="L37" s="793"/>
      <c r="M37" s="793"/>
      <c r="N37" s="793"/>
      <c r="O37" s="793"/>
      <c r="P37" s="794"/>
      <c r="Q37" s="795">
        <f t="shared" si="0"/>
        <v>1</v>
      </c>
      <c r="R37" s="789" t="s">
        <v>1026</v>
      </c>
      <c r="S37" s="773" t="s">
        <v>1008</v>
      </c>
      <c r="T37" s="796" t="s">
        <v>1009</v>
      </c>
      <c r="U37" s="773" t="s">
        <v>1926</v>
      </c>
      <c r="V37" s="773" t="s">
        <v>1081</v>
      </c>
      <c r="W37" s="773" t="s">
        <v>2044</v>
      </c>
      <c r="X37" s="829">
        <v>2</v>
      </c>
      <c r="Y37" s="821" t="s">
        <v>1020</v>
      </c>
      <c r="Z37" s="790" t="s">
        <v>130</v>
      </c>
      <c r="AA37" s="785"/>
      <c r="AB37" s="785"/>
      <c r="AC37" s="785"/>
      <c r="AD37" s="785"/>
      <c r="AE37" s="785"/>
      <c r="AF37" s="799"/>
      <c r="AG37" s="800"/>
      <c r="AH37" s="800"/>
      <c r="AI37" s="800"/>
      <c r="AJ37" s="800"/>
      <c r="AK37" s="800"/>
      <c r="AL37" s="800"/>
      <c r="AM37" s="800"/>
      <c r="AN37" s="800"/>
      <c r="AO37" s="800"/>
      <c r="AP37" s="800"/>
      <c r="AQ37" s="1420"/>
      <c r="AR37" s="1368"/>
      <c r="AS37" s="1368"/>
      <c r="AT37" s="1368"/>
      <c r="AU37" s="1369"/>
      <c r="AV37" s="1420"/>
      <c r="AW37" s="1368"/>
      <c r="AX37" s="1368"/>
      <c r="AY37" s="1368"/>
      <c r="AZ37" s="1368"/>
      <c r="BA37" s="1368"/>
      <c r="BB37" s="1368"/>
      <c r="BC37" s="1368"/>
      <c r="BD37" s="1368"/>
      <c r="BE37" s="1368"/>
      <c r="BF37" s="1368"/>
      <c r="BG37" s="1368"/>
      <c r="BH37" s="1368"/>
      <c r="BI37" s="1368"/>
      <c r="BJ37" s="1368"/>
      <c r="BK37" s="1369"/>
      <c r="BL37" s="1376"/>
      <c r="BM37" s="1377"/>
      <c r="BN37" s="1377"/>
      <c r="BO37" s="1377"/>
      <c r="BP37" s="1440"/>
      <c r="BQ37" s="1420"/>
      <c r="BR37" s="1368"/>
      <c r="BS37" s="1368"/>
      <c r="BT37" s="1368"/>
      <c r="BU37" s="1369"/>
      <c r="BV37" s="1420"/>
      <c r="BW37" s="1368"/>
      <c r="BX37" s="1368"/>
      <c r="BY37" s="1368"/>
      <c r="BZ37" s="1368"/>
      <c r="CA37" s="1420"/>
      <c r="CB37" s="1368"/>
      <c r="CC37" s="1368"/>
      <c r="CD37" s="1368"/>
      <c r="CE37" s="1369"/>
      <c r="CF37" s="1368"/>
      <c r="CG37" s="1368"/>
      <c r="CH37" s="1368"/>
      <c r="CI37" s="1368"/>
      <c r="CJ37" s="1369"/>
      <c r="CK37" s="1420"/>
      <c r="CL37" s="1368"/>
      <c r="CM37" s="1368"/>
      <c r="CN37" s="1368"/>
      <c r="CO37" s="1369"/>
      <c r="CP37" s="1420"/>
      <c r="CQ37" s="1368"/>
      <c r="CR37" s="1368"/>
      <c r="CS37" s="1368"/>
      <c r="CT37" s="1369"/>
      <c r="CU37" s="1528"/>
      <c r="CV37" s="1519"/>
      <c r="CW37" s="1519"/>
      <c r="CX37" s="1728"/>
      <c r="CY37" s="1519"/>
      <c r="CZ37" s="1519"/>
      <c r="DA37" s="1519"/>
      <c r="DB37" s="1728"/>
      <c r="DC37" s="1377"/>
      <c r="DD37" s="1729"/>
      <c r="DE37" s="1734"/>
    </row>
    <row r="38" spans="1:109" ht="15.75" hidden="1" customHeight="1">
      <c r="A38" s="772" t="s">
        <v>1015</v>
      </c>
      <c r="B38" s="773">
        <v>32</v>
      </c>
      <c r="C38" s="789" t="s">
        <v>2045</v>
      </c>
      <c r="D38" s="773" t="s">
        <v>2036</v>
      </c>
      <c r="E38" s="773" t="s">
        <v>1896</v>
      </c>
      <c r="F38" s="785">
        <v>4</v>
      </c>
      <c r="G38" s="790" t="s">
        <v>137</v>
      </c>
      <c r="H38" s="791" t="s">
        <v>2046</v>
      </c>
      <c r="I38" s="792"/>
      <c r="J38" s="793">
        <v>1</v>
      </c>
      <c r="K38" s="793"/>
      <c r="L38" s="793"/>
      <c r="M38" s="793"/>
      <c r="N38" s="793"/>
      <c r="O38" s="793"/>
      <c r="P38" s="794"/>
      <c r="Q38" s="795">
        <f t="shared" si="0"/>
        <v>1</v>
      </c>
      <c r="R38" s="789" t="s">
        <v>1030</v>
      </c>
      <c r="S38" s="773" t="s">
        <v>1008</v>
      </c>
      <c r="T38" s="796" t="s">
        <v>1009</v>
      </c>
      <c r="U38" s="773" t="s">
        <v>1892</v>
      </c>
      <c r="V38" s="773" t="s">
        <v>1029</v>
      </c>
      <c r="W38" s="773" t="s">
        <v>2047</v>
      </c>
      <c r="X38" s="800">
        <v>0</v>
      </c>
      <c r="Y38" s="826" t="s">
        <v>1020</v>
      </c>
      <c r="Z38" s="790" t="s">
        <v>137</v>
      </c>
      <c r="AA38" s="785"/>
      <c r="AB38" s="785"/>
      <c r="AC38" s="785"/>
      <c r="AD38" s="785"/>
      <c r="AE38" s="785"/>
      <c r="AF38" s="799"/>
      <c r="AG38" s="800"/>
      <c r="AH38" s="800"/>
      <c r="AI38" s="800"/>
      <c r="AJ38" s="800"/>
      <c r="AK38" s="800"/>
      <c r="AL38" s="800"/>
      <c r="AM38" s="800"/>
      <c r="AN38" s="800"/>
      <c r="AO38" s="800"/>
      <c r="AP38" s="800"/>
      <c r="AQ38" s="1370"/>
      <c r="AR38" s="1371"/>
      <c r="AS38" s="1371"/>
      <c r="AT38" s="1371"/>
      <c r="AU38" s="1372"/>
      <c r="AV38" s="1420"/>
      <c r="AW38" s="1368"/>
      <c r="AX38" s="1368"/>
      <c r="AY38" s="1368"/>
      <c r="AZ38" s="1368"/>
      <c r="BA38" s="1368"/>
      <c r="BB38" s="1368"/>
      <c r="BC38" s="1368"/>
      <c r="BD38" s="1368"/>
      <c r="BE38" s="1368"/>
      <c r="BF38" s="1368"/>
      <c r="BG38" s="1368"/>
      <c r="BH38" s="1368"/>
      <c r="BI38" s="1368"/>
      <c r="BJ38" s="1368"/>
      <c r="BK38" s="1369"/>
      <c r="BL38" s="1376"/>
      <c r="BM38" s="1377"/>
      <c r="BN38" s="1377"/>
      <c r="BO38" s="1377"/>
      <c r="BP38" s="1440"/>
      <c r="BQ38" s="1420"/>
      <c r="BR38" s="1368"/>
      <c r="BS38" s="1368"/>
      <c r="BT38" s="1368"/>
      <c r="BU38" s="1369"/>
      <c r="BV38" s="1735"/>
      <c r="BW38" s="1736"/>
      <c r="BX38" s="1736"/>
      <c r="BY38" s="1736"/>
      <c r="BZ38" s="1736"/>
      <c r="CA38" s="1420"/>
      <c r="CB38" s="1368"/>
      <c r="CC38" s="1368"/>
      <c r="CD38" s="1368"/>
      <c r="CE38" s="1369"/>
      <c r="CF38" s="1368"/>
      <c r="CG38" s="1368"/>
      <c r="CH38" s="1368"/>
      <c r="CI38" s="1368"/>
      <c r="CJ38" s="1369"/>
      <c r="CK38" s="1370"/>
      <c r="CL38" s="1371"/>
      <c r="CM38" s="1371"/>
      <c r="CN38" s="1371"/>
      <c r="CO38" s="1372"/>
      <c r="CP38" s="1420"/>
      <c r="CQ38" s="1368"/>
      <c r="CR38" s="1368"/>
      <c r="CS38" s="1368"/>
      <c r="CT38" s="1369"/>
      <c r="CU38" s="1528"/>
      <c r="CV38" s="1519"/>
      <c r="CW38" s="1519"/>
      <c r="CX38" s="1728"/>
      <c r="CY38" s="1519"/>
      <c r="CZ38" s="1519"/>
      <c r="DA38" s="1519"/>
      <c r="DB38" s="1728"/>
      <c r="DC38" s="1377"/>
      <c r="DD38" s="1729"/>
      <c r="DE38" s="1734"/>
    </row>
    <row r="39" spans="1:109" ht="15.75" hidden="1" customHeight="1">
      <c r="A39" s="772" t="s">
        <v>1015</v>
      </c>
      <c r="B39" s="773">
        <v>33</v>
      </c>
      <c r="C39" s="789" t="s">
        <v>2048</v>
      </c>
      <c r="D39" s="773" t="s">
        <v>2049</v>
      </c>
      <c r="E39" s="773" t="s">
        <v>1889</v>
      </c>
      <c r="F39" s="785">
        <v>5</v>
      </c>
      <c r="G39" s="790" t="s">
        <v>669</v>
      </c>
      <c r="H39" s="791" t="s">
        <v>2050</v>
      </c>
      <c r="I39" s="792"/>
      <c r="J39" s="793">
        <v>1</v>
      </c>
      <c r="K39" s="793"/>
      <c r="L39" s="793"/>
      <c r="M39" s="793"/>
      <c r="N39" s="793"/>
      <c r="O39" s="793"/>
      <c r="P39" s="794"/>
      <c r="Q39" s="795">
        <f t="shared" si="0"/>
        <v>1</v>
      </c>
      <c r="R39" s="789" t="s">
        <v>1030</v>
      </c>
      <c r="S39" s="773" t="s">
        <v>1008</v>
      </c>
      <c r="T39" s="796" t="s">
        <v>1009</v>
      </c>
      <c r="U39" s="773" t="s">
        <v>669</v>
      </c>
      <c r="V39" s="773" t="s">
        <v>1033</v>
      </c>
      <c r="W39" s="773" t="s">
        <v>2051</v>
      </c>
      <c r="X39" s="829">
        <v>1</v>
      </c>
      <c r="Y39" s="821" t="s">
        <v>1020</v>
      </c>
      <c r="Z39" s="790" t="s">
        <v>669</v>
      </c>
      <c r="AA39" s="785"/>
      <c r="AB39" s="785"/>
      <c r="AC39" s="785"/>
      <c r="AD39" s="785"/>
      <c r="AE39" s="785"/>
      <c r="AF39" s="799"/>
      <c r="AG39" s="800"/>
      <c r="AH39" s="800"/>
      <c r="AI39" s="800"/>
      <c r="AJ39" s="800"/>
      <c r="AK39" s="800"/>
      <c r="AL39" s="800"/>
      <c r="AM39" s="800"/>
      <c r="AN39" s="800"/>
      <c r="AO39" s="800"/>
      <c r="AP39" s="807"/>
      <c r="AQ39" s="1421"/>
      <c r="AR39" s="1373"/>
      <c r="AS39" s="1373"/>
      <c r="AT39" s="1373"/>
      <c r="AU39" s="1374"/>
      <c r="AV39" s="1420"/>
      <c r="AW39" s="1368"/>
      <c r="AX39" s="1368"/>
      <c r="AY39" s="1368"/>
      <c r="AZ39" s="1368"/>
      <c r="BA39" s="1368"/>
      <c r="BB39" s="1368"/>
      <c r="BC39" s="1368"/>
      <c r="BD39" s="1368"/>
      <c r="BE39" s="1368"/>
      <c r="BF39" s="1368"/>
      <c r="BG39" s="1368"/>
      <c r="BH39" s="1368"/>
      <c r="BI39" s="1368"/>
      <c r="BJ39" s="1368"/>
      <c r="BK39" s="1369"/>
      <c r="BL39" s="1376"/>
      <c r="BM39" s="1377"/>
      <c r="BN39" s="1377"/>
      <c r="BO39" s="1377"/>
      <c r="BP39" s="1440"/>
      <c r="BQ39" s="1725"/>
      <c r="BR39" s="1726"/>
      <c r="BS39" s="1726"/>
      <c r="BT39" s="1726"/>
      <c r="BU39" s="1727"/>
      <c r="BV39" s="1725"/>
      <c r="BW39" s="1726"/>
      <c r="BX39" s="1726"/>
      <c r="BY39" s="1726"/>
      <c r="BZ39" s="1727"/>
      <c r="CA39" s="1420"/>
      <c r="CB39" s="1368"/>
      <c r="CC39" s="1368"/>
      <c r="CD39" s="1368"/>
      <c r="CE39" s="1369"/>
      <c r="CF39" s="1368"/>
      <c r="CG39" s="1368"/>
      <c r="CH39" s="1368"/>
      <c r="CI39" s="1368"/>
      <c r="CJ39" s="1368"/>
      <c r="CK39" s="1370"/>
      <c r="CL39" s="1371"/>
      <c r="CM39" s="1371"/>
      <c r="CN39" s="1371"/>
      <c r="CO39" s="1372"/>
      <c r="CP39" s="1421"/>
      <c r="CQ39" s="1373"/>
      <c r="CR39" s="1373"/>
      <c r="CS39" s="1373"/>
      <c r="CT39" s="1374"/>
      <c r="CU39" s="1528"/>
      <c r="CV39" s="1519"/>
      <c r="CW39" s="1519"/>
      <c r="CX39" s="1728"/>
      <c r="CY39" s="1519"/>
      <c r="CZ39" s="1519"/>
      <c r="DA39" s="1519"/>
      <c r="DB39" s="1728"/>
      <c r="DC39" s="1377"/>
      <c r="DD39" s="1729"/>
      <c r="DE39" s="1734"/>
    </row>
    <row r="40" spans="1:109" ht="15.75" hidden="1" customHeight="1">
      <c r="A40" s="772" t="s">
        <v>1015</v>
      </c>
      <c r="B40" s="773">
        <v>34</v>
      </c>
      <c r="C40" s="789" t="s">
        <v>2052</v>
      </c>
      <c r="D40" s="773" t="s">
        <v>2049</v>
      </c>
      <c r="E40" s="773" t="s">
        <v>1889</v>
      </c>
      <c r="F40" s="785">
        <v>6</v>
      </c>
      <c r="G40" s="790" t="s">
        <v>1902</v>
      </c>
      <c r="H40" s="791" t="s">
        <v>2053</v>
      </c>
      <c r="I40" s="792"/>
      <c r="J40" s="793">
        <v>1</v>
      </c>
      <c r="K40" s="793"/>
      <c r="L40" s="793"/>
      <c r="M40" s="793"/>
      <c r="N40" s="793"/>
      <c r="O40" s="793"/>
      <c r="P40" s="794"/>
      <c r="Q40" s="795">
        <f t="shared" si="0"/>
        <v>1</v>
      </c>
      <c r="R40" s="789" t="s">
        <v>1030</v>
      </c>
      <c r="S40" s="773" t="s">
        <v>1008</v>
      </c>
      <c r="T40" s="1440" t="s">
        <v>1019</v>
      </c>
      <c r="U40" s="773" t="s">
        <v>2054</v>
      </c>
      <c r="V40" s="773" t="s">
        <v>1033</v>
      </c>
      <c r="W40" s="773" t="s">
        <v>2055</v>
      </c>
      <c r="X40" s="829">
        <v>1</v>
      </c>
      <c r="Y40" s="819" t="s">
        <v>1020</v>
      </c>
      <c r="Z40" s="790" t="s">
        <v>1902</v>
      </c>
      <c r="AA40" s="785"/>
      <c r="AB40" s="785"/>
      <c r="AC40" s="785"/>
      <c r="AD40" s="785"/>
      <c r="AE40" s="785"/>
      <c r="AF40" s="799"/>
      <c r="AG40" s="800"/>
      <c r="AH40" s="800"/>
      <c r="AI40" s="800"/>
      <c r="AJ40" s="800"/>
      <c r="AK40" s="800"/>
      <c r="AL40" s="800"/>
      <c r="AM40" s="800"/>
      <c r="AN40" s="800"/>
      <c r="AO40" s="800"/>
      <c r="AP40" s="800"/>
      <c r="AQ40" s="1420"/>
      <c r="AR40" s="1368"/>
      <c r="AS40" s="1368"/>
      <c r="AT40" s="1368"/>
      <c r="AU40" s="1369"/>
      <c r="AV40" s="1420"/>
      <c r="AW40" s="1368"/>
      <c r="AX40" s="1368"/>
      <c r="AY40" s="1368"/>
      <c r="AZ40" s="1368"/>
      <c r="BA40" s="1368"/>
      <c r="BB40" s="1368"/>
      <c r="BC40" s="1368"/>
      <c r="BD40" s="1368"/>
      <c r="BE40" s="1368"/>
      <c r="BF40" s="1368"/>
      <c r="BG40" s="1368"/>
      <c r="BH40" s="1368"/>
      <c r="BI40" s="1368"/>
      <c r="BJ40" s="1368"/>
      <c r="BK40" s="1369"/>
      <c r="BL40" s="1376"/>
      <c r="BM40" s="1377"/>
      <c r="BN40" s="1377"/>
      <c r="BO40" s="1377"/>
      <c r="BP40" s="1440"/>
      <c r="BQ40" s="1420"/>
      <c r="BR40" s="1368"/>
      <c r="BS40" s="1368"/>
      <c r="BT40" s="1368"/>
      <c r="BU40" s="1369"/>
      <c r="BV40" s="1420"/>
      <c r="BW40" s="1368"/>
      <c r="BX40" s="1368"/>
      <c r="BY40" s="1368"/>
      <c r="BZ40" s="1368"/>
      <c r="CA40" s="1420"/>
      <c r="CB40" s="1368"/>
      <c r="CC40" s="1368"/>
      <c r="CD40" s="1368"/>
      <c r="CE40" s="1369"/>
      <c r="CF40" s="1368"/>
      <c r="CG40" s="1368"/>
      <c r="CH40" s="1368"/>
      <c r="CI40" s="1368"/>
      <c r="CJ40" s="1369"/>
      <c r="CK40" s="1420"/>
      <c r="CL40" s="1368"/>
      <c r="CM40" s="1368"/>
      <c r="CN40" s="1368"/>
      <c r="CO40" s="1369"/>
      <c r="CP40" s="1420"/>
      <c r="CQ40" s="1368"/>
      <c r="CR40" s="1368"/>
      <c r="CS40" s="1368"/>
      <c r="CT40" s="1369"/>
      <c r="CU40" s="1528"/>
      <c r="CV40" s="1519"/>
      <c r="CW40" s="1519"/>
      <c r="CX40" s="1728"/>
      <c r="CY40" s="1519"/>
      <c r="CZ40" s="1519"/>
      <c r="DA40" s="1519"/>
      <c r="DB40" s="1728"/>
      <c r="DC40" s="1377"/>
      <c r="DD40" s="1729"/>
      <c r="DE40" s="1734"/>
    </row>
    <row r="41" spans="1:109" ht="15.75" hidden="1" customHeight="1">
      <c r="A41" s="772" t="s">
        <v>1015</v>
      </c>
      <c r="B41" s="773">
        <v>35</v>
      </c>
      <c r="C41" s="789" t="s">
        <v>2056</v>
      </c>
      <c r="D41" s="773" t="s">
        <v>2036</v>
      </c>
      <c r="E41" s="773" t="s">
        <v>1889</v>
      </c>
      <c r="F41" s="785">
        <v>7</v>
      </c>
      <c r="G41" s="790" t="s">
        <v>732</v>
      </c>
      <c r="H41" s="791" t="s">
        <v>2057</v>
      </c>
      <c r="I41" s="792"/>
      <c r="J41" s="793"/>
      <c r="K41" s="793">
        <v>1</v>
      </c>
      <c r="L41" s="793"/>
      <c r="M41" s="793"/>
      <c r="N41" s="793"/>
      <c r="O41" s="793"/>
      <c r="P41" s="794"/>
      <c r="Q41" s="795">
        <f t="shared" si="0"/>
        <v>1</v>
      </c>
      <c r="R41" s="789" t="s">
        <v>1030</v>
      </c>
      <c r="S41" s="773" t="s">
        <v>1008</v>
      </c>
      <c r="T41" s="796" t="s">
        <v>1009</v>
      </c>
      <c r="U41" s="773" t="s">
        <v>2058</v>
      </c>
      <c r="V41" s="773" t="s">
        <v>1033</v>
      </c>
      <c r="W41" s="773" t="s">
        <v>2059</v>
      </c>
      <c r="X41" s="829">
        <v>2</v>
      </c>
      <c r="Y41" s="819" t="s">
        <v>1020</v>
      </c>
      <c r="Z41" s="790" t="s">
        <v>732</v>
      </c>
      <c r="AA41" s="785"/>
      <c r="AB41" s="785"/>
      <c r="AC41" s="785"/>
      <c r="AD41" s="785"/>
      <c r="AE41" s="785"/>
      <c r="AF41" s="799"/>
      <c r="AG41" s="800"/>
      <c r="AH41" s="800"/>
      <c r="AI41" s="800"/>
      <c r="AJ41" s="800"/>
      <c r="AK41" s="800"/>
      <c r="AL41" s="800"/>
      <c r="AM41" s="800"/>
      <c r="AN41" s="800"/>
      <c r="AO41" s="800"/>
      <c r="AP41" s="800"/>
      <c r="AQ41" s="1420"/>
      <c r="AR41" s="1368"/>
      <c r="AS41" s="1368"/>
      <c r="AT41" s="1368"/>
      <c r="AU41" s="1369"/>
      <c r="AV41" s="1420"/>
      <c r="AW41" s="1368"/>
      <c r="AX41" s="1368"/>
      <c r="AY41" s="1368"/>
      <c r="AZ41" s="1368"/>
      <c r="BA41" s="1368"/>
      <c r="BB41" s="1368"/>
      <c r="BC41" s="1368"/>
      <c r="BD41" s="1368"/>
      <c r="BE41" s="1368"/>
      <c r="BF41" s="1368"/>
      <c r="BG41" s="1368"/>
      <c r="BH41" s="1368"/>
      <c r="BI41" s="1368"/>
      <c r="BJ41" s="1368"/>
      <c r="BK41" s="1369"/>
      <c r="BL41" s="1376"/>
      <c r="BM41" s="1377"/>
      <c r="BN41" s="1377"/>
      <c r="BO41" s="1377"/>
      <c r="BP41" s="1440"/>
      <c r="BQ41" s="1420"/>
      <c r="BR41" s="1368"/>
      <c r="BS41" s="1368"/>
      <c r="BT41" s="1368"/>
      <c r="BU41" s="1369"/>
      <c r="BV41" s="1421"/>
      <c r="BW41" s="1373"/>
      <c r="BX41" s="1373"/>
      <c r="BY41" s="1373"/>
      <c r="BZ41" s="1373"/>
      <c r="CA41" s="1420"/>
      <c r="CB41" s="1368"/>
      <c r="CC41" s="1368"/>
      <c r="CD41" s="1368"/>
      <c r="CE41" s="1369"/>
      <c r="CF41" s="1368"/>
      <c r="CG41" s="1368"/>
      <c r="CH41" s="1368"/>
      <c r="CI41" s="1368"/>
      <c r="CJ41" s="1369"/>
      <c r="CK41" s="1420"/>
      <c r="CL41" s="1368"/>
      <c r="CM41" s="1368"/>
      <c r="CN41" s="1368"/>
      <c r="CO41" s="1369"/>
      <c r="CP41" s="1420"/>
      <c r="CQ41" s="1368"/>
      <c r="CR41" s="1368"/>
      <c r="CS41" s="1368"/>
      <c r="CT41" s="1369"/>
      <c r="CU41" s="1528"/>
      <c r="CV41" s="1519"/>
      <c r="CW41" s="1519"/>
      <c r="CX41" s="1728"/>
      <c r="CY41" s="1519"/>
      <c r="CZ41" s="1519"/>
      <c r="DA41" s="1519"/>
      <c r="DB41" s="1728"/>
      <c r="DC41" s="1377"/>
      <c r="DD41" s="1729"/>
      <c r="DE41" s="1734"/>
    </row>
    <row r="42" spans="1:109" ht="15.75" hidden="1" customHeight="1">
      <c r="A42" s="772" t="s">
        <v>1015</v>
      </c>
      <c r="B42" s="773">
        <v>36</v>
      </c>
      <c r="C42" s="789" t="s">
        <v>2060</v>
      </c>
      <c r="D42" s="773" t="s">
        <v>2061</v>
      </c>
      <c r="E42" s="773" t="s">
        <v>1889</v>
      </c>
      <c r="F42" s="785">
        <v>8</v>
      </c>
      <c r="G42" s="790" t="s">
        <v>736</v>
      </c>
      <c r="H42" s="791" t="s">
        <v>2062</v>
      </c>
      <c r="I42" s="792"/>
      <c r="J42" s="793"/>
      <c r="K42" s="793">
        <v>1</v>
      </c>
      <c r="L42" s="793"/>
      <c r="M42" s="793"/>
      <c r="N42" s="793"/>
      <c r="O42" s="793"/>
      <c r="P42" s="794"/>
      <c r="Q42" s="795">
        <f t="shared" si="0"/>
        <v>1</v>
      </c>
      <c r="R42" s="789" t="s">
        <v>1030</v>
      </c>
      <c r="S42" s="773" t="s">
        <v>1008</v>
      </c>
      <c r="T42" s="796" t="s">
        <v>1009</v>
      </c>
      <c r="U42" s="773" t="s">
        <v>736</v>
      </c>
      <c r="V42" s="773" t="s">
        <v>1033</v>
      </c>
      <c r="W42" s="773" t="s">
        <v>2063</v>
      </c>
      <c r="X42" s="1274">
        <v>2</v>
      </c>
      <c r="Y42" s="819" t="s">
        <v>1020</v>
      </c>
      <c r="Z42" s="790" t="s">
        <v>736</v>
      </c>
      <c r="AA42" s="785"/>
      <c r="AB42" s="785"/>
      <c r="AC42" s="785"/>
      <c r="AD42" s="785"/>
      <c r="AE42" s="785"/>
      <c r="AF42" s="799"/>
      <c r="AG42" s="800"/>
      <c r="AH42" s="800"/>
      <c r="AI42" s="800"/>
      <c r="AJ42" s="800"/>
      <c r="AK42" s="800"/>
      <c r="AL42" s="800"/>
      <c r="AM42" s="800"/>
      <c r="AN42" s="800"/>
      <c r="AO42" s="800"/>
      <c r="AP42" s="800"/>
      <c r="AQ42" s="1421"/>
      <c r="AR42" s="1373"/>
      <c r="AS42" s="1373"/>
      <c r="AT42" s="1373"/>
      <c r="AU42" s="1374"/>
      <c r="AV42" s="1420"/>
      <c r="AW42" s="1368"/>
      <c r="AX42" s="1368"/>
      <c r="AY42" s="1368"/>
      <c r="AZ42" s="1368"/>
      <c r="BA42" s="1368"/>
      <c r="BB42" s="1368"/>
      <c r="BC42" s="1368"/>
      <c r="BD42" s="1368"/>
      <c r="BE42" s="1368"/>
      <c r="BF42" s="1368"/>
      <c r="BG42" s="1368"/>
      <c r="BH42" s="1368"/>
      <c r="BI42" s="1368"/>
      <c r="BJ42" s="1368"/>
      <c r="BK42" s="1369"/>
      <c r="BL42" s="1376"/>
      <c r="BM42" s="1377"/>
      <c r="BN42" s="1377"/>
      <c r="BO42" s="1377"/>
      <c r="BP42" s="1440"/>
      <c r="BQ42" s="1420"/>
      <c r="BR42" s="1368"/>
      <c r="BS42" s="1368"/>
      <c r="BT42" s="1368"/>
      <c r="BU42" s="1369"/>
      <c r="BV42" s="1421"/>
      <c r="BW42" s="1373"/>
      <c r="BX42" s="1373"/>
      <c r="BY42" s="1373"/>
      <c r="BZ42" s="1373"/>
      <c r="CA42" s="1420"/>
      <c r="CB42" s="1368"/>
      <c r="CC42" s="1368"/>
      <c r="CD42" s="1368"/>
      <c r="CE42" s="1369"/>
      <c r="CF42" s="1368"/>
      <c r="CG42" s="1368"/>
      <c r="CH42" s="1368"/>
      <c r="CI42" s="1368"/>
      <c r="CJ42" s="1369"/>
      <c r="CK42" s="1420"/>
      <c r="CL42" s="1368"/>
      <c r="CM42" s="1368"/>
      <c r="CN42" s="1368"/>
      <c r="CO42" s="1369"/>
      <c r="CP42" s="1420"/>
      <c r="CQ42" s="1368"/>
      <c r="CR42" s="1368"/>
      <c r="CS42" s="1368"/>
      <c r="CT42" s="1369"/>
      <c r="CU42" s="1528"/>
      <c r="CV42" s="1519"/>
      <c r="CW42" s="1519"/>
      <c r="CX42" s="1728"/>
      <c r="CY42" s="1519"/>
      <c r="CZ42" s="1519"/>
      <c r="DA42" s="1519"/>
      <c r="DB42" s="1728"/>
      <c r="DC42" s="1377"/>
      <c r="DD42" s="1729"/>
      <c r="DE42" s="1734"/>
    </row>
    <row r="43" spans="1:109" ht="15.75" hidden="1" customHeight="1">
      <c r="A43" s="772" t="s">
        <v>1015</v>
      </c>
      <c r="B43" s="773">
        <v>37</v>
      </c>
      <c r="C43" s="789" t="s">
        <v>2064</v>
      </c>
      <c r="D43" s="773" t="s">
        <v>2065</v>
      </c>
      <c r="E43" s="773" t="s">
        <v>1907</v>
      </c>
      <c r="F43" s="785">
        <v>9</v>
      </c>
      <c r="G43" s="790" t="s">
        <v>535</v>
      </c>
      <c r="H43" s="791" t="s">
        <v>2066</v>
      </c>
      <c r="I43" s="792">
        <v>0.5</v>
      </c>
      <c r="J43" s="793">
        <v>0.5</v>
      </c>
      <c r="K43" s="793"/>
      <c r="L43" s="793"/>
      <c r="M43" s="793"/>
      <c r="N43" s="793"/>
      <c r="O43" s="793"/>
      <c r="P43" s="794"/>
      <c r="Q43" s="795">
        <f t="shared" si="0"/>
        <v>1</v>
      </c>
      <c r="R43" s="789" t="s">
        <v>1007</v>
      </c>
      <c r="S43" s="773"/>
      <c r="T43" s="796"/>
      <c r="U43" s="773" t="s">
        <v>1910</v>
      </c>
      <c r="V43" s="773" t="s">
        <v>278</v>
      </c>
      <c r="W43" s="773" t="s">
        <v>2067</v>
      </c>
      <c r="X43" s="1308">
        <v>1</v>
      </c>
      <c r="Y43" s="819" t="s">
        <v>1020</v>
      </c>
      <c r="Z43" s="790" t="s">
        <v>535</v>
      </c>
      <c r="AA43" s="785"/>
      <c r="AB43" s="785"/>
      <c r="AC43" s="785"/>
      <c r="AD43" s="785"/>
      <c r="AE43" s="785"/>
      <c r="AF43" s="799"/>
      <c r="AG43" s="816"/>
      <c r="AH43" s="816"/>
      <c r="AI43" s="816"/>
      <c r="AJ43" s="816"/>
      <c r="AK43" s="816"/>
      <c r="AL43" s="816"/>
      <c r="AM43" s="816"/>
      <c r="AN43" s="816"/>
      <c r="AO43" s="816"/>
      <c r="AP43" s="816"/>
      <c r="AQ43" s="1521"/>
      <c r="AR43" s="1730"/>
      <c r="AS43" s="1730"/>
      <c r="AT43" s="1730"/>
      <c r="AU43" s="1527"/>
      <c r="AV43" s="1521"/>
      <c r="AW43" s="1730"/>
      <c r="AX43" s="1730"/>
      <c r="AY43" s="1730"/>
      <c r="AZ43" s="1730"/>
      <c r="BA43" s="1730"/>
      <c r="BB43" s="1730"/>
      <c r="BC43" s="1730"/>
      <c r="BD43" s="1730"/>
      <c r="BE43" s="1730"/>
      <c r="BF43" s="1730"/>
      <c r="BG43" s="1730"/>
      <c r="BH43" s="1730"/>
      <c r="BI43" s="1730"/>
      <c r="BJ43" s="1730"/>
      <c r="BK43" s="1527"/>
      <c r="BL43" s="1376"/>
      <c r="BM43" s="1377"/>
      <c r="BN43" s="1377"/>
      <c r="BO43" s="1377"/>
      <c r="BP43" s="1440"/>
      <c r="BQ43" s="1420"/>
      <c r="BR43" s="1368"/>
      <c r="BS43" s="1368"/>
      <c r="BT43" s="1368"/>
      <c r="BU43" s="1369"/>
      <c r="BV43" s="1420"/>
      <c r="BW43" s="1368"/>
      <c r="BX43" s="1368"/>
      <c r="BY43" s="1368"/>
      <c r="BZ43" s="1368"/>
      <c r="CA43" s="1420"/>
      <c r="CB43" s="1368"/>
      <c r="CC43" s="1368"/>
      <c r="CD43" s="1368"/>
      <c r="CE43" s="1369"/>
      <c r="CF43" s="1368"/>
      <c r="CG43" s="1368"/>
      <c r="CH43" s="1368"/>
      <c r="CI43" s="1368"/>
      <c r="CJ43" s="1369"/>
      <c r="CK43" s="1420"/>
      <c r="CL43" s="1368"/>
      <c r="CM43" s="1368"/>
      <c r="CN43" s="1368"/>
      <c r="CO43" s="1369"/>
      <c r="CP43" s="1420"/>
      <c r="CQ43" s="1368"/>
      <c r="CR43" s="1368"/>
      <c r="CS43" s="1368"/>
      <c r="CT43" s="1369"/>
      <c r="CU43" s="1528"/>
      <c r="CV43" s="1519"/>
      <c r="CW43" s="1519"/>
      <c r="CX43" s="1728"/>
      <c r="CY43" s="1519"/>
      <c r="CZ43" s="1519"/>
      <c r="DA43" s="1519"/>
      <c r="DB43" s="1728"/>
      <c r="DC43" s="1377"/>
      <c r="DD43" s="1729"/>
      <c r="DE43" s="1734"/>
    </row>
    <row r="44" spans="1:109" ht="15.75" hidden="1" customHeight="1">
      <c r="A44" s="772" t="s">
        <v>1015</v>
      </c>
      <c r="B44" s="773">
        <v>38</v>
      </c>
      <c r="C44" s="789" t="s">
        <v>2068</v>
      </c>
      <c r="D44" s="773" t="s">
        <v>2065</v>
      </c>
      <c r="E44" s="773" t="s">
        <v>1907</v>
      </c>
      <c r="F44" s="785">
        <v>10</v>
      </c>
      <c r="G44" s="790" t="s">
        <v>839</v>
      </c>
      <c r="H44" s="791" t="s">
        <v>2069</v>
      </c>
      <c r="I44" s="792"/>
      <c r="J44" s="793"/>
      <c r="K44" s="793">
        <v>1</v>
      </c>
      <c r="L44" s="793"/>
      <c r="M44" s="793"/>
      <c r="N44" s="793"/>
      <c r="O44" s="793"/>
      <c r="P44" s="794"/>
      <c r="Q44" s="795">
        <f t="shared" si="0"/>
        <v>1</v>
      </c>
      <c r="R44" s="789" t="s">
        <v>1007</v>
      </c>
      <c r="S44" s="773"/>
      <c r="T44" s="796"/>
      <c r="U44" s="773" t="s">
        <v>1910</v>
      </c>
      <c r="V44" s="773" t="s">
        <v>278</v>
      </c>
      <c r="W44" s="773" t="s">
        <v>2070</v>
      </c>
      <c r="X44" s="829">
        <v>2</v>
      </c>
      <c r="Y44" s="821" t="s">
        <v>1020</v>
      </c>
      <c r="Z44" s="790" t="s">
        <v>839</v>
      </c>
      <c r="AA44" s="785"/>
      <c r="AB44" s="785"/>
      <c r="AC44" s="785"/>
      <c r="AD44" s="785"/>
      <c r="AE44" s="785"/>
      <c r="AF44" s="799"/>
      <c r="AG44" s="800"/>
      <c r="AH44" s="800"/>
      <c r="AI44" s="800"/>
      <c r="AJ44" s="800"/>
      <c r="AK44" s="800"/>
      <c r="AL44" s="800"/>
      <c r="AM44" s="800"/>
      <c r="AN44" s="800"/>
      <c r="AO44" s="800"/>
      <c r="AP44" s="800"/>
      <c r="AQ44" s="1420"/>
      <c r="AR44" s="1368"/>
      <c r="AS44" s="1368"/>
      <c r="AT44" s="1368"/>
      <c r="AU44" s="1369"/>
      <c r="AV44" s="1420"/>
      <c r="AW44" s="1368"/>
      <c r="AX44" s="1368"/>
      <c r="AY44" s="1368"/>
      <c r="AZ44" s="1368"/>
      <c r="BA44" s="1368"/>
      <c r="BB44" s="1368"/>
      <c r="BC44" s="1368"/>
      <c r="BD44" s="1368"/>
      <c r="BE44" s="1368"/>
      <c r="BF44" s="1368"/>
      <c r="BG44" s="1368"/>
      <c r="BH44" s="1368"/>
      <c r="BI44" s="1368"/>
      <c r="BJ44" s="1368"/>
      <c r="BK44" s="1369"/>
      <c r="BL44" s="1376"/>
      <c r="BM44" s="1377"/>
      <c r="BN44" s="1377"/>
      <c r="BO44" s="1377"/>
      <c r="BP44" s="1440"/>
      <c r="BQ44" s="1420"/>
      <c r="BR44" s="1368"/>
      <c r="BS44" s="1368"/>
      <c r="BT44" s="1368"/>
      <c r="BU44" s="1369"/>
      <c r="BV44" s="1420"/>
      <c r="BW44" s="1368"/>
      <c r="BX44" s="1368"/>
      <c r="BY44" s="1368"/>
      <c r="BZ44" s="1368"/>
      <c r="CA44" s="1420"/>
      <c r="CB44" s="1368"/>
      <c r="CC44" s="1368"/>
      <c r="CD44" s="1368"/>
      <c r="CE44" s="1369"/>
      <c r="CF44" s="1368"/>
      <c r="CG44" s="1368"/>
      <c r="CH44" s="1368"/>
      <c r="CI44" s="1368"/>
      <c r="CJ44" s="1369"/>
      <c r="CK44" s="1420"/>
      <c r="CL44" s="1368"/>
      <c r="CM44" s="1368"/>
      <c r="CN44" s="1368"/>
      <c r="CO44" s="1369"/>
      <c r="CP44" s="1420"/>
      <c r="CQ44" s="1368"/>
      <c r="CR44" s="1368"/>
      <c r="CS44" s="1368"/>
      <c r="CT44" s="1369"/>
      <c r="CU44" s="1528"/>
      <c r="CV44" s="1519"/>
      <c r="CW44" s="1519"/>
      <c r="CX44" s="1728"/>
      <c r="CY44" s="1519"/>
      <c r="CZ44" s="1519"/>
      <c r="DA44" s="1519"/>
      <c r="DB44" s="1728"/>
      <c r="DC44" s="1377"/>
      <c r="DD44" s="1729"/>
      <c r="DE44" s="1734"/>
    </row>
    <row r="45" spans="1:109" ht="15.75" hidden="1" customHeight="1">
      <c r="A45" s="772" t="s">
        <v>1015</v>
      </c>
      <c r="B45" s="773">
        <v>39</v>
      </c>
      <c r="C45" s="789" t="s">
        <v>2071</v>
      </c>
      <c r="D45" s="773" t="s">
        <v>2072</v>
      </c>
      <c r="E45" s="773" t="s">
        <v>1889</v>
      </c>
      <c r="F45" s="785">
        <v>11</v>
      </c>
      <c r="G45" s="790" t="s">
        <v>161</v>
      </c>
      <c r="H45" s="791" t="s">
        <v>2073</v>
      </c>
      <c r="I45" s="792"/>
      <c r="J45" s="793">
        <v>1</v>
      </c>
      <c r="K45" s="793"/>
      <c r="L45" s="793"/>
      <c r="M45" s="793"/>
      <c r="N45" s="793"/>
      <c r="O45" s="793"/>
      <c r="P45" s="794"/>
      <c r="Q45" s="795">
        <f t="shared" si="0"/>
        <v>1</v>
      </c>
      <c r="R45" s="789" t="s">
        <v>1026</v>
      </c>
      <c r="S45" s="773" t="s">
        <v>1008</v>
      </c>
      <c r="T45" s="796" t="s">
        <v>1009</v>
      </c>
      <c r="U45" s="773" t="s">
        <v>2074</v>
      </c>
      <c r="V45" s="773" t="s">
        <v>1033</v>
      </c>
      <c r="W45" s="773" t="s">
        <v>2075</v>
      </c>
      <c r="X45" s="829">
        <v>1</v>
      </c>
      <c r="Y45" s="821" t="s">
        <v>1020</v>
      </c>
      <c r="Z45" s="790" t="s">
        <v>161</v>
      </c>
      <c r="AA45" s="785"/>
      <c r="AB45" s="785"/>
      <c r="AC45" s="785"/>
      <c r="AD45" s="785"/>
      <c r="AE45" s="785"/>
      <c r="AF45" s="799"/>
      <c r="AG45" s="800"/>
      <c r="AH45" s="800"/>
      <c r="AI45" s="800"/>
      <c r="AJ45" s="800"/>
      <c r="AK45" s="800"/>
      <c r="AL45" s="800"/>
      <c r="AM45" s="800"/>
      <c r="AN45" s="800"/>
      <c r="AO45" s="800"/>
      <c r="AP45" s="800"/>
      <c r="AQ45" s="1421"/>
      <c r="AR45" s="1373"/>
      <c r="AS45" s="1373"/>
      <c r="AT45" s="1373"/>
      <c r="AU45" s="1374"/>
      <c r="AV45" s="1420"/>
      <c r="AW45" s="1368"/>
      <c r="AX45" s="1368"/>
      <c r="AY45" s="1368"/>
      <c r="AZ45" s="1368"/>
      <c r="BA45" s="1368"/>
      <c r="BB45" s="1368"/>
      <c r="BC45" s="1368"/>
      <c r="BD45" s="1368"/>
      <c r="BE45" s="1368"/>
      <c r="BF45" s="1368"/>
      <c r="BG45" s="1368"/>
      <c r="BH45" s="1368"/>
      <c r="BI45" s="1368"/>
      <c r="BJ45" s="1368"/>
      <c r="BK45" s="1369"/>
      <c r="BL45" s="1376"/>
      <c r="BM45" s="1377"/>
      <c r="BN45" s="1377"/>
      <c r="BO45" s="1377"/>
      <c r="BP45" s="1440"/>
      <c r="BQ45" s="1420"/>
      <c r="BR45" s="1368"/>
      <c r="BS45" s="1368"/>
      <c r="BT45" s="1368"/>
      <c r="BU45" s="1369"/>
      <c r="BV45" s="1420"/>
      <c r="BW45" s="1368"/>
      <c r="BX45" s="1368"/>
      <c r="BY45" s="1368"/>
      <c r="BZ45" s="1368"/>
      <c r="CA45" s="1521"/>
      <c r="CB45" s="1730"/>
      <c r="CC45" s="1730"/>
      <c r="CD45" s="1730"/>
      <c r="CE45" s="1527"/>
      <c r="CF45" s="1368"/>
      <c r="CG45" s="1368"/>
      <c r="CH45" s="1368"/>
      <c r="CI45" s="1368"/>
      <c r="CJ45" s="1369"/>
      <c r="CK45" s="1420"/>
      <c r="CL45" s="1368"/>
      <c r="CM45" s="1368"/>
      <c r="CN45" s="1368"/>
      <c r="CO45" s="1369"/>
      <c r="CP45" s="1420"/>
      <c r="CQ45" s="1368"/>
      <c r="CR45" s="1368"/>
      <c r="CS45" s="1368"/>
      <c r="CT45" s="1369"/>
      <c r="CU45" s="1528"/>
      <c r="CV45" s="1519"/>
      <c r="CW45" s="1519"/>
      <c r="CX45" s="1728"/>
      <c r="CY45" s="1519"/>
      <c r="CZ45" s="1519"/>
      <c r="DA45" s="1519"/>
      <c r="DB45" s="1728"/>
      <c r="DC45" s="1377"/>
      <c r="DD45" s="1729"/>
      <c r="DE45" s="1734"/>
    </row>
    <row r="46" spans="1:109" ht="15.75" hidden="1" customHeight="1">
      <c r="A46" s="772" t="s">
        <v>1015</v>
      </c>
      <c r="B46" s="773">
        <v>40</v>
      </c>
      <c r="C46" s="789" t="s">
        <v>2076</v>
      </c>
      <c r="D46" s="773" t="s">
        <v>2072</v>
      </c>
      <c r="E46" s="773" t="s">
        <v>1907</v>
      </c>
      <c r="F46" s="785">
        <v>12</v>
      </c>
      <c r="G46" s="790" t="s">
        <v>167</v>
      </c>
      <c r="H46" s="791" t="s">
        <v>2077</v>
      </c>
      <c r="I46" s="792"/>
      <c r="J46" s="793">
        <v>1</v>
      </c>
      <c r="K46" s="793"/>
      <c r="L46" s="793"/>
      <c r="M46" s="793"/>
      <c r="N46" s="793"/>
      <c r="O46" s="793"/>
      <c r="P46" s="794"/>
      <c r="Q46" s="795">
        <f t="shared" si="0"/>
        <v>1</v>
      </c>
      <c r="R46" s="789" t="s">
        <v>1026</v>
      </c>
      <c r="S46" s="773" t="s">
        <v>1008</v>
      </c>
      <c r="T46" s="796" t="s">
        <v>1009</v>
      </c>
      <c r="U46" s="773" t="s">
        <v>1847</v>
      </c>
      <c r="V46" s="773" t="s">
        <v>278</v>
      </c>
      <c r="W46" s="773" t="s">
        <v>2078</v>
      </c>
      <c r="X46" s="829">
        <v>2</v>
      </c>
      <c r="Y46" s="821" t="s">
        <v>1020</v>
      </c>
      <c r="Z46" s="790" t="s">
        <v>167</v>
      </c>
      <c r="AA46" s="785"/>
      <c r="AB46" s="785"/>
      <c r="AC46" s="785"/>
      <c r="AD46" s="785"/>
      <c r="AE46" s="785"/>
      <c r="AF46" s="799"/>
      <c r="AG46" s="800"/>
      <c r="AH46" s="800"/>
      <c r="AI46" s="800"/>
      <c r="AJ46" s="800"/>
      <c r="AK46" s="800"/>
      <c r="AL46" s="800"/>
      <c r="AM46" s="800"/>
      <c r="AN46" s="800"/>
      <c r="AO46" s="800"/>
      <c r="AP46" s="800"/>
      <c r="AQ46" s="1421"/>
      <c r="AR46" s="1373"/>
      <c r="AS46" s="1373"/>
      <c r="AT46" s="1373"/>
      <c r="AU46" s="1374"/>
      <c r="AV46" s="1420"/>
      <c r="AW46" s="1368"/>
      <c r="AX46" s="1368"/>
      <c r="AY46" s="1368"/>
      <c r="AZ46" s="1368"/>
      <c r="BA46" s="1368"/>
      <c r="BB46" s="1368"/>
      <c r="BC46" s="1368"/>
      <c r="BD46" s="1368"/>
      <c r="BE46" s="1368"/>
      <c r="BF46" s="1368"/>
      <c r="BG46" s="1368"/>
      <c r="BH46" s="1368"/>
      <c r="BI46" s="1368"/>
      <c r="BJ46" s="1368"/>
      <c r="BK46" s="1369"/>
      <c r="BL46" s="1376"/>
      <c r="BM46" s="1377"/>
      <c r="BN46" s="1377"/>
      <c r="BO46" s="1377"/>
      <c r="BP46" s="1440"/>
      <c r="BQ46" s="1420"/>
      <c r="BR46" s="1368"/>
      <c r="BS46" s="1368"/>
      <c r="BT46" s="1368"/>
      <c r="BU46" s="1369"/>
      <c r="BV46" s="1420"/>
      <c r="BW46" s="1368"/>
      <c r="BX46" s="1368"/>
      <c r="BY46" s="1368"/>
      <c r="BZ46" s="1368"/>
      <c r="CA46" s="1421"/>
      <c r="CB46" s="1373"/>
      <c r="CC46" s="1373"/>
      <c r="CD46" s="1373"/>
      <c r="CE46" s="1374"/>
      <c r="CF46" s="1368"/>
      <c r="CG46" s="1368"/>
      <c r="CH46" s="1368"/>
      <c r="CI46" s="1368"/>
      <c r="CJ46" s="1369"/>
      <c r="CK46" s="1420"/>
      <c r="CL46" s="1368"/>
      <c r="CM46" s="1368"/>
      <c r="CN46" s="1368"/>
      <c r="CO46" s="1369"/>
      <c r="CP46" s="1420"/>
      <c r="CQ46" s="1368"/>
      <c r="CR46" s="1368"/>
      <c r="CS46" s="1368"/>
      <c r="CT46" s="1369"/>
      <c r="CU46" s="1528"/>
      <c r="CV46" s="1519"/>
      <c r="CW46" s="1519"/>
      <c r="CX46" s="1728"/>
      <c r="CY46" s="1519"/>
      <c r="CZ46" s="1519"/>
      <c r="DA46" s="1519"/>
      <c r="DB46" s="1728"/>
      <c r="DC46" s="1377"/>
      <c r="DD46" s="1729"/>
      <c r="DE46" s="1734"/>
    </row>
    <row r="47" spans="1:109" ht="15.75" hidden="1" customHeight="1">
      <c r="A47" s="772" t="s">
        <v>1015</v>
      </c>
      <c r="B47" s="773">
        <v>41</v>
      </c>
      <c r="C47" s="789" t="s">
        <v>2079</v>
      </c>
      <c r="D47" s="773" t="s">
        <v>2072</v>
      </c>
      <c r="E47" s="773" t="s">
        <v>1889</v>
      </c>
      <c r="F47" s="785">
        <v>13</v>
      </c>
      <c r="G47" s="790" t="s">
        <v>743</v>
      </c>
      <c r="H47" s="791" t="s">
        <v>2080</v>
      </c>
      <c r="I47" s="792"/>
      <c r="J47" s="793"/>
      <c r="K47" s="793">
        <v>1</v>
      </c>
      <c r="L47" s="793"/>
      <c r="M47" s="793"/>
      <c r="N47" s="793"/>
      <c r="O47" s="793"/>
      <c r="P47" s="794"/>
      <c r="Q47" s="795">
        <f t="shared" si="0"/>
        <v>1</v>
      </c>
      <c r="R47" s="789" t="s">
        <v>1026</v>
      </c>
      <c r="S47" s="773" t="s">
        <v>1008</v>
      </c>
      <c r="T47" s="796" t="s">
        <v>1009</v>
      </c>
      <c r="U47" s="773" t="s">
        <v>2081</v>
      </c>
      <c r="V47" s="773" t="s">
        <v>1033</v>
      </c>
      <c r="W47" s="773" t="s">
        <v>2082</v>
      </c>
      <c r="X47" s="1274">
        <v>2</v>
      </c>
      <c r="Y47" s="821" t="s">
        <v>1020</v>
      </c>
      <c r="Z47" s="790" t="s">
        <v>743</v>
      </c>
      <c r="AA47" s="785"/>
      <c r="AB47" s="785"/>
      <c r="AC47" s="785"/>
      <c r="AD47" s="785"/>
      <c r="AE47" s="785"/>
      <c r="AF47" s="799"/>
      <c r="AG47" s="800"/>
      <c r="AH47" s="800"/>
      <c r="AI47" s="800"/>
      <c r="AJ47" s="800"/>
      <c r="AK47" s="800"/>
      <c r="AL47" s="800"/>
      <c r="AM47" s="800"/>
      <c r="AN47" s="800"/>
      <c r="AO47" s="800"/>
      <c r="AP47" s="800"/>
      <c r="AQ47" s="1420"/>
      <c r="AR47" s="1368"/>
      <c r="AS47" s="1368"/>
      <c r="AT47" s="1368"/>
      <c r="AU47" s="1369"/>
      <c r="AV47" s="1420"/>
      <c r="AW47" s="1368"/>
      <c r="AX47" s="1368"/>
      <c r="AY47" s="1368"/>
      <c r="AZ47" s="1368"/>
      <c r="BA47" s="1368"/>
      <c r="BB47" s="1368"/>
      <c r="BC47" s="1368"/>
      <c r="BD47" s="1368"/>
      <c r="BE47" s="1368"/>
      <c r="BF47" s="1368"/>
      <c r="BG47" s="1368"/>
      <c r="BH47" s="1368"/>
      <c r="BI47" s="1368"/>
      <c r="BJ47" s="1368"/>
      <c r="BK47" s="1369"/>
      <c r="BL47" s="1376"/>
      <c r="BM47" s="1377"/>
      <c r="BN47" s="1377"/>
      <c r="BO47" s="1377"/>
      <c r="BP47" s="1440"/>
      <c r="BQ47" s="1420"/>
      <c r="BR47" s="1368"/>
      <c r="BS47" s="1368"/>
      <c r="BT47" s="1368"/>
      <c r="BU47" s="1369"/>
      <c r="BV47" s="1420"/>
      <c r="BW47" s="1368"/>
      <c r="BX47" s="1368"/>
      <c r="BY47" s="1368"/>
      <c r="BZ47" s="1368"/>
      <c r="CA47" s="1420"/>
      <c r="CB47" s="1368"/>
      <c r="CC47" s="1368"/>
      <c r="CD47" s="1368"/>
      <c r="CE47" s="1369"/>
      <c r="CF47" s="1368"/>
      <c r="CG47" s="1368"/>
      <c r="CH47" s="1368"/>
      <c r="CI47" s="1368"/>
      <c r="CJ47" s="1369"/>
      <c r="CK47" s="1420"/>
      <c r="CL47" s="1368"/>
      <c r="CM47" s="1368"/>
      <c r="CN47" s="1368"/>
      <c r="CO47" s="1369"/>
      <c r="CP47" s="1420"/>
      <c r="CQ47" s="1368"/>
      <c r="CR47" s="1368"/>
      <c r="CS47" s="1368"/>
      <c r="CT47" s="1369"/>
      <c r="CU47" s="1528"/>
      <c r="CV47" s="1519"/>
      <c r="CW47" s="1519"/>
      <c r="CX47" s="1728"/>
      <c r="CY47" s="1519"/>
      <c r="CZ47" s="1519"/>
      <c r="DA47" s="1519"/>
      <c r="DB47" s="1728"/>
      <c r="DC47" s="1377"/>
      <c r="DD47" s="1729"/>
      <c r="DE47" s="1734"/>
    </row>
    <row r="48" spans="1:109" ht="15.75" hidden="1" customHeight="1">
      <c r="A48" s="772" t="s">
        <v>1015</v>
      </c>
      <c r="B48" s="773">
        <v>42</v>
      </c>
      <c r="C48" s="789" t="s">
        <v>2083</v>
      </c>
      <c r="D48" s="773" t="s">
        <v>2072</v>
      </c>
      <c r="E48" s="773" t="s">
        <v>1889</v>
      </c>
      <c r="F48" s="785">
        <v>14</v>
      </c>
      <c r="G48" s="790" t="s">
        <v>1058</v>
      </c>
      <c r="H48" s="791" t="s">
        <v>2084</v>
      </c>
      <c r="I48" s="792"/>
      <c r="J48" s="793">
        <v>0.39</v>
      </c>
      <c r="K48" s="793">
        <v>0.61</v>
      </c>
      <c r="L48" s="793"/>
      <c r="M48" s="793"/>
      <c r="N48" s="793"/>
      <c r="O48" s="793"/>
      <c r="P48" s="794"/>
      <c r="Q48" s="795">
        <f t="shared" si="0"/>
        <v>1</v>
      </c>
      <c r="R48" s="789" t="s">
        <v>1026</v>
      </c>
      <c r="S48" s="773" t="s">
        <v>1008</v>
      </c>
      <c r="T48" s="796" t="s">
        <v>1009</v>
      </c>
      <c r="U48" s="773" t="s">
        <v>2085</v>
      </c>
      <c r="V48" s="773" t="s">
        <v>278</v>
      </c>
      <c r="W48" s="773" t="s">
        <v>2086</v>
      </c>
      <c r="X48" s="1274">
        <v>2</v>
      </c>
      <c r="Y48" s="821" t="s">
        <v>1010</v>
      </c>
      <c r="Z48" s="790" t="s">
        <v>1058</v>
      </c>
      <c r="AA48" s="785"/>
      <c r="AB48" s="785"/>
      <c r="AC48" s="785"/>
      <c r="AD48" s="785"/>
      <c r="AE48" s="785"/>
      <c r="AF48" s="799"/>
      <c r="AG48" s="800"/>
      <c r="AH48" s="800"/>
      <c r="AI48" s="800"/>
      <c r="AJ48" s="800"/>
      <c r="AK48" s="800"/>
      <c r="AL48" s="800"/>
      <c r="AM48" s="800"/>
      <c r="AN48" s="800"/>
      <c r="AO48" s="800"/>
      <c r="AP48" s="800"/>
      <c r="AQ48" s="1420"/>
      <c r="AR48" s="1368"/>
      <c r="AS48" s="1368"/>
      <c r="AT48" s="1368"/>
      <c r="AU48" s="1369"/>
      <c r="AV48" s="1420"/>
      <c r="AW48" s="1368"/>
      <c r="AX48" s="1368"/>
      <c r="AY48" s="1368"/>
      <c r="AZ48" s="1368"/>
      <c r="BA48" s="1368"/>
      <c r="BB48" s="1368"/>
      <c r="BC48" s="1368"/>
      <c r="BD48" s="1368"/>
      <c r="BE48" s="1368"/>
      <c r="BF48" s="1368"/>
      <c r="BG48" s="1368"/>
      <c r="BH48" s="1368"/>
      <c r="BI48" s="1368"/>
      <c r="BJ48" s="1368"/>
      <c r="BK48" s="1369"/>
      <c r="BL48" s="1376"/>
      <c r="BM48" s="1377"/>
      <c r="BN48" s="1377"/>
      <c r="BO48" s="1377"/>
      <c r="BP48" s="1440"/>
      <c r="BQ48" s="1420"/>
      <c r="BR48" s="1368"/>
      <c r="BS48" s="1368"/>
      <c r="BT48" s="1368"/>
      <c r="BU48" s="1369"/>
      <c r="BV48" s="1420"/>
      <c r="BW48" s="1368"/>
      <c r="BX48" s="1368"/>
      <c r="BY48" s="1368"/>
      <c r="BZ48" s="1368"/>
      <c r="CA48" s="1420"/>
      <c r="CB48" s="1368"/>
      <c r="CC48" s="1368"/>
      <c r="CD48" s="1368"/>
      <c r="CE48" s="1369"/>
      <c r="CF48" s="1368"/>
      <c r="CG48" s="1368"/>
      <c r="CH48" s="1368"/>
      <c r="CI48" s="1368"/>
      <c r="CJ48" s="1368"/>
      <c r="CK48" s="1420"/>
      <c r="CL48" s="1368"/>
      <c r="CM48" s="1368"/>
      <c r="CN48" s="1368"/>
      <c r="CO48" s="1369"/>
      <c r="CP48" s="1420"/>
      <c r="CQ48" s="1368"/>
      <c r="CR48" s="1368"/>
      <c r="CS48" s="1368"/>
      <c r="CT48" s="1369"/>
      <c r="CU48" s="1528"/>
      <c r="CV48" s="1519"/>
      <c r="CW48" s="1519"/>
      <c r="CX48" s="1728"/>
      <c r="CY48" s="1519"/>
      <c r="CZ48" s="1519"/>
      <c r="DA48" s="1519"/>
      <c r="DB48" s="1728"/>
      <c r="DC48" s="1377"/>
      <c r="DD48" s="1729"/>
      <c r="DE48" s="1734"/>
    </row>
    <row r="49" spans="1:109" ht="15.75" hidden="1" customHeight="1">
      <c r="A49" s="772" t="s">
        <v>1015</v>
      </c>
      <c r="B49" s="773">
        <v>43</v>
      </c>
      <c r="C49" s="789" t="s">
        <v>2087</v>
      </c>
      <c r="D49" s="773" t="s">
        <v>2065</v>
      </c>
      <c r="E49" s="773" t="s">
        <v>1896</v>
      </c>
      <c r="F49" s="785">
        <v>15</v>
      </c>
      <c r="G49" s="790" t="s">
        <v>2088</v>
      </c>
      <c r="H49" s="791" t="s">
        <v>2089</v>
      </c>
      <c r="I49" s="792"/>
      <c r="J49" s="793">
        <v>1</v>
      </c>
      <c r="K49" s="793"/>
      <c r="L49" s="793"/>
      <c r="M49" s="793"/>
      <c r="N49" s="793"/>
      <c r="O49" s="793"/>
      <c r="P49" s="794"/>
      <c r="Q49" s="795">
        <f t="shared" si="0"/>
        <v>1</v>
      </c>
      <c r="R49" s="789" t="s">
        <v>1017</v>
      </c>
      <c r="S49" s="2000" t="s">
        <v>1008</v>
      </c>
      <c r="T49" s="796" t="s">
        <v>1009</v>
      </c>
      <c r="U49" s="773" t="s">
        <v>1910</v>
      </c>
      <c r="V49" s="773" t="s">
        <v>278</v>
      </c>
      <c r="W49" s="773" t="s">
        <v>2090</v>
      </c>
      <c r="X49" s="829">
        <v>1</v>
      </c>
      <c r="Y49" s="821" t="s">
        <v>1020</v>
      </c>
      <c r="Z49" s="790"/>
      <c r="AA49" s="785"/>
      <c r="AB49" s="785"/>
      <c r="AC49" s="785"/>
      <c r="AD49" s="785"/>
      <c r="AE49" s="785"/>
      <c r="AF49" s="799"/>
      <c r="AG49" s="800"/>
      <c r="AH49" s="800"/>
      <c r="AI49" s="800"/>
      <c r="AJ49" s="800"/>
      <c r="AK49" s="800"/>
      <c r="AL49" s="800"/>
      <c r="AM49" s="800"/>
      <c r="AN49" s="800"/>
      <c r="AO49" s="800"/>
      <c r="AP49" s="800"/>
      <c r="AQ49" s="808">
        <v>24.1</v>
      </c>
      <c r="AR49" s="800">
        <v>21.8</v>
      </c>
      <c r="AS49" s="800">
        <v>21.8</v>
      </c>
      <c r="AT49" s="800">
        <v>20</v>
      </c>
      <c r="AU49" s="805">
        <v>14.1</v>
      </c>
      <c r="AV49" s="808"/>
      <c r="AW49" s="800"/>
      <c r="AX49" s="800"/>
      <c r="AY49" s="800"/>
      <c r="AZ49" s="800"/>
      <c r="BA49" s="800"/>
      <c r="BB49" s="800"/>
      <c r="BC49" s="800"/>
      <c r="BD49" s="800"/>
      <c r="BE49" s="800"/>
      <c r="BF49" s="800"/>
      <c r="BG49" s="800"/>
      <c r="BH49" s="800"/>
      <c r="BI49" s="800"/>
      <c r="BJ49" s="800"/>
      <c r="BK49" s="805"/>
      <c r="BL49" s="789"/>
      <c r="BM49" s="785"/>
      <c r="BN49" s="785"/>
      <c r="BO49" s="785"/>
      <c r="BP49" s="796" t="s">
        <v>168</v>
      </c>
      <c r="BQ49" s="808" t="s">
        <v>1942</v>
      </c>
      <c r="BR49" s="800" t="s">
        <v>1942</v>
      </c>
      <c r="BS49" s="800" t="s">
        <v>1942</v>
      </c>
      <c r="BT49" s="800" t="s">
        <v>1942</v>
      </c>
      <c r="BU49" s="805" t="s">
        <v>1942</v>
      </c>
      <c r="BV49" s="808" t="s">
        <v>1942</v>
      </c>
      <c r="BW49" s="800" t="s">
        <v>1942</v>
      </c>
      <c r="BX49" s="800" t="s">
        <v>1942</v>
      </c>
      <c r="BY49" s="800" t="s">
        <v>1942</v>
      </c>
      <c r="BZ49" s="800" t="s">
        <v>1942</v>
      </c>
      <c r="CA49" s="808" t="s">
        <v>1942</v>
      </c>
      <c r="CB49" s="800" t="s">
        <v>1942</v>
      </c>
      <c r="CC49" s="800" t="s">
        <v>1942</v>
      </c>
      <c r="CD49" s="800" t="s">
        <v>1942</v>
      </c>
      <c r="CE49" s="805" t="s">
        <v>1942</v>
      </c>
      <c r="CF49" s="800" t="s">
        <v>1942</v>
      </c>
      <c r="CG49" s="800" t="s">
        <v>1942</v>
      </c>
      <c r="CH49" s="800" t="s">
        <v>1942</v>
      </c>
      <c r="CI49" s="800" t="s">
        <v>1942</v>
      </c>
      <c r="CJ49" s="805" t="s">
        <v>1942</v>
      </c>
      <c r="CK49" s="808" t="s">
        <v>1942</v>
      </c>
      <c r="CL49" s="800" t="s">
        <v>1942</v>
      </c>
      <c r="CM49" s="800" t="s">
        <v>1942</v>
      </c>
      <c r="CN49" s="800" t="s">
        <v>1942</v>
      </c>
      <c r="CO49" s="805" t="s">
        <v>1942</v>
      </c>
      <c r="CP49" s="808" t="s">
        <v>1942</v>
      </c>
      <c r="CQ49" s="800" t="s">
        <v>1942</v>
      </c>
      <c r="CR49" s="800" t="s">
        <v>1942</v>
      </c>
      <c r="CS49" s="800" t="s">
        <v>1942</v>
      </c>
      <c r="CT49" s="805" t="s">
        <v>1942</v>
      </c>
      <c r="CU49" s="1284" t="s">
        <v>1942</v>
      </c>
      <c r="CV49" s="1283" t="s">
        <v>1942</v>
      </c>
      <c r="CW49" s="1283" t="s">
        <v>1942</v>
      </c>
      <c r="CX49" s="1285" t="s">
        <v>1942</v>
      </c>
      <c r="CY49" s="1283">
        <v>0.42811700000000003</v>
      </c>
      <c r="CZ49" s="1283" t="s">
        <v>1942</v>
      </c>
      <c r="DA49" s="1283" t="s">
        <v>1942</v>
      </c>
      <c r="DB49" s="1285" t="s">
        <v>1942</v>
      </c>
      <c r="DC49" s="785"/>
      <c r="DD49" s="813">
        <v>1</v>
      </c>
      <c r="DE49" s="814"/>
    </row>
    <row r="50" spans="1:109" ht="15.75" hidden="1" customHeight="1">
      <c r="A50" s="772" t="s">
        <v>1015</v>
      </c>
      <c r="B50" s="773">
        <v>44</v>
      </c>
      <c r="C50" s="789" t="s">
        <v>2091</v>
      </c>
      <c r="D50" s="773" t="s">
        <v>2072</v>
      </c>
      <c r="E50" s="773" t="s">
        <v>1889</v>
      </c>
      <c r="F50" s="785">
        <v>16</v>
      </c>
      <c r="G50" s="790" t="s">
        <v>2092</v>
      </c>
      <c r="H50" s="791" t="s">
        <v>2093</v>
      </c>
      <c r="I50" s="792"/>
      <c r="J50" s="793">
        <v>1</v>
      </c>
      <c r="K50" s="793"/>
      <c r="L50" s="793"/>
      <c r="M50" s="793"/>
      <c r="N50" s="793"/>
      <c r="O50" s="793"/>
      <c r="P50" s="794"/>
      <c r="Q50" s="795">
        <f t="shared" si="0"/>
        <v>1</v>
      </c>
      <c r="R50" s="789" t="s">
        <v>1030</v>
      </c>
      <c r="S50" s="773" t="s">
        <v>1008</v>
      </c>
      <c r="T50" s="796" t="s">
        <v>1009</v>
      </c>
      <c r="U50" s="773" t="s">
        <v>1985</v>
      </c>
      <c r="V50" s="773" t="s">
        <v>1033</v>
      </c>
      <c r="W50" s="773" t="s">
        <v>1996</v>
      </c>
      <c r="X50" s="829">
        <v>0</v>
      </c>
      <c r="Y50" s="821" t="s">
        <v>1020</v>
      </c>
      <c r="Z50" s="790" t="s">
        <v>1987</v>
      </c>
      <c r="AA50" s="785"/>
      <c r="AB50" s="785"/>
      <c r="AC50" s="785"/>
      <c r="AD50" s="785"/>
      <c r="AE50" s="785"/>
      <c r="AF50" s="799"/>
      <c r="AG50" s="800"/>
      <c r="AH50" s="800"/>
      <c r="AI50" s="800"/>
      <c r="AJ50" s="800"/>
      <c r="AK50" s="800"/>
      <c r="AL50" s="800"/>
      <c r="AM50" s="800"/>
      <c r="AN50" s="800"/>
      <c r="AO50" s="800"/>
      <c r="AP50" s="800"/>
      <c r="AQ50" s="808">
        <v>150</v>
      </c>
      <c r="AR50" s="800">
        <v>150</v>
      </c>
      <c r="AS50" s="800">
        <v>150</v>
      </c>
      <c r="AT50" s="800">
        <v>150</v>
      </c>
      <c r="AU50" s="805">
        <v>106</v>
      </c>
      <c r="AV50" s="808"/>
      <c r="AW50" s="800"/>
      <c r="AX50" s="800"/>
      <c r="AY50" s="800"/>
      <c r="AZ50" s="800"/>
      <c r="BA50" s="800"/>
      <c r="BB50" s="800"/>
      <c r="BC50" s="800"/>
      <c r="BD50" s="800"/>
      <c r="BE50" s="800"/>
      <c r="BF50" s="800"/>
      <c r="BG50" s="800"/>
      <c r="BH50" s="800"/>
      <c r="BI50" s="800"/>
      <c r="BJ50" s="800"/>
      <c r="BK50" s="805"/>
      <c r="BL50" s="789" t="s">
        <v>168</v>
      </c>
      <c r="BM50" s="785" t="s">
        <v>168</v>
      </c>
      <c r="BN50" s="785" t="s">
        <v>168</v>
      </c>
      <c r="BO50" s="785" t="s">
        <v>168</v>
      </c>
      <c r="BP50" s="796" t="s">
        <v>168</v>
      </c>
      <c r="BQ50" s="808" t="s">
        <v>1942</v>
      </c>
      <c r="BR50" s="800" t="s">
        <v>1942</v>
      </c>
      <c r="BS50" s="800" t="s">
        <v>1942</v>
      </c>
      <c r="BT50" s="800" t="s">
        <v>1942</v>
      </c>
      <c r="BU50" s="805" t="s">
        <v>1942</v>
      </c>
      <c r="BV50" s="808" t="s">
        <v>1942</v>
      </c>
      <c r="BW50" s="800" t="s">
        <v>1942</v>
      </c>
      <c r="BX50" s="800" t="s">
        <v>1942</v>
      </c>
      <c r="BY50" s="800" t="s">
        <v>1942</v>
      </c>
      <c r="BZ50" s="800" t="s">
        <v>1942</v>
      </c>
      <c r="CA50" s="808" t="s">
        <v>1942</v>
      </c>
      <c r="CB50" s="800" t="s">
        <v>1942</v>
      </c>
      <c r="CC50" s="800" t="s">
        <v>1942</v>
      </c>
      <c r="CD50" s="800" t="s">
        <v>1942</v>
      </c>
      <c r="CE50" s="805" t="s">
        <v>1942</v>
      </c>
      <c r="CF50" s="800" t="s">
        <v>1942</v>
      </c>
      <c r="CG50" s="800" t="s">
        <v>1942</v>
      </c>
      <c r="CH50" s="800" t="s">
        <v>1942</v>
      </c>
      <c r="CI50" s="800" t="s">
        <v>1942</v>
      </c>
      <c r="CJ50" s="805" t="s">
        <v>1942</v>
      </c>
      <c r="CK50" s="808" t="s">
        <v>1942</v>
      </c>
      <c r="CL50" s="800" t="s">
        <v>1942</v>
      </c>
      <c r="CM50" s="800" t="s">
        <v>1942</v>
      </c>
      <c r="CN50" s="800" t="s">
        <v>1942</v>
      </c>
      <c r="CO50" s="805" t="s">
        <v>1942</v>
      </c>
      <c r="CP50" s="808" t="s">
        <v>1942</v>
      </c>
      <c r="CQ50" s="800" t="s">
        <v>1942</v>
      </c>
      <c r="CR50" s="800" t="s">
        <v>1942</v>
      </c>
      <c r="CS50" s="800" t="s">
        <v>1942</v>
      </c>
      <c r="CT50" s="805" t="s">
        <v>1942</v>
      </c>
      <c r="CU50" s="1284">
        <v>-1.2207000000000001E-2</v>
      </c>
      <c r="CV50" s="1283" t="s">
        <v>1942</v>
      </c>
      <c r="CW50" s="1283" t="s">
        <v>1942</v>
      </c>
      <c r="CX50" s="1285" t="s">
        <v>1942</v>
      </c>
      <c r="CY50" s="1283">
        <v>6.3400000000000001E-3</v>
      </c>
      <c r="CZ50" s="1283" t="s">
        <v>1942</v>
      </c>
      <c r="DA50" s="1283" t="s">
        <v>1942</v>
      </c>
      <c r="DB50" s="1285" t="s">
        <v>1942</v>
      </c>
      <c r="DC50" s="785"/>
      <c r="DD50" s="813">
        <v>1</v>
      </c>
      <c r="DE50" s="814"/>
    </row>
    <row r="51" spans="1:109" ht="15.75" hidden="1" customHeight="1">
      <c r="A51" s="772" t="s">
        <v>1015</v>
      </c>
      <c r="B51" s="773">
        <v>45</v>
      </c>
      <c r="C51" s="789" t="s">
        <v>2094</v>
      </c>
      <c r="D51" s="773" t="s">
        <v>2072</v>
      </c>
      <c r="E51" s="773" t="s">
        <v>1889</v>
      </c>
      <c r="F51" s="785">
        <v>17</v>
      </c>
      <c r="G51" s="790" t="s">
        <v>2095</v>
      </c>
      <c r="H51" s="791" t="s">
        <v>2096</v>
      </c>
      <c r="I51" s="792"/>
      <c r="J51" s="793"/>
      <c r="K51" s="793">
        <v>1</v>
      </c>
      <c r="L51" s="793"/>
      <c r="M51" s="793"/>
      <c r="N51" s="793"/>
      <c r="O51" s="793"/>
      <c r="P51" s="794"/>
      <c r="Q51" s="795">
        <f t="shared" si="0"/>
        <v>1</v>
      </c>
      <c r="R51" s="789" t="s">
        <v>1030</v>
      </c>
      <c r="S51" s="773" t="s">
        <v>1008</v>
      </c>
      <c r="T51" s="796" t="s">
        <v>1009</v>
      </c>
      <c r="U51" s="773" t="s">
        <v>2058</v>
      </c>
      <c r="V51" s="773" t="s">
        <v>1033</v>
      </c>
      <c r="W51" s="773" t="s">
        <v>2097</v>
      </c>
      <c r="X51" s="829">
        <v>0</v>
      </c>
      <c r="Y51" s="821" t="s">
        <v>1020</v>
      </c>
      <c r="Z51" s="790" t="s">
        <v>2098</v>
      </c>
      <c r="AA51" s="785"/>
      <c r="AB51" s="785"/>
      <c r="AC51" s="785"/>
      <c r="AD51" s="785"/>
      <c r="AE51" s="785"/>
      <c r="AF51" s="799"/>
      <c r="AG51" s="800"/>
      <c r="AH51" s="800"/>
      <c r="AI51" s="800"/>
      <c r="AJ51" s="800"/>
      <c r="AK51" s="800"/>
      <c r="AL51" s="800"/>
      <c r="AM51" s="800"/>
      <c r="AN51" s="800"/>
      <c r="AO51" s="800"/>
      <c r="AP51" s="800"/>
      <c r="AQ51" s="808">
        <v>4191</v>
      </c>
      <c r="AR51" s="800">
        <v>4141</v>
      </c>
      <c r="AS51" s="800">
        <v>4091</v>
      </c>
      <c r="AT51" s="800">
        <v>4041</v>
      </c>
      <c r="AU51" s="805">
        <v>3991</v>
      </c>
      <c r="AV51" s="808"/>
      <c r="AW51" s="800"/>
      <c r="AX51" s="800"/>
      <c r="AY51" s="800"/>
      <c r="AZ51" s="800"/>
      <c r="BA51" s="800"/>
      <c r="BB51" s="800"/>
      <c r="BC51" s="800"/>
      <c r="BD51" s="800"/>
      <c r="BE51" s="800"/>
      <c r="BF51" s="800"/>
      <c r="BG51" s="800"/>
      <c r="BH51" s="800"/>
      <c r="BI51" s="800"/>
      <c r="BJ51" s="800"/>
      <c r="BK51" s="805"/>
      <c r="BL51" s="789" t="s">
        <v>168</v>
      </c>
      <c r="BM51" s="785" t="s">
        <v>168</v>
      </c>
      <c r="BN51" s="785" t="s">
        <v>168</v>
      </c>
      <c r="BO51" s="785" t="s">
        <v>168</v>
      </c>
      <c r="BP51" s="796" t="s">
        <v>168</v>
      </c>
      <c r="BQ51" s="808" t="s">
        <v>1942</v>
      </c>
      <c r="BR51" s="800" t="s">
        <v>1942</v>
      </c>
      <c r="BS51" s="800" t="s">
        <v>1942</v>
      </c>
      <c r="BT51" s="800" t="s">
        <v>1942</v>
      </c>
      <c r="BU51" s="805" t="s">
        <v>1942</v>
      </c>
      <c r="BV51" s="808">
        <v>6287</v>
      </c>
      <c r="BW51" s="800">
        <v>6287</v>
      </c>
      <c r="BX51" s="800">
        <v>6287</v>
      </c>
      <c r="BY51" s="800">
        <v>6287</v>
      </c>
      <c r="BZ51" s="800">
        <v>6287</v>
      </c>
      <c r="CA51" s="808" t="s">
        <v>1942</v>
      </c>
      <c r="CB51" s="800" t="s">
        <v>1942</v>
      </c>
      <c r="CC51" s="800" t="s">
        <v>1942</v>
      </c>
      <c r="CD51" s="800" t="s">
        <v>1942</v>
      </c>
      <c r="CE51" s="805" t="s">
        <v>1942</v>
      </c>
      <c r="CF51" s="800" t="s">
        <v>1942</v>
      </c>
      <c r="CG51" s="800" t="s">
        <v>1942</v>
      </c>
      <c r="CH51" s="800" t="s">
        <v>1942</v>
      </c>
      <c r="CI51" s="800" t="s">
        <v>1942</v>
      </c>
      <c r="CJ51" s="805" t="s">
        <v>1942</v>
      </c>
      <c r="CK51" s="828">
        <v>2292</v>
      </c>
      <c r="CL51" s="829">
        <v>2242</v>
      </c>
      <c r="CM51" s="829">
        <v>2192</v>
      </c>
      <c r="CN51" s="829">
        <v>2142</v>
      </c>
      <c r="CO51" s="830">
        <v>2092</v>
      </c>
      <c r="CP51" s="808" t="s">
        <v>1942</v>
      </c>
      <c r="CQ51" s="800" t="s">
        <v>1942</v>
      </c>
      <c r="CR51" s="800" t="s">
        <v>1942</v>
      </c>
      <c r="CS51" s="800" t="s">
        <v>1942</v>
      </c>
      <c r="CT51" s="805" t="s">
        <v>1942</v>
      </c>
      <c r="CU51" s="1284">
        <v>-4.1770000000000002E-3</v>
      </c>
      <c r="CV51" s="1283" t="s">
        <v>1942</v>
      </c>
      <c r="CW51" s="1283" t="s">
        <v>1942</v>
      </c>
      <c r="CX51" s="1285" t="s">
        <v>1942</v>
      </c>
      <c r="CY51" s="1283">
        <v>4.1770000000000002E-3</v>
      </c>
      <c r="CZ51" s="1283" t="s">
        <v>1942</v>
      </c>
      <c r="DA51" s="1283" t="s">
        <v>1942</v>
      </c>
      <c r="DB51" s="1285" t="s">
        <v>1942</v>
      </c>
      <c r="DC51" s="785"/>
      <c r="DD51" s="813">
        <v>1</v>
      </c>
      <c r="DE51" s="814"/>
    </row>
    <row r="52" spans="1:109" ht="15.75" hidden="1" customHeight="1">
      <c r="A52" s="772" t="s">
        <v>1015</v>
      </c>
      <c r="B52" s="773">
        <v>46</v>
      </c>
      <c r="C52" s="789" t="s">
        <v>2099</v>
      </c>
      <c r="D52" s="773" t="s">
        <v>2072</v>
      </c>
      <c r="E52" s="773" t="s">
        <v>1889</v>
      </c>
      <c r="F52" s="785">
        <v>18</v>
      </c>
      <c r="G52" s="790" t="s">
        <v>2100</v>
      </c>
      <c r="H52" s="791" t="s">
        <v>2101</v>
      </c>
      <c r="I52" s="792"/>
      <c r="J52" s="793">
        <v>1</v>
      </c>
      <c r="K52" s="793"/>
      <c r="L52" s="793"/>
      <c r="M52" s="793"/>
      <c r="N52" s="793"/>
      <c r="O52" s="793"/>
      <c r="P52" s="794"/>
      <c r="Q52" s="795">
        <f t="shared" si="0"/>
        <v>1</v>
      </c>
      <c r="R52" s="789" t="s">
        <v>1007</v>
      </c>
      <c r="S52" s="773"/>
      <c r="T52" s="796"/>
      <c r="U52" s="773" t="s">
        <v>2074</v>
      </c>
      <c r="V52" s="773" t="s">
        <v>1033</v>
      </c>
      <c r="W52" s="773" t="s">
        <v>2102</v>
      </c>
      <c r="X52" s="1309">
        <v>0</v>
      </c>
      <c r="Y52" s="821" t="s">
        <v>1020</v>
      </c>
      <c r="Z52" s="790"/>
      <c r="AA52" s="785"/>
      <c r="AB52" s="785"/>
      <c r="AC52" s="785"/>
      <c r="AD52" s="785"/>
      <c r="AE52" s="785"/>
      <c r="AF52" s="799"/>
      <c r="AG52" s="800"/>
      <c r="AH52" s="800"/>
      <c r="AI52" s="800"/>
      <c r="AJ52" s="800"/>
      <c r="AK52" s="800"/>
      <c r="AL52" s="800"/>
      <c r="AM52" s="800"/>
      <c r="AN52" s="800"/>
      <c r="AO52" s="800"/>
      <c r="AP52" s="800"/>
      <c r="AQ52" s="808">
        <v>3063</v>
      </c>
      <c r="AR52" s="800">
        <v>3063</v>
      </c>
      <c r="AS52" s="800">
        <v>3063</v>
      </c>
      <c r="AT52" s="800">
        <v>3063</v>
      </c>
      <c r="AU52" s="805">
        <v>3063</v>
      </c>
      <c r="AV52" s="808"/>
      <c r="AW52" s="800"/>
      <c r="AX52" s="800"/>
      <c r="AY52" s="800"/>
      <c r="AZ52" s="800"/>
      <c r="BA52" s="800"/>
      <c r="BB52" s="800"/>
      <c r="BC52" s="800"/>
      <c r="BD52" s="800"/>
      <c r="BE52" s="800"/>
      <c r="BF52" s="800"/>
      <c r="BG52" s="800"/>
      <c r="BH52" s="800"/>
      <c r="BI52" s="800"/>
      <c r="BJ52" s="800"/>
      <c r="BK52" s="805"/>
      <c r="BL52" s="789"/>
      <c r="BM52" s="785"/>
      <c r="BN52" s="785"/>
      <c r="BO52" s="785"/>
      <c r="BP52" s="796"/>
      <c r="BQ52" s="808" t="s">
        <v>1942</v>
      </c>
      <c r="BR52" s="800" t="s">
        <v>1942</v>
      </c>
      <c r="BS52" s="800" t="s">
        <v>1942</v>
      </c>
      <c r="BT52" s="800" t="s">
        <v>1942</v>
      </c>
      <c r="BU52" s="805" t="s">
        <v>1942</v>
      </c>
      <c r="BV52" s="808" t="s">
        <v>1942</v>
      </c>
      <c r="BW52" s="800" t="s">
        <v>1942</v>
      </c>
      <c r="BX52" s="800" t="s">
        <v>1942</v>
      </c>
      <c r="BY52" s="800" t="s">
        <v>1942</v>
      </c>
      <c r="BZ52" s="800" t="s">
        <v>1942</v>
      </c>
      <c r="CA52" s="808" t="s">
        <v>1942</v>
      </c>
      <c r="CB52" s="800" t="s">
        <v>1942</v>
      </c>
      <c r="CC52" s="800" t="s">
        <v>1942</v>
      </c>
      <c r="CD52" s="800" t="s">
        <v>1942</v>
      </c>
      <c r="CE52" s="805" t="s">
        <v>1942</v>
      </c>
      <c r="CF52" s="800" t="s">
        <v>1942</v>
      </c>
      <c r="CG52" s="800" t="s">
        <v>1942</v>
      </c>
      <c r="CH52" s="800" t="s">
        <v>1942</v>
      </c>
      <c r="CI52" s="800" t="s">
        <v>1942</v>
      </c>
      <c r="CJ52" s="805" t="s">
        <v>1942</v>
      </c>
      <c r="CK52" s="808" t="s">
        <v>1942</v>
      </c>
      <c r="CL52" s="800" t="s">
        <v>1942</v>
      </c>
      <c r="CM52" s="800" t="s">
        <v>1942</v>
      </c>
      <c r="CN52" s="800" t="s">
        <v>1942</v>
      </c>
      <c r="CO52" s="805" t="s">
        <v>1942</v>
      </c>
      <c r="CP52" s="808" t="s">
        <v>1942</v>
      </c>
      <c r="CQ52" s="800" t="s">
        <v>1942</v>
      </c>
      <c r="CR52" s="800" t="s">
        <v>1942</v>
      </c>
      <c r="CS52" s="800" t="s">
        <v>1942</v>
      </c>
      <c r="CT52" s="805" t="s">
        <v>1942</v>
      </c>
      <c r="CU52" s="1284" t="s">
        <v>1942</v>
      </c>
      <c r="CV52" s="1283" t="s">
        <v>1942</v>
      </c>
      <c r="CW52" s="1283" t="s">
        <v>1942</v>
      </c>
      <c r="CX52" s="1285" t="s">
        <v>1942</v>
      </c>
      <c r="CY52" s="1283" t="s">
        <v>1942</v>
      </c>
      <c r="CZ52" s="1283" t="s">
        <v>1942</v>
      </c>
      <c r="DA52" s="1283" t="s">
        <v>1942</v>
      </c>
      <c r="DB52" s="1285" t="s">
        <v>1942</v>
      </c>
      <c r="DC52" s="785"/>
      <c r="DD52" s="813">
        <v>1</v>
      </c>
      <c r="DE52" s="814"/>
    </row>
    <row r="53" spans="1:109" ht="15.75" hidden="1" customHeight="1">
      <c r="A53" s="772" t="s">
        <v>1015</v>
      </c>
      <c r="B53" s="773">
        <v>47</v>
      </c>
      <c r="C53" s="789" t="s">
        <v>2103</v>
      </c>
      <c r="D53" s="773" t="s">
        <v>2061</v>
      </c>
      <c r="E53" s="773" t="s">
        <v>1889</v>
      </c>
      <c r="F53" s="785">
        <v>19</v>
      </c>
      <c r="G53" s="790" t="s">
        <v>2104</v>
      </c>
      <c r="H53" s="791" t="s">
        <v>2105</v>
      </c>
      <c r="I53" s="792"/>
      <c r="J53" s="793"/>
      <c r="K53" s="793">
        <v>1</v>
      </c>
      <c r="L53" s="793"/>
      <c r="M53" s="793"/>
      <c r="N53" s="793"/>
      <c r="O53" s="793"/>
      <c r="P53" s="794"/>
      <c r="Q53" s="795">
        <f t="shared" si="0"/>
        <v>1</v>
      </c>
      <c r="R53" s="789" t="s">
        <v>1030</v>
      </c>
      <c r="S53" s="773" t="s">
        <v>1008</v>
      </c>
      <c r="T53" s="796" t="s">
        <v>1019</v>
      </c>
      <c r="U53" s="773" t="s">
        <v>2106</v>
      </c>
      <c r="V53" s="773" t="s">
        <v>1033</v>
      </c>
      <c r="W53" s="773" t="s">
        <v>2107</v>
      </c>
      <c r="X53" s="829">
        <v>0</v>
      </c>
      <c r="Y53" s="821" t="s">
        <v>1010</v>
      </c>
      <c r="Z53" s="790"/>
      <c r="AA53" s="785"/>
      <c r="AB53" s="785"/>
      <c r="AC53" s="785"/>
      <c r="AD53" s="785"/>
      <c r="AE53" s="785"/>
      <c r="AF53" s="799"/>
      <c r="AG53" s="800"/>
      <c r="AH53" s="800"/>
      <c r="AI53" s="800"/>
      <c r="AJ53" s="800"/>
      <c r="AK53" s="800"/>
      <c r="AL53" s="800"/>
      <c r="AM53" s="800"/>
      <c r="AN53" s="800"/>
      <c r="AO53" s="800"/>
      <c r="AP53" s="800"/>
      <c r="AQ53" s="808">
        <v>33</v>
      </c>
      <c r="AR53" s="800">
        <v>33</v>
      </c>
      <c r="AS53" s="800">
        <v>34</v>
      </c>
      <c r="AT53" s="800">
        <v>35</v>
      </c>
      <c r="AU53" s="805">
        <v>36</v>
      </c>
      <c r="AV53" s="808"/>
      <c r="AW53" s="800"/>
      <c r="AX53" s="800"/>
      <c r="AY53" s="800"/>
      <c r="AZ53" s="800"/>
      <c r="BA53" s="800"/>
      <c r="BB53" s="800"/>
      <c r="BC53" s="800"/>
      <c r="BD53" s="800"/>
      <c r="BE53" s="800"/>
      <c r="BF53" s="800"/>
      <c r="BG53" s="800"/>
      <c r="BH53" s="800"/>
      <c r="BI53" s="800"/>
      <c r="BJ53" s="800"/>
      <c r="BK53" s="805"/>
      <c r="BL53" s="1376"/>
      <c r="BM53" s="1377"/>
      <c r="BN53" s="1377"/>
      <c r="BO53" s="1377"/>
      <c r="BP53" s="796" t="s">
        <v>168</v>
      </c>
      <c r="BQ53" s="808" t="s">
        <v>1942</v>
      </c>
      <c r="BR53" s="800" t="s">
        <v>1942</v>
      </c>
      <c r="BS53" s="800" t="s">
        <v>1942</v>
      </c>
      <c r="BT53" s="800" t="s">
        <v>1942</v>
      </c>
      <c r="BU53" s="805" t="s">
        <v>1942</v>
      </c>
      <c r="BV53" s="808">
        <v>25</v>
      </c>
      <c r="BW53" s="800">
        <v>25</v>
      </c>
      <c r="BX53" s="800">
        <v>26</v>
      </c>
      <c r="BY53" s="800">
        <v>27</v>
      </c>
      <c r="BZ53" s="800">
        <v>28</v>
      </c>
      <c r="CA53" s="808" t="s">
        <v>1942</v>
      </c>
      <c r="CB53" s="800" t="s">
        <v>1942</v>
      </c>
      <c r="CC53" s="800" t="s">
        <v>1942</v>
      </c>
      <c r="CD53" s="800" t="s">
        <v>1942</v>
      </c>
      <c r="CE53" s="805" t="s">
        <v>1942</v>
      </c>
      <c r="CF53" s="800" t="s">
        <v>1942</v>
      </c>
      <c r="CG53" s="800" t="s">
        <v>1942</v>
      </c>
      <c r="CH53" s="800" t="s">
        <v>1942</v>
      </c>
      <c r="CI53" s="800" t="s">
        <v>1942</v>
      </c>
      <c r="CJ53" s="805" t="s">
        <v>1942</v>
      </c>
      <c r="CK53" s="808">
        <v>38</v>
      </c>
      <c r="CL53" s="800">
        <v>38</v>
      </c>
      <c r="CM53" s="800">
        <v>39</v>
      </c>
      <c r="CN53" s="800">
        <v>40</v>
      </c>
      <c r="CO53" s="805">
        <v>41</v>
      </c>
      <c r="CP53" s="808" t="s">
        <v>1942</v>
      </c>
      <c r="CQ53" s="800" t="s">
        <v>1942</v>
      </c>
      <c r="CR53" s="800" t="s">
        <v>1942</v>
      </c>
      <c r="CS53" s="800" t="s">
        <v>1942</v>
      </c>
      <c r="CT53" s="805" t="s">
        <v>1942</v>
      </c>
      <c r="CU53" s="1284">
        <v>-0.2248</v>
      </c>
      <c r="CV53" s="1283" t="s">
        <v>1942</v>
      </c>
      <c r="CW53" s="1283" t="s">
        <v>1942</v>
      </c>
      <c r="CX53" s="1285" t="s">
        <v>1942</v>
      </c>
      <c r="CY53" s="1283">
        <v>0.1154</v>
      </c>
      <c r="CZ53" s="1283" t="s">
        <v>1942</v>
      </c>
      <c r="DA53" s="1283" t="s">
        <v>1942</v>
      </c>
      <c r="DB53" s="1285" t="s">
        <v>1942</v>
      </c>
      <c r="DC53" s="785"/>
      <c r="DD53" s="813">
        <v>4</v>
      </c>
      <c r="DE53" s="814" t="s">
        <v>2108</v>
      </c>
    </row>
    <row r="54" spans="1:109" ht="15.75" hidden="1" customHeight="1">
      <c r="A54" s="772" t="s">
        <v>1015</v>
      </c>
      <c r="B54" s="773">
        <v>48</v>
      </c>
      <c r="C54" s="928" t="s">
        <v>2109</v>
      </c>
      <c r="D54" s="773" t="s">
        <v>2061</v>
      </c>
      <c r="E54" s="773" t="s">
        <v>1907</v>
      </c>
      <c r="F54" s="785">
        <v>20</v>
      </c>
      <c r="G54" s="790" t="s">
        <v>2110</v>
      </c>
      <c r="H54" s="791" t="s">
        <v>2111</v>
      </c>
      <c r="I54" s="792">
        <v>1</v>
      </c>
      <c r="J54" s="793"/>
      <c r="K54" s="793"/>
      <c r="L54" s="793"/>
      <c r="M54" s="793"/>
      <c r="N54" s="793"/>
      <c r="O54" s="793"/>
      <c r="P54" s="794"/>
      <c r="Q54" s="795">
        <f t="shared" si="0"/>
        <v>1</v>
      </c>
      <c r="R54" s="789" t="s">
        <v>1030</v>
      </c>
      <c r="S54" s="773" t="s">
        <v>1008</v>
      </c>
      <c r="T54" s="796" t="s">
        <v>1009</v>
      </c>
      <c r="U54" s="773" t="s">
        <v>1979</v>
      </c>
      <c r="V54" s="773" t="s">
        <v>1033</v>
      </c>
      <c r="W54" s="773" t="s">
        <v>2112</v>
      </c>
      <c r="X54" s="1274">
        <v>0</v>
      </c>
      <c r="Y54" s="819" t="s">
        <v>1020</v>
      </c>
      <c r="Z54" s="790"/>
      <c r="AA54" s="785"/>
      <c r="AB54" s="785"/>
      <c r="AC54" s="785"/>
      <c r="AD54" s="785"/>
      <c r="AE54" s="785"/>
      <c r="AF54" s="799"/>
      <c r="AG54" s="800"/>
      <c r="AH54" s="800"/>
      <c r="AI54" s="800"/>
      <c r="AJ54" s="800"/>
      <c r="AK54" s="800"/>
      <c r="AL54" s="800"/>
      <c r="AM54" s="800"/>
      <c r="AN54" s="800"/>
      <c r="AO54" s="800"/>
      <c r="AP54" s="800"/>
      <c r="AQ54" s="1420"/>
      <c r="AR54" s="1368"/>
      <c r="AS54" s="1368"/>
      <c r="AT54" s="1368"/>
      <c r="AU54" s="1369"/>
      <c r="AV54" s="808"/>
      <c r="AW54" s="800"/>
      <c r="AX54" s="800"/>
      <c r="AY54" s="800"/>
      <c r="AZ54" s="800"/>
      <c r="BA54" s="800"/>
      <c r="BB54" s="800"/>
      <c r="BC54" s="800"/>
      <c r="BD54" s="800"/>
      <c r="BE54" s="800"/>
      <c r="BF54" s="800"/>
      <c r="BG54" s="800"/>
      <c r="BH54" s="800"/>
      <c r="BI54" s="800"/>
      <c r="BJ54" s="800"/>
      <c r="BK54" s="805"/>
      <c r="BL54" s="789" t="s">
        <v>168</v>
      </c>
      <c r="BM54" s="785" t="s">
        <v>168</v>
      </c>
      <c r="BN54" s="785" t="s">
        <v>168</v>
      </c>
      <c r="BO54" s="785" t="s">
        <v>168</v>
      </c>
      <c r="BP54" s="796" t="s">
        <v>168</v>
      </c>
      <c r="BQ54" s="808" t="s">
        <v>1942</v>
      </c>
      <c r="BR54" s="800" t="s">
        <v>1942</v>
      </c>
      <c r="BS54" s="800" t="s">
        <v>1942</v>
      </c>
      <c r="BT54" s="800" t="s">
        <v>1942</v>
      </c>
      <c r="BU54" s="805" t="s">
        <v>1942</v>
      </c>
      <c r="BV54" s="1420"/>
      <c r="BW54" s="1368"/>
      <c r="BX54" s="1368"/>
      <c r="BY54" s="1368"/>
      <c r="BZ54" s="1368"/>
      <c r="CA54" s="808" t="s">
        <v>1942</v>
      </c>
      <c r="CB54" s="800" t="s">
        <v>1942</v>
      </c>
      <c r="CC54" s="800" t="s">
        <v>1942</v>
      </c>
      <c r="CD54" s="800" t="s">
        <v>1942</v>
      </c>
      <c r="CE54" s="805" t="s">
        <v>1942</v>
      </c>
      <c r="CF54" s="800" t="s">
        <v>1942</v>
      </c>
      <c r="CG54" s="800" t="s">
        <v>1942</v>
      </c>
      <c r="CH54" s="800" t="s">
        <v>1942</v>
      </c>
      <c r="CI54" s="800" t="s">
        <v>1942</v>
      </c>
      <c r="CJ54" s="805" t="s">
        <v>1942</v>
      </c>
      <c r="CK54" s="1420"/>
      <c r="CL54" s="1368"/>
      <c r="CM54" s="1368"/>
      <c r="CN54" s="1368"/>
      <c r="CO54" s="1369"/>
      <c r="CP54" s="808" t="s">
        <v>1942</v>
      </c>
      <c r="CQ54" s="800" t="s">
        <v>1942</v>
      </c>
      <c r="CR54" s="800" t="s">
        <v>1942</v>
      </c>
      <c r="CS54" s="800" t="s">
        <v>1942</v>
      </c>
      <c r="CT54" s="805" t="s">
        <v>1942</v>
      </c>
      <c r="CU54" s="1528"/>
      <c r="CV54" s="1283" t="s">
        <v>1942</v>
      </c>
      <c r="CW54" s="1283" t="s">
        <v>1942</v>
      </c>
      <c r="CX54" s="1285" t="s">
        <v>1942</v>
      </c>
      <c r="CY54" s="1519"/>
      <c r="CZ54" s="1283" t="s">
        <v>1942</v>
      </c>
      <c r="DA54" s="1283" t="s">
        <v>1942</v>
      </c>
      <c r="DB54" s="1285" t="s">
        <v>1942</v>
      </c>
      <c r="DC54" s="785" t="s">
        <v>131</v>
      </c>
      <c r="DD54" s="813">
        <v>1</v>
      </c>
      <c r="DE54" s="814"/>
    </row>
    <row r="55" spans="1:109" ht="15.75" hidden="1" customHeight="1">
      <c r="A55" s="772" t="s">
        <v>1015</v>
      </c>
      <c r="B55" s="773">
        <v>49</v>
      </c>
      <c r="C55" s="789" t="s">
        <v>2113</v>
      </c>
      <c r="D55" s="773" t="s">
        <v>2114</v>
      </c>
      <c r="E55" s="773" t="s">
        <v>1907</v>
      </c>
      <c r="F55" s="785">
        <v>21</v>
      </c>
      <c r="G55" s="790" t="s">
        <v>2115</v>
      </c>
      <c r="H55" s="791" t="s">
        <v>2116</v>
      </c>
      <c r="I55" s="792"/>
      <c r="J55" s="793"/>
      <c r="K55" s="793"/>
      <c r="L55" s="793"/>
      <c r="M55" s="793">
        <v>1</v>
      </c>
      <c r="N55" s="793"/>
      <c r="O55" s="793"/>
      <c r="P55" s="794"/>
      <c r="Q55" s="795">
        <f t="shared" si="0"/>
        <v>1</v>
      </c>
      <c r="R55" s="789" t="s">
        <v>1007</v>
      </c>
      <c r="S55" s="773"/>
      <c r="T55" s="796"/>
      <c r="U55" s="773" t="s">
        <v>2117</v>
      </c>
      <c r="V55" s="773" t="s">
        <v>2118</v>
      </c>
      <c r="W55" s="773" t="s">
        <v>2119</v>
      </c>
      <c r="X55" s="1309">
        <v>1</v>
      </c>
      <c r="Y55" s="819" t="s">
        <v>1010</v>
      </c>
      <c r="Z55" s="790"/>
      <c r="AA55" s="785"/>
      <c r="AB55" s="785"/>
      <c r="AC55" s="785"/>
      <c r="AD55" s="785"/>
      <c r="AE55" s="785"/>
      <c r="AF55" s="799"/>
      <c r="AG55" s="800"/>
      <c r="AH55" s="800"/>
      <c r="AI55" s="800"/>
      <c r="AJ55" s="800"/>
      <c r="AK55" s="800"/>
      <c r="AL55" s="800"/>
      <c r="AM55" s="800"/>
      <c r="AN55" s="800"/>
      <c r="AO55" s="800"/>
      <c r="AP55" s="800"/>
      <c r="AQ55" s="808">
        <v>47.5</v>
      </c>
      <c r="AR55" s="800">
        <v>52</v>
      </c>
      <c r="AS55" s="800">
        <v>56.5</v>
      </c>
      <c r="AT55" s="800">
        <v>61</v>
      </c>
      <c r="AU55" s="805">
        <v>65</v>
      </c>
      <c r="AV55" s="808"/>
      <c r="AW55" s="800"/>
      <c r="AX55" s="800"/>
      <c r="AY55" s="800"/>
      <c r="AZ55" s="800"/>
      <c r="BA55" s="800"/>
      <c r="BB55" s="800"/>
      <c r="BC55" s="800"/>
      <c r="BD55" s="800"/>
      <c r="BE55" s="800"/>
      <c r="BF55" s="800"/>
      <c r="BG55" s="800"/>
      <c r="BH55" s="800"/>
      <c r="BI55" s="800"/>
      <c r="BJ55" s="800"/>
      <c r="BK55" s="805"/>
      <c r="BL55" s="789" t="s">
        <v>168</v>
      </c>
      <c r="BM55" s="785" t="s">
        <v>168</v>
      </c>
      <c r="BN55" s="785" t="s">
        <v>168</v>
      </c>
      <c r="BO55" s="785" t="s">
        <v>168</v>
      </c>
      <c r="BP55" s="796" t="s">
        <v>168</v>
      </c>
      <c r="BQ55" s="808" t="s">
        <v>1942</v>
      </c>
      <c r="BR55" s="800" t="s">
        <v>1942</v>
      </c>
      <c r="BS55" s="800" t="s">
        <v>1942</v>
      </c>
      <c r="BT55" s="800" t="s">
        <v>1942</v>
      </c>
      <c r="BU55" s="805" t="s">
        <v>1942</v>
      </c>
      <c r="BV55" s="808" t="s">
        <v>1942</v>
      </c>
      <c r="BW55" s="800" t="s">
        <v>1942</v>
      </c>
      <c r="BX55" s="800" t="s">
        <v>1942</v>
      </c>
      <c r="BY55" s="800" t="s">
        <v>1942</v>
      </c>
      <c r="BZ55" s="800" t="s">
        <v>1942</v>
      </c>
      <c r="CA55" s="808" t="s">
        <v>1942</v>
      </c>
      <c r="CB55" s="800" t="s">
        <v>1942</v>
      </c>
      <c r="CC55" s="800" t="s">
        <v>1942</v>
      </c>
      <c r="CD55" s="800" t="s">
        <v>1942</v>
      </c>
      <c r="CE55" s="805" t="s">
        <v>1942</v>
      </c>
      <c r="CF55" s="800" t="s">
        <v>1942</v>
      </c>
      <c r="CG55" s="800" t="s">
        <v>1942</v>
      </c>
      <c r="CH55" s="800" t="s">
        <v>1942</v>
      </c>
      <c r="CI55" s="800" t="s">
        <v>1942</v>
      </c>
      <c r="CJ55" s="805" t="s">
        <v>1942</v>
      </c>
      <c r="CK55" s="808" t="s">
        <v>1942</v>
      </c>
      <c r="CL55" s="800" t="s">
        <v>1942</v>
      </c>
      <c r="CM55" s="800" t="s">
        <v>1942</v>
      </c>
      <c r="CN55" s="800" t="s">
        <v>1942</v>
      </c>
      <c r="CO55" s="805" t="s">
        <v>1942</v>
      </c>
      <c r="CP55" s="808" t="s">
        <v>1942</v>
      </c>
      <c r="CQ55" s="800" t="s">
        <v>1942</v>
      </c>
      <c r="CR55" s="800" t="s">
        <v>1942</v>
      </c>
      <c r="CS55" s="800" t="s">
        <v>1942</v>
      </c>
      <c r="CT55" s="805" t="s">
        <v>1942</v>
      </c>
      <c r="CU55" s="1284" t="s">
        <v>1942</v>
      </c>
      <c r="CV55" s="1283" t="s">
        <v>1942</v>
      </c>
      <c r="CW55" s="1283" t="s">
        <v>1942</v>
      </c>
      <c r="CX55" s="1285" t="s">
        <v>1942</v>
      </c>
      <c r="CY55" s="1283" t="s">
        <v>1942</v>
      </c>
      <c r="CZ55" s="1283" t="s">
        <v>1942</v>
      </c>
      <c r="DA55" s="1283" t="s">
        <v>1942</v>
      </c>
      <c r="DB55" s="1285" t="s">
        <v>1942</v>
      </c>
      <c r="DC55" s="785"/>
      <c r="DD55" s="813">
        <v>1</v>
      </c>
      <c r="DE55" s="814"/>
    </row>
    <row r="56" spans="1:109" ht="15.75" hidden="1" customHeight="1">
      <c r="A56" s="772" t="s">
        <v>1015</v>
      </c>
      <c r="B56" s="773">
        <v>50</v>
      </c>
      <c r="C56" s="789" t="s">
        <v>2120</v>
      </c>
      <c r="D56" s="773" t="s">
        <v>2114</v>
      </c>
      <c r="E56" s="773" t="s">
        <v>1907</v>
      </c>
      <c r="F56" s="785">
        <v>22</v>
      </c>
      <c r="G56" s="790" t="s">
        <v>703</v>
      </c>
      <c r="H56" s="791" t="s">
        <v>2121</v>
      </c>
      <c r="I56" s="792"/>
      <c r="J56" s="793"/>
      <c r="K56" s="793"/>
      <c r="L56" s="793"/>
      <c r="M56" s="793">
        <v>1</v>
      </c>
      <c r="N56" s="793"/>
      <c r="O56" s="793"/>
      <c r="P56" s="794"/>
      <c r="Q56" s="795">
        <f t="shared" si="0"/>
        <v>1</v>
      </c>
      <c r="R56" s="789" t="s">
        <v>1007</v>
      </c>
      <c r="S56" s="773"/>
      <c r="T56" s="796"/>
      <c r="U56" s="773" t="s">
        <v>2117</v>
      </c>
      <c r="V56" s="773" t="s">
        <v>278</v>
      </c>
      <c r="W56" s="773" t="s">
        <v>2122</v>
      </c>
      <c r="X56" s="829">
        <v>1</v>
      </c>
      <c r="Y56" s="826" t="s">
        <v>1010</v>
      </c>
      <c r="Z56" s="790" t="s">
        <v>703</v>
      </c>
      <c r="AA56" s="785"/>
      <c r="AB56" s="785"/>
      <c r="AC56" s="785"/>
      <c r="AD56" s="785"/>
      <c r="AE56" s="785"/>
      <c r="AF56" s="799"/>
      <c r="AG56" s="800"/>
      <c r="AH56" s="800"/>
      <c r="AI56" s="800"/>
      <c r="AJ56" s="800"/>
      <c r="AK56" s="800"/>
      <c r="AL56" s="800"/>
      <c r="AM56" s="800"/>
      <c r="AN56" s="800"/>
      <c r="AO56" s="800"/>
      <c r="AP56" s="800"/>
      <c r="AQ56" s="1420"/>
      <c r="AR56" s="1368"/>
      <c r="AS56" s="1368"/>
      <c r="AT56" s="1368"/>
      <c r="AU56" s="1369"/>
      <c r="AV56" s="1420"/>
      <c r="AW56" s="1368"/>
      <c r="AX56" s="1368"/>
      <c r="AY56" s="1368"/>
      <c r="AZ56" s="1368"/>
      <c r="BA56" s="1368"/>
      <c r="BB56" s="1368"/>
      <c r="BC56" s="1368"/>
      <c r="BD56" s="1368"/>
      <c r="BE56" s="1368"/>
      <c r="BF56" s="1368"/>
      <c r="BG56" s="1368"/>
      <c r="BH56" s="1368"/>
      <c r="BI56" s="1368"/>
      <c r="BJ56" s="1368"/>
      <c r="BK56" s="1369"/>
      <c r="BL56" s="1737"/>
      <c r="BM56" s="1738"/>
      <c r="BN56" s="1738"/>
      <c r="BO56" s="1738"/>
      <c r="BP56" s="1739"/>
      <c r="BQ56" s="1420"/>
      <c r="BR56" s="1368"/>
      <c r="BS56" s="1368"/>
      <c r="BT56" s="1368"/>
      <c r="BU56" s="1369"/>
      <c r="BV56" s="1420"/>
      <c r="BW56" s="1368"/>
      <c r="BX56" s="1368"/>
      <c r="BY56" s="1368"/>
      <c r="BZ56" s="1368"/>
      <c r="CA56" s="1420"/>
      <c r="CB56" s="1368"/>
      <c r="CC56" s="1368"/>
      <c r="CD56" s="1368"/>
      <c r="CE56" s="1369"/>
      <c r="CF56" s="1368"/>
      <c r="CG56" s="1368"/>
      <c r="CH56" s="1368"/>
      <c r="CI56" s="1368"/>
      <c r="CJ56" s="1369"/>
      <c r="CK56" s="1420"/>
      <c r="CL56" s="1368"/>
      <c r="CM56" s="1368"/>
      <c r="CN56" s="1368"/>
      <c r="CO56" s="1369"/>
      <c r="CP56" s="1420"/>
      <c r="CQ56" s="1368"/>
      <c r="CR56" s="1368"/>
      <c r="CS56" s="1368"/>
      <c r="CT56" s="1369"/>
      <c r="CU56" s="1528"/>
      <c r="CV56" s="1519"/>
      <c r="CW56" s="1519"/>
      <c r="CX56" s="1728"/>
      <c r="CY56" s="1519"/>
      <c r="CZ56" s="1519"/>
      <c r="DA56" s="1519"/>
      <c r="DB56" s="1728"/>
      <c r="DC56" s="1377"/>
      <c r="DD56" s="1729"/>
      <c r="DE56" s="1734"/>
    </row>
    <row r="57" spans="1:109" ht="15.75" hidden="1" customHeight="1">
      <c r="A57" s="772" t="s">
        <v>1015</v>
      </c>
      <c r="B57" s="773">
        <v>51</v>
      </c>
      <c r="C57" s="789" t="s">
        <v>2123</v>
      </c>
      <c r="D57" s="773" t="s">
        <v>2124</v>
      </c>
      <c r="E57" s="773" t="s">
        <v>1907</v>
      </c>
      <c r="F57" s="785">
        <v>23</v>
      </c>
      <c r="G57" s="790" t="s">
        <v>2125</v>
      </c>
      <c r="H57" s="791" t="s">
        <v>2126</v>
      </c>
      <c r="I57" s="792"/>
      <c r="J57" s="793"/>
      <c r="K57" s="793"/>
      <c r="L57" s="793"/>
      <c r="M57" s="793">
        <v>1</v>
      </c>
      <c r="N57" s="793"/>
      <c r="O57" s="793"/>
      <c r="P57" s="794"/>
      <c r="Q57" s="795">
        <f t="shared" si="0"/>
        <v>1</v>
      </c>
      <c r="R57" s="789" t="s">
        <v>1030</v>
      </c>
      <c r="S57" s="773" t="s">
        <v>1008</v>
      </c>
      <c r="T57" s="796" t="s">
        <v>1009</v>
      </c>
      <c r="U57" s="773" t="s">
        <v>2117</v>
      </c>
      <c r="V57" s="773" t="s">
        <v>278</v>
      </c>
      <c r="W57" s="773" t="s">
        <v>2127</v>
      </c>
      <c r="X57" s="829">
        <v>2</v>
      </c>
      <c r="Y57" s="821" t="s">
        <v>1020</v>
      </c>
      <c r="Z57" s="790"/>
      <c r="AA57" s="785"/>
      <c r="AB57" s="785"/>
      <c r="AC57" s="785"/>
      <c r="AD57" s="785"/>
      <c r="AE57" s="785"/>
      <c r="AF57" s="799"/>
      <c r="AG57" s="800"/>
      <c r="AH57" s="800"/>
      <c r="AI57" s="800"/>
      <c r="AJ57" s="800"/>
      <c r="AK57" s="800"/>
      <c r="AL57" s="800"/>
      <c r="AM57" s="800"/>
      <c r="AN57" s="800"/>
      <c r="AO57" s="800"/>
      <c r="AP57" s="800"/>
      <c r="AQ57" s="808">
        <v>0.5</v>
      </c>
      <c r="AR57" s="800">
        <v>0.4</v>
      </c>
      <c r="AS57" s="800">
        <v>0.35</v>
      </c>
      <c r="AT57" s="800">
        <v>0.3</v>
      </c>
      <c r="AU57" s="805">
        <v>0.25</v>
      </c>
      <c r="AV57" s="808"/>
      <c r="AW57" s="800"/>
      <c r="AX57" s="800"/>
      <c r="AY57" s="800"/>
      <c r="AZ57" s="800"/>
      <c r="BA57" s="800"/>
      <c r="BB57" s="800"/>
      <c r="BC57" s="800"/>
      <c r="BD57" s="800"/>
      <c r="BE57" s="800"/>
      <c r="BF57" s="800"/>
      <c r="BG57" s="800"/>
      <c r="BH57" s="800"/>
      <c r="BI57" s="800"/>
      <c r="BJ57" s="800"/>
      <c r="BK57" s="805"/>
      <c r="BL57" s="789" t="s">
        <v>168</v>
      </c>
      <c r="BM57" s="785" t="s">
        <v>168</v>
      </c>
      <c r="BN57" s="785" t="s">
        <v>168</v>
      </c>
      <c r="BO57" s="785" t="s">
        <v>168</v>
      </c>
      <c r="BP57" s="796" t="s">
        <v>168</v>
      </c>
      <c r="BQ57" s="808" t="s">
        <v>1942</v>
      </c>
      <c r="BR57" s="800" t="s">
        <v>1942</v>
      </c>
      <c r="BS57" s="800" t="s">
        <v>1942</v>
      </c>
      <c r="BT57" s="800" t="s">
        <v>1942</v>
      </c>
      <c r="BU57" s="805" t="s">
        <v>1942</v>
      </c>
      <c r="BV57" s="806">
        <v>0.75</v>
      </c>
      <c r="BW57" s="807">
        <v>0.65</v>
      </c>
      <c r="BX57" s="807">
        <v>0.6</v>
      </c>
      <c r="BY57" s="807">
        <v>0.55000000000000004</v>
      </c>
      <c r="BZ57" s="807">
        <v>0.5</v>
      </c>
      <c r="CA57" s="808" t="s">
        <v>1942</v>
      </c>
      <c r="CB57" s="800" t="s">
        <v>1942</v>
      </c>
      <c r="CC57" s="800" t="s">
        <v>1942</v>
      </c>
      <c r="CD57" s="800" t="s">
        <v>1942</v>
      </c>
      <c r="CE57" s="805" t="s">
        <v>1942</v>
      </c>
      <c r="CF57" s="800" t="s">
        <v>1942</v>
      </c>
      <c r="CG57" s="800" t="s">
        <v>1942</v>
      </c>
      <c r="CH57" s="800" t="s">
        <v>1942</v>
      </c>
      <c r="CI57" s="800" t="s">
        <v>1942</v>
      </c>
      <c r="CJ57" s="805" t="s">
        <v>1942</v>
      </c>
      <c r="CK57" s="808" t="s">
        <v>1942</v>
      </c>
      <c r="CL57" s="800" t="s">
        <v>1942</v>
      </c>
      <c r="CM57" s="800" t="s">
        <v>1942</v>
      </c>
      <c r="CN57" s="800" t="s">
        <v>1942</v>
      </c>
      <c r="CO57" s="805" t="s">
        <v>1942</v>
      </c>
      <c r="CP57" s="808" t="s">
        <v>1942</v>
      </c>
      <c r="CQ57" s="800" t="s">
        <v>1942</v>
      </c>
      <c r="CR57" s="800" t="s">
        <v>1942</v>
      </c>
      <c r="CS57" s="800" t="s">
        <v>1942</v>
      </c>
      <c r="CT57" s="805" t="s">
        <v>1942</v>
      </c>
      <c r="CU57" s="1284">
        <v>-4.7160000000000002</v>
      </c>
      <c r="CV57" s="1283" t="s">
        <v>1942</v>
      </c>
      <c r="CW57" s="1283" t="s">
        <v>1942</v>
      </c>
      <c r="CX57" s="1285" t="s">
        <v>1942</v>
      </c>
      <c r="CY57" s="1283">
        <v>4.7160000000000002</v>
      </c>
      <c r="CZ57" s="1283" t="s">
        <v>1942</v>
      </c>
      <c r="DA57" s="1283" t="s">
        <v>1942</v>
      </c>
      <c r="DB57" s="1285" t="s">
        <v>1942</v>
      </c>
      <c r="DC57" s="785"/>
      <c r="DD57" s="813">
        <v>1</v>
      </c>
      <c r="DE57" s="814"/>
    </row>
    <row r="58" spans="1:109" ht="15.75" hidden="1" customHeight="1">
      <c r="A58" s="772" t="s">
        <v>1015</v>
      </c>
      <c r="B58" s="773">
        <v>52</v>
      </c>
      <c r="C58" s="789" t="s">
        <v>2128</v>
      </c>
      <c r="D58" s="773" t="s">
        <v>2129</v>
      </c>
      <c r="E58" s="773" t="s">
        <v>1896</v>
      </c>
      <c r="F58" s="785">
        <v>24</v>
      </c>
      <c r="G58" s="790" t="s">
        <v>2130</v>
      </c>
      <c r="H58" s="791" t="s">
        <v>2131</v>
      </c>
      <c r="I58" s="792">
        <v>0.2</v>
      </c>
      <c r="J58" s="793">
        <v>0.2</v>
      </c>
      <c r="K58" s="793">
        <v>0.2</v>
      </c>
      <c r="L58" s="793">
        <v>0.2</v>
      </c>
      <c r="M58" s="793">
        <v>0.2</v>
      </c>
      <c r="N58" s="793"/>
      <c r="O58" s="793"/>
      <c r="P58" s="794"/>
      <c r="Q58" s="795">
        <f t="shared" si="0"/>
        <v>1</v>
      </c>
      <c r="R58" s="789" t="s">
        <v>1007</v>
      </c>
      <c r="S58" s="773"/>
      <c r="T58" s="796"/>
      <c r="U58" s="773" t="s">
        <v>2132</v>
      </c>
      <c r="V58" s="773" t="s">
        <v>278</v>
      </c>
      <c r="W58" s="773" t="s">
        <v>2133</v>
      </c>
      <c r="X58" s="829">
        <v>1</v>
      </c>
      <c r="Y58" s="821" t="s">
        <v>1010</v>
      </c>
      <c r="Z58" s="790"/>
      <c r="AA58" s="785"/>
      <c r="AB58" s="785"/>
      <c r="AC58" s="785"/>
      <c r="AD58" s="785"/>
      <c r="AE58" s="785"/>
      <c r="AF58" s="799"/>
      <c r="AG58" s="800"/>
      <c r="AH58" s="800"/>
      <c r="AI58" s="800"/>
      <c r="AJ58" s="800"/>
      <c r="AK58" s="816"/>
      <c r="AL58" s="816"/>
      <c r="AM58" s="816"/>
      <c r="AN58" s="816"/>
      <c r="AO58" s="816"/>
      <c r="AP58" s="816"/>
      <c r="AQ58" s="817">
        <v>2</v>
      </c>
      <c r="AR58" s="816">
        <v>4</v>
      </c>
      <c r="AS58" s="816">
        <v>6</v>
      </c>
      <c r="AT58" s="816">
        <v>8</v>
      </c>
      <c r="AU58" s="818">
        <v>10</v>
      </c>
      <c r="AV58" s="817"/>
      <c r="AW58" s="816"/>
      <c r="AX58" s="816"/>
      <c r="AY58" s="816"/>
      <c r="AZ58" s="816"/>
      <c r="BA58" s="816"/>
      <c r="BB58" s="816"/>
      <c r="BC58" s="816"/>
      <c r="BD58" s="816"/>
      <c r="BE58" s="816"/>
      <c r="BF58" s="816"/>
      <c r="BG58" s="816"/>
      <c r="BH58" s="816"/>
      <c r="BI58" s="816"/>
      <c r="BJ58" s="816"/>
      <c r="BK58" s="818"/>
      <c r="BL58" s="789"/>
      <c r="BM58" s="785"/>
      <c r="BN58" s="785"/>
      <c r="BO58" s="785"/>
      <c r="BP58" s="796"/>
      <c r="BQ58" s="808" t="s">
        <v>1942</v>
      </c>
      <c r="BR58" s="800" t="s">
        <v>1942</v>
      </c>
      <c r="BS58" s="800" t="s">
        <v>1942</v>
      </c>
      <c r="BT58" s="800" t="s">
        <v>1942</v>
      </c>
      <c r="BU58" s="805" t="s">
        <v>1942</v>
      </c>
      <c r="BV58" s="808" t="s">
        <v>1942</v>
      </c>
      <c r="BW58" s="800" t="s">
        <v>1942</v>
      </c>
      <c r="BX58" s="800" t="s">
        <v>1942</v>
      </c>
      <c r="BY58" s="800" t="s">
        <v>1942</v>
      </c>
      <c r="BZ58" s="800" t="s">
        <v>1942</v>
      </c>
      <c r="CA58" s="808" t="s">
        <v>1942</v>
      </c>
      <c r="CB58" s="800" t="s">
        <v>1942</v>
      </c>
      <c r="CC58" s="800" t="s">
        <v>1942</v>
      </c>
      <c r="CD58" s="800" t="s">
        <v>1942</v>
      </c>
      <c r="CE58" s="805" t="s">
        <v>1942</v>
      </c>
      <c r="CF58" s="800" t="s">
        <v>1942</v>
      </c>
      <c r="CG58" s="800" t="s">
        <v>1942</v>
      </c>
      <c r="CH58" s="800" t="s">
        <v>1942</v>
      </c>
      <c r="CI58" s="800" t="s">
        <v>1942</v>
      </c>
      <c r="CJ58" s="805" t="s">
        <v>1942</v>
      </c>
      <c r="CK58" s="808" t="s">
        <v>1942</v>
      </c>
      <c r="CL58" s="800" t="s">
        <v>1942</v>
      </c>
      <c r="CM58" s="800" t="s">
        <v>1942</v>
      </c>
      <c r="CN58" s="800" t="s">
        <v>1942</v>
      </c>
      <c r="CO58" s="805" t="s">
        <v>1942</v>
      </c>
      <c r="CP58" s="808" t="s">
        <v>1942</v>
      </c>
      <c r="CQ58" s="800" t="s">
        <v>1942</v>
      </c>
      <c r="CR58" s="800" t="s">
        <v>1942</v>
      </c>
      <c r="CS58" s="800" t="s">
        <v>1942</v>
      </c>
      <c r="CT58" s="805" t="s">
        <v>1942</v>
      </c>
      <c r="CU58" s="1284" t="s">
        <v>1942</v>
      </c>
      <c r="CV58" s="1283" t="s">
        <v>1942</v>
      </c>
      <c r="CW58" s="1283" t="s">
        <v>1942</v>
      </c>
      <c r="CX58" s="1285" t="s">
        <v>1942</v>
      </c>
      <c r="CY58" s="1283" t="s">
        <v>1942</v>
      </c>
      <c r="CZ58" s="1283" t="s">
        <v>1942</v>
      </c>
      <c r="DA58" s="1283" t="s">
        <v>1942</v>
      </c>
      <c r="DB58" s="1285" t="s">
        <v>1942</v>
      </c>
      <c r="DC58" s="785"/>
      <c r="DD58" s="813">
        <v>1</v>
      </c>
      <c r="DE58" s="814"/>
    </row>
    <row r="59" spans="1:109" ht="15.75" hidden="1" customHeight="1">
      <c r="A59" s="772" t="s">
        <v>1015</v>
      </c>
      <c r="B59" s="773">
        <v>53</v>
      </c>
      <c r="C59" s="789" t="s">
        <v>2134</v>
      </c>
      <c r="D59" s="773" t="s">
        <v>2129</v>
      </c>
      <c r="E59" s="773" t="s">
        <v>1896</v>
      </c>
      <c r="F59" s="785">
        <v>25</v>
      </c>
      <c r="G59" s="790" t="s">
        <v>2135</v>
      </c>
      <c r="H59" s="791" t="s">
        <v>2136</v>
      </c>
      <c r="I59" s="792">
        <v>0.2</v>
      </c>
      <c r="J59" s="793">
        <v>0.2</v>
      </c>
      <c r="K59" s="793">
        <v>0.2</v>
      </c>
      <c r="L59" s="793">
        <v>0.2</v>
      </c>
      <c r="M59" s="793">
        <v>0.2</v>
      </c>
      <c r="N59" s="793"/>
      <c r="O59" s="793"/>
      <c r="P59" s="794"/>
      <c r="Q59" s="795">
        <f t="shared" si="0"/>
        <v>1</v>
      </c>
      <c r="R59" s="789" t="s">
        <v>1007</v>
      </c>
      <c r="S59" s="773"/>
      <c r="T59" s="796"/>
      <c r="U59" s="773" t="s">
        <v>2132</v>
      </c>
      <c r="V59" s="773" t="s">
        <v>278</v>
      </c>
      <c r="W59" s="773" t="s">
        <v>2137</v>
      </c>
      <c r="X59" s="1308">
        <v>1</v>
      </c>
      <c r="Y59" s="821" t="s">
        <v>1010</v>
      </c>
      <c r="Z59" s="790"/>
      <c r="AA59" s="785"/>
      <c r="AB59" s="785"/>
      <c r="AC59" s="785"/>
      <c r="AD59" s="785"/>
      <c r="AE59" s="785"/>
      <c r="AF59" s="799"/>
      <c r="AG59" s="800"/>
      <c r="AH59" s="800"/>
      <c r="AI59" s="800"/>
      <c r="AJ59" s="800"/>
      <c r="AK59" s="800"/>
      <c r="AL59" s="800"/>
      <c r="AM59" s="800"/>
      <c r="AN59" s="800"/>
      <c r="AO59" s="800"/>
      <c r="AP59" s="800"/>
      <c r="AQ59" s="808">
        <v>61</v>
      </c>
      <c r="AR59" s="800">
        <v>62</v>
      </c>
      <c r="AS59" s="800">
        <v>63</v>
      </c>
      <c r="AT59" s="800">
        <v>64</v>
      </c>
      <c r="AU59" s="805">
        <v>65</v>
      </c>
      <c r="AV59" s="808"/>
      <c r="AW59" s="800"/>
      <c r="AX59" s="800"/>
      <c r="AY59" s="800"/>
      <c r="AZ59" s="800"/>
      <c r="BA59" s="800"/>
      <c r="BB59" s="800"/>
      <c r="BC59" s="800"/>
      <c r="BD59" s="800"/>
      <c r="BE59" s="800"/>
      <c r="BF59" s="800"/>
      <c r="BG59" s="800"/>
      <c r="BH59" s="800"/>
      <c r="BI59" s="800"/>
      <c r="BJ59" s="800"/>
      <c r="BK59" s="805"/>
      <c r="BL59" s="789"/>
      <c r="BM59" s="785"/>
      <c r="BN59" s="785"/>
      <c r="BO59" s="785"/>
      <c r="BP59" s="796"/>
      <c r="BQ59" s="808" t="s">
        <v>1942</v>
      </c>
      <c r="BR59" s="800" t="s">
        <v>1942</v>
      </c>
      <c r="BS59" s="800" t="s">
        <v>1942</v>
      </c>
      <c r="BT59" s="800" t="s">
        <v>1942</v>
      </c>
      <c r="BU59" s="805" t="s">
        <v>1942</v>
      </c>
      <c r="BV59" s="808" t="s">
        <v>1942</v>
      </c>
      <c r="BW59" s="800" t="s">
        <v>1942</v>
      </c>
      <c r="BX59" s="800" t="s">
        <v>1942</v>
      </c>
      <c r="BY59" s="800" t="s">
        <v>1942</v>
      </c>
      <c r="BZ59" s="800" t="s">
        <v>1942</v>
      </c>
      <c r="CA59" s="808" t="s">
        <v>1942</v>
      </c>
      <c r="CB59" s="800" t="s">
        <v>1942</v>
      </c>
      <c r="CC59" s="800" t="s">
        <v>1942</v>
      </c>
      <c r="CD59" s="800" t="s">
        <v>1942</v>
      </c>
      <c r="CE59" s="805" t="s">
        <v>1942</v>
      </c>
      <c r="CF59" s="800" t="s">
        <v>1942</v>
      </c>
      <c r="CG59" s="800" t="s">
        <v>1942</v>
      </c>
      <c r="CH59" s="800" t="s">
        <v>1942</v>
      </c>
      <c r="CI59" s="800" t="s">
        <v>1942</v>
      </c>
      <c r="CJ59" s="805" t="s">
        <v>1942</v>
      </c>
      <c r="CK59" s="808" t="s">
        <v>1942</v>
      </c>
      <c r="CL59" s="800" t="s">
        <v>1942</v>
      </c>
      <c r="CM59" s="800" t="s">
        <v>1942</v>
      </c>
      <c r="CN59" s="800" t="s">
        <v>1942</v>
      </c>
      <c r="CO59" s="805" t="s">
        <v>1942</v>
      </c>
      <c r="CP59" s="808" t="s">
        <v>1942</v>
      </c>
      <c r="CQ59" s="800" t="s">
        <v>1942</v>
      </c>
      <c r="CR59" s="800" t="s">
        <v>1942</v>
      </c>
      <c r="CS59" s="800" t="s">
        <v>1942</v>
      </c>
      <c r="CT59" s="805" t="s">
        <v>1942</v>
      </c>
      <c r="CU59" s="1284" t="s">
        <v>1942</v>
      </c>
      <c r="CV59" s="1283" t="s">
        <v>1942</v>
      </c>
      <c r="CW59" s="1283" t="s">
        <v>1942</v>
      </c>
      <c r="CX59" s="1285" t="s">
        <v>1942</v>
      </c>
      <c r="CY59" s="1283" t="s">
        <v>1942</v>
      </c>
      <c r="CZ59" s="1283" t="s">
        <v>1942</v>
      </c>
      <c r="DA59" s="1283" t="s">
        <v>1942</v>
      </c>
      <c r="DB59" s="1285" t="s">
        <v>1942</v>
      </c>
      <c r="DC59" s="785"/>
      <c r="DD59" s="813">
        <v>1</v>
      </c>
      <c r="DE59" s="814"/>
    </row>
    <row r="60" spans="1:109" ht="15.75" hidden="1" customHeight="1">
      <c r="A60" s="772" t="s">
        <v>1015</v>
      </c>
      <c r="B60" s="773">
        <v>54</v>
      </c>
      <c r="C60" s="789" t="s">
        <v>2138</v>
      </c>
      <c r="D60" s="773" t="s">
        <v>2036</v>
      </c>
      <c r="E60" s="773" t="s">
        <v>1907</v>
      </c>
      <c r="F60" s="785">
        <v>30</v>
      </c>
      <c r="G60" s="790" t="s">
        <v>2139</v>
      </c>
      <c r="H60" s="791" t="s">
        <v>2140</v>
      </c>
      <c r="I60" s="792"/>
      <c r="J60" s="793">
        <v>0.51</v>
      </c>
      <c r="K60" s="793">
        <v>0.49</v>
      </c>
      <c r="L60" s="793"/>
      <c r="M60" s="793"/>
      <c r="N60" s="793"/>
      <c r="O60" s="793"/>
      <c r="P60" s="794"/>
      <c r="Q60" s="795">
        <f t="shared" si="0"/>
        <v>1</v>
      </c>
      <c r="R60" s="789" t="s">
        <v>1007</v>
      </c>
      <c r="S60" s="773"/>
      <c r="T60" s="796"/>
      <c r="U60" s="773" t="s">
        <v>1947</v>
      </c>
      <c r="V60" s="773" t="s">
        <v>1081</v>
      </c>
      <c r="W60" s="773" t="s">
        <v>2141</v>
      </c>
      <c r="X60" s="1274">
        <v>1</v>
      </c>
      <c r="Y60" s="821" t="s">
        <v>1010</v>
      </c>
      <c r="Z60" s="790"/>
      <c r="AA60" s="785"/>
      <c r="AB60" s="785"/>
      <c r="AC60" s="785"/>
      <c r="AD60" s="785"/>
      <c r="AE60" s="785"/>
      <c r="AF60" s="799"/>
      <c r="AG60" s="800"/>
      <c r="AH60" s="800"/>
      <c r="AI60" s="800"/>
      <c r="AJ60" s="800"/>
      <c r="AK60" s="800"/>
      <c r="AL60" s="800"/>
      <c r="AM60" s="800"/>
      <c r="AN60" s="800"/>
      <c r="AO60" s="800"/>
      <c r="AP60" s="800"/>
      <c r="AQ60" s="808">
        <v>74.599999999999994</v>
      </c>
      <c r="AR60" s="800">
        <v>75.7</v>
      </c>
      <c r="AS60" s="800">
        <v>76.900000000000006</v>
      </c>
      <c r="AT60" s="800">
        <v>78</v>
      </c>
      <c r="AU60" s="805">
        <v>79.099999999999994</v>
      </c>
      <c r="AV60" s="808"/>
      <c r="AW60" s="800"/>
      <c r="AX60" s="800"/>
      <c r="AY60" s="800"/>
      <c r="AZ60" s="800"/>
      <c r="BA60" s="800"/>
      <c r="BB60" s="800"/>
      <c r="BC60" s="800"/>
      <c r="BD60" s="800"/>
      <c r="BE60" s="800"/>
      <c r="BF60" s="800"/>
      <c r="BG60" s="800"/>
      <c r="BH60" s="800"/>
      <c r="BI60" s="800"/>
      <c r="BJ60" s="800"/>
      <c r="BK60" s="805"/>
      <c r="BL60" s="789"/>
      <c r="BM60" s="785"/>
      <c r="BN60" s="785"/>
      <c r="BO60" s="785"/>
      <c r="BP60" s="796"/>
      <c r="BQ60" s="808" t="s">
        <v>1942</v>
      </c>
      <c r="BR60" s="800" t="s">
        <v>1942</v>
      </c>
      <c r="BS60" s="800" t="s">
        <v>1942</v>
      </c>
      <c r="BT60" s="800" t="s">
        <v>1942</v>
      </c>
      <c r="BU60" s="805" t="s">
        <v>1942</v>
      </c>
      <c r="BV60" s="808" t="s">
        <v>1942</v>
      </c>
      <c r="BW60" s="800" t="s">
        <v>1942</v>
      </c>
      <c r="BX60" s="800" t="s">
        <v>1942</v>
      </c>
      <c r="BY60" s="800" t="s">
        <v>1942</v>
      </c>
      <c r="BZ60" s="800" t="s">
        <v>1942</v>
      </c>
      <c r="CA60" s="808" t="s">
        <v>1942</v>
      </c>
      <c r="CB60" s="800" t="s">
        <v>1942</v>
      </c>
      <c r="CC60" s="800" t="s">
        <v>1942</v>
      </c>
      <c r="CD60" s="800" t="s">
        <v>1942</v>
      </c>
      <c r="CE60" s="805" t="s">
        <v>1942</v>
      </c>
      <c r="CF60" s="800" t="s">
        <v>1942</v>
      </c>
      <c r="CG60" s="800" t="s">
        <v>1942</v>
      </c>
      <c r="CH60" s="800" t="s">
        <v>1942</v>
      </c>
      <c r="CI60" s="800" t="s">
        <v>1942</v>
      </c>
      <c r="CJ60" s="800" t="s">
        <v>1942</v>
      </c>
      <c r="CK60" s="808" t="s">
        <v>1942</v>
      </c>
      <c r="CL60" s="800" t="s">
        <v>1942</v>
      </c>
      <c r="CM60" s="800" t="s">
        <v>1942</v>
      </c>
      <c r="CN60" s="800" t="s">
        <v>1942</v>
      </c>
      <c r="CO60" s="805" t="s">
        <v>1942</v>
      </c>
      <c r="CP60" s="808" t="s">
        <v>1942</v>
      </c>
      <c r="CQ60" s="800" t="s">
        <v>1942</v>
      </c>
      <c r="CR60" s="800" t="s">
        <v>1942</v>
      </c>
      <c r="CS60" s="800" t="s">
        <v>1942</v>
      </c>
      <c r="CT60" s="805" t="s">
        <v>1942</v>
      </c>
      <c r="CU60" s="1284" t="s">
        <v>1942</v>
      </c>
      <c r="CV60" s="1283" t="s">
        <v>1942</v>
      </c>
      <c r="CW60" s="1283" t="s">
        <v>1942</v>
      </c>
      <c r="CX60" s="1285" t="s">
        <v>1942</v>
      </c>
      <c r="CY60" s="1283" t="s">
        <v>1942</v>
      </c>
      <c r="CZ60" s="1283" t="s">
        <v>1942</v>
      </c>
      <c r="DA60" s="1283" t="s">
        <v>1942</v>
      </c>
      <c r="DB60" s="1285" t="s">
        <v>1942</v>
      </c>
      <c r="DC60" s="785"/>
      <c r="DD60" s="813">
        <v>1</v>
      </c>
      <c r="DE60" s="814"/>
    </row>
    <row r="61" spans="1:109" ht="15.75" hidden="1" customHeight="1">
      <c r="A61" s="772" t="s">
        <v>1015</v>
      </c>
      <c r="B61" s="773">
        <v>55</v>
      </c>
      <c r="C61" s="789" t="s">
        <v>2142</v>
      </c>
      <c r="D61" s="773" t="s">
        <v>2061</v>
      </c>
      <c r="E61" s="773" t="s">
        <v>1907</v>
      </c>
      <c r="F61" s="785">
        <v>32</v>
      </c>
      <c r="G61" s="790" t="s">
        <v>2143</v>
      </c>
      <c r="H61" s="791" t="s">
        <v>2144</v>
      </c>
      <c r="I61" s="792">
        <v>0.15</v>
      </c>
      <c r="J61" s="793"/>
      <c r="K61" s="793">
        <v>0.85</v>
      </c>
      <c r="L61" s="793"/>
      <c r="M61" s="793"/>
      <c r="N61" s="793"/>
      <c r="O61" s="793"/>
      <c r="P61" s="794"/>
      <c r="Q61" s="795">
        <f t="shared" si="0"/>
        <v>1</v>
      </c>
      <c r="R61" s="789" t="s">
        <v>1030</v>
      </c>
      <c r="S61" s="773" t="s">
        <v>1008</v>
      </c>
      <c r="T61" s="796" t="s">
        <v>1009</v>
      </c>
      <c r="U61" s="773" t="s">
        <v>2106</v>
      </c>
      <c r="V61" s="773" t="s">
        <v>1033</v>
      </c>
      <c r="W61" s="773" t="s">
        <v>2145</v>
      </c>
      <c r="X61" s="829">
        <v>0</v>
      </c>
      <c r="Y61" s="798" t="s">
        <v>1010</v>
      </c>
      <c r="Z61" s="790"/>
      <c r="AA61" s="785"/>
      <c r="AB61" s="785"/>
      <c r="AC61" s="785"/>
      <c r="AD61" s="785"/>
      <c r="AE61" s="785"/>
      <c r="AF61" s="837"/>
      <c r="AG61" s="824"/>
      <c r="AH61" s="824"/>
      <c r="AI61" s="824"/>
      <c r="AJ61" s="824"/>
      <c r="AK61" s="824"/>
      <c r="AL61" s="824"/>
      <c r="AM61" s="824"/>
      <c r="AN61" s="824"/>
      <c r="AO61" s="824"/>
      <c r="AP61" s="824"/>
      <c r="AQ61" s="828">
        <v>280</v>
      </c>
      <c r="AR61" s="829">
        <v>1006</v>
      </c>
      <c r="AS61" s="829">
        <v>1126</v>
      </c>
      <c r="AT61" s="829">
        <v>1577</v>
      </c>
      <c r="AU61" s="830">
        <v>1856</v>
      </c>
      <c r="AV61" s="823"/>
      <c r="AW61" s="824"/>
      <c r="AX61" s="824"/>
      <c r="AY61" s="824"/>
      <c r="AZ61" s="824"/>
      <c r="BA61" s="824"/>
      <c r="BB61" s="824"/>
      <c r="BC61" s="824"/>
      <c r="BD61" s="824"/>
      <c r="BE61" s="824"/>
      <c r="BF61" s="824"/>
      <c r="BG61" s="824"/>
      <c r="BH61" s="824"/>
      <c r="BI61" s="824"/>
      <c r="BJ61" s="824"/>
      <c r="BK61" s="825"/>
      <c r="BL61" s="789" t="s">
        <v>168</v>
      </c>
      <c r="BM61" s="785" t="s">
        <v>168</v>
      </c>
      <c r="BN61" s="785" t="s">
        <v>168</v>
      </c>
      <c r="BO61" s="785" t="s">
        <v>168</v>
      </c>
      <c r="BP61" s="796"/>
      <c r="BQ61" s="804" t="s">
        <v>1942</v>
      </c>
      <c r="BR61" s="800" t="s">
        <v>1942</v>
      </c>
      <c r="BS61" s="800" t="s">
        <v>1942</v>
      </c>
      <c r="BT61" s="800" t="s">
        <v>1942</v>
      </c>
      <c r="BU61" s="805" t="s">
        <v>1942</v>
      </c>
      <c r="BV61" s="808">
        <v>61</v>
      </c>
      <c r="BW61" s="800">
        <v>783</v>
      </c>
      <c r="BX61" s="800">
        <v>923</v>
      </c>
      <c r="BY61" s="800">
        <v>1375</v>
      </c>
      <c r="BZ61" s="800" t="s">
        <v>1942</v>
      </c>
      <c r="CA61" s="808" t="s">
        <v>1942</v>
      </c>
      <c r="CB61" s="800" t="s">
        <v>1942</v>
      </c>
      <c r="CC61" s="800" t="s">
        <v>1942</v>
      </c>
      <c r="CD61" s="800" t="s">
        <v>1942</v>
      </c>
      <c r="CE61" s="805" t="s">
        <v>1942</v>
      </c>
      <c r="CF61" s="800">
        <v>308</v>
      </c>
      <c r="CG61" s="797">
        <v>1107</v>
      </c>
      <c r="CH61" s="797">
        <v>1239</v>
      </c>
      <c r="CI61" s="797">
        <v>1735</v>
      </c>
      <c r="CJ61" s="797" t="s">
        <v>1942</v>
      </c>
      <c r="CK61" s="808">
        <v>545</v>
      </c>
      <c r="CL61" s="800">
        <v>1271</v>
      </c>
      <c r="CM61" s="800">
        <v>1411</v>
      </c>
      <c r="CN61" s="800">
        <v>1866</v>
      </c>
      <c r="CO61" s="805" t="s">
        <v>1942</v>
      </c>
      <c r="CP61" s="808" t="s">
        <v>1942</v>
      </c>
      <c r="CQ61" s="800" t="s">
        <v>1942</v>
      </c>
      <c r="CR61" s="800" t="s">
        <v>1942</v>
      </c>
      <c r="CS61" s="800" t="s">
        <v>1942</v>
      </c>
      <c r="CT61" s="805" t="s">
        <v>1942</v>
      </c>
      <c r="CU61" s="1284">
        <v>-1.4E-2</v>
      </c>
      <c r="CV61" s="1283" t="s">
        <v>1942</v>
      </c>
      <c r="CW61" s="1283" t="s">
        <v>1942</v>
      </c>
      <c r="CX61" s="1285" t="s">
        <v>1942</v>
      </c>
      <c r="CY61" s="1283">
        <v>1.4E-2</v>
      </c>
      <c r="CZ61" s="1283" t="s">
        <v>1942</v>
      </c>
      <c r="DA61" s="1283" t="s">
        <v>1942</v>
      </c>
      <c r="DB61" s="1285" t="s">
        <v>1942</v>
      </c>
      <c r="DC61" s="785"/>
      <c r="DD61" s="813">
        <v>1</v>
      </c>
      <c r="DE61" s="814"/>
    </row>
    <row r="62" spans="1:109" ht="15.75" hidden="1" customHeight="1">
      <c r="A62" s="772" t="s">
        <v>1015</v>
      </c>
      <c r="B62" s="773">
        <v>56</v>
      </c>
      <c r="C62" s="789" t="s">
        <v>2146</v>
      </c>
      <c r="D62" s="773" t="s">
        <v>2042</v>
      </c>
      <c r="E62" s="773" t="s">
        <v>1889</v>
      </c>
      <c r="F62" s="785">
        <v>34</v>
      </c>
      <c r="G62" s="790" t="s">
        <v>2147</v>
      </c>
      <c r="H62" s="791" t="s">
        <v>2148</v>
      </c>
      <c r="I62" s="792"/>
      <c r="J62" s="793">
        <v>1</v>
      </c>
      <c r="K62" s="793"/>
      <c r="L62" s="793"/>
      <c r="M62" s="793"/>
      <c r="N62" s="793"/>
      <c r="O62" s="793"/>
      <c r="P62" s="794"/>
      <c r="Q62" s="795">
        <f t="shared" si="0"/>
        <v>1</v>
      </c>
      <c r="R62" s="789" t="s">
        <v>1030</v>
      </c>
      <c r="S62" s="773" t="s">
        <v>1008</v>
      </c>
      <c r="T62" s="796" t="s">
        <v>1009</v>
      </c>
      <c r="U62" s="773" t="s">
        <v>2149</v>
      </c>
      <c r="V62" s="773" t="s">
        <v>1033</v>
      </c>
      <c r="W62" s="773" t="s">
        <v>2150</v>
      </c>
      <c r="X62" s="1274">
        <v>2</v>
      </c>
      <c r="Y62" s="798" t="s">
        <v>1020</v>
      </c>
      <c r="Z62" s="790" t="s">
        <v>2002</v>
      </c>
      <c r="AA62" s="785"/>
      <c r="AB62" s="785"/>
      <c r="AC62" s="785"/>
      <c r="AD62" s="785"/>
      <c r="AE62" s="785"/>
      <c r="AF62" s="837"/>
      <c r="AG62" s="800"/>
      <c r="AH62" s="800"/>
      <c r="AI62" s="800"/>
      <c r="AJ62" s="800"/>
      <c r="AK62" s="800"/>
      <c r="AL62" s="800"/>
      <c r="AM62" s="800"/>
      <c r="AN62" s="800"/>
      <c r="AO62" s="800"/>
      <c r="AP62" s="800"/>
      <c r="AQ62" s="808">
        <v>1.0900000000000001</v>
      </c>
      <c r="AR62" s="800">
        <v>1.01</v>
      </c>
      <c r="AS62" s="800">
        <v>0.93</v>
      </c>
      <c r="AT62" s="800">
        <v>0.85</v>
      </c>
      <c r="AU62" s="805">
        <v>0.77</v>
      </c>
      <c r="AV62" s="808"/>
      <c r="AW62" s="800"/>
      <c r="AX62" s="800"/>
      <c r="AY62" s="800"/>
      <c r="AZ62" s="800"/>
      <c r="BA62" s="800"/>
      <c r="BB62" s="800"/>
      <c r="BC62" s="800"/>
      <c r="BD62" s="800"/>
      <c r="BE62" s="800"/>
      <c r="BF62" s="800"/>
      <c r="BG62" s="800"/>
      <c r="BH62" s="800"/>
      <c r="BI62" s="800"/>
      <c r="BJ62" s="800"/>
      <c r="BK62" s="805"/>
      <c r="BL62" s="789" t="s">
        <v>168</v>
      </c>
      <c r="BM62" s="785" t="s">
        <v>168</v>
      </c>
      <c r="BN62" s="785" t="s">
        <v>168</v>
      </c>
      <c r="BO62" s="785" t="s">
        <v>168</v>
      </c>
      <c r="BP62" s="796" t="s">
        <v>168</v>
      </c>
      <c r="BQ62" s="808" t="s">
        <v>1942</v>
      </c>
      <c r="BR62" s="800" t="s">
        <v>1942</v>
      </c>
      <c r="BS62" s="800" t="s">
        <v>1942</v>
      </c>
      <c r="BT62" s="800" t="s">
        <v>1942</v>
      </c>
      <c r="BU62" s="805" t="s">
        <v>1942</v>
      </c>
      <c r="BV62" s="808" t="s">
        <v>1942</v>
      </c>
      <c r="BW62" s="800" t="s">
        <v>1942</v>
      </c>
      <c r="BX62" s="800" t="s">
        <v>1942</v>
      </c>
      <c r="BY62" s="800" t="s">
        <v>1942</v>
      </c>
      <c r="BZ62" s="800" t="s">
        <v>1942</v>
      </c>
      <c r="CA62" s="808" t="s">
        <v>1942</v>
      </c>
      <c r="CB62" s="800" t="s">
        <v>1942</v>
      </c>
      <c r="CC62" s="800" t="s">
        <v>1942</v>
      </c>
      <c r="CD62" s="800" t="s">
        <v>1942</v>
      </c>
      <c r="CE62" s="805" t="s">
        <v>1942</v>
      </c>
      <c r="CF62" s="800" t="s">
        <v>1942</v>
      </c>
      <c r="CG62" s="800" t="s">
        <v>1942</v>
      </c>
      <c r="CH62" s="800" t="s">
        <v>1942</v>
      </c>
      <c r="CI62" s="800" t="s">
        <v>1942</v>
      </c>
      <c r="CJ62" s="800" t="s">
        <v>1942</v>
      </c>
      <c r="CK62" s="808" t="s">
        <v>1942</v>
      </c>
      <c r="CL62" s="800" t="s">
        <v>1942</v>
      </c>
      <c r="CM62" s="800" t="s">
        <v>1942</v>
      </c>
      <c r="CN62" s="800" t="s">
        <v>1942</v>
      </c>
      <c r="CO62" s="805" t="s">
        <v>1942</v>
      </c>
      <c r="CP62" s="808" t="s">
        <v>1942</v>
      </c>
      <c r="CQ62" s="800" t="s">
        <v>1942</v>
      </c>
      <c r="CR62" s="800" t="s">
        <v>1942</v>
      </c>
      <c r="CS62" s="800" t="s">
        <v>1942</v>
      </c>
      <c r="CT62" s="805" t="s">
        <v>1942</v>
      </c>
      <c r="CU62" s="1284">
        <v>-2.6760000000000002</v>
      </c>
      <c r="CV62" s="1283" t="s">
        <v>1942</v>
      </c>
      <c r="CW62" s="1283" t="s">
        <v>1942</v>
      </c>
      <c r="CX62" s="1285" t="s">
        <v>1942</v>
      </c>
      <c r="CY62" s="1283">
        <v>1.3380000000000001</v>
      </c>
      <c r="CZ62" s="1283" t="s">
        <v>1942</v>
      </c>
      <c r="DA62" s="1283" t="s">
        <v>1942</v>
      </c>
      <c r="DB62" s="1285" t="s">
        <v>1942</v>
      </c>
      <c r="DC62" s="785"/>
      <c r="DD62" s="813">
        <v>1</v>
      </c>
      <c r="DE62" s="814"/>
    </row>
    <row r="63" spans="1:109" ht="15.75" hidden="1" customHeight="1">
      <c r="A63" s="772" t="s">
        <v>1015</v>
      </c>
      <c r="B63" s="773">
        <v>57</v>
      </c>
      <c r="C63" s="789" t="s">
        <v>2151</v>
      </c>
      <c r="D63" s="773" t="s">
        <v>2042</v>
      </c>
      <c r="E63" s="773" t="s">
        <v>1907</v>
      </c>
      <c r="F63" s="785">
        <v>35</v>
      </c>
      <c r="G63" s="790" t="s">
        <v>2152</v>
      </c>
      <c r="H63" s="791" t="s">
        <v>2153</v>
      </c>
      <c r="I63" s="792"/>
      <c r="J63" s="793">
        <v>1</v>
      </c>
      <c r="K63" s="793"/>
      <c r="L63" s="793"/>
      <c r="M63" s="793"/>
      <c r="N63" s="793"/>
      <c r="O63" s="793"/>
      <c r="P63" s="794"/>
      <c r="Q63" s="795">
        <f t="shared" si="0"/>
        <v>1</v>
      </c>
      <c r="R63" s="789" t="s">
        <v>1007</v>
      </c>
      <c r="S63" s="773"/>
      <c r="T63" s="796"/>
      <c r="U63" s="773" t="s">
        <v>1926</v>
      </c>
      <c r="V63" s="773" t="s">
        <v>1081</v>
      </c>
      <c r="W63" s="773" t="s">
        <v>2154</v>
      </c>
      <c r="X63" s="1309">
        <v>3</v>
      </c>
      <c r="Y63" s="819" t="s">
        <v>1020</v>
      </c>
      <c r="Z63" s="790"/>
      <c r="AA63" s="785"/>
      <c r="AB63" s="785"/>
      <c r="AC63" s="785"/>
      <c r="AD63" s="785"/>
      <c r="AE63" s="785"/>
      <c r="AF63" s="799"/>
      <c r="AG63" s="838"/>
      <c r="AH63" s="838"/>
      <c r="AI63" s="838"/>
      <c r="AJ63" s="838"/>
      <c r="AK63" s="838"/>
      <c r="AL63" s="838"/>
      <c r="AM63" s="838"/>
      <c r="AN63" s="838"/>
      <c r="AO63" s="838"/>
      <c r="AP63" s="838"/>
      <c r="AQ63" s="839">
        <v>15</v>
      </c>
      <c r="AR63" s="838">
        <v>15</v>
      </c>
      <c r="AS63" s="838">
        <v>15</v>
      </c>
      <c r="AT63" s="838">
        <v>15</v>
      </c>
      <c r="AU63" s="840">
        <v>15</v>
      </c>
      <c r="AV63" s="839"/>
      <c r="AW63" s="838"/>
      <c r="AX63" s="838"/>
      <c r="AY63" s="838"/>
      <c r="AZ63" s="838"/>
      <c r="BA63" s="838"/>
      <c r="BB63" s="838"/>
      <c r="BC63" s="838"/>
      <c r="BD63" s="838"/>
      <c r="BE63" s="838"/>
      <c r="BF63" s="838"/>
      <c r="BG63" s="838"/>
      <c r="BH63" s="838"/>
      <c r="BI63" s="838"/>
      <c r="BJ63" s="838"/>
      <c r="BK63" s="840"/>
      <c r="BL63" s="789"/>
      <c r="BM63" s="785"/>
      <c r="BN63" s="785"/>
      <c r="BO63" s="785"/>
      <c r="BP63" s="796"/>
      <c r="BQ63" s="808" t="s">
        <v>1942</v>
      </c>
      <c r="BR63" s="800" t="s">
        <v>1942</v>
      </c>
      <c r="BS63" s="800" t="s">
        <v>1942</v>
      </c>
      <c r="BT63" s="800" t="s">
        <v>1942</v>
      </c>
      <c r="BU63" s="805" t="s">
        <v>1942</v>
      </c>
      <c r="BV63" s="808" t="s">
        <v>1942</v>
      </c>
      <c r="BW63" s="800" t="s">
        <v>1942</v>
      </c>
      <c r="BX63" s="800" t="s">
        <v>1942</v>
      </c>
      <c r="BY63" s="800" t="s">
        <v>1942</v>
      </c>
      <c r="BZ63" s="800" t="s">
        <v>1942</v>
      </c>
      <c r="CA63" s="808" t="s">
        <v>1942</v>
      </c>
      <c r="CB63" s="800" t="s">
        <v>1942</v>
      </c>
      <c r="CC63" s="800" t="s">
        <v>1942</v>
      </c>
      <c r="CD63" s="800" t="s">
        <v>1942</v>
      </c>
      <c r="CE63" s="805" t="s">
        <v>1942</v>
      </c>
      <c r="CF63" s="800" t="s">
        <v>1942</v>
      </c>
      <c r="CG63" s="800" t="s">
        <v>1942</v>
      </c>
      <c r="CH63" s="800" t="s">
        <v>1942</v>
      </c>
      <c r="CI63" s="800" t="s">
        <v>1942</v>
      </c>
      <c r="CJ63" s="805" t="s">
        <v>1942</v>
      </c>
      <c r="CK63" s="808" t="s">
        <v>1942</v>
      </c>
      <c r="CL63" s="800" t="s">
        <v>1942</v>
      </c>
      <c r="CM63" s="800" t="s">
        <v>1942</v>
      </c>
      <c r="CN63" s="800" t="s">
        <v>1942</v>
      </c>
      <c r="CO63" s="805" t="s">
        <v>1942</v>
      </c>
      <c r="CP63" s="808" t="s">
        <v>1942</v>
      </c>
      <c r="CQ63" s="800" t="s">
        <v>1942</v>
      </c>
      <c r="CR63" s="800" t="s">
        <v>1942</v>
      </c>
      <c r="CS63" s="800" t="s">
        <v>1942</v>
      </c>
      <c r="CT63" s="805" t="s">
        <v>1942</v>
      </c>
      <c r="CU63" s="1284" t="s">
        <v>1942</v>
      </c>
      <c r="CV63" s="1283" t="s">
        <v>1942</v>
      </c>
      <c r="CW63" s="1283" t="s">
        <v>1942</v>
      </c>
      <c r="CX63" s="1285" t="s">
        <v>1942</v>
      </c>
      <c r="CY63" s="1283" t="s">
        <v>1942</v>
      </c>
      <c r="CZ63" s="1283" t="s">
        <v>1942</v>
      </c>
      <c r="DA63" s="1283" t="s">
        <v>1942</v>
      </c>
      <c r="DB63" s="1285" t="s">
        <v>1942</v>
      </c>
      <c r="DC63" s="785"/>
      <c r="DD63" s="813">
        <v>1</v>
      </c>
      <c r="DE63" s="814"/>
    </row>
    <row r="64" spans="1:109" ht="15.75" hidden="1" customHeight="1">
      <c r="A64" s="772" t="s">
        <v>1015</v>
      </c>
      <c r="B64" s="773">
        <v>58</v>
      </c>
      <c r="C64" s="789" t="s">
        <v>2155</v>
      </c>
      <c r="D64" s="773" t="s">
        <v>2114</v>
      </c>
      <c r="E64" s="773" t="s">
        <v>1907</v>
      </c>
      <c r="F64" s="785">
        <v>36</v>
      </c>
      <c r="G64" s="790" t="s">
        <v>2156</v>
      </c>
      <c r="H64" s="791" t="s">
        <v>2157</v>
      </c>
      <c r="I64" s="792"/>
      <c r="J64" s="793"/>
      <c r="K64" s="793"/>
      <c r="L64" s="793"/>
      <c r="M64" s="793">
        <v>1</v>
      </c>
      <c r="N64" s="793"/>
      <c r="O64" s="793"/>
      <c r="P64" s="794"/>
      <c r="Q64" s="795">
        <f t="shared" si="0"/>
        <v>1</v>
      </c>
      <c r="R64" s="789" t="s">
        <v>1007</v>
      </c>
      <c r="S64" s="773"/>
      <c r="T64" s="796"/>
      <c r="U64" s="773" t="s">
        <v>2029</v>
      </c>
      <c r="V64" s="773" t="s">
        <v>1072</v>
      </c>
      <c r="W64" s="773" t="s">
        <v>2158</v>
      </c>
      <c r="X64" s="829">
        <v>0</v>
      </c>
      <c r="Y64" s="819"/>
      <c r="Z64" s="790"/>
      <c r="AA64" s="785"/>
      <c r="AB64" s="785"/>
      <c r="AC64" s="785"/>
      <c r="AD64" s="785"/>
      <c r="AE64" s="785"/>
      <c r="AF64" s="837"/>
      <c r="AG64" s="800"/>
      <c r="AH64" s="800"/>
      <c r="AI64" s="800"/>
      <c r="AJ64" s="800"/>
      <c r="AK64" s="800"/>
      <c r="AL64" s="800"/>
      <c r="AM64" s="800"/>
      <c r="AN64" s="800"/>
      <c r="AO64" s="800"/>
      <c r="AP64" s="800"/>
      <c r="AQ64" s="808" t="s">
        <v>2012</v>
      </c>
      <c r="AR64" s="800" t="s">
        <v>2012</v>
      </c>
      <c r="AS64" s="800" t="s">
        <v>2012</v>
      </c>
      <c r="AT64" s="800" t="s">
        <v>2012</v>
      </c>
      <c r="AU64" s="805" t="s">
        <v>2012</v>
      </c>
      <c r="AV64" s="808"/>
      <c r="AW64" s="800"/>
      <c r="AX64" s="800"/>
      <c r="AY64" s="800"/>
      <c r="AZ64" s="800"/>
      <c r="BA64" s="800"/>
      <c r="BB64" s="800"/>
      <c r="BC64" s="800"/>
      <c r="BD64" s="800"/>
      <c r="BE64" s="800"/>
      <c r="BF64" s="800"/>
      <c r="BG64" s="800"/>
      <c r="BH64" s="800"/>
      <c r="BI64" s="800"/>
      <c r="BJ64" s="800"/>
      <c r="BK64" s="805"/>
      <c r="BL64" s="789"/>
      <c r="BM64" s="785"/>
      <c r="BN64" s="785"/>
      <c r="BO64" s="785"/>
      <c r="BP64" s="796"/>
      <c r="BQ64" s="808" t="s">
        <v>1942</v>
      </c>
      <c r="BR64" s="800" t="s">
        <v>1942</v>
      </c>
      <c r="BS64" s="800" t="s">
        <v>1942</v>
      </c>
      <c r="BT64" s="800" t="s">
        <v>1942</v>
      </c>
      <c r="BU64" s="805" t="s">
        <v>1942</v>
      </c>
      <c r="BV64" s="808" t="s">
        <v>1942</v>
      </c>
      <c r="BW64" s="800" t="s">
        <v>1942</v>
      </c>
      <c r="BX64" s="800" t="s">
        <v>1942</v>
      </c>
      <c r="BY64" s="800" t="s">
        <v>1942</v>
      </c>
      <c r="BZ64" s="800" t="s">
        <v>1942</v>
      </c>
      <c r="CA64" s="808" t="s">
        <v>1942</v>
      </c>
      <c r="CB64" s="800" t="s">
        <v>1942</v>
      </c>
      <c r="CC64" s="800" t="s">
        <v>1942</v>
      </c>
      <c r="CD64" s="800" t="s">
        <v>1942</v>
      </c>
      <c r="CE64" s="805" t="s">
        <v>1942</v>
      </c>
      <c r="CF64" s="800" t="s">
        <v>1942</v>
      </c>
      <c r="CG64" s="800" t="s">
        <v>1942</v>
      </c>
      <c r="CH64" s="800" t="s">
        <v>1942</v>
      </c>
      <c r="CI64" s="800" t="s">
        <v>1942</v>
      </c>
      <c r="CJ64" s="800" t="s">
        <v>1942</v>
      </c>
      <c r="CK64" s="808" t="s">
        <v>1942</v>
      </c>
      <c r="CL64" s="800" t="s">
        <v>1942</v>
      </c>
      <c r="CM64" s="800" t="s">
        <v>1942</v>
      </c>
      <c r="CN64" s="800" t="s">
        <v>1942</v>
      </c>
      <c r="CO64" s="805" t="s">
        <v>1942</v>
      </c>
      <c r="CP64" s="808" t="s">
        <v>1942</v>
      </c>
      <c r="CQ64" s="800" t="s">
        <v>1942</v>
      </c>
      <c r="CR64" s="800" t="s">
        <v>1942</v>
      </c>
      <c r="CS64" s="800" t="s">
        <v>1942</v>
      </c>
      <c r="CT64" s="805" t="s">
        <v>1942</v>
      </c>
      <c r="CU64" s="1284" t="s">
        <v>1942</v>
      </c>
      <c r="CV64" s="1283" t="s">
        <v>1942</v>
      </c>
      <c r="CW64" s="1283" t="s">
        <v>1942</v>
      </c>
      <c r="CX64" s="1285" t="s">
        <v>1942</v>
      </c>
      <c r="CY64" s="1283" t="s">
        <v>1942</v>
      </c>
      <c r="CZ64" s="1283" t="s">
        <v>1942</v>
      </c>
      <c r="DA64" s="1283" t="s">
        <v>1942</v>
      </c>
      <c r="DB64" s="1285" t="s">
        <v>1942</v>
      </c>
      <c r="DC64" s="785"/>
      <c r="DD64" s="813"/>
      <c r="DE64" s="814"/>
    </row>
    <row r="65" spans="1:109" ht="15.75" hidden="1" customHeight="1">
      <c r="A65" s="772" t="s">
        <v>1015</v>
      </c>
      <c r="B65" s="773">
        <v>59</v>
      </c>
      <c r="C65" s="789" t="s">
        <v>2159</v>
      </c>
      <c r="D65" s="773" t="s">
        <v>2114</v>
      </c>
      <c r="E65" s="773" t="s">
        <v>1907</v>
      </c>
      <c r="F65" s="785">
        <v>37</v>
      </c>
      <c r="G65" s="790" t="s">
        <v>2160</v>
      </c>
      <c r="H65" s="791" t="s">
        <v>2161</v>
      </c>
      <c r="I65" s="792"/>
      <c r="J65" s="793"/>
      <c r="K65" s="793"/>
      <c r="L65" s="793"/>
      <c r="M65" s="793">
        <v>1</v>
      </c>
      <c r="N65" s="793"/>
      <c r="O65" s="793"/>
      <c r="P65" s="794"/>
      <c r="Q65" s="795">
        <f t="shared" si="0"/>
        <v>1</v>
      </c>
      <c r="R65" s="789" t="s">
        <v>1007</v>
      </c>
      <c r="S65" s="773"/>
      <c r="T65" s="796"/>
      <c r="U65" s="773" t="s">
        <v>2029</v>
      </c>
      <c r="V65" s="773" t="s">
        <v>1033</v>
      </c>
      <c r="W65" s="773" t="s">
        <v>2162</v>
      </c>
      <c r="X65" s="829">
        <v>1</v>
      </c>
      <c r="Y65" s="819" t="s">
        <v>1010</v>
      </c>
      <c r="Z65" s="790"/>
      <c r="AA65" s="785"/>
      <c r="AB65" s="785"/>
      <c r="AC65" s="785"/>
      <c r="AD65" s="785"/>
      <c r="AE65" s="785"/>
      <c r="AF65" s="837"/>
      <c r="AG65" s="800"/>
      <c r="AH65" s="800"/>
      <c r="AI65" s="800"/>
      <c r="AJ65" s="800"/>
      <c r="AK65" s="800"/>
      <c r="AL65" s="800"/>
      <c r="AM65" s="800"/>
      <c r="AN65" s="800"/>
      <c r="AO65" s="800"/>
      <c r="AP65" s="800"/>
      <c r="AQ65" s="808">
        <v>281653</v>
      </c>
      <c r="AR65" s="800">
        <v>288958</v>
      </c>
      <c r="AS65" s="800">
        <v>292577</v>
      </c>
      <c r="AT65" s="800">
        <v>296618</v>
      </c>
      <c r="AU65" s="805">
        <v>310161</v>
      </c>
      <c r="AV65" s="808"/>
      <c r="AW65" s="800"/>
      <c r="AX65" s="800"/>
      <c r="AY65" s="800"/>
      <c r="AZ65" s="800"/>
      <c r="BA65" s="800"/>
      <c r="BB65" s="800"/>
      <c r="BC65" s="800"/>
      <c r="BD65" s="800"/>
      <c r="BE65" s="800"/>
      <c r="BF65" s="800"/>
      <c r="BG65" s="800"/>
      <c r="BH65" s="800"/>
      <c r="BI65" s="800"/>
      <c r="BJ65" s="800"/>
      <c r="BK65" s="805"/>
      <c r="BL65" s="789"/>
      <c r="BM65" s="785"/>
      <c r="BN65" s="785"/>
      <c r="BO65" s="785"/>
      <c r="BP65" s="796"/>
      <c r="BQ65" s="808" t="s">
        <v>1942</v>
      </c>
      <c r="BR65" s="800" t="s">
        <v>1942</v>
      </c>
      <c r="BS65" s="800" t="s">
        <v>1942</v>
      </c>
      <c r="BT65" s="800" t="s">
        <v>1942</v>
      </c>
      <c r="BU65" s="805" t="s">
        <v>1942</v>
      </c>
      <c r="BV65" s="808" t="s">
        <v>1942</v>
      </c>
      <c r="BW65" s="800" t="s">
        <v>1942</v>
      </c>
      <c r="BX65" s="800" t="s">
        <v>1942</v>
      </c>
      <c r="BY65" s="800" t="s">
        <v>1942</v>
      </c>
      <c r="BZ65" s="800" t="s">
        <v>1942</v>
      </c>
      <c r="CA65" s="808" t="s">
        <v>1942</v>
      </c>
      <c r="CB65" s="800" t="s">
        <v>1942</v>
      </c>
      <c r="CC65" s="800" t="s">
        <v>1942</v>
      </c>
      <c r="CD65" s="800" t="s">
        <v>1942</v>
      </c>
      <c r="CE65" s="805" t="s">
        <v>1942</v>
      </c>
      <c r="CF65" s="800" t="s">
        <v>1942</v>
      </c>
      <c r="CG65" s="800" t="s">
        <v>1942</v>
      </c>
      <c r="CH65" s="800" t="s">
        <v>1942</v>
      </c>
      <c r="CI65" s="800" t="s">
        <v>1942</v>
      </c>
      <c r="CJ65" s="800" t="s">
        <v>1942</v>
      </c>
      <c r="CK65" s="808" t="s">
        <v>1942</v>
      </c>
      <c r="CL65" s="800" t="s">
        <v>1942</v>
      </c>
      <c r="CM65" s="800" t="s">
        <v>1942</v>
      </c>
      <c r="CN65" s="800" t="s">
        <v>1942</v>
      </c>
      <c r="CO65" s="805" t="s">
        <v>1942</v>
      </c>
      <c r="CP65" s="808" t="s">
        <v>1942</v>
      </c>
      <c r="CQ65" s="800" t="s">
        <v>1942</v>
      </c>
      <c r="CR65" s="800" t="s">
        <v>1942</v>
      </c>
      <c r="CS65" s="800" t="s">
        <v>1942</v>
      </c>
      <c r="CT65" s="805" t="s">
        <v>1942</v>
      </c>
      <c r="CU65" s="1284" t="s">
        <v>1942</v>
      </c>
      <c r="CV65" s="1283" t="s">
        <v>1942</v>
      </c>
      <c r="CW65" s="1283" t="s">
        <v>1942</v>
      </c>
      <c r="CX65" s="1285" t="s">
        <v>1942</v>
      </c>
      <c r="CY65" s="1283" t="s">
        <v>1942</v>
      </c>
      <c r="CZ65" s="1283" t="s">
        <v>1942</v>
      </c>
      <c r="DA65" s="1283" t="s">
        <v>1942</v>
      </c>
      <c r="DB65" s="1285" t="s">
        <v>1942</v>
      </c>
      <c r="DC65" s="785"/>
      <c r="DD65" s="813"/>
      <c r="DE65" s="814"/>
    </row>
    <row r="66" spans="1:109" ht="15.75" hidden="1" customHeight="1">
      <c r="A66" s="772" t="s">
        <v>1015</v>
      </c>
      <c r="B66" s="773">
        <v>60</v>
      </c>
      <c r="C66" s="789" t="s">
        <v>2163</v>
      </c>
      <c r="D66" s="773"/>
      <c r="E66" s="773" t="s">
        <v>1907</v>
      </c>
      <c r="F66" s="785">
        <v>38</v>
      </c>
      <c r="G66" s="790" t="s">
        <v>2164</v>
      </c>
      <c r="H66" s="791"/>
      <c r="I66" s="792"/>
      <c r="J66" s="793">
        <v>1</v>
      </c>
      <c r="K66" s="793"/>
      <c r="L66" s="793"/>
      <c r="M66" s="793"/>
      <c r="N66" s="793"/>
      <c r="O66" s="793"/>
      <c r="P66" s="794"/>
      <c r="Q66" s="795">
        <f t="shared" si="0"/>
        <v>1</v>
      </c>
      <c r="R66" s="789" t="s">
        <v>1026</v>
      </c>
      <c r="S66" s="773" t="s">
        <v>1008</v>
      </c>
      <c r="T66" s="796" t="s">
        <v>1019</v>
      </c>
      <c r="U66" s="773" t="s">
        <v>2165</v>
      </c>
      <c r="V66" s="773" t="s">
        <v>1033</v>
      </c>
      <c r="W66" s="773" t="s">
        <v>2166</v>
      </c>
      <c r="X66" s="829">
        <v>0</v>
      </c>
      <c r="Y66" s="819" t="s">
        <v>1010</v>
      </c>
      <c r="Z66" s="790"/>
      <c r="AA66" s="785"/>
      <c r="AB66" s="785"/>
      <c r="AC66" s="785"/>
      <c r="AD66" s="785"/>
      <c r="AE66" s="785"/>
      <c r="AF66" s="837"/>
      <c r="AG66" s="800"/>
      <c r="AH66" s="800"/>
      <c r="AI66" s="800"/>
      <c r="AJ66" s="800"/>
      <c r="AK66" s="800"/>
      <c r="AL66" s="800"/>
      <c r="AM66" s="800"/>
      <c r="AN66" s="800"/>
      <c r="AO66" s="800"/>
      <c r="AP66" s="800"/>
      <c r="AQ66" s="827">
        <v>219279</v>
      </c>
      <c r="AR66" s="797">
        <v>438559</v>
      </c>
      <c r="AS66" s="797">
        <v>657838</v>
      </c>
      <c r="AT66" s="797">
        <v>877118</v>
      </c>
      <c r="AU66" s="841">
        <v>1096397</v>
      </c>
      <c r="AV66" s="808"/>
      <c r="AW66" s="800"/>
      <c r="AX66" s="800"/>
      <c r="AY66" s="800"/>
      <c r="AZ66" s="800"/>
      <c r="BA66" s="800"/>
      <c r="BB66" s="800"/>
      <c r="BC66" s="800"/>
      <c r="BD66" s="800"/>
      <c r="BE66" s="800"/>
      <c r="BF66" s="800"/>
      <c r="BG66" s="800"/>
      <c r="BH66" s="800"/>
      <c r="BI66" s="800"/>
      <c r="BJ66" s="800"/>
      <c r="BK66" s="805"/>
      <c r="BL66" s="789"/>
      <c r="BM66" s="785"/>
      <c r="BN66" s="785"/>
      <c r="BO66" s="785"/>
      <c r="BP66" s="796" t="s">
        <v>168</v>
      </c>
      <c r="BQ66" s="808" t="s">
        <v>1942</v>
      </c>
      <c r="BR66" s="800" t="s">
        <v>1942</v>
      </c>
      <c r="BS66" s="800" t="s">
        <v>1942</v>
      </c>
      <c r="BT66" s="800" t="s">
        <v>1942</v>
      </c>
      <c r="BU66" s="805" t="s">
        <v>1942</v>
      </c>
      <c r="BV66" s="808" t="s">
        <v>1942</v>
      </c>
      <c r="BW66" s="800" t="s">
        <v>1942</v>
      </c>
      <c r="BX66" s="800" t="s">
        <v>1942</v>
      </c>
      <c r="BY66" s="800" t="s">
        <v>1942</v>
      </c>
      <c r="BZ66" s="800" t="s">
        <v>1942</v>
      </c>
      <c r="CA66" s="808" t="s">
        <v>1942</v>
      </c>
      <c r="CB66" s="800" t="s">
        <v>1942</v>
      </c>
      <c r="CC66" s="800" t="s">
        <v>1942</v>
      </c>
      <c r="CD66" s="800" t="s">
        <v>1942</v>
      </c>
      <c r="CE66" s="805" t="s">
        <v>1942</v>
      </c>
      <c r="CF66" s="800" t="s">
        <v>1942</v>
      </c>
      <c r="CG66" s="800" t="s">
        <v>1942</v>
      </c>
      <c r="CH66" s="800" t="s">
        <v>1942</v>
      </c>
      <c r="CI66" s="800" t="s">
        <v>1942</v>
      </c>
      <c r="CJ66" s="800" t="s">
        <v>1942</v>
      </c>
      <c r="CK66" s="808" t="s">
        <v>1942</v>
      </c>
      <c r="CL66" s="800" t="s">
        <v>1942</v>
      </c>
      <c r="CM66" s="800" t="s">
        <v>1942</v>
      </c>
      <c r="CN66" s="800" t="s">
        <v>1942</v>
      </c>
      <c r="CO66" s="805" t="s">
        <v>1942</v>
      </c>
      <c r="CP66" s="808" t="s">
        <v>1942</v>
      </c>
      <c r="CQ66" s="800" t="s">
        <v>1942</v>
      </c>
      <c r="CR66" s="800" t="s">
        <v>1942</v>
      </c>
      <c r="CS66" s="800" t="s">
        <v>1942</v>
      </c>
      <c r="CT66" s="805" t="s">
        <v>1942</v>
      </c>
      <c r="CU66" s="1288">
        <v>-3.0000000000000001E-5</v>
      </c>
      <c r="CV66" s="1283" t="s">
        <v>1942</v>
      </c>
      <c r="CW66" s="1283" t="s">
        <v>1942</v>
      </c>
      <c r="CX66" s="1285" t="s">
        <v>1942</v>
      </c>
      <c r="CY66" s="1283" t="s">
        <v>1942</v>
      </c>
      <c r="CZ66" s="1283" t="s">
        <v>1942</v>
      </c>
      <c r="DA66" s="1283" t="s">
        <v>1942</v>
      </c>
      <c r="DB66" s="1285" t="s">
        <v>1942</v>
      </c>
      <c r="DC66" s="785"/>
      <c r="DD66" s="813"/>
      <c r="DE66" s="814"/>
    </row>
    <row r="67" spans="1:109" ht="15.75" hidden="1" customHeight="1">
      <c r="A67" s="772" t="s">
        <v>1015</v>
      </c>
      <c r="B67" s="773">
        <v>61</v>
      </c>
      <c r="C67" s="789" t="s">
        <v>2167</v>
      </c>
      <c r="D67" s="773"/>
      <c r="E67" s="773" t="s">
        <v>1907</v>
      </c>
      <c r="F67" s="785">
        <v>39</v>
      </c>
      <c r="G67" s="790" t="s">
        <v>2168</v>
      </c>
      <c r="H67" s="791"/>
      <c r="I67" s="792">
        <v>0.06</v>
      </c>
      <c r="J67" s="793">
        <v>0.94</v>
      </c>
      <c r="K67" s="793"/>
      <c r="L67" s="793"/>
      <c r="M67" s="793"/>
      <c r="N67" s="793"/>
      <c r="O67" s="793"/>
      <c r="P67" s="794"/>
      <c r="Q67" s="795">
        <f t="shared" si="0"/>
        <v>1</v>
      </c>
      <c r="R67" s="789" t="s">
        <v>1026</v>
      </c>
      <c r="S67" s="773" t="s">
        <v>1008</v>
      </c>
      <c r="T67" s="796" t="s">
        <v>1019</v>
      </c>
      <c r="U67" s="773" t="s">
        <v>2165</v>
      </c>
      <c r="V67" s="773" t="s">
        <v>1033</v>
      </c>
      <c r="W67" s="773" t="s">
        <v>2169</v>
      </c>
      <c r="X67" s="829">
        <v>1</v>
      </c>
      <c r="Y67" s="819" t="s">
        <v>1010</v>
      </c>
      <c r="Z67" s="790"/>
      <c r="AA67" s="785"/>
      <c r="AB67" s="785"/>
      <c r="AC67" s="785"/>
      <c r="AD67" s="785"/>
      <c r="AE67" s="785"/>
      <c r="AF67" s="837"/>
      <c r="AG67" s="800"/>
      <c r="AH67" s="800"/>
      <c r="AI67" s="800"/>
      <c r="AJ67" s="800"/>
      <c r="AK67" s="800"/>
      <c r="AL67" s="800"/>
      <c r="AM67" s="800"/>
      <c r="AN67" s="800"/>
      <c r="AO67" s="800"/>
      <c r="AP67" s="800"/>
      <c r="AQ67" s="817">
        <v>0</v>
      </c>
      <c r="AR67" s="1216">
        <v>0</v>
      </c>
      <c r="AS67" s="1216">
        <v>0</v>
      </c>
      <c r="AT67" s="1216">
        <v>0</v>
      </c>
      <c r="AU67" s="1527">
        <v>469.4</v>
      </c>
      <c r="AV67" s="808"/>
      <c r="AW67" s="800"/>
      <c r="AX67" s="800"/>
      <c r="AY67" s="800"/>
      <c r="AZ67" s="800"/>
      <c r="BA67" s="800"/>
      <c r="BB67" s="800"/>
      <c r="BC67" s="800"/>
      <c r="BD67" s="800"/>
      <c r="BE67" s="800"/>
      <c r="BF67" s="800"/>
      <c r="BG67" s="800"/>
      <c r="BH67" s="800"/>
      <c r="BI67" s="800"/>
      <c r="BJ67" s="800"/>
      <c r="BK67" s="805"/>
      <c r="BL67" s="1955" t="s">
        <v>168</v>
      </c>
      <c r="BM67" s="1956" t="s">
        <v>168</v>
      </c>
      <c r="BN67" s="1956" t="s">
        <v>168</v>
      </c>
      <c r="BO67" s="1956" t="s">
        <v>168</v>
      </c>
      <c r="BP67" s="796" t="s">
        <v>168</v>
      </c>
      <c r="BQ67" s="808" t="s">
        <v>1942</v>
      </c>
      <c r="BR67" s="800" t="s">
        <v>1942</v>
      </c>
      <c r="BS67" s="800" t="s">
        <v>1942</v>
      </c>
      <c r="BT67" s="800" t="s">
        <v>1942</v>
      </c>
      <c r="BU67" s="805" t="s">
        <v>1942</v>
      </c>
      <c r="BV67" s="808" t="s">
        <v>1942</v>
      </c>
      <c r="BW67" s="800" t="s">
        <v>1942</v>
      </c>
      <c r="BX67" s="800" t="s">
        <v>1942</v>
      </c>
      <c r="BY67" s="800" t="s">
        <v>1942</v>
      </c>
      <c r="BZ67" s="800" t="s">
        <v>1942</v>
      </c>
      <c r="CA67" s="808" t="s">
        <v>1942</v>
      </c>
      <c r="CB67" s="800" t="s">
        <v>1942</v>
      </c>
      <c r="CC67" s="800" t="s">
        <v>1942</v>
      </c>
      <c r="CD67" s="800" t="s">
        <v>1942</v>
      </c>
      <c r="CE67" s="805" t="s">
        <v>1942</v>
      </c>
      <c r="CF67" s="800" t="s">
        <v>1942</v>
      </c>
      <c r="CG67" s="800" t="s">
        <v>1942</v>
      </c>
      <c r="CH67" s="800" t="s">
        <v>1942</v>
      </c>
      <c r="CI67" s="800" t="s">
        <v>1942</v>
      </c>
      <c r="CJ67" s="800" t="s">
        <v>1942</v>
      </c>
      <c r="CK67" s="808" t="s">
        <v>1942</v>
      </c>
      <c r="CL67" s="800" t="s">
        <v>1942</v>
      </c>
      <c r="CM67" s="800" t="s">
        <v>1942</v>
      </c>
      <c r="CN67" s="800" t="s">
        <v>1942</v>
      </c>
      <c r="CO67" s="805" t="s">
        <v>1942</v>
      </c>
      <c r="CP67" s="808" t="s">
        <v>1942</v>
      </c>
      <c r="CQ67" s="800" t="s">
        <v>1942</v>
      </c>
      <c r="CR67" s="800" t="s">
        <v>1942</v>
      </c>
      <c r="CS67" s="800" t="s">
        <v>1942</v>
      </c>
      <c r="CT67" s="805" t="s">
        <v>1942</v>
      </c>
      <c r="CU67" s="1528">
        <v>-0.45900000000000002</v>
      </c>
      <c r="CV67" s="1283" t="s">
        <v>1942</v>
      </c>
      <c r="CW67" s="1283" t="s">
        <v>1942</v>
      </c>
      <c r="CX67" s="1285" t="s">
        <v>1942</v>
      </c>
      <c r="CY67" s="1283" t="s">
        <v>1942</v>
      </c>
      <c r="CZ67" s="1283" t="s">
        <v>1942</v>
      </c>
      <c r="DA67" s="1283" t="s">
        <v>1942</v>
      </c>
      <c r="DB67" s="1285" t="s">
        <v>1942</v>
      </c>
      <c r="DC67" s="785"/>
      <c r="DD67" s="813"/>
      <c r="DE67" s="814"/>
    </row>
    <row r="68" spans="1:109" ht="15.75" hidden="1" customHeight="1">
      <c r="A68" s="772" t="s">
        <v>1015</v>
      </c>
      <c r="B68" s="773">
        <v>62</v>
      </c>
      <c r="C68" s="789" t="s">
        <v>2170</v>
      </c>
      <c r="D68" s="773"/>
      <c r="E68" s="773"/>
      <c r="F68" s="785">
        <v>40</v>
      </c>
      <c r="G68" s="790" t="s">
        <v>2171</v>
      </c>
      <c r="H68" s="791"/>
      <c r="I68" s="792"/>
      <c r="J68" s="793"/>
      <c r="K68" s="793"/>
      <c r="L68" s="793"/>
      <c r="M68" s="793"/>
      <c r="N68" s="793"/>
      <c r="O68" s="793"/>
      <c r="P68" s="794"/>
      <c r="Q68" s="795">
        <f t="shared" si="0"/>
        <v>0</v>
      </c>
      <c r="R68" s="789" t="s">
        <v>1007</v>
      </c>
      <c r="S68" s="773"/>
      <c r="T68" s="796"/>
      <c r="U68" s="773"/>
      <c r="V68" s="773" t="s">
        <v>278</v>
      </c>
      <c r="W68" s="773"/>
      <c r="X68" s="1309">
        <v>0</v>
      </c>
      <c r="Y68" s="819"/>
      <c r="Z68" s="790"/>
      <c r="AA68" s="785"/>
      <c r="AB68" s="785"/>
      <c r="AC68" s="785"/>
      <c r="AD68" s="785"/>
      <c r="AE68" s="785"/>
      <c r="AF68" s="837"/>
      <c r="AG68" s="800"/>
      <c r="AH68" s="800"/>
      <c r="AI68" s="800"/>
      <c r="AJ68" s="800"/>
      <c r="AK68" s="800"/>
      <c r="AL68" s="800"/>
      <c r="AM68" s="800"/>
      <c r="AN68" s="800"/>
      <c r="AO68" s="800"/>
      <c r="AP68" s="800"/>
      <c r="AQ68" s="808">
        <v>77</v>
      </c>
      <c r="AR68" s="800">
        <v>79</v>
      </c>
      <c r="AS68" s="800">
        <v>81</v>
      </c>
      <c r="AT68" s="800">
        <v>82</v>
      </c>
      <c r="AU68" s="805">
        <v>83</v>
      </c>
      <c r="AV68" s="808"/>
      <c r="AW68" s="800"/>
      <c r="AX68" s="800"/>
      <c r="AY68" s="800"/>
      <c r="AZ68" s="800"/>
      <c r="BA68" s="800"/>
      <c r="BB68" s="800"/>
      <c r="BC68" s="800"/>
      <c r="BD68" s="800"/>
      <c r="BE68" s="800"/>
      <c r="BF68" s="800"/>
      <c r="BG68" s="800"/>
      <c r="BH68" s="800"/>
      <c r="BI68" s="800"/>
      <c r="BJ68" s="800"/>
      <c r="BK68" s="805"/>
      <c r="BL68" s="789"/>
      <c r="BM68" s="785"/>
      <c r="BN68" s="785"/>
      <c r="BO68" s="785"/>
      <c r="BP68" s="796"/>
      <c r="BQ68" s="808" t="s">
        <v>1942</v>
      </c>
      <c r="BR68" s="800" t="s">
        <v>1942</v>
      </c>
      <c r="BS68" s="800" t="s">
        <v>1942</v>
      </c>
      <c r="BT68" s="800" t="s">
        <v>1942</v>
      </c>
      <c r="BU68" s="805" t="s">
        <v>1942</v>
      </c>
      <c r="BV68" s="808" t="s">
        <v>1942</v>
      </c>
      <c r="BW68" s="800" t="s">
        <v>1942</v>
      </c>
      <c r="BX68" s="800" t="s">
        <v>1942</v>
      </c>
      <c r="BY68" s="800" t="s">
        <v>1942</v>
      </c>
      <c r="BZ68" s="800" t="s">
        <v>1942</v>
      </c>
      <c r="CA68" s="808" t="s">
        <v>1942</v>
      </c>
      <c r="CB68" s="800" t="s">
        <v>1942</v>
      </c>
      <c r="CC68" s="800" t="s">
        <v>1942</v>
      </c>
      <c r="CD68" s="800" t="s">
        <v>1942</v>
      </c>
      <c r="CE68" s="805" t="s">
        <v>1942</v>
      </c>
      <c r="CF68" s="800" t="s">
        <v>1942</v>
      </c>
      <c r="CG68" s="800" t="s">
        <v>1942</v>
      </c>
      <c r="CH68" s="800" t="s">
        <v>1942</v>
      </c>
      <c r="CI68" s="800" t="s">
        <v>1942</v>
      </c>
      <c r="CJ68" s="800" t="s">
        <v>1942</v>
      </c>
      <c r="CK68" s="808" t="s">
        <v>1942</v>
      </c>
      <c r="CL68" s="800" t="s">
        <v>1942</v>
      </c>
      <c r="CM68" s="800" t="s">
        <v>1942</v>
      </c>
      <c r="CN68" s="800" t="s">
        <v>1942</v>
      </c>
      <c r="CO68" s="805" t="s">
        <v>1942</v>
      </c>
      <c r="CP68" s="808" t="s">
        <v>1942</v>
      </c>
      <c r="CQ68" s="800" t="s">
        <v>1942</v>
      </c>
      <c r="CR68" s="800" t="s">
        <v>1942</v>
      </c>
      <c r="CS68" s="800" t="s">
        <v>1942</v>
      </c>
      <c r="CT68" s="805" t="s">
        <v>1942</v>
      </c>
      <c r="CU68" s="1284" t="s">
        <v>1942</v>
      </c>
      <c r="CV68" s="1283" t="s">
        <v>1942</v>
      </c>
      <c r="CW68" s="1283" t="s">
        <v>1942</v>
      </c>
      <c r="CX68" s="1285" t="s">
        <v>1942</v>
      </c>
      <c r="CY68" s="1283" t="s">
        <v>1942</v>
      </c>
      <c r="CZ68" s="1283" t="s">
        <v>1942</v>
      </c>
      <c r="DA68" s="1283" t="s">
        <v>1942</v>
      </c>
      <c r="DB68" s="1285" t="s">
        <v>1942</v>
      </c>
      <c r="DC68" s="785"/>
      <c r="DD68" s="813"/>
      <c r="DE68" s="814"/>
    </row>
    <row r="69" spans="1:109" ht="15.75" hidden="1" customHeight="1">
      <c r="A69" s="772" t="s">
        <v>1015</v>
      </c>
      <c r="B69" s="773">
        <v>63</v>
      </c>
      <c r="C69" s="789" t="s">
        <v>2172</v>
      </c>
      <c r="D69" s="773"/>
      <c r="E69" s="773"/>
      <c r="F69" s="785">
        <v>41</v>
      </c>
      <c r="G69" s="790" t="s">
        <v>2173</v>
      </c>
      <c r="H69" s="791"/>
      <c r="I69" s="792"/>
      <c r="J69" s="793">
        <v>1</v>
      </c>
      <c r="K69" s="793"/>
      <c r="L69" s="793"/>
      <c r="M69" s="793"/>
      <c r="N69" s="793"/>
      <c r="O69" s="793"/>
      <c r="P69" s="794"/>
      <c r="Q69" s="795">
        <f t="shared" si="0"/>
        <v>1</v>
      </c>
      <c r="R69" s="789" t="s">
        <v>1026</v>
      </c>
      <c r="S69" s="773" t="s">
        <v>1008</v>
      </c>
      <c r="T69" s="796" t="s">
        <v>1019</v>
      </c>
      <c r="U69" s="773"/>
      <c r="V69" s="773" t="s">
        <v>2118</v>
      </c>
      <c r="W69" s="773"/>
      <c r="X69" s="829">
        <v>0</v>
      </c>
      <c r="Y69" s="819" t="s">
        <v>1010</v>
      </c>
      <c r="Z69" s="790"/>
      <c r="AA69" s="785"/>
      <c r="AB69" s="785"/>
      <c r="AC69" s="785"/>
      <c r="AD69" s="785"/>
      <c r="AE69" s="785"/>
      <c r="AF69" s="837"/>
      <c r="AG69" s="800"/>
      <c r="AH69" s="800"/>
      <c r="AI69" s="800"/>
      <c r="AJ69" s="800"/>
      <c r="AK69" s="800"/>
      <c r="AL69" s="800"/>
      <c r="AM69" s="800"/>
      <c r="AN69" s="800"/>
      <c r="AO69" s="800"/>
      <c r="AP69" s="800"/>
      <c r="AQ69" s="808" t="s">
        <v>1942</v>
      </c>
      <c r="AR69" s="800" t="s">
        <v>1942</v>
      </c>
      <c r="AS69" s="800" t="s">
        <v>1942</v>
      </c>
      <c r="AT69" s="800" t="s">
        <v>1942</v>
      </c>
      <c r="AU69" s="2005">
        <v>100</v>
      </c>
      <c r="AV69" s="808"/>
      <c r="AW69" s="800"/>
      <c r="AX69" s="800"/>
      <c r="AY69" s="800"/>
      <c r="AZ69" s="800"/>
      <c r="BA69" s="800"/>
      <c r="BB69" s="800"/>
      <c r="BC69" s="800"/>
      <c r="BD69" s="800"/>
      <c r="BE69" s="800"/>
      <c r="BF69" s="800"/>
      <c r="BG69" s="800"/>
      <c r="BH69" s="800"/>
      <c r="BI69" s="800"/>
      <c r="BJ69" s="800"/>
      <c r="BK69" s="805"/>
      <c r="BL69" s="789"/>
      <c r="BM69" s="785"/>
      <c r="BN69" s="785"/>
      <c r="BO69" s="785"/>
      <c r="BP69" s="796" t="s">
        <v>168</v>
      </c>
      <c r="BQ69" s="808" t="s">
        <v>1942</v>
      </c>
      <c r="BR69" s="800" t="s">
        <v>1942</v>
      </c>
      <c r="BS69" s="800" t="s">
        <v>1942</v>
      </c>
      <c r="BT69" s="800" t="s">
        <v>1942</v>
      </c>
      <c r="BU69" s="805" t="s">
        <v>1942</v>
      </c>
      <c r="BV69" s="808" t="s">
        <v>1942</v>
      </c>
      <c r="BW69" s="800" t="s">
        <v>1942</v>
      </c>
      <c r="BX69" s="800" t="s">
        <v>1942</v>
      </c>
      <c r="BY69" s="800" t="s">
        <v>1942</v>
      </c>
      <c r="BZ69" s="800" t="s">
        <v>1942</v>
      </c>
      <c r="CA69" s="808" t="s">
        <v>1942</v>
      </c>
      <c r="CB69" s="800" t="s">
        <v>1942</v>
      </c>
      <c r="CC69" s="800" t="s">
        <v>1942</v>
      </c>
      <c r="CD69" s="800" t="s">
        <v>1942</v>
      </c>
      <c r="CE69" s="805" t="s">
        <v>1942</v>
      </c>
      <c r="CF69" s="800" t="s">
        <v>1942</v>
      </c>
      <c r="CG69" s="800" t="s">
        <v>1942</v>
      </c>
      <c r="CH69" s="800" t="s">
        <v>1942</v>
      </c>
      <c r="CI69" s="800" t="s">
        <v>1942</v>
      </c>
      <c r="CJ69" s="800" t="s">
        <v>1942</v>
      </c>
      <c r="CK69" s="808" t="s">
        <v>1942</v>
      </c>
      <c r="CL69" s="800" t="s">
        <v>1942</v>
      </c>
      <c r="CM69" s="800" t="s">
        <v>1942</v>
      </c>
      <c r="CN69" s="800" t="s">
        <v>1942</v>
      </c>
      <c r="CO69" s="805" t="s">
        <v>1942</v>
      </c>
      <c r="CP69" s="808" t="s">
        <v>1942</v>
      </c>
      <c r="CQ69" s="800" t="s">
        <v>1942</v>
      </c>
      <c r="CR69" s="800" t="s">
        <v>1942</v>
      </c>
      <c r="CS69" s="800" t="s">
        <v>1942</v>
      </c>
      <c r="CT69" s="805" t="s">
        <v>1942</v>
      </c>
      <c r="CU69" s="1288">
        <v>-6.4799999999999996E-2</v>
      </c>
      <c r="CV69" s="1283" t="s">
        <v>1942</v>
      </c>
      <c r="CW69" s="1283" t="s">
        <v>1942</v>
      </c>
      <c r="CX69" s="1285" t="s">
        <v>1942</v>
      </c>
      <c r="CY69" s="1283" t="s">
        <v>1942</v>
      </c>
      <c r="CZ69" s="1283" t="s">
        <v>1942</v>
      </c>
      <c r="DA69" s="1283" t="s">
        <v>1942</v>
      </c>
      <c r="DB69" s="1285" t="s">
        <v>1942</v>
      </c>
      <c r="DC69" s="785"/>
      <c r="DD69" s="813"/>
      <c r="DE69" s="814"/>
    </row>
    <row r="70" spans="1:109" ht="15.75" hidden="1" customHeight="1">
      <c r="A70" s="772" t="s">
        <v>1015</v>
      </c>
      <c r="B70" s="773">
        <v>64</v>
      </c>
      <c r="C70" s="789" t="s">
        <v>2174</v>
      </c>
      <c r="D70" s="773"/>
      <c r="E70" s="773"/>
      <c r="F70" s="785" t="s">
        <v>2032</v>
      </c>
      <c r="G70" s="790" t="s">
        <v>2033</v>
      </c>
      <c r="H70" s="791"/>
      <c r="I70" s="792"/>
      <c r="J70" s="793"/>
      <c r="K70" s="793"/>
      <c r="L70" s="793"/>
      <c r="M70" s="793"/>
      <c r="N70" s="793"/>
      <c r="O70" s="793"/>
      <c r="P70" s="794"/>
      <c r="Q70" s="795">
        <f t="shared" si="0"/>
        <v>0</v>
      </c>
      <c r="R70" s="789" t="s">
        <v>1007</v>
      </c>
      <c r="S70" s="773"/>
      <c r="T70" s="796"/>
      <c r="U70" s="773"/>
      <c r="V70" s="773" t="s">
        <v>1072</v>
      </c>
      <c r="W70" s="773" t="s">
        <v>2034</v>
      </c>
      <c r="X70" s="829">
        <v>0</v>
      </c>
      <c r="Y70" s="819"/>
      <c r="Z70" s="790"/>
      <c r="AA70" s="785"/>
      <c r="AB70" s="785"/>
      <c r="AC70" s="785"/>
      <c r="AD70" s="785"/>
      <c r="AE70" s="785"/>
      <c r="AF70" s="799"/>
      <c r="AG70" s="800"/>
      <c r="AH70" s="800"/>
      <c r="AI70" s="800"/>
      <c r="AJ70" s="800"/>
      <c r="AK70" s="800"/>
      <c r="AL70" s="800"/>
      <c r="AM70" s="800"/>
      <c r="AN70" s="800"/>
      <c r="AO70" s="800"/>
      <c r="AP70" s="800"/>
      <c r="AQ70" s="808" t="s">
        <v>591</v>
      </c>
      <c r="AR70" s="800" t="s">
        <v>591</v>
      </c>
      <c r="AS70" s="800" t="s">
        <v>591</v>
      </c>
      <c r="AT70" s="800" t="s">
        <v>591</v>
      </c>
      <c r="AU70" s="805" t="s">
        <v>591</v>
      </c>
      <c r="AV70" s="808"/>
      <c r="AW70" s="800"/>
      <c r="AX70" s="800"/>
      <c r="AY70" s="800"/>
      <c r="AZ70" s="800"/>
      <c r="BA70" s="800"/>
      <c r="BB70" s="800"/>
      <c r="BC70" s="800"/>
      <c r="BD70" s="800"/>
      <c r="BE70" s="800"/>
      <c r="BF70" s="800"/>
      <c r="BG70" s="800"/>
      <c r="BH70" s="800"/>
      <c r="BI70" s="800"/>
      <c r="BJ70" s="800"/>
      <c r="BK70" s="805"/>
      <c r="BL70" s="789"/>
      <c r="BM70" s="785"/>
      <c r="BN70" s="785"/>
      <c r="BO70" s="785"/>
      <c r="BP70" s="796"/>
      <c r="BQ70" s="808" t="s">
        <v>1942</v>
      </c>
      <c r="BR70" s="800" t="s">
        <v>1942</v>
      </c>
      <c r="BS70" s="800" t="s">
        <v>1942</v>
      </c>
      <c r="BT70" s="800" t="s">
        <v>1942</v>
      </c>
      <c r="BU70" s="805" t="s">
        <v>1942</v>
      </c>
      <c r="BV70" s="808" t="s">
        <v>1942</v>
      </c>
      <c r="BW70" s="800" t="s">
        <v>1942</v>
      </c>
      <c r="BX70" s="800" t="s">
        <v>1942</v>
      </c>
      <c r="BY70" s="800" t="s">
        <v>1942</v>
      </c>
      <c r="BZ70" s="800" t="s">
        <v>1942</v>
      </c>
      <c r="CA70" s="808" t="s">
        <v>1942</v>
      </c>
      <c r="CB70" s="800" t="s">
        <v>1942</v>
      </c>
      <c r="CC70" s="800" t="s">
        <v>1942</v>
      </c>
      <c r="CD70" s="800" t="s">
        <v>1942</v>
      </c>
      <c r="CE70" s="805" t="s">
        <v>1942</v>
      </c>
      <c r="CF70" s="800" t="s">
        <v>1942</v>
      </c>
      <c r="CG70" s="800" t="s">
        <v>1942</v>
      </c>
      <c r="CH70" s="800" t="s">
        <v>1942</v>
      </c>
      <c r="CI70" s="800" t="s">
        <v>1942</v>
      </c>
      <c r="CJ70" s="800" t="s">
        <v>1942</v>
      </c>
      <c r="CK70" s="808" t="s">
        <v>1942</v>
      </c>
      <c r="CL70" s="800" t="s">
        <v>1942</v>
      </c>
      <c r="CM70" s="800" t="s">
        <v>1942</v>
      </c>
      <c r="CN70" s="800" t="s">
        <v>1942</v>
      </c>
      <c r="CO70" s="805" t="s">
        <v>1942</v>
      </c>
      <c r="CP70" s="808" t="s">
        <v>1942</v>
      </c>
      <c r="CQ70" s="800" t="s">
        <v>1942</v>
      </c>
      <c r="CR70" s="800" t="s">
        <v>1942</v>
      </c>
      <c r="CS70" s="800" t="s">
        <v>1942</v>
      </c>
      <c r="CT70" s="805" t="s">
        <v>1942</v>
      </c>
      <c r="CU70" s="1284" t="s">
        <v>1942</v>
      </c>
      <c r="CV70" s="1283" t="s">
        <v>1942</v>
      </c>
      <c r="CW70" s="1283" t="s">
        <v>1942</v>
      </c>
      <c r="CX70" s="1285" t="s">
        <v>1942</v>
      </c>
      <c r="CY70" s="1283" t="s">
        <v>1942</v>
      </c>
      <c r="CZ70" s="1283" t="s">
        <v>1942</v>
      </c>
      <c r="DA70" s="1283" t="s">
        <v>1942</v>
      </c>
      <c r="DB70" s="1285" t="s">
        <v>1942</v>
      </c>
      <c r="DC70" s="785"/>
      <c r="DD70" s="813"/>
      <c r="DE70" s="814"/>
    </row>
    <row r="71" spans="1:109" ht="15.75" hidden="1" customHeight="1">
      <c r="A71" s="772" t="s">
        <v>1015</v>
      </c>
      <c r="B71" s="773">
        <v>65</v>
      </c>
      <c r="C71" s="789" t="s">
        <v>2175</v>
      </c>
      <c r="D71" s="773"/>
      <c r="E71" s="773"/>
      <c r="F71" s="785">
        <v>42</v>
      </c>
      <c r="G71" s="790" t="s">
        <v>2176</v>
      </c>
      <c r="H71" s="791"/>
      <c r="I71" s="792"/>
      <c r="J71" s="793"/>
      <c r="K71" s="793">
        <v>1</v>
      </c>
      <c r="L71" s="793"/>
      <c r="M71" s="793"/>
      <c r="N71" s="793"/>
      <c r="O71" s="793"/>
      <c r="P71" s="794"/>
      <c r="Q71" s="795">
        <f t="shared" si="0"/>
        <v>1</v>
      </c>
      <c r="R71" s="789" t="s">
        <v>1026</v>
      </c>
      <c r="S71" s="773" t="s">
        <v>1008</v>
      </c>
      <c r="T71" s="796" t="s">
        <v>1019</v>
      </c>
      <c r="U71" s="773"/>
      <c r="V71" s="773" t="s">
        <v>2177</v>
      </c>
      <c r="W71" s="773" t="s">
        <v>2178</v>
      </c>
      <c r="X71" s="1274">
        <v>0</v>
      </c>
      <c r="Y71" s="819" t="s">
        <v>1010</v>
      </c>
      <c r="Z71" s="790"/>
      <c r="AA71" s="785"/>
      <c r="AB71" s="785"/>
      <c r="AC71" s="785"/>
      <c r="AD71" s="785"/>
      <c r="AE71" s="785"/>
      <c r="AF71" s="799"/>
      <c r="AG71" s="800"/>
      <c r="AH71" s="800"/>
      <c r="AI71" s="800"/>
      <c r="AJ71" s="800"/>
      <c r="AK71" s="800"/>
      <c r="AL71" s="800"/>
      <c r="AM71" s="800"/>
      <c r="AN71" s="800"/>
      <c r="AO71" s="800"/>
      <c r="AP71" s="800"/>
      <c r="AQ71" s="808" t="s">
        <v>1942</v>
      </c>
      <c r="AR71" s="800" t="s">
        <v>1942</v>
      </c>
      <c r="AS71" s="800" t="s">
        <v>1942</v>
      </c>
      <c r="AT71" s="800" t="s">
        <v>1942</v>
      </c>
      <c r="AU71" s="805">
        <v>92</v>
      </c>
      <c r="AV71" s="808"/>
      <c r="AW71" s="800"/>
      <c r="AX71" s="800"/>
      <c r="AY71" s="800"/>
      <c r="AZ71" s="800"/>
      <c r="BA71" s="800"/>
      <c r="BB71" s="800"/>
      <c r="BC71" s="800"/>
      <c r="BD71" s="800"/>
      <c r="BE71" s="800"/>
      <c r="BF71" s="800"/>
      <c r="BG71" s="800"/>
      <c r="BH71" s="800"/>
      <c r="BI71" s="800"/>
      <c r="BJ71" s="800"/>
      <c r="BK71" s="805"/>
      <c r="BL71" s="789"/>
      <c r="BM71" s="785"/>
      <c r="BN71" s="785"/>
      <c r="BO71" s="785"/>
      <c r="BP71" s="796" t="s">
        <v>168</v>
      </c>
      <c r="BQ71" s="808" t="s">
        <v>1942</v>
      </c>
      <c r="BR71" s="800" t="s">
        <v>1942</v>
      </c>
      <c r="BS71" s="800" t="s">
        <v>1942</v>
      </c>
      <c r="BT71" s="800" t="s">
        <v>1942</v>
      </c>
      <c r="BU71" s="805" t="s">
        <v>1942</v>
      </c>
      <c r="BV71" s="808" t="s">
        <v>1942</v>
      </c>
      <c r="BW71" s="800" t="s">
        <v>1942</v>
      </c>
      <c r="BX71" s="800" t="s">
        <v>1942</v>
      </c>
      <c r="BY71" s="800" t="s">
        <v>1942</v>
      </c>
      <c r="BZ71" s="800" t="s">
        <v>1942</v>
      </c>
      <c r="CA71" s="808" t="s">
        <v>1942</v>
      </c>
      <c r="CB71" s="800" t="s">
        <v>1942</v>
      </c>
      <c r="CC71" s="800" t="s">
        <v>1942</v>
      </c>
      <c r="CD71" s="800" t="s">
        <v>1942</v>
      </c>
      <c r="CE71" s="805" t="s">
        <v>1942</v>
      </c>
      <c r="CF71" s="800" t="s">
        <v>1942</v>
      </c>
      <c r="CG71" s="800" t="s">
        <v>1942</v>
      </c>
      <c r="CH71" s="800" t="s">
        <v>1942</v>
      </c>
      <c r="CI71" s="800" t="s">
        <v>1942</v>
      </c>
      <c r="CJ71" s="800" t="s">
        <v>1942</v>
      </c>
      <c r="CK71" s="808" t="s">
        <v>1942</v>
      </c>
      <c r="CL71" s="800" t="s">
        <v>1942</v>
      </c>
      <c r="CM71" s="800" t="s">
        <v>1942</v>
      </c>
      <c r="CN71" s="800" t="s">
        <v>1942</v>
      </c>
      <c r="CO71" s="805" t="s">
        <v>1942</v>
      </c>
      <c r="CP71" s="808" t="s">
        <v>1942</v>
      </c>
      <c r="CQ71" s="800" t="s">
        <v>1942</v>
      </c>
      <c r="CR71" s="800" t="s">
        <v>1942</v>
      </c>
      <c r="CS71" s="800" t="s">
        <v>1942</v>
      </c>
      <c r="CT71" s="805" t="s">
        <v>1942</v>
      </c>
      <c r="CU71" s="1288">
        <v>-5.9499999999999997E-2</v>
      </c>
      <c r="CV71" s="1283" t="s">
        <v>1942</v>
      </c>
      <c r="CW71" s="1283" t="s">
        <v>1942</v>
      </c>
      <c r="CX71" s="1285" t="s">
        <v>1942</v>
      </c>
      <c r="CY71" s="1283" t="s">
        <v>1942</v>
      </c>
      <c r="CZ71" s="1283" t="s">
        <v>1942</v>
      </c>
      <c r="DA71" s="1283" t="s">
        <v>1942</v>
      </c>
      <c r="DB71" s="1285" t="s">
        <v>1942</v>
      </c>
      <c r="DC71" s="785"/>
      <c r="DD71" s="813"/>
      <c r="DE71" s="814"/>
    </row>
    <row r="72" spans="1:109" ht="15.75" hidden="1" customHeight="1">
      <c r="A72" s="772" t="s">
        <v>1015</v>
      </c>
      <c r="B72" s="773">
        <v>66</v>
      </c>
      <c r="C72" s="789" t="s">
        <v>2179</v>
      </c>
      <c r="D72" s="773"/>
      <c r="E72" s="773"/>
      <c r="F72" s="785">
        <v>43</v>
      </c>
      <c r="G72" s="790" t="s">
        <v>2180</v>
      </c>
      <c r="H72" s="791"/>
      <c r="I72" s="792"/>
      <c r="J72" s="793"/>
      <c r="K72" s="793"/>
      <c r="L72" s="793"/>
      <c r="M72" s="793"/>
      <c r="N72" s="793"/>
      <c r="O72" s="793"/>
      <c r="P72" s="794"/>
      <c r="Q72" s="795">
        <f t="shared" si="0"/>
        <v>0</v>
      </c>
      <c r="R72" s="789" t="s">
        <v>1007</v>
      </c>
      <c r="S72" s="773"/>
      <c r="T72" s="796"/>
      <c r="U72" s="773"/>
      <c r="V72" s="773" t="s">
        <v>278</v>
      </c>
      <c r="W72" s="773"/>
      <c r="X72" s="829">
        <v>1</v>
      </c>
      <c r="Y72" s="819"/>
      <c r="Z72" s="790"/>
      <c r="AA72" s="785"/>
      <c r="AB72" s="785"/>
      <c r="AC72" s="785"/>
      <c r="AD72" s="785"/>
      <c r="AE72" s="785"/>
      <c r="AF72" s="799"/>
      <c r="AG72" s="800"/>
      <c r="AH72" s="800"/>
      <c r="AI72" s="800"/>
      <c r="AJ72" s="800"/>
      <c r="AK72" s="800"/>
      <c r="AL72" s="800"/>
      <c r="AM72" s="800"/>
      <c r="AN72" s="800"/>
      <c r="AO72" s="800"/>
      <c r="AP72" s="800"/>
      <c r="AQ72" s="817">
        <v>0</v>
      </c>
      <c r="AR72" s="816">
        <v>1</v>
      </c>
      <c r="AS72" s="816">
        <v>2</v>
      </c>
      <c r="AT72" s="816">
        <v>3.5</v>
      </c>
      <c r="AU72" s="818">
        <v>5</v>
      </c>
      <c r="AV72" s="808"/>
      <c r="AW72" s="800"/>
      <c r="AX72" s="800"/>
      <c r="AY72" s="800"/>
      <c r="AZ72" s="800"/>
      <c r="BA72" s="800"/>
      <c r="BB72" s="800"/>
      <c r="BC72" s="800"/>
      <c r="BD72" s="800"/>
      <c r="BE72" s="800"/>
      <c r="BF72" s="800"/>
      <c r="BG72" s="800"/>
      <c r="BH72" s="800"/>
      <c r="BI72" s="800"/>
      <c r="BJ72" s="800"/>
      <c r="BK72" s="805"/>
      <c r="BL72" s="789"/>
      <c r="BM72" s="785"/>
      <c r="BN72" s="785"/>
      <c r="BO72" s="785"/>
      <c r="BP72" s="796"/>
      <c r="BQ72" s="808" t="s">
        <v>1942</v>
      </c>
      <c r="BR72" s="800" t="s">
        <v>1942</v>
      </c>
      <c r="BS72" s="800" t="s">
        <v>1942</v>
      </c>
      <c r="BT72" s="800" t="s">
        <v>1942</v>
      </c>
      <c r="BU72" s="805" t="s">
        <v>1942</v>
      </c>
      <c r="BV72" s="808" t="s">
        <v>1942</v>
      </c>
      <c r="BW72" s="800" t="s">
        <v>1942</v>
      </c>
      <c r="BX72" s="800" t="s">
        <v>1942</v>
      </c>
      <c r="BY72" s="800" t="s">
        <v>1942</v>
      </c>
      <c r="BZ72" s="800" t="s">
        <v>1942</v>
      </c>
      <c r="CA72" s="808" t="s">
        <v>1942</v>
      </c>
      <c r="CB72" s="800" t="s">
        <v>1942</v>
      </c>
      <c r="CC72" s="800" t="s">
        <v>1942</v>
      </c>
      <c r="CD72" s="800" t="s">
        <v>1942</v>
      </c>
      <c r="CE72" s="805" t="s">
        <v>1942</v>
      </c>
      <c r="CF72" s="800" t="s">
        <v>1942</v>
      </c>
      <c r="CG72" s="800" t="s">
        <v>1942</v>
      </c>
      <c r="CH72" s="800" t="s">
        <v>1942</v>
      </c>
      <c r="CI72" s="800" t="s">
        <v>1942</v>
      </c>
      <c r="CJ72" s="800" t="s">
        <v>1942</v>
      </c>
      <c r="CK72" s="808" t="s">
        <v>1942</v>
      </c>
      <c r="CL72" s="800" t="s">
        <v>1942</v>
      </c>
      <c r="CM72" s="800" t="s">
        <v>1942</v>
      </c>
      <c r="CN72" s="800" t="s">
        <v>1942</v>
      </c>
      <c r="CO72" s="805" t="s">
        <v>1942</v>
      </c>
      <c r="CP72" s="808" t="s">
        <v>1942</v>
      </c>
      <c r="CQ72" s="800" t="s">
        <v>1942</v>
      </c>
      <c r="CR72" s="800" t="s">
        <v>1942</v>
      </c>
      <c r="CS72" s="800" t="s">
        <v>1942</v>
      </c>
      <c r="CT72" s="805" t="s">
        <v>1942</v>
      </c>
      <c r="CU72" s="1284" t="s">
        <v>1942</v>
      </c>
      <c r="CV72" s="1283" t="s">
        <v>1942</v>
      </c>
      <c r="CW72" s="1283" t="s">
        <v>1942</v>
      </c>
      <c r="CX72" s="1285" t="s">
        <v>1942</v>
      </c>
      <c r="CY72" s="1283" t="s">
        <v>1942</v>
      </c>
      <c r="CZ72" s="1283" t="s">
        <v>1942</v>
      </c>
      <c r="DA72" s="1283" t="s">
        <v>1942</v>
      </c>
      <c r="DB72" s="1285" t="s">
        <v>1942</v>
      </c>
      <c r="DC72" s="785"/>
      <c r="DD72" s="813"/>
      <c r="DE72" s="814"/>
    </row>
    <row r="73" spans="1:109" ht="15.75" hidden="1" customHeight="1">
      <c r="A73" s="772" t="s">
        <v>1015</v>
      </c>
      <c r="B73" s="773">
        <v>67</v>
      </c>
      <c r="C73" s="789" t="s">
        <v>2181</v>
      </c>
      <c r="D73" s="773"/>
      <c r="E73" s="773"/>
      <c r="F73" s="785">
        <v>44</v>
      </c>
      <c r="G73" s="790" t="s">
        <v>2182</v>
      </c>
      <c r="H73" s="791"/>
      <c r="I73" s="792"/>
      <c r="J73" s="793"/>
      <c r="K73" s="793"/>
      <c r="L73" s="793"/>
      <c r="M73" s="793"/>
      <c r="N73" s="793"/>
      <c r="O73" s="793"/>
      <c r="P73" s="794"/>
      <c r="Q73" s="795">
        <f t="shared" ref="Q73:Q136" si="1">SUM(I73:P73)</f>
        <v>0</v>
      </c>
      <c r="R73" s="789" t="s">
        <v>1007</v>
      </c>
      <c r="S73" s="773"/>
      <c r="T73" s="796"/>
      <c r="U73" s="773"/>
      <c r="V73" s="773" t="s">
        <v>1081</v>
      </c>
      <c r="W73" s="773"/>
      <c r="X73" s="829">
        <v>2</v>
      </c>
      <c r="Y73" s="819"/>
      <c r="Z73" s="790"/>
      <c r="AA73" s="785"/>
      <c r="AB73" s="785"/>
      <c r="AC73" s="785"/>
      <c r="AD73" s="785"/>
      <c r="AE73" s="785"/>
      <c r="AF73" s="799"/>
      <c r="AG73" s="800"/>
      <c r="AH73" s="800"/>
      <c r="AI73" s="800"/>
      <c r="AJ73" s="800"/>
      <c r="AK73" s="800"/>
      <c r="AL73" s="800"/>
      <c r="AM73" s="800"/>
      <c r="AN73" s="800"/>
      <c r="AO73" s="800"/>
      <c r="AP73" s="800"/>
      <c r="AQ73" s="808">
        <v>0</v>
      </c>
      <c r="AR73" s="800">
        <v>0.01</v>
      </c>
      <c r="AS73" s="800">
        <v>0.02</v>
      </c>
      <c r="AT73" s="800">
        <v>0.03</v>
      </c>
      <c r="AU73" s="805">
        <v>0.05</v>
      </c>
      <c r="AV73" s="808"/>
      <c r="AW73" s="800"/>
      <c r="AX73" s="800"/>
      <c r="AY73" s="800"/>
      <c r="AZ73" s="800"/>
      <c r="BA73" s="800"/>
      <c r="BB73" s="800"/>
      <c r="BC73" s="800"/>
      <c r="BD73" s="800"/>
      <c r="BE73" s="800"/>
      <c r="BF73" s="800"/>
      <c r="BG73" s="800"/>
      <c r="BH73" s="800"/>
      <c r="BI73" s="800"/>
      <c r="BJ73" s="800"/>
      <c r="BK73" s="805"/>
      <c r="BL73" s="789"/>
      <c r="BM73" s="785"/>
      <c r="BN73" s="785"/>
      <c r="BO73" s="785"/>
      <c r="BP73" s="796"/>
      <c r="BQ73" s="808" t="s">
        <v>1942</v>
      </c>
      <c r="BR73" s="800" t="s">
        <v>1942</v>
      </c>
      <c r="BS73" s="800" t="s">
        <v>1942</v>
      </c>
      <c r="BT73" s="800" t="s">
        <v>1942</v>
      </c>
      <c r="BU73" s="805" t="s">
        <v>1942</v>
      </c>
      <c r="BV73" s="808" t="s">
        <v>1942</v>
      </c>
      <c r="BW73" s="800" t="s">
        <v>1942</v>
      </c>
      <c r="BX73" s="800" t="s">
        <v>1942</v>
      </c>
      <c r="BY73" s="800" t="s">
        <v>1942</v>
      </c>
      <c r="BZ73" s="800" t="s">
        <v>1942</v>
      </c>
      <c r="CA73" s="808" t="s">
        <v>1942</v>
      </c>
      <c r="CB73" s="800" t="s">
        <v>1942</v>
      </c>
      <c r="CC73" s="800" t="s">
        <v>1942</v>
      </c>
      <c r="CD73" s="800" t="s">
        <v>1942</v>
      </c>
      <c r="CE73" s="805" t="s">
        <v>1942</v>
      </c>
      <c r="CF73" s="800" t="s">
        <v>1942</v>
      </c>
      <c r="CG73" s="800" t="s">
        <v>1942</v>
      </c>
      <c r="CH73" s="800" t="s">
        <v>1942</v>
      </c>
      <c r="CI73" s="800" t="s">
        <v>1942</v>
      </c>
      <c r="CJ73" s="800" t="s">
        <v>1942</v>
      </c>
      <c r="CK73" s="808" t="s">
        <v>1942</v>
      </c>
      <c r="CL73" s="800" t="s">
        <v>1942</v>
      </c>
      <c r="CM73" s="800" t="s">
        <v>1942</v>
      </c>
      <c r="CN73" s="800" t="s">
        <v>1942</v>
      </c>
      <c r="CO73" s="805" t="s">
        <v>1942</v>
      </c>
      <c r="CP73" s="808" t="s">
        <v>1942</v>
      </c>
      <c r="CQ73" s="800" t="s">
        <v>1942</v>
      </c>
      <c r="CR73" s="800" t="s">
        <v>1942</v>
      </c>
      <c r="CS73" s="800" t="s">
        <v>1942</v>
      </c>
      <c r="CT73" s="805" t="s">
        <v>1942</v>
      </c>
      <c r="CU73" s="1284" t="s">
        <v>1942</v>
      </c>
      <c r="CV73" s="1283" t="s">
        <v>1942</v>
      </c>
      <c r="CW73" s="1283" t="s">
        <v>1942</v>
      </c>
      <c r="CX73" s="1285" t="s">
        <v>1942</v>
      </c>
      <c r="CY73" s="1283" t="s">
        <v>1942</v>
      </c>
      <c r="CZ73" s="1283" t="s">
        <v>1942</v>
      </c>
      <c r="DA73" s="1283" t="s">
        <v>1942</v>
      </c>
      <c r="DB73" s="1285" t="s">
        <v>1942</v>
      </c>
      <c r="DC73" s="785"/>
      <c r="DD73" s="813"/>
      <c r="DE73" s="814"/>
    </row>
    <row r="74" spans="1:109" ht="15.75" hidden="1" customHeight="1">
      <c r="A74" s="772" t="s">
        <v>1015</v>
      </c>
      <c r="B74" s="773">
        <v>68</v>
      </c>
      <c r="C74" s="789" t="s">
        <v>2183</v>
      </c>
      <c r="D74" s="773"/>
      <c r="E74" s="773"/>
      <c r="F74" s="785">
        <v>45</v>
      </c>
      <c r="G74" s="790" t="s">
        <v>2184</v>
      </c>
      <c r="H74" s="791"/>
      <c r="I74" s="792"/>
      <c r="J74" s="793"/>
      <c r="K74" s="793"/>
      <c r="L74" s="793"/>
      <c r="M74" s="793"/>
      <c r="N74" s="793"/>
      <c r="O74" s="793"/>
      <c r="P74" s="794"/>
      <c r="Q74" s="795">
        <f t="shared" si="1"/>
        <v>0</v>
      </c>
      <c r="R74" s="789" t="s">
        <v>1007</v>
      </c>
      <c r="S74" s="773"/>
      <c r="T74" s="796"/>
      <c r="U74" s="773"/>
      <c r="V74" s="773" t="s">
        <v>1072</v>
      </c>
      <c r="W74" s="773"/>
      <c r="X74" s="829">
        <v>0</v>
      </c>
      <c r="Y74" s="819"/>
      <c r="Z74" s="790"/>
      <c r="AA74" s="785"/>
      <c r="AB74" s="785"/>
      <c r="AC74" s="785"/>
      <c r="AD74" s="785"/>
      <c r="AE74" s="785"/>
      <c r="AF74" s="799"/>
      <c r="AG74" s="800"/>
      <c r="AH74" s="800"/>
      <c r="AI74" s="800"/>
      <c r="AJ74" s="800"/>
      <c r="AK74" s="800"/>
      <c r="AL74" s="800"/>
      <c r="AM74" s="800"/>
      <c r="AN74" s="800"/>
      <c r="AO74" s="800"/>
      <c r="AP74" s="800"/>
      <c r="AQ74" s="808" t="s">
        <v>2185</v>
      </c>
      <c r="AR74" s="800" t="s">
        <v>2185</v>
      </c>
      <c r="AS74" s="800" t="s">
        <v>2185</v>
      </c>
      <c r="AT74" s="800" t="s">
        <v>2185</v>
      </c>
      <c r="AU74" s="805" t="s">
        <v>591</v>
      </c>
      <c r="AV74" s="808"/>
      <c r="AW74" s="800"/>
      <c r="AX74" s="800"/>
      <c r="AY74" s="800"/>
      <c r="AZ74" s="800"/>
      <c r="BA74" s="800"/>
      <c r="BB74" s="800"/>
      <c r="BC74" s="800"/>
      <c r="BD74" s="800"/>
      <c r="BE74" s="800"/>
      <c r="BF74" s="800"/>
      <c r="BG74" s="800"/>
      <c r="BH74" s="800"/>
      <c r="BI74" s="800"/>
      <c r="BJ74" s="800"/>
      <c r="BK74" s="805"/>
      <c r="BL74" s="789"/>
      <c r="BM74" s="785"/>
      <c r="BN74" s="785"/>
      <c r="BO74" s="785"/>
      <c r="BP74" s="796"/>
      <c r="BQ74" s="808" t="s">
        <v>1942</v>
      </c>
      <c r="BR74" s="800" t="s">
        <v>1942</v>
      </c>
      <c r="BS74" s="800" t="s">
        <v>1942</v>
      </c>
      <c r="BT74" s="800" t="s">
        <v>1942</v>
      </c>
      <c r="BU74" s="805" t="s">
        <v>1942</v>
      </c>
      <c r="BV74" s="808" t="s">
        <v>1942</v>
      </c>
      <c r="BW74" s="800" t="s">
        <v>1942</v>
      </c>
      <c r="BX74" s="800" t="s">
        <v>1942</v>
      </c>
      <c r="BY74" s="800" t="s">
        <v>1942</v>
      </c>
      <c r="BZ74" s="800" t="s">
        <v>1942</v>
      </c>
      <c r="CA74" s="808" t="s">
        <v>1942</v>
      </c>
      <c r="CB74" s="800" t="s">
        <v>1942</v>
      </c>
      <c r="CC74" s="800" t="s">
        <v>1942</v>
      </c>
      <c r="CD74" s="800" t="s">
        <v>1942</v>
      </c>
      <c r="CE74" s="805" t="s">
        <v>1942</v>
      </c>
      <c r="CF74" s="800" t="s">
        <v>1942</v>
      </c>
      <c r="CG74" s="800" t="s">
        <v>1942</v>
      </c>
      <c r="CH74" s="800" t="s">
        <v>1942</v>
      </c>
      <c r="CI74" s="800" t="s">
        <v>1942</v>
      </c>
      <c r="CJ74" s="800" t="s">
        <v>1942</v>
      </c>
      <c r="CK74" s="808" t="s">
        <v>1942</v>
      </c>
      <c r="CL74" s="800" t="s">
        <v>1942</v>
      </c>
      <c r="CM74" s="800" t="s">
        <v>1942</v>
      </c>
      <c r="CN74" s="800" t="s">
        <v>1942</v>
      </c>
      <c r="CO74" s="805" t="s">
        <v>1942</v>
      </c>
      <c r="CP74" s="808" t="s">
        <v>1942</v>
      </c>
      <c r="CQ74" s="800" t="s">
        <v>1942</v>
      </c>
      <c r="CR74" s="800" t="s">
        <v>1942</v>
      </c>
      <c r="CS74" s="800" t="s">
        <v>1942</v>
      </c>
      <c r="CT74" s="805" t="s">
        <v>1942</v>
      </c>
      <c r="CU74" s="1284" t="s">
        <v>1942</v>
      </c>
      <c r="CV74" s="1283" t="s">
        <v>1942</v>
      </c>
      <c r="CW74" s="1283" t="s">
        <v>1942</v>
      </c>
      <c r="CX74" s="1285" t="s">
        <v>1942</v>
      </c>
      <c r="CY74" s="1283" t="s">
        <v>1942</v>
      </c>
      <c r="CZ74" s="1283" t="s">
        <v>1942</v>
      </c>
      <c r="DA74" s="1283" t="s">
        <v>1942</v>
      </c>
      <c r="DB74" s="1285" t="s">
        <v>1942</v>
      </c>
      <c r="DC74" s="785"/>
      <c r="DD74" s="813"/>
      <c r="DE74" s="814"/>
    </row>
    <row r="75" spans="1:109" ht="15.75" hidden="1" customHeight="1">
      <c r="A75" s="772" t="s">
        <v>1015</v>
      </c>
      <c r="B75" s="773">
        <v>69</v>
      </c>
      <c r="C75" s="789" t="s">
        <v>2186</v>
      </c>
      <c r="D75" s="773"/>
      <c r="E75" s="773"/>
      <c r="F75" s="785">
        <v>46</v>
      </c>
      <c r="G75" s="790" t="s">
        <v>2187</v>
      </c>
      <c r="H75" s="791"/>
      <c r="I75" s="792"/>
      <c r="J75" s="793"/>
      <c r="K75" s="793"/>
      <c r="L75" s="793"/>
      <c r="M75" s="793"/>
      <c r="N75" s="793"/>
      <c r="O75" s="793"/>
      <c r="P75" s="794"/>
      <c r="Q75" s="795">
        <f t="shared" si="1"/>
        <v>0</v>
      </c>
      <c r="R75" s="789" t="s">
        <v>1007</v>
      </c>
      <c r="S75" s="773"/>
      <c r="T75" s="796"/>
      <c r="U75" s="773"/>
      <c r="V75" s="773" t="s">
        <v>1072</v>
      </c>
      <c r="W75" s="773"/>
      <c r="X75" s="829">
        <v>0</v>
      </c>
      <c r="Y75" s="819"/>
      <c r="Z75" s="790"/>
      <c r="AA75" s="785"/>
      <c r="AB75" s="785"/>
      <c r="AC75" s="785"/>
      <c r="AD75" s="785"/>
      <c r="AE75" s="785"/>
      <c r="AF75" s="799"/>
      <c r="AG75" s="800"/>
      <c r="AH75" s="800"/>
      <c r="AI75" s="800"/>
      <c r="AJ75" s="800"/>
      <c r="AK75" s="800"/>
      <c r="AL75" s="800"/>
      <c r="AM75" s="800"/>
      <c r="AN75" s="800"/>
      <c r="AO75" s="800"/>
      <c r="AP75" s="800"/>
      <c r="AQ75" s="808" t="s">
        <v>2185</v>
      </c>
      <c r="AR75" s="800" t="s">
        <v>2185</v>
      </c>
      <c r="AS75" s="800" t="s">
        <v>2185</v>
      </c>
      <c r="AT75" s="800" t="s">
        <v>2185</v>
      </c>
      <c r="AU75" s="805" t="s">
        <v>2188</v>
      </c>
      <c r="AV75" s="808"/>
      <c r="AW75" s="800"/>
      <c r="AX75" s="800"/>
      <c r="AY75" s="800"/>
      <c r="AZ75" s="800"/>
      <c r="BA75" s="800"/>
      <c r="BB75" s="800"/>
      <c r="BC75" s="800"/>
      <c r="BD75" s="800"/>
      <c r="BE75" s="800"/>
      <c r="BF75" s="800"/>
      <c r="BG75" s="800"/>
      <c r="BH75" s="800"/>
      <c r="BI75" s="800"/>
      <c r="BJ75" s="800"/>
      <c r="BK75" s="805"/>
      <c r="BL75" s="789"/>
      <c r="BM75" s="785"/>
      <c r="BN75" s="785"/>
      <c r="BO75" s="785"/>
      <c r="BP75" s="796"/>
      <c r="BQ75" s="808" t="s">
        <v>1942</v>
      </c>
      <c r="BR75" s="800" t="s">
        <v>1942</v>
      </c>
      <c r="BS75" s="800" t="s">
        <v>1942</v>
      </c>
      <c r="BT75" s="800" t="s">
        <v>1942</v>
      </c>
      <c r="BU75" s="805" t="s">
        <v>1942</v>
      </c>
      <c r="BV75" s="808" t="s">
        <v>1942</v>
      </c>
      <c r="BW75" s="800" t="s">
        <v>1942</v>
      </c>
      <c r="BX75" s="800" t="s">
        <v>1942</v>
      </c>
      <c r="BY75" s="800" t="s">
        <v>1942</v>
      </c>
      <c r="BZ75" s="800" t="s">
        <v>1942</v>
      </c>
      <c r="CA75" s="808" t="s">
        <v>1942</v>
      </c>
      <c r="CB75" s="800" t="s">
        <v>1942</v>
      </c>
      <c r="CC75" s="800" t="s">
        <v>1942</v>
      </c>
      <c r="CD75" s="800" t="s">
        <v>1942</v>
      </c>
      <c r="CE75" s="805" t="s">
        <v>1942</v>
      </c>
      <c r="CF75" s="800" t="s">
        <v>1942</v>
      </c>
      <c r="CG75" s="800" t="s">
        <v>1942</v>
      </c>
      <c r="CH75" s="800" t="s">
        <v>1942</v>
      </c>
      <c r="CI75" s="800" t="s">
        <v>1942</v>
      </c>
      <c r="CJ75" s="800" t="s">
        <v>1942</v>
      </c>
      <c r="CK75" s="808" t="s">
        <v>1942</v>
      </c>
      <c r="CL75" s="800" t="s">
        <v>1942</v>
      </c>
      <c r="CM75" s="800" t="s">
        <v>1942</v>
      </c>
      <c r="CN75" s="800" t="s">
        <v>1942</v>
      </c>
      <c r="CO75" s="805" t="s">
        <v>1942</v>
      </c>
      <c r="CP75" s="808" t="s">
        <v>1942</v>
      </c>
      <c r="CQ75" s="800" t="s">
        <v>1942</v>
      </c>
      <c r="CR75" s="800" t="s">
        <v>1942</v>
      </c>
      <c r="CS75" s="800" t="s">
        <v>1942</v>
      </c>
      <c r="CT75" s="805" t="s">
        <v>1942</v>
      </c>
      <c r="CU75" s="1284" t="s">
        <v>1942</v>
      </c>
      <c r="CV75" s="1283" t="s">
        <v>1942</v>
      </c>
      <c r="CW75" s="1283" t="s">
        <v>1942</v>
      </c>
      <c r="CX75" s="1285" t="s">
        <v>1942</v>
      </c>
      <c r="CY75" s="1283" t="s">
        <v>1942</v>
      </c>
      <c r="CZ75" s="1283" t="s">
        <v>1942</v>
      </c>
      <c r="DA75" s="1283" t="s">
        <v>1942</v>
      </c>
      <c r="DB75" s="1285" t="s">
        <v>1942</v>
      </c>
      <c r="DC75" s="785"/>
      <c r="DD75" s="813"/>
      <c r="DE75" s="814"/>
    </row>
    <row r="76" spans="1:109" ht="15.75" hidden="1" customHeight="1">
      <c r="A76" s="772" t="s">
        <v>1015</v>
      </c>
      <c r="B76" s="773">
        <v>70</v>
      </c>
      <c r="C76" s="789" t="s">
        <v>2189</v>
      </c>
      <c r="D76" s="773"/>
      <c r="E76" s="773"/>
      <c r="F76" s="785">
        <v>47</v>
      </c>
      <c r="G76" s="790" t="s">
        <v>2190</v>
      </c>
      <c r="H76" s="791"/>
      <c r="I76" s="792"/>
      <c r="J76" s="793">
        <v>1</v>
      </c>
      <c r="K76" s="793"/>
      <c r="L76" s="793"/>
      <c r="M76" s="793"/>
      <c r="N76" s="793"/>
      <c r="O76" s="793"/>
      <c r="P76" s="794"/>
      <c r="Q76" s="795">
        <f t="shared" si="1"/>
        <v>1</v>
      </c>
      <c r="R76" s="789" t="s">
        <v>1026</v>
      </c>
      <c r="S76" s="773" t="s">
        <v>1008</v>
      </c>
      <c r="T76" s="796" t="s">
        <v>1019</v>
      </c>
      <c r="U76" s="773"/>
      <c r="V76" s="773" t="s">
        <v>1072</v>
      </c>
      <c r="W76" s="773" t="s">
        <v>1084</v>
      </c>
      <c r="X76" s="829">
        <v>0</v>
      </c>
      <c r="Y76" s="819" t="s">
        <v>1052</v>
      </c>
      <c r="Z76" s="790"/>
      <c r="AA76" s="785"/>
      <c r="AB76" s="785"/>
      <c r="AC76" s="785"/>
      <c r="AD76" s="785"/>
      <c r="AE76" s="785"/>
      <c r="AF76" s="799"/>
      <c r="AG76" s="800"/>
      <c r="AH76" s="800"/>
      <c r="AI76" s="800"/>
      <c r="AJ76" s="800"/>
      <c r="AK76" s="800"/>
      <c r="AL76" s="800"/>
      <c r="AM76" s="800"/>
      <c r="AN76" s="800"/>
      <c r="AO76" s="800"/>
      <c r="AP76" s="800"/>
      <c r="AQ76" s="808" t="s">
        <v>2191</v>
      </c>
      <c r="AR76" s="800" t="s">
        <v>2191</v>
      </c>
      <c r="AS76" s="800" t="s">
        <v>2191</v>
      </c>
      <c r="AT76" s="800" t="s">
        <v>2191</v>
      </c>
      <c r="AU76" s="805" t="s">
        <v>2191</v>
      </c>
      <c r="AV76" s="808"/>
      <c r="AW76" s="800"/>
      <c r="AX76" s="800"/>
      <c r="AY76" s="800"/>
      <c r="AZ76" s="800"/>
      <c r="BA76" s="800"/>
      <c r="BB76" s="800"/>
      <c r="BC76" s="800"/>
      <c r="BD76" s="800"/>
      <c r="BE76" s="800"/>
      <c r="BF76" s="800"/>
      <c r="BG76" s="800"/>
      <c r="BH76" s="800"/>
      <c r="BI76" s="800"/>
      <c r="BJ76" s="800"/>
      <c r="BK76" s="805"/>
      <c r="BL76" s="789"/>
      <c r="BM76" s="785"/>
      <c r="BN76" s="785"/>
      <c r="BO76" s="785"/>
      <c r="BP76" s="796" t="s">
        <v>168</v>
      </c>
      <c r="BQ76" s="808" t="s">
        <v>1942</v>
      </c>
      <c r="BR76" s="800" t="s">
        <v>1942</v>
      </c>
      <c r="BS76" s="800" t="s">
        <v>1942</v>
      </c>
      <c r="BT76" s="800" t="s">
        <v>1942</v>
      </c>
      <c r="BU76" s="805" t="s">
        <v>1942</v>
      </c>
      <c r="BV76" s="808" t="s">
        <v>1942</v>
      </c>
      <c r="BW76" s="800" t="s">
        <v>1942</v>
      </c>
      <c r="BX76" s="800" t="s">
        <v>1942</v>
      </c>
      <c r="BY76" s="800" t="s">
        <v>1942</v>
      </c>
      <c r="BZ76" s="800" t="s">
        <v>1942</v>
      </c>
      <c r="CA76" s="808" t="s">
        <v>1942</v>
      </c>
      <c r="CB76" s="800" t="s">
        <v>1942</v>
      </c>
      <c r="CC76" s="800" t="s">
        <v>1942</v>
      </c>
      <c r="CD76" s="800" t="s">
        <v>1942</v>
      </c>
      <c r="CE76" s="805" t="s">
        <v>1942</v>
      </c>
      <c r="CF76" s="800" t="s">
        <v>1942</v>
      </c>
      <c r="CG76" s="800" t="s">
        <v>1942</v>
      </c>
      <c r="CH76" s="800" t="s">
        <v>1942</v>
      </c>
      <c r="CI76" s="800" t="s">
        <v>1942</v>
      </c>
      <c r="CJ76" s="800" t="s">
        <v>1942</v>
      </c>
      <c r="CK76" s="808" t="s">
        <v>1942</v>
      </c>
      <c r="CL76" s="800" t="s">
        <v>1942</v>
      </c>
      <c r="CM76" s="800" t="s">
        <v>1942</v>
      </c>
      <c r="CN76" s="800" t="s">
        <v>1942</v>
      </c>
      <c r="CO76" s="805" t="s">
        <v>1942</v>
      </c>
      <c r="CP76" s="808" t="s">
        <v>1942</v>
      </c>
      <c r="CQ76" s="800" t="s">
        <v>1942</v>
      </c>
      <c r="CR76" s="800" t="s">
        <v>1942</v>
      </c>
      <c r="CS76" s="800" t="s">
        <v>1942</v>
      </c>
      <c r="CT76" s="805" t="s">
        <v>1942</v>
      </c>
      <c r="CU76" s="1284">
        <v>-0.47</v>
      </c>
      <c r="CV76" s="1283" t="s">
        <v>1942</v>
      </c>
      <c r="CW76" s="1283" t="s">
        <v>1942</v>
      </c>
      <c r="CX76" s="1285" t="s">
        <v>1942</v>
      </c>
      <c r="CY76" s="1283" t="s">
        <v>1942</v>
      </c>
      <c r="CZ76" s="1283" t="s">
        <v>1942</v>
      </c>
      <c r="DA76" s="1283" t="s">
        <v>1942</v>
      </c>
      <c r="DB76" s="1285" t="s">
        <v>1942</v>
      </c>
      <c r="DC76" s="785"/>
      <c r="DD76" s="813"/>
      <c r="DE76" s="814"/>
    </row>
    <row r="77" spans="1:109" ht="15.75" hidden="1" customHeight="1">
      <c r="A77" s="772" t="s">
        <v>1015</v>
      </c>
      <c r="B77" s="773">
        <v>71</v>
      </c>
      <c r="C77" s="789" t="s">
        <v>2192</v>
      </c>
      <c r="D77" s="773"/>
      <c r="E77" s="773"/>
      <c r="F77" s="785">
        <v>48</v>
      </c>
      <c r="G77" s="790" t="s">
        <v>2193</v>
      </c>
      <c r="H77" s="791"/>
      <c r="I77" s="792"/>
      <c r="J77" s="793">
        <v>1</v>
      </c>
      <c r="K77" s="793"/>
      <c r="L77" s="793"/>
      <c r="M77" s="793"/>
      <c r="N77" s="793"/>
      <c r="O77" s="793"/>
      <c r="P77" s="794"/>
      <c r="Q77" s="795">
        <f t="shared" si="1"/>
        <v>1</v>
      </c>
      <c r="R77" s="789" t="s">
        <v>2194</v>
      </c>
      <c r="S77" s="773" t="s">
        <v>1008</v>
      </c>
      <c r="T77" s="796" t="s">
        <v>1019</v>
      </c>
      <c r="U77" s="773"/>
      <c r="V77" s="773" t="s">
        <v>1072</v>
      </c>
      <c r="W77" s="773" t="s">
        <v>2195</v>
      </c>
      <c r="X77" s="1274">
        <v>0</v>
      </c>
      <c r="Y77" s="819" t="s">
        <v>1052</v>
      </c>
      <c r="Z77" s="790"/>
      <c r="AA77" s="785"/>
      <c r="AB77" s="785"/>
      <c r="AC77" s="785"/>
      <c r="AD77" s="785"/>
      <c r="AE77" s="785"/>
      <c r="AF77" s="799"/>
      <c r="AG77" s="800"/>
      <c r="AH77" s="800"/>
      <c r="AI77" s="800"/>
      <c r="AJ77" s="800"/>
      <c r="AK77" s="800"/>
      <c r="AL77" s="800"/>
      <c r="AM77" s="800"/>
      <c r="AN77" s="800"/>
      <c r="AO77" s="800"/>
      <c r="AP77" s="800"/>
      <c r="AQ77" s="808" t="s">
        <v>2191</v>
      </c>
      <c r="AR77" s="800" t="s">
        <v>2191</v>
      </c>
      <c r="AS77" s="800" t="s">
        <v>2191</v>
      </c>
      <c r="AT77" s="800" t="s">
        <v>2191</v>
      </c>
      <c r="AU77" s="805" t="s">
        <v>2191</v>
      </c>
      <c r="AV77" s="808"/>
      <c r="AW77" s="800"/>
      <c r="AX77" s="800"/>
      <c r="AY77" s="800"/>
      <c r="AZ77" s="800"/>
      <c r="BA77" s="800"/>
      <c r="BB77" s="800"/>
      <c r="BC77" s="800"/>
      <c r="BD77" s="800"/>
      <c r="BE77" s="800"/>
      <c r="BF77" s="800"/>
      <c r="BG77" s="800"/>
      <c r="BH77" s="800"/>
      <c r="BI77" s="800"/>
      <c r="BJ77" s="800"/>
      <c r="BK77" s="805"/>
      <c r="BL77" s="789"/>
      <c r="BM77" s="785"/>
      <c r="BN77" s="785"/>
      <c r="BO77" s="785"/>
      <c r="BP77" s="796" t="s">
        <v>168</v>
      </c>
      <c r="BQ77" s="808" t="s">
        <v>1942</v>
      </c>
      <c r="BR77" s="800" t="s">
        <v>1942</v>
      </c>
      <c r="BS77" s="800" t="s">
        <v>1942</v>
      </c>
      <c r="BT77" s="800" t="s">
        <v>1942</v>
      </c>
      <c r="BU77" s="805" t="s">
        <v>1942</v>
      </c>
      <c r="BV77" s="808" t="s">
        <v>1942</v>
      </c>
      <c r="BW77" s="800" t="s">
        <v>1942</v>
      </c>
      <c r="BX77" s="800" t="s">
        <v>1942</v>
      </c>
      <c r="BY77" s="800" t="s">
        <v>1942</v>
      </c>
      <c r="BZ77" s="800" t="s">
        <v>1942</v>
      </c>
      <c r="CA77" s="808" t="s">
        <v>1942</v>
      </c>
      <c r="CB77" s="800" t="s">
        <v>1942</v>
      </c>
      <c r="CC77" s="800" t="s">
        <v>1942</v>
      </c>
      <c r="CD77" s="800" t="s">
        <v>1942</v>
      </c>
      <c r="CE77" s="805" t="s">
        <v>1942</v>
      </c>
      <c r="CF77" s="800" t="s">
        <v>1942</v>
      </c>
      <c r="CG77" s="800" t="s">
        <v>1942</v>
      </c>
      <c r="CH77" s="800" t="s">
        <v>1942</v>
      </c>
      <c r="CI77" s="800" t="s">
        <v>1942</v>
      </c>
      <c r="CJ77" s="800" t="s">
        <v>1942</v>
      </c>
      <c r="CK77" s="808" t="s">
        <v>1942</v>
      </c>
      <c r="CL77" s="800" t="s">
        <v>1942</v>
      </c>
      <c r="CM77" s="800" t="s">
        <v>1942</v>
      </c>
      <c r="CN77" s="800" t="s">
        <v>1942</v>
      </c>
      <c r="CO77" s="805" t="s">
        <v>1942</v>
      </c>
      <c r="CP77" s="808" t="s">
        <v>1942</v>
      </c>
      <c r="CQ77" s="800" t="s">
        <v>1942</v>
      </c>
      <c r="CR77" s="800" t="s">
        <v>1942</v>
      </c>
      <c r="CS77" s="800" t="s">
        <v>1942</v>
      </c>
      <c r="CT77" s="805" t="s">
        <v>1942</v>
      </c>
      <c r="CU77" s="1284" t="s">
        <v>1942</v>
      </c>
      <c r="CV77" s="1283" t="s">
        <v>1942</v>
      </c>
      <c r="CW77" s="1283" t="s">
        <v>1942</v>
      </c>
      <c r="CX77" s="1285" t="s">
        <v>1942</v>
      </c>
      <c r="CY77" s="1283">
        <v>0.94</v>
      </c>
      <c r="CZ77" s="1283" t="s">
        <v>1942</v>
      </c>
      <c r="DA77" s="1283" t="s">
        <v>1942</v>
      </c>
      <c r="DB77" s="1285" t="s">
        <v>1942</v>
      </c>
      <c r="DC77" s="785"/>
      <c r="DD77" s="813"/>
      <c r="DE77" s="814"/>
    </row>
    <row r="78" spans="1:109" ht="15.75" hidden="1" customHeight="1">
      <c r="A78" s="772" t="s">
        <v>1064</v>
      </c>
      <c r="B78" s="773">
        <v>72</v>
      </c>
      <c r="C78" s="789" t="s">
        <v>2196</v>
      </c>
      <c r="D78" s="773" t="s">
        <v>2197</v>
      </c>
      <c r="E78" s="773" t="s">
        <v>1907</v>
      </c>
      <c r="F78" s="785" t="s">
        <v>2198</v>
      </c>
      <c r="G78" s="790" t="s">
        <v>130</v>
      </c>
      <c r="H78" s="791" t="s">
        <v>2199</v>
      </c>
      <c r="I78" s="792"/>
      <c r="J78" s="793">
        <v>1</v>
      </c>
      <c r="K78" s="793"/>
      <c r="L78" s="793"/>
      <c r="M78" s="793"/>
      <c r="N78" s="793"/>
      <c r="O78" s="793"/>
      <c r="P78" s="794"/>
      <c r="Q78" s="795">
        <f t="shared" si="1"/>
        <v>1</v>
      </c>
      <c r="R78" s="789" t="s">
        <v>1026</v>
      </c>
      <c r="S78" s="773" t="s">
        <v>1008</v>
      </c>
      <c r="T78" s="796" t="s">
        <v>1009</v>
      </c>
      <c r="U78" s="773" t="s">
        <v>1926</v>
      </c>
      <c r="V78" s="773" t="s">
        <v>1081</v>
      </c>
      <c r="W78" s="773" t="s">
        <v>2200</v>
      </c>
      <c r="X78" s="829">
        <v>2</v>
      </c>
      <c r="Y78" s="821" t="s">
        <v>1020</v>
      </c>
      <c r="Z78" s="790" t="s">
        <v>130</v>
      </c>
      <c r="AA78" s="785"/>
      <c r="AB78" s="785"/>
      <c r="AC78" s="785"/>
      <c r="AD78" s="785"/>
      <c r="AE78" s="785"/>
      <c r="AF78" s="837"/>
      <c r="AG78" s="800"/>
      <c r="AH78" s="800"/>
      <c r="AI78" s="800"/>
      <c r="AJ78" s="800"/>
      <c r="AK78" s="800"/>
      <c r="AL78" s="800"/>
      <c r="AM78" s="800"/>
      <c r="AN78" s="800"/>
      <c r="AO78" s="800"/>
      <c r="AP78" s="800"/>
      <c r="AQ78" s="1420"/>
      <c r="AR78" s="1368"/>
      <c r="AS78" s="1368"/>
      <c r="AT78" s="1368"/>
      <c r="AU78" s="1369"/>
      <c r="AV78" s="1420"/>
      <c r="AW78" s="1368"/>
      <c r="AX78" s="1368"/>
      <c r="AY78" s="1368"/>
      <c r="AZ78" s="1368"/>
      <c r="BA78" s="1368"/>
      <c r="BB78" s="1368"/>
      <c r="BC78" s="1368"/>
      <c r="BD78" s="1368"/>
      <c r="BE78" s="1368"/>
      <c r="BF78" s="1368"/>
      <c r="BG78" s="1368"/>
      <c r="BH78" s="1368"/>
      <c r="BI78" s="1368"/>
      <c r="BJ78" s="1368"/>
      <c r="BK78" s="1369"/>
      <c r="BL78" s="1376"/>
      <c r="BM78" s="1377"/>
      <c r="BN78" s="1377"/>
      <c r="BO78" s="1377"/>
      <c r="BP78" s="1440"/>
      <c r="BQ78" s="1420"/>
      <c r="BR78" s="1368"/>
      <c r="BS78" s="1368"/>
      <c r="BT78" s="1368"/>
      <c r="BU78" s="1369"/>
      <c r="BV78" s="1420"/>
      <c r="BW78" s="1368"/>
      <c r="BX78" s="1368"/>
      <c r="BY78" s="1368"/>
      <c r="BZ78" s="1368"/>
      <c r="CA78" s="1420"/>
      <c r="CB78" s="1368"/>
      <c r="CC78" s="1368"/>
      <c r="CD78" s="1368"/>
      <c r="CE78" s="1369"/>
      <c r="CF78" s="1368"/>
      <c r="CG78" s="1368"/>
      <c r="CH78" s="1368"/>
      <c r="CI78" s="1368"/>
      <c r="CJ78" s="1368"/>
      <c r="CK78" s="1420"/>
      <c r="CL78" s="1368"/>
      <c r="CM78" s="1368"/>
      <c r="CN78" s="1368"/>
      <c r="CO78" s="1369"/>
      <c r="CP78" s="1420"/>
      <c r="CQ78" s="1368"/>
      <c r="CR78" s="1368"/>
      <c r="CS78" s="1368"/>
      <c r="CT78" s="1369"/>
      <c r="CU78" s="1528"/>
      <c r="CV78" s="1519"/>
      <c r="CW78" s="1519"/>
      <c r="CX78" s="1728"/>
      <c r="CY78" s="1519"/>
      <c r="CZ78" s="1519"/>
      <c r="DA78" s="1519"/>
      <c r="DB78" s="1728"/>
      <c r="DC78" s="1377"/>
      <c r="DD78" s="1729"/>
      <c r="DE78" s="1734"/>
    </row>
    <row r="79" spans="1:109" ht="15.75" hidden="1" customHeight="1">
      <c r="A79" s="772" t="s">
        <v>1064</v>
      </c>
      <c r="B79" s="773">
        <v>73</v>
      </c>
      <c r="C79" s="789" t="s">
        <v>2201</v>
      </c>
      <c r="D79" s="773" t="s">
        <v>2197</v>
      </c>
      <c r="E79" s="773" t="s">
        <v>1889</v>
      </c>
      <c r="F79" s="785" t="s">
        <v>2202</v>
      </c>
      <c r="G79" s="790" t="s">
        <v>137</v>
      </c>
      <c r="H79" s="791" t="s">
        <v>2203</v>
      </c>
      <c r="I79" s="792"/>
      <c r="J79" s="793">
        <v>1</v>
      </c>
      <c r="K79" s="793"/>
      <c r="L79" s="793"/>
      <c r="M79" s="793"/>
      <c r="N79" s="793"/>
      <c r="O79" s="793"/>
      <c r="P79" s="794"/>
      <c r="Q79" s="795">
        <f t="shared" si="1"/>
        <v>1</v>
      </c>
      <c r="R79" s="789" t="s">
        <v>1030</v>
      </c>
      <c r="S79" s="773" t="s">
        <v>1008</v>
      </c>
      <c r="T79" s="796" t="s">
        <v>1009</v>
      </c>
      <c r="U79" s="773" t="s">
        <v>1892</v>
      </c>
      <c r="V79" s="773" t="s">
        <v>1051</v>
      </c>
      <c r="W79" s="773" t="s">
        <v>2047</v>
      </c>
      <c r="X79" s="1274">
        <v>0</v>
      </c>
      <c r="Y79" s="819" t="s">
        <v>1020</v>
      </c>
      <c r="Z79" s="790" t="s">
        <v>137</v>
      </c>
      <c r="AA79" s="785"/>
      <c r="AB79" s="785"/>
      <c r="AC79" s="785"/>
      <c r="AD79" s="785"/>
      <c r="AE79" s="785"/>
      <c r="AF79" s="837"/>
      <c r="AG79" s="800"/>
      <c r="AH79" s="800"/>
      <c r="AI79" s="800"/>
      <c r="AJ79" s="800"/>
      <c r="AK79" s="800"/>
      <c r="AL79" s="800"/>
      <c r="AM79" s="800"/>
      <c r="AN79" s="800"/>
      <c r="AO79" s="800"/>
      <c r="AP79" s="800"/>
      <c r="AQ79" s="1421"/>
      <c r="AR79" s="1373"/>
      <c r="AS79" s="1373"/>
      <c r="AT79" s="1373"/>
      <c r="AU79" s="1374"/>
      <c r="AV79" s="1420"/>
      <c r="AW79" s="1368"/>
      <c r="AX79" s="1368"/>
      <c r="AY79" s="1368"/>
      <c r="AZ79" s="1368"/>
      <c r="BA79" s="1368"/>
      <c r="BB79" s="1368"/>
      <c r="BC79" s="1368"/>
      <c r="BD79" s="1368"/>
      <c r="BE79" s="1368"/>
      <c r="BF79" s="1368"/>
      <c r="BG79" s="1368"/>
      <c r="BH79" s="1368"/>
      <c r="BI79" s="1368"/>
      <c r="BJ79" s="1368"/>
      <c r="BK79" s="1369"/>
      <c r="BL79" s="1376"/>
      <c r="BM79" s="1377"/>
      <c r="BN79" s="1377"/>
      <c r="BO79" s="1377"/>
      <c r="BP79" s="1440"/>
      <c r="BQ79" s="1420"/>
      <c r="BR79" s="1368"/>
      <c r="BS79" s="1368"/>
      <c r="BT79" s="1368"/>
      <c r="BU79" s="1369"/>
      <c r="BV79" s="1420"/>
      <c r="BW79" s="1368"/>
      <c r="BX79" s="1368"/>
      <c r="BY79" s="1368"/>
      <c r="BZ79" s="1368"/>
      <c r="CA79" s="1420"/>
      <c r="CB79" s="1368"/>
      <c r="CC79" s="1368"/>
      <c r="CD79" s="1368"/>
      <c r="CE79" s="1369"/>
      <c r="CF79" s="1368"/>
      <c r="CG79" s="1368"/>
      <c r="CH79" s="1368"/>
      <c r="CI79" s="1368"/>
      <c r="CJ79" s="1369"/>
      <c r="CK79" s="1371"/>
      <c r="CL79" s="1371"/>
      <c r="CM79" s="1371"/>
      <c r="CN79" s="1371"/>
      <c r="CO79" s="1371"/>
      <c r="CP79" s="1420"/>
      <c r="CQ79" s="1368"/>
      <c r="CR79" s="1368"/>
      <c r="CS79" s="1368"/>
      <c r="CT79" s="1369"/>
      <c r="CU79" s="1528"/>
      <c r="CV79" s="1519"/>
      <c r="CW79" s="1519"/>
      <c r="CX79" s="1728"/>
      <c r="CY79" s="1519"/>
      <c r="CZ79" s="1519"/>
      <c r="DA79" s="1519"/>
      <c r="DB79" s="1728"/>
      <c r="DC79" s="1377"/>
      <c r="DD79" s="1729"/>
      <c r="DE79" s="1734"/>
    </row>
    <row r="80" spans="1:109" ht="15.75" hidden="1" customHeight="1">
      <c r="A80" s="772" t="s">
        <v>1064</v>
      </c>
      <c r="B80" s="773">
        <v>74</v>
      </c>
      <c r="C80" s="789" t="s">
        <v>2204</v>
      </c>
      <c r="D80" s="773" t="s">
        <v>2197</v>
      </c>
      <c r="E80" s="773" t="s">
        <v>1889</v>
      </c>
      <c r="F80" s="785" t="s">
        <v>2205</v>
      </c>
      <c r="G80" s="790" t="s">
        <v>161</v>
      </c>
      <c r="H80" s="791" t="s">
        <v>2206</v>
      </c>
      <c r="I80" s="792"/>
      <c r="J80" s="793">
        <v>1</v>
      </c>
      <c r="K80" s="793"/>
      <c r="L80" s="793"/>
      <c r="M80" s="793"/>
      <c r="N80" s="793"/>
      <c r="O80" s="793"/>
      <c r="P80" s="794"/>
      <c r="Q80" s="795">
        <f t="shared" si="1"/>
        <v>1</v>
      </c>
      <c r="R80" s="789" t="s">
        <v>1026</v>
      </c>
      <c r="S80" s="773" t="s">
        <v>1008</v>
      </c>
      <c r="T80" s="796" t="s">
        <v>1009</v>
      </c>
      <c r="U80" s="773" t="s">
        <v>2074</v>
      </c>
      <c r="V80" s="773" t="s">
        <v>1033</v>
      </c>
      <c r="W80" s="773" t="s">
        <v>2207</v>
      </c>
      <c r="X80" s="1274">
        <v>0</v>
      </c>
      <c r="Y80" s="822" t="s">
        <v>1020</v>
      </c>
      <c r="Z80" s="790" t="s">
        <v>161</v>
      </c>
      <c r="AA80" s="785"/>
      <c r="AB80" s="785"/>
      <c r="AC80" s="785"/>
      <c r="AD80" s="785"/>
      <c r="AE80" s="785"/>
      <c r="AF80" s="837"/>
      <c r="AG80" s="800"/>
      <c r="AH80" s="800"/>
      <c r="AI80" s="800"/>
      <c r="AJ80" s="800"/>
      <c r="AK80" s="800"/>
      <c r="AL80" s="800"/>
      <c r="AM80" s="800"/>
      <c r="AN80" s="800"/>
      <c r="AO80" s="800"/>
      <c r="AP80" s="800"/>
      <c r="AQ80" s="1421"/>
      <c r="AR80" s="1373"/>
      <c r="AS80" s="1373"/>
      <c r="AT80" s="1373"/>
      <c r="AU80" s="1374"/>
      <c r="AV80" s="1420"/>
      <c r="AW80" s="1368"/>
      <c r="AX80" s="1368"/>
      <c r="AY80" s="1368"/>
      <c r="AZ80" s="1368"/>
      <c r="BA80" s="1368"/>
      <c r="BB80" s="1368"/>
      <c r="BC80" s="1368"/>
      <c r="BD80" s="1368"/>
      <c r="BE80" s="1368"/>
      <c r="BF80" s="1368"/>
      <c r="BG80" s="1368"/>
      <c r="BH80" s="1368"/>
      <c r="BI80" s="1368"/>
      <c r="BJ80" s="1368"/>
      <c r="BK80" s="1369"/>
      <c r="BL80" s="1376"/>
      <c r="BM80" s="1377"/>
      <c r="BN80" s="1377"/>
      <c r="BO80" s="1377"/>
      <c r="BP80" s="1440"/>
      <c r="BQ80" s="1420"/>
      <c r="BR80" s="1368"/>
      <c r="BS80" s="1368"/>
      <c r="BT80" s="1368"/>
      <c r="BU80" s="1369"/>
      <c r="BV80" s="1421"/>
      <c r="BW80" s="1373"/>
      <c r="BX80" s="1373"/>
      <c r="BY80" s="1373"/>
      <c r="BZ80" s="1373"/>
      <c r="CA80" s="1521"/>
      <c r="CB80" s="1730"/>
      <c r="CC80" s="1730"/>
      <c r="CD80" s="1730"/>
      <c r="CE80" s="1527"/>
      <c r="CF80" s="1368"/>
      <c r="CG80" s="1368"/>
      <c r="CH80" s="1368"/>
      <c r="CI80" s="1368"/>
      <c r="CJ80" s="1369"/>
      <c r="CK80" s="1420"/>
      <c r="CL80" s="1368"/>
      <c r="CM80" s="1368"/>
      <c r="CN80" s="1368"/>
      <c r="CO80" s="1369"/>
      <c r="CP80" s="1420"/>
      <c r="CQ80" s="1368"/>
      <c r="CR80" s="1368"/>
      <c r="CS80" s="1368"/>
      <c r="CT80" s="1369"/>
      <c r="CU80" s="1528"/>
      <c r="CV80" s="1519"/>
      <c r="CW80" s="1519"/>
      <c r="CX80" s="1728"/>
      <c r="CY80" s="1519"/>
      <c r="CZ80" s="1519"/>
      <c r="DA80" s="1519"/>
      <c r="DB80" s="1728"/>
      <c r="DC80" s="1377"/>
      <c r="DD80" s="1729"/>
      <c r="DE80" s="1734"/>
    </row>
    <row r="81" spans="1:109" ht="15.75" hidden="1" customHeight="1">
      <c r="A81" s="772" t="s">
        <v>1064</v>
      </c>
      <c r="B81" s="773">
        <v>75</v>
      </c>
      <c r="C81" s="789" t="s">
        <v>2208</v>
      </c>
      <c r="D81" s="773" t="s">
        <v>2197</v>
      </c>
      <c r="E81" s="773" t="s">
        <v>1907</v>
      </c>
      <c r="F81" s="785" t="s">
        <v>2209</v>
      </c>
      <c r="G81" s="790" t="s">
        <v>167</v>
      </c>
      <c r="H81" s="791" t="s">
        <v>2210</v>
      </c>
      <c r="I81" s="792"/>
      <c r="J81" s="793">
        <v>1</v>
      </c>
      <c r="K81" s="793"/>
      <c r="L81" s="793"/>
      <c r="M81" s="793"/>
      <c r="N81" s="793"/>
      <c r="O81" s="793"/>
      <c r="P81" s="794"/>
      <c r="Q81" s="795">
        <f t="shared" si="1"/>
        <v>1</v>
      </c>
      <c r="R81" s="789" t="s">
        <v>1026</v>
      </c>
      <c r="S81" s="773" t="s">
        <v>1008</v>
      </c>
      <c r="T81" s="796" t="s">
        <v>1009</v>
      </c>
      <c r="U81" s="773" t="s">
        <v>1915</v>
      </c>
      <c r="V81" s="773" t="s">
        <v>278</v>
      </c>
      <c r="W81" s="773" t="s">
        <v>2078</v>
      </c>
      <c r="X81" s="829">
        <v>2</v>
      </c>
      <c r="Y81" s="826" t="s">
        <v>1020</v>
      </c>
      <c r="Z81" s="790" t="s">
        <v>167</v>
      </c>
      <c r="AA81" s="785"/>
      <c r="AB81" s="785"/>
      <c r="AC81" s="785"/>
      <c r="AD81" s="785"/>
      <c r="AE81" s="785"/>
      <c r="AF81" s="837"/>
      <c r="AG81" s="800"/>
      <c r="AH81" s="800"/>
      <c r="AI81" s="800"/>
      <c r="AJ81" s="800"/>
      <c r="AK81" s="800"/>
      <c r="AL81" s="800"/>
      <c r="AM81" s="800"/>
      <c r="AN81" s="800"/>
      <c r="AO81" s="800"/>
      <c r="AP81" s="797"/>
      <c r="AQ81" s="1421"/>
      <c r="AR81" s="1373"/>
      <c r="AS81" s="1373"/>
      <c r="AT81" s="1373"/>
      <c r="AU81" s="1374"/>
      <c r="AV81" s="1740"/>
      <c r="AW81" s="1741"/>
      <c r="AX81" s="1741"/>
      <c r="AY81" s="1741"/>
      <c r="AZ81" s="1741"/>
      <c r="BA81" s="1368"/>
      <c r="BB81" s="1368"/>
      <c r="BC81" s="1368"/>
      <c r="BD81" s="1368"/>
      <c r="BE81" s="1368"/>
      <c r="BF81" s="1368"/>
      <c r="BG81" s="1368"/>
      <c r="BH81" s="1368"/>
      <c r="BI81" s="1368"/>
      <c r="BJ81" s="1368"/>
      <c r="BK81" s="1369"/>
      <c r="BL81" s="1376"/>
      <c r="BM81" s="1377"/>
      <c r="BN81" s="1377"/>
      <c r="BO81" s="1377"/>
      <c r="BP81" s="1440"/>
      <c r="BQ81" s="1420"/>
      <c r="BR81" s="1368"/>
      <c r="BS81" s="1368"/>
      <c r="BT81" s="1368"/>
      <c r="BU81" s="1369"/>
      <c r="BV81" s="1420"/>
      <c r="BW81" s="1368"/>
      <c r="BX81" s="1368"/>
      <c r="BY81" s="1368"/>
      <c r="BZ81" s="1368"/>
      <c r="CA81" s="1421"/>
      <c r="CB81" s="1373"/>
      <c r="CC81" s="1373"/>
      <c r="CD81" s="1373"/>
      <c r="CE81" s="1374"/>
      <c r="CF81" s="1368"/>
      <c r="CG81" s="1368"/>
      <c r="CH81" s="1368"/>
      <c r="CI81" s="1368"/>
      <c r="CJ81" s="1368"/>
      <c r="CK81" s="1420"/>
      <c r="CL81" s="1368"/>
      <c r="CM81" s="1368"/>
      <c r="CN81" s="1368"/>
      <c r="CO81" s="1369"/>
      <c r="CP81" s="1420"/>
      <c r="CQ81" s="1368"/>
      <c r="CR81" s="1368"/>
      <c r="CS81" s="1368"/>
      <c r="CT81" s="1369"/>
      <c r="CU81" s="1528"/>
      <c r="CV81" s="1519"/>
      <c r="CW81" s="1519"/>
      <c r="CX81" s="1728"/>
      <c r="CY81" s="1519"/>
      <c r="CZ81" s="1519"/>
      <c r="DA81" s="1519"/>
      <c r="DB81" s="1728"/>
      <c r="DC81" s="1377"/>
      <c r="DD81" s="1729"/>
      <c r="DE81" s="1734"/>
    </row>
    <row r="82" spans="1:109" ht="15.75" hidden="1" customHeight="1">
      <c r="A82" s="772" t="s">
        <v>1064</v>
      </c>
      <c r="B82" s="773">
        <v>76</v>
      </c>
      <c r="C82" s="789" t="s">
        <v>2211</v>
      </c>
      <c r="D82" s="773" t="s">
        <v>2197</v>
      </c>
      <c r="E82" s="773" t="s">
        <v>1907</v>
      </c>
      <c r="F82" s="785" t="s">
        <v>2212</v>
      </c>
      <c r="G82" s="790" t="s">
        <v>535</v>
      </c>
      <c r="H82" s="791" t="s">
        <v>2213</v>
      </c>
      <c r="I82" s="792">
        <v>1</v>
      </c>
      <c r="J82" s="793"/>
      <c r="K82" s="793"/>
      <c r="L82" s="793"/>
      <c r="M82" s="793"/>
      <c r="N82" s="793"/>
      <c r="O82" s="793"/>
      <c r="P82" s="794"/>
      <c r="Q82" s="795">
        <f t="shared" si="1"/>
        <v>1</v>
      </c>
      <c r="R82" s="789" t="s">
        <v>1007</v>
      </c>
      <c r="S82" s="773"/>
      <c r="T82" s="796"/>
      <c r="U82" s="773" t="s">
        <v>1910</v>
      </c>
      <c r="V82" s="773" t="s">
        <v>278</v>
      </c>
      <c r="W82" s="773" t="s">
        <v>2214</v>
      </c>
      <c r="X82" s="1308">
        <v>0</v>
      </c>
      <c r="Y82" s="821" t="s">
        <v>1020</v>
      </c>
      <c r="Z82" s="790" t="s">
        <v>535</v>
      </c>
      <c r="AA82" s="785"/>
      <c r="AB82" s="785"/>
      <c r="AC82" s="785"/>
      <c r="AD82" s="785"/>
      <c r="AE82" s="785"/>
      <c r="AF82" s="837"/>
      <c r="AG82" s="800"/>
      <c r="AH82" s="800"/>
      <c r="AI82" s="800"/>
      <c r="AJ82" s="800"/>
      <c r="AK82" s="800"/>
      <c r="AL82" s="800"/>
      <c r="AM82" s="800"/>
      <c r="AN82" s="816"/>
      <c r="AO82" s="816"/>
      <c r="AP82" s="816"/>
      <c r="AQ82" s="1521"/>
      <c r="AR82" s="1730"/>
      <c r="AS82" s="1730"/>
      <c r="AT82" s="1730"/>
      <c r="AU82" s="1527"/>
      <c r="AV82" s="1521"/>
      <c r="AW82" s="1730"/>
      <c r="AX82" s="1730"/>
      <c r="AY82" s="1730"/>
      <c r="AZ82" s="1730"/>
      <c r="BA82" s="1730"/>
      <c r="BB82" s="1730"/>
      <c r="BC82" s="1730"/>
      <c r="BD82" s="1730"/>
      <c r="BE82" s="1730"/>
      <c r="BF82" s="1730"/>
      <c r="BG82" s="1730"/>
      <c r="BH82" s="1730"/>
      <c r="BI82" s="1730"/>
      <c r="BJ82" s="1730"/>
      <c r="BK82" s="1527"/>
      <c r="BL82" s="1376"/>
      <c r="BM82" s="1377"/>
      <c r="BN82" s="1377"/>
      <c r="BO82" s="1377"/>
      <c r="BP82" s="1440"/>
      <c r="BQ82" s="1420"/>
      <c r="BR82" s="1368"/>
      <c r="BS82" s="1368"/>
      <c r="BT82" s="1368"/>
      <c r="BU82" s="1369"/>
      <c r="BV82" s="1420"/>
      <c r="BW82" s="1368"/>
      <c r="BX82" s="1368"/>
      <c r="BY82" s="1368"/>
      <c r="BZ82" s="1368"/>
      <c r="CA82" s="1420"/>
      <c r="CB82" s="1368"/>
      <c r="CC82" s="1368"/>
      <c r="CD82" s="1368"/>
      <c r="CE82" s="1369"/>
      <c r="CF82" s="1368"/>
      <c r="CG82" s="1368"/>
      <c r="CH82" s="1368"/>
      <c r="CI82" s="1368"/>
      <c r="CJ82" s="1369"/>
      <c r="CK82" s="1420"/>
      <c r="CL82" s="1368"/>
      <c r="CM82" s="1368"/>
      <c r="CN82" s="1368"/>
      <c r="CO82" s="1369"/>
      <c r="CP82" s="1420"/>
      <c r="CQ82" s="1368"/>
      <c r="CR82" s="1368"/>
      <c r="CS82" s="1368"/>
      <c r="CT82" s="1369"/>
      <c r="CU82" s="1528"/>
      <c r="CV82" s="1519"/>
      <c r="CW82" s="1519"/>
      <c r="CX82" s="1728"/>
      <c r="CY82" s="1519"/>
      <c r="CZ82" s="1519"/>
      <c r="DA82" s="1519"/>
      <c r="DB82" s="1728"/>
      <c r="DC82" s="1377"/>
      <c r="DD82" s="1729"/>
      <c r="DE82" s="1734"/>
    </row>
    <row r="83" spans="1:109" ht="15.75" hidden="1" customHeight="1">
      <c r="A83" s="772" t="s">
        <v>1064</v>
      </c>
      <c r="B83" s="773">
        <v>77</v>
      </c>
      <c r="C83" s="789" t="s">
        <v>2215</v>
      </c>
      <c r="D83" s="773" t="s">
        <v>2197</v>
      </c>
      <c r="E83" s="773" t="s">
        <v>1889</v>
      </c>
      <c r="F83" s="785" t="s">
        <v>2216</v>
      </c>
      <c r="G83" s="790" t="s">
        <v>2217</v>
      </c>
      <c r="H83" s="791" t="s">
        <v>2218</v>
      </c>
      <c r="I83" s="792"/>
      <c r="J83" s="793">
        <v>1</v>
      </c>
      <c r="K83" s="793"/>
      <c r="L83" s="793"/>
      <c r="M83" s="793"/>
      <c r="N83" s="793"/>
      <c r="O83" s="793"/>
      <c r="P83" s="794"/>
      <c r="Q83" s="795">
        <f t="shared" si="1"/>
        <v>1</v>
      </c>
      <c r="R83" s="789" t="s">
        <v>1030</v>
      </c>
      <c r="S83" s="773" t="s">
        <v>1008</v>
      </c>
      <c r="T83" s="796" t="s">
        <v>1009</v>
      </c>
      <c r="U83" s="773" t="s">
        <v>2149</v>
      </c>
      <c r="V83" s="773" t="s">
        <v>1033</v>
      </c>
      <c r="W83" s="773" t="s">
        <v>2219</v>
      </c>
      <c r="X83" s="829">
        <v>2</v>
      </c>
      <c r="Y83" s="826" t="s">
        <v>1020</v>
      </c>
      <c r="Z83" s="790" t="s">
        <v>2002</v>
      </c>
      <c r="AA83" s="785"/>
      <c r="AB83" s="785"/>
      <c r="AC83" s="785"/>
      <c r="AD83" s="785"/>
      <c r="AE83" s="785"/>
      <c r="AF83" s="799"/>
      <c r="AG83" s="800"/>
      <c r="AH83" s="800"/>
      <c r="AI83" s="800"/>
      <c r="AJ83" s="800"/>
      <c r="AK83" s="800"/>
      <c r="AL83" s="800"/>
      <c r="AM83" s="800"/>
      <c r="AN83" s="800"/>
      <c r="AO83" s="800"/>
      <c r="AP83" s="800"/>
      <c r="AQ83" s="808">
        <v>0.83</v>
      </c>
      <c r="AR83" s="800">
        <v>0.73</v>
      </c>
      <c r="AS83" s="800">
        <v>0.63</v>
      </c>
      <c r="AT83" s="800">
        <v>0.53</v>
      </c>
      <c r="AU83" s="805">
        <v>0.43</v>
      </c>
      <c r="AV83" s="808"/>
      <c r="AW83" s="800"/>
      <c r="AX83" s="800"/>
      <c r="AY83" s="800"/>
      <c r="AZ83" s="800"/>
      <c r="BA83" s="800"/>
      <c r="BB83" s="800"/>
      <c r="BC83" s="800"/>
      <c r="BD83" s="800"/>
      <c r="BE83" s="800"/>
      <c r="BF83" s="800"/>
      <c r="BG83" s="800"/>
      <c r="BH83" s="800"/>
      <c r="BI83" s="800"/>
      <c r="BJ83" s="800"/>
      <c r="BK83" s="805"/>
      <c r="BL83" s="789" t="s">
        <v>168</v>
      </c>
      <c r="BM83" s="785" t="s">
        <v>168</v>
      </c>
      <c r="BN83" s="785" t="s">
        <v>168</v>
      </c>
      <c r="BO83" s="785" t="s">
        <v>168</v>
      </c>
      <c r="BP83" s="796" t="s">
        <v>168</v>
      </c>
      <c r="BQ83" s="808" t="s">
        <v>1942</v>
      </c>
      <c r="BR83" s="800" t="s">
        <v>1942</v>
      </c>
      <c r="BS83" s="800" t="s">
        <v>1942</v>
      </c>
      <c r="BT83" s="800" t="s">
        <v>1942</v>
      </c>
      <c r="BU83" s="805" t="s">
        <v>1942</v>
      </c>
      <c r="BV83" s="808">
        <v>1.66</v>
      </c>
      <c r="BW83" s="800">
        <v>1.66</v>
      </c>
      <c r="BX83" s="800">
        <v>1.66</v>
      </c>
      <c r="BY83" s="800">
        <v>1.66</v>
      </c>
      <c r="BZ83" s="800">
        <v>1.66</v>
      </c>
      <c r="CA83" s="808" t="s">
        <v>1942</v>
      </c>
      <c r="CB83" s="800" t="s">
        <v>1942</v>
      </c>
      <c r="CC83" s="800" t="s">
        <v>1942</v>
      </c>
      <c r="CD83" s="800" t="s">
        <v>1942</v>
      </c>
      <c r="CE83" s="805" t="s">
        <v>1942</v>
      </c>
      <c r="CF83" s="800" t="s">
        <v>1942</v>
      </c>
      <c r="CG83" s="800" t="s">
        <v>1942</v>
      </c>
      <c r="CH83" s="800" t="s">
        <v>1942</v>
      </c>
      <c r="CI83" s="800" t="s">
        <v>1942</v>
      </c>
      <c r="CJ83" s="805" t="s">
        <v>1942</v>
      </c>
      <c r="CK83" s="808">
        <v>0.44</v>
      </c>
      <c r="CL83" s="800">
        <v>0.39</v>
      </c>
      <c r="CM83" s="800">
        <v>0.33</v>
      </c>
      <c r="CN83" s="800">
        <v>0.3</v>
      </c>
      <c r="CO83" s="805">
        <v>0.28999999999999998</v>
      </c>
      <c r="CP83" s="808" t="s">
        <v>1942</v>
      </c>
      <c r="CQ83" s="800" t="s">
        <v>1942</v>
      </c>
      <c r="CR83" s="800" t="s">
        <v>1942</v>
      </c>
      <c r="CS83" s="800" t="s">
        <v>1942</v>
      </c>
      <c r="CT83" s="805" t="s">
        <v>1942</v>
      </c>
      <c r="CU83" s="1284">
        <v>-0.17499999999999999</v>
      </c>
      <c r="CV83" s="1283" t="s">
        <v>1942</v>
      </c>
      <c r="CW83" s="1283" t="s">
        <v>1942</v>
      </c>
      <c r="CX83" s="1285" t="s">
        <v>1942</v>
      </c>
      <c r="CY83" s="1283">
        <v>0.14599999999999999</v>
      </c>
      <c r="CZ83" s="1283" t="s">
        <v>1942</v>
      </c>
      <c r="DA83" s="1283" t="s">
        <v>1942</v>
      </c>
      <c r="DB83" s="1285" t="s">
        <v>1942</v>
      </c>
      <c r="DC83" s="785"/>
      <c r="DD83" s="813">
        <v>1</v>
      </c>
      <c r="DE83" s="814"/>
    </row>
    <row r="84" spans="1:109" ht="15.75" hidden="1" customHeight="1">
      <c r="A84" s="772" t="s">
        <v>1064</v>
      </c>
      <c r="B84" s="773">
        <v>78</v>
      </c>
      <c r="C84" s="789" t="s">
        <v>2220</v>
      </c>
      <c r="D84" s="773" t="s">
        <v>2197</v>
      </c>
      <c r="E84" s="773" t="s">
        <v>1889</v>
      </c>
      <c r="F84" s="785" t="s">
        <v>2221</v>
      </c>
      <c r="G84" s="790" t="s">
        <v>2222</v>
      </c>
      <c r="H84" s="791" t="s">
        <v>2223</v>
      </c>
      <c r="I84" s="792"/>
      <c r="J84" s="793">
        <v>1</v>
      </c>
      <c r="K84" s="793"/>
      <c r="L84" s="793"/>
      <c r="M84" s="793"/>
      <c r="N84" s="793"/>
      <c r="O84" s="793"/>
      <c r="P84" s="794"/>
      <c r="Q84" s="795">
        <f t="shared" si="1"/>
        <v>1</v>
      </c>
      <c r="R84" s="789" t="s">
        <v>1030</v>
      </c>
      <c r="S84" s="773" t="s">
        <v>1008</v>
      </c>
      <c r="T84" s="796" t="s">
        <v>1009</v>
      </c>
      <c r="U84" s="773" t="s">
        <v>2149</v>
      </c>
      <c r="V84" s="773" t="s">
        <v>1033</v>
      </c>
      <c r="W84" s="773" t="s">
        <v>2219</v>
      </c>
      <c r="X84" s="829">
        <v>2</v>
      </c>
      <c r="Y84" s="821" t="s">
        <v>1020</v>
      </c>
      <c r="Z84" s="790" t="s">
        <v>2002</v>
      </c>
      <c r="AA84" s="785"/>
      <c r="AB84" s="785"/>
      <c r="AC84" s="785"/>
      <c r="AD84" s="785"/>
      <c r="AE84" s="785"/>
      <c r="AF84" s="837"/>
      <c r="AG84" s="800"/>
      <c r="AH84" s="800"/>
      <c r="AI84" s="800"/>
      <c r="AJ84" s="800"/>
      <c r="AK84" s="800"/>
      <c r="AL84" s="800"/>
      <c r="AM84" s="800"/>
      <c r="AN84" s="800"/>
      <c r="AO84" s="800"/>
      <c r="AP84" s="800"/>
      <c r="AQ84" s="808">
        <v>0.4</v>
      </c>
      <c r="AR84" s="800">
        <v>0.36</v>
      </c>
      <c r="AS84" s="800">
        <v>0.32</v>
      </c>
      <c r="AT84" s="800">
        <v>0.28000000000000003</v>
      </c>
      <c r="AU84" s="805">
        <v>0.25</v>
      </c>
      <c r="AV84" s="808"/>
      <c r="AW84" s="800"/>
      <c r="AX84" s="800"/>
      <c r="AY84" s="800"/>
      <c r="AZ84" s="800"/>
      <c r="BA84" s="800"/>
      <c r="BB84" s="800"/>
      <c r="BC84" s="800"/>
      <c r="BD84" s="800"/>
      <c r="BE84" s="800"/>
      <c r="BF84" s="800"/>
      <c r="BG84" s="800"/>
      <c r="BH84" s="800"/>
      <c r="BI84" s="800"/>
      <c r="BJ84" s="800"/>
      <c r="BK84" s="805"/>
      <c r="BL84" s="789" t="s">
        <v>168</v>
      </c>
      <c r="BM84" s="785" t="s">
        <v>168</v>
      </c>
      <c r="BN84" s="785" t="s">
        <v>168</v>
      </c>
      <c r="BO84" s="785" t="s">
        <v>168</v>
      </c>
      <c r="BP84" s="796" t="s">
        <v>168</v>
      </c>
      <c r="BQ84" s="808" t="s">
        <v>1942</v>
      </c>
      <c r="BR84" s="800" t="s">
        <v>1942</v>
      </c>
      <c r="BS84" s="800" t="s">
        <v>1942</v>
      </c>
      <c r="BT84" s="800" t="s">
        <v>1942</v>
      </c>
      <c r="BU84" s="805" t="s">
        <v>1942</v>
      </c>
      <c r="BV84" s="808">
        <v>0.8</v>
      </c>
      <c r="BW84" s="800">
        <v>0.8</v>
      </c>
      <c r="BX84" s="800">
        <v>0.8</v>
      </c>
      <c r="BY84" s="800">
        <v>0.8</v>
      </c>
      <c r="BZ84" s="800">
        <v>0.8</v>
      </c>
      <c r="CA84" s="808" t="s">
        <v>1942</v>
      </c>
      <c r="CB84" s="800" t="s">
        <v>1942</v>
      </c>
      <c r="CC84" s="800" t="s">
        <v>1942</v>
      </c>
      <c r="CD84" s="800" t="s">
        <v>1942</v>
      </c>
      <c r="CE84" s="805" t="s">
        <v>1942</v>
      </c>
      <c r="CF84" s="800" t="s">
        <v>1942</v>
      </c>
      <c r="CG84" s="800" t="s">
        <v>1942</v>
      </c>
      <c r="CH84" s="800" t="s">
        <v>1942</v>
      </c>
      <c r="CI84" s="800" t="s">
        <v>1942</v>
      </c>
      <c r="CJ84" s="800" t="s">
        <v>1942</v>
      </c>
      <c r="CK84" s="808">
        <v>0.21</v>
      </c>
      <c r="CL84" s="800">
        <v>0.19</v>
      </c>
      <c r="CM84" s="800">
        <v>0.17</v>
      </c>
      <c r="CN84" s="800">
        <v>0.16</v>
      </c>
      <c r="CO84" s="805">
        <v>0.16</v>
      </c>
      <c r="CP84" s="808" t="s">
        <v>1942</v>
      </c>
      <c r="CQ84" s="800" t="s">
        <v>1942</v>
      </c>
      <c r="CR84" s="800" t="s">
        <v>1942</v>
      </c>
      <c r="CS84" s="800" t="s">
        <v>1942</v>
      </c>
      <c r="CT84" s="805" t="s">
        <v>1942</v>
      </c>
      <c r="CU84" s="1284">
        <v>-0.25600000000000001</v>
      </c>
      <c r="CV84" s="1283" t="s">
        <v>1942</v>
      </c>
      <c r="CW84" s="1283" t="s">
        <v>1942</v>
      </c>
      <c r="CX84" s="1285" t="s">
        <v>1942</v>
      </c>
      <c r="CY84" s="1283">
        <v>0.21299999999999999</v>
      </c>
      <c r="CZ84" s="1283" t="s">
        <v>1942</v>
      </c>
      <c r="DA84" s="1283" t="s">
        <v>1942</v>
      </c>
      <c r="DB84" s="1285" t="s">
        <v>1942</v>
      </c>
      <c r="DC84" s="785"/>
      <c r="DD84" s="813">
        <v>1</v>
      </c>
      <c r="DE84" s="814"/>
    </row>
    <row r="85" spans="1:109" ht="15.75" hidden="1" customHeight="1">
      <c r="A85" s="772" t="s">
        <v>1064</v>
      </c>
      <c r="B85" s="773">
        <v>79</v>
      </c>
      <c r="C85" s="789" t="s">
        <v>2224</v>
      </c>
      <c r="D85" s="773" t="s">
        <v>2197</v>
      </c>
      <c r="E85" s="773" t="s">
        <v>1889</v>
      </c>
      <c r="F85" s="785" t="s">
        <v>2225</v>
      </c>
      <c r="G85" s="790" t="s">
        <v>1983</v>
      </c>
      <c r="H85" s="791" t="s">
        <v>2226</v>
      </c>
      <c r="I85" s="792"/>
      <c r="J85" s="793">
        <v>1</v>
      </c>
      <c r="K85" s="793"/>
      <c r="L85" s="793"/>
      <c r="M85" s="793"/>
      <c r="N85" s="793"/>
      <c r="O85" s="793"/>
      <c r="P85" s="794"/>
      <c r="Q85" s="795">
        <f t="shared" si="1"/>
        <v>1</v>
      </c>
      <c r="R85" s="789" t="s">
        <v>1030</v>
      </c>
      <c r="S85" s="773" t="s">
        <v>1008</v>
      </c>
      <c r="T85" s="796" t="s">
        <v>1009</v>
      </c>
      <c r="U85" s="773" t="s">
        <v>1985</v>
      </c>
      <c r="V85" s="773" t="s">
        <v>1033</v>
      </c>
      <c r="W85" s="773" t="s">
        <v>1996</v>
      </c>
      <c r="X85" s="829">
        <v>0</v>
      </c>
      <c r="Y85" s="819" t="s">
        <v>1020</v>
      </c>
      <c r="Z85" s="790" t="s">
        <v>1987</v>
      </c>
      <c r="AA85" s="785"/>
      <c r="AB85" s="785"/>
      <c r="AC85" s="785"/>
      <c r="AD85" s="785"/>
      <c r="AE85" s="785"/>
      <c r="AF85" s="837"/>
      <c r="AG85" s="797"/>
      <c r="AH85" s="797"/>
      <c r="AI85" s="797"/>
      <c r="AJ85" s="797"/>
      <c r="AK85" s="797"/>
      <c r="AL85" s="797"/>
      <c r="AM85" s="797"/>
      <c r="AN85" s="797"/>
      <c r="AO85" s="797"/>
      <c r="AP85" s="797"/>
      <c r="AQ85" s="827">
        <v>65</v>
      </c>
      <c r="AR85" s="797">
        <v>61</v>
      </c>
      <c r="AS85" s="797">
        <v>57</v>
      </c>
      <c r="AT85" s="797">
        <v>53</v>
      </c>
      <c r="AU85" s="841">
        <v>49</v>
      </c>
      <c r="AV85" s="827"/>
      <c r="AW85" s="797"/>
      <c r="AX85" s="797"/>
      <c r="AY85" s="797"/>
      <c r="AZ85" s="797"/>
      <c r="BA85" s="797"/>
      <c r="BB85" s="797"/>
      <c r="BC85" s="797"/>
      <c r="BD85" s="797"/>
      <c r="BE85" s="797"/>
      <c r="BF85" s="797"/>
      <c r="BG85" s="797"/>
      <c r="BH85" s="797"/>
      <c r="BI85" s="797"/>
      <c r="BJ85" s="797"/>
      <c r="BK85" s="841"/>
      <c r="BL85" s="789" t="s">
        <v>168</v>
      </c>
      <c r="BM85" s="785" t="s">
        <v>168</v>
      </c>
      <c r="BN85" s="785" t="s">
        <v>168</v>
      </c>
      <c r="BO85" s="785" t="s">
        <v>168</v>
      </c>
      <c r="BP85" s="796" t="s">
        <v>168</v>
      </c>
      <c r="BQ85" s="808" t="s">
        <v>1942</v>
      </c>
      <c r="BR85" s="800" t="s">
        <v>1942</v>
      </c>
      <c r="BS85" s="800" t="s">
        <v>1942</v>
      </c>
      <c r="BT85" s="800" t="s">
        <v>1942</v>
      </c>
      <c r="BU85" s="805" t="s">
        <v>1942</v>
      </c>
      <c r="BV85" s="806">
        <v>195</v>
      </c>
      <c r="BW85" s="807">
        <v>195</v>
      </c>
      <c r="BX85" s="807">
        <v>195</v>
      </c>
      <c r="BY85" s="807">
        <v>195</v>
      </c>
      <c r="BZ85" s="807">
        <v>195</v>
      </c>
      <c r="CA85" s="808" t="s">
        <v>1942</v>
      </c>
      <c r="CB85" s="800" t="s">
        <v>1942</v>
      </c>
      <c r="CC85" s="800" t="s">
        <v>1942</v>
      </c>
      <c r="CD85" s="800" t="s">
        <v>1942</v>
      </c>
      <c r="CE85" s="805" t="s">
        <v>1942</v>
      </c>
      <c r="CF85" s="800" t="s">
        <v>1942</v>
      </c>
      <c r="CG85" s="800" t="s">
        <v>1942</v>
      </c>
      <c r="CH85" s="800" t="s">
        <v>1942</v>
      </c>
      <c r="CI85" s="800" t="s">
        <v>1942</v>
      </c>
      <c r="CJ85" s="805" t="s">
        <v>1942</v>
      </c>
      <c r="CK85" s="828">
        <v>17</v>
      </c>
      <c r="CL85" s="829">
        <v>15</v>
      </c>
      <c r="CM85" s="829">
        <v>13</v>
      </c>
      <c r="CN85" s="829">
        <v>11</v>
      </c>
      <c r="CO85" s="830">
        <v>10</v>
      </c>
      <c r="CP85" s="808" t="s">
        <v>1942</v>
      </c>
      <c r="CQ85" s="800" t="s">
        <v>1942</v>
      </c>
      <c r="CR85" s="800" t="s">
        <v>1942</v>
      </c>
      <c r="CS85" s="800" t="s">
        <v>1942</v>
      </c>
      <c r="CT85" s="805" t="s">
        <v>1942</v>
      </c>
      <c r="CU85" s="1284">
        <v>-8.6400000000000001E-3</v>
      </c>
      <c r="CV85" s="1283" t="s">
        <v>1942</v>
      </c>
      <c r="CW85" s="1283" t="s">
        <v>1942</v>
      </c>
      <c r="CX85" s="1285" t="s">
        <v>1942</v>
      </c>
      <c r="CY85" s="1283">
        <v>4.5999999999999999E-3</v>
      </c>
      <c r="CZ85" s="1283" t="s">
        <v>1942</v>
      </c>
      <c r="DA85" s="1283" t="s">
        <v>1942</v>
      </c>
      <c r="DB85" s="1285" t="s">
        <v>1942</v>
      </c>
      <c r="DC85" s="785"/>
      <c r="DD85" s="813">
        <v>1</v>
      </c>
      <c r="DE85" s="814"/>
    </row>
    <row r="86" spans="1:109" ht="15.75" hidden="1" customHeight="1">
      <c r="A86" s="772" t="s">
        <v>1064</v>
      </c>
      <c r="B86" s="773">
        <v>80</v>
      </c>
      <c r="C86" s="789" t="s">
        <v>2227</v>
      </c>
      <c r="D86" s="773" t="s">
        <v>2197</v>
      </c>
      <c r="E86" s="773" t="s">
        <v>1889</v>
      </c>
      <c r="F86" s="785" t="s">
        <v>2228</v>
      </c>
      <c r="G86" s="790" t="s">
        <v>2229</v>
      </c>
      <c r="H86" s="791" t="s">
        <v>2230</v>
      </c>
      <c r="I86" s="792"/>
      <c r="J86" s="793">
        <v>1</v>
      </c>
      <c r="K86" s="793"/>
      <c r="L86" s="793"/>
      <c r="M86" s="793"/>
      <c r="N86" s="793"/>
      <c r="O86" s="793"/>
      <c r="P86" s="794"/>
      <c r="Q86" s="795">
        <f t="shared" si="1"/>
        <v>1</v>
      </c>
      <c r="R86" s="789" t="s">
        <v>1026</v>
      </c>
      <c r="S86" s="773" t="s">
        <v>1008</v>
      </c>
      <c r="T86" s="796" t="s">
        <v>1009</v>
      </c>
      <c r="U86" s="773" t="s">
        <v>2231</v>
      </c>
      <c r="V86" s="773" t="s">
        <v>1033</v>
      </c>
      <c r="W86" s="773" t="s">
        <v>2232</v>
      </c>
      <c r="X86" s="829">
        <v>0</v>
      </c>
      <c r="Y86" s="819" t="s">
        <v>1020</v>
      </c>
      <c r="Z86" s="790"/>
      <c r="AA86" s="785"/>
      <c r="AB86" s="785"/>
      <c r="AC86" s="785"/>
      <c r="AD86" s="785"/>
      <c r="AE86" s="785"/>
      <c r="AF86" s="837"/>
      <c r="AG86" s="800"/>
      <c r="AH86" s="800"/>
      <c r="AI86" s="800"/>
      <c r="AJ86" s="800"/>
      <c r="AK86" s="800"/>
      <c r="AL86" s="800"/>
      <c r="AM86" s="800"/>
      <c r="AN86" s="800"/>
      <c r="AO86" s="800"/>
      <c r="AP86" s="800"/>
      <c r="AQ86" s="808">
        <v>0</v>
      </c>
      <c r="AR86" s="800">
        <v>0</v>
      </c>
      <c r="AS86" s="800">
        <v>0</v>
      </c>
      <c r="AT86" s="800">
        <v>0</v>
      </c>
      <c r="AU86" s="805">
        <v>0</v>
      </c>
      <c r="AV86" s="808"/>
      <c r="AW86" s="800"/>
      <c r="AX86" s="800"/>
      <c r="AY86" s="800"/>
      <c r="AZ86" s="800"/>
      <c r="BA86" s="800"/>
      <c r="BB86" s="800"/>
      <c r="BC86" s="800"/>
      <c r="BD86" s="800"/>
      <c r="BE86" s="800"/>
      <c r="BF86" s="800"/>
      <c r="BG86" s="800"/>
      <c r="BH86" s="800"/>
      <c r="BI86" s="800"/>
      <c r="BJ86" s="800"/>
      <c r="BK86" s="805"/>
      <c r="BL86" s="789" t="s">
        <v>168</v>
      </c>
      <c r="BM86" s="785" t="s">
        <v>168</v>
      </c>
      <c r="BN86" s="785" t="s">
        <v>168</v>
      </c>
      <c r="BO86" s="785" t="s">
        <v>168</v>
      </c>
      <c r="BP86" s="796" t="s">
        <v>168</v>
      </c>
      <c r="BQ86" s="808" t="s">
        <v>1942</v>
      </c>
      <c r="BR86" s="800" t="s">
        <v>1942</v>
      </c>
      <c r="BS86" s="800" t="s">
        <v>1942</v>
      </c>
      <c r="BT86" s="800" t="s">
        <v>1942</v>
      </c>
      <c r="BU86" s="805" t="s">
        <v>1942</v>
      </c>
      <c r="BV86" s="808" t="s">
        <v>1942</v>
      </c>
      <c r="BW86" s="800" t="s">
        <v>1942</v>
      </c>
      <c r="BX86" s="800" t="s">
        <v>1942</v>
      </c>
      <c r="BY86" s="800" t="s">
        <v>1942</v>
      </c>
      <c r="BZ86" s="800" t="s">
        <v>1942</v>
      </c>
      <c r="CA86" s="808" t="s">
        <v>1942</v>
      </c>
      <c r="CB86" s="800" t="s">
        <v>1942</v>
      </c>
      <c r="CC86" s="800" t="s">
        <v>1942</v>
      </c>
      <c r="CD86" s="800" t="s">
        <v>1942</v>
      </c>
      <c r="CE86" s="805" t="s">
        <v>1942</v>
      </c>
      <c r="CF86" s="800" t="s">
        <v>1942</v>
      </c>
      <c r="CG86" s="800" t="s">
        <v>1942</v>
      </c>
      <c r="CH86" s="800" t="s">
        <v>1942</v>
      </c>
      <c r="CI86" s="800" t="s">
        <v>1942</v>
      </c>
      <c r="CJ86" s="805" t="s">
        <v>1942</v>
      </c>
      <c r="CK86" s="808" t="s">
        <v>1942</v>
      </c>
      <c r="CL86" s="800" t="s">
        <v>1942</v>
      </c>
      <c r="CM86" s="800" t="s">
        <v>1942</v>
      </c>
      <c r="CN86" s="800" t="s">
        <v>1942</v>
      </c>
      <c r="CO86" s="805" t="s">
        <v>1942</v>
      </c>
      <c r="CP86" s="808" t="s">
        <v>1942</v>
      </c>
      <c r="CQ86" s="800" t="s">
        <v>1942</v>
      </c>
      <c r="CR86" s="800" t="s">
        <v>1942</v>
      </c>
      <c r="CS86" s="800" t="s">
        <v>1942</v>
      </c>
      <c r="CT86" s="805" t="s">
        <v>1942</v>
      </c>
      <c r="CU86" s="1284">
        <v>-8.3000000000000004E-2</v>
      </c>
      <c r="CV86" s="1283" t="s">
        <v>1942</v>
      </c>
      <c r="CW86" s="1283" t="s">
        <v>1942</v>
      </c>
      <c r="CX86" s="1285" t="s">
        <v>1942</v>
      </c>
      <c r="CY86" s="1283" t="s">
        <v>1942</v>
      </c>
      <c r="CZ86" s="1283" t="s">
        <v>1942</v>
      </c>
      <c r="DA86" s="1283" t="s">
        <v>1942</v>
      </c>
      <c r="DB86" s="1285" t="s">
        <v>1942</v>
      </c>
      <c r="DC86" s="785"/>
      <c r="DD86" s="813">
        <v>1</v>
      </c>
      <c r="DE86" s="814"/>
    </row>
    <row r="87" spans="1:109" ht="15.75" hidden="1" customHeight="1">
      <c r="A87" s="772" t="s">
        <v>1064</v>
      </c>
      <c r="B87" s="773">
        <v>81</v>
      </c>
      <c r="C87" s="789" t="s">
        <v>2233</v>
      </c>
      <c r="D87" s="773" t="s">
        <v>2197</v>
      </c>
      <c r="E87" s="773" t="s">
        <v>1889</v>
      </c>
      <c r="F87" s="785" t="s">
        <v>2234</v>
      </c>
      <c r="G87" s="790" t="s">
        <v>2235</v>
      </c>
      <c r="H87" s="791" t="s">
        <v>2236</v>
      </c>
      <c r="I87" s="792"/>
      <c r="J87" s="793">
        <v>1</v>
      </c>
      <c r="K87" s="793"/>
      <c r="L87" s="793"/>
      <c r="M87" s="793"/>
      <c r="N87" s="793"/>
      <c r="O87" s="793"/>
      <c r="P87" s="794"/>
      <c r="Q87" s="795">
        <f t="shared" si="1"/>
        <v>1</v>
      </c>
      <c r="R87" s="789" t="s">
        <v>1026</v>
      </c>
      <c r="S87" s="773" t="s">
        <v>1008</v>
      </c>
      <c r="T87" s="796" t="s">
        <v>1009</v>
      </c>
      <c r="U87" s="773" t="s">
        <v>2237</v>
      </c>
      <c r="V87" s="773" t="s">
        <v>1033</v>
      </c>
      <c r="W87" s="773" t="s">
        <v>2238</v>
      </c>
      <c r="X87" s="829">
        <v>0</v>
      </c>
      <c r="Y87" s="819" t="s">
        <v>1020</v>
      </c>
      <c r="Z87" s="790"/>
      <c r="AA87" s="785"/>
      <c r="AB87" s="785"/>
      <c r="AC87" s="785"/>
      <c r="AD87" s="785"/>
      <c r="AE87" s="785"/>
      <c r="AF87" s="799"/>
      <c r="AG87" s="797"/>
      <c r="AH87" s="797"/>
      <c r="AI87" s="797"/>
      <c r="AJ87" s="797"/>
      <c r="AK87" s="797"/>
      <c r="AL87" s="797"/>
      <c r="AM87" s="797"/>
      <c r="AN87" s="797"/>
      <c r="AO87" s="797"/>
      <c r="AP87" s="797"/>
      <c r="AQ87" s="827">
        <v>3272</v>
      </c>
      <c r="AR87" s="797">
        <v>3272</v>
      </c>
      <c r="AS87" s="797">
        <v>3272</v>
      </c>
      <c r="AT87" s="797">
        <v>3272</v>
      </c>
      <c r="AU87" s="841">
        <v>3272</v>
      </c>
      <c r="AV87" s="827"/>
      <c r="AW87" s="797"/>
      <c r="AX87" s="797"/>
      <c r="AY87" s="797"/>
      <c r="AZ87" s="797"/>
      <c r="BA87" s="797"/>
      <c r="BB87" s="797"/>
      <c r="BC87" s="797"/>
      <c r="BD87" s="797"/>
      <c r="BE87" s="797"/>
      <c r="BF87" s="797"/>
      <c r="BG87" s="797"/>
      <c r="BH87" s="797"/>
      <c r="BI87" s="797"/>
      <c r="BJ87" s="797"/>
      <c r="BK87" s="841"/>
      <c r="BL87" s="789" t="s">
        <v>168</v>
      </c>
      <c r="BM87" s="785" t="s">
        <v>168</v>
      </c>
      <c r="BN87" s="785" t="s">
        <v>168</v>
      </c>
      <c r="BO87" s="785" t="s">
        <v>168</v>
      </c>
      <c r="BP87" s="796" t="s">
        <v>168</v>
      </c>
      <c r="BQ87" s="808" t="s">
        <v>1942</v>
      </c>
      <c r="BR87" s="800" t="s">
        <v>1942</v>
      </c>
      <c r="BS87" s="800" t="s">
        <v>1942</v>
      </c>
      <c r="BT87" s="800" t="s">
        <v>1942</v>
      </c>
      <c r="BU87" s="805" t="s">
        <v>1942</v>
      </c>
      <c r="BV87" s="808">
        <v>3601</v>
      </c>
      <c r="BW87" s="800">
        <v>3601</v>
      </c>
      <c r="BX87" s="800">
        <v>3601</v>
      </c>
      <c r="BY87" s="800">
        <v>3601</v>
      </c>
      <c r="BZ87" s="800">
        <v>3601</v>
      </c>
      <c r="CA87" s="808" t="s">
        <v>1942</v>
      </c>
      <c r="CB87" s="800" t="s">
        <v>1942</v>
      </c>
      <c r="CC87" s="800" t="s">
        <v>1942</v>
      </c>
      <c r="CD87" s="800" t="s">
        <v>1942</v>
      </c>
      <c r="CE87" s="805" t="s">
        <v>1942</v>
      </c>
      <c r="CF87" s="800" t="s">
        <v>1942</v>
      </c>
      <c r="CG87" s="800" t="s">
        <v>1942</v>
      </c>
      <c r="CH87" s="800" t="s">
        <v>1942</v>
      </c>
      <c r="CI87" s="800" t="s">
        <v>1942</v>
      </c>
      <c r="CJ87" s="805" t="s">
        <v>1942</v>
      </c>
      <c r="CK87" s="808" t="s">
        <v>1942</v>
      </c>
      <c r="CL87" s="800" t="s">
        <v>1942</v>
      </c>
      <c r="CM87" s="800" t="s">
        <v>1942</v>
      </c>
      <c r="CN87" s="800" t="s">
        <v>1942</v>
      </c>
      <c r="CO87" s="805" t="s">
        <v>1942</v>
      </c>
      <c r="CP87" s="808" t="s">
        <v>1942</v>
      </c>
      <c r="CQ87" s="800" t="s">
        <v>1942</v>
      </c>
      <c r="CR87" s="800" t="s">
        <v>1942</v>
      </c>
      <c r="CS87" s="800" t="s">
        <v>1942</v>
      </c>
      <c r="CT87" s="805" t="s">
        <v>1942</v>
      </c>
      <c r="CU87" s="1284">
        <v>-8.92E-4</v>
      </c>
      <c r="CV87" s="1283" t="s">
        <v>1942</v>
      </c>
      <c r="CW87" s="1283" t="s">
        <v>1942</v>
      </c>
      <c r="CX87" s="1285" t="s">
        <v>1942</v>
      </c>
      <c r="CY87" s="1283" t="s">
        <v>1942</v>
      </c>
      <c r="CZ87" s="1283" t="s">
        <v>1942</v>
      </c>
      <c r="DA87" s="1283" t="s">
        <v>1942</v>
      </c>
      <c r="DB87" s="1285" t="s">
        <v>1942</v>
      </c>
      <c r="DC87" s="785"/>
      <c r="DD87" s="813">
        <v>1</v>
      </c>
      <c r="DE87" s="814"/>
    </row>
    <row r="88" spans="1:109" ht="15.75" hidden="1" customHeight="1">
      <c r="A88" s="772" t="s">
        <v>1064</v>
      </c>
      <c r="B88" s="773">
        <v>82</v>
      </c>
      <c r="C88" s="789" t="s">
        <v>2239</v>
      </c>
      <c r="D88" s="773" t="s">
        <v>2240</v>
      </c>
      <c r="E88" s="773" t="s">
        <v>1907</v>
      </c>
      <c r="F88" s="785" t="s">
        <v>2241</v>
      </c>
      <c r="G88" s="790" t="s">
        <v>1931</v>
      </c>
      <c r="H88" s="791" t="s">
        <v>2242</v>
      </c>
      <c r="I88" s="792"/>
      <c r="J88" s="793"/>
      <c r="K88" s="793"/>
      <c r="L88" s="793"/>
      <c r="M88" s="793">
        <v>1</v>
      </c>
      <c r="N88" s="793"/>
      <c r="O88" s="793"/>
      <c r="P88" s="794"/>
      <c r="Q88" s="795">
        <f t="shared" si="1"/>
        <v>1</v>
      </c>
      <c r="R88" s="789" t="s">
        <v>1030</v>
      </c>
      <c r="S88" s="773" t="s">
        <v>1008</v>
      </c>
      <c r="T88" s="796" t="s">
        <v>1009</v>
      </c>
      <c r="U88" s="773" t="s">
        <v>1069</v>
      </c>
      <c r="V88" s="773" t="s">
        <v>1081</v>
      </c>
      <c r="W88" s="773" t="s">
        <v>2038</v>
      </c>
      <c r="X88" s="829">
        <v>2</v>
      </c>
      <c r="Y88" s="821" t="s">
        <v>1010</v>
      </c>
      <c r="Z88" s="790" t="s">
        <v>1931</v>
      </c>
      <c r="AA88" s="785"/>
      <c r="AB88" s="785"/>
      <c r="AC88" s="785"/>
      <c r="AD88" s="785"/>
      <c r="AE88" s="785"/>
      <c r="AF88" s="837"/>
      <c r="AG88" s="800"/>
      <c r="AH88" s="800"/>
      <c r="AI88" s="800"/>
      <c r="AJ88" s="800"/>
      <c r="AK88" s="800"/>
      <c r="AL88" s="800"/>
      <c r="AM88" s="800"/>
      <c r="AN88" s="800"/>
      <c r="AO88" s="800"/>
      <c r="AP88" s="800"/>
      <c r="AQ88" s="1420"/>
      <c r="AR88" s="1368"/>
      <c r="AS88" s="1368"/>
      <c r="AT88" s="1368"/>
      <c r="AU88" s="1369"/>
      <c r="AV88" s="1420"/>
      <c r="AW88" s="1368"/>
      <c r="AX88" s="1368"/>
      <c r="AY88" s="1368"/>
      <c r="AZ88" s="1368"/>
      <c r="BA88" s="1368"/>
      <c r="BB88" s="1368"/>
      <c r="BC88" s="1368"/>
      <c r="BD88" s="1368"/>
      <c r="BE88" s="1368"/>
      <c r="BF88" s="1368"/>
      <c r="BG88" s="1368"/>
      <c r="BH88" s="1368"/>
      <c r="BI88" s="1368"/>
      <c r="BJ88" s="1368"/>
      <c r="BK88" s="1369"/>
      <c r="BL88" s="1376"/>
      <c r="BM88" s="1377"/>
      <c r="BN88" s="1377"/>
      <c r="BO88" s="1377"/>
      <c r="BP88" s="1440"/>
      <c r="BQ88" s="1420"/>
      <c r="BR88" s="1368"/>
      <c r="BS88" s="1368"/>
      <c r="BT88" s="1368"/>
      <c r="BU88" s="1369"/>
      <c r="BV88" s="1420"/>
      <c r="BW88" s="1368"/>
      <c r="BX88" s="1368"/>
      <c r="BY88" s="1368"/>
      <c r="BZ88" s="1368"/>
      <c r="CA88" s="1420"/>
      <c r="CB88" s="1368"/>
      <c r="CC88" s="1368"/>
      <c r="CD88" s="1368"/>
      <c r="CE88" s="1369"/>
      <c r="CF88" s="1368"/>
      <c r="CG88" s="1368"/>
      <c r="CH88" s="1368"/>
      <c r="CI88" s="1368"/>
      <c r="CJ88" s="1369"/>
      <c r="CK88" s="1420"/>
      <c r="CL88" s="1368"/>
      <c r="CM88" s="1368"/>
      <c r="CN88" s="1368"/>
      <c r="CO88" s="1369"/>
      <c r="CP88" s="1420"/>
      <c r="CQ88" s="1368"/>
      <c r="CR88" s="1368"/>
      <c r="CS88" s="1368"/>
      <c r="CT88" s="1369"/>
      <c r="CU88" s="1528"/>
      <c r="CV88" s="1519"/>
      <c r="CW88" s="1519"/>
      <c r="CX88" s="1728"/>
      <c r="CY88" s="1519"/>
      <c r="CZ88" s="1519"/>
      <c r="DA88" s="1519"/>
      <c r="DB88" s="1728"/>
      <c r="DC88" s="1377"/>
      <c r="DD88" s="1729"/>
      <c r="DE88" s="1734"/>
    </row>
    <row r="89" spans="1:109" ht="15.75" hidden="1" customHeight="1">
      <c r="A89" s="772" t="s">
        <v>1064</v>
      </c>
      <c r="B89" s="773">
        <v>83</v>
      </c>
      <c r="C89" s="789" t="s">
        <v>2243</v>
      </c>
      <c r="D89" s="773" t="s">
        <v>2240</v>
      </c>
      <c r="E89" s="773" t="s">
        <v>1907</v>
      </c>
      <c r="F89" s="785" t="s">
        <v>2244</v>
      </c>
      <c r="G89" s="790" t="s">
        <v>1935</v>
      </c>
      <c r="H89" s="791" t="s">
        <v>2245</v>
      </c>
      <c r="I89" s="792"/>
      <c r="J89" s="793">
        <v>1</v>
      </c>
      <c r="K89" s="793"/>
      <c r="L89" s="793"/>
      <c r="M89" s="793"/>
      <c r="N89" s="793"/>
      <c r="O89" s="793"/>
      <c r="P89" s="794"/>
      <c r="Q89" s="795">
        <f t="shared" si="1"/>
        <v>1</v>
      </c>
      <c r="R89" s="789" t="s">
        <v>1030</v>
      </c>
      <c r="S89" s="773" t="s">
        <v>1008</v>
      </c>
      <c r="T89" s="796" t="s">
        <v>1009</v>
      </c>
      <c r="U89" s="773" t="s">
        <v>1073</v>
      </c>
      <c r="V89" s="773" t="s">
        <v>1081</v>
      </c>
      <c r="W89" s="773" t="s">
        <v>427</v>
      </c>
      <c r="X89" s="829">
        <v>2</v>
      </c>
      <c r="Y89" s="821" t="s">
        <v>1010</v>
      </c>
      <c r="Z89" s="790" t="s">
        <v>1935</v>
      </c>
      <c r="AA89" s="785"/>
      <c r="AB89" s="785"/>
      <c r="AC89" s="785"/>
      <c r="AD89" s="785"/>
      <c r="AE89" s="785"/>
      <c r="AF89" s="837"/>
      <c r="AG89" s="800"/>
      <c r="AH89" s="800"/>
      <c r="AI89" s="800"/>
      <c r="AJ89" s="800"/>
      <c r="AK89" s="800"/>
      <c r="AL89" s="800"/>
      <c r="AM89" s="800"/>
      <c r="AN89" s="800"/>
      <c r="AO89" s="800"/>
      <c r="AP89" s="800"/>
      <c r="AQ89" s="1420"/>
      <c r="AR89" s="1368"/>
      <c r="AS89" s="1368"/>
      <c r="AT89" s="1368"/>
      <c r="AU89" s="1369"/>
      <c r="AV89" s="1420"/>
      <c r="AW89" s="1368"/>
      <c r="AX89" s="1368"/>
      <c r="AY89" s="1368"/>
      <c r="AZ89" s="1368"/>
      <c r="BA89" s="1368"/>
      <c r="BB89" s="1368"/>
      <c r="BC89" s="1368"/>
      <c r="BD89" s="1368"/>
      <c r="BE89" s="1368"/>
      <c r="BF89" s="1368"/>
      <c r="BG89" s="1368"/>
      <c r="BH89" s="1368"/>
      <c r="BI89" s="1368"/>
      <c r="BJ89" s="1368"/>
      <c r="BK89" s="1369"/>
      <c r="BL89" s="1376"/>
      <c r="BM89" s="1377"/>
      <c r="BN89" s="1377"/>
      <c r="BO89" s="1377"/>
      <c r="BP89" s="1440"/>
      <c r="BQ89" s="1420"/>
      <c r="BR89" s="1368"/>
      <c r="BS89" s="1368"/>
      <c r="BT89" s="1368"/>
      <c r="BU89" s="1369"/>
      <c r="BV89" s="1420"/>
      <c r="BW89" s="1368"/>
      <c r="BX89" s="1368"/>
      <c r="BY89" s="1368"/>
      <c r="BZ89" s="1368"/>
      <c r="CA89" s="1420"/>
      <c r="CB89" s="1368"/>
      <c r="CC89" s="1368"/>
      <c r="CD89" s="1368"/>
      <c r="CE89" s="1369"/>
      <c r="CF89" s="1368"/>
      <c r="CG89" s="1368"/>
      <c r="CH89" s="1368"/>
      <c r="CI89" s="1368"/>
      <c r="CJ89" s="1369"/>
      <c r="CK89" s="1420"/>
      <c r="CL89" s="1368"/>
      <c r="CM89" s="1368"/>
      <c r="CN89" s="1368"/>
      <c r="CO89" s="1369"/>
      <c r="CP89" s="1420"/>
      <c r="CQ89" s="1368"/>
      <c r="CR89" s="1368"/>
      <c r="CS89" s="1368"/>
      <c r="CT89" s="1369"/>
      <c r="CU89" s="1528"/>
      <c r="CV89" s="1519"/>
      <c r="CW89" s="1519"/>
      <c r="CX89" s="1728"/>
      <c r="CY89" s="1519"/>
      <c r="CZ89" s="1519"/>
      <c r="DA89" s="1519"/>
      <c r="DB89" s="1728"/>
      <c r="DC89" s="1377"/>
      <c r="DD89" s="1729"/>
      <c r="DE89" s="1734"/>
    </row>
    <row r="90" spans="1:109" ht="15.75" hidden="1" customHeight="1">
      <c r="A90" s="772" t="s">
        <v>1064</v>
      </c>
      <c r="B90" s="773">
        <v>84</v>
      </c>
      <c r="C90" s="789" t="s">
        <v>2246</v>
      </c>
      <c r="D90" s="773" t="s">
        <v>2240</v>
      </c>
      <c r="E90" s="773" t="s">
        <v>1896</v>
      </c>
      <c r="F90" s="785" t="s">
        <v>2247</v>
      </c>
      <c r="G90" s="790" t="s">
        <v>2248</v>
      </c>
      <c r="H90" s="791" t="s">
        <v>2249</v>
      </c>
      <c r="I90" s="792"/>
      <c r="J90" s="793"/>
      <c r="K90" s="793"/>
      <c r="L90" s="793"/>
      <c r="M90" s="793">
        <v>1</v>
      </c>
      <c r="N90" s="793"/>
      <c r="O90" s="793"/>
      <c r="P90" s="794"/>
      <c r="Q90" s="795">
        <f t="shared" si="1"/>
        <v>1</v>
      </c>
      <c r="R90" s="789" t="s">
        <v>1007</v>
      </c>
      <c r="S90" s="773"/>
      <c r="T90" s="796"/>
      <c r="U90" s="773" t="s">
        <v>2117</v>
      </c>
      <c r="V90" s="773" t="s">
        <v>278</v>
      </c>
      <c r="W90" s="773" t="s">
        <v>2250</v>
      </c>
      <c r="X90" s="829">
        <v>0</v>
      </c>
      <c r="Y90" s="821" t="s">
        <v>1020</v>
      </c>
      <c r="Z90" s="790"/>
      <c r="AA90" s="785"/>
      <c r="AB90" s="785"/>
      <c r="AC90" s="785"/>
      <c r="AD90" s="785"/>
      <c r="AE90" s="785"/>
      <c r="AF90" s="837"/>
      <c r="AG90" s="800"/>
      <c r="AH90" s="800"/>
      <c r="AI90" s="800"/>
      <c r="AJ90" s="800"/>
      <c r="AK90" s="800"/>
      <c r="AL90" s="800"/>
      <c r="AM90" s="800"/>
      <c r="AN90" s="800"/>
      <c r="AO90" s="800"/>
      <c r="AP90" s="800"/>
      <c r="AQ90" s="827">
        <v>0</v>
      </c>
      <c r="AR90" s="797">
        <v>0</v>
      </c>
      <c r="AS90" s="797">
        <v>0</v>
      </c>
      <c r="AT90" s="797">
        <v>0</v>
      </c>
      <c r="AU90" s="841">
        <v>0</v>
      </c>
      <c r="AV90" s="808"/>
      <c r="AW90" s="800"/>
      <c r="AX90" s="800"/>
      <c r="AY90" s="800"/>
      <c r="AZ90" s="800"/>
      <c r="BA90" s="800"/>
      <c r="BB90" s="800"/>
      <c r="BC90" s="800"/>
      <c r="BD90" s="800"/>
      <c r="BE90" s="800"/>
      <c r="BF90" s="800"/>
      <c r="BG90" s="800"/>
      <c r="BH90" s="800"/>
      <c r="BI90" s="800"/>
      <c r="BJ90" s="800"/>
      <c r="BK90" s="805"/>
      <c r="BL90" s="789"/>
      <c r="BM90" s="785"/>
      <c r="BN90" s="785"/>
      <c r="BO90" s="785"/>
      <c r="BP90" s="796"/>
      <c r="BQ90" s="808" t="s">
        <v>1942</v>
      </c>
      <c r="BR90" s="800" t="s">
        <v>1942</v>
      </c>
      <c r="BS90" s="800" t="s">
        <v>1942</v>
      </c>
      <c r="BT90" s="800" t="s">
        <v>1942</v>
      </c>
      <c r="BU90" s="805" t="s">
        <v>1942</v>
      </c>
      <c r="BV90" s="808" t="s">
        <v>1942</v>
      </c>
      <c r="BW90" s="800" t="s">
        <v>1942</v>
      </c>
      <c r="BX90" s="800" t="s">
        <v>1942</v>
      </c>
      <c r="BY90" s="800" t="s">
        <v>1942</v>
      </c>
      <c r="BZ90" s="800" t="s">
        <v>1942</v>
      </c>
      <c r="CA90" s="808" t="s">
        <v>1942</v>
      </c>
      <c r="CB90" s="800" t="s">
        <v>1942</v>
      </c>
      <c r="CC90" s="800" t="s">
        <v>1942</v>
      </c>
      <c r="CD90" s="800" t="s">
        <v>1942</v>
      </c>
      <c r="CE90" s="805" t="s">
        <v>1942</v>
      </c>
      <c r="CF90" s="800" t="s">
        <v>1942</v>
      </c>
      <c r="CG90" s="800" t="s">
        <v>1942</v>
      </c>
      <c r="CH90" s="800" t="s">
        <v>1942</v>
      </c>
      <c r="CI90" s="800" t="s">
        <v>1942</v>
      </c>
      <c r="CJ90" s="805" t="s">
        <v>1942</v>
      </c>
      <c r="CK90" s="808" t="s">
        <v>1942</v>
      </c>
      <c r="CL90" s="800" t="s">
        <v>1942</v>
      </c>
      <c r="CM90" s="800" t="s">
        <v>1942</v>
      </c>
      <c r="CN90" s="800" t="s">
        <v>1942</v>
      </c>
      <c r="CO90" s="805" t="s">
        <v>1942</v>
      </c>
      <c r="CP90" s="808" t="s">
        <v>1942</v>
      </c>
      <c r="CQ90" s="800" t="s">
        <v>1942</v>
      </c>
      <c r="CR90" s="800" t="s">
        <v>1942</v>
      </c>
      <c r="CS90" s="800" t="s">
        <v>1942</v>
      </c>
      <c r="CT90" s="805" t="s">
        <v>1942</v>
      </c>
      <c r="CU90" s="1284" t="s">
        <v>1942</v>
      </c>
      <c r="CV90" s="1283" t="s">
        <v>1942</v>
      </c>
      <c r="CW90" s="1283" t="s">
        <v>1942</v>
      </c>
      <c r="CX90" s="1285" t="s">
        <v>1942</v>
      </c>
      <c r="CY90" s="1283" t="s">
        <v>1942</v>
      </c>
      <c r="CZ90" s="1283" t="s">
        <v>1942</v>
      </c>
      <c r="DA90" s="1283" t="s">
        <v>1942</v>
      </c>
      <c r="DB90" s="1285" t="s">
        <v>1942</v>
      </c>
      <c r="DC90" s="785"/>
      <c r="DD90" s="813">
        <v>1</v>
      </c>
      <c r="DE90" s="814"/>
    </row>
    <row r="91" spans="1:109" ht="15.75" hidden="1" customHeight="1">
      <c r="A91" s="772" t="s">
        <v>1064</v>
      </c>
      <c r="B91" s="773">
        <v>85</v>
      </c>
      <c r="C91" s="789" t="s">
        <v>2251</v>
      </c>
      <c r="D91" s="773" t="s">
        <v>2240</v>
      </c>
      <c r="E91" s="773" t="s">
        <v>1896</v>
      </c>
      <c r="F91" s="785" t="s">
        <v>2252</v>
      </c>
      <c r="G91" s="790" t="s">
        <v>2253</v>
      </c>
      <c r="H91" s="791" t="s">
        <v>2254</v>
      </c>
      <c r="I91" s="792"/>
      <c r="J91" s="793"/>
      <c r="K91" s="793"/>
      <c r="L91" s="793"/>
      <c r="M91" s="793">
        <v>1</v>
      </c>
      <c r="N91" s="793"/>
      <c r="O91" s="793"/>
      <c r="P91" s="794"/>
      <c r="Q91" s="795">
        <f t="shared" si="1"/>
        <v>1</v>
      </c>
      <c r="R91" s="789" t="s">
        <v>1007</v>
      </c>
      <c r="S91" s="773"/>
      <c r="T91" s="796"/>
      <c r="U91" s="773" t="s">
        <v>2117</v>
      </c>
      <c r="V91" s="773" t="s">
        <v>278</v>
      </c>
      <c r="W91" s="773" t="s">
        <v>2255</v>
      </c>
      <c r="X91" s="1309">
        <v>0</v>
      </c>
      <c r="Y91" s="821" t="s">
        <v>1010</v>
      </c>
      <c r="Z91" s="790"/>
      <c r="AA91" s="785"/>
      <c r="AB91" s="785"/>
      <c r="AC91" s="785"/>
      <c r="AD91" s="785"/>
      <c r="AE91" s="785"/>
      <c r="AF91" s="837"/>
      <c r="AG91" s="800"/>
      <c r="AH91" s="800"/>
      <c r="AI91" s="800"/>
      <c r="AJ91" s="800"/>
      <c r="AK91" s="800"/>
      <c r="AL91" s="800"/>
      <c r="AM91" s="800"/>
      <c r="AN91" s="800"/>
      <c r="AO91" s="800"/>
      <c r="AP91" s="800"/>
      <c r="AQ91" s="808">
        <v>80</v>
      </c>
      <c r="AR91" s="800">
        <v>81</v>
      </c>
      <c r="AS91" s="800">
        <v>82</v>
      </c>
      <c r="AT91" s="800">
        <v>83</v>
      </c>
      <c r="AU91" s="805">
        <v>83</v>
      </c>
      <c r="AV91" s="808"/>
      <c r="AW91" s="800"/>
      <c r="AX91" s="800"/>
      <c r="AY91" s="800"/>
      <c r="AZ91" s="800"/>
      <c r="BA91" s="800"/>
      <c r="BB91" s="800"/>
      <c r="BC91" s="800"/>
      <c r="BD91" s="800"/>
      <c r="BE91" s="800"/>
      <c r="BF91" s="800"/>
      <c r="BG91" s="800"/>
      <c r="BH91" s="800"/>
      <c r="BI91" s="800"/>
      <c r="BJ91" s="800"/>
      <c r="BK91" s="805"/>
      <c r="BL91" s="789"/>
      <c r="BM91" s="785"/>
      <c r="BN91" s="785"/>
      <c r="BO91" s="785"/>
      <c r="BP91" s="796"/>
      <c r="BQ91" s="808" t="s">
        <v>1942</v>
      </c>
      <c r="BR91" s="800" t="s">
        <v>1942</v>
      </c>
      <c r="BS91" s="800" t="s">
        <v>1942</v>
      </c>
      <c r="BT91" s="800" t="s">
        <v>1942</v>
      </c>
      <c r="BU91" s="805" t="s">
        <v>1942</v>
      </c>
      <c r="BV91" s="808" t="s">
        <v>1942</v>
      </c>
      <c r="BW91" s="800" t="s">
        <v>1942</v>
      </c>
      <c r="BX91" s="800" t="s">
        <v>1942</v>
      </c>
      <c r="BY91" s="800" t="s">
        <v>1942</v>
      </c>
      <c r="BZ91" s="800" t="s">
        <v>1942</v>
      </c>
      <c r="CA91" s="808" t="s">
        <v>1942</v>
      </c>
      <c r="CB91" s="800" t="s">
        <v>1942</v>
      </c>
      <c r="CC91" s="800" t="s">
        <v>1942</v>
      </c>
      <c r="CD91" s="800" t="s">
        <v>1942</v>
      </c>
      <c r="CE91" s="805" t="s">
        <v>1942</v>
      </c>
      <c r="CF91" s="800" t="s">
        <v>1942</v>
      </c>
      <c r="CG91" s="800" t="s">
        <v>1942</v>
      </c>
      <c r="CH91" s="800" t="s">
        <v>1942</v>
      </c>
      <c r="CI91" s="800" t="s">
        <v>1942</v>
      </c>
      <c r="CJ91" s="805" t="s">
        <v>1942</v>
      </c>
      <c r="CK91" s="808" t="s">
        <v>1942</v>
      </c>
      <c r="CL91" s="800" t="s">
        <v>1942</v>
      </c>
      <c r="CM91" s="800" t="s">
        <v>1942</v>
      </c>
      <c r="CN91" s="800" t="s">
        <v>1942</v>
      </c>
      <c r="CO91" s="805" t="s">
        <v>1942</v>
      </c>
      <c r="CP91" s="808" t="s">
        <v>1942</v>
      </c>
      <c r="CQ91" s="800" t="s">
        <v>1942</v>
      </c>
      <c r="CR91" s="800" t="s">
        <v>1942</v>
      </c>
      <c r="CS91" s="800" t="s">
        <v>1942</v>
      </c>
      <c r="CT91" s="805" t="s">
        <v>1942</v>
      </c>
      <c r="CU91" s="1284" t="s">
        <v>1942</v>
      </c>
      <c r="CV91" s="1283" t="s">
        <v>1942</v>
      </c>
      <c r="CW91" s="1283" t="s">
        <v>1942</v>
      </c>
      <c r="CX91" s="1285" t="s">
        <v>1942</v>
      </c>
      <c r="CY91" s="1283" t="s">
        <v>1942</v>
      </c>
      <c r="CZ91" s="1283" t="s">
        <v>1942</v>
      </c>
      <c r="DA91" s="1283" t="s">
        <v>1942</v>
      </c>
      <c r="DB91" s="1285" t="s">
        <v>1942</v>
      </c>
      <c r="DC91" s="785"/>
      <c r="DD91" s="813">
        <v>1</v>
      </c>
      <c r="DE91" s="814"/>
    </row>
    <row r="92" spans="1:109" ht="15.75" hidden="1" customHeight="1">
      <c r="A92" s="772" t="s">
        <v>1064</v>
      </c>
      <c r="B92" s="773">
        <v>86</v>
      </c>
      <c r="C92" s="789" t="s">
        <v>2256</v>
      </c>
      <c r="D92" s="773" t="s">
        <v>2240</v>
      </c>
      <c r="E92" s="773" t="s">
        <v>1907</v>
      </c>
      <c r="F92" s="785" t="s">
        <v>2257</v>
      </c>
      <c r="G92" s="790" t="s">
        <v>2258</v>
      </c>
      <c r="H92" s="791" t="s">
        <v>2259</v>
      </c>
      <c r="I92" s="792"/>
      <c r="J92" s="793"/>
      <c r="K92" s="793"/>
      <c r="L92" s="793"/>
      <c r="M92" s="793">
        <v>1</v>
      </c>
      <c r="N92" s="793"/>
      <c r="O92" s="793"/>
      <c r="P92" s="794"/>
      <c r="Q92" s="795">
        <f t="shared" si="1"/>
        <v>1</v>
      </c>
      <c r="R92" s="789" t="s">
        <v>1007</v>
      </c>
      <c r="S92" s="773"/>
      <c r="T92" s="796"/>
      <c r="U92" s="773" t="s">
        <v>2117</v>
      </c>
      <c r="V92" s="773" t="s">
        <v>278</v>
      </c>
      <c r="W92" s="773" t="s">
        <v>2260</v>
      </c>
      <c r="X92" s="829">
        <v>0</v>
      </c>
      <c r="Y92" s="821" t="s">
        <v>1010</v>
      </c>
      <c r="Z92" s="790"/>
      <c r="AA92" s="785"/>
      <c r="AB92" s="785"/>
      <c r="AC92" s="785"/>
      <c r="AD92" s="785"/>
      <c r="AE92" s="785"/>
      <c r="AF92" s="799"/>
      <c r="AG92" s="800"/>
      <c r="AH92" s="800"/>
      <c r="AI92" s="800"/>
      <c r="AJ92" s="800"/>
      <c r="AK92" s="800"/>
      <c r="AL92" s="800"/>
      <c r="AM92" s="800"/>
      <c r="AN92" s="800"/>
      <c r="AO92" s="800"/>
      <c r="AP92" s="800"/>
      <c r="AQ92" s="808">
        <v>85</v>
      </c>
      <c r="AR92" s="800">
        <v>85</v>
      </c>
      <c r="AS92" s="800">
        <v>85</v>
      </c>
      <c r="AT92" s="800">
        <v>85</v>
      </c>
      <c r="AU92" s="805">
        <v>85</v>
      </c>
      <c r="AV92" s="808"/>
      <c r="AW92" s="800"/>
      <c r="AX92" s="800"/>
      <c r="AY92" s="800"/>
      <c r="AZ92" s="800"/>
      <c r="BA92" s="800"/>
      <c r="BB92" s="800"/>
      <c r="BC92" s="800"/>
      <c r="BD92" s="800"/>
      <c r="BE92" s="800"/>
      <c r="BF92" s="800"/>
      <c r="BG92" s="800"/>
      <c r="BH92" s="800"/>
      <c r="BI92" s="800"/>
      <c r="BJ92" s="800"/>
      <c r="BK92" s="805"/>
      <c r="BL92" s="789"/>
      <c r="BM92" s="785"/>
      <c r="BN92" s="785"/>
      <c r="BO92" s="785"/>
      <c r="BP92" s="796"/>
      <c r="BQ92" s="808" t="s">
        <v>1942</v>
      </c>
      <c r="BR92" s="800" t="s">
        <v>1942</v>
      </c>
      <c r="BS92" s="800" t="s">
        <v>1942</v>
      </c>
      <c r="BT92" s="800" t="s">
        <v>1942</v>
      </c>
      <c r="BU92" s="805" t="s">
        <v>1942</v>
      </c>
      <c r="BV92" s="808" t="s">
        <v>1942</v>
      </c>
      <c r="BW92" s="800" t="s">
        <v>1942</v>
      </c>
      <c r="BX92" s="800" t="s">
        <v>1942</v>
      </c>
      <c r="BY92" s="800" t="s">
        <v>1942</v>
      </c>
      <c r="BZ92" s="800" t="s">
        <v>1942</v>
      </c>
      <c r="CA92" s="808" t="s">
        <v>1942</v>
      </c>
      <c r="CB92" s="800" t="s">
        <v>1942</v>
      </c>
      <c r="CC92" s="800" t="s">
        <v>1942</v>
      </c>
      <c r="CD92" s="800" t="s">
        <v>1942</v>
      </c>
      <c r="CE92" s="805" t="s">
        <v>1942</v>
      </c>
      <c r="CF92" s="800" t="s">
        <v>1942</v>
      </c>
      <c r="CG92" s="800" t="s">
        <v>1942</v>
      </c>
      <c r="CH92" s="800" t="s">
        <v>1942</v>
      </c>
      <c r="CI92" s="800" t="s">
        <v>1942</v>
      </c>
      <c r="CJ92" s="800" t="s">
        <v>1942</v>
      </c>
      <c r="CK92" s="808" t="s">
        <v>1942</v>
      </c>
      <c r="CL92" s="800" t="s">
        <v>1942</v>
      </c>
      <c r="CM92" s="800" t="s">
        <v>1942</v>
      </c>
      <c r="CN92" s="800" t="s">
        <v>1942</v>
      </c>
      <c r="CO92" s="805" t="s">
        <v>1942</v>
      </c>
      <c r="CP92" s="808" t="s">
        <v>1942</v>
      </c>
      <c r="CQ92" s="800" t="s">
        <v>1942</v>
      </c>
      <c r="CR92" s="800" t="s">
        <v>1942</v>
      </c>
      <c r="CS92" s="800" t="s">
        <v>1942</v>
      </c>
      <c r="CT92" s="805" t="s">
        <v>1942</v>
      </c>
      <c r="CU92" s="1284" t="s">
        <v>1942</v>
      </c>
      <c r="CV92" s="1283" t="s">
        <v>1942</v>
      </c>
      <c r="CW92" s="1283" t="s">
        <v>1942</v>
      </c>
      <c r="CX92" s="1285" t="s">
        <v>1942</v>
      </c>
      <c r="CY92" s="1283" t="s">
        <v>1942</v>
      </c>
      <c r="CZ92" s="1283" t="s">
        <v>1942</v>
      </c>
      <c r="DA92" s="1283" t="s">
        <v>1942</v>
      </c>
      <c r="DB92" s="1285" t="s">
        <v>1942</v>
      </c>
      <c r="DC92" s="785"/>
      <c r="DD92" s="813">
        <v>1</v>
      </c>
      <c r="DE92" s="814"/>
    </row>
    <row r="93" spans="1:109" ht="15.75" hidden="1" customHeight="1">
      <c r="A93" s="772" t="s">
        <v>1064</v>
      </c>
      <c r="B93" s="773">
        <v>87</v>
      </c>
      <c r="C93" s="789" t="s">
        <v>2261</v>
      </c>
      <c r="D93" s="773" t="s">
        <v>2240</v>
      </c>
      <c r="E93" s="773" t="s">
        <v>1907</v>
      </c>
      <c r="F93" s="785" t="s">
        <v>2262</v>
      </c>
      <c r="G93" s="790" t="s">
        <v>2263</v>
      </c>
      <c r="H93" s="791" t="s">
        <v>2264</v>
      </c>
      <c r="I93" s="792"/>
      <c r="J93" s="793"/>
      <c r="K93" s="793"/>
      <c r="L93" s="793"/>
      <c r="M93" s="793">
        <v>1</v>
      </c>
      <c r="N93" s="793"/>
      <c r="O93" s="793"/>
      <c r="P93" s="794"/>
      <c r="Q93" s="795">
        <f t="shared" si="1"/>
        <v>1</v>
      </c>
      <c r="R93" s="789" t="s">
        <v>1030</v>
      </c>
      <c r="S93" s="773" t="s">
        <v>1008</v>
      </c>
      <c r="T93" s="796" t="s">
        <v>1009</v>
      </c>
      <c r="U93" s="773" t="s">
        <v>2117</v>
      </c>
      <c r="V93" s="773" t="s">
        <v>278</v>
      </c>
      <c r="W93" s="773" t="s">
        <v>2265</v>
      </c>
      <c r="X93" s="1274">
        <v>2</v>
      </c>
      <c r="Y93" s="821" t="s">
        <v>1020</v>
      </c>
      <c r="Z93" s="790"/>
      <c r="AA93" s="785"/>
      <c r="AB93" s="785"/>
      <c r="AC93" s="785"/>
      <c r="AD93" s="785"/>
      <c r="AE93" s="785"/>
      <c r="AF93" s="837"/>
      <c r="AG93" s="807"/>
      <c r="AH93" s="807"/>
      <c r="AI93" s="807"/>
      <c r="AJ93" s="807"/>
      <c r="AK93" s="807"/>
      <c r="AL93" s="807"/>
      <c r="AM93" s="807"/>
      <c r="AN93" s="807"/>
      <c r="AO93" s="807"/>
      <c r="AP93" s="807"/>
      <c r="AQ93" s="806">
        <v>1.9</v>
      </c>
      <c r="AR93" s="807">
        <v>1.9</v>
      </c>
      <c r="AS93" s="807">
        <v>1.8</v>
      </c>
      <c r="AT93" s="807">
        <v>1.8</v>
      </c>
      <c r="AU93" s="820">
        <v>1.8</v>
      </c>
      <c r="AV93" s="806"/>
      <c r="AW93" s="807"/>
      <c r="AX93" s="807"/>
      <c r="AY93" s="807"/>
      <c r="AZ93" s="807"/>
      <c r="BA93" s="807"/>
      <c r="BB93" s="807"/>
      <c r="BC93" s="807"/>
      <c r="BD93" s="807"/>
      <c r="BE93" s="807"/>
      <c r="BF93" s="807"/>
      <c r="BG93" s="807"/>
      <c r="BH93" s="807"/>
      <c r="BI93" s="807"/>
      <c r="BJ93" s="807"/>
      <c r="BK93" s="820"/>
      <c r="BL93" s="789" t="s">
        <v>168</v>
      </c>
      <c r="BM93" s="785" t="s">
        <v>168</v>
      </c>
      <c r="BN93" s="785" t="s">
        <v>168</v>
      </c>
      <c r="BO93" s="785" t="s">
        <v>168</v>
      </c>
      <c r="BP93" s="796" t="s">
        <v>168</v>
      </c>
      <c r="BQ93" s="808" t="s">
        <v>1942</v>
      </c>
      <c r="BR93" s="800" t="s">
        <v>1942</v>
      </c>
      <c r="BS93" s="800" t="s">
        <v>1942</v>
      </c>
      <c r="BT93" s="800" t="s">
        <v>1942</v>
      </c>
      <c r="BU93" s="805" t="s">
        <v>1942</v>
      </c>
      <c r="BV93" s="806">
        <v>2.4</v>
      </c>
      <c r="BW93" s="807">
        <v>2.4</v>
      </c>
      <c r="BX93" s="807">
        <v>2.2999999999999998</v>
      </c>
      <c r="BY93" s="807">
        <v>2.2999999999999998</v>
      </c>
      <c r="BZ93" s="807">
        <v>2.2999999999999998</v>
      </c>
      <c r="CA93" s="808" t="s">
        <v>1942</v>
      </c>
      <c r="CB93" s="800" t="s">
        <v>1942</v>
      </c>
      <c r="CC93" s="800" t="s">
        <v>1942</v>
      </c>
      <c r="CD93" s="800" t="s">
        <v>1942</v>
      </c>
      <c r="CE93" s="805" t="s">
        <v>1942</v>
      </c>
      <c r="CF93" s="810" t="s">
        <v>1942</v>
      </c>
      <c r="CG93" s="810" t="s">
        <v>1942</v>
      </c>
      <c r="CH93" s="810" t="s">
        <v>1942</v>
      </c>
      <c r="CI93" s="810" t="s">
        <v>1942</v>
      </c>
      <c r="CJ93" s="811" t="s">
        <v>1942</v>
      </c>
      <c r="CK93" s="808">
        <v>1.4</v>
      </c>
      <c r="CL93" s="800">
        <v>1.4</v>
      </c>
      <c r="CM93" s="800">
        <v>1.3</v>
      </c>
      <c r="CN93" s="800">
        <v>1.3</v>
      </c>
      <c r="CO93" s="805">
        <v>1.3</v>
      </c>
      <c r="CP93" s="808" t="s">
        <v>1942</v>
      </c>
      <c r="CQ93" s="800" t="s">
        <v>1942</v>
      </c>
      <c r="CR93" s="800" t="s">
        <v>1942</v>
      </c>
      <c r="CS93" s="800" t="s">
        <v>1942</v>
      </c>
      <c r="CT93" s="805" t="s">
        <v>1942</v>
      </c>
      <c r="CU93" s="1284">
        <v>-0.41399999999999998</v>
      </c>
      <c r="CV93" s="1283" t="s">
        <v>1942</v>
      </c>
      <c r="CW93" s="1283" t="s">
        <v>1942</v>
      </c>
      <c r="CX93" s="1285" t="s">
        <v>1942</v>
      </c>
      <c r="CY93" s="1283">
        <v>0.41399999999999998</v>
      </c>
      <c r="CZ93" s="1283" t="s">
        <v>1942</v>
      </c>
      <c r="DA93" s="1283" t="s">
        <v>1942</v>
      </c>
      <c r="DB93" s="1285" t="s">
        <v>1942</v>
      </c>
      <c r="DC93" s="785"/>
      <c r="DD93" s="813">
        <v>1</v>
      </c>
      <c r="DE93" s="814"/>
    </row>
    <row r="94" spans="1:109" ht="15.75" hidden="1" customHeight="1">
      <c r="A94" s="772" t="s">
        <v>1064</v>
      </c>
      <c r="B94" s="773">
        <v>88</v>
      </c>
      <c r="C94" s="789" t="s">
        <v>2266</v>
      </c>
      <c r="D94" s="773" t="s">
        <v>2267</v>
      </c>
      <c r="E94" s="773" t="s">
        <v>1896</v>
      </c>
      <c r="F94" s="785" t="s">
        <v>2268</v>
      </c>
      <c r="G94" s="790" t="s">
        <v>669</v>
      </c>
      <c r="H94" s="791" t="s">
        <v>2269</v>
      </c>
      <c r="I94" s="792"/>
      <c r="J94" s="793">
        <v>1</v>
      </c>
      <c r="K94" s="793"/>
      <c r="L94" s="793"/>
      <c r="M94" s="793"/>
      <c r="N94" s="793"/>
      <c r="O94" s="793"/>
      <c r="P94" s="794"/>
      <c r="Q94" s="795">
        <f t="shared" si="1"/>
        <v>1</v>
      </c>
      <c r="R94" s="789" t="s">
        <v>1030</v>
      </c>
      <c r="S94" s="773" t="s">
        <v>1008</v>
      </c>
      <c r="T94" s="796" t="s">
        <v>1009</v>
      </c>
      <c r="U94" s="773" t="s">
        <v>669</v>
      </c>
      <c r="V94" s="773" t="s">
        <v>1033</v>
      </c>
      <c r="W94" s="773" t="s">
        <v>2270</v>
      </c>
      <c r="X94" s="829">
        <v>1</v>
      </c>
      <c r="Y94" s="821" t="s">
        <v>1020</v>
      </c>
      <c r="Z94" s="790" t="s">
        <v>669</v>
      </c>
      <c r="AA94" s="785"/>
      <c r="AB94" s="785"/>
      <c r="AC94" s="785"/>
      <c r="AD94" s="785"/>
      <c r="AE94" s="785"/>
      <c r="AF94" s="837"/>
      <c r="AG94" s="800"/>
      <c r="AH94" s="800"/>
      <c r="AI94" s="800"/>
      <c r="AJ94" s="800"/>
      <c r="AK94" s="800"/>
      <c r="AL94" s="800"/>
      <c r="AM94" s="800"/>
      <c r="AN94" s="800"/>
      <c r="AO94" s="800"/>
      <c r="AP94" s="800"/>
      <c r="AQ94" s="1421"/>
      <c r="AR94" s="1373"/>
      <c r="AS94" s="1373"/>
      <c r="AT94" s="1373"/>
      <c r="AU94" s="1374"/>
      <c r="AV94" s="1420"/>
      <c r="AW94" s="1368"/>
      <c r="AX94" s="1368"/>
      <c r="AY94" s="1368"/>
      <c r="AZ94" s="1368"/>
      <c r="BA94" s="1368"/>
      <c r="BB94" s="1368"/>
      <c r="BC94" s="1368"/>
      <c r="BD94" s="1368"/>
      <c r="BE94" s="1368"/>
      <c r="BF94" s="1368"/>
      <c r="BG94" s="1368"/>
      <c r="BH94" s="1368"/>
      <c r="BI94" s="1368"/>
      <c r="BJ94" s="1368"/>
      <c r="BK94" s="1369"/>
      <c r="BL94" s="1376"/>
      <c r="BM94" s="1377"/>
      <c r="BN94" s="1377"/>
      <c r="BO94" s="1377"/>
      <c r="BP94" s="1440"/>
      <c r="BQ94" s="1420"/>
      <c r="BR94" s="1368"/>
      <c r="BS94" s="1368"/>
      <c r="BT94" s="1368"/>
      <c r="BU94" s="1369"/>
      <c r="BV94" s="1420"/>
      <c r="BW94" s="1368"/>
      <c r="BX94" s="1368"/>
      <c r="BY94" s="1368"/>
      <c r="BZ94" s="1368"/>
      <c r="CA94" s="1420"/>
      <c r="CB94" s="1368"/>
      <c r="CC94" s="1368"/>
      <c r="CD94" s="1368"/>
      <c r="CE94" s="1369"/>
      <c r="CF94" s="1368"/>
      <c r="CG94" s="1368"/>
      <c r="CH94" s="1368"/>
      <c r="CI94" s="1368"/>
      <c r="CJ94" s="1369"/>
      <c r="CK94" s="1420"/>
      <c r="CL94" s="1368"/>
      <c r="CM94" s="1368"/>
      <c r="CN94" s="1368"/>
      <c r="CO94" s="1369"/>
      <c r="CP94" s="1420"/>
      <c r="CQ94" s="1368"/>
      <c r="CR94" s="1368"/>
      <c r="CS94" s="1368"/>
      <c r="CT94" s="1369"/>
      <c r="CU94" s="1528"/>
      <c r="CV94" s="1519"/>
      <c r="CW94" s="1519"/>
      <c r="CX94" s="1728"/>
      <c r="CY94" s="1519"/>
      <c r="CZ94" s="1519"/>
      <c r="DA94" s="1519"/>
      <c r="DB94" s="1728"/>
      <c r="DC94" s="1377"/>
      <c r="DD94" s="1729"/>
      <c r="DE94" s="1734"/>
    </row>
    <row r="95" spans="1:109" ht="15.75" hidden="1" customHeight="1">
      <c r="A95" s="772" t="s">
        <v>1064</v>
      </c>
      <c r="B95" s="773">
        <v>89</v>
      </c>
      <c r="C95" s="789" t="s">
        <v>2271</v>
      </c>
      <c r="D95" s="773" t="s">
        <v>2267</v>
      </c>
      <c r="E95" s="773" t="s">
        <v>1896</v>
      </c>
      <c r="F95" s="785" t="s">
        <v>2272</v>
      </c>
      <c r="G95" s="790" t="s">
        <v>1902</v>
      </c>
      <c r="H95" s="791" t="s">
        <v>2273</v>
      </c>
      <c r="I95" s="792"/>
      <c r="J95" s="793">
        <v>0.5</v>
      </c>
      <c r="K95" s="793"/>
      <c r="L95" s="793"/>
      <c r="M95" s="793">
        <v>0.5</v>
      </c>
      <c r="N95" s="793"/>
      <c r="O95" s="793"/>
      <c r="P95" s="794"/>
      <c r="Q95" s="795">
        <f t="shared" si="1"/>
        <v>1</v>
      </c>
      <c r="R95" s="789" t="s">
        <v>1030</v>
      </c>
      <c r="S95" s="773" t="s">
        <v>1008</v>
      </c>
      <c r="T95" s="1440" t="s">
        <v>1019</v>
      </c>
      <c r="U95" s="773" t="s">
        <v>2054</v>
      </c>
      <c r="V95" s="773" t="s">
        <v>1033</v>
      </c>
      <c r="W95" s="773" t="s">
        <v>2274</v>
      </c>
      <c r="X95" s="829">
        <v>1</v>
      </c>
      <c r="Y95" s="821" t="s">
        <v>1020</v>
      </c>
      <c r="Z95" s="790" t="s">
        <v>1902</v>
      </c>
      <c r="AA95" s="785"/>
      <c r="AB95" s="785"/>
      <c r="AC95" s="785"/>
      <c r="AD95" s="785"/>
      <c r="AE95" s="785"/>
      <c r="AF95" s="799"/>
      <c r="AG95" s="842"/>
      <c r="AH95" s="842"/>
      <c r="AI95" s="842"/>
      <c r="AJ95" s="842"/>
      <c r="AK95" s="842"/>
      <c r="AL95" s="842"/>
      <c r="AM95" s="842"/>
      <c r="AN95" s="842"/>
      <c r="AO95" s="842"/>
      <c r="AP95" s="842"/>
      <c r="AQ95" s="1742"/>
      <c r="AR95" s="1743"/>
      <c r="AS95" s="1743"/>
      <c r="AT95" s="1743"/>
      <c r="AU95" s="1744"/>
      <c r="AV95" s="1742"/>
      <c r="AW95" s="1743"/>
      <c r="AX95" s="1743"/>
      <c r="AY95" s="1743"/>
      <c r="AZ95" s="1743"/>
      <c r="BA95" s="1743"/>
      <c r="BB95" s="1743"/>
      <c r="BC95" s="1743"/>
      <c r="BD95" s="1743"/>
      <c r="BE95" s="1743"/>
      <c r="BF95" s="1743"/>
      <c r="BG95" s="1743"/>
      <c r="BH95" s="1743"/>
      <c r="BI95" s="1743"/>
      <c r="BJ95" s="1743"/>
      <c r="BK95" s="1744"/>
      <c r="BL95" s="1376"/>
      <c r="BM95" s="1377"/>
      <c r="BN95" s="1377"/>
      <c r="BO95" s="1377"/>
      <c r="BP95" s="1440"/>
      <c r="BQ95" s="1420"/>
      <c r="BR95" s="1368"/>
      <c r="BS95" s="1368"/>
      <c r="BT95" s="1368"/>
      <c r="BU95" s="1369"/>
      <c r="BV95" s="1421"/>
      <c r="BW95" s="1373"/>
      <c r="BX95" s="1373"/>
      <c r="BY95" s="1373"/>
      <c r="BZ95" s="1373"/>
      <c r="CA95" s="1420"/>
      <c r="CB95" s="1368"/>
      <c r="CC95" s="1368"/>
      <c r="CD95" s="1368"/>
      <c r="CE95" s="1369"/>
      <c r="CF95" s="1368"/>
      <c r="CG95" s="1368"/>
      <c r="CH95" s="1368"/>
      <c r="CI95" s="1368"/>
      <c r="CJ95" s="1369"/>
      <c r="CK95" s="1420"/>
      <c r="CL95" s="1368"/>
      <c r="CM95" s="1368"/>
      <c r="CN95" s="1368"/>
      <c r="CO95" s="1369"/>
      <c r="CP95" s="1420"/>
      <c r="CQ95" s="1368"/>
      <c r="CR95" s="1368"/>
      <c r="CS95" s="1368"/>
      <c r="CT95" s="1369"/>
      <c r="CU95" s="1528"/>
      <c r="CV95" s="1519"/>
      <c r="CW95" s="1519"/>
      <c r="CX95" s="1728"/>
      <c r="CY95" s="1519"/>
      <c r="CZ95" s="1519"/>
      <c r="DA95" s="1519"/>
      <c r="DB95" s="1728"/>
      <c r="DC95" s="1377"/>
      <c r="DD95" s="1729"/>
      <c r="DE95" s="1734"/>
    </row>
    <row r="96" spans="1:109" ht="15.75" hidden="1" customHeight="1">
      <c r="A96" s="772" t="s">
        <v>1064</v>
      </c>
      <c r="B96" s="773">
        <v>90</v>
      </c>
      <c r="C96" s="789" t="s">
        <v>2275</v>
      </c>
      <c r="D96" s="773" t="s">
        <v>2267</v>
      </c>
      <c r="E96" s="773" t="s">
        <v>1896</v>
      </c>
      <c r="F96" s="785" t="s">
        <v>2276</v>
      </c>
      <c r="G96" s="790" t="s">
        <v>2277</v>
      </c>
      <c r="H96" s="791" t="s">
        <v>2278</v>
      </c>
      <c r="I96" s="792"/>
      <c r="J96" s="793">
        <v>1</v>
      </c>
      <c r="K96" s="793"/>
      <c r="L96" s="793"/>
      <c r="M96" s="793"/>
      <c r="N96" s="793"/>
      <c r="O96" s="793"/>
      <c r="P96" s="794"/>
      <c r="Q96" s="795">
        <f t="shared" si="1"/>
        <v>1</v>
      </c>
      <c r="R96" s="789" t="s">
        <v>1030</v>
      </c>
      <c r="S96" s="773" t="s">
        <v>1008</v>
      </c>
      <c r="T96" s="796" t="s">
        <v>1019</v>
      </c>
      <c r="U96" s="773" t="s">
        <v>1961</v>
      </c>
      <c r="V96" s="773" t="s">
        <v>278</v>
      </c>
      <c r="W96" s="773" t="s">
        <v>2279</v>
      </c>
      <c r="X96" s="1274">
        <v>2</v>
      </c>
      <c r="Y96" s="798" t="s">
        <v>1010</v>
      </c>
      <c r="Z96" s="790"/>
      <c r="AA96" s="785"/>
      <c r="AB96" s="785"/>
      <c r="AC96" s="785"/>
      <c r="AD96" s="785"/>
      <c r="AE96" s="785"/>
      <c r="AF96" s="790"/>
      <c r="AG96" s="800"/>
      <c r="AH96" s="800"/>
      <c r="AI96" s="800"/>
      <c r="AJ96" s="800"/>
      <c r="AK96" s="800"/>
      <c r="AL96" s="800"/>
      <c r="AM96" s="800"/>
      <c r="AN96" s="800"/>
      <c r="AO96" s="800"/>
      <c r="AP96" s="800"/>
      <c r="AQ96" s="808">
        <v>67.7</v>
      </c>
      <c r="AR96" s="800">
        <v>69.5</v>
      </c>
      <c r="AS96" s="800">
        <v>71.3</v>
      </c>
      <c r="AT96" s="800">
        <v>73.099999999999994</v>
      </c>
      <c r="AU96" s="805">
        <v>75</v>
      </c>
      <c r="AV96" s="808"/>
      <c r="AW96" s="800"/>
      <c r="AX96" s="800"/>
      <c r="AY96" s="800"/>
      <c r="AZ96" s="800"/>
      <c r="BA96" s="800"/>
      <c r="BB96" s="800"/>
      <c r="BC96" s="800"/>
      <c r="BD96" s="800"/>
      <c r="BE96" s="800"/>
      <c r="BF96" s="800"/>
      <c r="BG96" s="800"/>
      <c r="BH96" s="800"/>
      <c r="BI96" s="800"/>
      <c r="BJ96" s="800"/>
      <c r="BK96" s="805"/>
      <c r="BL96" s="789"/>
      <c r="BM96" s="785"/>
      <c r="BN96" s="785"/>
      <c r="BO96" s="785"/>
      <c r="BP96" s="796" t="s">
        <v>168</v>
      </c>
      <c r="BQ96" s="808" t="s">
        <v>1942</v>
      </c>
      <c r="BR96" s="800" t="s">
        <v>1942</v>
      </c>
      <c r="BS96" s="800" t="s">
        <v>1942</v>
      </c>
      <c r="BT96" s="800" t="s">
        <v>1942</v>
      </c>
      <c r="BU96" s="805" t="s">
        <v>1942</v>
      </c>
      <c r="BV96" s="808" t="s">
        <v>1942</v>
      </c>
      <c r="BW96" s="800" t="s">
        <v>1942</v>
      </c>
      <c r="BX96" s="800" t="s">
        <v>1942</v>
      </c>
      <c r="BY96" s="800" t="s">
        <v>1942</v>
      </c>
      <c r="BZ96" s="800" t="s">
        <v>1942</v>
      </c>
      <c r="CA96" s="808" t="s">
        <v>1942</v>
      </c>
      <c r="CB96" s="800" t="s">
        <v>1942</v>
      </c>
      <c r="CC96" s="800" t="s">
        <v>1942</v>
      </c>
      <c r="CD96" s="800" t="s">
        <v>1942</v>
      </c>
      <c r="CE96" s="805" t="s">
        <v>1942</v>
      </c>
      <c r="CF96" s="800" t="s">
        <v>1942</v>
      </c>
      <c r="CG96" s="800" t="s">
        <v>1942</v>
      </c>
      <c r="CH96" s="800" t="s">
        <v>1942</v>
      </c>
      <c r="CI96" s="800" t="s">
        <v>1942</v>
      </c>
      <c r="CJ96" s="805" t="s">
        <v>1942</v>
      </c>
      <c r="CK96" s="2006"/>
      <c r="CL96" s="1991"/>
      <c r="CM96" s="1991"/>
      <c r="CN96" s="1991"/>
      <c r="CO96" s="2007">
        <v>77</v>
      </c>
      <c r="CP96" s="808" t="s">
        <v>1942</v>
      </c>
      <c r="CQ96" s="800" t="s">
        <v>1942</v>
      </c>
      <c r="CR96" s="800" t="s">
        <v>1942</v>
      </c>
      <c r="CS96" s="800" t="s">
        <v>1942</v>
      </c>
      <c r="CT96" s="805" t="s">
        <v>1942</v>
      </c>
      <c r="CU96" s="1288">
        <v>-0.45300000000000001</v>
      </c>
      <c r="CV96" s="1283" t="s">
        <v>1942</v>
      </c>
      <c r="CW96" s="1283" t="s">
        <v>1942</v>
      </c>
      <c r="CX96" s="1285" t="s">
        <v>1942</v>
      </c>
      <c r="CY96" s="1286">
        <v>0.55400000000000005</v>
      </c>
      <c r="CZ96" s="1283" t="s">
        <v>1942</v>
      </c>
      <c r="DA96" s="1283" t="s">
        <v>1942</v>
      </c>
      <c r="DB96" s="1285" t="s">
        <v>1942</v>
      </c>
      <c r="DC96" s="785"/>
      <c r="DD96" s="813">
        <v>1</v>
      </c>
      <c r="DE96" s="814"/>
    </row>
    <row r="97" spans="1:109" ht="15.75" hidden="1" customHeight="1">
      <c r="A97" s="772" t="s">
        <v>1064</v>
      </c>
      <c r="B97" s="773">
        <v>91</v>
      </c>
      <c r="C97" s="789" t="s">
        <v>2280</v>
      </c>
      <c r="D97" s="773" t="s">
        <v>2267</v>
      </c>
      <c r="E97" s="773" t="s">
        <v>1889</v>
      </c>
      <c r="F97" s="785" t="s">
        <v>2281</v>
      </c>
      <c r="G97" s="790" t="s">
        <v>2282</v>
      </c>
      <c r="H97" s="791" t="s">
        <v>2283</v>
      </c>
      <c r="I97" s="792">
        <v>1</v>
      </c>
      <c r="J97" s="793"/>
      <c r="K97" s="793"/>
      <c r="L97" s="793"/>
      <c r="M97" s="793"/>
      <c r="N97" s="793"/>
      <c r="O97" s="793"/>
      <c r="P97" s="794"/>
      <c r="Q97" s="795">
        <f t="shared" si="1"/>
        <v>1</v>
      </c>
      <c r="R97" s="789" t="s">
        <v>1030</v>
      </c>
      <c r="S97" s="773" t="s">
        <v>1008</v>
      </c>
      <c r="T97" s="796" t="s">
        <v>1009</v>
      </c>
      <c r="U97" s="773" t="s">
        <v>1967</v>
      </c>
      <c r="V97" s="773" t="s">
        <v>1033</v>
      </c>
      <c r="W97" s="773" t="s">
        <v>2284</v>
      </c>
      <c r="X97" s="829">
        <v>0</v>
      </c>
      <c r="Y97" s="798" t="s">
        <v>1010</v>
      </c>
      <c r="Z97" s="790"/>
      <c r="AA97" s="785"/>
      <c r="AB97" s="785"/>
      <c r="AC97" s="785"/>
      <c r="AD97" s="785"/>
      <c r="AE97" s="785"/>
      <c r="AF97" s="790"/>
      <c r="AG97" s="800"/>
      <c r="AH97" s="800"/>
      <c r="AI97" s="800"/>
      <c r="AJ97" s="800"/>
      <c r="AK97" s="800"/>
      <c r="AL97" s="800"/>
      <c r="AM97" s="800"/>
      <c r="AN97" s="800"/>
      <c r="AO97" s="800"/>
      <c r="AP97" s="800"/>
      <c r="AQ97" s="808">
        <v>109</v>
      </c>
      <c r="AR97" s="800">
        <v>216</v>
      </c>
      <c r="AS97" s="800">
        <v>322</v>
      </c>
      <c r="AT97" s="800">
        <v>427</v>
      </c>
      <c r="AU97" s="805">
        <v>531</v>
      </c>
      <c r="AV97" s="808"/>
      <c r="AW97" s="800"/>
      <c r="AX97" s="800"/>
      <c r="AY97" s="800"/>
      <c r="AZ97" s="800"/>
      <c r="BA97" s="800"/>
      <c r="BB97" s="800"/>
      <c r="BC97" s="800"/>
      <c r="BD97" s="800"/>
      <c r="BE97" s="800"/>
      <c r="BF97" s="800"/>
      <c r="BG97" s="800"/>
      <c r="BH97" s="800"/>
      <c r="BI97" s="800"/>
      <c r="BJ97" s="800"/>
      <c r="BK97" s="805"/>
      <c r="BL97" s="789" t="s">
        <v>168</v>
      </c>
      <c r="BM97" s="785" t="s">
        <v>168</v>
      </c>
      <c r="BN97" s="785" t="s">
        <v>168</v>
      </c>
      <c r="BO97" s="785" t="s">
        <v>168</v>
      </c>
      <c r="BP97" s="796" t="s">
        <v>168</v>
      </c>
      <c r="BQ97" s="804" t="s">
        <v>1942</v>
      </c>
      <c r="BR97" s="800" t="s">
        <v>1942</v>
      </c>
      <c r="BS97" s="800" t="s">
        <v>1942</v>
      </c>
      <c r="BT97" s="800" t="s">
        <v>1942</v>
      </c>
      <c r="BU97" s="805" t="s">
        <v>1942</v>
      </c>
      <c r="BV97" s="808">
        <v>0</v>
      </c>
      <c r="BW97" s="800">
        <v>0</v>
      </c>
      <c r="BX97" s="800">
        <v>0</v>
      </c>
      <c r="BY97" s="800">
        <v>0</v>
      </c>
      <c r="BZ97" s="800">
        <v>0</v>
      </c>
      <c r="CA97" s="808" t="s">
        <v>1942</v>
      </c>
      <c r="CB97" s="800" t="s">
        <v>1942</v>
      </c>
      <c r="CC97" s="800" t="s">
        <v>1942</v>
      </c>
      <c r="CD97" s="800" t="s">
        <v>1942</v>
      </c>
      <c r="CE97" s="805" t="s">
        <v>1942</v>
      </c>
      <c r="CF97" s="800" t="s">
        <v>1942</v>
      </c>
      <c r="CG97" s="800" t="s">
        <v>1942</v>
      </c>
      <c r="CH97" s="800" t="s">
        <v>1942</v>
      </c>
      <c r="CI97" s="800" t="s">
        <v>1942</v>
      </c>
      <c r="CJ97" s="805" t="s">
        <v>1942</v>
      </c>
      <c r="CK97" s="808">
        <v>583</v>
      </c>
      <c r="CL97" s="800">
        <v>583</v>
      </c>
      <c r="CM97" s="800">
        <v>583</v>
      </c>
      <c r="CN97" s="800">
        <v>583</v>
      </c>
      <c r="CO97" s="805">
        <v>583</v>
      </c>
      <c r="CP97" s="808" t="s">
        <v>1942</v>
      </c>
      <c r="CQ97" s="800" t="s">
        <v>1942</v>
      </c>
      <c r="CR97" s="800" t="s">
        <v>1942</v>
      </c>
      <c r="CS97" s="800" t="s">
        <v>1942</v>
      </c>
      <c r="CT97" s="805" t="s">
        <v>1942</v>
      </c>
      <c r="CU97" s="1284">
        <v>-2.12E-4</v>
      </c>
      <c r="CV97" s="1283" t="s">
        <v>1942</v>
      </c>
      <c r="CW97" s="1283" t="s">
        <v>1942</v>
      </c>
      <c r="CX97" s="1285" t="s">
        <v>1942</v>
      </c>
      <c r="CY97" s="1283">
        <v>1.84E-4</v>
      </c>
      <c r="CZ97" s="1283" t="s">
        <v>1942</v>
      </c>
      <c r="DA97" s="1283" t="s">
        <v>1942</v>
      </c>
      <c r="DB97" s="1285" t="s">
        <v>1942</v>
      </c>
      <c r="DC97" s="785"/>
      <c r="DD97" s="813">
        <v>1</v>
      </c>
      <c r="DE97" s="814"/>
    </row>
    <row r="98" spans="1:109" ht="15.75" hidden="1" customHeight="1">
      <c r="A98" s="772" t="s">
        <v>1064</v>
      </c>
      <c r="B98" s="773">
        <v>92</v>
      </c>
      <c r="C98" s="789" t="s">
        <v>2285</v>
      </c>
      <c r="D98" s="773" t="s">
        <v>2267</v>
      </c>
      <c r="E98" s="773" t="s">
        <v>1896</v>
      </c>
      <c r="F98" s="785" t="s">
        <v>2286</v>
      </c>
      <c r="G98" s="790" t="s">
        <v>2287</v>
      </c>
      <c r="H98" s="791" t="s">
        <v>2288</v>
      </c>
      <c r="I98" s="792">
        <v>0.5</v>
      </c>
      <c r="J98" s="793">
        <v>0.5</v>
      </c>
      <c r="K98" s="793"/>
      <c r="L98" s="793"/>
      <c r="M98" s="793"/>
      <c r="N98" s="793"/>
      <c r="O98" s="793"/>
      <c r="P98" s="794"/>
      <c r="Q98" s="795">
        <f t="shared" si="1"/>
        <v>1</v>
      </c>
      <c r="R98" s="789" t="s">
        <v>1030</v>
      </c>
      <c r="S98" s="773" t="s">
        <v>1008</v>
      </c>
      <c r="T98" s="796" t="s">
        <v>1009</v>
      </c>
      <c r="U98" s="773" t="s">
        <v>2289</v>
      </c>
      <c r="V98" s="773" t="s">
        <v>1081</v>
      </c>
      <c r="W98" s="773" t="s">
        <v>2290</v>
      </c>
      <c r="X98" s="829">
        <v>0</v>
      </c>
      <c r="Y98" s="798" t="s">
        <v>1010</v>
      </c>
      <c r="Z98" s="790"/>
      <c r="AA98" s="785"/>
      <c r="AB98" s="785"/>
      <c r="AC98" s="785"/>
      <c r="AD98" s="785"/>
      <c r="AE98" s="785"/>
      <c r="AF98" s="790"/>
      <c r="AG98" s="800"/>
      <c r="AH98" s="800"/>
      <c r="AI98" s="800"/>
      <c r="AJ98" s="800"/>
      <c r="AK98" s="800"/>
      <c r="AL98" s="800"/>
      <c r="AM98" s="800"/>
      <c r="AN98" s="800"/>
      <c r="AO98" s="800"/>
      <c r="AP98" s="800"/>
      <c r="AQ98" s="808">
        <v>17668</v>
      </c>
      <c r="AR98" s="800">
        <v>17678</v>
      </c>
      <c r="AS98" s="800">
        <v>17689</v>
      </c>
      <c r="AT98" s="800">
        <v>17700</v>
      </c>
      <c r="AU98" s="805">
        <v>17711</v>
      </c>
      <c r="AV98" s="808"/>
      <c r="AW98" s="800"/>
      <c r="AX98" s="800"/>
      <c r="AY98" s="800"/>
      <c r="AZ98" s="800"/>
      <c r="BA98" s="800"/>
      <c r="BB98" s="800"/>
      <c r="BC98" s="800"/>
      <c r="BD98" s="800"/>
      <c r="BE98" s="800"/>
      <c r="BF98" s="800"/>
      <c r="BG98" s="800"/>
      <c r="BH98" s="800"/>
      <c r="BI98" s="800"/>
      <c r="BJ98" s="800"/>
      <c r="BK98" s="805"/>
      <c r="BL98" s="789" t="s">
        <v>168</v>
      </c>
      <c r="BM98" s="785" t="s">
        <v>168</v>
      </c>
      <c r="BN98" s="785" t="s">
        <v>168</v>
      </c>
      <c r="BO98" s="785" t="s">
        <v>168</v>
      </c>
      <c r="BP98" s="796" t="s">
        <v>168</v>
      </c>
      <c r="BQ98" s="808" t="s">
        <v>1942</v>
      </c>
      <c r="BR98" s="800" t="s">
        <v>1942</v>
      </c>
      <c r="BS98" s="800" t="s">
        <v>1942</v>
      </c>
      <c r="BT98" s="800" t="s">
        <v>1942</v>
      </c>
      <c r="BU98" s="805" t="s">
        <v>1942</v>
      </c>
      <c r="BV98" s="808">
        <v>17652</v>
      </c>
      <c r="BW98" s="800">
        <v>17652</v>
      </c>
      <c r="BX98" s="800">
        <v>17652</v>
      </c>
      <c r="BY98" s="800">
        <v>17652</v>
      </c>
      <c r="BZ98" s="800">
        <v>17652</v>
      </c>
      <c r="CA98" s="808" t="s">
        <v>1942</v>
      </c>
      <c r="CB98" s="800" t="s">
        <v>1942</v>
      </c>
      <c r="CC98" s="800" t="s">
        <v>1942</v>
      </c>
      <c r="CD98" s="800" t="s">
        <v>1942</v>
      </c>
      <c r="CE98" s="805" t="s">
        <v>1942</v>
      </c>
      <c r="CF98" s="800" t="s">
        <v>1942</v>
      </c>
      <c r="CG98" s="800" t="s">
        <v>1942</v>
      </c>
      <c r="CH98" s="800" t="s">
        <v>1942</v>
      </c>
      <c r="CI98" s="800" t="s">
        <v>1942</v>
      </c>
      <c r="CJ98" s="805" t="s">
        <v>1942</v>
      </c>
      <c r="CK98" s="808">
        <v>17858</v>
      </c>
      <c r="CL98" s="800">
        <v>17858</v>
      </c>
      <c r="CM98" s="800">
        <v>17858</v>
      </c>
      <c r="CN98" s="800">
        <v>17858</v>
      </c>
      <c r="CO98" s="805">
        <v>17858</v>
      </c>
      <c r="CP98" s="808" t="s">
        <v>1942</v>
      </c>
      <c r="CQ98" s="800" t="s">
        <v>1942</v>
      </c>
      <c r="CR98" s="800" t="s">
        <v>1942</v>
      </c>
      <c r="CS98" s="800" t="s">
        <v>1942</v>
      </c>
      <c r="CT98" s="805" t="s">
        <v>1942</v>
      </c>
      <c r="CU98" s="1284">
        <v>-7.2099999999999996E-4</v>
      </c>
      <c r="CV98" s="1283" t="s">
        <v>1942</v>
      </c>
      <c r="CW98" s="1283" t="s">
        <v>1942</v>
      </c>
      <c r="CX98" s="1285" t="s">
        <v>1942</v>
      </c>
      <c r="CY98" s="1283">
        <v>4.2700000000000002E-4</v>
      </c>
      <c r="CZ98" s="1283" t="s">
        <v>1942</v>
      </c>
      <c r="DA98" s="1283" t="s">
        <v>1942</v>
      </c>
      <c r="DB98" s="1285" t="s">
        <v>1942</v>
      </c>
      <c r="DC98" s="785"/>
      <c r="DD98" s="813">
        <v>1</v>
      </c>
      <c r="DE98" s="814"/>
    </row>
    <row r="99" spans="1:109" ht="15.75" hidden="1" customHeight="1">
      <c r="A99" s="772" t="s">
        <v>1064</v>
      </c>
      <c r="B99" s="773">
        <v>93</v>
      </c>
      <c r="C99" s="789" t="s">
        <v>2291</v>
      </c>
      <c r="D99" s="773" t="s">
        <v>2267</v>
      </c>
      <c r="E99" s="773" t="s">
        <v>1896</v>
      </c>
      <c r="F99" s="785" t="s">
        <v>2292</v>
      </c>
      <c r="G99" s="790" t="s">
        <v>2293</v>
      </c>
      <c r="H99" s="791" t="s">
        <v>2294</v>
      </c>
      <c r="I99" s="792"/>
      <c r="J99" s="793">
        <v>1</v>
      </c>
      <c r="K99" s="793"/>
      <c r="L99" s="793"/>
      <c r="M99" s="793"/>
      <c r="N99" s="793"/>
      <c r="O99" s="793"/>
      <c r="P99" s="794"/>
      <c r="Q99" s="795">
        <f t="shared" si="1"/>
        <v>1</v>
      </c>
      <c r="R99" s="789" t="s">
        <v>1026</v>
      </c>
      <c r="S99" s="773" t="s">
        <v>1008</v>
      </c>
      <c r="T99" s="796" t="s">
        <v>1009</v>
      </c>
      <c r="U99" s="773" t="s">
        <v>2295</v>
      </c>
      <c r="V99" s="773" t="s">
        <v>278</v>
      </c>
      <c r="W99" s="773" t="s">
        <v>2296</v>
      </c>
      <c r="X99" s="1274">
        <v>0</v>
      </c>
      <c r="Y99" s="798" t="s">
        <v>1010</v>
      </c>
      <c r="Z99" s="790"/>
      <c r="AA99" s="785"/>
      <c r="AB99" s="785"/>
      <c r="AC99" s="785"/>
      <c r="AD99" s="785"/>
      <c r="AE99" s="785"/>
      <c r="AF99" s="790"/>
      <c r="AG99" s="800"/>
      <c r="AH99" s="800"/>
      <c r="AI99" s="800"/>
      <c r="AJ99" s="800"/>
      <c r="AK99" s="800"/>
      <c r="AL99" s="800"/>
      <c r="AM99" s="800"/>
      <c r="AN99" s="800"/>
      <c r="AO99" s="800"/>
      <c r="AP99" s="800"/>
      <c r="AQ99" s="808">
        <v>100</v>
      </c>
      <c r="AR99" s="800">
        <v>100</v>
      </c>
      <c r="AS99" s="800">
        <v>100</v>
      </c>
      <c r="AT99" s="800">
        <v>100</v>
      </c>
      <c r="AU99" s="805">
        <v>100</v>
      </c>
      <c r="AV99" s="808"/>
      <c r="AW99" s="800"/>
      <c r="AX99" s="800"/>
      <c r="AY99" s="800"/>
      <c r="AZ99" s="800"/>
      <c r="BA99" s="800"/>
      <c r="BB99" s="800"/>
      <c r="BC99" s="800"/>
      <c r="BD99" s="800"/>
      <c r="BE99" s="800"/>
      <c r="BF99" s="800"/>
      <c r="BG99" s="800"/>
      <c r="BH99" s="800"/>
      <c r="BI99" s="800"/>
      <c r="BJ99" s="800"/>
      <c r="BK99" s="805"/>
      <c r="BL99" s="789" t="s">
        <v>168</v>
      </c>
      <c r="BM99" s="785" t="s">
        <v>168</v>
      </c>
      <c r="BN99" s="785" t="s">
        <v>168</v>
      </c>
      <c r="BO99" s="785" t="s">
        <v>168</v>
      </c>
      <c r="BP99" s="796" t="s">
        <v>168</v>
      </c>
      <c r="BQ99" s="808" t="s">
        <v>1942</v>
      </c>
      <c r="BR99" s="800" t="s">
        <v>1942</v>
      </c>
      <c r="BS99" s="800" t="s">
        <v>1942</v>
      </c>
      <c r="BT99" s="800" t="s">
        <v>1942</v>
      </c>
      <c r="BU99" s="805" t="s">
        <v>1942</v>
      </c>
      <c r="BV99" s="808">
        <v>94</v>
      </c>
      <c r="BW99" s="800">
        <v>94</v>
      </c>
      <c r="BX99" s="800">
        <v>94</v>
      </c>
      <c r="BY99" s="800">
        <v>94</v>
      </c>
      <c r="BZ99" s="800">
        <v>94</v>
      </c>
      <c r="CA99" s="808">
        <v>97</v>
      </c>
      <c r="CB99" s="800">
        <v>97</v>
      </c>
      <c r="CC99" s="800">
        <v>97</v>
      </c>
      <c r="CD99" s="800">
        <v>97</v>
      </c>
      <c r="CE99" s="805">
        <v>97</v>
      </c>
      <c r="CF99" s="800" t="s">
        <v>1942</v>
      </c>
      <c r="CG99" s="800" t="s">
        <v>1942</v>
      </c>
      <c r="CH99" s="800" t="s">
        <v>1942</v>
      </c>
      <c r="CI99" s="800" t="s">
        <v>1942</v>
      </c>
      <c r="CJ99" s="800" t="s">
        <v>1942</v>
      </c>
      <c r="CK99" s="808" t="s">
        <v>1942</v>
      </c>
      <c r="CL99" s="800" t="s">
        <v>1942</v>
      </c>
      <c r="CM99" s="800" t="s">
        <v>1942</v>
      </c>
      <c r="CN99" s="800" t="s">
        <v>1942</v>
      </c>
      <c r="CO99" s="805" t="s">
        <v>1942</v>
      </c>
      <c r="CP99" s="808" t="s">
        <v>1942</v>
      </c>
      <c r="CQ99" s="800" t="s">
        <v>1942</v>
      </c>
      <c r="CR99" s="800" t="s">
        <v>1942</v>
      </c>
      <c r="CS99" s="800" t="s">
        <v>1942</v>
      </c>
      <c r="CT99" s="805" t="s">
        <v>1942</v>
      </c>
      <c r="CU99" s="1284">
        <v>-8.5900000000000004E-3</v>
      </c>
      <c r="CV99" s="1283" t="s">
        <v>1942</v>
      </c>
      <c r="CW99" s="1283" t="s">
        <v>1942</v>
      </c>
      <c r="CX99" s="1285" t="s">
        <v>1942</v>
      </c>
      <c r="CY99" s="1283" t="s">
        <v>1942</v>
      </c>
      <c r="CZ99" s="1283" t="s">
        <v>1942</v>
      </c>
      <c r="DA99" s="1283" t="s">
        <v>1942</v>
      </c>
      <c r="DB99" s="1285" t="s">
        <v>1942</v>
      </c>
      <c r="DC99" s="785"/>
      <c r="DD99" s="813">
        <v>1</v>
      </c>
      <c r="DE99" s="814"/>
    </row>
    <row r="100" spans="1:109" ht="15.75" hidden="1" customHeight="1">
      <c r="A100" s="772" t="s">
        <v>1064</v>
      </c>
      <c r="B100" s="773">
        <v>94</v>
      </c>
      <c r="C100" s="789" t="s">
        <v>2297</v>
      </c>
      <c r="D100" s="773" t="s">
        <v>2267</v>
      </c>
      <c r="E100" s="773" t="s">
        <v>1907</v>
      </c>
      <c r="F100" s="785" t="s">
        <v>2298</v>
      </c>
      <c r="G100" s="790" t="s">
        <v>2299</v>
      </c>
      <c r="H100" s="791" t="s">
        <v>2300</v>
      </c>
      <c r="I100" s="792">
        <v>1</v>
      </c>
      <c r="J100" s="793"/>
      <c r="K100" s="793"/>
      <c r="L100" s="793"/>
      <c r="M100" s="793"/>
      <c r="N100" s="793"/>
      <c r="O100" s="793"/>
      <c r="P100" s="794"/>
      <c r="Q100" s="795">
        <f t="shared" si="1"/>
        <v>1</v>
      </c>
      <c r="R100" s="789" t="s">
        <v>1026</v>
      </c>
      <c r="S100" s="773" t="s">
        <v>1008</v>
      </c>
      <c r="T100" s="796" t="s">
        <v>1009</v>
      </c>
      <c r="U100" s="773" t="s">
        <v>1979</v>
      </c>
      <c r="V100" s="773" t="s">
        <v>278</v>
      </c>
      <c r="W100" s="773" t="s">
        <v>2301</v>
      </c>
      <c r="X100" s="829">
        <v>0</v>
      </c>
      <c r="Y100" s="819" t="s">
        <v>1010</v>
      </c>
      <c r="Z100" s="790"/>
      <c r="AA100" s="785"/>
      <c r="AB100" s="785"/>
      <c r="AC100" s="785"/>
      <c r="AD100" s="785"/>
      <c r="AE100" s="785"/>
      <c r="AF100" s="790"/>
      <c r="AG100" s="800"/>
      <c r="AH100" s="800"/>
      <c r="AI100" s="800"/>
      <c r="AJ100" s="800"/>
      <c r="AK100" s="800"/>
      <c r="AL100" s="800"/>
      <c r="AM100" s="800"/>
      <c r="AN100" s="800"/>
      <c r="AO100" s="800"/>
      <c r="AP100" s="800"/>
      <c r="AQ100" s="808">
        <v>100</v>
      </c>
      <c r="AR100" s="800">
        <v>100</v>
      </c>
      <c r="AS100" s="800">
        <v>100</v>
      </c>
      <c r="AT100" s="800">
        <v>100</v>
      </c>
      <c r="AU100" s="805">
        <v>100</v>
      </c>
      <c r="AV100" s="808"/>
      <c r="AW100" s="800"/>
      <c r="AX100" s="800"/>
      <c r="AY100" s="800"/>
      <c r="AZ100" s="800"/>
      <c r="BA100" s="800"/>
      <c r="BB100" s="800"/>
      <c r="BC100" s="800"/>
      <c r="BD100" s="800"/>
      <c r="BE100" s="800"/>
      <c r="BF100" s="800"/>
      <c r="BG100" s="800"/>
      <c r="BH100" s="800"/>
      <c r="BI100" s="800"/>
      <c r="BJ100" s="800"/>
      <c r="BK100" s="805"/>
      <c r="BL100" s="789" t="s">
        <v>168</v>
      </c>
      <c r="BM100" s="785" t="s">
        <v>168</v>
      </c>
      <c r="BN100" s="785" t="s">
        <v>168</v>
      </c>
      <c r="BO100" s="785" t="s">
        <v>168</v>
      </c>
      <c r="BP100" s="796" t="s">
        <v>168</v>
      </c>
      <c r="BQ100" s="808" t="s">
        <v>1942</v>
      </c>
      <c r="BR100" s="800" t="s">
        <v>1942</v>
      </c>
      <c r="BS100" s="800" t="s">
        <v>1942</v>
      </c>
      <c r="BT100" s="800" t="s">
        <v>1942</v>
      </c>
      <c r="BU100" s="805" t="s">
        <v>1942</v>
      </c>
      <c r="BV100" s="808" t="s">
        <v>1942</v>
      </c>
      <c r="BW100" s="800" t="s">
        <v>1942</v>
      </c>
      <c r="BX100" s="800" t="s">
        <v>1942</v>
      </c>
      <c r="BY100" s="800" t="s">
        <v>1942</v>
      </c>
      <c r="BZ100" s="800" t="s">
        <v>1942</v>
      </c>
      <c r="CA100" s="808" t="s">
        <v>1942</v>
      </c>
      <c r="CB100" s="800" t="s">
        <v>1942</v>
      </c>
      <c r="CC100" s="800" t="s">
        <v>1942</v>
      </c>
      <c r="CD100" s="800" t="s">
        <v>1942</v>
      </c>
      <c r="CE100" s="805" t="s">
        <v>1942</v>
      </c>
      <c r="CF100" s="800" t="s">
        <v>1942</v>
      </c>
      <c r="CG100" s="800" t="s">
        <v>1942</v>
      </c>
      <c r="CH100" s="800" t="s">
        <v>1942</v>
      </c>
      <c r="CI100" s="800" t="s">
        <v>1942</v>
      </c>
      <c r="CJ100" s="805" t="s">
        <v>1942</v>
      </c>
      <c r="CK100" s="808" t="s">
        <v>1942</v>
      </c>
      <c r="CL100" s="800" t="s">
        <v>1942</v>
      </c>
      <c r="CM100" s="800" t="s">
        <v>1942</v>
      </c>
      <c r="CN100" s="800" t="s">
        <v>1942</v>
      </c>
      <c r="CO100" s="805" t="s">
        <v>1942</v>
      </c>
      <c r="CP100" s="808" t="s">
        <v>1942</v>
      </c>
      <c r="CQ100" s="800" t="s">
        <v>1942</v>
      </c>
      <c r="CR100" s="800" t="s">
        <v>1942</v>
      </c>
      <c r="CS100" s="800" t="s">
        <v>1942</v>
      </c>
      <c r="CT100" s="805" t="s">
        <v>1942</v>
      </c>
      <c r="CU100" s="1288">
        <v>-2.3800000000000002E-3</v>
      </c>
      <c r="CV100" s="1283" t="s">
        <v>1942</v>
      </c>
      <c r="CW100" s="1283" t="s">
        <v>1942</v>
      </c>
      <c r="CX100" s="1285" t="s">
        <v>1942</v>
      </c>
      <c r="CY100" s="1283" t="s">
        <v>1942</v>
      </c>
      <c r="CZ100" s="1283" t="s">
        <v>1942</v>
      </c>
      <c r="DA100" s="1283" t="s">
        <v>1942</v>
      </c>
      <c r="DB100" s="1285" t="s">
        <v>1942</v>
      </c>
      <c r="DC100" s="785"/>
      <c r="DD100" s="813">
        <v>1</v>
      </c>
      <c r="DE100" s="814"/>
    </row>
    <row r="101" spans="1:109" ht="15.75" hidden="1" customHeight="1">
      <c r="A101" s="772" t="s">
        <v>1064</v>
      </c>
      <c r="B101" s="773">
        <v>95</v>
      </c>
      <c r="C101" s="789" t="s">
        <v>2302</v>
      </c>
      <c r="D101" s="773" t="s">
        <v>2267</v>
      </c>
      <c r="E101" s="773" t="s">
        <v>1896</v>
      </c>
      <c r="F101" s="785" t="s">
        <v>2303</v>
      </c>
      <c r="G101" s="790" t="s">
        <v>2304</v>
      </c>
      <c r="H101" s="791" t="s">
        <v>2305</v>
      </c>
      <c r="I101" s="792">
        <v>0.2</v>
      </c>
      <c r="J101" s="793">
        <v>0.8</v>
      </c>
      <c r="K101" s="793"/>
      <c r="L101" s="793"/>
      <c r="M101" s="793"/>
      <c r="N101" s="793"/>
      <c r="O101" s="793"/>
      <c r="P101" s="794"/>
      <c r="Q101" s="795">
        <f t="shared" si="1"/>
        <v>1</v>
      </c>
      <c r="R101" s="789" t="s">
        <v>1030</v>
      </c>
      <c r="S101" s="773" t="s">
        <v>1008</v>
      </c>
      <c r="T101" s="796" t="s">
        <v>1009</v>
      </c>
      <c r="U101" s="773" t="s">
        <v>2306</v>
      </c>
      <c r="V101" s="773" t="s">
        <v>278</v>
      </c>
      <c r="W101" s="773" t="s">
        <v>2307</v>
      </c>
      <c r="X101" s="1274">
        <v>1</v>
      </c>
      <c r="Y101" s="819" t="s">
        <v>1010</v>
      </c>
      <c r="Z101" s="790"/>
      <c r="AA101" s="785"/>
      <c r="AB101" s="785"/>
      <c r="AC101" s="785"/>
      <c r="AD101" s="785"/>
      <c r="AE101" s="785"/>
      <c r="AF101" s="790"/>
      <c r="AG101" s="800"/>
      <c r="AH101" s="800"/>
      <c r="AI101" s="800"/>
      <c r="AJ101" s="800"/>
      <c r="AK101" s="800"/>
      <c r="AL101" s="800"/>
      <c r="AM101" s="800"/>
      <c r="AN101" s="800"/>
      <c r="AO101" s="800"/>
      <c r="AP101" s="800"/>
      <c r="AQ101" s="808">
        <v>85</v>
      </c>
      <c r="AR101" s="800">
        <v>85</v>
      </c>
      <c r="AS101" s="800">
        <v>85</v>
      </c>
      <c r="AT101" s="800">
        <v>85</v>
      </c>
      <c r="AU101" s="805">
        <v>85</v>
      </c>
      <c r="AV101" s="808"/>
      <c r="AW101" s="800"/>
      <c r="AX101" s="800"/>
      <c r="AY101" s="800"/>
      <c r="AZ101" s="800"/>
      <c r="BA101" s="800"/>
      <c r="BB101" s="800"/>
      <c r="BC101" s="800"/>
      <c r="BD101" s="800"/>
      <c r="BE101" s="800"/>
      <c r="BF101" s="800"/>
      <c r="BG101" s="800"/>
      <c r="BH101" s="800"/>
      <c r="BI101" s="800"/>
      <c r="BJ101" s="800"/>
      <c r="BK101" s="805"/>
      <c r="BL101" s="789" t="s">
        <v>168</v>
      </c>
      <c r="BM101" s="785" t="s">
        <v>168</v>
      </c>
      <c r="BN101" s="785" t="s">
        <v>168</v>
      </c>
      <c r="BO101" s="785" t="s">
        <v>168</v>
      </c>
      <c r="BP101" s="796" t="s">
        <v>168</v>
      </c>
      <c r="BQ101" s="808" t="s">
        <v>1942</v>
      </c>
      <c r="BR101" s="800" t="s">
        <v>1942</v>
      </c>
      <c r="BS101" s="800" t="s">
        <v>1942</v>
      </c>
      <c r="BT101" s="800" t="s">
        <v>1942</v>
      </c>
      <c r="BU101" s="805" t="s">
        <v>1942</v>
      </c>
      <c r="BV101" s="808">
        <v>75</v>
      </c>
      <c r="BW101" s="800">
        <v>75</v>
      </c>
      <c r="BX101" s="800">
        <v>75</v>
      </c>
      <c r="BY101" s="800">
        <v>75</v>
      </c>
      <c r="BZ101" s="800">
        <v>75</v>
      </c>
      <c r="CA101" s="808" t="s">
        <v>1942</v>
      </c>
      <c r="CB101" s="800" t="s">
        <v>1942</v>
      </c>
      <c r="CC101" s="800" t="s">
        <v>1942</v>
      </c>
      <c r="CD101" s="800" t="s">
        <v>1942</v>
      </c>
      <c r="CE101" s="805" t="s">
        <v>1942</v>
      </c>
      <c r="CF101" s="800" t="s">
        <v>1942</v>
      </c>
      <c r="CG101" s="800" t="s">
        <v>1942</v>
      </c>
      <c r="CH101" s="800" t="s">
        <v>1942</v>
      </c>
      <c r="CI101" s="800" t="s">
        <v>1942</v>
      </c>
      <c r="CJ101" s="805" t="s">
        <v>1942</v>
      </c>
      <c r="CK101" s="808">
        <v>93</v>
      </c>
      <c r="CL101" s="800">
        <v>93</v>
      </c>
      <c r="CM101" s="800">
        <v>93</v>
      </c>
      <c r="CN101" s="800">
        <v>93</v>
      </c>
      <c r="CO101" s="805">
        <v>93</v>
      </c>
      <c r="CP101" s="808" t="s">
        <v>1942</v>
      </c>
      <c r="CQ101" s="800" t="s">
        <v>1942</v>
      </c>
      <c r="CR101" s="800" t="s">
        <v>1942</v>
      </c>
      <c r="CS101" s="800" t="s">
        <v>1942</v>
      </c>
      <c r="CT101" s="805" t="s">
        <v>1942</v>
      </c>
      <c r="CU101" s="1284">
        <v>-2.1100000000000001E-2</v>
      </c>
      <c r="CV101" s="1283" t="s">
        <v>1942</v>
      </c>
      <c r="CW101" s="1283" t="s">
        <v>1942</v>
      </c>
      <c r="CX101" s="1285" t="s">
        <v>1942</v>
      </c>
      <c r="CY101" s="1283">
        <v>2.0799999999999999E-2</v>
      </c>
      <c r="CZ101" s="1283" t="s">
        <v>1942</v>
      </c>
      <c r="DA101" s="1283" t="s">
        <v>1942</v>
      </c>
      <c r="DB101" s="1285" t="s">
        <v>1942</v>
      </c>
      <c r="DC101" s="785"/>
      <c r="DD101" s="813">
        <v>1</v>
      </c>
      <c r="DE101" s="814"/>
    </row>
    <row r="102" spans="1:109" ht="15.75" hidden="1" customHeight="1">
      <c r="A102" s="772" t="s">
        <v>1064</v>
      </c>
      <c r="B102" s="773">
        <v>96</v>
      </c>
      <c r="C102" s="789" t="s">
        <v>2308</v>
      </c>
      <c r="D102" s="773" t="s">
        <v>2267</v>
      </c>
      <c r="E102" s="773" t="s">
        <v>1907</v>
      </c>
      <c r="F102" s="785" t="s">
        <v>2309</v>
      </c>
      <c r="G102" s="790" t="s">
        <v>2310</v>
      </c>
      <c r="H102" s="791" t="s">
        <v>2311</v>
      </c>
      <c r="I102" s="792">
        <v>1</v>
      </c>
      <c r="J102" s="793"/>
      <c r="K102" s="793"/>
      <c r="L102" s="793"/>
      <c r="M102" s="793"/>
      <c r="N102" s="793"/>
      <c r="O102" s="793"/>
      <c r="P102" s="794"/>
      <c r="Q102" s="795">
        <f t="shared" si="1"/>
        <v>1</v>
      </c>
      <c r="R102" s="789" t="s">
        <v>1030</v>
      </c>
      <c r="S102" s="773" t="s">
        <v>1008</v>
      </c>
      <c r="T102" s="796" t="s">
        <v>1009</v>
      </c>
      <c r="U102" s="773" t="s">
        <v>1979</v>
      </c>
      <c r="V102" s="773" t="s">
        <v>1033</v>
      </c>
      <c r="W102" s="773" t="s">
        <v>2312</v>
      </c>
      <c r="X102" s="829">
        <v>1</v>
      </c>
      <c r="Y102" s="819" t="s">
        <v>1020</v>
      </c>
      <c r="Z102" s="790"/>
      <c r="AA102" s="785"/>
      <c r="AB102" s="785"/>
      <c r="AC102" s="785"/>
      <c r="AD102" s="785"/>
      <c r="AE102" s="785"/>
      <c r="AF102" s="790"/>
      <c r="AG102" s="800"/>
      <c r="AH102" s="800"/>
      <c r="AI102" s="800"/>
      <c r="AJ102" s="800"/>
      <c r="AK102" s="800"/>
      <c r="AL102" s="800"/>
      <c r="AM102" s="800"/>
      <c r="AN102" s="800"/>
      <c r="AO102" s="800"/>
      <c r="AP102" s="800"/>
      <c r="AQ102" s="808">
        <v>-186.1</v>
      </c>
      <c r="AR102" s="800">
        <v>-186.1</v>
      </c>
      <c r="AS102" s="800">
        <v>-186.1</v>
      </c>
      <c r="AT102" s="800">
        <v>-186.1</v>
      </c>
      <c r="AU102" s="805">
        <v>-186.1</v>
      </c>
      <c r="AV102" s="808"/>
      <c r="AW102" s="800"/>
      <c r="AX102" s="800"/>
      <c r="AY102" s="800"/>
      <c r="AZ102" s="800"/>
      <c r="BA102" s="800"/>
      <c r="BB102" s="800"/>
      <c r="BC102" s="800"/>
      <c r="BD102" s="800"/>
      <c r="BE102" s="800"/>
      <c r="BF102" s="800"/>
      <c r="BG102" s="800"/>
      <c r="BH102" s="800"/>
      <c r="BI102" s="800"/>
      <c r="BJ102" s="800"/>
      <c r="BK102" s="805"/>
      <c r="BL102" s="789" t="s">
        <v>168</v>
      </c>
      <c r="BM102" s="785" t="s">
        <v>168</v>
      </c>
      <c r="BN102" s="785" t="s">
        <v>168</v>
      </c>
      <c r="BO102" s="785" t="s">
        <v>168</v>
      </c>
      <c r="BP102" s="796" t="s">
        <v>168</v>
      </c>
      <c r="BQ102" s="808" t="s">
        <v>1942</v>
      </c>
      <c r="BR102" s="800" t="s">
        <v>1942</v>
      </c>
      <c r="BS102" s="800" t="s">
        <v>1942</v>
      </c>
      <c r="BT102" s="800" t="s">
        <v>1942</v>
      </c>
      <c r="BU102" s="805" t="s">
        <v>1942</v>
      </c>
      <c r="BV102" s="808" t="s">
        <v>1942</v>
      </c>
      <c r="BW102" s="800" t="s">
        <v>1942</v>
      </c>
      <c r="BX102" s="800" t="s">
        <v>1942</v>
      </c>
      <c r="BY102" s="800" t="s">
        <v>1942</v>
      </c>
      <c r="BZ102" s="800" t="s">
        <v>1942</v>
      </c>
      <c r="CA102" s="808" t="s">
        <v>1942</v>
      </c>
      <c r="CB102" s="800" t="s">
        <v>1942</v>
      </c>
      <c r="CC102" s="800" t="s">
        <v>1942</v>
      </c>
      <c r="CD102" s="800" t="s">
        <v>1942</v>
      </c>
      <c r="CE102" s="805" t="s">
        <v>1942</v>
      </c>
      <c r="CF102" s="800" t="s">
        <v>1942</v>
      </c>
      <c r="CG102" s="800" t="s">
        <v>1942</v>
      </c>
      <c r="CH102" s="800" t="s">
        <v>1942</v>
      </c>
      <c r="CI102" s="800" t="s">
        <v>1942</v>
      </c>
      <c r="CJ102" s="805" t="s">
        <v>1942</v>
      </c>
      <c r="CK102" s="808">
        <v>-733.5</v>
      </c>
      <c r="CL102" s="800">
        <v>-733.5</v>
      </c>
      <c r="CM102" s="800">
        <v>-733.5</v>
      </c>
      <c r="CN102" s="800">
        <v>-733.5</v>
      </c>
      <c r="CO102" s="805">
        <v>-733.5</v>
      </c>
      <c r="CP102" s="808" t="s">
        <v>1942</v>
      </c>
      <c r="CQ102" s="800" t="s">
        <v>1942</v>
      </c>
      <c r="CR102" s="800" t="s">
        <v>1942</v>
      </c>
      <c r="CS102" s="800" t="s">
        <v>1942</v>
      </c>
      <c r="CT102" s="805" t="s">
        <v>1942</v>
      </c>
      <c r="CU102" s="1284">
        <v>-5.0000000000000002E-5</v>
      </c>
      <c r="CV102" s="1283" t="s">
        <v>1942</v>
      </c>
      <c r="CW102" s="1283" t="s">
        <v>1942</v>
      </c>
      <c r="CX102" s="1285" t="s">
        <v>1942</v>
      </c>
      <c r="CY102" s="1283">
        <v>5.0000000000000002E-5</v>
      </c>
      <c r="CZ102" s="1283" t="s">
        <v>1942</v>
      </c>
      <c r="DA102" s="1283" t="s">
        <v>1942</v>
      </c>
      <c r="DB102" s="1285" t="s">
        <v>1942</v>
      </c>
      <c r="DC102" s="785" t="s">
        <v>131</v>
      </c>
      <c r="DD102" s="813">
        <v>1</v>
      </c>
      <c r="DE102" s="814" t="s">
        <v>2313</v>
      </c>
    </row>
    <row r="103" spans="1:109" ht="15.75" hidden="1" customHeight="1">
      <c r="A103" s="772" t="s">
        <v>1064</v>
      </c>
      <c r="B103" s="773">
        <v>97</v>
      </c>
      <c r="C103" s="789" t="s">
        <v>2314</v>
      </c>
      <c r="D103" s="773" t="s">
        <v>2240</v>
      </c>
      <c r="E103" s="773" t="s">
        <v>1907</v>
      </c>
      <c r="F103" s="785" t="s">
        <v>2315</v>
      </c>
      <c r="G103" s="790" t="s">
        <v>703</v>
      </c>
      <c r="H103" s="791" t="s">
        <v>2316</v>
      </c>
      <c r="I103" s="792"/>
      <c r="J103" s="793"/>
      <c r="K103" s="793"/>
      <c r="L103" s="793"/>
      <c r="M103" s="793">
        <v>1</v>
      </c>
      <c r="N103" s="793"/>
      <c r="O103" s="793"/>
      <c r="P103" s="794"/>
      <c r="Q103" s="795">
        <f t="shared" si="1"/>
        <v>1</v>
      </c>
      <c r="R103" s="789" t="s">
        <v>1007</v>
      </c>
      <c r="S103" s="773"/>
      <c r="T103" s="796"/>
      <c r="U103" s="773" t="s">
        <v>2117</v>
      </c>
      <c r="V103" s="773" t="s">
        <v>278</v>
      </c>
      <c r="W103" s="773" t="s">
        <v>2265</v>
      </c>
      <c r="X103" s="1309">
        <v>1</v>
      </c>
      <c r="Y103" s="821" t="s">
        <v>1010</v>
      </c>
      <c r="Z103" s="790" t="s">
        <v>703</v>
      </c>
      <c r="AA103" s="785"/>
      <c r="AB103" s="785"/>
      <c r="AC103" s="785"/>
      <c r="AD103" s="785"/>
      <c r="AE103" s="785"/>
      <c r="AF103" s="790"/>
      <c r="AG103" s="800"/>
      <c r="AH103" s="800"/>
      <c r="AI103" s="800"/>
      <c r="AJ103" s="800"/>
      <c r="AK103" s="800"/>
      <c r="AL103" s="800"/>
      <c r="AM103" s="800"/>
      <c r="AN103" s="800"/>
      <c r="AO103" s="800"/>
      <c r="AP103" s="800"/>
      <c r="AQ103" s="1420"/>
      <c r="AR103" s="1368"/>
      <c r="AS103" s="1368"/>
      <c r="AT103" s="1368"/>
      <c r="AU103" s="1369"/>
      <c r="AV103" s="1420"/>
      <c r="AW103" s="1368"/>
      <c r="AX103" s="1368"/>
      <c r="AY103" s="1368"/>
      <c r="AZ103" s="1368"/>
      <c r="BA103" s="1368"/>
      <c r="BB103" s="1368"/>
      <c r="BC103" s="1368"/>
      <c r="BD103" s="1368"/>
      <c r="BE103" s="1368"/>
      <c r="BF103" s="1368"/>
      <c r="BG103" s="1368"/>
      <c r="BH103" s="1368"/>
      <c r="BI103" s="1368"/>
      <c r="BJ103" s="1368"/>
      <c r="BK103" s="1369"/>
      <c r="BL103" s="1376"/>
      <c r="BM103" s="1377"/>
      <c r="BN103" s="1377"/>
      <c r="BO103" s="1377"/>
      <c r="BP103" s="1440"/>
      <c r="BQ103" s="1420"/>
      <c r="BR103" s="1368"/>
      <c r="BS103" s="1368"/>
      <c r="BT103" s="1368"/>
      <c r="BU103" s="1369"/>
      <c r="BV103" s="1420"/>
      <c r="BW103" s="1368"/>
      <c r="BX103" s="1368"/>
      <c r="BY103" s="1368"/>
      <c r="BZ103" s="1368"/>
      <c r="CA103" s="1420"/>
      <c r="CB103" s="1368"/>
      <c r="CC103" s="1368"/>
      <c r="CD103" s="1368"/>
      <c r="CE103" s="1369"/>
      <c r="CF103" s="1368"/>
      <c r="CG103" s="1368"/>
      <c r="CH103" s="1368"/>
      <c r="CI103" s="1368"/>
      <c r="CJ103" s="1369"/>
      <c r="CK103" s="1420"/>
      <c r="CL103" s="1368"/>
      <c r="CM103" s="1368"/>
      <c r="CN103" s="1368"/>
      <c r="CO103" s="1369"/>
      <c r="CP103" s="1420"/>
      <c r="CQ103" s="1368"/>
      <c r="CR103" s="1368"/>
      <c r="CS103" s="1368"/>
      <c r="CT103" s="1369"/>
      <c r="CU103" s="1528"/>
      <c r="CV103" s="1519"/>
      <c r="CW103" s="1519"/>
      <c r="CX103" s="1728"/>
      <c r="CY103" s="1519"/>
      <c r="CZ103" s="1519"/>
      <c r="DA103" s="1519"/>
      <c r="DB103" s="1728"/>
      <c r="DC103" s="1377"/>
      <c r="DD103" s="1729"/>
      <c r="DE103" s="1734"/>
    </row>
    <row r="104" spans="1:109" ht="15.75" hidden="1" customHeight="1">
      <c r="A104" s="772" t="s">
        <v>1064</v>
      </c>
      <c r="B104" s="773">
        <v>98</v>
      </c>
      <c r="C104" s="789" t="s">
        <v>2317</v>
      </c>
      <c r="D104" s="773"/>
      <c r="E104" s="773"/>
      <c r="F104" s="785" t="s">
        <v>2318</v>
      </c>
      <c r="G104" s="790" t="s">
        <v>2319</v>
      </c>
      <c r="H104" s="791"/>
      <c r="I104" s="792"/>
      <c r="J104" s="793">
        <v>1</v>
      </c>
      <c r="K104" s="793"/>
      <c r="L104" s="793"/>
      <c r="M104" s="793"/>
      <c r="N104" s="793"/>
      <c r="O104" s="793"/>
      <c r="P104" s="794"/>
      <c r="Q104" s="795">
        <f t="shared" si="1"/>
        <v>1</v>
      </c>
      <c r="R104" s="789" t="s">
        <v>1026</v>
      </c>
      <c r="S104" s="773" t="s">
        <v>1008</v>
      </c>
      <c r="T104" s="796" t="s">
        <v>1019</v>
      </c>
      <c r="U104" s="773"/>
      <c r="V104" s="856" t="s">
        <v>1033</v>
      </c>
      <c r="W104" s="773" t="s">
        <v>2320</v>
      </c>
      <c r="X104" s="829">
        <v>0</v>
      </c>
      <c r="Y104" s="1303" t="s">
        <v>1020</v>
      </c>
      <c r="Z104" s="790"/>
      <c r="AA104" s="785"/>
      <c r="AB104" s="785"/>
      <c r="AC104" s="785"/>
      <c r="AD104" s="785"/>
      <c r="AE104" s="785"/>
      <c r="AF104" s="790"/>
      <c r="AG104" s="800"/>
      <c r="AH104" s="800"/>
      <c r="AI104" s="800"/>
      <c r="AJ104" s="800"/>
      <c r="AK104" s="800"/>
      <c r="AL104" s="800"/>
      <c r="AM104" s="800"/>
      <c r="AN104" s="800"/>
      <c r="AO104" s="800"/>
      <c r="AP104" s="800"/>
      <c r="AQ104" s="808">
        <v>0</v>
      </c>
      <c r="AR104" s="800">
        <v>0</v>
      </c>
      <c r="AS104" s="800">
        <v>0</v>
      </c>
      <c r="AT104" s="800">
        <v>0</v>
      </c>
      <c r="AU104" s="830">
        <v>0</v>
      </c>
      <c r="AV104" s="808"/>
      <c r="AW104" s="800"/>
      <c r="AX104" s="800"/>
      <c r="AY104" s="800"/>
      <c r="AZ104" s="800"/>
      <c r="BA104" s="800"/>
      <c r="BB104" s="800"/>
      <c r="BC104" s="800"/>
      <c r="BD104" s="800"/>
      <c r="BE104" s="800"/>
      <c r="BF104" s="800"/>
      <c r="BG104" s="800"/>
      <c r="BH104" s="800"/>
      <c r="BI104" s="800"/>
      <c r="BJ104" s="800"/>
      <c r="BK104" s="805"/>
      <c r="BL104" s="789"/>
      <c r="BM104" s="785"/>
      <c r="BN104" s="785"/>
      <c r="BO104" s="785"/>
      <c r="BP104" s="796" t="s">
        <v>168</v>
      </c>
      <c r="BQ104" s="808" t="s">
        <v>1942</v>
      </c>
      <c r="BR104" s="800" t="s">
        <v>1942</v>
      </c>
      <c r="BS104" s="800" t="s">
        <v>1942</v>
      </c>
      <c r="BT104" s="800" t="s">
        <v>1942</v>
      </c>
      <c r="BU104" s="805" t="s">
        <v>1942</v>
      </c>
      <c r="BV104" s="808" t="s">
        <v>1942</v>
      </c>
      <c r="BW104" s="800" t="s">
        <v>1942</v>
      </c>
      <c r="BX104" s="800" t="s">
        <v>1942</v>
      </c>
      <c r="BY104" s="800" t="s">
        <v>1942</v>
      </c>
      <c r="BZ104" s="800" t="s">
        <v>1942</v>
      </c>
      <c r="CA104" s="808" t="s">
        <v>1942</v>
      </c>
      <c r="CB104" s="800" t="s">
        <v>1942</v>
      </c>
      <c r="CC104" s="800" t="s">
        <v>1942</v>
      </c>
      <c r="CD104" s="800" t="s">
        <v>1942</v>
      </c>
      <c r="CE104" s="805" t="s">
        <v>1942</v>
      </c>
      <c r="CF104" s="800" t="s">
        <v>1942</v>
      </c>
      <c r="CG104" s="800" t="s">
        <v>1942</v>
      </c>
      <c r="CH104" s="800" t="s">
        <v>1942</v>
      </c>
      <c r="CI104" s="800" t="s">
        <v>1942</v>
      </c>
      <c r="CJ104" s="805" t="s">
        <v>1942</v>
      </c>
      <c r="CK104" s="808" t="s">
        <v>1942</v>
      </c>
      <c r="CL104" s="800" t="s">
        <v>1942</v>
      </c>
      <c r="CM104" s="800" t="s">
        <v>1942</v>
      </c>
      <c r="CN104" s="800" t="s">
        <v>1942</v>
      </c>
      <c r="CO104" s="805" t="s">
        <v>1942</v>
      </c>
      <c r="CP104" s="808" t="s">
        <v>1942</v>
      </c>
      <c r="CQ104" s="800" t="s">
        <v>1942</v>
      </c>
      <c r="CR104" s="800" t="s">
        <v>1942</v>
      </c>
      <c r="CS104" s="800" t="s">
        <v>1942</v>
      </c>
      <c r="CT104" s="805" t="s">
        <v>1942</v>
      </c>
      <c r="CU104" s="1288">
        <v>-5.3100000000000001E-2</v>
      </c>
      <c r="CV104" s="1283" t="s">
        <v>1942</v>
      </c>
      <c r="CW104" s="1283" t="s">
        <v>1942</v>
      </c>
      <c r="CX104" s="1285" t="s">
        <v>1942</v>
      </c>
      <c r="CY104" s="1283" t="s">
        <v>1942</v>
      </c>
      <c r="CZ104" s="1283" t="s">
        <v>1942</v>
      </c>
      <c r="DA104" s="1283" t="s">
        <v>1942</v>
      </c>
      <c r="DB104" s="1285" t="s">
        <v>1942</v>
      </c>
      <c r="DC104" s="785"/>
      <c r="DD104" s="813"/>
      <c r="DE104" s="814"/>
    </row>
    <row r="105" spans="1:109" ht="15.75" hidden="1" customHeight="1">
      <c r="A105" s="772" t="s">
        <v>1064</v>
      </c>
      <c r="B105" s="773">
        <v>99</v>
      </c>
      <c r="C105" s="789" t="s">
        <v>2321</v>
      </c>
      <c r="D105" s="773"/>
      <c r="E105" s="773"/>
      <c r="F105" s="785" t="s">
        <v>2032</v>
      </c>
      <c r="G105" s="790" t="s">
        <v>2033</v>
      </c>
      <c r="H105" s="791"/>
      <c r="I105" s="792"/>
      <c r="J105" s="793"/>
      <c r="K105" s="793"/>
      <c r="L105" s="793"/>
      <c r="M105" s="793"/>
      <c r="N105" s="793"/>
      <c r="O105" s="793"/>
      <c r="P105" s="794"/>
      <c r="Q105" s="795">
        <f t="shared" si="1"/>
        <v>0</v>
      </c>
      <c r="R105" s="789" t="s">
        <v>1007</v>
      </c>
      <c r="S105" s="773"/>
      <c r="T105" s="796"/>
      <c r="U105" s="773"/>
      <c r="V105" s="1247" t="s">
        <v>1072</v>
      </c>
      <c r="W105" s="773" t="s">
        <v>2034</v>
      </c>
      <c r="X105" s="829">
        <v>0</v>
      </c>
      <c r="Y105" s="819"/>
      <c r="Z105" s="790"/>
      <c r="AA105" s="785"/>
      <c r="AB105" s="785"/>
      <c r="AC105" s="785"/>
      <c r="AD105" s="785"/>
      <c r="AE105" s="785"/>
      <c r="AF105" s="799"/>
      <c r="AG105" s="800"/>
      <c r="AH105" s="800"/>
      <c r="AI105" s="800"/>
      <c r="AJ105" s="800"/>
      <c r="AK105" s="800"/>
      <c r="AL105" s="800"/>
      <c r="AM105" s="800"/>
      <c r="AN105" s="800"/>
      <c r="AO105" s="800"/>
      <c r="AP105" s="800"/>
      <c r="AQ105" s="808" t="s">
        <v>591</v>
      </c>
      <c r="AR105" s="800" t="s">
        <v>591</v>
      </c>
      <c r="AS105" s="800" t="s">
        <v>591</v>
      </c>
      <c r="AT105" s="800" t="s">
        <v>591</v>
      </c>
      <c r="AU105" s="805" t="s">
        <v>591</v>
      </c>
      <c r="AV105" s="808"/>
      <c r="AW105" s="800"/>
      <c r="AX105" s="800"/>
      <c r="AY105" s="800"/>
      <c r="AZ105" s="800"/>
      <c r="BA105" s="800"/>
      <c r="BB105" s="800"/>
      <c r="BC105" s="800"/>
      <c r="BD105" s="800"/>
      <c r="BE105" s="800"/>
      <c r="BF105" s="800"/>
      <c r="BG105" s="800"/>
      <c r="BH105" s="800"/>
      <c r="BI105" s="800"/>
      <c r="BJ105" s="800"/>
      <c r="BK105" s="805"/>
      <c r="BL105" s="789"/>
      <c r="BM105" s="785"/>
      <c r="BN105" s="785"/>
      <c r="BO105" s="785"/>
      <c r="BP105" s="796"/>
      <c r="BQ105" s="808" t="s">
        <v>1942</v>
      </c>
      <c r="BR105" s="800" t="s">
        <v>1942</v>
      </c>
      <c r="BS105" s="800" t="s">
        <v>1942</v>
      </c>
      <c r="BT105" s="800" t="s">
        <v>1942</v>
      </c>
      <c r="BU105" s="805" t="s">
        <v>1942</v>
      </c>
      <c r="BV105" s="808" t="s">
        <v>1942</v>
      </c>
      <c r="BW105" s="800" t="s">
        <v>1942</v>
      </c>
      <c r="BX105" s="800" t="s">
        <v>1942</v>
      </c>
      <c r="BY105" s="800" t="s">
        <v>1942</v>
      </c>
      <c r="BZ105" s="800" t="s">
        <v>1942</v>
      </c>
      <c r="CA105" s="808" t="s">
        <v>1942</v>
      </c>
      <c r="CB105" s="800" t="s">
        <v>1942</v>
      </c>
      <c r="CC105" s="800" t="s">
        <v>1942</v>
      </c>
      <c r="CD105" s="800" t="s">
        <v>1942</v>
      </c>
      <c r="CE105" s="805" t="s">
        <v>1942</v>
      </c>
      <c r="CF105" s="800" t="s">
        <v>1942</v>
      </c>
      <c r="CG105" s="800" t="s">
        <v>1942</v>
      </c>
      <c r="CH105" s="800" t="s">
        <v>1942</v>
      </c>
      <c r="CI105" s="800" t="s">
        <v>1942</v>
      </c>
      <c r="CJ105" s="805" t="s">
        <v>1942</v>
      </c>
      <c r="CK105" s="808" t="s">
        <v>1942</v>
      </c>
      <c r="CL105" s="800" t="s">
        <v>1942</v>
      </c>
      <c r="CM105" s="800" t="s">
        <v>1942</v>
      </c>
      <c r="CN105" s="800" t="s">
        <v>1942</v>
      </c>
      <c r="CO105" s="805" t="s">
        <v>1942</v>
      </c>
      <c r="CP105" s="808" t="s">
        <v>1942</v>
      </c>
      <c r="CQ105" s="800" t="s">
        <v>1942</v>
      </c>
      <c r="CR105" s="800" t="s">
        <v>1942</v>
      </c>
      <c r="CS105" s="800" t="s">
        <v>1942</v>
      </c>
      <c r="CT105" s="805" t="s">
        <v>1942</v>
      </c>
      <c r="CU105" s="1284" t="s">
        <v>1942</v>
      </c>
      <c r="CV105" s="1283" t="s">
        <v>1942</v>
      </c>
      <c r="CW105" s="1283" t="s">
        <v>1942</v>
      </c>
      <c r="CX105" s="1285" t="s">
        <v>1942</v>
      </c>
      <c r="CY105" s="1283" t="s">
        <v>1942</v>
      </c>
      <c r="CZ105" s="1283" t="s">
        <v>1942</v>
      </c>
      <c r="DA105" s="1283" t="s">
        <v>1942</v>
      </c>
      <c r="DB105" s="1285" t="s">
        <v>1942</v>
      </c>
      <c r="DC105" s="785"/>
      <c r="DD105" s="813"/>
      <c r="DE105" s="814"/>
    </row>
    <row r="106" spans="1:109" ht="22.9" hidden="1" customHeight="1">
      <c r="A106" s="772" t="s">
        <v>1064</v>
      </c>
      <c r="B106" s="773">
        <v>100</v>
      </c>
      <c r="C106" s="789" t="s">
        <v>2322</v>
      </c>
      <c r="D106" s="773"/>
      <c r="E106" s="773"/>
      <c r="F106" s="785" t="s">
        <v>2323</v>
      </c>
      <c r="G106" s="790" t="s">
        <v>2324</v>
      </c>
      <c r="H106" s="1249" t="s">
        <v>2325</v>
      </c>
      <c r="I106" s="792"/>
      <c r="J106" s="793"/>
      <c r="K106" s="793"/>
      <c r="L106" s="793"/>
      <c r="M106" s="793"/>
      <c r="N106" s="793"/>
      <c r="O106" s="793"/>
      <c r="P106" s="794"/>
      <c r="Q106" s="795">
        <f t="shared" si="1"/>
        <v>0</v>
      </c>
      <c r="R106" s="789" t="s">
        <v>1007</v>
      </c>
      <c r="S106" s="773"/>
      <c r="T106" s="796"/>
      <c r="U106" s="773"/>
      <c r="V106" s="773" t="s">
        <v>1033</v>
      </c>
      <c r="W106" s="773"/>
      <c r="X106" s="1309">
        <v>1</v>
      </c>
      <c r="Y106" s="819"/>
      <c r="Z106" s="790"/>
      <c r="AA106" s="785"/>
      <c r="AB106" s="785"/>
      <c r="AC106" s="785"/>
      <c r="AD106" s="785"/>
      <c r="AE106" s="785"/>
      <c r="AF106" s="799"/>
      <c r="AG106" s="800"/>
      <c r="AH106" s="800"/>
      <c r="AI106" s="800"/>
      <c r="AJ106" s="800"/>
      <c r="AK106" s="800"/>
      <c r="AL106" s="800"/>
      <c r="AM106" s="800"/>
      <c r="AN106" s="800"/>
      <c r="AO106" s="800"/>
      <c r="AP106" s="800"/>
      <c r="AQ106" s="808" t="s">
        <v>2326</v>
      </c>
      <c r="AR106" s="800" t="s">
        <v>2327</v>
      </c>
      <c r="AS106" s="800" t="s">
        <v>2328</v>
      </c>
      <c r="AT106" s="800" t="s">
        <v>2329</v>
      </c>
      <c r="AU106" s="805" t="s">
        <v>2330</v>
      </c>
      <c r="AV106" s="808"/>
      <c r="AW106" s="800"/>
      <c r="AX106" s="800"/>
      <c r="AY106" s="800"/>
      <c r="AZ106" s="800"/>
      <c r="BA106" s="800"/>
      <c r="BB106" s="800"/>
      <c r="BC106" s="800"/>
      <c r="BD106" s="800"/>
      <c r="BE106" s="800"/>
      <c r="BF106" s="800"/>
      <c r="BG106" s="800"/>
      <c r="BH106" s="800"/>
      <c r="BI106" s="800"/>
      <c r="BJ106" s="800"/>
      <c r="BK106" s="805"/>
      <c r="BL106" s="789"/>
      <c r="BM106" s="785"/>
      <c r="BN106" s="785"/>
      <c r="BO106" s="785"/>
      <c r="BP106" s="796"/>
      <c r="BQ106" s="808" t="s">
        <v>1942</v>
      </c>
      <c r="BR106" s="800" t="s">
        <v>1942</v>
      </c>
      <c r="BS106" s="800" t="s">
        <v>1942</v>
      </c>
      <c r="BT106" s="800" t="s">
        <v>1942</v>
      </c>
      <c r="BU106" s="805" t="s">
        <v>1942</v>
      </c>
      <c r="BV106" s="808" t="s">
        <v>1942</v>
      </c>
      <c r="BW106" s="800" t="s">
        <v>1942</v>
      </c>
      <c r="BX106" s="800" t="s">
        <v>1942</v>
      </c>
      <c r="BY106" s="800" t="s">
        <v>1942</v>
      </c>
      <c r="BZ106" s="800" t="s">
        <v>1942</v>
      </c>
      <c r="CA106" s="808" t="s">
        <v>1942</v>
      </c>
      <c r="CB106" s="800" t="s">
        <v>1942</v>
      </c>
      <c r="CC106" s="800" t="s">
        <v>1942</v>
      </c>
      <c r="CD106" s="800" t="s">
        <v>1942</v>
      </c>
      <c r="CE106" s="805" t="s">
        <v>1942</v>
      </c>
      <c r="CF106" s="800" t="s">
        <v>1942</v>
      </c>
      <c r="CG106" s="800" t="s">
        <v>1942</v>
      </c>
      <c r="CH106" s="800" t="s">
        <v>1942</v>
      </c>
      <c r="CI106" s="800" t="s">
        <v>1942</v>
      </c>
      <c r="CJ106" s="805" t="s">
        <v>1942</v>
      </c>
      <c r="CK106" s="808" t="s">
        <v>1942</v>
      </c>
      <c r="CL106" s="800" t="s">
        <v>1942</v>
      </c>
      <c r="CM106" s="800" t="s">
        <v>1942</v>
      </c>
      <c r="CN106" s="800" t="s">
        <v>1942</v>
      </c>
      <c r="CO106" s="805" t="s">
        <v>1942</v>
      </c>
      <c r="CP106" s="808" t="s">
        <v>1942</v>
      </c>
      <c r="CQ106" s="800" t="s">
        <v>1942</v>
      </c>
      <c r="CR106" s="800" t="s">
        <v>1942</v>
      </c>
      <c r="CS106" s="800" t="s">
        <v>1942</v>
      </c>
      <c r="CT106" s="805" t="s">
        <v>1942</v>
      </c>
      <c r="CU106" s="1284" t="s">
        <v>1942</v>
      </c>
      <c r="CV106" s="1283" t="s">
        <v>1942</v>
      </c>
      <c r="CW106" s="1283" t="s">
        <v>1942</v>
      </c>
      <c r="CX106" s="1285" t="s">
        <v>1942</v>
      </c>
      <c r="CY106" s="1283" t="s">
        <v>1942</v>
      </c>
      <c r="CZ106" s="1283" t="s">
        <v>1942</v>
      </c>
      <c r="DA106" s="1283" t="s">
        <v>1942</v>
      </c>
      <c r="DB106" s="1285" t="s">
        <v>1942</v>
      </c>
      <c r="DC106" s="785"/>
      <c r="DD106" s="813"/>
      <c r="DE106" s="814"/>
    </row>
    <row r="107" spans="1:109" ht="15.75" hidden="1" customHeight="1">
      <c r="A107" s="772" t="s">
        <v>1013</v>
      </c>
      <c r="B107" s="773">
        <v>101</v>
      </c>
      <c r="C107" s="789" t="s">
        <v>2331</v>
      </c>
      <c r="D107" s="773" t="s">
        <v>2332</v>
      </c>
      <c r="E107" s="773" t="s">
        <v>1907</v>
      </c>
      <c r="F107" s="785" t="s">
        <v>2333</v>
      </c>
      <c r="G107" s="790" t="s">
        <v>130</v>
      </c>
      <c r="H107" s="791" t="s">
        <v>2334</v>
      </c>
      <c r="I107" s="792">
        <v>0.5</v>
      </c>
      <c r="J107" s="793">
        <v>0.5</v>
      </c>
      <c r="K107" s="793"/>
      <c r="L107" s="793"/>
      <c r="M107" s="793"/>
      <c r="N107" s="793"/>
      <c r="O107" s="793"/>
      <c r="P107" s="794"/>
      <c r="Q107" s="795">
        <f t="shared" si="1"/>
        <v>1</v>
      </c>
      <c r="R107" s="789" t="s">
        <v>1026</v>
      </c>
      <c r="S107" s="773" t="s">
        <v>1008</v>
      </c>
      <c r="T107" s="796" t="s">
        <v>1009</v>
      </c>
      <c r="U107" s="773" t="s">
        <v>1926</v>
      </c>
      <c r="V107" s="773" t="s">
        <v>1081</v>
      </c>
      <c r="W107" s="773" t="s">
        <v>2335</v>
      </c>
      <c r="X107" s="1310">
        <v>2</v>
      </c>
      <c r="Y107" s="822" t="s">
        <v>1020</v>
      </c>
      <c r="Z107" s="790" t="s">
        <v>130</v>
      </c>
      <c r="AA107" s="785"/>
      <c r="AB107" s="785"/>
      <c r="AC107" s="785"/>
      <c r="AD107" s="785"/>
      <c r="AE107" s="785"/>
      <c r="AF107" s="790"/>
      <c r="AG107" s="800"/>
      <c r="AH107" s="800"/>
      <c r="AI107" s="800"/>
      <c r="AJ107" s="800"/>
      <c r="AK107" s="800"/>
      <c r="AL107" s="800"/>
      <c r="AM107" s="800"/>
      <c r="AN107" s="800"/>
      <c r="AO107" s="800"/>
      <c r="AP107" s="800"/>
      <c r="AQ107" s="1420"/>
      <c r="AR107" s="1368"/>
      <c r="AS107" s="1368"/>
      <c r="AT107" s="1368"/>
      <c r="AU107" s="1369"/>
      <c r="AV107" s="1420"/>
      <c r="AW107" s="1368"/>
      <c r="AX107" s="1368"/>
      <c r="AY107" s="1368"/>
      <c r="AZ107" s="1368"/>
      <c r="BA107" s="1368"/>
      <c r="BB107" s="1368"/>
      <c r="BC107" s="1368"/>
      <c r="BD107" s="1368"/>
      <c r="BE107" s="1368"/>
      <c r="BF107" s="1368"/>
      <c r="BG107" s="1368"/>
      <c r="BH107" s="1368"/>
      <c r="BI107" s="1368"/>
      <c r="BJ107" s="1368"/>
      <c r="BK107" s="1369"/>
      <c r="BL107" s="1376"/>
      <c r="BM107" s="1377"/>
      <c r="BN107" s="1377"/>
      <c r="BO107" s="1377"/>
      <c r="BP107" s="1440"/>
      <c r="BQ107" s="1420"/>
      <c r="BR107" s="1368"/>
      <c r="BS107" s="1368"/>
      <c r="BT107" s="1368"/>
      <c r="BU107" s="1369"/>
      <c r="BV107" s="1420"/>
      <c r="BW107" s="1368"/>
      <c r="BX107" s="1368"/>
      <c r="BY107" s="1368"/>
      <c r="BZ107" s="1368"/>
      <c r="CA107" s="1420"/>
      <c r="CB107" s="1368"/>
      <c r="CC107" s="1368"/>
      <c r="CD107" s="1368"/>
      <c r="CE107" s="1369"/>
      <c r="CF107" s="1368"/>
      <c r="CG107" s="1368"/>
      <c r="CH107" s="1368"/>
      <c r="CI107" s="1368"/>
      <c r="CJ107" s="1369"/>
      <c r="CK107" s="1420"/>
      <c r="CL107" s="1368"/>
      <c r="CM107" s="1368"/>
      <c r="CN107" s="1368"/>
      <c r="CO107" s="1369"/>
      <c r="CP107" s="1420"/>
      <c r="CQ107" s="1368"/>
      <c r="CR107" s="1368"/>
      <c r="CS107" s="1368"/>
      <c r="CT107" s="1369"/>
      <c r="CU107" s="1528"/>
      <c r="CV107" s="1519"/>
      <c r="CW107" s="1519"/>
      <c r="CX107" s="1728"/>
      <c r="CY107" s="1519"/>
      <c r="CZ107" s="1519"/>
      <c r="DA107" s="1519"/>
      <c r="DB107" s="1728"/>
      <c r="DC107" s="1377"/>
      <c r="DD107" s="1729"/>
      <c r="DE107" s="1734"/>
    </row>
    <row r="108" spans="1:109" ht="15.75" hidden="1" customHeight="1">
      <c r="A108" s="772" t="s">
        <v>1013</v>
      </c>
      <c r="B108" s="773">
        <v>102</v>
      </c>
      <c r="C108" s="789" t="s">
        <v>2336</v>
      </c>
      <c r="D108" s="773" t="s">
        <v>2332</v>
      </c>
      <c r="E108" s="773" t="s">
        <v>1889</v>
      </c>
      <c r="F108" s="785" t="s">
        <v>2337</v>
      </c>
      <c r="G108" s="790" t="s">
        <v>2338</v>
      </c>
      <c r="H108" s="791" t="s">
        <v>2339</v>
      </c>
      <c r="I108" s="792">
        <v>0.5</v>
      </c>
      <c r="J108" s="793">
        <v>0.5</v>
      </c>
      <c r="K108" s="793"/>
      <c r="L108" s="793"/>
      <c r="M108" s="793"/>
      <c r="N108" s="793"/>
      <c r="O108" s="793"/>
      <c r="P108" s="794"/>
      <c r="Q108" s="795">
        <f t="shared" si="1"/>
        <v>1</v>
      </c>
      <c r="R108" s="789" t="s">
        <v>1030</v>
      </c>
      <c r="S108" s="773" t="s">
        <v>1008</v>
      </c>
      <c r="T108" s="796" t="s">
        <v>1009</v>
      </c>
      <c r="U108" s="773" t="s">
        <v>2149</v>
      </c>
      <c r="V108" s="773" t="s">
        <v>1033</v>
      </c>
      <c r="W108" s="773" t="s">
        <v>2340</v>
      </c>
      <c r="X108" s="1310">
        <v>0</v>
      </c>
      <c r="Y108" s="826" t="s">
        <v>1020</v>
      </c>
      <c r="Z108" s="790" t="s">
        <v>2002</v>
      </c>
      <c r="AA108" s="785"/>
      <c r="AB108" s="785"/>
      <c r="AC108" s="785"/>
      <c r="AD108" s="785"/>
      <c r="AE108" s="785"/>
      <c r="AF108" s="790"/>
      <c r="AG108" s="800"/>
      <c r="AH108" s="800"/>
      <c r="AI108" s="800"/>
      <c r="AJ108" s="800"/>
      <c r="AK108" s="800"/>
      <c r="AL108" s="800"/>
      <c r="AM108" s="800"/>
      <c r="AN108" s="800"/>
      <c r="AO108" s="800"/>
      <c r="AP108" s="800"/>
      <c r="AQ108" s="808">
        <v>432</v>
      </c>
      <c r="AR108" s="800">
        <v>375</v>
      </c>
      <c r="AS108" s="800">
        <v>317</v>
      </c>
      <c r="AT108" s="800">
        <v>317</v>
      </c>
      <c r="AU108" s="805">
        <v>317</v>
      </c>
      <c r="AV108" s="808"/>
      <c r="AW108" s="800"/>
      <c r="AX108" s="800"/>
      <c r="AY108" s="800"/>
      <c r="AZ108" s="800"/>
      <c r="BA108" s="800"/>
      <c r="BB108" s="800"/>
      <c r="BC108" s="800"/>
      <c r="BD108" s="800"/>
      <c r="BE108" s="800"/>
      <c r="BF108" s="800"/>
      <c r="BG108" s="800"/>
      <c r="BH108" s="800"/>
      <c r="BI108" s="800"/>
      <c r="BJ108" s="800"/>
      <c r="BK108" s="805"/>
      <c r="BL108" s="789" t="s">
        <v>168</v>
      </c>
      <c r="BM108" s="785" t="s">
        <v>168</v>
      </c>
      <c r="BN108" s="785" t="s">
        <v>168</v>
      </c>
      <c r="BO108" s="785" t="s">
        <v>168</v>
      </c>
      <c r="BP108" s="796" t="s">
        <v>168</v>
      </c>
      <c r="BQ108" s="808" t="s">
        <v>1942</v>
      </c>
      <c r="BR108" s="800" t="s">
        <v>1942</v>
      </c>
      <c r="BS108" s="800" t="s">
        <v>1942</v>
      </c>
      <c r="BT108" s="800" t="s">
        <v>1942</v>
      </c>
      <c r="BU108" s="805" t="s">
        <v>1942</v>
      </c>
      <c r="BV108" s="808">
        <v>864</v>
      </c>
      <c r="BW108" s="800">
        <v>864</v>
      </c>
      <c r="BX108" s="800">
        <v>864</v>
      </c>
      <c r="BY108" s="800">
        <v>864</v>
      </c>
      <c r="BZ108" s="800">
        <v>864</v>
      </c>
      <c r="CA108" s="808" t="s">
        <v>1942</v>
      </c>
      <c r="CB108" s="800" t="s">
        <v>1942</v>
      </c>
      <c r="CC108" s="800" t="s">
        <v>1942</v>
      </c>
      <c r="CD108" s="800" t="s">
        <v>1942</v>
      </c>
      <c r="CE108" s="805" t="s">
        <v>1942</v>
      </c>
      <c r="CF108" s="800" t="s">
        <v>1942</v>
      </c>
      <c r="CG108" s="800" t="s">
        <v>1942</v>
      </c>
      <c r="CH108" s="800" t="s">
        <v>1942</v>
      </c>
      <c r="CI108" s="800" t="s">
        <v>1942</v>
      </c>
      <c r="CJ108" s="805" t="s">
        <v>1942</v>
      </c>
      <c r="CK108" s="808">
        <v>389</v>
      </c>
      <c r="CL108" s="800">
        <v>338</v>
      </c>
      <c r="CM108" s="800">
        <v>285</v>
      </c>
      <c r="CN108" s="800">
        <v>285</v>
      </c>
      <c r="CO108" s="805">
        <v>285</v>
      </c>
      <c r="CP108" s="808" t="s">
        <v>1942</v>
      </c>
      <c r="CQ108" s="800" t="s">
        <v>1942</v>
      </c>
      <c r="CR108" s="800" t="s">
        <v>1942</v>
      </c>
      <c r="CS108" s="800" t="s">
        <v>1942</v>
      </c>
      <c r="CT108" s="805" t="s">
        <v>1942</v>
      </c>
      <c r="CU108" s="1284">
        <v>-6.7900000000000002E-4</v>
      </c>
      <c r="CV108" s="1283" t="s">
        <v>1942</v>
      </c>
      <c r="CW108" s="1283" t="s">
        <v>1942</v>
      </c>
      <c r="CX108" s="1285" t="s">
        <v>1942</v>
      </c>
      <c r="CY108" s="1283">
        <v>5.6599999999999999E-4</v>
      </c>
      <c r="CZ108" s="1283" t="s">
        <v>1942</v>
      </c>
      <c r="DA108" s="1283" t="s">
        <v>1942</v>
      </c>
      <c r="DB108" s="1285" t="s">
        <v>1942</v>
      </c>
      <c r="DC108" s="785"/>
      <c r="DD108" s="813">
        <v>1</v>
      </c>
      <c r="DE108" s="814"/>
    </row>
    <row r="109" spans="1:109" ht="15.75" hidden="1" customHeight="1">
      <c r="A109" s="772" t="s">
        <v>1013</v>
      </c>
      <c r="B109" s="773">
        <v>103</v>
      </c>
      <c r="C109" s="789" t="s">
        <v>2341</v>
      </c>
      <c r="D109" s="773" t="s">
        <v>2332</v>
      </c>
      <c r="E109" s="773" t="s">
        <v>1907</v>
      </c>
      <c r="F109" s="785" t="s">
        <v>2342</v>
      </c>
      <c r="G109" s="790" t="s">
        <v>2343</v>
      </c>
      <c r="H109" s="791" t="s">
        <v>2344</v>
      </c>
      <c r="I109" s="792"/>
      <c r="J109" s="793">
        <v>1</v>
      </c>
      <c r="K109" s="793"/>
      <c r="L109" s="793"/>
      <c r="M109" s="793"/>
      <c r="N109" s="793"/>
      <c r="O109" s="793"/>
      <c r="P109" s="794"/>
      <c r="Q109" s="795">
        <f t="shared" si="1"/>
        <v>1</v>
      </c>
      <c r="R109" s="789" t="s">
        <v>1030</v>
      </c>
      <c r="S109" s="773" t="s">
        <v>1008</v>
      </c>
      <c r="T109" s="796" t="s">
        <v>1009</v>
      </c>
      <c r="U109" s="773" t="s">
        <v>2345</v>
      </c>
      <c r="V109" s="773" t="s">
        <v>1033</v>
      </c>
      <c r="W109" s="773" t="s">
        <v>2346</v>
      </c>
      <c r="X109" s="1310">
        <v>0</v>
      </c>
      <c r="Y109" s="821" t="s">
        <v>1010</v>
      </c>
      <c r="Z109" s="790"/>
      <c r="AA109" s="785"/>
      <c r="AB109" s="785"/>
      <c r="AC109" s="785"/>
      <c r="AD109" s="785"/>
      <c r="AE109" s="785"/>
      <c r="AF109" s="790"/>
      <c r="AG109" s="800"/>
      <c r="AH109" s="800"/>
      <c r="AI109" s="800"/>
      <c r="AJ109" s="800"/>
      <c r="AK109" s="800"/>
      <c r="AL109" s="800"/>
      <c r="AM109" s="800"/>
      <c r="AN109" s="800"/>
      <c r="AO109" s="800"/>
      <c r="AP109" s="800"/>
      <c r="AQ109" s="808">
        <v>50</v>
      </c>
      <c r="AR109" s="800">
        <v>75</v>
      </c>
      <c r="AS109" s="800">
        <v>35</v>
      </c>
      <c r="AT109" s="800">
        <v>35</v>
      </c>
      <c r="AU109" s="805">
        <v>35</v>
      </c>
      <c r="AV109" s="808"/>
      <c r="AW109" s="800"/>
      <c r="AX109" s="800"/>
      <c r="AY109" s="800"/>
      <c r="AZ109" s="800"/>
      <c r="BA109" s="800"/>
      <c r="BB109" s="800"/>
      <c r="BC109" s="800"/>
      <c r="BD109" s="800"/>
      <c r="BE109" s="800"/>
      <c r="BF109" s="800"/>
      <c r="BG109" s="800"/>
      <c r="BH109" s="800"/>
      <c r="BI109" s="800"/>
      <c r="BJ109" s="800"/>
      <c r="BK109" s="805"/>
      <c r="BL109" s="1952" t="s">
        <v>168</v>
      </c>
      <c r="BM109" s="1953" t="s">
        <v>168</v>
      </c>
      <c r="BN109" s="1953" t="s">
        <v>168</v>
      </c>
      <c r="BO109" s="1953" t="s">
        <v>168</v>
      </c>
      <c r="BP109" s="796" t="s">
        <v>168</v>
      </c>
      <c r="BQ109" s="808" t="s">
        <v>1942</v>
      </c>
      <c r="BR109" s="800" t="s">
        <v>1942</v>
      </c>
      <c r="BS109" s="800" t="s">
        <v>1942</v>
      </c>
      <c r="BT109" s="800" t="s">
        <v>1942</v>
      </c>
      <c r="BU109" s="805" t="s">
        <v>1942</v>
      </c>
      <c r="BV109" s="808" t="s">
        <v>1942</v>
      </c>
      <c r="BW109" s="800" t="s">
        <v>1942</v>
      </c>
      <c r="BX109" s="800" t="s">
        <v>1942</v>
      </c>
      <c r="BY109" s="800" t="s">
        <v>1942</v>
      </c>
      <c r="BZ109" s="800" t="s">
        <v>1942</v>
      </c>
      <c r="CA109" s="808" t="s">
        <v>1942</v>
      </c>
      <c r="CB109" s="800" t="s">
        <v>1942</v>
      </c>
      <c r="CC109" s="800" t="s">
        <v>1942</v>
      </c>
      <c r="CD109" s="800" t="s">
        <v>1942</v>
      </c>
      <c r="CE109" s="805" t="s">
        <v>1942</v>
      </c>
      <c r="CF109" s="800" t="s">
        <v>1942</v>
      </c>
      <c r="CG109" s="800" t="s">
        <v>1942</v>
      </c>
      <c r="CH109" s="800" t="s">
        <v>1942</v>
      </c>
      <c r="CI109" s="800" t="s">
        <v>1942</v>
      </c>
      <c r="CJ109" s="805" t="s">
        <v>1942</v>
      </c>
      <c r="CK109" s="808">
        <v>200</v>
      </c>
      <c r="CL109" s="800">
        <v>300</v>
      </c>
      <c r="CM109" s="800">
        <v>140</v>
      </c>
      <c r="CN109" s="800">
        <v>140</v>
      </c>
      <c r="CO109" s="805">
        <v>140</v>
      </c>
      <c r="CP109" s="808" t="s">
        <v>1942</v>
      </c>
      <c r="CQ109" s="800" t="s">
        <v>1942</v>
      </c>
      <c r="CR109" s="800" t="s">
        <v>1942</v>
      </c>
      <c r="CS109" s="800" t="s">
        <v>1942</v>
      </c>
      <c r="CT109" s="805" t="s">
        <v>1942</v>
      </c>
      <c r="CU109" s="1284">
        <v>-1.1000000000000001E-3</v>
      </c>
      <c r="CV109" s="1283" t="s">
        <v>1942</v>
      </c>
      <c r="CW109" s="1283" t="s">
        <v>1942</v>
      </c>
      <c r="CX109" s="1285" t="s">
        <v>1942</v>
      </c>
      <c r="CY109" s="1283">
        <v>1E-3</v>
      </c>
      <c r="CZ109" s="1283" t="s">
        <v>1942</v>
      </c>
      <c r="DA109" s="1283" t="s">
        <v>1942</v>
      </c>
      <c r="DB109" s="1285" t="s">
        <v>1942</v>
      </c>
      <c r="DC109" s="785"/>
      <c r="DD109" s="813">
        <v>1</v>
      </c>
      <c r="DE109" s="814"/>
    </row>
    <row r="110" spans="1:109" ht="15.75" hidden="1" customHeight="1">
      <c r="A110" s="772" t="s">
        <v>1013</v>
      </c>
      <c r="B110" s="773">
        <v>104</v>
      </c>
      <c r="C110" s="789" t="s">
        <v>2347</v>
      </c>
      <c r="D110" s="773" t="s">
        <v>2348</v>
      </c>
      <c r="E110" s="773" t="s">
        <v>1889</v>
      </c>
      <c r="F110" s="785" t="s">
        <v>2349</v>
      </c>
      <c r="G110" s="790" t="s">
        <v>137</v>
      </c>
      <c r="H110" s="791" t="s">
        <v>2350</v>
      </c>
      <c r="I110" s="792">
        <v>0.5</v>
      </c>
      <c r="J110" s="793">
        <v>0.5</v>
      </c>
      <c r="K110" s="793"/>
      <c r="L110" s="793"/>
      <c r="M110" s="793"/>
      <c r="N110" s="793"/>
      <c r="O110" s="793"/>
      <c r="P110" s="794"/>
      <c r="Q110" s="795">
        <f t="shared" si="1"/>
        <v>1</v>
      </c>
      <c r="R110" s="789" t="s">
        <v>1026</v>
      </c>
      <c r="S110" s="773" t="s">
        <v>1008</v>
      </c>
      <c r="T110" s="796" t="s">
        <v>1009</v>
      </c>
      <c r="U110" s="773" t="s">
        <v>1892</v>
      </c>
      <c r="V110" s="773" t="s">
        <v>1029</v>
      </c>
      <c r="W110" s="773" t="s">
        <v>2351</v>
      </c>
      <c r="X110" s="1311">
        <v>0</v>
      </c>
      <c r="Y110" s="826" t="s">
        <v>1020</v>
      </c>
      <c r="Z110" s="790" t="s">
        <v>137</v>
      </c>
      <c r="AA110" s="785"/>
      <c r="AB110" s="785"/>
      <c r="AC110" s="785"/>
      <c r="AD110" s="785"/>
      <c r="AE110" s="785"/>
      <c r="AF110" s="790"/>
      <c r="AG110" s="800"/>
      <c r="AH110" s="800"/>
      <c r="AI110" s="800"/>
      <c r="AJ110" s="800"/>
      <c r="AK110" s="800"/>
      <c r="AL110" s="845"/>
      <c r="AM110" s="845"/>
      <c r="AN110" s="845"/>
      <c r="AO110" s="845"/>
      <c r="AP110" s="845"/>
      <c r="AQ110" s="1370"/>
      <c r="AR110" s="1371"/>
      <c r="AS110" s="1371"/>
      <c r="AT110" s="1371"/>
      <c r="AU110" s="1372"/>
      <c r="AV110" s="1420"/>
      <c r="AW110" s="1368"/>
      <c r="AX110" s="1368"/>
      <c r="AY110" s="1368"/>
      <c r="AZ110" s="1368"/>
      <c r="BA110" s="1368"/>
      <c r="BB110" s="1368"/>
      <c r="BC110" s="1368"/>
      <c r="BD110" s="1368"/>
      <c r="BE110" s="1368"/>
      <c r="BF110" s="1368"/>
      <c r="BG110" s="1368"/>
      <c r="BH110" s="1368"/>
      <c r="BI110" s="1368"/>
      <c r="BJ110" s="1368"/>
      <c r="BK110" s="1369"/>
      <c r="BL110" s="1376"/>
      <c r="BM110" s="1377"/>
      <c r="BN110" s="1377"/>
      <c r="BO110" s="1377"/>
      <c r="BP110" s="1440"/>
      <c r="BQ110" s="1420"/>
      <c r="BR110" s="1368"/>
      <c r="BS110" s="1368"/>
      <c r="BT110" s="1368"/>
      <c r="BU110" s="1369"/>
      <c r="BV110" s="1370"/>
      <c r="BW110" s="1371"/>
      <c r="BX110" s="1371"/>
      <c r="BY110" s="1371"/>
      <c r="BZ110" s="1371"/>
      <c r="CA110" s="1370"/>
      <c r="CB110" s="1371"/>
      <c r="CC110" s="1371"/>
      <c r="CD110" s="1371"/>
      <c r="CE110" s="1372"/>
      <c r="CF110" s="1368"/>
      <c r="CG110" s="1368"/>
      <c r="CH110" s="1368"/>
      <c r="CI110" s="1368"/>
      <c r="CJ110" s="1369"/>
      <c r="CK110" s="1420"/>
      <c r="CL110" s="1368"/>
      <c r="CM110" s="1368"/>
      <c r="CN110" s="1368"/>
      <c r="CO110" s="1369"/>
      <c r="CP110" s="1420"/>
      <c r="CQ110" s="1368"/>
      <c r="CR110" s="1368"/>
      <c r="CS110" s="1368"/>
      <c r="CT110" s="1369"/>
      <c r="CU110" s="1528"/>
      <c r="CV110" s="1519"/>
      <c r="CW110" s="1519"/>
      <c r="CX110" s="1728"/>
      <c r="CY110" s="1519"/>
      <c r="CZ110" s="1519"/>
      <c r="DA110" s="1519"/>
      <c r="DB110" s="1728"/>
      <c r="DC110" s="1377"/>
      <c r="DD110" s="1729"/>
      <c r="DE110" s="1734"/>
    </row>
    <row r="111" spans="1:109" ht="15.75" hidden="1" customHeight="1">
      <c r="A111" s="772" t="s">
        <v>1013</v>
      </c>
      <c r="B111" s="773">
        <v>105</v>
      </c>
      <c r="C111" s="789" t="s">
        <v>2352</v>
      </c>
      <c r="D111" s="773" t="s">
        <v>2348</v>
      </c>
      <c r="E111" s="773" t="s">
        <v>1889</v>
      </c>
      <c r="F111" s="785" t="s">
        <v>2353</v>
      </c>
      <c r="G111" s="790" t="s">
        <v>669</v>
      </c>
      <c r="H111" s="791" t="s">
        <v>2354</v>
      </c>
      <c r="I111" s="792"/>
      <c r="J111" s="793">
        <v>1</v>
      </c>
      <c r="K111" s="793"/>
      <c r="L111" s="793"/>
      <c r="M111" s="793"/>
      <c r="N111" s="793"/>
      <c r="O111" s="793"/>
      <c r="P111" s="794"/>
      <c r="Q111" s="795">
        <f t="shared" si="1"/>
        <v>1</v>
      </c>
      <c r="R111" s="789" t="s">
        <v>1026</v>
      </c>
      <c r="S111" s="773" t="s">
        <v>1008</v>
      </c>
      <c r="T111" s="796" t="s">
        <v>1009</v>
      </c>
      <c r="U111" s="773" t="s">
        <v>669</v>
      </c>
      <c r="V111" s="773" t="s">
        <v>1033</v>
      </c>
      <c r="W111" s="773" t="s">
        <v>2270</v>
      </c>
      <c r="X111" s="1310">
        <v>1</v>
      </c>
      <c r="Y111" s="821" t="s">
        <v>1020</v>
      </c>
      <c r="Z111" s="790" t="s">
        <v>669</v>
      </c>
      <c r="AA111" s="785"/>
      <c r="AB111" s="785"/>
      <c r="AC111" s="785"/>
      <c r="AD111" s="785"/>
      <c r="AE111" s="785"/>
      <c r="AF111" s="790"/>
      <c r="AG111" s="800"/>
      <c r="AH111" s="800"/>
      <c r="AI111" s="800"/>
      <c r="AJ111" s="800"/>
      <c r="AK111" s="800"/>
      <c r="AL111" s="800"/>
      <c r="AM111" s="800"/>
      <c r="AN111" s="800"/>
      <c r="AO111" s="800"/>
      <c r="AP111" s="800"/>
      <c r="AQ111" s="1421"/>
      <c r="AR111" s="1373"/>
      <c r="AS111" s="1373"/>
      <c r="AT111" s="1373"/>
      <c r="AU111" s="1374"/>
      <c r="AV111" s="1420"/>
      <c r="AW111" s="1368"/>
      <c r="AX111" s="1368"/>
      <c r="AY111" s="1368"/>
      <c r="AZ111" s="1368"/>
      <c r="BA111" s="1368"/>
      <c r="BB111" s="1368"/>
      <c r="BC111" s="1368"/>
      <c r="BD111" s="1368"/>
      <c r="BE111" s="1368"/>
      <c r="BF111" s="1368"/>
      <c r="BG111" s="1368"/>
      <c r="BH111" s="1368"/>
      <c r="BI111" s="1368"/>
      <c r="BJ111" s="1368"/>
      <c r="BK111" s="1369"/>
      <c r="BL111" s="1376"/>
      <c r="BM111" s="1377"/>
      <c r="BN111" s="1377"/>
      <c r="BO111" s="1377"/>
      <c r="BP111" s="1440"/>
      <c r="BQ111" s="1420"/>
      <c r="BR111" s="1368"/>
      <c r="BS111" s="1368"/>
      <c r="BT111" s="1368"/>
      <c r="BU111" s="1369"/>
      <c r="BV111" s="1420"/>
      <c r="BW111" s="1368"/>
      <c r="BX111" s="1368"/>
      <c r="BY111" s="1368"/>
      <c r="BZ111" s="1368"/>
      <c r="CA111" s="1420"/>
      <c r="CB111" s="1368"/>
      <c r="CC111" s="1368"/>
      <c r="CD111" s="1368"/>
      <c r="CE111" s="1369"/>
      <c r="CF111" s="1368"/>
      <c r="CG111" s="1368"/>
      <c r="CH111" s="1368"/>
      <c r="CI111" s="1368"/>
      <c r="CJ111" s="1368"/>
      <c r="CK111" s="1420"/>
      <c r="CL111" s="1368"/>
      <c r="CM111" s="1368"/>
      <c r="CN111" s="1368"/>
      <c r="CO111" s="1369"/>
      <c r="CP111" s="1420"/>
      <c r="CQ111" s="1368"/>
      <c r="CR111" s="1368"/>
      <c r="CS111" s="1368"/>
      <c r="CT111" s="1369"/>
      <c r="CU111" s="1528"/>
      <c r="CV111" s="1519"/>
      <c r="CW111" s="1519"/>
      <c r="CX111" s="1728"/>
      <c r="CY111" s="1519"/>
      <c r="CZ111" s="1519"/>
      <c r="DA111" s="1519"/>
      <c r="DB111" s="1728"/>
      <c r="DC111" s="1377"/>
      <c r="DD111" s="1729"/>
      <c r="DE111" s="1734"/>
    </row>
    <row r="112" spans="1:109" ht="15.75" hidden="1" customHeight="1">
      <c r="A112" s="772" t="s">
        <v>1013</v>
      </c>
      <c r="B112" s="773">
        <v>106</v>
      </c>
      <c r="C112" s="789" t="s">
        <v>2355</v>
      </c>
      <c r="D112" s="773" t="s">
        <v>2348</v>
      </c>
      <c r="E112" s="773" t="s">
        <v>1889</v>
      </c>
      <c r="F112" s="785" t="s">
        <v>2356</v>
      </c>
      <c r="G112" s="790" t="s">
        <v>1902</v>
      </c>
      <c r="H112" s="791" t="s">
        <v>2357</v>
      </c>
      <c r="I112" s="792">
        <v>0.5</v>
      </c>
      <c r="J112" s="793">
        <v>0.5</v>
      </c>
      <c r="K112" s="793"/>
      <c r="L112" s="793"/>
      <c r="M112" s="793"/>
      <c r="N112" s="793"/>
      <c r="O112" s="793"/>
      <c r="P112" s="794"/>
      <c r="Q112" s="795">
        <f t="shared" si="1"/>
        <v>1</v>
      </c>
      <c r="R112" s="789" t="s">
        <v>1026</v>
      </c>
      <c r="S112" s="773" t="s">
        <v>1008</v>
      </c>
      <c r="T112" s="1440" t="s">
        <v>1019</v>
      </c>
      <c r="U112" s="773" t="s">
        <v>2054</v>
      </c>
      <c r="V112" s="773" t="s">
        <v>1033</v>
      </c>
      <c r="W112" s="773" t="s">
        <v>2358</v>
      </c>
      <c r="X112" s="1310">
        <v>1</v>
      </c>
      <c r="Y112" s="819" t="s">
        <v>1020</v>
      </c>
      <c r="Z112" s="790" t="s">
        <v>1902</v>
      </c>
      <c r="AA112" s="785"/>
      <c r="AB112" s="785"/>
      <c r="AC112" s="785"/>
      <c r="AD112" s="785"/>
      <c r="AE112" s="785"/>
      <c r="AF112" s="790"/>
      <c r="AG112" s="800"/>
      <c r="AH112" s="800"/>
      <c r="AI112" s="800"/>
      <c r="AJ112" s="800"/>
      <c r="AK112" s="800"/>
      <c r="AL112" s="800"/>
      <c r="AM112" s="800"/>
      <c r="AN112" s="800"/>
      <c r="AO112" s="800"/>
      <c r="AP112" s="800"/>
      <c r="AQ112" s="1420"/>
      <c r="AR112" s="1368"/>
      <c r="AS112" s="1368"/>
      <c r="AT112" s="1368"/>
      <c r="AU112" s="1369"/>
      <c r="AV112" s="1420"/>
      <c r="AW112" s="1368"/>
      <c r="AX112" s="1368"/>
      <c r="AY112" s="1368"/>
      <c r="AZ112" s="1368"/>
      <c r="BA112" s="1368"/>
      <c r="BB112" s="1368"/>
      <c r="BC112" s="1368"/>
      <c r="BD112" s="1368"/>
      <c r="BE112" s="1368"/>
      <c r="BF112" s="1368"/>
      <c r="BG112" s="1368"/>
      <c r="BH112" s="1368"/>
      <c r="BI112" s="1368"/>
      <c r="BJ112" s="1368"/>
      <c r="BK112" s="1369"/>
      <c r="BL112" s="1376"/>
      <c r="BM112" s="1377"/>
      <c r="BN112" s="1377"/>
      <c r="BO112" s="1377"/>
      <c r="BP112" s="1440"/>
      <c r="BQ112" s="1420"/>
      <c r="BR112" s="1368"/>
      <c r="BS112" s="1368"/>
      <c r="BT112" s="1368"/>
      <c r="BU112" s="1369"/>
      <c r="BV112" s="1420"/>
      <c r="BW112" s="1368"/>
      <c r="BX112" s="1368"/>
      <c r="BY112" s="1368"/>
      <c r="BZ112" s="1368"/>
      <c r="CA112" s="1420"/>
      <c r="CB112" s="1368"/>
      <c r="CC112" s="1368"/>
      <c r="CD112" s="1368"/>
      <c r="CE112" s="1369"/>
      <c r="CF112" s="1368"/>
      <c r="CG112" s="1368"/>
      <c r="CH112" s="1368"/>
      <c r="CI112" s="1368"/>
      <c r="CJ112" s="1369"/>
      <c r="CK112" s="1420"/>
      <c r="CL112" s="1368"/>
      <c r="CM112" s="1368"/>
      <c r="CN112" s="1368"/>
      <c r="CO112" s="1369"/>
      <c r="CP112" s="1420"/>
      <c r="CQ112" s="1368"/>
      <c r="CR112" s="1368"/>
      <c r="CS112" s="1368"/>
      <c r="CT112" s="1369"/>
      <c r="CU112" s="1528"/>
      <c r="CV112" s="1519"/>
      <c r="CW112" s="1519"/>
      <c r="CX112" s="1728"/>
      <c r="CY112" s="1519"/>
      <c r="CZ112" s="1519"/>
      <c r="DA112" s="1519"/>
      <c r="DB112" s="1728"/>
      <c r="DC112" s="1377"/>
      <c r="DD112" s="1729"/>
      <c r="DE112" s="1734"/>
    </row>
    <row r="113" spans="1:109" ht="18" hidden="1" customHeight="1">
      <c r="A113" s="772" t="s">
        <v>1013</v>
      </c>
      <c r="B113" s="773">
        <v>107</v>
      </c>
      <c r="C113" s="789" t="s">
        <v>2359</v>
      </c>
      <c r="D113" s="773" t="s">
        <v>2348</v>
      </c>
      <c r="E113" s="773" t="s">
        <v>1907</v>
      </c>
      <c r="F113" s="785" t="s">
        <v>2360</v>
      </c>
      <c r="G113" s="790" t="s">
        <v>535</v>
      </c>
      <c r="H113" s="791" t="s">
        <v>2361</v>
      </c>
      <c r="I113" s="792">
        <v>1</v>
      </c>
      <c r="J113" s="793"/>
      <c r="K113" s="793"/>
      <c r="L113" s="793"/>
      <c r="M113" s="793"/>
      <c r="N113" s="793"/>
      <c r="O113" s="793"/>
      <c r="P113" s="794"/>
      <c r="Q113" s="795">
        <f t="shared" si="1"/>
        <v>1</v>
      </c>
      <c r="R113" s="789" t="s">
        <v>1007</v>
      </c>
      <c r="S113" s="773"/>
      <c r="T113" s="796"/>
      <c r="U113" s="773" t="s">
        <v>1910</v>
      </c>
      <c r="V113" s="773" t="s">
        <v>278</v>
      </c>
      <c r="W113" s="773" t="s">
        <v>2362</v>
      </c>
      <c r="X113" s="1310">
        <v>1</v>
      </c>
      <c r="Y113" s="819" t="s">
        <v>1020</v>
      </c>
      <c r="Z113" s="790" t="s">
        <v>535</v>
      </c>
      <c r="AA113" s="785"/>
      <c r="AB113" s="785"/>
      <c r="AC113" s="785"/>
      <c r="AD113" s="785"/>
      <c r="AE113" s="785"/>
      <c r="AF113" s="790"/>
      <c r="AG113" s="816"/>
      <c r="AH113" s="816"/>
      <c r="AI113" s="816"/>
      <c r="AJ113" s="816"/>
      <c r="AK113" s="816"/>
      <c r="AL113" s="816"/>
      <c r="AM113" s="816"/>
      <c r="AN113" s="816"/>
      <c r="AO113" s="816"/>
      <c r="AP113" s="816"/>
      <c r="AQ113" s="1521"/>
      <c r="AR113" s="1730"/>
      <c r="AS113" s="1730"/>
      <c r="AT113" s="1730"/>
      <c r="AU113" s="1527"/>
      <c r="AV113" s="1521"/>
      <c r="AW113" s="1730"/>
      <c r="AX113" s="1730"/>
      <c r="AY113" s="1730"/>
      <c r="AZ113" s="1730"/>
      <c r="BA113" s="1730"/>
      <c r="BB113" s="1730"/>
      <c r="BC113" s="1730"/>
      <c r="BD113" s="1730"/>
      <c r="BE113" s="1730"/>
      <c r="BF113" s="1730"/>
      <c r="BG113" s="1730"/>
      <c r="BH113" s="1730"/>
      <c r="BI113" s="1730"/>
      <c r="BJ113" s="1730"/>
      <c r="BK113" s="1527"/>
      <c r="BL113" s="1376"/>
      <c r="BM113" s="1377"/>
      <c r="BN113" s="1377"/>
      <c r="BO113" s="1377"/>
      <c r="BP113" s="1440"/>
      <c r="BQ113" s="1420"/>
      <c r="BR113" s="1368"/>
      <c r="BS113" s="1368"/>
      <c r="BT113" s="1368"/>
      <c r="BU113" s="1369"/>
      <c r="BV113" s="1420"/>
      <c r="BW113" s="1368"/>
      <c r="BX113" s="1368"/>
      <c r="BY113" s="1368"/>
      <c r="BZ113" s="1368"/>
      <c r="CA113" s="1420"/>
      <c r="CB113" s="1368"/>
      <c r="CC113" s="1368"/>
      <c r="CD113" s="1368"/>
      <c r="CE113" s="1369"/>
      <c r="CF113" s="1368"/>
      <c r="CG113" s="1368"/>
      <c r="CH113" s="1368"/>
      <c r="CI113" s="1368"/>
      <c r="CJ113" s="1369"/>
      <c r="CK113" s="1420"/>
      <c r="CL113" s="1368"/>
      <c r="CM113" s="1368"/>
      <c r="CN113" s="1368"/>
      <c r="CO113" s="1369"/>
      <c r="CP113" s="1420"/>
      <c r="CQ113" s="1368"/>
      <c r="CR113" s="1368"/>
      <c r="CS113" s="1368"/>
      <c r="CT113" s="1369"/>
      <c r="CU113" s="1528"/>
      <c r="CV113" s="1519"/>
      <c r="CW113" s="1519"/>
      <c r="CX113" s="1728"/>
      <c r="CY113" s="1519"/>
      <c r="CZ113" s="1519"/>
      <c r="DA113" s="1519"/>
      <c r="DB113" s="1728"/>
      <c r="DC113" s="1377"/>
      <c r="DD113" s="1729"/>
      <c r="DE113" s="1734"/>
    </row>
    <row r="114" spans="1:109" ht="15.75" hidden="1" customHeight="1">
      <c r="A114" s="772" t="s">
        <v>1013</v>
      </c>
      <c r="B114" s="773">
        <v>108</v>
      </c>
      <c r="C114" s="789" t="s">
        <v>2363</v>
      </c>
      <c r="D114" s="773" t="s">
        <v>2348</v>
      </c>
      <c r="E114" s="773" t="s">
        <v>1889</v>
      </c>
      <c r="F114" s="785" t="s">
        <v>2364</v>
      </c>
      <c r="G114" s="790" t="s">
        <v>161</v>
      </c>
      <c r="H114" s="791" t="s">
        <v>2365</v>
      </c>
      <c r="I114" s="792"/>
      <c r="J114" s="793">
        <v>1</v>
      </c>
      <c r="K114" s="793"/>
      <c r="L114" s="793"/>
      <c r="M114" s="793"/>
      <c r="N114" s="793"/>
      <c r="O114" s="793"/>
      <c r="P114" s="794"/>
      <c r="Q114" s="795">
        <f t="shared" si="1"/>
        <v>1</v>
      </c>
      <c r="R114" s="789" t="s">
        <v>1026</v>
      </c>
      <c r="S114" s="773" t="s">
        <v>1008</v>
      </c>
      <c r="T114" s="796" t="s">
        <v>1009</v>
      </c>
      <c r="U114" s="773" t="s">
        <v>2074</v>
      </c>
      <c r="V114" s="773" t="s">
        <v>1033</v>
      </c>
      <c r="W114" s="773" t="s">
        <v>2366</v>
      </c>
      <c r="X114" s="1310">
        <v>1</v>
      </c>
      <c r="Y114" s="819" t="s">
        <v>1020</v>
      </c>
      <c r="Z114" s="790" t="s">
        <v>161</v>
      </c>
      <c r="AA114" s="785"/>
      <c r="AB114" s="785"/>
      <c r="AC114" s="785"/>
      <c r="AD114" s="785"/>
      <c r="AE114" s="785"/>
      <c r="AF114" s="790"/>
      <c r="AG114" s="800"/>
      <c r="AH114" s="800"/>
      <c r="AI114" s="800"/>
      <c r="AJ114" s="800"/>
      <c r="AK114" s="800"/>
      <c r="AL114" s="800"/>
      <c r="AM114" s="800"/>
      <c r="AN114" s="800"/>
      <c r="AO114" s="800"/>
      <c r="AP114" s="800"/>
      <c r="AQ114" s="1421"/>
      <c r="AR114" s="1373"/>
      <c r="AS114" s="1373"/>
      <c r="AT114" s="1373"/>
      <c r="AU114" s="1374"/>
      <c r="AV114" s="1420"/>
      <c r="AW114" s="1368"/>
      <c r="AX114" s="1368"/>
      <c r="AY114" s="1368"/>
      <c r="AZ114" s="1368"/>
      <c r="BA114" s="1368"/>
      <c r="BB114" s="1368"/>
      <c r="BC114" s="1368"/>
      <c r="BD114" s="1368"/>
      <c r="BE114" s="1368"/>
      <c r="BF114" s="1368"/>
      <c r="BG114" s="1368"/>
      <c r="BH114" s="1368"/>
      <c r="BI114" s="1368"/>
      <c r="BJ114" s="1368"/>
      <c r="BK114" s="1369"/>
      <c r="BL114" s="1376"/>
      <c r="BM114" s="1377"/>
      <c r="BN114" s="1377"/>
      <c r="BO114" s="1377"/>
      <c r="BP114" s="1440"/>
      <c r="BQ114" s="1420"/>
      <c r="BR114" s="1368"/>
      <c r="BS114" s="1368"/>
      <c r="BT114" s="1368"/>
      <c r="BU114" s="1369"/>
      <c r="BV114" s="1420"/>
      <c r="BW114" s="1368"/>
      <c r="BX114" s="1368"/>
      <c r="BY114" s="1368"/>
      <c r="BZ114" s="1368"/>
      <c r="CA114" s="1420"/>
      <c r="CB114" s="1368"/>
      <c r="CC114" s="1368"/>
      <c r="CD114" s="1368"/>
      <c r="CE114" s="1369"/>
      <c r="CF114" s="1368"/>
      <c r="CG114" s="1368"/>
      <c r="CH114" s="1368"/>
      <c r="CI114" s="1368"/>
      <c r="CJ114" s="1369"/>
      <c r="CK114" s="1420"/>
      <c r="CL114" s="1368"/>
      <c r="CM114" s="1368"/>
      <c r="CN114" s="1368"/>
      <c r="CO114" s="1369"/>
      <c r="CP114" s="1420"/>
      <c r="CQ114" s="1368"/>
      <c r="CR114" s="1368"/>
      <c r="CS114" s="1368"/>
      <c r="CT114" s="1369"/>
      <c r="CU114" s="1528"/>
      <c r="CV114" s="1519"/>
      <c r="CW114" s="1519"/>
      <c r="CX114" s="1728"/>
      <c r="CY114" s="1519"/>
      <c r="CZ114" s="1519"/>
      <c r="DA114" s="1519"/>
      <c r="DB114" s="1728"/>
      <c r="DC114" s="1377"/>
      <c r="DD114" s="1729"/>
      <c r="DE114" s="1734"/>
    </row>
    <row r="115" spans="1:109" ht="15.75" hidden="1" customHeight="1">
      <c r="A115" s="772" t="s">
        <v>1013</v>
      </c>
      <c r="B115" s="773">
        <v>109</v>
      </c>
      <c r="C115" s="789" t="s">
        <v>2367</v>
      </c>
      <c r="D115" s="773" t="s">
        <v>2348</v>
      </c>
      <c r="E115" s="773" t="s">
        <v>1907</v>
      </c>
      <c r="F115" s="785" t="s">
        <v>2368</v>
      </c>
      <c r="G115" s="790" t="s">
        <v>167</v>
      </c>
      <c r="H115" s="791" t="s">
        <v>2369</v>
      </c>
      <c r="I115" s="792">
        <v>0.5</v>
      </c>
      <c r="J115" s="793">
        <v>0.5</v>
      </c>
      <c r="K115" s="793"/>
      <c r="L115" s="793"/>
      <c r="M115" s="793"/>
      <c r="N115" s="793"/>
      <c r="O115" s="793"/>
      <c r="P115" s="794"/>
      <c r="Q115" s="795">
        <f t="shared" si="1"/>
        <v>1</v>
      </c>
      <c r="R115" s="789" t="s">
        <v>1026</v>
      </c>
      <c r="S115" s="773" t="s">
        <v>1008</v>
      </c>
      <c r="T115" s="796" t="s">
        <v>1009</v>
      </c>
      <c r="U115" s="773" t="s">
        <v>1915</v>
      </c>
      <c r="V115" s="773" t="s">
        <v>278</v>
      </c>
      <c r="W115" s="773" t="s">
        <v>2370</v>
      </c>
      <c r="X115" s="1310">
        <v>2</v>
      </c>
      <c r="Y115" s="819" t="s">
        <v>1020</v>
      </c>
      <c r="Z115" s="790" t="s">
        <v>167</v>
      </c>
      <c r="AA115" s="785"/>
      <c r="AB115" s="785"/>
      <c r="AC115" s="785"/>
      <c r="AD115" s="785"/>
      <c r="AE115" s="785"/>
      <c r="AF115" s="790"/>
      <c r="AG115" s="800"/>
      <c r="AH115" s="800"/>
      <c r="AI115" s="800"/>
      <c r="AJ115" s="800"/>
      <c r="AK115" s="800"/>
      <c r="AL115" s="800"/>
      <c r="AM115" s="800"/>
      <c r="AN115" s="800"/>
      <c r="AO115" s="800"/>
      <c r="AP115" s="800"/>
      <c r="AQ115" s="1421"/>
      <c r="AR115" s="1373"/>
      <c r="AS115" s="1373"/>
      <c r="AT115" s="1373"/>
      <c r="AU115" s="1374"/>
      <c r="AV115" s="1420"/>
      <c r="AW115" s="1368"/>
      <c r="AX115" s="1368"/>
      <c r="AY115" s="1368"/>
      <c r="AZ115" s="1368"/>
      <c r="BA115" s="1368"/>
      <c r="BB115" s="1368"/>
      <c r="BC115" s="1368"/>
      <c r="BD115" s="1368"/>
      <c r="BE115" s="1368"/>
      <c r="BF115" s="1368"/>
      <c r="BG115" s="1368"/>
      <c r="BH115" s="1368"/>
      <c r="BI115" s="1368"/>
      <c r="BJ115" s="1368"/>
      <c r="BK115" s="1369"/>
      <c r="BL115" s="1376"/>
      <c r="BM115" s="1377"/>
      <c r="BN115" s="1377"/>
      <c r="BO115" s="1377"/>
      <c r="BP115" s="1440"/>
      <c r="BQ115" s="1420"/>
      <c r="BR115" s="1368"/>
      <c r="BS115" s="1368"/>
      <c r="BT115" s="1368"/>
      <c r="BU115" s="1369"/>
      <c r="BV115" s="1420"/>
      <c r="BW115" s="1368"/>
      <c r="BX115" s="1368"/>
      <c r="BY115" s="1368"/>
      <c r="BZ115" s="1368"/>
      <c r="CA115" s="1420"/>
      <c r="CB115" s="1368"/>
      <c r="CC115" s="1368"/>
      <c r="CD115" s="1368"/>
      <c r="CE115" s="1369"/>
      <c r="CF115" s="1368"/>
      <c r="CG115" s="1368"/>
      <c r="CH115" s="1368"/>
      <c r="CI115" s="1368"/>
      <c r="CJ115" s="1369"/>
      <c r="CK115" s="1420"/>
      <c r="CL115" s="1368"/>
      <c r="CM115" s="1368"/>
      <c r="CN115" s="1368"/>
      <c r="CO115" s="1369"/>
      <c r="CP115" s="1420"/>
      <c r="CQ115" s="1368"/>
      <c r="CR115" s="1368"/>
      <c r="CS115" s="1368"/>
      <c r="CT115" s="1369"/>
      <c r="CU115" s="1528"/>
      <c r="CV115" s="1519"/>
      <c r="CW115" s="1519"/>
      <c r="CX115" s="1728"/>
      <c r="CY115" s="1519"/>
      <c r="CZ115" s="1519"/>
      <c r="DA115" s="1519"/>
      <c r="DB115" s="1728"/>
      <c r="DC115" s="1377"/>
      <c r="DD115" s="1729"/>
      <c r="DE115" s="1734"/>
    </row>
    <row r="116" spans="1:109" ht="15.75" hidden="1" customHeight="1">
      <c r="A116" s="772" t="s">
        <v>1013</v>
      </c>
      <c r="B116" s="773">
        <v>110</v>
      </c>
      <c r="C116" s="789" t="s">
        <v>2371</v>
      </c>
      <c r="D116" s="773" t="s">
        <v>2348</v>
      </c>
      <c r="E116" s="773" t="s">
        <v>1889</v>
      </c>
      <c r="F116" s="785" t="s">
        <v>2372</v>
      </c>
      <c r="G116" s="790" t="s">
        <v>1983</v>
      </c>
      <c r="H116" s="791" t="s">
        <v>2373</v>
      </c>
      <c r="I116" s="792"/>
      <c r="J116" s="793">
        <v>1</v>
      </c>
      <c r="K116" s="793"/>
      <c r="L116" s="793"/>
      <c r="M116" s="793"/>
      <c r="N116" s="793"/>
      <c r="O116" s="793"/>
      <c r="P116" s="794"/>
      <c r="Q116" s="795">
        <f t="shared" si="1"/>
        <v>1</v>
      </c>
      <c r="R116" s="789" t="s">
        <v>1026</v>
      </c>
      <c r="S116" s="773" t="s">
        <v>1008</v>
      </c>
      <c r="T116" s="796" t="s">
        <v>1009</v>
      </c>
      <c r="U116" s="773" t="s">
        <v>1985</v>
      </c>
      <c r="V116" s="773" t="s">
        <v>2118</v>
      </c>
      <c r="W116" s="773" t="s">
        <v>2374</v>
      </c>
      <c r="X116" s="1310">
        <v>0</v>
      </c>
      <c r="Y116" s="821" t="s">
        <v>1010</v>
      </c>
      <c r="Z116" s="790" t="s">
        <v>1987</v>
      </c>
      <c r="AA116" s="785"/>
      <c r="AB116" s="785"/>
      <c r="AC116" s="785"/>
      <c r="AD116" s="785"/>
      <c r="AE116" s="785"/>
      <c r="AF116" s="790"/>
      <c r="AG116" s="797"/>
      <c r="AH116" s="797"/>
      <c r="AI116" s="797"/>
      <c r="AJ116" s="797"/>
      <c r="AK116" s="797"/>
      <c r="AL116" s="797"/>
      <c r="AM116" s="797"/>
      <c r="AN116" s="797"/>
      <c r="AO116" s="797"/>
      <c r="AP116" s="797"/>
      <c r="AQ116" s="827">
        <v>7</v>
      </c>
      <c r="AR116" s="797">
        <v>28</v>
      </c>
      <c r="AS116" s="797">
        <v>28</v>
      </c>
      <c r="AT116" s="797">
        <v>28</v>
      </c>
      <c r="AU116" s="841">
        <v>28</v>
      </c>
      <c r="AV116" s="827"/>
      <c r="AW116" s="797"/>
      <c r="AX116" s="797"/>
      <c r="AY116" s="797"/>
      <c r="AZ116" s="797"/>
      <c r="BA116" s="797"/>
      <c r="BB116" s="797"/>
      <c r="BC116" s="797"/>
      <c r="BD116" s="797"/>
      <c r="BE116" s="797"/>
      <c r="BF116" s="797"/>
      <c r="BG116" s="797"/>
      <c r="BH116" s="797"/>
      <c r="BI116" s="797"/>
      <c r="BJ116" s="797"/>
      <c r="BK116" s="841"/>
      <c r="BL116" s="789" t="s">
        <v>168</v>
      </c>
      <c r="BM116" s="785" t="s">
        <v>168</v>
      </c>
      <c r="BN116" s="785" t="s">
        <v>168</v>
      </c>
      <c r="BO116" s="785" t="s">
        <v>168</v>
      </c>
      <c r="BP116" s="796" t="s">
        <v>168</v>
      </c>
      <c r="BQ116" s="808" t="s">
        <v>1942</v>
      </c>
      <c r="BR116" s="800" t="s">
        <v>1942</v>
      </c>
      <c r="BS116" s="800" t="s">
        <v>1942</v>
      </c>
      <c r="BT116" s="800" t="s">
        <v>1942</v>
      </c>
      <c r="BU116" s="805" t="s">
        <v>1942</v>
      </c>
      <c r="BV116" s="808" t="s">
        <v>1942</v>
      </c>
      <c r="BW116" s="800" t="s">
        <v>1942</v>
      </c>
      <c r="BX116" s="800" t="s">
        <v>1942</v>
      </c>
      <c r="BY116" s="800" t="s">
        <v>1942</v>
      </c>
      <c r="BZ116" s="800" t="s">
        <v>1942</v>
      </c>
      <c r="CA116" s="808" t="s">
        <v>1942</v>
      </c>
      <c r="CB116" s="800" t="s">
        <v>1942</v>
      </c>
      <c r="CC116" s="800" t="s">
        <v>1942</v>
      </c>
      <c r="CD116" s="800" t="s">
        <v>1942</v>
      </c>
      <c r="CE116" s="805" t="s">
        <v>1942</v>
      </c>
      <c r="CF116" s="800" t="s">
        <v>1942</v>
      </c>
      <c r="CG116" s="800" t="s">
        <v>1942</v>
      </c>
      <c r="CH116" s="800" t="s">
        <v>1942</v>
      </c>
      <c r="CI116" s="800" t="s">
        <v>1942</v>
      </c>
      <c r="CJ116" s="805" t="s">
        <v>1942</v>
      </c>
      <c r="CK116" s="808" t="s">
        <v>1942</v>
      </c>
      <c r="CL116" s="800" t="s">
        <v>1942</v>
      </c>
      <c r="CM116" s="800" t="s">
        <v>1942</v>
      </c>
      <c r="CN116" s="800" t="s">
        <v>1942</v>
      </c>
      <c r="CO116" s="805" t="s">
        <v>1942</v>
      </c>
      <c r="CP116" s="808" t="s">
        <v>1942</v>
      </c>
      <c r="CQ116" s="800" t="s">
        <v>1942</v>
      </c>
      <c r="CR116" s="800" t="s">
        <v>1942</v>
      </c>
      <c r="CS116" s="800" t="s">
        <v>1942</v>
      </c>
      <c r="CT116" s="805" t="s">
        <v>1942</v>
      </c>
      <c r="CU116" s="1284">
        <v>-9.8900000000000008E-4</v>
      </c>
      <c r="CV116" s="1283" t="s">
        <v>1942</v>
      </c>
      <c r="CW116" s="1283" t="s">
        <v>1942</v>
      </c>
      <c r="CX116" s="1285" t="s">
        <v>1942</v>
      </c>
      <c r="CY116" s="1283">
        <v>0</v>
      </c>
      <c r="CZ116" s="1283" t="s">
        <v>1942</v>
      </c>
      <c r="DA116" s="1283" t="s">
        <v>1942</v>
      </c>
      <c r="DB116" s="1285" t="s">
        <v>1942</v>
      </c>
      <c r="DC116" s="785"/>
      <c r="DD116" s="813">
        <v>1</v>
      </c>
      <c r="DE116" s="814"/>
    </row>
    <row r="117" spans="1:109" ht="15.75" hidden="1" customHeight="1">
      <c r="A117" s="772" t="s">
        <v>1013</v>
      </c>
      <c r="B117" s="773">
        <v>111</v>
      </c>
      <c r="C117" s="789" t="s">
        <v>2375</v>
      </c>
      <c r="D117" s="773" t="s">
        <v>2376</v>
      </c>
      <c r="E117" s="773" t="s">
        <v>1907</v>
      </c>
      <c r="F117" s="785" t="s">
        <v>2377</v>
      </c>
      <c r="G117" s="790" t="s">
        <v>2378</v>
      </c>
      <c r="H117" s="791" t="s">
        <v>2379</v>
      </c>
      <c r="I117" s="792"/>
      <c r="J117" s="793"/>
      <c r="K117" s="793">
        <v>1</v>
      </c>
      <c r="L117" s="793"/>
      <c r="M117" s="793"/>
      <c r="N117" s="793"/>
      <c r="O117" s="793"/>
      <c r="P117" s="794"/>
      <c r="Q117" s="795">
        <f t="shared" si="1"/>
        <v>1</v>
      </c>
      <c r="R117" s="789" t="s">
        <v>1030</v>
      </c>
      <c r="S117" s="773" t="s">
        <v>1008</v>
      </c>
      <c r="T117" s="796" t="s">
        <v>1019</v>
      </c>
      <c r="U117" s="773" t="s">
        <v>2106</v>
      </c>
      <c r="V117" s="773" t="s">
        <v>1033</v>
      </c>
      <c r="W117" s="773" t="s">
        <v>2380</v>
      </c>
      <c r="X117" s="1310">
        <v>1</v>
      </c>
      <c r="Y117" s="821" t="s">
        <v>1010</v>
      </c>
      <c r="Z117" s="790"/>
      <c r="AA117" s="785"/>
      <c r="AB117" s="785"/>
      <c r="AC117" s="785"/>
      <c r="AD117" s="785"/>
      <c r="AE117" s="785"/>
      <c r="AF117" s="790"/>
      <c r="AG117" s="800"/>
      <c r="AH117" s="800"/>
      <c r="AI117" s="800"/>
      <c r="AJ117" s="800"/>
      <c r="AK117" s="800"/>
      <c r="AL117" s="816"/>
      <c r="AM117" s="816"/>
      <c r="AN117" s="816"/>
      <c r="AO117" s="816"/>
      <c r="AP117" s="816"/>
      <c r="AQ117" s="817">
        <v>0</v>
      </c>
      <c r="AR117" s="816">
        <v>0</v>
      </c>
      <c r="AS117" s="816">
        <v>0</v>
      </c>
      <c r="AT117" s="816">
        <v>46</v>
      </c>
      <c r="AU117" s="818">
        <v>0</v>
      </c>
      <c r="AV117" s="817"/>
      <c r="AW117" s="816"/>
      <c r="AX117" s="816"/>
      <c r="AY117" s="816"/>
      <c r="AZ117" s="816"/>
      <c r="BA117" s="816"/>
      <c r="BB117" s="816"/>
      <c r="BC117" s="816"/>
      <c r="BD117" s="816"/>
      <c r="BE117" s="816"/>
      <c r="BF117" s="816"/>
      <c r="BG117" s="816"/>
      <c r="BH117" s="816"/>
      <c r="BI117" s="816"/>
      <c r="BJ117" s="816"/>
      <c r="BK117" s="818"/>
      <c r="BL117" s="789" t="s">
        <v>168</v>
      </c>
      <c r="BM117" s="785" t="s">
        <v>168</v>
      </c>
      <c r="BN117" s="785" t="s">
        <v>168</v>
      </c>
      <c r="BO117" s="785" t="s">
        <v>168</v>
      </c>
      <c r="BP117" s="796" t="s">
        <v>168</v>
      </c>
      <c r="BQ117" s="808" t="s">
        <v>1942</v>
      </c>
      <c r="BR117" s="800" t="s">
        <v>1942</v>
      </c>
      <c r="BS117" s="800" t="s">
        <v>1942</v>
      </c>
      <c r="BT117" s="800" t="s">
        <v>1942</v>
      </c>
      <c r="BU117" s="805" t="s">
        <v>1942</v>
      </c>
      <c r="BV117" s="808" t="s">
        <v>1942</v>
      </c>
      <c r="BW117" s="800" t="s">
        <v>1942</v>
      </c>
      <c r="BX117" s="800" t="s">
        <v>1942</v>
      </c>
      <c r="BY117" s="800" t="s">
        <v>1942</v>
      </c>
      <c r="BZ117" s="800" t="s">
        <v>1942</v>
      </c>
      <c r="CA117" s="808" t="s">
        <v>1942</v>
      </c>
      <c r="CB117" s="800" t="s">
        <v>1942</v>
      </c>
      <c r="CC117" s="800" t="s">
        <v>1942</v>
      </c>
      <c r="CD117" s="800" t="s">
        <v>1942</v>
      </c>
      <c r="CE117" s="805" t="s">
        <v>1942</v>
      </c>
      <c r="CF117" s="800" t="s">
        <v>1942</v>
      </c>
      <c r="CG117" s="800" t="s">
        <v>1942</v>
      </c>
      <c r="CH117" s="800" t="s">
        <v>1942</v>
      </c>
      <c r="CI117" s="800" t="s">
        <v>1942</v>
      </c>
      <c r="CJ117" s="805" t="s">
        <v>1942</v>
      </c>
      <c r="CK117" s="808" t="s">
        <v>1942</v>
      </c>
      <c r="CL117" s="800" t="s">
        <v>1942</v>
      </c>
      <c r="CM117" s="800" t="s">
        <v>1942</v>
      </c>
      <c r="CN117" s="800" t="s">
        <v>1942</v>
      </c>
      <c r="CO117" s="805" t="s">
        <v>1942</v>
      </c>
      <c r="CP117" s="808" t="s">
        <v>1942</v>
      </c>
      <c r="CQ117" s="800" t="s">
        <v>1942</v>
      </c>
      <c r="CR117" s="800" t="s">
        <v>1942</v>
      </c>
      <c r="CS117" s="800" t="s">
        <v>1942</v>
      </c>
      <c r="CT117" s="805" t="s">
        <v>1942</v>
      </c>
      <c r="CU117" s="1284">
        <v>-1.9599999999999999E-2</v>
      </c>
      <c r="CV117" s="1283" t="s">
        <v>1942</v>
      </c>
      <c r="CW117" s="1283" t="s">
        <v>1942</v>
      </c>
      <c r="CX117" s="1285" t="s">
        <v>1942</v>
      </c>
      <c r="CY117" s="1283">
        <v>1.9599999999999999E-2</v>
      </c>
      <c r="CZ117" s="1283" t="s">
        <v>1942</v>
      </c>
      <c r="DA117" s="1283" t="s">
        <v>1942</v>
      </c>
      <c r="DB117" s="1285" t="s">
        <v>1942</v>
      </c>
      <c r="DC117" s="785"/>
      <c r="DD117" s="813">
        <v>1</v>
      </c>
      <c r="DE117" s="814"/>
    </row>
    <row r="118" spans="1:109" ht="15.75" hidden="1" customHeight="1">
      <c r="A118" s="772" t="s">
        <v>1013</v>
      </c>
      <c r="B118" s="773">
        <v>112</v>
      </c>
      <c r="C118" s="789" t="s">
        <v>2381</v>
      </c>
      <c r="D118" s="773" t="s">
        <v>2376</v>
      </c>
      <c r="E118" s="773" t="s">
        <v>1907</v>
      </c>
      <c r="F118" s="785" t="s">
        <v>2382</v>
      </c>
      <c r="G118" s="790" t="s">
        <v>2383</v>
      </c>
      <c r="H118" s="791" t="s">
        <v>2384</v>
      </c>
      <c r="I118" s="792">
        <v>0.5</v>
      </c>
      <c r="J118" s="793"/>
      <c r="K118" s="793">
        <v>0.5</v>
      </c>
      <c r="L118" s="793"/>
      <c r="M118" s="793"/>
      <c r="N118" s="793"/>
      <c r="O118" s="793"/>
      <c r="P118" s="794"/>
      <c r="Q118" s="795">
        <f t="shared" si="1"/>
        <v>1</v>
      </c>
      <c r="R118" s="789" t="s">
        <v>1030</v>
      </c>
      <c r="S118" s="773" t="s">
        <v>1008</v>
      </c>
      <c r="T118" s="796" t="s">
        <v>1009</v>
      </c>
      <c r="U118" s="773" t="s">
        <v>2289</v>
      </c>
      <c r="V118" s="773" t="s">
        <v>1033</v>
      </c>
      <c r="W118" s="773" t="s">
        <v>2385</v>
      </c>
      <c r="X118" s="1310">
        <v>2</v>
      </c>
      <c r="Y118" s="821" t="s">
        <v>1010</v>
      </c>
      <c r="Z118" s="790"/>
      <c r="AA118" s="785"/>
      <c r="AB118" s="785"/>
      <c r="AC118" s="785"/>
      <c r="AD118" s="785"/>
      <c r="AE118" s="785"/>
      <c r="AF118" s="790"/>
      <c r="AG118" s="800"/>
      <c r="AH118" s="800"/>
      <c r="AI118" s="800"/>
      <c r="AJ118" s="800"/>
      <c r="AK118" s="800"/>
      <c r="AL118" s="807"/>
      <c r="AM118" s="807"/>
      <c r="AN118" s="807"/>
      <c r="AO118" s="807"/>
      <c r="AP118" s="807"/>
      <c r="AQ118" s="806">
        <v>100</v>
      </c>
      <c r="AR118" s="807">
        <v>150</v>
      </c>
      <c r="AS118" s="807">
        <v>150</v>
      </c>
      <c r="AT118" s="807">
        <v>30</v>
      </c>
      <c r="AU118" s="820">
        <v>20</v>
      </c>
      <c r="AV118" s="806"/>
      <c r="AW118" s="807"/>
      <c r="AX118" s="807"/>
      <c r="AY118" s="807"/>
      <c r="AZ118" s="807"/>
      <c r="BA118" s="807"/>
      <c r="BB118" s="807"/>
      <c r="BC118" s="807"/>
      <c r="BD118" s="807"/>
      <c r="BE118" s="807"/>
      <c r="BF118" s="807"/>
      <c r="BG118" s="807"/>
      <c r="BH118" s="807"/>
      <c r="BI118" s="807"/>
      <c r="BJ118" s="807"/>
      <c r="BK118" s="820"/>
      <c r="BL118" s="789" t="s">
        <v>168</v>
      </c>
      <c r="BM118" s="785" t="s">
        <v>168</v>
      </c>
      <c r="BN118" s="785" t="s">
        <v>168</v>
      </c>
      <c r="BO118" s="785" t="s">
        <v>168</v>
      </c>
      <c r="BP118" s="796" t="s">
        <v>168</v>
      </c>
      <c r="BQ118" s="808" t="s">
        <v>1942</v>
      </c>
      <c r="BR118" s="800" t="s">
        <v>1942</v>
      </c>
      <c r="BS118" s="800" t="s">
        <v>1942</v>
      </c>
      <c r="BT118" s="800" t="s">
        <v>1942</v>
      </c>
      <c r="BU118" s="805" t="s">
        <v>1942</v>
      </c>
      <c r="BV118" s="808">
        <v>60</v>
      </c>
      <c r="BW118" s="800">
        <v>90</v>
      </c>
      <c r="BX118" s="800">
        <v>90</v>
      </c>
      <c r="BY118" s="800">
        <v>18</v>
      </c>
      <c r="BZ118" s="800">
        <v>12</v>
      </c>
      <c r="CA118" s="808" t="s">
        <v>1942</v>
      </c>
      <c r="CB118" s="800" t="s">
        <v>1942</v>
      </c>
      <c r="CC118" s="800" t="s">
        <v>1942</v>
      </c>
      <c r="CD118" s="800" t="s">
        <v>1942</v>
      </c>
      <c r="CE118" s="805" t="s">
        <v>1942</v>
      </c>
      <c r="CF118" s="800" t="s">
        <v>1942</v>
      </c>
      <c r="CG118" s="800" t="s">
        <v>1942</v>
      </c>
      <c r="CH118" s="800" t="s">
        <v>1942</v>
      </c>
      <c r="CI118" s="800" t="s">
        <v>1942</v>
      </c>
      <c r="CJ118" s="805" t="s">
        <v>1942</v>
      </c>
      <c r="CK118" s="806">
        <v>150</v>
      </c>
      <c r="CL118" s="807">
        <v>225</v>
      </c>
      <c r="CM118" s="807">
        <v>225</v>
      </c>
      <c r="CN118" s="807">
        <v>45</v>
      </c>
      <c r="CO118" s="820">
        <v>30</v>
      </c>
      <c r="CP118" s="808" t="s">
        <v>1942</v>
      </c>
      <c r="CQ118" s="800" t="s">
        <v>1942</v>
      </c>
      <c r="CR118" s="800" t="s">
        <v>1942</v>
      </c>
      <c r="CS118" s="800" t="s">
        <v>1942</v>
      </c>
      <c r="CT118" s="805" t="s">
        <v>1942</v>
      </c>
      <c r="CU118" s="1284">
        <v>-8.3299999999999997E-4</v>
      </c>
      <c r="CV118" s="1283" t="s">
        <v>1942</v>
      </c>
      <c r="CW118" s="1283" t="s">
        <v>1942</v>
      </c>
      <c r="CX118" s="1285" t="s">
        <v>1942</v>
      </c>
      <c r="CY118" s="1283">
        <v>8.3299999999999997E-4</v>
      </c>
      <c r="CZ118" s="1283" t="s">
        <v>1942</v>
      </c>
      <c r="DA118" s="1283" t="s">
        <v>1942</v>
      </c>
      <c r="DB118" s="1285" t="s">
        <v>1942</v>
      </c>
      <c r="DC118" s="785"/>
      <c r="DD118" s="813">
        <v>1</v>
      </c>
      <c r="DE118" s="814"/>
    </row>
    <row r="119" spans="1:109" ht="15.75" hidden="1" customHeight="1">
      <c r="A119" s="772" t="s">
        <v>1013</v>
      </c>
      <c r="B119" s="773">
        <v>113</v>
      </c>
      <c r="C119" s="789" t="s">
        <v>2386</v>
      </c>
      <c r="D119" s="773" t="s">
        <v>2376</v>
      </c>
      <c r="E119" s="773" t="s">
        <v>1907</v>
      </c>
      <c r="F119" s="785" t="s">
        <v>2387</v>
      </c>
      <c r="G119" s="790" t="s">
        <v>2388</v>
      </c>
      <c r="H119" s="791" t="s">
        <v>2389</v>
      </c>
      <c r="I119" s="792"/>
      <c r="J119" s="793"/>
      <c r="K119" s="793"/>
      <c r="L119" s="793">
        <v>1</v>
      </c>
      <c r="M119" s="793"/>
      <c r="N119" s="793"/>
      <c r="O119" s="793"/>
      <c r="P119" s="794"/>
      <c r="Q119" s="795">
        <f t="shared" si="1"/>
        <v>1</v>
      </c>
      <c r="R119" s="789" t="s">
        <v>1026</v>
      </c>
      <c r="S119" s="773" t="s">
        <v>1008</v>
      </c>
      <c r="T119" s="796" t="s">
        <v>1009</v>
      </c>
      <c r="U119" s="773" t="s">
        <v>763</v>
      </c>
      <c r="V119" s="773" t="s">
        <v>278</v>
      </c>
      <c r="W119" s="773" t="s">
        <v>2390</v>
      </c>
      <c r="X119" s="1310">
        <v>2</v>
      </c>
      <c r="Y119" s="821" t="s">
        <v>1010</v>
      </c>
      <c r="Z119" s="790"/>
      <c r="AA119" s="785"/>
      <c r="AB119" s="785"/>
      <c r="AC119" s="785"/>
      <c r="AD119" s="785"/>
      <c r="AE119" s="785"/>
      <c r="AF119" s="790"/>
      <c r="AG119" s="807"/>
      <c r="AH119" s="807"/>
      <c r="AI119" s="807"/>
      <c r="AJ119" s="807"/>
      <c r="AK119" s="807"/>
      <c r="AL119" s="807"/>
      <c r="AM119" s="807"/>
      <c r="AN119" s="807"/>
      <c r="AO119" s="807"/>
      <c r="AP119" s="807"/>
      <c r="AQ119" s="806">
        <v>100</v>
      </c>
      <c r="AR119" s="807">
        <v>100</v>
      </c>
      <c r="AS119" s="807">
        <v>100</v>
      </c>
      <c r="AT119" s="807">
        <v>100</v>
      </c>
      <c r="AU119" s="820">
        <v>100</v>
      </c>
      <c r="AV119" s="806"/>
      <c r="AW119" s="807"/>
      <c r="AX119" s="807"/>
      <c r="AY119" s="807"/>
      <c r="AZ119" s="807"/>
      <c r="BA119" s="807"/>
      <c r="BB119" s="807"/>
      <c r="BC119" s="807"/>
      <c r="BD119" s="807"/>
      <c r="BE119" s="807"/>
      <c r="BF119" s="807"/>
      <c r="BG119" s="807"/>
      <c r="BH119" s="807"/>
      <c r="BI119" s="807"/>
      <c r="BJ119" s="807"/>
      <c r="BK119" s="820"/>
      <c r="BL119" s="789" t="s">
        <v>168</v>
      </c>
      <c r="BM119" s="785" t="s">
        <v>168</v>
      </c>
      <c r="BN119" s="785" t="s">
        <v>168</v>
      </c>
      <c r="BO119" s="785" t="s">
        <v>168</v>
      </c>
      <c r="BP119" s="796" t="s">
        <v>168</v>
      </c>
      <c r="BQ119" s="808" t="s">
        <v>1942</v>
      </c>
      <c r="BR119" s="800" t="s">
        <v>1942</v>
      </c>
      <c r="BS119" s="800" t="s">
        <v>1942</v>
      </c>
      <c r="BT119" s="800" t="s">
        <v>1942</v>
      </c>
      <c r="BU119" s="805" t="s">
        <v>1942</v>
      </c>
      <c r="BV119" s="808" t="s">
        <v>1942</v>
      </c>
      <c r="BW119" s="800" t="s">
        <v>1942</v>
      </c>
      <c r="BX119" s="800" t="s">
        <v>1942</v>
      </c>
      <c r="BY119" s="800" t="s">
        <v>1942</v>
      </c>
      <c r="BZ119" s="800" t="s">
        <v>1942</v>
      </c>
      <c r="CA119" s="808" t="s">
        <v>1942</v>
      </c>
      <c r="CB119" s="800" t="s">
        <v>1942</v>
      </c>
      <c r="CC119" s="800" t="s">
        <v>1942</v>
      </c>
      <c r="CD119" s="800" t="s">
        <v>1942</v>
      </c>
      <c r="CE119" s="805" t="s">
        <v>1942</v>
      </c>
      <c r="CF119" s="800" t="s">
        <v>1942</v>
      </c>
      <c r="CG119" s="800" t="s">
        <v>1942</v>
      </c>
      <c r="CH119" s="800" t="s">
        <v>1942</v>
      </c>
      <c r="CI119" s="800" t="s">
        <v>1942</v>
      </c>
      <c r="CJ119" s="805" t="s">
        <v>1942</v>
      </c>
      <c r="CK119" s="808" t="s">
        <v>1942</v>
      </c>
      <c r="CL119" s="800" t="s">
        <v>1942</v>
      </c>
      <c r="CM119" s="800" t="s">
        <v>1942</v>
      </c>
      <c r="CN119" s="800" t="s">
        <v>1942</v>
      </c>
      <c r="CO119" s="805" t="s">
        <v>1942</v>
      </c>
      <c r="CP119" s="808" t="s">
        <v>1942</v>
      </c>
      <c r="CQ119" s="800" t="s">
        <v>1942</v>
      </c>
      <c r="CR119" s="800" t="s">
        <v>1942</v>
      </c>
      <c r="CS119" s="800" t="s">
        <v>1942</v>
      </c>
      <c r="CT119" s="805" t="s">
        <v>1942</v>
      </c>
      <c r="CU119" s="1284">
        <v>-9.0700000000000004E-4</v>
      </c>
      <c r="CV119" s="1283" t="s">
        <v>1942</v>
      </c>
      <c r="CW119" s="1283" t="s">
        <v>1942</v>
      </c>
      <c r="CX119" s="1285" t="s">
        <v>1942</v>
      </c>
      <c r="CY119" s="1283" t="s">
        <v>1942</v>
      </c>
      <c r="CZ119" s="1283" t="s">
        <v>1942</v>
      </c>
      <c r="DA119" s="1283" t="s">
        <v>1942</v>
      </c>
      <c r="DB119" s="1285" t="s">
        <v>1942</v>
      </c>
      <c r="DC119" s="785"/>
      <c r="DD119" s="813">
        <v>1</v>
      </c>
      <c r="DE119" s="814"/>
    </row>
    <row r="120" spans="1:109" ht="15.75" hidden="1" customHeight="1">
      <c r="A120" s="772" t="s">
        <v>1013</v>
      </c>
      <c r="B120" s="773">
        <v>114</v>
      </c>
      <c r="C120" s="789" t="s">
        <v>2391</v>
      </c>
      <c r="D120" s="773" t="s">
        <v>2376</v>
      </c>
      <c r="E120" s="773" t="s">
        <v>1907</v>
      </c>
      <c r="F120" s="785" t="s">
        <v>2392</v>
      </c>
      <c r="G120" s="790" t="s">
        <v>1058</v>
      </c>
      <c r="H120" s="791" t="s">
        <v>2393</v>
      </c>
      <c r="I120" s="792"/>
      <c r="J120" s="793">
        <v>0.5</v>
      </c>
      <c r="K120" s="793">
        <v>0.5</v>
      </c>
      <c r="L120" s="793"/>
      <c r="M120" s="793"/>
      <c r="N120" s="793"/>
      <c r="O120" s="793"/>
      <c r="P120" s="794"/>
      <c r="Q120" s="795">
        <f t="shared" si="1"/>
        <v>1</v>
      </c>
      <c r="R120" s="789" t="s">
        <v>1026</v>
      </c>
      <c r="S120" s="773" t="s">
        <v>1008</v>
      </c>
      <c r="T120" s="796" t="s">
        <v>1009</v>
      </c>
      <c r="U120" s="773" t="s">
        <v>2085</v>
      </c>
      <c r="V120" s="773" t="s">
        <v>278</v>
      </c>
      <c r="W120" s="773" t="s">
        <v>2394</v>
      </c>
      <c r="X120" s="1310">
        <v>2</v>
      </c>
      <c r="Y120" s="821" t="s">
        <v>1010</v>
      </c>
      <c r="Z120" s="790" t="s">
        <v>1058</v>
      </c>
      <c r="AA120" s="785"/>
      <c r="AB120" s="785"/>
      <c r="AC120" s="785"/>
      <c r="AD120" s="785"/>
      <c r="AE120" s="785"/>
      <c r="AF120" s="790"/>
      <c r="AG120" s="800"/>
      <c r="AH120" s="800"/>
      <c r="AI120" s="800"/>
      <c r="AJ120" s="800"/>
      <c r="AK120" s="800"/>
      <c r="AL120" s="800"/>
      <c r="AM120" s="800"/>
      <c r="AN120" s="800"/>
      <c r="AO120" s="800"/>
      <c r="AP120" s="800"/>
      <c r="AQ120" s="1420"/>
      <c r="AR120" s="1368"/>
      <c r="AS120" s="1368"/>
      <c r="AT120" s="1368"/>
      <c r="AU120" s="1369"/>
      <c r="AV120" s="808"/>
      <c r="AW120" s="800"/>
      <c r="AX120" s="800"/>
      <c r="AY120" s="800"/>
      <c r="AZ120" s="800"/>
      <c r="BA120" s="800"/>
      <c r="BB120" s="800"/>
      <c r="BC120" s="800"/>
      <c r="BD120" s="800"/>
      <c r="BE120" s="800"/>
      <c r="BF120" s="800"/>
      <c r="BG120" s="800"/>
      <c r="BH120" s="800"/>
      <c r="BI120" s="800"/>
      <c r="BJ120" s="800"/>
      <c r="BK120" s="805"/>
      <c r="BL120" s="1376"/>
      <c r="BM120" s="1377"/>
      <c r="BN120" s="1377"/>
      <c r="BO120" s="1377"/>
      <c r="BP120" s="1440"/>
      <c r="BQ120" s="1420"/>
      <c r="BR120" s="1368"/>
      <c r="BS120" s="1368"/>
      <c r="BT120" s="1368"/>
      <c r="BU120" s="1369"/>
      <c r="BV120" s="1420"/>
      <c r="BW120" s="1368"/>
      <c r="BX120" s="1368"/>
      <c r="BY120" s="1368"/>
      <c r="BZ120" s="1368"/>
      <c r="CA120" s="1420"/>
      <c r="CB120" s="1368"/>
      <c r="CC120" s="1368"/>
      <c r="CD120" s="1368"/>
      <c r="CE120" s="1369"/>
      <c r="CF120" s="1368"/>
      <c r="CG120" s="1368"/>
      <c r="CH120" s="1368"/>
      <c r="CI120" s="1368"/>
      <c r="CJ120" s="1368"/>
      <c r="CK120" s="1420"/>
      <c r="CL120" s="1368"/>
      <c r="CM120" s="1368"/>
      <c r="CN120" s="1368"/>
      <c r="CO120" s="1369"/>
      <c r="CP120" s="1420"/>
      <c r="CQ120" s="1368"/>
      <c r="CR120" s="1368"/>
      <c r="CS120" s="1368"/>
      <c r="CT120" s="1369"/>
      <c r="CU120" s="1528"/>
      <c r="CV120" s="1519"/>
      <c r="CW120" s="1519"/>
      <c r="CX120" s="1728"/>
      <c r="CY120" s="1519"/>
      <c r="CZ120" s="1519"/>
      <c r="DA120" s="1519"/>
      <c r="DB120" s="1728"/>
      <c r="DC120" s="1377"/>
      <c r="DD120" s="1729"/>
      <c r="DE120" s="1734"/>
    </row>
    <row r="121" spans="1:109" ht="15.75" hidden="1" customHeight="1">
      <c r="A121" s="772" t="s">
        <v>1013</v>
      </c>
      <c r="B121" s="773">
        <v>115</v>
      </c>
      <c r="C121" s="789" t="s">
        <v>2395</v>
      </c>
      <c r="D121" s="773" t="s">
        <v>2396</v>
      </c>
      <c r="E121" s="773" t="s">
        <v>1907</v>
      </c>
      <c r="F121" s="785" t="s">
        <v>2397</v>
      </c>
      <c r="G121" s="790" t="s">
        <v>2398</v>
      </c>
      <c r="H121" s="791" t="s">
        <v>2399</v>
      </c>
      <c r="I121" s="792">
        <v>0.35</v>
      </c>
      <c r="J121" s="793">
        <v>0.35</v>
      </c>
      <c r="K121" s="793">
        <v>0.3</v>
      </c>
      <c r="L121" s="793"/>
      <c r="M121" s="793"/>
      <c r="N121" s="793"/>
      <c r="O121" s="793"/>
      <c r="P121" s="794"/>
      <c r="Q121" s="795">
        <f t="shared" si="1"/>
        <v>1</v>
      </c>
      <c r="R121" s="789" t="s">
        <v>1007</v>
      </c>
      <c r="S121" s="773"/>
      <c r="T121" s="796"/>
      <c r="U121" s="773" t="s">
        <v>2400</v>
      </c>
      <c r="V121" s="773" t="s">
        <v>1033</v>
      </c>
      <c r="W121" s="773" t="s">
        <v>2401</v>
      </c>
      <c r="X121" s="1310">
        <v>0</v>
      </c>
      <c r="Y121" s="821" t="s">
        <v>1010</v>
      </c>
      <c r="Z121" s="790"/>
      <c r="AA121" s="785"/>
      <c r="AB121" s="785"/>
      <c r="AC121" s="785"/>
      <c r="AD121" s="785"/>
      <c r="AE121" s="785"/>
      <c r="AF121" s="790"/>
      <c r="AG121" s="800"/>
      <c r="AH121" s="800"/>
      <c r="AI121" s="800"/>
      <c r="AJ121" s="800"/>
      <c r="AK121" s="800"/>
      <c r="AL121" s="800"/>
      <c r="AM121" s="800"/>
      <c r="AN121" s="800"/>
      <c r="AO121" s="800"/>
      <c r="AP121" s="800"/>
      <c r="AQ121" s="808">
        <v>797</v>
      </c>
      <c r="AR121" s="800">
        <v>797</v>
      </c>
      <c r="AS121" s="800">
        <v>797</v>
      </c>
      <c r="AT121" s="800">
        <v>797</v>
      </c>
      <c r="AU121" s="805">
        <v>797</v>
      </c>
      <c r="AV121" s="808"/>
      <c r="AW121" s="800"/>
      <c r="AX121" s="800"/>
      <c r="AY121" s="800"/>
      <c r="AZ121" s="800"/>
      <c r="BA121" s="800"/>
      <c r="BB121" s="800"/>
      <c r="BC121" s="800"/>
      <c r="BD121" s="800"/>
      <c r="BE121" s="800"/>
      <c r="BF121" s="800"/>
      <c r="BG121" s="800"/>
      <c r="BH121" s="800"/>
      <c r="BI121" s="800"/>
      <c r="BJ121" s="800"/>
      <c r="BK121" s="805"/>
      <c r="BL121" s="789"/>
      <c r="BM121" s="785"/>
      <c r="BN121" s="785"/>
      <c r="BO121" s="785"/>
      <c r="BP121" s="796"/>
      <c r="BQ121" s="808" t="s">
        <v>1942</v>
      </c>
      <c r="BR121" s="800" t="s">
        <v>1942</v>
      </c>
      <c r="BS121" s="800" t="s">
        <v>1942</v>
      </c>
      <c r="BT121" s="800" t="s">
        <v>1942</v>
      </c>
      <c r="BU121" s="805" t="s">
        <v>1942</v>
      </c>
      <c r="BV121" s="808" t="s">
        <v>1942</v>
      </c>
      <c r="BW121" s="800" t="s">
        <v>1942</v>
      </c>
      <c r="BX121" s="800" t="s">
        <v>1942</v>
      </c>
      <c r="BY121" s="800" t="s">
        <v>1942</v>
      </c>
      <c r="BZ121" s="800" t="s">
        <v>1942</v>
      </c>
      <c r="CA121" s="808" t="s">
        <v>1942</v>
      </c>
      <c r="CB121" s="800" t="s">
        <v>1942</v>
      </c>
      <c r="CC121" s="800" t="s">
        <v>1942</v>
      </c>
      <c r="CD121" s="800" t="s">
        <v>1942</v>
      </c>
      <c r="CE121" s="805" t="s">
        <v>1942</v>
      </c>
      <c r="CF121" s="800" t="s">
        <v>1942</v>
      </c>
      <c r="CG121" s="800" t="s">
        <v>1942</v>
      </c>
      <c r="CH121" s="800" t="s">
        <v>1942</v>
      </c>
      <c r="CI121" s="800" t="s">
        <v>1942</v>
      </c>
      <c r="CJ121" s="805" t="s">
        <v>1942</v>
      </c>
      <c r="CK121" s="808" t="s">
        <v>1942</v>
      </c>
      <c r="CL121" s="800" t="s">
        <v>1942</v>
      </c>
      <c r="CM121" s="800" t="s">
        <v>1942</v>
      </c>
      <c r="CN121" s="800" t="s">
        <v>1942</v>
      </c>
      <c r="CO121" s="805" t="s">
        <v>1942</v>
      </c>
      <c r="CP121" s="808" t="s">
        <v>1942</v>
      </c>
      <c r="CQ121" s="800" t="s">
        <v>1942</v>
      </c>
      <c r="CR121" s="800" t="s">
        <v>1942</v>
      </c>
      <c r="CS121" s="800" t="s">
        <v>1942</v>
      </c>
      <c r="CT121" s="805" t="s">
        <v>1942</v>
      </c>
      <c r="CU121" s="1284" t="s">
        <v>1942</v>
      </c>
      <c r="CV121" s="1283" t="s">
        <v>1942</v>
      </c>
      <c r="CW121" s="1283" t="s">
        <v>1942</v>
      </c>
      <c r="CX121" s="1285" t="s">
        <v>1942</v>
      </c>
      <c r="CY121" s="1283" t="s">
        <v>1942</v>
      </c>
      <c r="CZ121" s="1283" t="s">
        <v>1942</v>
      </c>
      <c r="DA121" s="1283" t="s">
        <v>1942</v>
      </c>
      <c r="DB121" s="1285" t="s">
        <v>1942</v>
      </c>
      <c r="DC121" s="785"/>
      <c r="DD121" s="813">
        <v>1</v>
      </c>
      <c r="DE121" s="814"/>
    </row>
    <row r="122" spans="1:109" ht="15.75" hidden="1" customHeight="1">
      <c r="A122" s="772" t="s">
        <v>1013</v>
      </c>
      <c r="B122" s="773">
        <v>116</v>
      </c>
      <c r="C122" s="789" t="s">
        <v>2402</v>
      </c>
      <c r="D122" s="773" t="s">
        <v>2403</v>
      </c>
      <c r="E122" s="773" t="s">
        <v>1889</v>
      </c>
      <c r="F122" s="785" t="s">
        <v>2404</v>
      </c>
      <c r="G122" s="790" t="s">
        <v>732</v>
      </c>
      <c r="H122" s="791" t="s">
        <v>2405</v>
      </c>
      <c r="I122" s="792"/>
      <c r="J122" s="793"/>
      <c r="K122" s="793">
        <v>1</v>
      </c>
      <c r="L122" s="793"/>
      <c r="M122" s="793"/>
      <c r="N122" s="793"/>
      <c r="O122" s="793"/>
      <c r="P122" s="794"/>
      <c r="Q122" s="795">
        <f t="shared" si="1"/>
        <v>1</v>
      </c>
      <c r="R122" s="789" t="s">
        <v>1030</v>
      </c>
      <c r="S122" s="773" t="s">
        <v>1008</v>
      </c>
      <c r="T122" s="796" t="s">
        <v>1009</v>
      </c>
      <c r="U122" s="773" t="s">
        <v>2058</v>
      </c>
      <c r="V122" s="773" t="s">
        <v>1033</v>
      </c>
      <c r="W122" s="773" t="s">
        <v>2406</v>
      </c>
      <c r="X122" s="1310">
        <v>2</v>
      </c>
      <c r="Y122" s="821" t="s">
        <v>1020</v>
      </c>
      <c r="Z122" s="790" t="s">
        <v>732</v>
      </c>
      <c r="AA122" s="785"/>
      <c r="AB122" s="785"/>
      <c r="AC122" s="785"/>
      <c r="AD122" s="785"/>
      <c r="AE122" s="785"/>
      <c r="AF122" s="790"/>
      <c r="AG122" s="800"/>
      <c r="AH122" s="800"/>
      <c r="AI122" s="800"/>
      <c r="AJ122" s="800"/>
      <c r="AK122" s="800"/>
      <c r="AL122" s="800"/>
      <c r="AM122" s="800"/>
      <c r="AN122" s="800"/>
      <c r="AO122" s="800"/>
      <c r="AP122" s="800"/>
      <c r="AQ122" s="1420"/>
      <c r="AR122" s="1368"/>
      <c r="AS122" s="1368"/>
      <c r="AT122" s="1368"/>
      <c r="AU122" s="1369"/>
      <c r="AV122" s="808"/>
      <c r="AW122" s="800"/>
      <c r="AX122" s="800"/>
      <c r="AY122" s="800"/>
      <c r="AZ122" s="800"/>
      <c r="BA122" s="800"/>
      <c r="BB122" s="800"/>
      <c r="BC122" s="800"/>
      <c r="BD122" s="800"/>
      <c r="BE122" s="800"/>
      <c r="BF122" s="800"/>
      <c r="BG122" s="800"/>
      <c r="BH122" s="800"/>
      <c r="BI122" s="800"/>
      <c r="BJ122" s="800"/>
      <c r="BK122" s="805"/>
      <c r="BL122" s="1376"/>
      <c r="BM122" s="1377"/>
      <c r="BN122" s="1377"/>
      <c r="BO122" s="1377"/>
      <c r="BP122" s="1440"/>
      <c r="BQ122" s="1420"/>
      <c r="BR122" s="1368"/>
      <c r="BS122" s="1368"/>
      <c r="BT122" s="1368"/>
      <c r="BU122" s="1369"/>
      <c r="BV122" s="1421"/>
      <c r="BW122" s="1373"/>
      <c r="BX122" s="1373"/>
      <c r="BY122" s="1373"/>
      <c r="BZ122" s="1373"/>
      <c r="CA122" s="1420"/>
      <c r="CB122" s="1368"/>
      <c r="CC122" s="1368"/>
      <c r="CD122" s="1368"/>
      <c r="CE122" s="1369"/>
      <c r="CF122" s="1368"/>
      <c r="CG122" s="1368"/>
      <c r="CH122" s="1368"/>
      <c r="CI122" s="1368"/>
      <c r="CJ122" s="1369"/>
      <c r="CK122" s="1421"/>
      <c r="CL122" s="1373"/>
      <c r="CM122" s="1373"/>
      <c r="CN122" s="1373"/>
      <c r="CO122" s="1374"/>
      <c r="CP122" s="1420"/>
      <c r="CQ122" s="1368"/>
      <c r="CR122" s="1368"/>
      <c r="CS122" s="1368"/>
      <c r="CT122" s="1369"/>
      <c r="CU122" s="1528"/>
      <c r="CV122" s="1519"/>
      <c r="CW122" s="1519"/>
      <c r="CX122" s="1728"/>
      <c r="CY122" s="1519"/>
      <c r="CZ122" s="1519"/>
      <c r="DA122" s="1519"/>
      <c r="DB122" s="1728"/>
      <c r="DC122" s="1377"/>
      <c r="DD122" s="1729"/>
      <c r="DE122" s="1734"/>
    </row>
    <row r="123" spans="1:109" ht="15.75" hidden="1" customHeight="1">
      <c r="A123" s="772" t="s">
        <v>1013</v>
      </c>
      <c r="B123" s="773">
        <v>117</v>
      </c>
      <c r="C123" s="789" t="s">
        <v>2407</v>
      </c>
      <c r="D123" s="773" t="s">
        <v>2403</v>
      </c>
      <c r="E123" s="773" t="s">
        <v>1889</v>
      </c>
      <c r="F123" s="785" t="s">
        <v>2408</v>
      </c>
      <c r="G123" s="790" t="s">
        <v>736</v>
      </c>
      <c r="H123" s="791" t="s">
        <v>2409</v>
      </c>
      <c r="I123" s="792"/>
      <c r="J123" s="793"/>
      <c r="K123" s="793">
        <v>1</v>
      </c>
      <c r="L123" s="793"/>
      <c r="M123" s="793"/>
      <c r="N123" s="793"/>
      <c r="O123" s="793"/>
      <c r="P123" s="794"/>
      <c r="Q123" s="795">
        <f t="shared" si="1"/>
        <v>1</v>
      </c>
      <c r="R123" s="789" t="s">
        <v>1026</v>
      </c>
      <c r="S123" s="773" t="s">
        <v>1008</v>
      </c>
      <c r="T123" s="796" t="s">
        <v>1009</v>
      </c>
      <c r="U123" s="773" t="s">
        <v>736</v>
      </c>
      <c r="V123" s="773" t="s">
        <v>1033</v>
      </c>
      <c r="W123" s="773" t="s">
        <v>2410</v>
      </c>
      <c r="X123" s="1310">
        <v>2</v>
      </c>
      <c r="Y123" s="821" t="s">
        <v>1020</v>
      </c>
      <c r="Z123" s="790" t="s">
        <v>736</v>
      </c>
      <c r="AA123" s="785"/>
      <c r="AB123" s="785"/>
      <c r="AC123" s="785"/>
      <c r="AD123" s="785"/>
      <c r="AE123" s="785"/>
      <c r="AF123" s="790"/>
      <c r="AG123" s="800"/>
      <c r="AH123" s="800"/>
      <c r="AI123" s="800"/>
      <c r="AJ123" s="800"/>
      <c r="AK123" s="800"/>
      <c r="AL123" s="800"/>
      <c r="AM123" s="800"/>
      <c r="AN123" s="800"/>
      <c r="AO123" s="800"/>
      <c r="AP123" s="800"/>
      <c r="AQ123" s="1421"/>
      <c r="AR123" s="1373"/>
      <c r="AS123" s="1373"/>
      <c r="AT123" s="1373"/>
      <c r="AU123" s="1374"/>
      <c r="AV123" s="808"/>
      <c r="AW123" s="800"/>
      <c r="AX123" s="800"/>
      <c r="AY123" s="800"/>
      <c r="AZ123" s="800"/>
      <c r="BA123" s="800"/>
      <c r="BB123" s="800"/>
      <c r="BC123" s="800"/>
      <c r="BD123" s="800"/>
      <c r="BE123" s="800"/>
      <c r="BF123" s="800"/>
      <c r="BG123" s="800"/>
      <c r="BH123" s="800"/>
      <c r="BI123" s="800"/>
      <c r="BJ123" s="800"/>
      <c r="BK123" s="805"/>
      <c r="BL123" s="1376"/>
      <c r="BM123" s="1377"/>
      <c r="BN123" s="1377"/>
      <c r="BO123" s="1377"/>
      <c r="BP123" s="1440"/>
      <c r="BQ123" s="1420"/>
      <c r="BR123" s="1368"/>
      <c r="BS123" s="1368"/>
      <c r="BT123" s="1368"/>
      <c r="BU123" s="1369"/>
      <c r="BV123" s="1421"/>
      <c r="BW123" s="1373"/>
      <c r="BX123" s="1373"/>
      <c r="BY123" s="1373"/>
      <c r="BZ123" s="1373"/>
      <c r="CA123" s="1420"/>
      <c r="CB123" s="1368"/>
      <c r="CC123" s="1368"/>
      <c r="CD123" s="1368"/>
      <c r="CE123" s="1369"/>
      <c r="CF123" s="1368"/>
      <c r="CG123" s="1368"/>
      <c r="CH123" s="1368"/>
      <c r="CI123" s="1368"/>
      <c r="CJ123" s="1369"/>
      <c r="CK123" s="1420"/>
      <c r="CL123" s="1368"/>
      <c r="CM123" s="1368"/>
      <c r="CN123" s="1368"/>
      <c r="CO123" s="1369"/>
      <c r="CP123" s="1420"/>
      <c r="CQ123" s="1368"/>
      <c r="CR123" s="1368"/>
      <c r="CS123" s="1368"/>
      <c r="CT123" s="1369"/>
      <c r="CU123" s="1528"/>
      <c r="CV123" s="1519"/>
      <c r="CW123" s="1519"/>
      <c r="CX123" s="1728"/>
      <c r="CY123" s="1519"/>
      <c r="CZ123" s="1519"/>
      <c r="DA123" s="1519"/>
      <c r="DB123" s="1728"/>
      <c r="DC123" s="1377"/>
      <c r="DD123" s="1729"/>
      <c r="DE123" s="1734"/>
    </row>
    <row r="124" spans="1:109" ht="15.75" hidden="1" customHeight="1">
      <c r="A124" s="772" t="s">
        <v>1013</v>
      </c>
      <c r="B124" s="773">
        <v>118</v>
      </c>
      <c r="C124" s="789" t="s">
        <v>2411</v>
      </c>
      <c r="D124" s="773" t="s">
        <v>2403</v>
      </c>
      <c r="E124" s="773" t="s">
        <v>1896</v>
      </c>
      <c r="F124" s="785" t="s">
        <v>2412</v>
      </c>
      <c r="G124" s="790" t="s">
        <v>2413</v>
      </c>
      <c r="H124" s="791" t="s">
        <v>2414</v>
      </c>
      <c r="I124" s="792"/>
      <c r="J124" s="793"/>
      <c r="K124" s="793">
        <v>1</v>
      </c>
      <c r="L124" s="793"/>
      <c r="M124" s="793"/>
      <c r="N124" s="793"/>
      <c r="O124" s="793"/>
      <c r="P124" s="794"/>
      <c r="Q124" s="795">
        <f t="shared" si="1"/>
        <v>1</v>
      </c>
      <c r="R124" s="789" t="s">
        <v>1030</v>
      </c>
      <c r="S124" s="773" t="s">
        <v>1008</v>
      </c>
      <c r="T124" s="796" t="s">
        <v>1009</v>
      </c>
      <c r="U124" s="773" t="s">
        <v>2081</v>
      </c>
      <c r="V124" s="773" t="s">
        <v>1033</v>
      </c>
      <c r="W124" s="773" t="s">
        <v>2415</v>
      </c>
      <c r="X124" s="1310">
        <v>0</v>
      </c>
      <c r="Y124" s="821" t="s">
        <v>1020</v>
      </c>
      <c r="Z124" s="790" t="s">
        <v>2416</v>
      </c>
      <c r="AA124" s="785"/>
      <c r="AB124" s="785"/>
      <c r="AC124" s="785"/>
      <c r="AD124" s="785"/>
      <c r="AE124" s="785"/>
      <c r="AF124" s="790"/>
      <c r="AG124" s="800"/>
      <c r="AH124" s="800"/>
      <c r="AI124" s="800"/>
      <c r="AJ124" s="800"/>
      <c r="AK124" s="800"/>
      <c r="AL124" s="800"/>
      <c r="AM124" s="800"/>
      <c r="AN124" s="800"/>
      <c r="AO124" s="800"/>
      <c r="AP124" s="800"/>
      <c r="AQ124" s="808">
        <v>290</v>
      </c>
      <c r="AR124" s="800">
        <v>287</v>
      </c>
      <c r="AS124" s="800">
        <v>283</v>
      </c>
      <c r="AT124" s="800">
        <v>279</v>
      </c>
      <c r="AU124" s="805">
        <v>276</v>
      </c>
      <c r="AV124" s="808"/>
      <c r="AW124" s="800"/>
      <c r="AX124" s="800"/>
      <c r="AY124" s="800"/>
      <c r="AZ124" s="800"/>
      <c r="BA124" s="800"/>
      <c r="BB124" s="800"/>
      <c r="BC124" s="800"/>
      <c r="BD124" s="800"/>
      <c r="BE124" s="800"/>
      <c r="BF124" s="800"/>
      <c r="BG124" s="800"/>
      <c r="BH124" s="800"/>
      <c r="BI124" s="800"/>
      <c r="BJ124" s="800"/>
      <c r="BK124" s="805"/>
      <c r="BL124" s="789" t="s">
        <v>168</v>
      </c>
      <c r="BM124" s="785" t="s">
        <v>168</v>
      </c>
      <c r="BN124" s="785" t="s">
        <v>168</v>
      </c>
      <c r="BO124" s="785" t="s">
        <v>168</v>
      </c>
      <c r="BP124" s="796" t="s">
        <v>168</v>
      </c>
      <c r="BQ124" s="808" t="s">
        <v>1942</v>
      </c>
      <c r="BR124" s="800" t="s">
        <v>1942</v>
      </c>
      <c r="BS124" s="800" t="s">
        <v>1942</v>
      </c>
      <c r="BT124" s="800" t="s">
        <v>1942</v>
      </c>
      <c r="BU124" s="805" t="s">
        <v>1942</v>
      </c>
      <c r="BV124" s="808" t="s">
        <v>1942</v>
      </c>
      <c r="BW124" s="800" t="s">
        <v>1942</v>
      </c>
      <c r="BX124" s="800" t="s">
        <v>1942</v>
      </c>
      <c r="BY124" s="800" t="s">
        <v>1942</v>
      </c>
      <c r="BZ124" s="800" t="s">
        <v>1942</v>
      </c>
      <c r="CA124" s="808" t="s">
        <v>1942</v>
      </c>
      <c r="CB124" s="800" t="s">
        <v>1942</v>
      </c>
      <c r="CC124" s="800" t="s">
        <v>1942</v>
      </c>
      <c r="CD124" s="800" t="s">
        <v>1942</v>
      </c>
      <c r="CE124" s="805" t="s">
        <v>1942</v>
      </c>
      <c r="CF124" s="800" t="s">
        <v>1942</v>
      </c>
      <c r="CG124" s="800" t="s">
        <v>1942</v>
      </c>
      <c r="CH124" s="800" t="s">
        <v>1942</v>
      </c>
      <c r="CI124" s="800" t="s">
        <v>1942</v>
      </c>
      <c r="CJ124" s="805" t="s">
        <v>1942</v>
      </c>
      <c r="CK124" s="806">
        <v>265</v>
      </c>
      <c r="CL124" s="807">
        <v>265</v>
      </c>
      <c r="CM124" s="807">
        <v>265</v>
      </c>
      <c r="CN124" s="807">
        <v>265</v>
      </c>
      <c r="CO124" s="820">
        <v>265</v>
      </c>
      <c r="CP124" s="808" t="s">
        <v>1942</v>
      </c>
      <c r="CQ124" s="800" t="s">
        <v>1942</v>
      </c>
      <c r="CR124" s="800" t="s">
        <v>1942</v>
      </c>
      <c r="CS124" s="800" t="s">
        <v>1942</v>
      </c>
      <c r="CT124" s="805" t="s">
        <v>1942</v>
      </c>
      <c r="CU124" s="1284">
        <v>-1.392E-3</v>
      </c>
      <c r="CV124" s="1283" t="s">
        <v>1942</v>
      </c>
      <c r="CW124" s="1283" t="s">
        <v>1942</v>
      </c>
      <c r="CX124" s="1285" t="s">
        <v>1942</v>
      </c>
      <c r="CY124" s="1283">
        <v>1.4E-5</v>
      </c>
      <c r="CZ124" s="1283" t="s">
        <v>1942</v>
      </c>
      <c r="DA124" s="1283" t="s">
        <v>1942</v>
      </c>
      <c r="DB124" s="1285" t="s">
        <v>1942</v>
      </c>
      <c r="DC124" s="785"/>
      <c r="DD124" s="813">
        <v>1</v>
      </c>
      <c r="DE124" s="814"/>
    </row>
    <row r="125" spans="1:109" ht="15.75" hidden="1" customHeight="1">
      <c r="A125" s="772" t="s">
        <v>1013</v>
      </c>
      <c r="B125" s="773">
        <v>119</v>
      </c>
      <c r="C125" s="789" t="s">
        <v>2417</v>
      </c>
      <c r="D125" s="773" t="s">
        <v>2403</v>
      </c>
      <c r="E125" s="773" t="s">
        <v>1907</v>
      </c>
      <c r="F125" s="785" t="s">
        <v>2418</v>
      </c>
      <c r="G125" s="790" t="s">
        <v>839</v>
      </c>
      <c r="H125" s="791" t="s">
        <v>2419</v>
      </c>
      <c r="I125" s="792"/>
      <c r="J125" s="793"/>
      <c r="K125" s="793">
        <v>1</v>
      </c>
      <c r="L125" s="793"/>
      <c r="M125" s="793"/>
      <c r="N125" s="793"/>
      <c r="O125" s="793"/>
      <c r="P125" s="794"/>
      <c r="Q125" s="795">
        <f t="shared" si="1"/>
        <v>1</v>
      </c>
      <c r="R125" s="789" t="s">
        <v>1007</v>
      </c>
      <c r="S125" s="773"/>
      <c r="T125" s="796"/>
      <c r="U125" s="773" t="s">
        <v>1910</v>
      </c>
      <c r="V125" s="773" t="s">
        <v>278</v>
      </c>
      <c r="W125" s="773" t="s">
        <v>2420</v>
      </c>
      <c r="X125" s="1311">
        <v>2</v>
      </c>
      <c r="Y125" s="821" t="s">
        <v>1010</v>
      </c>
      <c r="Z125" s="790" t="s">
        <v>839</v>
      </c>
      <c r="AA125" s="785"/>
      <c r="AB125" s="785"/>
      <c r="AC125" s="785"/>
      <c r="AD125" s="785"/>
      <c r="AE125" s="785"/>
      <c r="AF125" s="790"/>
      <c r="AG125" s="800"/>
      <c r="AH125" s="800"/>
      <c r="AI125" s="800"/>
      <c r="AJ125" s="800"/>
      <c r="AK125" s="800"/>
      <c r="AL125" s="800"/>
      <c r="AM125" s="800"/>
      <c r="AN125" s="800"/>
      <c r="AO125" s="800"/>
      <c r="AP125" s="800"/>
      <c r="AQ125" s="1420"/>
      <c r="AR125" s="1368"/>
      <c r="AS125" s="1368"/>
      <c r="AT125" s="1368"/>
      <c r="AU125" s="1369"/>
      <c r="AV125" s="808"/>
      <c r="AW125" s="800"/>
      <c r="AX125" s="800"/>
      <c r="AY125" s="800"/>
      <c r="AZ125" s="800"/>
      <c r="BA125" s="800"/>
      <c r="BB125" s="800"/>
      <c r="BC125" s="800"/>
      <c r="BD125" s="800"/>
      <c r="BE125" s="800"/>
      <c r="BF125" s="800"/>
      <c r="BG125" s="800"/>
      <c r="BH125" s="800"/>
      <c r="BI125" s="800"/>
      <c r="BJ125" s="800"/>
      <c r="BK125" s="805"/>
      <c r="BL125" s="1376"/>
      <c r="BM125" s="1377"/>
      <c r="BN125" s="1377"/>
      <c r="BO125" s="1377"/>
      <c r="BP125" s="1440"/>
      <c r="BQ125" s="1420"/>
      <c r="BR125" s="1368"/>
      <c r="BS125" s="1368"/>
      <c r="BT125" s="1368"/>
      <c r="BU125" s="1369"/>
      <c r="BV125" s="1420"/>
      <c r="BW125" s="1368"/>
      <c r="BX125" s="1368"/>
      <c r="BY125" s="1368"/>
      <c r="BZ125" s="1368"/>
      <c r="CA125" s="1420"/>
      <c r="CB125" s="1368"/>
      <c r="CC125" s="1368"/>
      <c r="CD125" s="1368"/>
      <c r="CE125" s="1369"/>
      <c r="CF125" s="1368"/>
      <c r="CG125" s="1368"/>
      <c r="CH125" s="1368"/>
      <c r="CI125" s="1368"/>
      <c r="CJ125" s="1369"/>
      <c r="CK125" s="1420"/>
      <c r="CL125" s="1368"/>
      <c r="CM125" s="1368"/>
      <c r="CN125" s="1368"/>
      <c r="CO125" s="1369"/>
      <c r="CP125" s="1420"/>
      <c r="CQ125" s="1368"/>
      <c r="CR125" s="1368"/>
      <c r="CS125" s="1368"/>
      <c r="CT125" s="1369"/>
      <c r="CU125" s="1528"/>
      <c r="CV125" s="1519"/>
      <c r="CW125" s="1519"/>
      <c r="CX125" s="1728"/>
      <c r="CY125" s="1519"/>
      <c r="CZ125" s="1519"/>
      <c r="DA125" s="1519"/>
      <c r="DB125" s="1728"/>
      <c r="DC125" s="1377"/>
      <c r="DD125" s="1729"/>
      <c r="DE125" s="1734"/>
    </row>
    <row r="126" spans="1:109" ht="15.75" hidden="1" customHeight="1">
      <c r="A126" s="772" t="s">
        <v>1013</v>
      </c>
      <c r="B126" s="773">
        <v>120</v>
      </c>
      <c r="C126" s="789" t="s">
        <v>2421</v>
      </c>
      <c r="D126" s="773" t="s">
        <v>2403</v>
      </c>
      <c r="E126" s="773" t="s">
        <v>1907</v>
      </c>
      <c r="F126" s="785" t="s">
        <v>2422</v>
      </c>
      <c r="G126" s="790" t="s">
        <v>743</v>
      </c>
      <c r="H126" s="791" t="s">
        <v>2423</v>
      </c>
      <c r="I126" s="792"/>
      <c r="J126" s="793"/>
      <c r="K126" s="793">
        <v>1</v>
      </c>
      <c r="L126" s="793"/>
      <c r="M126" s="793"/>
      <c r="N126" s="793"/>
      <c r="O126" s="793"/>
      <c r="P126" s="794"/>
      <c r="Q126" s="795">
        <f t="shared" si="1"/>
        <v>1</v>
      </c>
      <c r="R126" s="789" t="s">
        <v>1026</v>
      </c>
      <c r="S126" s="773" t="s">
        <v>1008</v>
      </c>
      <c r="T126" s="796" t="s">
        <v>1009</v>
      </c>
      <c r="U126" s="773" t="s">
        <v>2081</v>
      </c>
      <c r="V126" s="773" t="s">
        <v>1033</v>
      </c>
      <c r="W126" s="773" t="s">
        <v>2424</v>
      </c>
      <c r="X126" s="1310">
        <v>2</v>
      </c>
      <c r="Y126" s="798" t="s">
        <v>1020</v>
      </c>
      <c r="Z126" s="790" t="s">
        <v>743</v>
      </c>
      <c r="AA126" s="785"/>
      <c r="AB126" s="785"/>
      <c r="AC126" s="785"/>
      <c r="AD126" s="785"/>
      <c r="AE126" s="785"/>
      <c r="AF126" s="799"/>
      <c r="AG126" s="800"/>
      <c r="AH126" s="800"/>
      <c r="AI126" s="800"/>
      <c r="AJ126" s="800"/>
      <c r="AK126" s="800"/>
      <c r="AL126" s="800"/>
      <c r="AM126" s="800"/>
      <c r="AN126" s="800"/>
      <c r="AO126" s="800"/>
      <c r="AP126" s="800"/>
      <c r="AQ126" s="1420"/>
      <c r="AR126" s="1368"/>
      <c r="AS126" s="1368"/>
      <c r="AT126" s="1368"/>
      <c r="AU126" s="1369"/>
      <c r="AV126" s="808"/>
      <c r="AW126" s="800"/>
      <c r="AX126" s="800"/>
      <c r="AY126" s="800"/>
      <c r="AZ126" s="800"/>
      <c r="BA126" s="800"/>
      <c r="BB126" s="800"/>
      <c r="BC126" s="800"/>
      <c r="BD126" s="800"/>
      <c r="BE126" s="800"/>
      <c r="BF126" s="800"/>
      <c r="BG126" s="800"/>
      <c r="BH126" s="800"/>
      <c r="BI126" s="800"/>
      <c r="BJ126" s="800"/>
      <c r="BK126" s="805"/>
      <c r="BL126" s="1376"/>
      <c r="BM126" s="1377"/>
      <c r="BN126" s="1377"/>
      <c r="BO126" s="1377"/>
      <c r="BP126" s="1440"/>
      <c r="BQ126" s="1420"/>
      <c r="BR126" s="1368"/>
      <c r="BS126" s="1368"/>
      <c r="BT126" s="1368"/>
      <c r="BU126" s="1369"/>
      <c r="BV126" s="1420"/>
      <c r="BW126" s="1368"/>
      <c r="BX126" s="1368"/>
      <c r="BY126" s="1368"/>
      <c r="BZ126" s="1368"/>
      <c r="CA126" s="1420"/>
      <c r="CB126" s="1368"/>
      <c r="CC126" s="1368"/>
      <c r="CD126" s="1368"/>
      <c r="CE126" s="1369"/>
      <c r="CF126" s="1368"/>
      <c r="CG126" s="1368"/>
      <c r="CH126" s="1368"/>
      <c r="CI126" s="1368"/>
      <c r="CJ126" s="1369"/>
      <c r="CK126" s="1420"/>
      <c r="CL126" s="1368"/>
      <c r="CM126" s="1368"/>
      <c r="CN126" s="1368"/>
      <c r="CO126" s="1369"/>
      <c r="CP126" s="1420"/>
      <c r="CQ126" s="1368"/>
      <c r="CR126" s="1368"/>
      <c r="CS126" s="1368"/>
      <c r="CT126" s="1369"/>
      <c r="CU126" s="1528"/>
      <c r="CV126" s="1519"/>
      <c r="CW126" s="1519"/>
      <c r="CX126" s="1728"/>
      <c r="CY126" s="1519"/>
      <c r="CZ126" s="1519"/>
      <c r="DA126" s="1519"/>
      <c r="DB126" s="1728"/>
      <c r="DC126" s="1377"/>
      <c r="DD126" s="1729"/>
      <c r="DE126" s="1734"/>
    </row>
    <row r="127" spans="1:109" ht="15.75" hidden="1" customHeight="1">
      <c r="A127" s="772" t="s">
        <v>1013</v>
      </c>
      <c r="B127" s="773">
        <v>121</v>
      </c>
      <c r="C127" s="789" t="s">
        <v>2425</v>
      </c>
      <c r="D127" s="773" t="s">
        <v>2426</v>
      </c>
      <c r="E127" s="773" t="s">
        <v>1907</v>
      </c>
      <c r="F127" s="785" t="s">
        <v>2427</v>
      </c>
      <c r="G127" s="790" t="s">
        <v>2428</v>
      </c>
      <c r="H127" s="791" t="s">
        <v>2429</v>
      </c>
      <c r="I127" s="792"/>
      <c r="J127" s="793"/>
      <c r="K127" s="793"/>
      <c r="L127" s="793"/>
      <c r="M127" s="793">
        <v>1</v>
      </c>
      <c r="N127" s="793"/>
      <c r="O127" s="793"/>
      <c r="P127" s="794"/>
      <c r="Q127" s="795">
        <f t="shared" si="1"/>
        <v>1</v>
      </c>
      <c r="R127" s="789" t="s">
        <v>1030</v>
      </c>
      <c r="S127" s="773" t="s">
        <v>1008</v>
      </c>
      <c r="T127" s="796" t="s">
        <v>1009</v>
      </c>
      <c r="U127" s="773" t="s">
        <v>2117</v>
      </c>
      <c r="V127" s="773" t="s">
        <v>2118</v>
      </c>
      <c r="W127" s="773" t="s">
        <v>2430</v>
      </c>
      <c r="X127" s="1311">
        <v>2</v>
      </c>
      <c r="Y127" s="798" t="s">
        <v>1020</v>
      </c>
      <c r="Z127" s="790"/>
      <c r="AA127" s="785"/>
      <c r="AB127" s="785"/>
      <c r="AC127" s="785"/>
      <c r="AD127" s="785"/>
      <c r="AE127" s="785"/>
      <c r="AF127" s="799"/>
      <c r="AG127" s="800"/>
      <c r="AH127" s="800"/>
      <c r="AI127" s="800"/>
      <c r="AJ127" s="800"/>
      <c r="AK127" s="800"/>
      <c r="AL127" s="800"/>
      <c r="AM127" s="800"/>
      <c r="AN127" s="800"/>
      <c r="AO127" s="800"/>
      <c r="AP127" s="800"/>
      <c r="AQ127" s="808">
        <v>5.94</v>
      </c>
      <c r="AR127" s="800">
        <v>5.58</v>
      </c>
      <c r="AS127" s="800">
        <v>5.22</v>
      </c>
      <c r="AT127" s="800">
        <v>4.8600000000000003</v>
      </c>
      <c r="AU127" s="805">
        <v>4.5</v>
      </c>
      <c r="AV127" s="808"/>
      <c r="AW127" s="800"/>
      <c r="AX127" s="800"/>
      <c r="AY127" s="800"/>
      <c r="AZ127" s="800"/>
      <c r="BA127" s="800"/>
      <c r="BB127" s="800"/>
      <c r="BC127" s="800"/>
      <c r="BD127" s="800"/>
      <c r="BE127" s="800"/>
      <c r="BF127" s="800"/>
      <c r="BG127" s="800"/>
      <c r="BH127" s="800"/>
      <c r="BI127" s="800"/>
      <c r="BJ127" s="800"/>
      <c r="BK127" s="805"/>
      <c r="BL127" s="789" t="s">
        <v>168</v>
      </c>
      <c r="BM127" s="785" t="s">
        <v>168</v>
      </c>
      <c r="BN127" s="785" t="s">
        <v>168</v>
      </c>
      <c r="BO127" s="785" t="s">
        <v>168</v>
      </c>
      <c r="BP127" s="796" t="s">
        <v>168</v>
      </c>
      <c r="BQ127" s="804" t="s">
        <v>1942</v>
      </c>
      <c r="BR127" s="800" t="s">
        <v>1942</v>
      </c>
      <c r="BS127" s="800" t="s">
        <v>1942</v>
      </c>
      <c r="BT127" s="800" t="s">
        <v>1942</v>
      </c>
      <c r="BU127" s="805" t="s">
        <v>1942</v>
      </c>
      <c r="BV127" s="806">
        <v>5.94</v>
      </c>
      <c r="BW127" s="807">
        <v>5.94</v>
      </c>
      <c r="BX127" s="807">
        <v>5.94</v>
      </c>
      <c r="BY127" s="807">
        <v>5.94</v>
      </c>
      <c r="BZ127" s="807">
        <v>5.94</v>
      </c>
      <c r="CA127" s="808" t="s">
        <v>1942</v>
      </c>
      <c r="CB127" s="800" t="s">
        <v>1942</v>
      </c>
      <c r="CC127" s="800" t="s">
        <v>1942</v>
      </c>
      <c r="CD127" s="800" t="s">
        <v>1942</v>
      </c>
      <c r="CE127" s="805" t="s">
        <v>1942</v>
      </c>
      <c r="CF127" s="810" t="s">
        <v>1942</v>
      </c>
      <c r="CG127" s="810" t="s">
        <v>1942</v>
      </c>
      <c r="CH127" s="810" t="s">
        <v>1942</v>
      </c>
      <c r="CI127" s="810" t="s">
        <v>1942</v>
      </c>
      <c r="CJ127" s="811" t="s">
        <v>1942</v>
      </c>
      <c r="CK127" s="808">
        <v>5.44</v>
      </c>
      <c r="CL127" s="800">
        <v>5.08</v>
      </c>
      <c r="CM127" s="800">
        <v>4.5</v>
      </c>
      <c r="CN127" s="800">
        <v>3.78</v>
      </c>
      <c r="CO127" s="805">
        <v>3.06</v>
      </c>
      <c r="CP127" s="808" t="s">
        <v>1942</v>
      </c>
      <c r="CQ127" s="800" t="s">
        <v>1942</v>
      </c>
      <c r="CR127" s="800" t="s">
        <v>1942</v>
      </c>
      <c r="CS127" s="800" t="s">
        <v>1942</v>
      </c>
      <c r="CT127" s="805" t="s">
        <v>1942</v>
      </c>
      <c r="CU127" s="1284">
        <v>-7.8E-2</v>
      </c>
      <c r="CV127" s="1283" t="s">
        <v>1942</v>
      </c>
      <c r="CW127" s="1283" t="s">
        <v>1942</v>
      </c>
      <c r="CX127" s="1285" t="s">
        <v>1942</v>
      </c>
      <c r="CY127" s="1283">
        <v>7.8E-2</v>
      </c>
      <c r="CZ127" s="1283" t="s">
        <v>1942</v>
      </c>
      <c r="DA127" s="1283" t="s">
        <v>1942</v>
      </c>
      <c r="DB127" s="1285" t="s">
        <v>1942</v>
      </c>
      <c r="DC127" s="785" t="s">
        <v>131</v>
      </c>
      <c r="DD127" s="813">
        <v>1</v>
      </c>
      <c r="DE127" s="814"/>
    </row>
    <row r="128" spans="1:109" ht="15.75" hidden="1" customHeight="1">
      <c r="A128" s="772" t="s">
        <v>1013</v>
      </c>
      <c r="B128" s="773">
        <v>122</v>
      </c>
      <c r="C128" s="789" t="s">
        <v>2431</v>
      </c>
      <c r="D128" s="773" t="s">
        <v>2432</v>
      </c>
      <c r="E128" s="773" t="s">
        <v>1907</v>
      </c>
      <c r="F128" s="785" t="s">
        <v>2433</v>
      </c>
      <c r="G128" s="790" t="s">
        <v>1931</v>
      </c>
      <c r="H128" s="791" t="s">
        <v>2434</v>
      </c>
      <c r="I128" s="792"/>
      <c r="J128" s="793"/>
      <c r="K128" s="793"/>
      <c r="L128" s="793"/>
      <c r="M128" s="793">
        <v>1</v>
      </c>
      <c r="N128" s="793"/>
      <c r="O128" s="793"/>
      <c r="P128" s="794"/>
      <c r="Q128" s="795">
        <f t="shared" si="1"/>
        <v>1</v>
      </c>
      <c r="R128" s="789" t="s">
        <v>1030</v>
      </c>
      <c r="S128" s="773" t="s">
        <v>1008</v>
      </c>
      <c r="T128" s="796" t="s">
        <v>1009</v>
      </c>
      <c r="U128" s="773" t="s">
        <v>1069</v>
      </c>
      <c r="V128" s="773" t="s">
        <v>1081</v>
      </c>
      <c r="W128" s="773" t="s">
        <v>2435</v>
      </c>
      <c r="X128" s="1310">
        <v>2</v>
      </c>
      <c r="Y128" s="798" t="s">
        <v>1010</v>
      </c>
      <c r="Z128" s="790" t="s">
        <v>1931</v>
      </c>
      <c r="AA128" s="785"/>
      <c r="AB128" s="785"/>
      <c r="AC128" s="785"/>
      <c r="AD128" s="785"/>
      <c r="AE128" s="785"/>
      <c r="AF128" s="799"/>
      <c r="AG128" s="800"/>
      <c r="AH128" s="800"/>
      <c r="AI128" s="800"/>
      <c r="AJ128" s="800"/>
      <c r="AK128" s="800"/>
      <c r="AL128" s="800"/>
      <c r="AM128" s="800"/>
      <c r="AN128" s="800"/>
      <c r="AO128" s="800"/>
      <c r="AP128" s="800"/>
      <c r="AQ128" s="1421"/>
      <c r="AR128" s="1373"/>
      <c r="AS128" s="1373"/>
      <c r="AT128" s="1373"/>
      <c r="AU128" s="1374"/>
      <c r="AV128" s="806"/>
      <c r="AW128" s="807"/>
      <c r="AX128" s="807"/>
      <c r="AY128" s="807"/>
      <c r="AZ128" s="807"/>
      <c r="BA128" s="807"/>
      <c r="BB128" s="807"/>
      <c r="BC128" s="807"/>
      <c r="BD128" s="807"/>
      <c r="BE128" s="807"/>
      <c r="BF128" s="800"/>
      <c r="BG128" s="800"/>
      <c r="BH128" s="800"/>
      <c r="BI128" s="800"/>
      <c r="BJ128" s="800"/>
      <c r="BK128" s="805"/>
      <c r="BL128" s="1376"/>
      <c r="BM128" s="1377"/>
      <c r="BN128" s="1377"/>
      <c r="BO128" s="1377"/>
      <c r="BP128" s="1440"/>
      <c r="BQ128" s="1420"/>
      <c r="BR128" s="1368"/>
      <c r="BS128" s="1368"/>
      <c r="BT128" s="1368"/>
      <c r="BU128" s="1369"/>
      <c r="BV128" s="1420"/>
      <c r="BW128" s="1368"/>
      <c r="BX128" s="1368"/>
      <c r="BY128" s="1368"/>
      <c r="BZ128" s="1368"/>
      <c r="CA128" s="1420"/>
      <c r="CB128" s="1368"/>
      <c r="CC128" s="1368"/>
      <c r="CD128" s="1368"/>
      <c r="CE128" s="1369"/>
      <c r="CF128" s="1368"/>
      <c r="CG128" s="1368"/>
      <c r="CH128" s="1368"/>
      <c r="CI128" s="1368"/>
      <c r="CJ128" s="1369"/>
      <c r="CK128" s="1420"/>
      <c r="CL128" s="1368"/>
      <c r="CM128" s="1368"/>
      <c r="CN128" s="1368"/>
      <c r="CO128" s="1369"/>
      <c r="CP128" s="1420"/>
      <c r="CQ128" s="1368"/>
      <c r="CR128" s="1368"/>
      <c r="CS128" s="1368"/>
      <c r="CT128" s="1369"/>
      <c r="CU128" s="1528"/>
      <c r="CV128" s="1519"/>
      <c r="CW128" s="1519"/>
      <c r="CX128" s="1728"/>
      <c r="CY128" s="1519"/>
      <c r="CZ128" s="1519"/>
      <c r="DA128" s="1519"/>
      <c r="DB128" s="1728"/>
      <c r="DC128" s="1377"/>
      <c r="DD128" s="1729"/>
      <c r="DE128" s="1734"/>
    </row>
    <row r="129" spans="1:109" ht="15.75" hidden="1" customHeight="1">
      <c r="A129" s="772" t="s">
        <v>1013</v>
      </c>
      <c r="B129" s="773">
        <v>123</v>
      </c>
      <c r="C129" s="789" t="s">
        <v>2436</v>
      </c>
      <c r="D129" s="773" t="s">
        <v>2432</v>
      </c>
      <c r="E129" s="773" t="s">
        <v>1907</v>
      </c>
      <c r="F129" s="785" t="s">
        <v>2437</v>
      </c>
      <c r="G129" s="790" t="s">
        <v>1935</v>
      </c>
      <c r="H129" s="791" t="s">
        <v>2438</v>
      </c>
      <c r="I129" s="792"/>
      <c r="J129" s="793">
        <v>0.5</v>
      </c>
      <c r="K129" s="793">
        <v>0.5</v>
      </c>
      <c r="L129" s="793"/>
      <c r="M129" s="793"/>
      <c r="N129" s="793"/>
      <c r="O129" s="793"/>
      <c r="P129" s="794"/>
      <c r="Q129" s="795">
        <f t="shared" si="1"/>
        <v>1</v>
      </c>
      <c r="R129" s="789" t="s">
        <v>1030</v>
      </c>
      <c r="S129" s="773" t="s">
        <v>1008</v>
      </c>
      <c r="T129" s="796" t="s">
        <v>1009</v>
      </c>
      <c r="U129" s="773" t="s">
        <v>1073</v>
      </c>
      <c r="V129" s="773" t="s">
        <v>1081</v>
      </c>
      <c r="W129" s="773" t="s">
        <v>2439</v>
      </c>
      <c r="X129" s="1310">
        <v>2</v>
      </c>
      <c r="Y129" s="798" t="s">
        <v>1010</v>
      </c>
      <c r="Z129" s="790" t="s">
        <v>1935</v>
      </c>
      <c r="AA129" s="785"/>
      <c r="AB129" s="785"/>
      <c r="AC129" s="785"/>
      <c r="AD129" s="785"/>
      <c r="AE129" s="785"/>
      <c r="AF129" s="799"/>
      <c r="AG129" s="800"/>
      <c r="AH129" s="800"/>
      <c r="AI129" s="800"/>
      <c r="AJ129" s="800"/>
      <c r="AK129" s="800"/>
      <c r="AL129" s="800"/>
      <c r="AM129" s="848"/>
      <c r="AN129" s="848"/>
      <c r="AO129" s="848"/>
      <c r="AP129" s="848"/>
      <c r="AQ129" s="1746"/>
      <c r="AR129" s="1747"/>
      <c r="AS129" s="1747"/>
      <c r="AT129" s="1747"/>
      <c r="AU129" s="1748"/>
      <c r="AV129" s="849"/>
      <c r="AW129" s="848"/>
      <c r="AX129" s="848"/>
      <c r="AY129" s="848"/>
      <c r="AZ129" s="848"/>
      <c r="BA129" s="848"/>
      <c r="BB129" s="800"/>
      <c r="BC129" s="800"/>
      <c r="BD129" s="800"/>
      <c r="BE129" s="800"/>
      <c r="BF129" s="800"/>
      <c r="BG129" s="800"/>
      <c r="BH129" s="800"/>
      <c r="BI129" s="800"/>
      <c r="BJ129" s="800"/>
      <c r="BK129" s="805"/>
      <c r="BL129" s="1376"/>
      <c r="BM129" s="1377"/>
      <c r="BN129" s="1377"/>
      <c r="BO129" s="1377"/>
      <c r="BP129" s="1440"/>
      <c r="BQ129" s="1420"/>
      <c r="BR129" s="1368"/>
      <c r="BS129" s="1368"/>
      <c r="BT129" s="1368"/>
      <c r="BU129" s="1369"/>
      <c r="BV129" s="1746"/>
      <c r="BW129" s="1747"/>
      <c r="BX129" s="1747"/>
      <c r="BY129" s="1747"/>
      <c r="BZ129" s="1747"/>
      <c r="CA129" s="1420"/>
      <c r="CB129" s="1368"/>
      <c r="CC129" s="1368"/>
      <c r="CD129" s="1368"/>
      <c r="CE129" s="1369"/>
      <c r="CF129" s="1368"/>
      <c r="CG129" s="1368"/>
      <c r="CH129" s="1368"/>
      <c r="CI129" s="1368"/>
      <c r="CJ129" s="1368"/>
      <c r="CK129" s="1747"/>
      <c r="CL129" s="1747"/>
      <c r="CM129" s="1747"/>
      <c r="CN129" s="1747"/>
      <c r="CO129" s="1748"/>
      <c r="CP129" s="1420"/>
      <c r="CQ129" s="1368"/>
      <c r="CR129" s="1368"/>
      <c r="CS129" s="1368"/>
      <c r="CT129" s="1369"/>
      <c r="CU129" s="1528"/>
      <c r="CV129" s="1519"/>
      <c r="CW129" s="1519"/>
      <c r="CX129" s="1728"/>
      <c r="CY129" s="1519"/>
      <c r="CZ129" s="1519"/>
      <c r="DA129" s="1519"/>
      <c r="DB129" s="1728"/>
      <c r="DC129" s="1377"/>
      <c r="DD129" s="1729"/>
      <c r="DE129" s="1734"/>
    </row>
    <row r="130" spans="1:109" ht="15.75" hidden="1" customHeight="1">
      <c r="A130" s="772" t="s">
        <v>1013</v>
      </c>
      <c r="B130" s="773">
        <v>124</v>
      </c>
      <c r="C130" s="789" t="s">
        <v>2440</v>
      </c>
      <c r="D130" s="773" t="s">
        <v>2432</v>
      </c>
      <c r="E130" s="773" t="s">
        <v>1907</v>
      </c>
      <c r="F130" s="785" t="s">
        <v>2441</v>
      </c>
      <c r="G130" s="790" t="s">
        <v>2442</v>
      </c>
      <c r="H130" s="791" t="s">
        <v>2443</v>
      </c>
      <c r="I130" s="792"/>
      <c r="J130" s="793"/>
      <c r="K130" s="793"/>
      <c r="L130" s="793"/>
      <c r="M130" s="793"/>
      <c r="N130" s="793">
        <v>1</v>
      </c>
      <c r="O130" s="793"/>
      <c r="P130" s="794"/>
      <c r="Q130" s="795">
        <f t="shared" si="1"/>
        <v>1</v>
      </c>
      <c r="R130" s="789" t="s">
        <v>1030</v>
      </c>
      <c r="S130" s="773" t="s">
        <v>1008</v>
      </c>
      <c r="T130" s="796" t="s">
        <v>1009</v>
      </c>
      <c r="U130" s="773" t="s">
        <v>1947</v>
      </c>
      <c r="V130" s="773" t="s">
        <v>1081</v>
      </c>
      <c r="W130" s="773" t="s">
        <v>2444</v>
      </c>
      <c r="X130" s="1310">
        <v>1</v>
      </c>
      <c r="Y130" s="819" t="s">
        <v>1010</v>
      </c>
      <c r="Z130" s="790"/>
      <c r="AA130" s="785"/>
      <c r="AB130" s="785"/>
      <c r="AC130" s="785"/>
      <c r="AD130" s="785"/>
      <c r="AE130" s="785"/>
      <c r="AF130" s="799"/>
      <c r="AG130" s="800"/>
      <c r="AH130" s="800"/>
      <c r="AI130" s="800"/>
      <c r="AJ130" s="800"/>
      <c r="AK130" s="800"/>
      <c r="AL130" s="800"/>
      <c r="AM130" s="800"/>
      <c r="AN130" s="807"/>
      <c r="AO130" s="816"/>
      <c r="AP130" s="816"/>
      <c r="AQ130" s="808">
        <v>4.5</v>
      </c>
      <c r="AR130" s="800">
        <v>4.5</v>
      </c>
      <c r="AS130" s="800">
        <v>4.5</v>
      </c>
      <c r="AT130" s="800">
        <v>4.5</v>
      </c>
      <c r="AU130" s="805">
        <v>4.5</v>
      </c>
      <c r="AV130" s="808"/>
      <c r="AW130" s="800"/>
      <c r="AX130" s="816"/>
      <c r="AY130" s="800"/>
      <c r="AZ130" s="800"/>
      <c r="BA130" s="800"/>
      <c r="BB130" s="800"/>
      <c r="BC130" s="800"/>
      <c r="BD130" s="800"/>
      <c r="BE130" s="800"/>
      <c r="BF130" s="800"/>
      <c r="BG130" s="800"/>
      <c r="BH130" s="800"/>
      <c r="BI130" s="800"/>
      <c r="BJ130" s="800"/>
      <c r="BK130" s="818"/>
      <c r="BL130" s="789" t="s">
        <v>168</v>
      </c>
      <c r="BM130" s="785" t="s">
        <v>168</v>
      </c>
      <c r="BN130" s="785" t="s">
        <v>168</v>
      </c>
      <c r="BO130" s="785" t="s">
        <v>168</v>
      </c>
      <c r="BP130" s="796" t="s">
        <v>168</v>
      </c>
      <c r="BQ130" s="808" t="s">
        <v>1942</v>
      </c>
      <c r="BR130" s="800" t="s">
        <v>1942</v>
      </c>
      <c r="BS130" s="800" t="s">
        <v>1942</v>
      </c>
      <c r="BT130" s="800" t="s">
        <v>1942</v>
      </c>
      <c r="BU130" s="805" t="s">
        <v>1942</v>
      </c>
      <c r="BV130" s="817">
        <v>4</v>
      </c>
      <c r="BW130" s="816">
        <v>4</v>
      </c>
      <c r="BX130" s="816">
        <v>4</v>
      </c>
      <c r="BY130" s="816">
        <v>4</v>
      </c>
      <c r="BZ130" s="816">
        <v>4</v>
      </c>
      <c r="CA130" s="808" t="s">
        <v>1942</v>
      </c>
      <c r="CB130" s="800" t="s">
        <v>1942</v>
      </c>
      <c r="CC130" s="800" t="s">
        <v>1942</v>
      </c>
      <c r="CD130" s="800" t="s">
        <v>1942</v>
      </c>
      <c r="CE130" s="805" t="s">
        <v>1942</v>
      </c>
      <c r="CF130" s="800" t="s">
        <v>1942</v>
      </c>
      <c r="CG130" s="800" t="s">
        <v>1942</v>
      </c>
      <c r="CH130" s="800" t="s">
        <v>1942</v>
      </c>
      <c r="CI130" s="800" t="s">
        <v>1942</v>
      </c>
      <c r="CJ130" s="805" t="s">
        <v>1942</v>
      </c>
      <c r="CK130" s="817">
        <v>4.7</v>
      </c>
      <c r="CL130" s="816">
        <v>4.7</v>
      </c>
      <c r="CM130" s="816">
        <v>4.7</v>
      </c>
      <c r="CN130" s="816">
        <v>4.7</v>
      </c>
      <c r="CO130" s="818">
        <v>4.7</v>
      </c>
      <c r="CP130" s="808" t="s">
        <v>1942</v>
      </c>
      <c r="CQ130" s="800" t="s">
        <v>1942</v>
      </c>
      <c r="CR130" s="800" t="s">
        <v>1942</v>
      </c>
      <c r="CS130" s="800" t="s">
        <v>1942</v>
      </c>
      <c r="CT130" s="805" t="s">
        <v>1942</v>
      </c>
      <c r="CU130" s="1284">
        <v>-5.8999999999999997E-2</v>
      </c>
      <c r="CV130" s="1283" t="s">
        <v>1942</v>
      </c>
      <c r="CW130" s="1283" t="s">
        <v>1942</v>
      </c>
      <c r="CX130" s="1285" t="s">
        <v>1942</v>
      </c>
      <c r="CY130" s="1283">
        <v>5.8999999999999997E-2</v>
      </c>
      <c r="CZ130" s="1283" t="s">
        <v>1942</v>
      </c>
      <c r="DA130" s="1283" t="s">
        <v>1942</v>
      </c>
      <c r="DB130" s="1285" t="s">
        <v>1942</v>
      </c>
      <c r="DC130" s="785"/>
      <c r="DD130" s="813">
        <v>1</v>
      </c>
      <c r="DE130" s="814"/>
    </row>
    <row r="131" spans="1:109" ht="15.75" hidden="1" customHeight="1">
      <c r="A131" s="772" t="s">
        <v>1013</v>
      </c>
      <c r="B131" s="773">
        <v>125</v>
      </c>
      <c r="C131" s="789" t="s">
        <v>2445</v>
      </c>
      <c r="D131" s="773" t="s">
        <v>2432</v>
      </c>
      <c r="E131" s="773" t="s">
        <v>1907</v>
      </c>
      <c r="F131" s="785" t="s">
        <v>2446</v>
      </c>
      <c r="G131" s="790" t="s">
        <v>2447</v>
      </c>
      <c r="H131" s="791" t="s">
        <v>2448</v>
      </c>
      <c r="I131" s="792"/>
      <c r="J131" s="793"/>
      <c r="K131" s="793"/>
      <c r="L131" s="793"/>
      <c r="M131" s="793">
        <v>0.9</v>
      </c>
      <c r="N131" s="793">
        <v>0.1</v>
      </c>
      <c r="O131" s="793"/>
      <c r="P131" s="794"/>
      <c r="Q131" s="795">
        <f t="shared" si="1"/>
        <v>1</v>
      </c>
      <c r="R131" s="789" t="s">
        <v>1007</v>
      </c>
      <c r="S131" s="773"/>
      <c r="T131" s="796"/>
      <c r="U131" s="773" t="s">
        <v>1947</v>
      </c>
      <c r="V131" s="773" t="s">
        <v>278</v>
      </c>
      <c r="W131" s="773" t="s">
        <v>2449</v>
      </c>
      <c r="X131" s="1310">
        <v>1</v>
      </c>
      <c r="Y131" s="819" t="s">
        <v>1010</v>
      </c>
      <c r="Z131" s="790"/>
      <c r="AA131" s="785"/>
      <c r="AB131" s="785"/>
      <c r="AC131" s="785"/>
      <c r="AD131" s="785"/>
      <c r="AE131" s="785"/>
      <c r="AF131" s="799"/>
      <c r="AG131" s="800"/>
      <c r="AH131" s="800"/>
      <c r="AI131" s="800"/>
      <c r="AJ131" s="800"/>
      <c r="AK131" s="800"/>
      <c r="AL131" s="800"/>
      <c r="AM131" s="800"/>
      <c r="AN131" s="807"/>
      <c r="AO131" s="816"/>
      <c r="AP131" s="816"/>
      <c r="AQ131" s="808">
        <v>100</v>
      </c>
      <c r="AR131" s="800">
        <v>100</v>
      </c>
      <c r="AS131" s="800">
        <v>100</v>
      </c>
      <c r="AT131" s="816">
        <v>100</v>
      </c>
      <c r="AU131" s="805">
        <v>100</v>
      </c>
      <c r="AV131" s="817"/>
      <c r="AW131" s="800"/>
      <c r="AX131" s="800"/>
      <c r="AY131" s="800"/>
      <c r="AZ131" s="800"/>
      <c r="BA131" s="800"/>
      <c r="BB131" s="800"/>
      <c r="BC131" s="800"/>
      <c r="BD131" s="800"/>
      <c r="BE131" s="800"/>
      <c r="BF131" s="800"/>
      <c r="BG131" s="816"/>
      <c r="BH131" s="800"/>
      <c r="BI131" s="800"/>
      <c r="BJ131" s="800"/>
      <c r="BK131" s="805"/>
      <c r="BL131" s="789"/>
      <c r="BM131" s="785"/>
      <c r="BN131" s="785"/>
      <c r="BO131" s="785"/>
      <c r="BP131" s="796"/>
      <c r="BQ131" s="808" t="s">
        <v>1942</v>
      </c>
      <c r="BR131" s="800" t="s">
        <v>1942</v>
      </c>
      <c r="BS131" s="800" t="s">
        <v>1942</v>
      </c>
      <c r="BT131" s="800" t="s">
        <v>1942</v>
      </c>
      <c r="BU131" s="805" t="s">
        <v>1942</v>
      </c>
      <c r="BV131" s="808" t="s">
        <v>1942</v>
      </c>
      <c r="BW131" s="800" t="s">
        <v>1942</v>
      </c>
      <c r="BX131" s="800" t="s">
        <v>1942</v>
      </c>
      <c r="BY131" s="800" t="s">
        <v>1942</v>
      </c>
      <c r="BZ131" s="800" t="s">
        <v>1942</v>
      </c>
      <c r="CA131" s="808" t="s">
        <v>1942</v>
      </c>
      <c r="CB131" s="800" t="s">
        <v>1942</v>
      </c>
      <c r="CC131" s="800" t="s">
        <v>1942</v>
      </c>
      <c r="CD131" s="800" t="s">
        <v>1942</v>
      </c>
      <c r="CE131" s="805" t="s">
        <v>1942</v>
      </c>
      <c r="CF131" s="800" t="s">
        <v>1942</v>
      </c>
      <c r="CG131" s="800" t="s">
        <v>1942</v>
      </c>
      <c r="CH131" s="800" t="s">
        <v>1942</v>
      </c>
      <c r="CI131" s="800" t="s">
        <v>1942</v>
      </c>
      <c r="CJ131" s="805" t="s">
        <v>1942</v>
      </c>
      <c r="CK131" s="808" t="s">
        <v>1942</v>
      </c>
      <c r="CL131" s="800" t="s">
        <v>1942</v>
      </c>
      <c r="CM131" s="800" t="s">
        <v>1942</v>
      </c>
      <c r="CN131" s="800" t="s">
        <v>1942</v>
      </c>
      <c r="CO131" s="805" t="s">
        <v>1942</v>
      </c>
      <c r="CP131" s="808" t="s">
        <v>1942</v>
      </c>
      <c r="CQ131" s="800" t="s">
        <v>1942</v>
      </c>
      <c r="CR131" s="800" t="s">
        <v>1942</v>
      </c>
      <c r="CS131" s="800" t="s">
        <v>1942</v>
      </c>
      <c r="CT131" s="805" t="s">
        <v>1942</v>
      </c>
      <c r="CU131" s="1284" t="s">
        <v>1942</v>
      </c>
      <c r="CV131" s="1283" t="s">
        <v>1942</v>
      </c>
      <c r="CW131" s="1283" t="s">
        <v>1942</v>
      </c>
      <c r="CX131" s="1285" t="s">
        <v>1942</v>
      </c>
      <c r="CY131" s="1283" t="s">
        <v>1942</v>
      </c>
      <c r="CZ131" s="1283" t="s">
        <v>1942</v>
      </c>
      <c r="DA131" s="1283" t="s">
        <v>1942</v>
      </c>
      <c r="DB131" s="1285" t="s">
        <v>1942</v>
      </c>
      <c r="DC131" s="785"/>
      <c r="DD131" s="813">
        <v>1</v>
      </c>
      <c r="DE131" s="814"/>
    </row>
    <row r="132" spans="1:109" ht="15.75" hidden="1" customHeight="1">
      <c r="A132" s="772" t="s">
        <v>1013</v>
      </c>
      <c r="B132" s="773">
        <v>126</v>
      </c>
      <c r="C132" s="789" t="s">
        <v>2450</v>
      </c>
      <c r="D132" s="773" t="s">
        <v>2451</v>
      </c>
      <c r="E132" s="773" t="s">
        <v>1907</v>
      </c>
      <c r="F132" s="785" t="s">
        <v>2452</v>
      </c>
      <c r="G132" s="790" t="s">
        <v>703</v>
      </c>
      <c r="H132" s="791" t="s">
        <v>2453</v>
      </c>
      <c r="I132" s="792"/>
      <c r="J132" s="793"/>
      <c r="K132" s="793"/>
      <c r="L132" s="793"/>
      <c r="M132" s="793">
        <v>1</v>
      </c>
      <c r="N132" s="793"/>
      <c r="O132" s="793"/>
      <c r="P132" s="794"/>
      <c r="Q132" s="795">
        <f t="shared" si="1"/>
        <v>1</v>
      </c>
      <c r="R132" s="789" t="s">
        <v>1007</v>
      </c>
      <c r="S132" s="773"/>
      <c r="T132" s="796"/>
      <c r="U132" s="773" t="s">
        <v>2029</v>
      </c>
      <c r="V132" s="773" t="s">
        <v>278</v>
      </c>
      <c r="W132" s="773" t="s">
        <v>2454</v>
      </c>
      <c r="X132" s="1310">
        <v>1</v>
      </c>
      <c r="Y132" s="819" t="s">
        <v>1010</v>
      </c>
      <c r="Z132" s="790" t="s">
        <v>703</v>
      </c>
      <c r="AA132" s="785"/>
      <c r="AB132" s="785"/>
      <c r="AC132" s="785"/>
      <c r="AD132" s="785"/>
      <c r="AE132" s="785"/>
      <c r="AF132" s="799"/>
      <c r="AG132" s="800"/>
      <c r="AH132" s="800"/>
      <c r="AI132" s="800"/>
      <c r="AJ132" s="800"/>
      <c r="AK132" s="800"/>
      <c r="AL132" s="800"/>
      <c r="AM132" s="800"/>
      <c r="AN132" s="800"/>
      <c r="AO132" s="800"/>
      <c r="AP132" s="800"/>
      <c r="AQ132" s="1420"/>
      <c r="AR132" s="1368"/>
      <c r="AS132" s="1368"/>
      <c r="AT132" s="1368"/>
      <c r="AU132" s="1369"/>
      <c r="AV132" s="808"/>
      <c r="AW132" s="800"/>
      <c r="AX132" s="800"/>
      <c r="AY132" s="800"/>
      <c r="AZ132" s="800"/>
      <c r="BA132" s="800"/>
      <c r="BB132" s="800"/>
      <c r="BC132" s="800"/>
      <c r="BD132" s="800"/>
      <c r="BE132" s="800"/>
      <c r="BF132" s="800"/>
      <c r="BG132" s="800"/>
      <c r="BH132" s="800"/>
      <c r="BI132" s="800"/>
      <c r="BJ132" s="800"/>
      <c r="BK132" s="805"/>
      <c r="BL132" s="1376"/>
      <c r="BM132" s="1377"/>
      <c r="BN132" s="1377"/>
      <c r="BO132" s="1377"/>
      <c r="BP132" s="1440"/>
      <c r="BQ132" s="1420"/>
      <c r="BR132" s="1368"/>
      <c r="BS132" s="1368"/>
      <c r="BT132" s="1368"/>
      <c r="BU132" s="1369"/>
      <c r="BV132" s="1420"/>
      <c r="BW132" s="1368"/>
      <c r="BX132" s="1368"/>
      <c r="BY132" s="1368"/>
      <c r="BZ132" s="1368"/>
      <c r="CA132" s="1420"/>
      <c r="CB132" s="1368"/>
      <c r="CC132" s="1368"/>
      <c r="CD132" s="1368"/>
      <c r="CE132" s="1369"/>
      <c r="CF132" s="1368"/>
      <c r="CG132" s="1368"/>
      <c r="CH132" s="1368"/>
      <c r="CI132" s="1368"/>
      <c r="CJ132" s="1369"/>
      <c r="CK132" s="1420"/>
      <c r="CL132" s="1368"/>
      <c r="CM132" s="1368"/>
      <c r="CN132" s="1368"/>
      <c r="CO132" s="1369"/>
      <c r="CP132" s="1420"/>
      <c r="CQ132" s="1368"/>
      <c r="CR132" s="1368"/>
      <c r="CS132" s="1368"/>
      <c r="CT132" s="1369"/>
      <c r="CU132" s="1528"/>
      <c r="CV132" s="1519"/>
      <c r="CW132" s="1519"/>
      <c r="CX132" s="1728"/>
      <c r="CY132" s="1519"/>
      <c r="CZ132" s="1519"/>
      <c r="DA132" s="1519"/>
      <c r="DB132" s="1728"/>
      <c r="DC132" s="1377"/>
      <c r="DD132" s="1729"/>
      <c r="DE132" s="1734"/>
    </row>
    <row r="133" spans="1:109" ht="15.75" hidden="1" customHeight="1">
      <c r="A133" s="772" t="s">
        <v>1013</v>
      </c>
      <c r="B133" s="773">
        <v>127</v>
      </c>
      <c r="C133" s="789" t="s">
        <v>2455</v>
      </c>
      <c r="D133" s="773" t="s">
        <v>2451</v>
      </c>
      <c r="E133" s="773" t="s">
        <v>1907</v>
      </c>
      <c r="F133" s="785" t="s">
        <v>2456</v>
      </c>
      <c r="G133" s="790" t="s">
        <v>2457</v>
      </c>
      <c r="H133" s="791" t="s">
        <v>2458</v>
      </c>
      <c r="I133" s="792"/>
      <c r="J133" s="793"/>
      <c r="K133" s="793"/>
      <c r="L133" s="793"/>
      <c r="M133" s="793">
        <v>1</v>
      </c>
      <c r="N133" s="793"/>
      <c r="O133" s="793"/>
      <c r="P133" s="794"/>
      <c r="Q133" s="795">
        <f t="shared" si="1"/>
        <v>1</v>
      </c>
      <c r="R133" s="789" t="s">
        <v>1007</v>
      </c>
      <c r="S133" s="773"/>
      <c r="T133" s="796"/>
      <c r="U133" s="773" t="s">
        <v>2029</v>
      </c>
      <c r="V133" s="773" t="s">
        <v>278</v>
      </c>
      <c r="W133" s="773" t="s">
        <v>2459</v>
      </c>
      <c r="X133" s="1310">
        <v>0</v>
      </c>
      <c r="Y133" s="821" t="s">
        <v>1010</v>
      </c>
      <c r="Z133" s="790"/>
      <c r="AA133" s="785"/>
      <c r="AB133" s="785"/>
      <c r="AC133" s="785"/>
      <c r="AD133" s="785"/>
      <c r="AE133" s="785"/>
      <c r="AF133" s="799"/>
      <c r="AG133" s="800"/>
      <c r="AH133" s="800"/>
      <c r="AI133" s="800"/>
      <c r="AJ133" s="800"/>
      <c r="AK133" s="800"/>
      <c r="AL133" s="800"/>
      <c r="AM133" s="800"/>
      <c r="AN133" s="800"/>
      <c r="AO133" s="800"/>
      <c r="AP133" s="800"/>
      <c r="AQ133" s="808">
        <v>70</v>
      </c>
      <c r="AR133" s="800">
        <v>71</v>
      </c>
      <c r="AS133" s="800">
        <v>72</v>
      </c>
      <c r="AT133" s="800">
        <v>72</v>
      </c>
      <c r="AU133" s="805">
        <v>73</v>
      </c>
      <c r="AV133" s="808"/>
      <c r="AW133" s="800"/>
      <c r="AX133" s="800"/>
      <c r="AY133" s="800"/>
      <c r="AZ133" s="800"/>
      <c r="BA133" s="800"/>
      <c r="BB133" s="800"/>
      <c r="BC133" s="800"/>
      <c r="BD133" s="800"/>
      <c r="BE133" s="800"/>
      <c r="BF133" s="800"/>
      <c r="BG133" s="800"/>
      <c r="BH133" s="800"/>
      <c r="BI133" s="800"/>
      <c r="BJ133" s="800"/>
      <c r="BK133" s="805"/>
      <c r="BL133" s="789"/>
      <c r="BM133" s="785"/>
      <c r="BN133" s="785"/>
      <c r="BO133" s="785"/>
      <c r="BP133" s="796"/>
      <c r="BQ133" s="808" t="s">
        <v>1942</v>
      </c>
      <c r="BR133" s="800" t="s">
        <v>1942</v>
      </c>
      <c r="BS133" s="800" t="s">
        <v>1942</v>
      </c>
      <c r="BT133" s="800" t="s">
        <v>1942</v>
      </c>
      <c r="BU133" s="805" t="s">
        <v>1942</v>
      </c>
      <c r="BV133" s="808" t="s">
        <v>1942</v>
      </c>
      <c r="BW133" s="800" t="s">
        <v>1942</v>
      </c>
      <c r="BX133" s="800" t="s">
        <v>1942</v>
      </c>
      <c r="BY133" s="800" t="s">
        <v>1942</v>
      </c>
      <c r="BZ133" s="800" t="s">
        <v>1942</v>
      </c>
      <c r="CA133" s="808" t="s">
        <v>1942</v>
      </c>
      <c r="CB133" s="800" t="s">
        <v>1942</v>
      </c>
      <c r="CC133" s="800" t="s">
        <v>1942</v>
      </c>
      <c r="CD133" s="800" t="s">
        <v>1942</v>
      </c>
      <c r="CE133" s="805" t="s">
        <v>1942</v>
      </c>
      <c r="CF133" s="800" t="s">
        <v>1942</v>
      </c>
      <c r="CG133" s="800" t="s">
        <v>1942</v>
      </c>
      <c r="CH133" s="800" t="s">
        <v>1942</v>
      </c>
      <c r="CI133" s="800" t="s">
        <v>1942</v>
      </c>
      <c r="CJ133" s="805" t="s">
        <v>1942</v>
      </c>
      <c r="CK133" s="808" t="s">
        <v>1942</v>
      </c>
      <c r="CL133" s="800" t="s">
        <v>1942</v>
      </c>
      <c r="CM133" s="800" t="s">
        <v>1942</v>
      </c>
      <c r="CN133" s="800" t="s">
        <v>1942</v>
      </c>
      <c r="CO133" s="805" t="s">
        <v>1942</v>
      </c>
      <c r="CP133" s="808" t="s">
        <v>1942</v>
      </c>
      <c r="CQ133" s="800" t="s">
        <v>1942</v>
      </c>
      <c r="CR133" s="800" t="s">
        <v>1942</v>
      </c>
      <c r="CS133" s="800" t="s">
        <v>1942</v>
      </c>
      <c r="CT133" s="805" t="s">
        <v>1942</v>
      </c>
      <c r="CU133" s="1284" t="s">
        <v>1942</v>
      </c>
      <c r="CV133" s="1283" t="s">
        <v>1942</v>
      </c>
      <c r="CW133" s="1283" t="s">
        <v>1942</v>
      </c>
      <c r="CX133" s="1285" t="s">
        <v>1942</v>
      </c>
      <c r="CY133" s="1283" t="s">
        <v>1942</v>
      </c>
      <c r="CZ133" s="1283" t="s">
        <v>1942</v>
      </c>
      <c r="DA133" s="1283" t="s">
        <v>1942</v>
      </c>
      <c r="DB133" s="1285" t="s">
        <v>1942</v>
      </c>
      <c r="DC133" s="785"/>
      <c r="DD133" s="813">
        <v>1</v>
      </c>
      <c r="DE133" s="814"/>
    </row>
    <row r="134" spans="1:109" ht="15.75" hidden="1" customHeight="1">
      <c r="A134" s="772" t="s">
        <v>1013</v>
      </c>
      <c r="B134" s="773">
        <v>128</v>
      </c>
      <c r="C134" s="789" t="s">
        <v>2460</v>
      </c>
      <c r="D134" s="773" t="s">
        <v>2451</v>
      </c>
      <c r="E134" s="773" t="s">
        <v>1907</v>
      </c>
      <c r="F134" s="785" t="s">
        <v>2461</v>
      </c>
      <c r="G134" s="790" t="s">
        <v>2462</v>
      </c>
      <c r="H134" s="791" t="s">
        <v>2463</v>
      </c>
      <c r="I134" s="792"/>
      <c r="J134" s="793"/>
      <c r="K134" s="793"/>
      <c r="L134" s="793"/>
      <c r="M134" s="793">
        <v>1</v>
      </c>
      <c r="N134" s="793"/>
      <c r="O134" s="793"/>
      <c r="P134" s="794"/>
      <c r="Q134" s="795">
        <f t="shared" si="1"/>
        <v>1</v>
      </c>
      <c r="R134" s="789" t="s">
        <v>1007</v>
      </c>
      <c r="S134" s="773"/>
      <c r="T134" s="796"/>
      <c r="U134" s="773" t="s">
        <v>2029</v>
      </c>
      <c r="V134" s="773" t="s">
        <v>278</v>
      </c>
      <c r="W134" s="773" t="s">
        <v>2464</v>
      </c>
      <c r="X134" s="1310">
        <v>1</v>
      </c>
      <c r="Y134" s="819" t="s">
        <v>1010</v>
      </c>
      <c r="Z134" s="790"/>
      <c r="AA134" s="785"/>
      <c r="AB134" s="785"/>
      <c r="AC134" s="785"/>
      <c r="AD134" s="785"/>
      <c r="AE134" s="785"/>
      <c r="AF134" s="799"/>
      <c r="AG134" s="800"/>
      <c r="AH134" s="800"/>
      <c r="AI134" s="800"/>
      <c r="AJ134" s="800"/>
      <c r="AK134" s="800"/>
      <c r="AL134" s="800"/>
      <c r="AM134" s="800"/>
      <c r="AN134" s="800"/>
      <c r="AO134" s="800"/>
      <c r="AP134" s="800"/>
      <c r="AQ134" s="808" t="s">
        <v>1942</v>
      </c>
      <c r="AR134" s="800" t="s">
        <v>1942</v>
      </c>
      <c r="AS134" s="800" t="s">
        <v>1942</v>
      </c>
      <c r="AT134" s="800" t="s">
        <v>1942</v>
      </c>
      <c r="AU134" s="805">
        <v>10</v>
      </c>
      <c r="AV134" s="808"/>
      <c r="AW134" s="800"/>
      <c r="AX134" s="800"/>
      <c r="AY134" s="800"/>
      <c r="AZ134" s="800"/>
      <c r="BA134" s="800"/>
      <c r="BB134" s="800"/>
      <c r="BC134" s="800"/>
      <c r="BD134" s="807"/>
      <c r="BE134" s="800"/>
      <c r="BF134" s="800"/>
      <c r="BG134" s="800"/>
      <c r="BH134" s="800"/>
      <c r="BI134" s="800"/>
      <c r="BJ134" s="800"/>
      <c r="BK134" s="805"/>
      <c r="BL134" s="789"/>
      <c r="BM134" s="785"/>
      <c r="BN134" s="785"/>
      <c r="BO134" s="785"/>
      <c r="BP134" s="796"/>
      <c r="BQ134" s="808" t="s">
        <v>1942</v>
      </c>
      <c r="BR134" s="800" t="s">
        <v>1942</v>
      </c>
      <c r="BS134" s="800" t="s">
        <v>1942</v>
      </c>
      <c r="BT134" s="800" t="s">
        <v>1942</v>
      </c>
      <c r="BU134" s="805" t="s">
        <v>1942</v>
      </c>
      <c r="BV134" s="808" t="s">
        <v>1942</v>
      </c>
      <c r="BW134" s="800" t="s">
        <v>1942</v>
      </c>
      <c r="BX134" s="800" t="s">
        <v>1942</v>
      </c>
      <c r="BY134" s="800" t="s">
        <v>1942</v>
      </c>
      <c r="BZ134" s="800" t="s">
        <v>1942</v>
      </c>
      <c r="CA134" s="808" t="s">
        <v>1942</v>
      </c>
      <c r="CB134" s="800" t="s">
        <v>1942</v>
      </c>
      <c r="CC134" s="800" t="s">
        <v>1942</v>
      </c>
      <c r="CD134" s="800" t="s">
        <v>1942</v>
      </c>
      <c r="CE134" s="805" t="s">
        <v>1942</v>
      </c>
      <c r="CF134" s="800" t="s">
        <v>1942</v>
      </c>
      <c r="CG134" s="800" t="s">
        <v>1942</v>
      </c>
      <c r="CH134" s="800" t="s">
        <v>1942</v>
      </c>
      <c r="CI134" s="800" t="s">
        <v>1942</v>
      </c>
      <c r="CJ134" s="805" t="s">
        <v>1942</v>
      </c>
      <c r="CK134" s="808" t="s">
        <v>1942</v>
      </c>
      <c r="CL134" s="800" t="s">
        <v>1942</v>
      </c>
      <c r="CM134" s="800" t="s">
        <v>1942</v>
      </c>
      <c r="CN134" s="800" t="s">
        <v>1942</v>
      </c>
      <c r="CO134" s="805" t="s">
        <v>1942</v>
      </c>
      <c r="CP134" s="808" t="s">
        <v>1942</v>
      </c>
      <c r="CQ134" s="800" t="s">
        <v>1942</v>
      </c>
      <c r="CR134" s="800" t="s">
        <v>1942</v>
      </c>
      <c r="CS134" s="800" t="s">
        <v>1942</v>
      </c>
      <c r="CT134" s="805" t="s">
        <v>1942</v>
      </c>
      <c r="CU134" s="1284" t="s">
        <v>1942</v>
      </c>
      <c r="CV134" s="1283" t="s">
        <v>1942</v>
      </c>
      <c r="CW134" s="1283" t="s">
        <v>1942</v>
      </c>
      <c r="CX134" s="1285" t="s">
        <v>1942</v>
      </c>
      <c r="CY134" s="1283" t="s">
        <v>1942</v>
      </c>
      <c r="CZ134" s="1283" t="s">
        <v>1942</v>
      </c>
      <c r="DA134" s="1283" t="s">
        <v>1942</v>
      </c>
      <c r="DB134" s="1285" t="s">
        <v>1942</v>
      </c>
      <c r="DC134" s="785"/>
      <c r="DD134" s="813">
        <v>1</v>
      </c>
      <c r="DE134" s="814"/>
    </row>
    <row r="135" spans="1:109" ht="15.75" hidden="1" customHeight="1">
      <c r="A135" s="772" t="s">
        <v>1013</v>
      </c>
      <c r="B135" s="773">
        <v>129</v>
      </c>
      <c r="C135" s="789" t="s">
        <v>2465</v>
      </c>
      <c r="D135" s="773"/>
      <c r="E135" s="773"/>
      <c r="F135" s="785" t="s">
        <v>2466</v>
      </c>
      <c r="G135" s="790" t="s">
        <v>2467</v>
      </c>
      <c r="H135" s="791"/>
      <c r="I135" s="792"/>
      <c r="J135" s="793"/>
      <c r="K135" s="793"/>
      <c r="L135" s="793"/>
      <c r="M135" s="793"/>
      <c r="N135" s="793"/>
      <c r="O135" s="793"/>
      <c r="P135" s="794"/>
      <c r="Q135" s="795">
        <f t="shared" si="1"/>
        <v>0</v>
      </c>
      <c r="R135" s="789" t="s">
        <v>1007</v>
      </c>
      <c r="S135" s="773"/>
      <c r="T135" s="796"/>
      <c r="U135" s="773"/>
      <c r="V135" s="773" t="s">
        <v>278</v>
      </c>
      <c r="W135" s="773"/>
      <c r="X135" s="1310">
        <v>0</v>
      </c>
      <c r="Y135" s="822"/>
      <c r="Z135" s="790"/>
      <c r="AA135" s="785"/>
      <c r="AB135" s="785"/>
      <c r="AC135" s="785"/>
      <c r="AD135" s="785"/>
      <c r="AE135" s="785"/>
      <c r="AF135" s="799"/>
      <c r="AG135" s="800"/>
      <c r="AH135" s="800"/>
      <c r="AI135" s="800"/>
      <c r="AJ135" s="800"/>
      <c r="AK135" s="800"/>
      <c r="AL135" s="800"/>
      <c r="AM135" s="800"/>
      <c r="AN135" s="800"/>
      <c r="AO135" s="800"/>
      <c r="AP135" s="800"/>
      <c r="AQ135" s="808">
        <v>100</v>
      </c>
      <c r="AR135" s="800">
        <v>100</v>
      </c>
      <c r="AS135" s="800">
        <v>100</v>
      </c>
      <c r="AT135" s="800">
        <v>100</v>
      </c>
      <c r="AU135" s="805">
        <v>100</v>
      </c>
      <c r="AV135" s="808"/>
      <c r="AW135" s="800"/>
      <c r="AX135" s="800"/>
      <c r="AY135" s="800"/>
      <c r="AZ135" s="800"/>
      <c r="BA135" s="800"/>
      <c r="BB135" s="800"/>
      <c r="BC135" s="800"/>
      <c r="BD135" s="800"/>
      <c r="BE135" s="800"/>
      <c r="BF135" s="800"/>
      <c r="BG135" s="800"/>
      <c r="BH135" s="800"/>
      <c r="BI135" s="800"/>
      <c r="BJ135" s="800"/>
      <c r="BK135" s="805"/>
      <c r="BL135" s="789"/>
      <c r="BM135" s="785"/>
      <c r="BN135" s="785"/>
      <c r="BO135" s="785"/>
      <c r="BP135" s="796"/>
      <c r="BQ135" s="808" t="s">
        <v>1942</v>
      </c>
      <c r="BR135" s="800" t="s">
        <v>1942</v>
      </c>
      <c r="BS135" s="800" t="s">
        <v>1942</v>
      </c>
      <c r="BT135" s="800" t="s">
        <v>1942</v>
      </c>
      <c r="BU135" s="805" t="s">
        <v>1942</v>
      </c>
      <c r="BV135" s="808" t="s">
        <v>1942</v>
      </c>
      <c r="BW135" s="800" t="s">
        <v>1942</v>
      </c>
      <c r="BX135" s="800" t="s">
        <v>1942</v>
      </c>
      <c r="BY135" s="800" t="s">
        <v>1942</v>
      </c>
      <c r="BZ135" s="800" t="s">
        <v>1942</v>
      </c>
      <c r="CA135" s="808" t="s">
        <v>1942</v>
      </c>
      <c r="CB135" s="800" t="s">
        <v>1942</v>
      </c>
      <c r="CC135" s="800" t="s">
        <v>1942</v>
      </c>
      <c r="CD135" s="800" t="s">
        <v>1942</v>
      </c>
      <c r="CE135" s="805" t="s">
        <v>1942</v>
      </c>
      <c r="CF135" s="800" t="s">
        <v>1942</v>
      </c>
      <c r="CG135" s="800" t="s">
        <v>1942</v>
      </c>
      <c r="CH135" s="800" t="s">
        <v>1942</v>
      </c>
      <c r="CI135" s="800" t="s">
        <v>1942</v>
      </c>
      <c r="CJ135" s="805" t="s">
        <v>1942</v>
      </c>
      <c r="CK135" s="808" t="s">
        <v>1942</v>
      </c>
      <c r="CL135" s="800" t="s">
        <v>1942</v>
      </c>
      <c r="CM135" s="800" t="s">
        <v>1942</v>
      </c>
      <c r="CN135" s="800" t="s">
        <v>1942</v>
      </c>
      <c r="CO135" s="805" t="s">
        <v>1942</v>
      </c>
      <c r="CP135" s="808" t="s">
        <v>1942</v>
      </c>
      <c r="CQ135" s="800" t="s">
        <v>1942</v>
      </c>
      <c r="CR135" s="800" t="s">
        <v>1942</v>
      </c>
      <c r="CS135" s="800" t="s">
        <v>1942</v>
      </c>
      <c r="CT135" s="805" t="s">
        <v>1942</v>
      </c>
      <c r="CU135" s="1284" t="s">
        <v>1942</v>
      </c>
      <c r="CV135" s="1283" t="s">
        <v>1942</v>
      </c>
      <c r="CW135" s="1283" t="s">
        <v>1942</v>
      </c>
      <c r="CX135" s="1285" t="s">
        <v>1942</v>
      </c>
      <c r="CY135" s="1283" t="s">
        <v>1942</v>
      </c>
      <c r="CZ135" s="1283" t="s">
        <v>1942</v>
      </c>
      <c r="DA135" s="1283" t="s">
        <v>1942</v>
      </c>
      <c r="DB135" s="1285" t="s">
        <v>1942</v>
      </c>
      <c r="DC135" s="785"/>
      <c r="DD135" s="813"/>
      <c r="DE135" s="814"/>
    </row>
    <row r="136" spans="1:109" ht="15.75" hidden="1" customHeight="1">
      <c r="A136" s="772" t="s">
        <v>1013</v>
      </c>
      <c r="B136" s="773">
        <v>130</v>
      </c>
      <c r="C136" s="789" t="s">
        <v>2468</v>
      </c>
      <c r="D136" s="773"/>
      <c r="E136" s="773"/>
      <c r="F136" s="785" t="s">
        <v>2032</v>
      </c>
      <c r="G136" s="790" t="s">
        <v>2033</v>
      </c>
      <c r="H136" s="791"/>
      <c r="I136" s="792"/>
      <c r="J136" s="793"/>
      <c r="K136" s="793"/>
      <c r="L136" s="793"/>
      <c r="M136" s="793"/>
      <c r="N136" s="793"/>
      <c r="O136" s="793"/>
      <c r="P136" s="794"/>
      <c r="Q136" s="795">
        <f t="shared" si="1"/>
        <v>0</v>
      </c>
      <c r="R136" s="789" t="s">
        <v>1007</v>
      </c>
      <c r="S136" s="773"/>
      <c r="T136" s="796"/>
      <c r="U136" s="773"/>
      <c r="V136" s="773" t="s">
        <v>1072</v>
      </c>
      <c r="W136" s="773" t="s">
        <v>2034</v>
      </c>
      <c r="X136" s="1310">
        <v>0</v>
      </c>
      <c r="Y136" s="819"/>
      <c r="Z136" s="790"/>
      <c r="AA136" s="785"/>
      <c r="AB136" s="785"/>
      <c r="AC136" s="785"/>
      <c r="AD136" s="785"/>
      <c r="AE136" s="785"/>
      <c r="AF136" s="799"/>
      <c r="AG136" s="800"/>
      <c r="AH136" s="800"/>
      <c r="AI136" s="800"/>
      <c r="AJ136" s="800"/>
      <c r="AK136" s="800"/>
      <c r="AL136" s="800"/>
      <c r="AM136" s="800"/>
      <c r="AN136" s="800"/>
      <c r="AO136" s="800"/>
      <c r="AP136" s="800"/>
      <c r="AQ136" s="808" t="s">
        <v>591</v>
      </c>
      <c r="AR136" s="800" t="s">
        <v>591</v>
      </c>
      <c r="AS136" s="800" t="s">
        <v>591</v>
      </c>
      <c r="AT136" s="800" t="s">
        <v>591</v>
      </c>
      <c r="AU136" s="805" t="s">
        <v>591</v>
      </c>
      <c r="AV136" s="808"/>
      <c r="AW136" s="800"/>
      <c r="AX136" s="800"/>
      <c r="AY136" s="800"/>
      <c r="AZ136" s="800"/>
      <c r="BA136" s="800"/>
      <c r="BB136" s="800"/>
      <c r="BC136" s="800"/>
      <c r="BD136" s="800"/>
      <c r="BE136" s="800"/>
      <c r="BF136" s="800"/>
      <c r="BG136" s="800"/>
      <c r="BH136" s="800"/>
      <c r="BI136" s="800"/>
      <c r="BJ136" s="800"/>
      <c r="BK136" s="805"/>
      <c r="BL136" s="789"/>
      <c r="BM136" s="785"/>
      <c r="BN136" s="785"/>
      <c r="BO136" s="785"/>
      <c r="BP136" s="796"/>
      <c r="BQ136" s="808" t="s">
        <v>1942</v>
      </c>
      <c r="BR136" s="800" t="s">
        <v>1942</v>
      </c>
      <c r="BS136" s="800" t="s">
        <v>1942</v>
      </c>
      <c r="BT136" s="800" t="s">
        <v>1942</v>
      </c>
      <c r="BU136" s="805" t="s">
        <v>1942</v>
      </c>
      <c r="BV136" s="808" t="s">
        <v>1942</v>
      </c>
      <c r="BW136" s="800" t="s">
        <v>1942</v>
      </c>
      <c r="BX136" s="800" t="s">
        <v>1942</v>
      </c>
      <c r="BY136" s="800" t="s">
        <v>1942</v>
      </c>
      <c r="BZ136" s="800" t="s">
        <v>1942</v>
      </c>
      <c r="CA136" s="808" t="s">
        <v>1942</v>
      </c>
      <c r="CB136" s="800" t="s">
        <v>1942</v>
      </c>
      <c r="CC136" s="800" t="s">
        <v>1942</v>
      </c>
      <c r="CD136" s="800" t="s">
        <v>1942</v>
      </c>
      <c r="CE136" s="805" t="s">
        <v>1942</v>
      </c>
      <c r="CF136" s="800" t="s">
        <v>1942</v>
      </c>
      <c r="CG136" s="800" t="s">
        <v>1942</v>
      </c>
      <c r="CH136" s="800" t="s">
        <v>1942</v>
      </c>
      <c r="CI136" s="800" t="s">
        <v>1942</v>
      </c>
      <c r="CJ136" s="805" t="s">
        <v>1942</v>
      </c>
      <c r="CK136" s="808" t="s">
        <v>1942</v>
      </c>
      <c r="CL136" s="800" t="s">
        <v>1942</v>
      </c>
      <c r="CM136" s="800" t="s">
        <v>1942</v>
      </c>
      <c r="CN136" s="800" t="s">
        <v>1942</v>
      </c>
      <c r="CO136" s="805" t="s">
        <v>1942</v>
      </c>
      <c r="CP136" s="808" t="s">
        <v>1942</v>
      </c>
      <c r="CQ136" s="800" t="s">
        <v>1942</v>
      </c>
      <c r="CR136" s="800" t="s">
        <v>1942</v>
      </c>
      <c r="CS136" s="800" t="s">
        <v>1942</v>
      </c>
      <c r="CT136" s="805" t="s">
        <v>1942</v>
      </c>
      <c r="CU136" s="1284" t="s">
        <v>1942</v>
      </c>
      <c r="CV136" s="1283" t="s">
        <v>1942</v>
      </c>
      <c r="CW136" s="1283" t="s">
        <v>1942</v>
      </c>
      <c r="CX136" s="1285" t="s">
        <v>1942</v>
      </c>
      <c r="CY136" s="1283" t="s">
        <v>1942</v>
      </c>
      <c r="CZ136" s="1283" t="s">
        <v>1942</v>
      </c>
      <c r="DA136" s="1283" t="s">
        <v>1942</v>
      </c>
      <c r="DB136" s="1285" t="s">
        <v>1942</v>
      </c>
      <c r="DC136" s="785"/>
      <c r="DD136" s="813"/>
      <c r="DE136" s="814"/>
    </row>
    <row r="137" spans="1:109" ht="15.75" hidden="1" customHeight="1">
      <c r="A137" s="772" t="s">
        <v>1013</v>
      </c>
      <c r="B137" s="773">
        <v>131</v>
      </c>
      <c r="C137" s="789" t="s">
        <v>2469</v>
      </c>
      <c r="D137" s="773"/>
      <c r="E137" s="773"/>
      <c r="F137" s="785" t="s">
        <v>2470</v>
      </c>
      <c r="G137" s="790" t="s">
        <v>2471</v>
      </c>
      <c r="H137" s="791"/>
      <c r="I137" s="792">
        <v>1</v>
      </c>
      <c r="J137" s="793"/>
      <c r="K137" s="793"/>
      <c r="L137" s="793"/>
      <c r="M137" s="793"/>
      <c r="N137" s="793"/>
      <c r="O137" s="793"/>
      <c r="P137" s="794"/>
      <c r="Q137" s="795">
        <f t="shared" ref="Q137:Q200" si="2">SUM(I137:P137)</f>
        <v>1</v>
      </c>
      <c r="R137" s="789" t="s">
        <v>1026</v>
      </c>
      <c r="S137" s="773" t="s">
        <v>1008</v>
      </c>
      <c r="T137" s="796" t="s">
        <v>2472</v>
      </c>
      <c r="U137" s="773"/>
      <c r="V137" s="773" t="s">
        <v>278</v>
      </c>
      <c r="W137" s="773" t="s">
        <v>2473</v>
      </c>
      <c r="X137" s="1310">
        <v>1</v>
      </c>
      <c r="Y137" s="819" t="s">
        <v>1010</v>
      </c>
      <c r="Z137" s="790"/>
      <c r="AA137" s="785"/>
      <c r="AB137" s="785"/>
      <c r="AC137" s="785"/>
      <c r="AD137" s="785"/>
      <c r="AE137" s="785"/>
      <c r="AF137" s="799"/>
      <c r="AG137" s="800"/>
      <c r="AH137" s="800"/>
      <c r="AI137" s="800"/>
      <c r="AJ137" s="800"/>
      <c r="AK137" s="800"/>
      <c r="AL137" s="800"/>
      <c r="AM137" s="800"/>
      <c r="AN137" s="800"/>
      <c r="AO137" s="800"/>
      <c r="AP137" s="800"/>
      <c r="AQ137" s="808">
        <v>0</v>
      </c>
      <c r="AR137" s="800">
        <v>9.1</v>
      </c>
      <c r="AS137" s="800">
        <v>36.4</v>
      </c>
      <c r="AT137" s="800">
        <v>36.4</v>
      </c>
      <c r="AU137" s="805">
        <v>81.8</v>
      </c>
      <c r="AV137" s="808"/>
      <c r="AW137" s="800"/>
      <c r="AX137" s="800"/>
      <c r="AY137" s="800"/>
      <c r="AZ137" s="800"/>
      <c r="BA137" s="800"/>
      <c r="BB137" s="800"/>
      <c r="BC137" s="800"/>
      <c r="BD137" s="800"/>
      <c r="BE137" s="800"/>
      <c r="BF137" s="800"/>
      <c r="BG137" s="800"/>
      <c r="BH137" s="800"/>
      <c r="BI137" s="800"/>
      <c r="BJ137" s="800"/>
      <c r="BK137" s="805"/>
      <c r="BL137" s="789"/>
      <c r="BM137" s="785"/>
      <c r="BN137" s="785"/>
      <c r="BO137" s="785"/>
      <c r="BP137" s="796" t="s">
        <v>168</v>
      </c>
      <c r="BQ137" s="808" t="s">
        <v>1942</v>
      </c>
      <c r="BR137" s="800" t="s">
        <v>1942</v>
      </c>
      <c r="BS137" s="800" t="s">
        <v>1942</v>
      </c>
      <c r="BT137" s="800" t="s">
        <v>1942</v>
      </c>
      <c r="BU137" s="805" t="s">
        <v>1942</v>
      </c>
      <c r="BV137" s="808" t="s">
        <v>1942</v>
      </c>
      <c r="BW137" s="800" t="s">
        <v>1942</v>
      </c>
      <c r="BX137" s="800" t="s">
        <v>1942</v>
      </c>
      <c r="BY137" s="800" t="s">
        <v>1942</v>
      </c>
      <c r="BZ137" s="800" t="s">
        <v>1942</v>
      </c>
      <c r="CA137" s="808" t="s">
        <v>1942</v>
      </c>
      <c r="CB137" s="800" t="s">
        <v>1942</v>
      </c>
      <c r="CC137" s="800" t="s">
        <v>1942</v>
      </c>
      <c r="CD137" s="800" t="s">
        <v>1942</v>
      </c>
      <c r="CE137" s="805" t="s">
        <v>1942</v>
      </c>
      <c r="CF137" s="800" t="s">
        <v>1942</v>
      </c>
      <c r="CG137" s="800" t="s">
        <v>1942</v>
      </c>
      <c r="CH137" s="800" t="s">
        <v>1942</v>
      </c>
      <c r="CI137" s="800" t="s">
        <v>1942</v>
      </c>
      <c r="CJ137" s="805" t="s">
        <v>1942</v>
      </c>
      <c r="CK137" s="808" t="s">
        <v>1942</v>
      </c>
      <c r="CL137" s="800" t="s">
        <v>1942</v>
      </c>
      <c r="CM137" s="800" t="s">
        <v>1942</v>
      </c>
      <c r="CN137" s="800" t="s">
        <v>1942</v>
      </c>
      <c r="CO137" s="805" t="s">
        <v>1942</v>
      </c>
      <c r="CP137" s="808" t="s">
        <v>1942</v>
      </c>
      <c r="CQ137" s="800" t="s">
        <v>1942</v>
      </c>
      <c r="CR137" s="800" t="s">
        <v>1942</v>
      </c>
      <c r="CS137" s="800" t="s">
        <v>1942</v>
      </c>
      <c r="CT137" s="805" t="s">
        <v>1942</v>
      </c>
      <c r="CU137" s="1284">
        <v>-3.2000000000000002E-3</v>
      </c>
      <c r="CV137" s="1283" t="s">
        <v>1942</v>
      </c>
      <c r="CW137" s="1283" t="s">
        <v>1942</v>
      </c>
      <c r="CX137" s="1285" t="s">
        <v>1942</v>
      </c>
      <c r="CY137" s="1283" t="s">
        <v>1942</v>
      </c>
      <c r="CZ137" s="1283" t="s">
        <v>1942</v>
      </c>
      <c r="DA137" s="1283" t="s">
        <v>1942</v>
      </c>
      <c r="DB137" s="1285" t="s">
        <v>1942</v>
      </c>
      <c r="DC137" s="785"/>
      <c r="DD137" s="813"/>
      <c r="DE137" s="814"/>
    </row>
    <row r="138" spans="1:109" ht="15.75" hidden="1" customHeight="1">
      <c r="A138" s="772" t="s">
        <v>1032</v>
      </c>
      <c r="B138" s="773">
        <v>132</v>
      </c>
      <c r="C138" s="789" t="s">
        <v>2474</v>
      </c>
      <c r="D138" s="773" t="s">
        <v>2475</v>
      </c>
      <c r="E138" s="773" t="s">
        <v>1907</v>
      </c>
      <c r="F138" s="785" t="s">
        <v>2476</v>
      </c>
      <c r="G138" s="790" t="s">
        <v>1931</v>
      </c>
      <c r="H138" s="791" t="s">
        <v>2477</v>
      </c>
      <c r="I138" s="792"/>
      <c r="J138" s="793"/>
      <c r="K138" s="793"/>
      <c r="L138" s="793"/>
      <c r="M138" s="793">
        <v>1</v>
      </c>
      <c r="N138" s="793"/>
      <c r="O138" s="793"/>
      <c r="P138" s="794"/>
      <c r="Q138" s="795">
        <f t="shared" si="2"/>
        <v>1</v>
      </c>
      <c r="R138" s="789" t="s">
        <v>1030</v>
      </c>
      <c r="S138" s="773" t="s">
        <v>1008</v>
      </c>
      <c r="T138" s="796" t="s">
        <v>1009</v>
      </c>
      <c r="U138" s="773" t="s">
        <v>1069</v>
      </c>
      <c r="V138" s="773" t="s">
        <v>1081</v>
      </c>
      <c r="W138" s="773" t="s">
        <v>2038</v>
      </c>
      <c r="X138" s="1274">
        <v>2</v>
      </c>
      <c r="Y138" s="826" t="s">
        <v>1010</v>
      </c>
      <c r="Z138" s="790" t="s">
        <v>1931</v>
      </c>
      <c r="AA138" s="785"/>
      <c r="AB138" s="785"/>
      <c r="AC138" s="785"/>
      <c r="AD138" s="785"/>
      <c r="AE138" s="785"/>
      <c r="AF138" s="799"/>
      <c r="AG138" s="800"/>
      <c r="AH138" s="800"/>
      <c r="AI138" s="800"/>
      <c r="AJ138" s="800"/>
      <c r="AK138" s="800"/>
      <c r="AL138" s="800"/>
      <c r="AM138" s="800"/>
      <c r="AN138" s="807"/>
      <c r="AO138" s="807"/>
      <c r="AP138" s="807"/>
      <c r="AQ138" s="1420"/>
      <c r="AR138" s="1368"/>
      <c r="AS138" s="1368"/>
      <c r="AT138" s="1368"/>
      <c r="AU138" s="1369"/>
      <c r="AV138" s="808"/>
      <c r="AW138" s="800"/>
      <c r="AX138" s="800"/>
      <c r="AY138" s="800"/>
      <c r="AZ138" s="807"/>
      <c r="BA138" s="800"/>
      <c r="BB138" s="800"/>
      <c r="BC138" s="800"/>
      <c r="BD138" s="800"/>
      <c r="BE138" s="807"/>
      <c r="BF138" s="800"/>
      <c r="BG138" s="800"/>
      <c r="BH138" s="800"/>
      <c r="BI138" s="800"/>
      <c r="BJ138" s="800"/>
      <c r="BK138" s="805"/>
      <c r="BL138" s="1376"/>
      <c r="BM138" s="1377"/>
      <c r="BN138" s="1377"/>
      <c r="BO138" s="1377"/>
      <c r="BP138" s="1440"/>
      <c r="BQ138" s="1420"/>
      <c r="BR138" s="1368"/>
      <c r="BS138" s="1368"/>
      <c r="BT138" s="1368"/>
      <c r="BU138" s="1369"/>
      <c r="BV138" s="1420"/>
      <c r="BW138" s="1368"/>
      <c r="BX138" s="1368"/>
      <c r="BY138" s="1368"/>
      <c r="BZ138" s="1368"/>
      <c r="CA138" s="1420"/>
      <c r="CB138" s="1368"/>
      <c r="CC138" s="1368"/>
      <c r="CD138" s="1368"/>
      <c r="CE138" s="1369"/>
      <c r="CF138" s="1368"/>
      <c r="CG138" s="1368"/>
      <c r="CH138" s="1368"/>
      <c r="CI138" s="1368"/>
      <c r="CJ138" s="1369"/>
      <c r="CK138" s="1420"/>
      <c r="CL138" s="1368"/>
      <c r="CM138" s="1368"/>
      <c r="CN138" s="1368"/>
      <c r="CO138" s="1369"/>
      <c r="CP138" s="1420"/>
      <c r="CQ138" s="1368"/>
      <c r="CR138" s="1368"/>
      <c r="CS138" s="1368"/>
      <c r="CT138" s="1369"/>
      <c r="CU138" s="1528"/>
      <c r="CV138" s="1519"/>
      <c r="CW138" s="1519"/>
      <c r="CX138" s="1728"/>
      <c r="CY138" s="1519"/>
      <c r="CZ138" s="1519"/>
      <c r="DA138" s="1519"/>
      <c r="DB138" s="1728"/>
      <c r="DC138" s="1377"/>
      <c r="DD138" s="1729"/>
      <c r="DE138" s="1734"/>
    </row>
    <row r="139" spans="1:109" ht="15.75" hidden="1" customHeight="1">
      <c r="A139" s="772" t="s">
        <v>1032</v>
      </c>
      <c r="B139" s="773">
        <v>133</v>
      </c>
      <c r="C139" s="789" t="s">
        <v>2478</v>
      </c>
      <c r="D139" s="773" t="s">
        <v>2475</v>
      </c>
      <c r="E139" s="773" t="s">
        <v>1907</v>
      </c>
      <c r="F139" s="785" t="s">
        <v>2479</v>
      </c>
      <c r="G139" s="790" t="s">
        <v>1935</v>
      </c>
      <c r="H139" s="791" t="s">
        <v>2477</v>
      </c>
      <c r="I139" s="792"/>
      <c r="J139" s="793">
        <v>0.63500000000000001</v>
      </c>
      <c r="K139" s="793">
        <v>0.36499999999999999</v>
      </c>
      <c r="L139" s="793"/>
      <c r="M139" s="793"/>
      <c r="N139" s="793"/>
      <c r="O139" s="793"/>
      <c r="P139" s="794"/>
      <c r="Q139" s="795">
        <f t="shared" si="2"/>
        <v>1</v>
      </c>
      <c r="R139" s="789" t="s">
        <v>1030</v>
      </c>
      <c r="S139" s="773" t="s">
        <v>1008</v>
      </c>
      <c r="T139" s="796" t="s">
        <v>1009</v>
      </c>
      <c r="U139" s="773" t="s">
        <v>1073</v>
      </c>
      <c r="V139" s="773" t="s">
        <v>1081</v>
      </c>
      <c r="W139" s="773" t="s">
        <v>427</v>
      </c>
      <c r="X139" s="1274">
        <v>2</v>
      </c>
      <c r="Y139" s="821" t="s">
        <v>1010</v>
      </c>
      <c r="Z139" s="790" t="s">
        <v>1935</v>
      </c>
      <c r="AA139" s="785"/>
      <c r="AB139" s="785"/>
      <c r="AC139" s="785"/>
      <c r="AD139" s="785"/>
      <c r="AE139" s="785"/>
      <c r="AF139" s="799"/>
      <c r="AG139" s="800"/>
      <c r="AH139" s="800"/>
      <c r="AI139" s="800"/>
      <c r="AJ139" s="800"/>
      <c r="AK139" s="800"/>
      <c r="AL139" s="800"/>
      <c r="AM139" s="800"/>
      <c r="AN139" s="800"/>
      <c r="AO139" s="800"/>
      <c r="AP139" s="800"/>
      <c r="AQ139" s="1420"/>
      <c r="AR139" s="1368"/>
      <c r="AS139" s="1368"/>
      <c r="AT139" s="1368"/>
      <c r="AU139" s="1369"/>
      <c r="AV139" s="808"/>
      <c r="AW139" s="800"/>
      <c r="AX139" s="800"/>
      <c r="AY139" s="800"/>
      <c r="AZ139" s="800"/>
      <c r="BA139" s="850"/>
      <c r="BB139" s="850"/>
      <c r="BC139" s="850"/>
      <c r="BD139" s="850"/>
      <c r="BE139" s="850"/>
      <c r="BF139" s="800"/>
      <c r="BG139" s="800"/>
      <c r="BH139" s="800"/>
      <c r="BI139" s="800"/>
      <c r="BJ139" s="800"/>
      <c r="BK139" s="805"/>
      <c r="BL139" s="1376"/>
      <c r="BM139" s="1377"/>
      <c r="BN139" s="1377"/>
      <c r="BO139" s="1377"/>
      <c r="BP139" s="1440"/>
      <c r="BQ139" s="1420"/>
      <c r="BR139" s="1368"/>
      <c r="BS139" s="1368"/>
      <c r="BT139" s="1368"/>
      <c r="BU139" s="1369"/>
      <c r="BV139" s="1420"/>
      <c r="BW139" s="1368"/>
      <c r="BX139" s="1368"/>
      <c r="BY139" s="1368"/>
      <c r="BZ139" s="1368"/>
      <c r="CA139" s="1420"/>
      <c r="CB139" s="1368"/>
      <c r="CC139" s="1368"/>
      <c r="CD139" s="1368"/>
      <c r="CE139" s="1369"/>
      <c r="CF139" s="1368"/>
      <c r="CG139" s="1368"/>
      <c r="CH139" s="1368"/>
      <c r="CI139" s="1368"/>
      <c r="CJ139" s="1369"/>
      <c r="CK139" s="1420"/>
      <c r="CL139" s="1368"/>
      <c r="CM139" s="1368"/>
      <c r="CN139" s="1368"/>
      <c r="CO139" s="1369"/>
      <c r="CP139" s="1420"/>
      <c r="CQ139" s="1368"/>
      <c r="CR139" s="1368"/>
      <c r="CS139" s="1368"/>
      <c r="CT139" s="1369"/>
      <c r="CU139" s="1528"/>
      <c r="CV139" s="1519"/>
      <c r="CW139" s="1519"/>
      <c r="CX139" s="1728"/>
      <c r="CY139" s="1519"/>
      <c r="CZ139" s="1519"/>
      <c r="DA139" s="1519"/>
      <c r="DB139" s="1728"/>
      <c r="DC139" s="1377"/>
      <c r="DD139" s="1729"/>
      <c r="DE139" s="1734"/>
    </row>
    <row r="140" spans="1:109" ht="15.75" hidden="1" customHeight="1">
      <c r="A140" s="772" t="s">
        <v>1032</v>
      </c>
      <c r="B140" s="773">
        <v>134</v>
      </c>
      <c r="C140" s="789" t="s">
        <v>2480</v>
      </c>
      <c r="D140" s="773" t="s">
        <v>2481</v>
      </c>
      <c r="E140" s="773" t="s">
        <v>1907</v>
      </c>
      <c r="F140" s="785" t="s">
        <v>2482</v>
      </c>
      <c r="G140" s="790" t="s">
        <v>130</v>
      </c>
      <c r="H140" s="791" t="s">
        <v>2483</v>
      </c>
      <c r="I140" s="792"/>
      <c r="J140" s="793">
        <v>1</v>
      </c>
      <c r="K140" s="793"/>
      <c r="L140" s="793"/>
      <c r="M140" s="793"/>
      <c r="N140" s="793"/>
      <c r="O140" s="793"/>
      <c r="P140" s="794"/>
      <c r="Q140" s="795">
        <f t="shared" si="2"/>
        <v>1</v>
      </c>
      <c r="R140" s="789" t="s">
        <v>1026</v>
      </c>
      <c r="S140" s="773" t="s">
        <v>1008</v>
      </c>
      <c r="T140" s="796" t="s">
        <v>1009</v>
      </c>
      <c r="U140" s="773" t="s">
        <v>1926</v>
      </c>
      <c r="V140" s="773" t="s">
        <v>1033</v>
      </c>
      <c r="W140" s="773" t="s">
        <v>2484</v>
      </c>
      <c r="X140" s="829">
        <v>2</v>
      </c>
      <c r="Y140" s="826" t="s">
        <v>1020</v>
      </c>
      <c r="Z140" s="790" t="s">
        <v>130</v>
      </c>
      <c r="AA140" s="785"/>
      <c r="AB140" s="785"/>
      <c r="AC140" s="785"/>
      <c r="AD140" s="785"/>
      <c r="AE140" s="785"/>
      <c r="AF140" s="799"/>
      <c r="AG140" s="800"/>
      <c r="AH140" s="800"/>
      <c r="AI140" s="800"/>
      <c r="AJ140" s="800"/>
      <c r="AK140" s="800"/>
      <c r="AL140" s="800"/>
      <c r="AM140" s="800"/>
      <c r="AN140" s="800"/>
      <c r="AO140" s="800"/>
      <c r="AP140" s="800"/>
      <c r="AQ140" s="1420"/>
      <c r="AR140" s="1368"/>
      <c r="AS140" s="1368"/>
      <c r="AT140" s="1368"/>
      <c r="AU140" s="1369"/>
      <c r="AV140" s="808"/>
      <c r="AW140" s="800"/>
      <c r="AX140" s="800"/>
      <c r="AY140" s="800"/>
      <c r="AZ140" s="800"/>
      <c r="BA140" s="800"/>
      <c r="BB140" s="800"/>
      <c r="BC140" s="800"/>
      <c r="BD140" s="800"/>
      <c r="BE140" s="800"/>
      <c r="BF140" s="800"/>
      <c r="BG140" s="800"/>
      <c r="BH140" s="800"/>
      <c r="BI140" s="800"/>
      <c r="BJ140" s="800"/>
      <c r="BK140" s="805"/>
      <c r="BL140" s="1376"/>
      <c r="BM140" s="1377"/>
      <c r="BN140" s="1377"/>
      <c r="BO140" s="1377"/>
      <c r="BP140" s="1440"/>
      <c r="BQ140" s="1420"/>
      <c r="BR140" s="1368"/>
      <c r="BS140" s="1368"/>
      <c r="BT140" s="1368"/>
      <c r="BU140" s="1369"/>
      <c r="BV140" s="1420"/>
      <c r="BW140" s="1368"/>
      <c r="BX140" s="1368"/>
      <c r="BY140" s="1368"/>
      <c r="BZ140" s="1368"/>
      <c r="CA140" s="1420"/>
      <c r="CB140" s="1368"/>
      <c r="CC140" s="1368"/>
      <c r="CD140" s="1368"/>
      <c r="CE140" s="1369"/>
      <c r="CF140" s="1368"/>
      <c r="CG140" s="1368"/>
      <c r="CH140" s="1368"/>
      <c r="CI140" s="1368"/>
      <c r="CJ140" s="1369"/>
      <c r="CK140" s="1420"/>
      <c r="CL140" s="1368"/>
      <c r="CM140" s="1368"/>
      <c r="CN140" s="1368"/>
      <c r="CO140" s="1369"/>
      <c r="CP140" s="1420"/>
      <c r="CQ140" s="1368"/>
      <c r="CR140" s="1368"/>
      <c r="CS140" s="1368"/>
      <c r="CT140" s="1369"/>
      <c r="CU140" s="1528"/>
      <c r="CV140" s="1519"/>
      <c r="CW140" s="1519"/>
      <c r="CX140" s="1728"/>
      <c r="CY140" s="1519"/>
      <c r="CZ140" s="1519"/>
      <c r="DA140" s="1519"/>
      <c r="DB140" s="1728"/>
      <c r="DC140" s="1377"/>
      <c r="DD140" s="1729"/>
      <c r="DE140" s="1734"/>
    </row>
    <row r="141" spans="1:109" ht="15.75" hidden="1" customHeight="1">
      <c r="A141" s="772" t="s">
        <v>1032</v>
      </c>
      <c r="B141" s="773">
        <v>135</v>
      </c>
      <c r="C141" s="789" t="s">
        <v>2485</v>
      </c>
      <c r="D141" s="773" t="s">
        <v>2486</v>
      </c>
      <c r="E141" s="773" t="s">
        <v>1889</v>
      </c>
      <c r="F141" s="785" t="s">
        <v>2487</v>
      </c>
      <c r="G141" s="790" t="s">
        <v>137</v>
      </c>
      <c r="H141" s="791" t="s">
        <v>1893</v>
      </c>
      <c r="I141" s="792"/>
      <c r="J141" s="793">
        <v>1</v>
      </c>
      <c r="K141" s="793"/>
      <c r="L141" s="793"/>
      <c r="M141" s="793"/>
      <c r="N141" s="793"/>
      <c r="O141" s="793"/>
      <c r="P141" s="794"/>
      <c r="Q141" s="795">
        <f t="shared" si="2"/>
        <v>1</v>
      </c>
      <c r="R141" s="789" t="s">
        <v>1030</v>
      </c>
      <c r="S141" s="773" t="s">
        <v>1008</v>
      </c>
      <c r="T141" s="796" t="s">
        <v>1009</v>
      </c>
      <c r="U141" s="773" t="s">
        <v>1892</v>
      </c>
      <c r="V141" s="773" t="s">
        <v>1029</v>
      </c>
      <c r="W141" s="773" t="s">
        <v>2488</v>
      </c>
      <c r="X141" s="800">
        <v>0</v>
      </c>
      <c r="Y141" s="821" t="s">
        <v>1020</v>
      </c>
      <c r="Z141" s="790" t="s">
        <v>137</v>
      </c>
      <c r="AA141" s="785"/>
      <c r="AB141" s="785"/>
      <c r="AC141" s="785"/>
      <c r="AD141" s="785"/>
      <c r="AE141" s="785"/>
      <c r="AF141" s="799"/>
      <c r="AG141" s="800"/>
      <c r="AH141" s="800"/>
      <c r="AI141" s="800"/>
      <c r="AJ141" s="800"/>
      <c r="AK141" s="800"/>
      <c r="AL141" s="800"/>
      <c r="AM141" s="845"/>
      <c r="AN141" s="845"/>
      <c r="AO141" s="845"/>
      <c r="AP141" s="845"/>
      <c r="AQ141" s="1370"/>
      <c r="AR141" s="1371"/>
      <c r="AS141" s="1371"/>
      <c r="AT141" s="1371"/>
      <c r="AU141" s="1372"/>
      <c r="AV141" s="806"/>
      <c r="AW141" s="800"/>
      <c r="AX141" s="800"/>
      <c r="AY141" s="800"/>
      <c r="AZ141" s="800"/>
      <c r="BA141" s="807"/>
      <c r="BB141" s="800"/>
      <c r="BC141" s="800"/>
      <c r="BD141" s="800"/>
      <c r="BE141" s="800"/>
      <c r="BF141" s="800"/>
      <c r="BG141" s="800"/>
      <c r="BH141" s="800"/>
      <c r="BI141" s="800"/>
      <c r="BJ141" s="800"/>
      <c r="BK141" s="805"/>
      <c r="BL141" s="1376"/>
      <c r="BM141" s="1377"/>
      <c r="BN141" s="1377"/>
      <c r="BO141" s="1377"/>
      <c r="BP141" s="1440"/>
      <c r="BQ141" s="1370"/>
      <c r="BR141" s="1371"/>
      <c r="BS141" s="1371"/>
      <c r="BT141" s="1371"/>
      <c r="BU141" s="1372"/>
      <c r="BV141" s="1370"/>
      <c r="BW141" s="1371"/>
      <c r="BX141" s="1371"/>
      <c r="BY141" s="1371"/>
      <c r="BZ141" s="1371"/>
      <c r="CA141" s="1420"/>
      <c r="CB141" s="1368"/>
      <c r="CC141" s="1368"/>
      <c r="CD141" s="1368"/>
      <c r="CE141" s="1369"/>
      <c r="CF141" s="1368"/>
      <c r="CG141" s="1368"/>
      <c r="CH141" s="1368"/>
      <c r="CI141" s="1368"/>
      <c r="CJ141" s="1368"/>
      <c r="CK141" s="1370"/>
      <c r="CL141" s="1371"/>
      <c r="CM141" s="1371"/>
      <c r="CN141" s="1371"/>
      <c r="CO141" s="1372"/>
      <c r="CP141" s="1370"/>
      <c r="CQ141" s="1371"/>
      <c r="CR141" s="1371"/>
      <c r="CS141" s="1371"/>
      <c r="CT141" s="1372"/>
      <c r="CU141" s="1528"/>
      <c r="CV141" s="1519"/>
      <c r="CW141" s="1519"/>
      <c r="CX141" s="1728"/>
      <c r="CY141" s="1519"/>
      <c r="CZ141" s="1519"/>
      <c r="DA141" s="1519"/>
      <c r="DB141" s="1728"/>
      <c r="DC141" s="1377"/>
      <c r="DD141" s="1729"/>
      <c r="DE141" s="1734"/>
    </row>
    <row r="142" spans="1:109" ht="15.75" hidden="1" customHeight="1">
      <c r="A142" s="772" t="s">
        <v>1032</v>
      </c>
      <c r="B142" s="773">
        <v>136</v>
      </c>
      <c r="C142" s="789" t="s">
        <v>2489</v>
      </c>
      <c r="D142" s="773" t="s">
        <v>2486</v>
      </c>
      <c r="E142" s="773" t="s">
        <v>1889</v>
      </c>
      <c r="F142" s="785" t="s">
        <v>2490</v>
      </c>
      <c r="G142" s="790" t="s">
        <v>2491</v>
      </c>
      <c r="H142" s="791" t="s">
        <v>2492</v>
      </c>
      <c r="I142" s="792"/>
      <c r="J142" s="793">
        <v>1</v>
      </c>
      <c r="K142" s="793"/>
      <c r="L142" s="793"/>
      <c r="M142" s="793"/>
      <c r="N142" s="793"/>
      <c r="O142" s="793"/>
      <c r="P142" s="794"/>
      <c r="Q142" s="795">
        <f t="shared" si="2"/>
        <v>1</v>
      </c>
      <c r="R142" s="789" t="s">
        <v>1030</v>
      </c>
      <c r="S142" s="773" t="s">
        <v>1008</v>
      </c>
      <c r="T142" s="796" t="s">
        <v>1009</v>
      </c>
      <c r="U142" s="773" t="s">
        <v>669</v>
      </c>
      <c r="V142" s="773" t="s">
        <v>1033</v>
      </c>
      <c r="W142" s="773" t="s">
        <v>2493</v>
      </c>
      <c r="X142" s="829">
        <v>1</v>
      </c>
      <c r="Y142" s="819" t="s">
        <v>1020</v>
      </c>
      <c r="Z142" s="790" t="s">
        <v>669</v>
      </c>
      <c r="AA142" s="785"/>
      <c r="AB142" s="785"/>
      <c r="AC142" s="785"/>
      <c r="AD142" s="785"/>
      <c r="AE142" s="785"/>
      <c r="AF142" s="799"/>
      <c r="AG142" s="800"/>
      <c r="AH142" s="800"/>
      <c r="AI142" s="800"/>
      <c r="AJ142" s="800"/>
      <c r="AK142" s="800"/>
      <c r="AL142" s="800"/>
      <c r="AM142" s="800"/>
      <c r="AN142" s="800"/>
      <c r="AO142" s="816"/>
      <c r="AP142" s="816"/>
      <c r="AQ142" s="1420"/>
      <c r="AR142" s="1373"/>
      <c r="AS142" s="1373"/>
      <c r="AT142" s="1373"/>
      <c r="AU142" s="1374"/>
      <c r="AV142" s="808"/>
      <c r="AW142" s="800"/>
      <c r="AX142" s="800"/>
      <c r="AY142" s="800"/>
      <c r="AZ142" s="816"/>
      <c r="BA142" s="816"/>
      <c r="BB142" s="816"/>
      <c r="BC142" s="816"/>
      <c r="BD142" s="816"/>
      <c r="BE142" s="816"/>
      <c r="BF142" s="800"/>
      <c r="BG142" s="800"/>
      <c r="BH142" s="800"/>
      <c r="BI142" s="800"/>
      <c r="BJ142" s="800"/>
      <c r="BK142" s="805"/>
      <c r="BL142" s="1376"/>
      <c r="BM142" s="1377"/>
      <c r="BN142" s="1377"/>
      <c r="BO142" s="1377"/>
      <c r="BP142" s="1440"/>
      <c r="BQ142" s="1521"/>
      <c r="BR142" s="1730"/>
      <c r="BS142" s="1730"/>
      <c r="BT142" s="1730"/>
      <c r="BU142" s="1527"/>
      <c r="BV142" s="1521"/>
      <c r="BW142" s="1730"/>
      <c r="BX142" s="1730"/>
      <c r="BY142" s="1730"/>
      <c r="BZ142" s="1527"/>
      <c r="CA142" s="1420"/>
      <c r="CB142" s="1368"/>
      <c r="CC142" s="1368"/>
      <c r="CD142" s="1368"/>
      <c r="CE142" s="1369"/>
      <c r="CF142" s="1368"/>
      <c r="CG142" s="1368"/>
      <c r="CH142" s="1368"/>
      <c r="CI142" s="1368"/>
      <c r="CJ142" s="1369"/>
      <c r="CK142" s="1421"/>
      <c r="CL142" s="1373"/>
      <c r="CM142" s="1373"/>
      <c r="CN142" s="1373"/>
      <c r="CO142" s="1374"/>
      <c r="CP142" s="1421"/>
      <c r="CQ142" s="1373"/>
      <c r="CR142" s="1373"/>
      <c r="CS142" s="1373"/>
      <c r="CT142" s="1374"/>
      <c r="CU142" s="1528"/>
      <c r="CV142" s="1519"/>
      <c r="CW142" s="1519"/>
      <c r="CX142" s="1728"/>
      <c r="CY142" s="1519"/>
      <c r="CZ142" s="1519"/>
      <c r="DA142" s="1519"/>
      <c r="DB142" s="1728"/>
      <c r="DC142" s="1377"/>
      <c r="DD142" s="1729"/>
      <c r="DE142" s="1734"/>
    </row>
    <row r="143" spans="1:109" ht="15.75" hidden="1" customHeight="1">
      <c r="A143" s="772" t="s">
        <v>1032</v>
      </c>
      <c r="B143" s="773">
        <v>137</v>
      </c>
      <c r="C143" s="789" t="s">
        <v>2494</v>
      </c>
      <c r="D143" s="773" t="s">
        <v>2486</v>
      </c>
      <c r="E143" s="773" t="s">
        <v>1889</v>
      </c>
      <c r="F143" s="785" t="s">
        <v>2495</v>
      </c>
      <c r="G143" s="790" t="s">
        <v>2496</v>
      </c>
      <c r="H143" s="791" t="s">
        <v>2492</v>
      </c>
      <c r="I143" s="792"/>
      <c r="J143" s="793">
        <v>1</v>
      </c>
      <c r="K143" s="793"/>
      <c r="L143" s="793"/>
      <c r="M143" s="793"/>
      <c r="N143" s="793"/>
      <c r="O143" s="793"/>
      <c r="P143" s="794"/>
      <c r="Q143" s="795">
        <f t="shared" si="2"/>
        <v>1</v>
      </c>
      <c r="R143" s="789" t="s">
        <v>1030</v>
      </c>
      <c r="S143" s="773" t="s">
        <v>1008</v>
      </c>
      <c r="T143" s="796" t="s">
        <v>1009</v>
      </c>
      <c r="U143" s="773" t="s">
        <v>669</v>
      </c>
      <c r="V143" s="773" t="s">
        <v>1033</v>
      </c>
      <c r="W143" s="773" t="s">
        <v>2493</v>
      </c>
      <c r="X143" s="829">
        <v>1</v>
      </c>
      <c r="Y143" s="819" t="s">
        <v>1020</v>
      </c>
      <c r="Z143" s="790" t="s">
        <v>669</v>
      </c>
      <c r="AA143" s="785"/>
      <c r="AB143" s="785"/>
      <c r="AC143" s="785"/>
      <c r="AD143" s="785"/>
      <c r="AE143" s="785"/>
      <c r="AF143" s="799"/>
      <c r="AG143" s="800"/>
      <c r="AH143" s="800"/>
      <c r="AI143" s="800"/>
      <c r="AJ143" s="800"/>
      <c r="AK143" s="800"/>
      <c r="AL143" s="800"/>
      <c r="AM143" s="842"/>
      <c r="AN143" s="842"/>
      <c r="AO143" s="842"/>
      <c r="AP143" s="842"/>
      <c r="AQ143" s="1421"/>
      <c r="AR143" s="1373"/>
      <c r="AS143" s="1373"/>
      <c r="AT143" s="1373"/>
      <c r="AU143" s="1374"/>
      <c r="AV143" s="843"/>
      <c r="AW143" s="842"/>
      <c r="AX143" s="842"/>
      <c r="AY143" s="842"/>
      <c r="AZ143" s="842"/>
      <c r="BA143" s="842"/>
      <c r="BB143" s="842"/>
      <c r="BC143" s="842"/>
      <c r="BD143" s="842"/>
      <c r="BE143" s="842"/>
      <c r="BF143" s="842"/>
      <c r="BG143" s="842"/>
      <c r="BH143" s="842"/>
      <c r="BI143" s="842"/>
      <c r="BJ143" s="842"/>
      <c r="BK143" s="844"/>
      <c r="BL143" s="1376"/>
      <c r="BM143" s="1377"/>
      <c r="BN143" s="1377"/>
      <c r="BO143" s="1377"/>
      <c r="BP143" s="1440"/>
      <c r="BQ143" s="1420"/>
      <c r="BR143" s="1368"/>
      <c r="BS143" s="1368"/>
      <c r="BT143" s="1368"/>
      <c r="BU143" s="1369"/>
      <c r="BV143" s="1521"/>
      <c r="BW143" s="1730"/>
      <c r="BX143" s="1730"/>
      <c r="BY143" s="1730"/>
      <c r="BZ143" s="1527"/>
      <c r="CA143" s="1420"/>
      <c r="CB143" s="1368"/>
      <c r="CC143" s="1368"/>
      <c r="CD143" s="1368"/>
      <c r="CE143" s="1369"/>
      <c r="CF143" s="1368"/>
      <c r="CG143" s="1368"/>
      <c r="CH143" s="1368"/>
      <c r="CI143" s="1368"/>
      <c r="CJ143" s="1369"/>
      <c r="CK143" s="1421"/>
      <c r="CL143" s="1373"/>
      <c r="CM143" s="1373"/>
      <c r="CN143" s="1373"/>
      <c r="CO143" s="1373"/>
      <c r="CP143" s="1421"/>
      <c r="CQ143" s="1373"/>
      <c r="CR143" s="1373"/>
      <c r="CS143" s="1373"/>
      <c r="CT143" s="1374"/>
      <c r="CU143" s="1528"/>
      <c r="CV143" s="1519"/>
      <c r="CW143" s="1519"/>
      <c r="CX143" s="1728"/>
      <c r="CY143" s="1519"/>
      <c r="CZ143" s="1519"/>
      <c r="DA143" s="1519"/>
      <c r="DB143" s="1728"/>
      <c r="DC143" s="1377"/>
      <c r="DD143" s="1729"/>
      <c r="DE143" s="1734"/>
    </row>
    <row r="144" spans="1:109" ht="15.75" hidden="1" customHeight="1">
      <c r="A144" s="772" t="s">
        <v>1032</v>
      </c>
      <c r="B144" s="773">
        <v>138</v>
      </c>
      <c r="C144" s="789" t="s">
        <v>2497</v>
      </c>
      <c r="D144" s="773" t="s">
        <v>2486</v>
      </c>
      <c r="E144" s="773" t="s">
        <v>1907</v>
      </c>
      <c r="F144" s="785" t="s">
        <v>2498</v>
      </c>
      <c r="G144" s="790" t="s">
        <v>1902</v>
      </c>
      <c r="H144" s="791" t="s">
        <v>2499</v>
      </c>
      <c r="I144" s="792"/>
      <c r="J144" s="793">
        <v>1</v>
      </c>
      <c r="K144" s="793"/>
      <c r="L144" s="793"/>
      <c r="M144" s="793"/>
      <c r="N144" s="793"/>
      <c r="O144" s="793"/>
      <c r="P144" s="794"/>
      <c r="Q144" s="795">
        <f t="shared" si="2"/>
        <v>1</v>
      </c>
      <c r="R144" s="789" t="s">
        <v>1030</v>
      </c>
      <c r="S144" s="773" t="s">
        <v>1008</v>
      </c>
      <c r="T144" s="1440" t="s">
        <v>1019</v>
      </c>
      <c r="U144" s="773" t="s">
        <v>2054</v>
      </c>
      <c r="V144" s="773" t="s">
        <v>1033</v>
      </c>
      <c r="W144" s="773" t="s">
        <v>2500</v>
      </c>
      <c r="X144" s="829">
        <v>1</v>
      </c>
      <c r="Y144" s="819" t="s">
        <v>1020</v>
      </c>
      <c r="Z144" s="790" t="s">
        <v>1902</v>
      </c>
      <c r="AA144" s="785"/>
      <c r="AB144" s="785"/>
      <c r="AC144" s="785"/>
      <c r="AD144" s="785"/>
      <c r="AE144" s="785"/>
      <c r="AF144" s="799"/>
      <c r="AG144" s="800"/>
      <c r="AH144" s="800"/>
      <c r="AI144" s="800"/>
      <c r="AJ144" s="800"/>
      <c r="AK144" s="800"/>
      <c r="AL144" s="800"/>
      <c r="AM144" s="800"/>
      <c r="AN144" s="800"/>
      <c r="AO144" s="816"/>
      <c r="AP144" s="800"/>
      <c r="AQ144" s="1420"/>
      <c r="AR144" s="1368"/>
      <c r="AS144" s="1368"/>
      <c r="AT144" s="1368"/>
      <c r="AU144" s="1369"/>
      <c r="AV144" s="817"/>
      <c r="AW144" s="816"/>
      <c r="AX144" s="816"/>
      <c r="AY144" s="816"/>
      <c r="AZ144" s="816"/>
      <c r="BA144" s="816"/>
      <c r="BB144" s="816"/>
      <c r="BC144" s="816"/>
      <c r="BD144" s="816"/>
      <c r="BE144" s="816"/>
      <c r="BF144" s="800"/>
      <c r="BG144" s="800"/>
      <c r="BH144" s="800"/>
      <c r="BI144" s="800"/>
      <c r="BJ144" s="800"/>
      <c r="BK144" s="805"/>
      <c r="BL144" s="1376"/>
      <c r="BM144" s="1377"/>
      <c r="BN144" s="1377"/>
      <c r="BO144" s="1377"/>
      <c r="BP144" s="1440"/>
      <c r="BQ144" s="1420"/>
      <c r="BR144" s="1368"/>
      <c r="BS144" s="1368"/>
      <c r="BT144" s="1368"/>
      <c r="BU144" s="1369"/>
      <c r="BV144" s="1420"/>
      <c r="BW144" s="1368"/>
      <c r="BX144" s="1368"/>
      <c r="BY144" s="1368"/>
      <c r="BZ144" s="1368"/>
      <c r="CA144" s="1420"/>
      <c r="CB144" s="1368"/>
      <c r="CC144" s="1368"/>
      <c r="CD144" s="1368"/>
      <c r="CE144" s="1369"/>
      <c r="CF144" s="1368"/>
      <c r="CG144" s="1368"/>
      <c r="CH144" s="1368"/>
      <c r="CI144" s="1368"/>
      <c r="CJ144" s="1369"/>
      <c r="CK144" s="1420"/>
      <c r="CL144" s="1368"/>
      <c r="CM144" s="1368"/>
      <c r="CN144" s="1368"/>
      <c r="CO144" s="1369"/>
      <c r="CP144" s="1420"/>
      <c r="CQ144" s="1368"/>
      <c r="CR144" s="1368"/>
      <c r="CS144" s="1368"/>
      <c r="CT144" s="1369"/>
      <c r="CU144" s="1528"/>
      <c r="CV144" s="1519"/>
      <c r="CW144" s="1519"/>
      <c r="CX144" s="1728"/>
      <c r="CY144" s="1519"/>
      <c r="CZ144" s="1519"/>
      <c r="DA144" s="1519"/>
      <c r="DB144" s="1728"/>
      <c r="DC144" s="1377"/>
      <c r="DD144" s="1729"/>
      <c r="DE144" s="1734"/>
    </row>
    <row r="145" spans="1:109" ht="15.75" hidden="1" customHeight="1">
      <c r="A145" s="772" t="s">
        <v>1032</v>
      </c>
      <c r="B145" s="773">
        <v>139</v>
      </c>
      <c r="C145" s="789" t="s">
        <v>2501</v>
      </c>
      <c r="D145" s="773" t="s">
        <v>2502</v>
      </c>
      <c r="E145" s="773" t="s">
        <v>1889</v>
      </c>
      <c r="F145" s="785" t="s">
        <v>2503</v>
      </c>
      <c r="G145" s="790" t="s">
        <v>732</v>
      </c>
      <c r="H145" s="791" t="s">
        <v>2504</v>
      </c>
      <c r="I145" s="792"/>
      <c r="J145" s="793"/>
      <c r="K145" s="793">
        <v>1</v>
      </c>
      <c r="L145" s="793"/>
      <c r="M145" s="793"/>
      <c r="N145" s="793"/>
      <c r="O145" s="793"/>
      <c r="P145" s="794"/>
      <c r="Q145" s="795">
        <f t="shared" si="2"/>
        <v>1</v>
      </c>
      <c r="R145" s="789" t="s">
        <v>1030</v>
      </c>
      <c r="S145" s="773" t="s">
        <v>1008</v>
      </c>
      <c r="T145" s="796" t="s">
        <v>1009</v>
      </c>
      <c r="U145" s="773" t="s">
        <v>2058</v>
      </c>
      <c r="V145" s="773" t="s">
        <v>1033</v>
      </c>
      <c r="W145" s="773" t="s">
        <v>2505</v>
      </c>
      <c r="X145" s="829">
        <v>2</v>
      </c>
      <c r="Y145" s="819" t="s">
        <v>1020</v>
      </c>
      <c r="Z145" s="790" t="s">
        <v>732</v>
      </c>
      <c r="AA145" s="785"/>
      <c r="AB145" s="785"/>
      <c r="AC145" s="785"/>
      <c r="AD145" s="785"/>
      <c r="AE145" s="785"/>
      <c r="AF145" s="799"/>
      <c r="AG145" s="800"/>
      <c r="AH145" s="800"/>
      <c r="AI145" s="800"/>
      <c r="AJ145" s="800"/>
      <c r="AK145" s="800"/>
      <c r="AL145" s="800"/>
      <c r="AM145" s="800"/>
      <c r="AN145" s="807"/>
      <c r="AO145" s="807"/>
      <c r="AP145" s="807"/>
      <c r="AQ145" s="1420"/>
      <c r="AR145" s="1373"/>
      <c r="AS145" s="1368"/>
      <c r="AT145" s="1373"/>
      <c r="AU145" s="1374"/>
      <c r="AV145" s="806"/>
      <c r="AW145" s="807"/>
      <c r="AX145" s="807"/>
      <c r="AY145" s="807"/>
      <c r="AZ145" s="807"/>
      <c r="BA145" s="800"/>
      <c r="BB145" s="800"/>
      <c r="BC145" s="800"/>
      <c r="BD145" s="800"/>
      <c r="BE145" s="807"/>
      <c r="BF145" s="800"/>
      <c r="BG145" s="800"/>
      <c r="BH145" s="800"/>
      <c r="BI145" s="800"/>
      <c r="BJ145" s="800"/>
      <c r="BK145" s="805"/>
      <c r="BL145" s="1376"/>
      <c r="BM145" s="1377"/>
      <c r="BN145" s="1377"/>
      <c r="BO145" s="1377"/>
      <c r="BP145" s="1440"/>
      <c r="BQ145" s="1420"/>
      <c r="BR145" s="1368"/>
      <c r="BS145" s="1368"/>
      <c r="BT145" s="1368"/>
      <c r="BU145" s="1369"/>
      <c r="BV145" s="1421"/>
      <c r="BW145" s="1373"/>
      <c r="BX145" s="1373"/>
      <c r="BY145" s="1373"/>
      <c r="BZ145" s="1373"/>
      <c r="CA145" s="1420"/>
      <c r="CB145" s="1368"/>
      <c r="CC145" s="1368"/>
      <c r="CD145" s="1368"/>
      <c r="CE145" s="1369"/>
      <c r="CF145" s="1368"/>
      <c r="CG145" s="1368"/>
      <c r="CH145" s="1368"/>
      <c r="CI145" s="1368"/>
      <c r="CJ145" s="1369"/>
      <c r="CK145" s="1420"/>
      <c r="CL145" s="1368"/>
      <c r="CM145" s="1368"/>
      <c r="CN145" s="1368"/>
      <c r="CO145" s="1369"/>
      <c r="CP145" s="1420"/>
      <c r="CQ145" s="1368"/>
      <c r="CR145" s="1368"/>
      <c r="CS145" s="1368"/>
      <c r="CT145" s="1369"/>
      <c r="CU145" s="1528"/>
      <c r="CV145" s="1519"/>
      <c r="CW145" s="1519"/>
      <c r="CX145" s="1728"/>
      <c r="CY145" s="1519"/>
      <c r="CZ145" s="1519"/>
      <c r="DA145" s="1519"/>
      <c r="DB145" s="1728"/>
      <c r="DC145" s="1377"/>
      <c r="DD145" s="1729"/>
      <c r="DE145" s="1734"/>
    </row>
    <row r="146" spans="1:109" ht="15.75" hidden="1" customHeight="1">
      <c r="A146" s="772" t="s">
        <v>1032</v>
      </c>
      <c r="B146" s="773">
        <v>140</v>
      </c>
      <c r="C146" s="789" t="s">
        <v>2506</v>
      </c>
      <c r="D146" s="773" t="s">
        <v>2507</v>
      </c>
      <c r="E146" s="773" t="s">
        <v>1889</v>
      </c>
      <c r="F146" s="785" t="s">
        <v>2508</v>
      </c>
      <c r="G146" s="790" t="s">
        <v>736</v>
      </c>
      <c r="H146" s="791" t="s">
        <v>2509</v>
      </c>
      <c r="I146" s="792"/>
      <c r="J146" s="793"/>
      <c r="K146" s="793">
        <v>1</v>
      </c>
      <c r="L146" s="793"/>
      <c r="M146" s="793"/>
      <c r="N146" s="793"/>
      <c r="O146" s="793"/>
      <c r="P146" s="794"/>
      <c r="Q146" s="795">
        <f t="shared" si="2"/>
        <v>1</v>
      </c>
      <c r="R146" s="789" t="s">
        <v>1030</v>
      </c>
      <c r="S146" s="773" t="s">
        <v>1008</v>
      </c>
      <c r="T146" s="796" t="s">
        <v>1009</v>
      </c>
      <c r="U146" s="773" t="s">
        <v>736</v>
      </c>
      <c r="V146" s="773" t="s">
        <v>1033</v>
      </c>
      <c r="W146" s="773" t="s">
        <v>2510</v>
      </c>
      <c r="X146" s="829">
        <v>2</v>
      </c>
      <c r="Y146" s="821" t="s">
        <v>1020</v>
      </c>
      <c r="Z146" s="790" t="s">
        <v>736</v>
      </c>
      <c r="AA146" s="785"/>
      <c r="AB146" s="785"/>
      <c r="AC146" s="785"/>
      <c r="AD146" s="785"/>
      <c r="AE146" s="785"/>
      <c r="AF146" s="799"/>
      <c r="AG146" s="800"/>
      <c r="AH146" s="800"/>
      <c r="AI146" s="800"/>
      <c r="AJ146" s="800"/>
      <c r="AK146" s="800"/>
      <c r="AL146" s="800"/>
      <c r="AM146" s="816"/>
      <c r="AN146" s="816"/>
      <c r="AO146" s="816"/>
      <c r="AP146" s="816"/>
      <c r="AQ146" s="1421"/>
      <c r="AR146" s="1373"/>
      <c r="AS146" s="1373"/>
      <c r="AT146" s="1373"/>
      <c r="AU146" s="1374"/>
      <c r="AV146" s="817"/>
      <c r="AW146" s="816"/>
      <c r="AX146" s="816"/>
      <c r="AY146" s="816"/>
      <c r="AZ146" s="816"/>
      <c r="BA146" s="816"/>
      <c r="BB146" s="816"/>
      <c r="BC146" s="816"/>
      <c r="BD146" s="816"/>
      <c r="BE146" s="816"/>
      <c r="BF146" s="800"/>
      <c r="BG146" s="800"/>
      <c r="BH146" s="800"/>
      <c r="BI146" s="800"/>
      <c r="BJ146" s="800"/>
      <c r="BK146" s="805"/>
      <c r="BL146" s="1376"/>
      <c r="BM146" s="1377"/>
      <c r="BN146" s="1377"/>
      <c r="BO146" s="1377"/>
      <c r="BP146" s="1440"/>
      <c r="BQ146" s="1421"/>
      <c r="BR146" s="1373"/>
      <c r="BS146" s="1373"/>
      <c r="BT146" s="1373"/>
      <c r="BU146" s="1374"/>
      <c r="BV146" s="1421"/>
      <c r="BW146" s="1373"/>
      <c r="BX146" s="1373"/>
      <c r="BY146" s="1373"/>
      <c r="BZ146" s="1373"/>
      <c r="CA146" s="1420"/>
      <c r="CB146" s="1368"/>
      <c r="CC146" s="1368"/>
      <c r="CD146" s="1368"/>
      <c r="CE146" s="1369"/>
      <c r="CF146" s="1368"/>
      <c r="CG146" s="1368"/>
      <c r="CH146" s="1368"/>
      <c r="CI146" s="1368"/>
      <c r="CJ146" s="1369"/>
      <c r="CK146" s="1421"/>
      <c r="CL146" s="1373"/>
      <c r="CM146" s="1373"/>
      <c r="CN146" s="1373"/>
      <c r="CO146" s="1374"/>
      <c r="CP146" s="1421"/>
      <c r="CQ146" s="1373"/>
      <c r="CR146" s="1373"/>
      <c r="CS146" s="1373"/>
      <c r="CT146" s="1374"/>
      <c r="CU146" s="1528"/>
      <c r="CV146" s="1519"/>
      <c r="CW146" s="1519"/>
      <c r="CX146" s="1728"/>
      <c r="CY146" s="1519"/>
      <c r="CZ146" s="1519"/>
      <c r="DA146" s="1519"/>
      <c r="DB146" s="1728"/>
      <c r="DC146" s="1377"/>
      <c r="DD146" s="1729"/>
      <c r="DE146" s="1734"/>
    </row>
    <row r="147" spans="1:109" ht="15.75" hidden="1" customHeight="1">
      <c r="A147" s="772" t="s">
        <v>1032</v>
      </c>
      <c r="B147" s="773">
        <v>141</v>
      </c>
      <c r="C147" s="789" t="s">
        <v>2511</v>
      </c>
      <c r="D147" s="773" t="s">
        <v>2512</v>
      </c>
      <c r="E147" s="773" t="s">
        <v>1907</v>
      </c>
      <c r="F147" s="785" t="s">
        <v>2513</v>
      </c>
      <c r="G147" s="790" t="s">
        <v>535</v>
      </c>
      <c r="H147" s="791" t="s">
        <v>2514</v>
      </c>
      <c r="I147" s="792">
        <v>1</v>
      </c>
      <c r="J147" s="793"/>
      <c r="K147" s="793"/>
      <c r="L147" s="793"/>
      <c r="M147" s="793"/>
      <c r="N147" s="793"/>
      <c r="O147" s="793"/>
      <c r="P147" s="794"/>
      <c r="Q147" s="795">
        <f t="shared" si="2"/>
        <v>1</v>
      </c>
      <c r="R147" s="789" t="s">
        <v>1007</v>
      </c>
      <c r="S147" s="773" t="s">
        <v>1942</v>
      </c>
      <c r="T147" s="796" t="s">
        <v>1942</v>
      </c>
      <c r="U147" s="773" t="s">
        <v>2515</v>
      </c>
      <c r="V147" s="773" t="s">
        <v>278</v>
      </c>
      <c r="W147" s="773" t="s">
        <v>2516</v>
      </c>
      <c r="X147" s="1308">
        <v>1</v>
      </c>
      <c r="Y147" s="821" t="s">
        <v>1020</v>
      </c>
      <c r="Z147" s="790" t="s">
        <v>535</v>
      </c>
      <c r="AA147" s="785"/>
      <c r="AB147" s="785"/>
      <c r="AC147" s="785"/>
      <c r="AD147" s="785"/>
      <c r="AE147" s="785"/>
      <c r="AF147" s="799"/>
      <c r="AG147" s="816"/>
      <c r="AH147" s="816"/>
      <c r="AI147" s="816"/>
      <c r="AJ147" s="816"/>
      <c r="AK147" s="816"/>
      <c r="AL147" s="816"/>
      <c r="AM147" s="816"/>
      <c r="AN147" s="816"/>
      <c r="AO147" s="816"/>
      <c r="AP147" s="816"/>
      <c r="AQ147" s="1521"/>
      <c r="AR147" s="1730"/>
      <c r="AS147" s="1730"/>
      <c r="AT147" s="1730"/>
      <c r="AU147" s="1527"/>
      <c r="AV147" s="817"/>
      <c r="AW147" s="816"/>
      <c r="AX147" s="816"/>
      <c r="AY147" s="816"/>
      <c r="AZ147" s="816"/>
      <c r="BA147" s="816"/>
      <c r="BB147" s="816"/>
      <c r="BC147" s="816"/>
      <c r="BD147" s="816"/>
      <c r="BE147" s="816"/>
      <c r="BF147" s="816"/>
      <c r="BG147" s="816"/>
      <c r="BH147" s="816"/>
      <c r="BI147" s="816"/>
      <c r="BJ147" s="816"/>
      <c r="BK147" s="818"/>
      <c r="BL147" s="1376"/>
      <c r="BM147" s="1377"/>
      <c r="BN147" s="1377"/>
      <c r="BO147" s="1377"/>
      <c r="BP147" s="1440"/>
      <c r="BQ147" s="1420"/>
      <c r="BR147" s="1368"/>
      <c r="BS147" s="1368"/>
      <c r="BT147" s="1368"/>
      <c r="BU147" s="1369"/>
      <c r="BV147" s="1420"/>
      <c r="BW147" s="1368"/>
      <c r="BX147" s="1368"/>
      <c r="BY147" s="1368"/>
      <c r="BZ147" s="1368"/>
      <c r="CA147" s="1420"/>
      <c r="CB147" s="1368"/>
      <c r="CC147" s="1368"/>
      <c r="CD147" s="1368"/>
      <c r="CE147" s="1369"/>
      <c r="CF147" s="1368"/>
      <c r="CG147" s="1368"/>
      <c r="CH147" s="1368"/>
      <c r="CI147" s="1368"/>
      <c r="CJ147" s="1369"/>
      <c r="CK147" s="1420"/>
      <c r="CL147" s="1368"/>
      <c r="CM147" s="1368"/>
      <c r="CN147" s="1368"/>
      <c r="CO147" s="1369"/>
      <c r="CP147" s="1420"/>
      <c r="CQ147" s="1368"/>
      <c r="CR147" s="1368"/>
      <c r="CS147" s="1368"/>
      <c r="CT147" s="1369"/>
      <c r="CU147" s="1528"/>
      <c r="CV147" s="1519"/>
      <c r="CW147" s="1519"/>
      <c r="CX147" s="1728"/>
      <c r="CY147" s="1519"/>
      <c r="CZ147" s="1519"/>
      <c r="DA147" s="1519"/>
      <c r="DB147" s="1728"/>
      <c r="DC147" s="1377"/>
      <c r="DD147" s="1729"/>
      <c r="DE147" s="1734"/>
    </row>
    <row r="148" spans="1:109" ht="15.75" hidden="1" customHeight="1">
      <c r="A148" s="772" t="s">
        <v>1032</v>
      </c>
      <c r="B148" s="773">
        <v>142</v>
      </c>
      <c r="C148" s="789" t="s">
        <v>2517</v>
      </c>
      <c r="D148" s="773" t="s">
        <v>2512</v>
      </c>
      <c r="E148" s="773" t="s">
        <v>1907</v>
      </c>
      <c r="F148" s="785" t="s">
        <v>2518</v>
      </c>
      <c r="G148" s="790" t="s">
        <v>839</v>
      </c>
      <c r="H148" s="791" t="s">
        <v>2519</v>
      </c>
      <c r="I148" s="792"/>
      <c r="J148" s="793"/>
      <c r="K148" s="793">
        <v>1</v>
      </c>
      <c r="L148" s="793"/>
      <c r="M148" s="793"/>
      <c r="N148" s="793"/>
      <c r="O148" s="793"/>
      <c r="P148" s="794"/>
      <c r="Q148" s="795">
        <f t="shared" si="2"/>
        <v>1</v>
      </c>
      <c r="R148" s="789" t="s">
        <v>1007</v>
      </c>
      <c r="S148" s="773" t="s">
        <v>1942</v>
      </c>
      <c r="T148" s="796" t="s">
        <v>1942</v>
      </c>
      <c r="U148" s="773" t="s">
        <v>2058</v>
      </c>
      <c r="V148" s="773" t="s">
        <v>278</v>
      </c>
      <c r="W148" s="773" t="s">
        <v>2520</v>
      </c>
      <c r="X148" s="1309">
        <v>2</v>
      </c>
      <c r="Y148" s="821" t="s">
        <v>1020</v>
      </c>
      <c r="Z148" s="790" t="s">
        <v>839</v>
      </c>
      <c r="AA148" s="785"/>
      <c r="AB148" s="785"/>
      <c r="AC148" s="785"/>
      <c r="AD148" s="785"/>
      <c r="AE148" s="785"/>
      <c r="AF148" s="799"/>
      <c r="AG148" s="800"/>
      <c r="AH148" s="800"/>
      <c r="AI148" s="800"/>
      <c r="AJ148" s="800"/>
      <c r="AK148" s="800"/>
      <c r="AL148" s="800"/>
      <c r="AM148" s="800"/>
      <c r="AN148" s="800"/>
      <c r="AO148" s="800"/>
      <c r="AP148" s="800"/>
      <c r="AQ148" s="1420"/>
      <c r="AR148" s="1368"/>
      <c r="AS148" s="1368"/>
      <c r="AT148" s="1368"/>
      <c r="AU148" s="1369"/>
      <c r="AV148" s="808"/>
      <c r="AW148" s="800"/>
      <c r="AX148" s="800"/>
      <c r="AY148" s="800"/>
      <c r="AZ148" s="807"/>
      <c r="BA148" s="807"/>
      <c r="BB148" s="807"/>
      <c r="BC148" s="807"/>
      <c r="BD148" s="807"/>
      <c r="BE148" s="807"/>
      <c r="BF148" s="800"/>
      <c r="BG148" s="800"/>
      <c r="BH148" s="800"/>
      <c r="BI148" s="800"/>
      <c r="BJ148" s="800"/>
      <c r="BK148" s="805"/>
      <c r="BL148" s="1376"/>
      <c r="BM148" s="1377"/>
      <c r="BN148" s="1377"/>
      <c r="BO148" s="1377"/>
      <c r="BP148" s="1440"/>
      <c r="BQ148" s="1420"/>
      <c r="BR148" s="1368"/>
      <c r="BS148" s="1368"/>
      <c r="BT148" s="1368"/>
      <c r="BU148" s="1369"/>
      <c r="BV148" s="1420"/>
      <c r="BW148" s="1368"/>
      <c r="BX148" s="1368"/>
      <c r="BY148" s="1368"/>
      <c r="BZ148" s="1368"/>
      <c r="CA148" s="1420"/>
      <c r="CB148" s="1368"/>
      <c r="CC148" s="1368"/>
      <c r="CD148" s="1368"/>
      <c r="CE148" s="1369"/>
      <c r="CF148" s="1368"/>
      <c r="CG148" s="1368"/>
      <c r="CH148" s="1368"/>
      <c r="CI148" s="1368"/>
      <c r="CJ148" s="1369"/>
      <c r="CK148" s="1420"/>
      <c r="CL148" s="1368"/>
      <c r="CM148" s="1368"/>
      <c r="CN148" s="1368"/>
      <c r="CO148" s="1369"/>
      <c r="CP148" s="1420"/>
      <c r="CQ148" s="1368"/>
      <c r="CR148" s="1368"/>
      <c r="CS148" s="1368"/>
      <c r="CT148" s="1369"/>
      <c r="CU148" s="1528"/>
      <c r="CV148" s="1519"/>
      <c r="CW148" s="1519"/>
      <c r="CX148" s="1728"/>
      <c r="CY148" s="1519"/>
      <c r="CZ148" s="1519"/>
      <c r="DA148" s="1519"/>
      <c r="DB148" s="1728"/>
      <c r="DC148" s="1377"/>
      <c r="DD148" s="1729"/>
      <c r="DE148" s="1734"/>
    </row>
    <row r="149" spans="1:109" ht="15.75" hidden="1" customHeight="1">
      <c r="A149" s="772" t="s">
        <v>1032</v>
      </c>
      <c r="B149" s="773">
        <v>143</v>
      </c>
      <c r="C149" s="789" t="s">
        <v>2521</v>
      </c>
      <c r="D149" s="773" t="s">
        <v>2486</v>
      </c>
      <c r="E149" s="773" t="s">
        <v>1889</v>
      </c>
      <c r="F149" s="785" t="s">
        <v>2522</v>
      </c>
      <c r="G149" s="790" t="s">
        <v>161</v>
      </c>
      <c r="H149" s="791" t="s">
        <v>2523</v>
      </c>
      <c r="I149" s="792"/>
      <c r="J149" s="793">
        <v>1</v>
      </c>
      <c r="K149" s="793"/>
      <c r="L149" s="793"/>
      <c r="M149" s="793"/>
      <c r="N149" s="793"/>
      <c r="O149" s="793"/>
      <c r="P149" s="794"/>
      <c r="Q149" s="795">
        <f t="shared" si="2"/>
        <v>1</v>
      </c>
      <c r="R149" s="789" t="s">
        <v>1030</v>
      </c>
      <c r="S149" s="773" t="s">
        <v>1008</v>
      </c>
      <c r="T149" s="796" t="s">
        <v>1009</v>
      </c>
      <c r="U149" s="773" t="s">
        <v>1920</v>
      </c>
      <c r="V149" s="773" t="s">
        <v>1033</v>
      </c>
      <c r="W149" s="773" t="s">
        <v>2524</v>
      </c>
      <c r="X149" s="1274">
        <v>1</v>
      </c>
      <c r="Y149" s="821" t="s">
        <v>1020</v>
      </c>
      <c r="Z149" s="790" t="s">
        <v>161</v>
      </c>
      <c r="AA149" s="785"/>
      <c r="AB149" s="785"/>
      <c r="AC149" s="785"/>
      <c r="AD149" s="785"/>
      <c r="AE149" s="785"/>
      <c r="AF149" s="799"/>
      <c r="AG149" s="800"/>
      <c r="AH149" s="800"/>
      <c r="AI149" s="800"/>
      <c r="AJ149" s="800"/>
      <c r="AK149" s="800"/>
      <c r="AL149" s="800"/>
      <c r="AM149" s="800"/>
      <c r="AN149" s="800"/>
      <c r="AO149" s="800"/>
      <c r="AP149" s="800"/>
      <c r="AQ149" s="1421"/>
      <c r="AR149" s="1373"/>
      <c r="AS149" s="1373"/>
      <c r="AT149" s="1373"/>
      <c r="AU149" s="1374"/>
      <c r="AV149" s="817"/>
      <c r="AW149" s="816"/>
      <c r="AX149" s="816"/>
      <c r="AY149" s="816"/>
      <c r="AZ149" s="816"/>
      <c r="BA149" s="816"/>
      <c r="BB149" s="816"/>
      <c r="BC149" s="816"/>
      <c r="BD149" s="816"/>
      <c r="BE149" s="816"/>
      <c r="BF149" s="800"/>
      <c r="BG149" s="800"/>
      <c r="BH149" s="800"/>
      <c r="BI149" s="800"/>
      <c r="BJ149" s="800"/>
      <c r="BK149" s="805"/>
      <c r="BL149" s="1376"/>
      <c r="BM149" s="1377"/>
      <c r="BN149" s="1377"/>
      <c r="BO149" s="1377"/>
      <c r="BP149" s="1440"/>
      <c r="BQ149" s="1420"/>
      <c r="BR149" s="1368"/>
      <c r="BS149" s="1368"/>
      <c r="BT149" s="1368"/>
      <c r="BU149" s="1369"/>
      <c r="BV149" s="1421"/>
      <c r="BW149" s="1373"/>
      <c r="BX149" s="1373"/>
      <c r="BY149" s="1373"/>
      <c r="BZ149" s="1373"/>
      <c r="CA149" s="1521"/>
      <c r="CB149" s="1730"/>
      <c r="CC149" s="1730"/>
      <c r="CD149" s="1730"/>
      <c r="CE149" s="1527"/>
      <c r="CF149" s="1368"/>
      <c r="CG149" s="1368"/>
      <c r="CH149" s="1368"/>
      <c r="CI149" s="1368"/>
      <c r="CJ149" s="1369"/>
      <c r="CK149" s="1420"/>
      <c r="CL149" s="1368"/>
      <c r="CM149" s="1368"/>
      <c r="CN149" s="1368"/>
      <c r="CO149" s="1369"/>
      <c r="CP149" s="1420"/>
      <c r="CQ149" s="1368"/>
      <c r="CR149" s="1368"/>
      <c r="CS149" s="1368"/>
      <c r="CT149" s="1369"/>
      <c r="CU149" s="1528"/>
      <c r="CV149" s="1519"/>
      <c r="CW149" s="1519"/>
      <c r="CX149" s="1728"/>
      <c r="CY149" s="1519"/>
      <c r="CZ149" s="1519"/>
      <c r="DA149" s="1519"/>
      <c r="DB149" s="1728"/>
      <c r="DC149" s="1377"/>
      <c r="DD149" s="1729"/>
      <c r="DE149" s="1734"/>
    </row>
    <row r="150" spans="1:109" ht="15.75" hidden="1" customHeight="1">
      <c r="A150" s="772" t="s">
        <v>1032</v>
      </c>
      <c r="B150" s="773">
        <v>144</v>
      </c>
      <c r="C150" s="789" t="s">
        <v>2525</v>
      </c>
      <c r="D150" s="773" t="s">
        <v>2486</v>
      </c>
      <c r="E150" s="773" t="s">
        <v>1907</v>
      </c>
      <c r="F150" s="785" t="s">
        <v>2526</v>
      </c>
      <c r="G150" s="790" t="s">
        <v>167</v>
      </c>
      <c r="H150" s="791" t="s">
        <v>2527</v>
      </c>
      <c r="I150" s="792"/>
      <c r="J150" s="793">
        <v>1</v>
      </c>
      <c r="K150" s="793"/>
      <c r="L150" s="793"/>
      <c r="M150" s="793"/>
      <c r="N150" s="793"/>
      <c r="O150" s="793"/>
      <c r="P150" s="794"/>
      <c r="Q150" s="795">
        <f t="shared" si="2"/>
        <v>1</v>
      </c>
      <c r="R150" s="789" t="s">
        <v>1026</v>
      </c>
      <c r="S150" s="773" t="s">
        <v>1008</v>
      </c>
      <c r="T150" s="796" t="s">
        <v>1009</v>
      </c>
      <c r="U150" s="773" t="s">
        <v>1915</v>
      </c>
      <c r="V150" s="773" t="s">
        <v>278</v>
      </c>
      <c r="W150" s="773" t="s">
        <v>2528</v>
      </c>
      <c r="X150" s="829">
        <v>2</v>
      </c>
      <c r="Y150" s="821" t="s">
        <v>1020</v>
      </c>
      <c r="Z150" s="790" t="s">
        <v>167</v>
      </c>
      <c r="AA150" s="785"/>
      <c r="AB150" s="785"/>
      <c r="AC150" s="785"/>
      <c r="AD150" s="785"/>
      <c r="AE150" s="785"/>
      <c r="AF150" s="799"/>
      <c r="AG150" s="800"/>
      <c r="AH150" s="800"/>
      <c r="AI150" s="800"/>
      <c r="AJ150" s="800"/>
      <c r="AK150" s="800"/>
      <c r="AL150" s="800"/>
      <c r="AM150" s="800"/>
      <c r="AN150" s="800"/>
      <c r="AO150" s="800"/>
      <c r="AP150" s="807"/>
      <c r="AQ150" s="1421"/>
      <c r="AR150" s="1373"/>
      <c r="AS150" s="1373"/>
      <c r="AT150" s="1373"/>
      <c r="AU150" s="1374"/>
      <c r="AV150" s="808"/>
      <c r="AW150" s="800"/>
      <c r="AX150" s="800"/>
      <c r="AY150" s="800"/>
      <c r="AZ150" s="807"/>
      <c r="BA150" s="807"/>
      <c r="BB150" s="807"/>
      <c r="BC150" s="807"/>
      <c r="BD150" s="807"/>
      <c r="BE150" s="807"/>
      <c r="BF150" s="800"/>
      <c r="BG150" s="800"/>
      <c r="BH150" s="800"/>
      <c r="BI150" s="800"/>
      <c r="BJ150" s="800"/>
      <c r="BK150" s="805"/>
      <c r="BL150" s="1376"/>
      <c r="BM150" s="1377"/>
      <c r="BN150" s="1377"/>
      <c r="BO150" s="1377"/>
      <c r="BP150" s="1440"/>
      <c r="BQ150" s="1420"/>
      <c r="BR150" s="1368"/>
      <c r="BS150" s="1368"/>
      <c r="BT150" s="1368"/>
      <c r="BU150" s="1369"/>
      <c r="BV150" s="1420"/>
      <c r="BW150" s="1368"/>
      <c r="BX150" s="1368"/>
      <c r="BY150" s="1368"/>
      <c r="BZ150" s="1368"/>
      <c r="CA150" s="1421"/>
      <c r="CB150" s="1373"/>
      <c r="CC150" s="1373"/>
      <c r="CD150" s="1373"/>
      <c r="CE150" s="1374"/>
      <c r="CF150" s="1368"/>
      <c r="CG150" s="1368"/>
      <c r="CH150" s="1368"/>
      <c r="CI150" s="1368"/>
      <c r="CJ150" s="1368"/>
      <c r="CK150" s="1420"/>
      <c r="CL150" s="1368"/>
      <c r="CM150" s="1368"/>
      <c r="CN150" s="1368"/>
      <c r="CO150" s="1369"/>
      <c r="CP150" s="1420"/>
      <c r="CQ150" s="1368"/>
      <c r="CR150" s="1368"/>
      <c r="CS150" s="1368"/>
      <c r="CT150" s="1369"/>
      <c r="CU150" s="1528"/>
      <c r="CV150" s="1519"/>
      <c r="CW150" s="1519"/>
      <c r="CX150" s="1728"/>
      <c r="CY150" s="1519"/>
      <c r="CZ150" s="1519"/>
      <c r="DA150" s="1519"/>
      <c r="DB150" s="1728"/>
      <c r="DC150" s="1377"/>
      <c r="DD150" s="1729"/>
      <c r="DE150" s="1734"/>
    </row>
    <row r="151" spans="1:109" ht="15.75" hidden="1" customHeight="1">
      <c r="A151" s="772" t="s">
        <v>1032</v>
      </c>
      <c r="B151" s="773">
        <v>145</v>
      </c>
      <c r="C151" s="789" t="s">
        <v>2529</v>
      </c>
      <c r="D151" s="773" t="s">
        <v>2502</v>
      </c>
      <c r="E151" s="773" t="s">
        <v>1889</v>
      </c>
      <c r="F151" s="785" t="s">
        <v>2530</v>
      </c>
      <c r="G151" s="790" t="s">
        <v>743</v>
      </c>
      <c r="H151" s="791" t="s">
        <v>2531</v>
      </c>
      <c r="I151" s="792"/>
      <c r="J151" s="793"/>
      <c r="K151" s="793">
        <v>1</v>
      </c>
      <c r="L151" s="793"/>
      <c r="M151" s="793"/>
      <c r="N151" s="793"/>
      <c r="O151" s="793"/>
      <c r="P151" s="794"/>
      <c r="Q151" s="795">
        <f t="shared" si="2"/>
        <v>1</v>
      </c>
      <c r="R151" s="789" t="s">
        <v>1026</v>
      </c>
      <c r="S151" s="773" t="s">
        <v>1008</v>
      </c>
      <c r="T151" s="796" t="s">
        <v>1009</v>
      </c>
      <c r="U151" s="773" t="s">
        <v>1920</v>
      </c>
      <c r="V151" s="773" t="s">
        <v>1033</v>
      </c>
      <c r="W151" s="773" t="s">
        <v>2532</v>
      </c>
      <c r="X151" s="829">
        <v>2</v>
      </c>
      <c r="Y151" s="821" t="s">
        <v>1020</v>
      </c>
      <c r="Z151" s="790" t="s">
        <v>743</v>
      </c>
      <c r="AA151" s="785"/>
      <c r="AB151" s="785"/>
      <c r="AC151" s="785"/>
      <c r="AD151" s="785"/>
      <c r="AE151" s="785"/>
      <c r="AF151" s="799"/>
      <c r="AG151" s="800"/>
      <c r="AH151" s="800"/>
      <c r="AI151" s="800"/>
      <c r="AJ151" s="800"/>
      <c r="AK151" s="800"/>
      <c r="AL151" s="800"/>
      <c r="AM151" s="800"/>
      <c r="AN151" s="800"/>
      <c r="AO151" s="800"/>
      <c r="AP151" s="800"/>
      <c r="AQ151" s="1420"/>
      <c r="AR151" s="1368"/>
      <c r="AS151" s="1368"/>
      <c r="AT151" s="1368"/>
      <c r="AU151" s="1369"/>
      <c r="AV151" s="808"/>
      <c r="AW151" s="800"/>
      <c r="AX151" s="800"/>
      <c r="AY151" s="800"/>
      <c r="AZ151" s="800"/>
      <c r="BA151" s="800"/>
      <c r="BB151" s="800"/>
      <c r="BC151" s="800"/>
      <c r="BD151" s="800"/>
      <c r="BE151" s="800"/>
      <c r="BF151" s="800"/>
      <c r="BG151" s="800"/>
      <c r="BH151" s="800"/>
      <c r="BI151" s="800"/>
      <c r="BJ151" s="800"/>
      <c r="BK151" s="805"/>
      <c r="BL151" s="1376"/>
      <c r="BM151" s="1377"/>
      <c r="BN151" s="1377"/>
      <c r="BO151" s="1377"/>
      <c r="BP151" s="1440"/>
      <c r="BQ151" s="1420"/>
      <c r="BR151" s="1368"/>
      <c r="BS151" s="1368"/>
      <c r="BT151" s="1368"/>
      <c r="BU151" s="1369"/>
      <c r="BV151" s="1420"/>
      <c r="BW151" s="1368"/>
      <c r="BX151" s="1368"/>
      <c r="BY151" s="1368"/>
      <c r="BZ151" s="1368"/>
      <c r="CA151" s="1420"/>
      <c r="CB151" s="1368"/>
      <c r="CC151" s="1368"/>
      <c r="CD151" s="1368"/>
      <c r="CE151" s="1369"/>
      <c r="CF151" s="1368"/>
      <c r="CG151" s="1368"/>
      <c r="CH151" s="1368"/>
      <c r="CI151" s="1368"/>
      <c r="CJ151" s="1369"/>
      <c r="CK151" s="1420"/>
      <c r="CL151" s="1368"/>
      <c r="CM151" s="1368"/>
      <c r="CN151" s="1368"/>
      <c r="CO151" s="1369"/>
      <c r="CP151" s="1420"/>
      <c r="CQ151" s="1368"/>
      <c r="CR151" s="1368"/>
      <c r="CS151" s="1368"/>
      <c r="CT151" s="1369"/>
      <c r="CU151" s="1528"/>
      <c r="CV151" s="1519"/>
      <c r="CW151" s="1519"/>
      <c r="CX151" s="1728"/>
      <c r="CY151" s="1519"/>
      <c r="CZ151" s="1519"/>
      <c r="DA151" s="1519"/>
      <c r="DB151" s="1728"/>
      <c r="DC151" s="1377"/>
      <c r="DD151" s="1729"/>
      <c r="DE151" s="1734"/>
    </row>
    <row r="152" spans="1:109" ht="15.75" hidden="1" customHeight="1">
      <c r="A152" s="772" t="s">
        <v>1032</v>
      </c>
      <c r="B152" s="773">
        <v>146</v>
      </c>
      <c r="C152" s="789" t="s">
        <v>2533</v>
      </c>
      <c r="D152" s="773" t="s">
        <v>2507</v>
      </c>
      <c r="E152" s="773" t="s">
        <v>1889</v>
      </c>
      <c r="F152" s="785" t="s">
        <v>2534</v>
      </c>
      <c r="G152" s="790" t="s">
        <v>1058</v>
      </c>
      <c r="H152" s="791" t="s">
        <v>2535</v>
      </c>
      <c r="I152" s="792"/>
      <c r="J152" s="793">
        <v>0.16</v>
      </c>
      <c r="K152" s="793">
        <v>0.84</v>
      </c>
      <c r="L152" s="793"/>
      <c r="M152" s="793"/>
      <c r="N152" s="793"/>
      <c r="O152" s="793"/>
      <c r="P152" s="794"/>
      <c r="Q152" s="795">
        <f t="shared" si="2"/>
        <v>1</v>
      </c>
      <c r="R152" s="789" t="s">
        <v>1026</v>
      </c>
      <c r="S152" s="773" t="s">
        <v>1008</v>
      </c>
      <c r="T152" s="796" t="s">
        <v>1009</v>
      </c>
      <c r="U152" s="773" t="s">
        <v>2536</v>
      </c>
      <c r="V152" s="773" t="s">
        <v>278</v>
      </c>
      <c r="W152" s="773" t="s">
        <v>2537</v>
      </c>
      <c r="X152" s="1274">
        <v>2</v>
      </c>
      <c r="Y152" s="821" t="s">
        <v>1010</v>
      </c>
      <c r="Z152" s="790" t="s">
        <v>1058</v>
      </c>
      <c r="AA152" s="785"/>
      <c r="AB152" s="785"/>
      <c r="AC152" s="785"/>
      <c r="AD152" s="785"/>
      <c r="AE152" s="785"/>
      <c r="AF152" s="799"/>
      <c r="AG152" s="800"/>
      <c r="AH152" s="800"/>
      <c r="AI152" s="800"/>
      <c r="AJ152" s="800"/>
      <c r="AK152" s="800"/>
      <c r="AL152" s="800"/>
      <c r="AM152" s="800"/>
      <c r="AN152" s="800"/>
      <c r="AO152" s="800"/>
      <c r="AP152" s="800"/>
      <c r="AQ152" s="1420"/>
      <c r="AR152" s="1368"/>
      <c r="AS152" s="1368"/>
      <c r="AT152" s="1368"/>
      <c r="AU152" s="1369"/>
      <c r="AV152" s="808"/>
      <c r="AW152" s="800"/>
      <c r="AX152" s="800"/>
      <c r="AY152" s="800"/>
      <c r="AZ152" s="800"/>
      <c r="BA152" s="800"/>
      <c r="BB152" s="800"/>
      <c r="BC152" s="800"/>
      <c r="BD152" s="800"/>
      <c r="BE152" s="800"/>
      <c r="BF152" s="800"/>
      <c r="BG152" s="800"/>
      <c r="BH152" s="800"/>
      <c r="BI152" s="800"/>
      <c r="BJ152" s="800"/>
      <c r="BK152" s="805"/>
      <c r="BL152" s="1376"/>
      <c r="BM152" s="1377"/>
      <c r="BN152" s="1377"/>
      <c r="BO152" s="1377"/>
      <c r="BP152" s="1440"/>
      <c r="BQ152" s="1420"/>
      <c r="BR152" s="1368"/>
      <c r="BS152" s="1368"/>
      <c r="BT152" s="1368"/>
      <c r="BU152" s="1369"/>
      <c r="BV152" s="1420"/>
      <c r="BW152" s="1368"/>
      <c r="BX152" s="1368"/>
      <c r="BY152" s="1368"/>
      <c r="BZ152" s="1368"/>
      <c r="CA152" s="1420"/>
      <c r="CB152" s="1368"/>
      <c r="CC152" s="1368"/>
      <c r="CD152" s="1368"/>
      <c r="CE152" s="1369"/>
      <c r="CF152" s="1368"/>
      <c r="CG152" s="1368"/>
      <c r="CH152" s="1368"/>
      <c r="CI152" s="1368"/>
      <c r="CJ152" s="1369"/>
      <c r="CK152" s="1420"/>
      <c r="CL152" s="1368"/>
      <c r="CM152" s="1368"/>
      <c r="CN152" s="1368"/>
      <c r="CO152" s="1369"/>
      <c r="CP152" s="1420"/>
      <c r="CQ152" s="1368"/>
      <c r="CR152" s="1368"/>
      <c r="CS152" s="1368"/>
      <c r="CT152" s="1369"/>
      <c r="CU152" s="1528"/>
      <c r="CV152" s="1519"/>
      <c r="CW152" s="1519"/>
      <c r="CX152" s="1728"/>
      <c r="CY152" s="1519"/>
      <c r="CZ152" s="1519"/>
      <c r="DA152" s="1519"/>
      <c r="DB152" s="1728"/>
      <c r="DC152" s="1377"/>
      <c r="DD152" s="1729"/>
      <c r="DE152" s="1734"/>
    </row>
    <row r="153" spans="1:109" ht="15.75" hidden="1" customHeight="1">
      <c r="A153" s="772" t="s">
        <v>1032</v>
      </c>
      <c r="B153" s="773">
        <v>147</v>
      </c>
      <c r="C153" s="789" t="s">
        <v>2538</v>
      </c>
      <c r="D153" s="773" t="s">
        <v>2539</v>
      </c>
      <c r="E153" s="773" t="s">
        <v>1907</v>
      </c>
      <c r="F153" s="785" t="s">
        <v>2540</v>
      </c>
      <c r="G153" s="790" t="s">
        <v>2541</v>
      </c>
      <c r="H153" s="791" t="s">
        <v>2542</v>
      </c>
      <c r="I153" s="792"/>
      <c r="J153" s="793"/>
      <c r="K153" s="793"/>
      <c r="L153" s="793"/>
      <c r="M153" s="793">
        <v>1</v>
      </c>
      <c r="N153" s="793"/>
      <c r="O153" s="793"/>
      <c r="P153" s="794"/>
      <c r="Q153" s="795">
        <f t="shared" si="2"/>
        <v>1</v>
      </c>
      <c r="R153" s="789" t="s">
        <v>1007</v>
      </c>
      <c r="S153" s="773" t="s">
        <v>1942</v>
      </c>
      <c r="T153" s="796" t="s">
        <v>1942</v>
      </c>
      <c r="U153" s="773" t="s">
        <v>2117</v>
      </c>
      <c r="V153" s="773" t="s">
        <v>1033</v>
      </c>
      <c r="W153" s="773" t="s">
        <v>2543</v>
      </c>
      <c r="X153" s="1309">
        <v>1</v>
      </c>
      <c r="Y153" s="821" t="s">
        <v>1010</v>
      </c>
      <c r="Z153" s="790" t="s">
        <v>1942</v>
      </c>
      <c r="AA153" s="785"/>
      <c r="AB153" s="785"/>
      <c r="AC153" s="785"/>
      <c r="AD153" s="785"/>
      <c r="AE153" s="785"/>
      <c r="AF153" s="799"/>
      <c r="AG153" s="800"/>
      <c r="AH153" s="800"/>
      <c r="AI153" s="800"/>
      <c r="AJ153" s="800"/>
      <c r="AK153" s="800"/>
      <c r="AL153" s="800"/>
      <c r="AM153" s="807"/>
      <c r="AN153" s="800"/>
      <c r="AO153" s="800"/>
      <c r="AP153" s="800"/>
      <c r="AQ153" s="808">
        <v>8.6999999999999993</v>
      </c>
      <c r="AR153" s="800">
        <v>8.6999999999999993</v>
      </c>
      <c r="AS153" s="800">
        <v>8.6999999999999993</v>
      </c>
      <c r="AT153" s="800">
        <v>8.8000000000000007</v>
      </c>
      <c r="AU153" s="805">
        <v>8.8000000000000007</v>
      </c>
      <c r="AV153" s="808"/>
      <c r="AW153" s="800"/>
      <c r="AX153" s="800"/>
      <c r="AY153" s="800"/>
      <c r="AZ153" s="800"/>
      <c r="BA153" s="800"/>
      <c r="BB153" s="800"/>
      <c r="BC153" s="800"/>
      <c r="BD153" s="800"/>
      <c r="BE153" s="800"/>
      <c r="BF153" s="800"/>
      <c r="BG153" s="800"/>
      <c r="BH153" s="800"/>
      <c r="BI153" s="800"/>
      <c r="BJ153" s="800"/>
      <c r="BK153" s="805"/>
      <c r="BL153" s="789"/>
      <c r="BM153" s="785"/>
      <c r="BN153" s="785"/>
      <c r="BO153" s="785"/>
      <c r="BP153" s="796"/>
      <c r="BQ153" s="808" t="s">
        <v>1942</v>
      </c>
      <c r="BR153" s="800" t="s">
        <v>1942</v>
      </c>
      <c r="BS153" s="800" t="s">
        <v>1942</v>
      </c>
      <c r="BT153" s="800" t="s">
        <v>1942</v>
      </c>
      <c r="BU153" s="805" t="s">
        <v>1942</v>
      </c>
      <c r="BV153" s="808" t="s">
        <v>1942</v>
      </c>
      <c r="BW153" s="800" t="s">
        <v>1942</v>
      </c>
      <c r="BX153" s="800" t="s">
        <v>1942</v>
      </c>
      <c r="BY153" s="800" t="s">
        <v>1942</v>
      </c>
      <c r="BZ153" s="800" t="s">
        <v>1942</v>
      </c>
      <c r="CA153" s="808" t="s">
        <v>1942</v>
      </c>
      <c r="CB153" s="800" t="s">
        <v>1942</v>
      </c>
      <c r="CC153" s="800" t="s">
        <v>1942</v>
      </c>
      <c r="CD153" s="800" t="s">
        <v>1942</v>
      </c>
      <c r="CE153" s="805" t="s">
        <v>1942</v>
      </c>
      <c r="CF153" s="800" t="s">
        <v>1942</v>
      </c>
      <c r="CG153" s="800" t="s">
        <v>1942</v>
      </c>
      <c r="CH153" s="800" t="s">
        <v>1942</v>
      </c>
      <c r="CI153" s="800" t="s">
        <v>1942</v>
      </c>
      <c r="CJ153" s="805" t="s">
        <v>1942</v>
      </c>
      <c r="CK153" s="808" t="s">
        <v>1942</v>
      </c>
      <c r="CL153" s="800" t="s">
        <v>1942</v>
      </c>
      <c r="CM153" s="800" t="s">
        <v>1942</v>
      </c>
      <c r="CN153" s="800" t="s">
        <v>1942</v>
      </c>
      <c r="CO153" s="805" t="s">
        <v>1942</v>
      </c>
      <c r="CP153" s="808" t="s">
        <v>1942</v>
      </c>
      <c r="CQ153" s="800" t="s">
        <v>1942</v>
      </c>
      <c r="CR153" s="800" t="s">
        <v>1942</v>
      </c>
      <c r="CS153" s="800" t="s">
        <v>1942</v>
      </c>
      <c r="CT153" s="805" t="s">
        <v>1942</v>
      </c>
      <c r="CU153" s="1284" t="s">
        <v>1942</v>
      </c>
      <c r="CV153" s="1283" t="s">
        <v>1942</v>
      </c>
      <c r="CW153" s="1283" t="s">
        <v>1942</v>
      </c>
      <c r="CX153" s="1285" t="s">
        <v>1942</v>
      </c>
      <c r="CY153" s="1283" t="s">
        <v>1942</v>
      </c>
      <c r="CZ153" s="1283" t="s">
        <v>1942</v>
      </c>
      <c r="DA153" s="1283" t="s">
        <v>1942</v>
      </c>
      <c r="DB153" s="1285" t="s">
        <v>1942</v>
      </c>
      <c r="DC153" s="785"/>
      <c r="DD153" s="813">
        <v>1</v>
      </c>
      <c r="DE153" s="814"/>
    </row>
    <row r="154" spans="1:109" ht="15.75" hidden="1" customHeight="1">
      <c r="A154" s="772" t="s">
        <v>1032</v>
      </c>
      <c r="B154" s="773">
        <v>148</v>
      </c>
      <c r="C154" s="789" t="s">
        <v>2544</v>
      </c>
      <c r="D154" s="773" t="s">
        <v>2539</v>
      </c>
      <c r="E154" s="773" t="s">
        <v>1907</v>
      </c>
      <c r="F154" s="785" t="s">
        <v>2545</v>
      </c>
      <c r="G154" s="790" t="s">
        <v>2546</v>
      </c>
      <c r="H154" s="791" t="s">
        <v>2547</v>
      </c>
      <c r="I154" s="792"/>
      <c r="J154" s="793"/>
      <c r="K154" s="793"/>
      <c r="L154" s="793"/>
      <c r="M154" s="793">
        <v>1</v>
      </c>
      <c r="N154" s="793"/>
      <c r="O154" s="793"/>
      <c r="P154" s="794"/>
      <c r="Q154" s="795">
        <f t="shared" si="2"/>
        <v>1</v>
      </c>
      <c r="R154" s="789" t="s">
        <v>1007</v>
      </c>
      <c r="S154" s="773" t="s">
        <v>1942</v>
      </c>
      <c r="T154" s="796" t="s">
        <v>1942</v>
      </c>
      <c r="U154" s="773" t="s">
        <v>2400</v>
      </c>
      <c r="V154" s="773" t="s">
        <v>278</v>
      </c>
      <c r="W154" s="773" t="s">
        <v>2548</v>
      </c>
      <c r="X154" s="1309">
        <v>1</v>
      </c>
      <c r="Y154" s="821" t="s">
        <v>1010</v>
      </c>
      <c r="Z154" s="790" t="s">
        <v>1942</v>
      </c>
      <c r="AA154" s="785"/>
      <c r="AB154" s="785"/>
      <c r="AC154" s="785"/>
      <c r="AD154" s="785"/>
      <c r="AE154" s="785"/>
      <c r="AF154" s="799"/>
      <c r="AG154" s="800"/>
      <c r="AH154" s="800"/>
      <c r="AI154" s="800"/>
      <c r="AJ154" s="800"/>
      <c r="AK154" s="800"/>
      <c r="AL154" s="800"/>
      <c r="AM154" s="800"/>
      <c r="AN154" s="800"/>
      <c r="AO154" s="800"/>
      <c r="AP154" s="800"/>
      <c r="AQ154" s="806">
        <v>39</v>
      </c>
      <c r="AR154" s="807">
        <v>45.5</v>
      </c>
      <c r="AS154" s="807">
        <v>52</v>
      </c>
      <c r="AT154" s="807">
        <v>58.5</v>
      </c>
      <c r="AU154" s="820">
        <v>65</v>
      </c>
      <c r="AV154" s="851"/>
      <c r="AW154" s="852"/>
      <c r="AX154" s="852"/>
      <c r="AY154" s="852"/>
      <c r="AZ154" s="852"/>
      <c r="BA154" s="852"/>
      <c r="BB154" s="852"/>
      <c r="BC154" s="852"/>
      <c r="BD154" s="852"/>
      <c r="BE154" s="852"/>
      <c r="BF154" s="800"/>
      <c r="BG154" s="800"/>
      <c r="BH154" s="800"/>
      <c r="BI154" s="800"/>
      <c r="BJ154" s="800"/>
      <c r="BK154" s="805"/>
      <c r="BL154" s="789"/>
      <c r="BM154" s="785"/>
      <c r="BN154" s="785"/>
      <c r="BO154" s="785"/>
      <c r="BP154" s="796"/>
      <c r="BQ154" s="808" t="s">
        <v>1942</v>
      </c>
      <c r="BR154" s="800" t="s">
        <v>1942</v>
      </c>
      <c r="BS154" s="800" t="s">
        <v>1942</v>
      </c>
      <c r="BT154" s="800" t="s">
        <v>1942</v>
      </c>
      <c r="BU154" s="805" t="s">
        <v>1942</v>
      </c>
      <c r="BV154" s="808" t="s">
        <v>1942</v>
      </c>
      <c r="BW154" s="800" t="s">
        <v>1942</v>
      </c>
      <c r="BX154" s="800" t="s">
        <v>1942</v>
      </c>
      <c r="BY154" s="800" t="s">
        <v>1942</v>
      </c>
      <c r="BZ154" s="800" t="s">
        <v>1942</v>
      </c>
      <c r="CA154" s="808" t="s">
        <v>1942</v>
      </c>
      <c r="CB154" s="800" t="s">
        <v>1942</v>
      </c>
      <c r="CC154" s="800" t="s">
        <v>1942</v>
      </c>
      <c r="CD154" s="800" t="s">
        <v>1942</v>
      </c>
      <c r="CE154" s="805" t="s">
        <v>1942</v>
      </c>
      <c r="CF154" s="800" t="s">
        <v>1942</v>
      </c>
      <c r="CG154" s="800" t="s">
        <v>1942</v>
      </c>
      <c r="CH154" s="800" t="s">
        <v>1942</v>
      </c>
      <c r="CI154" s="800" t="s">
        <v>1942</v>
      </c>
      <c r="CJ154" s="805" t="s">
        <v>1942</v>
      </c>
      <c r="CK154" s="808" t="s">
        <v>1942</v>
      </c>
      <c r="CL154" s="800" t="s">
        <v>1942</v>
      </c>
      <c r="CM154" s="800" t="s">
        <v>1942</v>
      </c>
      <c r="CN154" s="800" t="s">
        <v>1942</v>
      </c>
      <c r="CO154" s="805" t="s">
        <v>1942</v>
      </c>
      <c r="CP154" s="808" t="s">
        <v>1942</v>
      </c>
      <c r="CQ154" s="800" t="s">
        <v>1942</v>
      </c>
      <c r="CR154" s="800" t="s">
        <v>1942</v>
      </c>
      <c r="CS154" s="800" t="s">
        <v>1942</v>
      </c>
      <c r="CT154" s="805" t="s">
        <v>1942</v>
      </c>
      <c r="CU154" s="1284" t="s">
        <v>1942</v>
      </c>
      <c r="CV154" s="1283" t="s">
        <v>1942</v>
      </c>
      <c r="CW154" s="1283" t="s">
        <v>1942</v>
      </c>
      <c r="CX154" s="1285" t="s">
        <v>1942</v>
      </c>
      <c r="CY154" s="1283" t="s">
        <v>1942</v>
      </c>
      <c r="CZ154" s="1283" t="s">
        <v>1942</v>
      </c>
      <c r="DA154" s="1283" t="s">
        <v>1942</v>
      </c>
      <c r="DB154" s="1285" t="s">
        <v>1942</v>
      </c>
      <c r="DC154" s="785"/>
      <c r="DD154" s="813">
        <v>1</v>
      </c>
      <c r="DE154" s="814"/>
    </row>
    <row r="155" spans="1:109" ht="15.75" hidden="1" customHeight="1">
      <c r="A155" s="772" t="s">
        <v>1032</v>
      </c>
      <c r="B155" s="773">
        <v>149</v>
      </c>
      <c r="C155" s="789" t="s">
        <v>2549</v>
      </c>
      <c r="D155" s="773" t="s">
        <v>2550</v>
      </c>
      <c r="E155" s="773" t="s">
        <v>1907</v>
      </c>
      <c r="F155" s="785" t="s">
        <v>2551</v>
      </c>
      <c r="G155" s="790" t="s">
        <v>2552</v>
      </c>
      <c r="H155" s="791" t="s">
        <v>2553</v>
      </c>
      <c r="I155" s="792"/>
      <c r="J155" s="793"/>
      <c r="K155" s="793"/>
      <c r="L155" s="793"/>
      <c r="M155" s="793">
        <v>1</v>
      </c>
      <c r="N155" s="793"/>
      <c r="O155" s="793"/>
      <c r="P155" s="794"/>
      <c r="Q155" s="795">
        <f t="shared" si="2"/>
        <v>1</v>
      </c>
      <c r="R155" s="789" t="s">
        <v>1007</v>
      </c>
      <c r="S155" s="773" t="s">
        <v>1942</v>
      </c>
      <c r="T155" s="796" t="s">
        <v>1942</v>
      </c>
      <c r="U155" s="773" t="s">
        <v>1947</v>
      </c>
      <c r="V155" s="773" t="s">
        <v>1033</v>
      </c>
      <c r="W155" s="773" t="s">
        <v>2554</v>
      </c>
      <c r="X155" s="1309">
        <v>2</v>
      </c>
      <c r="Y155" s="821" t="s">
        <v>1020</v>
      </c>
      <c r="Z155" s="790" t="s">
        <v>1942</v>
      </c>
      <c r="AA155" s="785"/>
      <c r="AB155" s="785"/>
      <c r="AC155" s="785"/>
      <c r="AD155" s="785"/>
      <c r="AE155" s="785"/>
      <c r="AF155" s="799"/>
      <c r="AG155" s="800"/>
      <c r="AH155" s="800"/>
      <c r="AI155" s="800"/>
      <c r="AJ155" s="800"/>
      <c r="AK155" s="800"/>
      <c r="AL155" s="800"/>
      <c r="AM155" s="800"/>
      <c r="AN155" s="807"/>
      <c r="AO155" s="800"/>
      <c r="AP155" s="800"/>
      <c r="AQ155" s="808">
        <v>2</v>
      </c>
      <c r="AR155" s="807">
        <v>2</v>
      </c>
      <c r="AS155" s="800">
        <v>2</v>
      </c>
      <c r="AT155" s="800">
        <v>2</v>
      </c>
      <c r="AU155" s="820">
        <v>2</v>
      </c>
      <c r="AV155" s="806"/>
      <c r="AW155" s="807"/>
      <c r="AX155" s="807"/>
      <c r="AY155" s="807"/>
      <c r="AZ155" s="807"/>
      <c r="BA155" s="807"/>
      <c r="BB155" s="807"/>
      <c r="BC155" s="807"/>
      <c r="BD155" s="807"/>
      <c r="BE155" s="807"/>
      <c r="BF155" s="800"/>
      <c r="BG155" s="800"/>
      <c r="BH155" s="800"/>
      <c r="BI155" s="800"/>
      <c r="BJ155" s="800"/>
      <c r="BK155" s="805"/>
      <c r="BL155" s="789"/>
      <c r="BM155" s="785"/>
      <c r="BN155" s="785"/>
      <c r="BO155" s="785"/>
      <c r="BP155" s="796"/>
      <c r="BQ155" s="808" t="s">
        <v>1942</v>
      </c>
      <c r="BR155" s="800" t="s">
        <v>1942</v>
      </c>
      <c r="BS155" s="800" t="s">
        <v>1942</v>
      </c>
      <c r="BT155" s="800" t="s">
        <v>1942</v>
      </c>
      <c r="BU155" s="805" t="s">
        <v>1942</v>
      </c>
      <c r="BV155" s="808" t="s">
        <v>1942</v>
      </c>
      <c r="BW155" s="800" t="s">
        <v>1942</v>
      </c>
      <c r="BX155" s="800" t="s">
        <v>1942</v>
      </c>
      <c r="BY155" s="800" t="s">
        <v>1942</v>
      </c>
      <c r="BZ155" s="800" t="s">
        <v>1942</v>
      </c>
      <c r="CA155" s="808" t="s">
        <v>1942</v>
      </c>
      <c r="CB155" s="800" t="s">
        <v>1942</v>
      </c>
      <c r="CC155" s="800" t="s">
        <v>1942</v>
      </c>
      <c r="CD155" s="800" t="s">
        <v>1942</v>
      </c>
      <c r="CE155" s="805" t="s">
        <v>1942</v>
      </c>
      <c r="CF155" s="800" t="s">
        <v>1942</v>
      </c>
      <c r="CG155" s="800" t="s">
        <v>1942</v>
      </c>
      <c r="CH155" s="800" t="s">
        <v>1942</v>
      </c>
      <c r="CI155" s="800" t="s">
        <v>1942</v>
      </c>
      <c r="CJ155" s="805" t="s">
        <v>1942</v>
      </c>
      <c r="CK155" s="808" t="s">
        <v>1942</v>
      </c>
      <c r="CL155" s="800" t="s">
        <v>1942</v>
      </c>
      <c r="CM155" s="800" t="s">
        <v>1942</v>
      </c>
      <c r="CN155" s="800" t="s">
        <v>1942</v>
      </c>
      <c r="CO155" s="805" t="s">
        <v>1942</v>
      </c>
      <c r="CP155" s="808" t="s">
        <v>1942</v>
      </c>
      <c r="CQ155" s="800" t="s">
        <v>1942</v>
      </c>
      <c r="CR155" s="800" t="s">
        <v>1942</v>
      </c>
      <c r="CS155" s="800" t="s">
        <v>1942</v>
      </c>
      <c r="CT155" s="805" t="s">
        <v>1942</v>
      </c>
      <c r="CU155" s="1284" t="s">
        <v>1942</v>
      </c>
      <c r="CV155" s="1283" t="s">
        <v>1942</v>
      </c>
      <c r="CW155" s="1283" t="s">
        <v>1942</v>
      </c>
      <c r="CX155" s="1285" t="s">
        <v>1942</v>
      </c>
      <c r="CY155" s="1283" t="s">
        <v>1942</v>
      </c>
      <c r="CZ155" s="1283" t="s">
        <v>1942</v>
      </c>
      <c r="DA155" s="1283" t="s">
        <v>1942</v>
      </c>
      <c r="DB155" s="1285" t="s">
        <v>1942</v>
      </c>
      <c r="DC155" s="785"/>
      <c r="DD155" s="813">
        <v>1</v>
      </c>
      <c r="DE155" s="814"/>
    </row>
    <row r="156" spans="1:109" ht="15.75" hidden="1" customHeight="1">
      <c r="A156" s="772" t="s">
        <v>1032</v>
      </c>
      <c r="B156" s="773">
        <v>150</v>
      </c>
      <c r="C156" s="789" t="s">
        <v>2555</v>
      </c>
      <c r="D156" s="773" t="s">
        <v>2486</v>
      </c>
      <c r="E156" s="773" t="s">
        <v>1907</v>
      </c>
      <c r="F156" s="785" t="s">
        <v>2556</v>
      </c>
      <c r="G156" s="790" t="s">
        <v>2557</v>
      </c>
      <c r="H156" s="791" t="s">
        <v>2558</v>
      </c>
      <c r="I156" s="792"/>
      <c r="J156" s="793">
        <v>1</v>
      </c>
      <c r="K156" s="793"/>
      <c r="L156" s="793"/>
      <c r="M156" s="793"/>
      <c r="N156" s="793"/>
      <c r="O156" s="793"/>
      <c r="P156" s="794"/>
      <c r="Q156" s="795">
        <f t="shared" si="2"/>
        <v>1</v>
      </c>
      <c r="R156" s="789" t="s">
        <v>1030</v>
      </c>
      <c r="S156" s="773" t="s">
        <v>1008</v>
      </c>
      <c r="T156" s="796" t="s">
        <v>1009</v>
      </c>
      <c r="U156" s="773" t="s">
        <v>2237</v>
      </c>
      <c r="V156" s="773" t="s">
        <v>1033</v>
      </c>
      <c r="W156" s="773" t="s">
        <v>2559</v>
      </c>
      <c r="X156" s="829">
        <v>1</v>
      </c>
      <c r="Y156" s="819" t="s">
        <v>1020</v>
      </c>
      <c r="Z156" s="790" t="s">
        <v>1942</v>
      </c>
      <c r="AA156" s="785"/>
      <c r="AB156" s="785"/>
      <c r="AC156" s="785"/>
      <c r="AD156" s="785"/>
      <c r="AE156" s="785"/>
      <c r="AF156" s="799"/>
      <c r="AG156" s="800"/>
      <c r="AH156" s="800"/>
      <c r="AI156" s="800"/>
      <c r="AJ156" s="800"/>
      <c r="AK156" s="800"/>
      <c r="AL156" s="800"/>
      <c r="AM156" s="800"/>
      <c r="AN156" s="800"/>
      <c r="AO156" s="800"/>
      <c r="AP156" s="800"/>
      <c r="AQ156" s="808">
        <v>10</v>
      </c>
      <c r="AR156" s="800">
        <v>8</v>
      </c>
      <c r="AS156" s="800">
        <v>6</v>
      </c>
      <c r="AT156" s="800">
        <v>4</v>
      </c>
      <c r="AU156" s="805">
        <v>4</v>
      </c>
      <c r="AV156" s="808"/>
      <c r="AW156" s="800"/>
      <c r="AX156" s="800"/>
      <c r="AY156" s="800"/>
      <c r="AZ156" s="800"/>
      <c r="BA156" s="800"/>
      <c r="BB156" s="800"/>
      <c r="BC156" s="800"/>
      <c r="BD156" s="800"/>
      <c r="BE156" s="800"/>
      <c r="BF156" s="800"/>
      <c r="BG156" s="800"/>
      <c r="BH156" s="800"/>
      <c r="BI156" s="800"/>
      <c r="BJ156" s="800"/>
      <c r="BK156" s="805"/>
      <c r="BL156" s="789" t="s">
        <v>168</v>
      </c>
      <c r="BM156" s="785" t="s">
        <v>168</v>
      </c>
      <c r="BN156" s="785" t="s">
        <v>168</v>
      </c>
      <c r="BO156" s="785" t="s">
        <v>168</v>
      </c>
      <c r="BP156" s="796" t="s">
        <v>168</v>
      </c>
      <c r="BQ156" s="808" t="s">
        <v>1942</v>
      </c>
      <c r="BR156" s="800" t="s">
        <v>1942</v>
      </c>
      <c r="BS156" s="800" t="s">
        <v>1942</v>
      </c>
      <c r="BT156" s="800" t="s">
        <v>1942</v>
      </c>
      <c r="BU156" s="805" t="s">
        <v>1942</v>
      </c>
      <c r="BV156" s="808" t="s">
        <v>1942</v>
      </c>
      <c r="BW156" s="800" t="s">
        <v>1942</v>
      </c>
      <c r="BX156" s="800" t="s">
        <v>1942</v>
      </c>
      <c r="BY156" s="800" t="s">
        <v>1942</v>
      </c>
      <c r="BZ156" s="800" t="s">
        <v>1942</v>
      </c>
      <c r="CA156" s="808" t="s">
        <v>1942</v>
      </c>
      <c r="CB156" s="800" t="s">
        <v>1942</v>
      </c>
      <c r="CC156" s="800" t="s">
        <v>1942</v>
      </c>
      <c r="CD156" s="800" t="s">
        <v>1942</v>
      </c>
      <c r="CE156" s="805" t="s">
        <v>1942</v>
      </c>
      <c r="CF156" s="800" t="s">
        <v>1942</v>
      </c>
      <c r="CG156" s="800" t="s">
        <v>1942</v>
      </c>
      <c r="CH156" s="800" t="s">
        <v>1942</v>
      </c>
      <c r="CI156" s="800" t="s">
        <v>1942</v>
      </c>
      <c r="CJ156" s="805" t="s">
        <v>1942</v>
      </c>
      <c r="CK156" s="808" t="s">
        <v>1942</v>
      </c>
      <c r="CL156" s="800" t="s">
        <v>1942</v>
      </c>
      <c r="CM156" s="800" t="s">
        <v>1942</v>
      </c>
      <c r="CN156" s="800" t="s">
        <v>1942</v>
      </c>
      <c r="CO156" s="805" t="s">
        <v>1942</v>
      </c>
      <c r="CP156" s="808" t="s">
        <v>1942</v>
      </c>
      <c r="CQ156" s="800" t="s">
        <v>1942</v>
      </c>
      <c r="CR156" s="800" t="s">
        <v>1942</v>
      </c>
      <c r="CS156" s="800" t="s">
        <v>1942</v>
      </c>
      <c r="CT156" s="805" t="s">
        <v>1942</v>
      </c>
      <c r="CU156" s="1284">
        <v>-0.42799999999999999</v>
      </c>
      <c r="CV156" s="1283" t="s">
        <v>1942</v>
      </c>
      <c r="CW156" s="1283" t="s">
        <v>1942</v>
      </c>
      <c r="CX156" s="1285" t="s">
        <v>1942</v>
      </c>
      <c r="CY156" s="1283">
        <v>0.26100000000000001</v>
      </c>
      <c r="CZ156" s="1283" t="s">
        <v>1942</v>
      </c>
      <c r="DA156" s="1283" t="s">
        <v>1942</v>
      </c>
      <c r="DB156" s="1285" t="s">
        <v>1942</v>
      </c>
      <c r="DC156" s="785"/>
      <c r="DD156" s="813">
        <v>1</v>
      </c>
      <c r="DE156" s="814"/>
    </row>
    <row r="157" spans="1:109" ht="15.75" hidden="1" customHeight="1">
      <c r="A157" s="772" t="s">
        <v>1032</v>
      </c>
      <c r="B157" s="773">
        <v>151</v>
      </c>
      <c r="C157" s="789" t="s">
        <v>2560</v>
      </c>
      <c r="D157" s="773" t="s">
        <v>2561</v>
      </c>
      <c r="E157" s="773" t="s">
        <v>1907</v>
      </c>
      <c r="F157" s="785" t="s">
        <v>2562</v>
      </c>
      <c r="G157" s="790" t="s">
        <v>2563</v>
      </c>
      <c r="H157" s="791" t="s">
        <v>2564</v>
      </c>
      <c r="I157" s="792"/>
      <c r="J157" s="793"/>
      <c r="K157" s="793"/>
      <c r="L157" s="793"/>
      <c r="M157" s="793">
        <v>1</v>
      </c>
      <c r="N157" s="793"/>
      <c r="O157" s="793"/>
      <c r="P157" s="794"/>
      <c r="Q157" s="795">
        <f t="shared" si="2"/>
        <v>1</v>
      </c>
      <c r="R157" s="789" t="s">
        <v>1007</v>
      </c>
      <c r="S157" s="773" t="s">
        <v>1942</v>
      </c>
      <c r="T157" s="796" t="s">
        <v>1942</v>
      </c>
      <c r="U157" s="773" t="s">
        <v>2117</v>
      </c>
      <c r="V157" s="773" t="s">
        <v>1033</v>
      </c>
      <c r="W157" s="773" t="s">
        <v>2565</v>
      </c>
      <c r="X157" s="829">
        <v>1</v>
      </c>
      <c r="Y157" s="819" t="s">
        <v>1010</v>
      </c>
      <c r="Z157" s="790" t="s">
        <v>1942</v>
      </c>
      <c r="AA157" s="785"/>
      <c r="AB157" s="785"/>
      <c r="AC157" s="785"/>
      <c r="AD157" s="785"/>
      <c r="AE157" s="785"/>
      <c r="AF157" s="799"/>
      <c r="AG157" s="800"/>
      <c r="AH157" s="800"/>
      <c r="AI157" s="800"/>
      <c r="AJ157" s="800"/>
      <c r="AK157" s="800"/>
      <c r="AL157" s="800"/>
      <c r="AM157" s="800"/>
      <c r="AN157" s="800"/>
      <c r="AO157" s="800"/>
      <c r="AP157" s="800"/>
      <c r="AQ157" s="808">
        <v>8.8000000000000007</v>
      </c>
      <c r="AR157" s="800">
        <v>8.8000000000000007</v>
      </c>
      <c r="AS157" s="800">
        <v>8.8000000000000007</v>
      </c>
      <c r="AT157" s="800">
        <v>8.8000000000000007</v>
      </c>
      <c r="AU157" s="805">
        <v>8.8000000000000007</v>
      </c>
      <c r="AV157" s="808"/>
      <c r="AW157" s="800"/>
      <c r="AX157" s="800"/>
      <c r="AY157" s="800"/>
      <c r="AZ157" s="800"/>
      <c r="BA157" s="800"/>
      <c r="BB157" s="800"/>
      <c r="BC157" s="800"/>
      <c r="BD157" s="800"/>
      <c r="BE157" s="800"/>
      <c r="BF157" s="800"/>
      <c r="BG157" s="800"/>
      <c r="BH157" s="800"/>
      <c r="BI157" s="800"/>
      <c r="BJ157" s="800"/>
      <c r="BK157" s="805"/>
      <c r="BL157" s="789"/>
      <c r="BM157" s="785"/>
      <c r="BN157" s="785"/>
      <c r="BO157" s="785"/>
      <c r="BP157" s="796"/>
      <c r="BQ157" s="808" t="s">
        <v>1942</v>
      </c>
      <c r="BR157" s="800" t="s">
        <v>1942</v>
      </c>
      <c r="BS157" s="800" t="s">
        <v>1942</v>
      </c>
      <c r="BT157" s="800" t="s">
        <v>1942</v>
      </c>
      <c r="BU157" s="805" t="s">
        <v>1942</v>
      </c>
      <c r="BV157" s="808" t="s">
        <v>1942</v>
      </c>
      <c r="BW157" s="800" t="s">
        <v>1942</v>
      </c>
      <c r="BX157" s="800" t="s">
        <v>1942</v>
      </c>
      <c r="BY157" s="800" t="s">
        <v>1942</v>
      </c>
      <c r="BZ157" s="800" t="s">
        <v>1942</v>
      </c>
      <c r="CA157" s="808" t="s">
        <v>1942</v>
      </c>
      <c r="CB157" s="800" t="s">
        <v>1942</v>
      </c>
      <c r="CC157" s="800" t="s">
        <v>1942</v>
      </c>
      <c r="CD157" s="800" t="s">
        <v>1942</v>
      </c>
      <c r="CE157" s="805" t="s">
        <v>1942</v>
      </c>
      <c r="CF157" s="800" t="s">
        <v>1942</v>
      </c>
      <c r="CG157" s="800" t="s">
        <v>1942</v>
      </c>
      <c r="CH157" s="800" t="s">
        <v>1942</v>
      </c>
      <c r="CI157" s="800" t="s">
        <v>1942</v>
      </c>
      <c r="CJ157" s="805" t="s">
        <v>1942</v>
      </c>
      <c r="CK157" s="808" t="s">
        <v>1942</v>
      </c>
      <c r="CL157" s="800" t="s">
        <v>1942</v>
      </c>
      <c r="CM157" s="800" t="s">
        <v>1942</v>
      </c>
      <c r="CN157" s="800" t="s">
        <v>1942</v>
      </c>
      <c r="CO157" s="805" t="s">
        <v>1942</v>
      </c>
      <c r="CP157" s="808" t="s">
        <v>1942</v>
      </c>
      <c r="CQ157" s="800" t="s">
        <v>1942</v>
      </c>
      <c r="CR157" s="800" t="s">
        <v>1942</v>
      </c>
      <c r="CS157" s="800" t="s">
        <v>1942</v>
      </c>
      <c r="CT157" s="805" t="s">
        <v>1942</v>
      </c>
      <c r="CU157" s="1284" t="s">
        <v>1942</v>
      </c>
      <c r="CV157" s="1283" t="s">
        <v>1942</v>
      </c>
      <c r="CW157" s="1283" t="s">
        <v>1942</v>
      </c>
      <c r="CX157" s="1285" t="s">
        <v>1942</v>
      </c>
      <c r="CY157" s="1283" t="s">
        <v>1942</v>
      </c>
      <c r="CZ157" s="1283" t="s">
        <v>1942</v>
      </c>
      <c r="DA157" s="1283" t="s">
        <v>1942</v>
      </c>
      <c r="DB157" s="1285" t="s">
        <v>1942</v>
      </c>
      <c r="DC157" s="785"/>
      <c r="DD157" s="813">
        <v>1</v>
      </c>
      <c r="DE157" s="814"/>
    </row>
    <row r="158" spans="1:109" ht="15.75" hidden="1" customHeight="1">
      <c r="A158" s="772" t="s">
        <v>1032</v>
      </c>
      <c r="B158" s="773">
        <v>152</v>
      </c>
      <c r="C158" s="789" t="s">
        <v>2566</v>
      </c>
      <c r="D158" s="773" t="s">
        <v>2539</v>
      </c>
      <c r="E158" s="773" t="s">
        <v>1907</v>
      </c>
      <c r="F158" s="785" t="s">
        <v>2567</v>
      </c>
      <c r="G158" s="790" t="s">
        <v>2568</v>
      </c>
      <c r="H158" s="791" t="s">
        <v>2569</v>
      </c>
      <c r="I158" s="792"/>
      <c r="J158" s="793"/>
      <c r="K158" s="793"/>
      <c r="L158" s="793"/>
      <c r="M158" s="793">
        <v>1</v>
      </c>
      <c r="N158" s="793"/>
      <c r="O158" s="793"/>
      <c r="P158" s="794"/>
      <c r="Q158" s="795">
        <f t="shared" si="2"/>
        <v>1</v>
      </c>
      <c r="R158" s="789" t="s">
        <v>1007</v>
      </c>
      <c r="S158" s="773" t="s">
        <v>1942</v>
      </c>
      <c r="T158" s="796" t="s">
        <v>1942</v>
      </c>
      <c r="U158" s="773" t="s">
        <v>2117</v>
      </c>
      <c r="V158" s="773" t="s">
        <v>278</v>
      </c>
      <c r="W158" s="773" t="s">
        <v>2570</v>
      </c>
      <c r="X158" s="829">
        <v>2</v>
      </c>
      <c r="Y158" s="826" t="s">
        <v>1020</v>
      </c>
      <c r="Z158" s="790" t="s">
        <v>1942</v>
      </c>
      <c r="AA158" s="785"/>
      <c r="AB158" s="785"/>
      <c r="AC158" s="785"/>
      <c r="AD158" s="785"/>
      <c r="AE158" s="785"/>
      <c r="AF158" s="799"/>
      <c r="AG158" s="800"/>
      <c r="AH158" s="800"/>
      <c r="AI158" s="800"/>
      <c r="AJ158" s="800"/>
      <c r="AK158" s="800"/>
      <c r="AL158" s="800"/>
      <c r="AM158" s="800"/>
      <c r="AN158" s="800"/>
      <c r="AO158" s="800"/>
      <c r="AP158" s="800"/>
      <c r="AQ158" s="808">
        <v>12.52</v>
      </c>
      <c r="AR158" s="800">
        <v>10.97</v>
      </c>
      <c r="AS158" s="800">
        <v>9.42</v>
      </c>
      <c r="AT158" s="800">
        <v>7.87</v>
      </c>
      <c r="AU158" s="805">
        <v>6.32</v>
      </c>
      <c r="AV158" s="808"/>
      <c r="AW158" s="800"/>
      <c r="AX158" s="800"/>
      <c r="AY158" s="800"/>
      <c r="AZ158" s="800"/>
      <c r="BA158" s="800"/>
      <c r="BB158" s="800"/>
      <c r="BC158" s="800"/>
      <c r="BD158" s="800"/>
      <c r="BE158" s="800"/>
      <c r="BF158" s="800"/>
      <c r="BG158" s="800"/>
      <c r="BH158" s="800"/>
      <c r="BI158" s="800"/>
      <c r="BJ158" s="800"/>
      <c r="BK158" s="805"/>
      <c r="BL158" s="834"/>
      <c r="BM158" s="835"/>
      <c r="BN158" s="835"/>
      <c r="BO158" s="835"/>
      <c r="BP158" s="836"/>
      <c r="BQ158" s="808" t="s">
        <v>1942</v>
      </c>
      <c r="BR158" s="800" t="s">
        <v>1942</v>
      </c>
      <c r="BS158" s="800" t="s">
        <v>1942</v>
      </c>
      <c r="BT158" s="800" t="s">
        <v>1942</v>
      </c>
      <c r="BU158" s="805" t="s">
        <v>1942</v>
      </c>
      <c r="BV158" s="808" t="s">
        <v>1942</v>
      </c>
      <c r="BW158" s="800" t="s">
        <v>1942</v>
      </c>
      <c r="BX158" s="800" t="s">
        <v>1942</v>
      </c>
      <c r="BY158" s="800" t="s">
        <v>1942</v>
      </c>
      <c r="BZ158" s="800" t="s">
        <v>1942</v>
      </c>
      <c r="CA158" s="808" t="s">
        <v>1942</v>
      </c>
      <c r="CB158" s="800" t="s">
        <v>1942</v>
      </c>
      <c r="CC158" s="800" t="s">
        <v>1942</v>
      </c>
      <c r="CD158" s="800" t="s">
        <v>1942</v>
      </c>
      <c r="CE158" s="805" t="s">
        <v>1942</v>
      </c>
      <c r="CF158" s="800" t="s">
        <v>1942</v>
      </c>
      <c r="CG158" s="800" t="s">
        <v>1942</v>
      </c>
      <c r="CH158" s="800" t="s">
        <v>1942</v>
      </c>
      <c r="CI158" s="800" t="s">
        <v>1942</v>
      </c>
      <c r="CJ158" s="805" t="s">
        <v>1942</v>
      </c>
      <c r="CK158" s="808" t="s">
        <v>1942</v>
      </c>
      <c r="CL158" s="800" t="s">
        <v>1942</v>
      </c>
      <c r="CM158" s="800" t="s">
        <v>1942</v>
      </c>
      <c r="CN158" s="800" t="s">
        <v>1942</v>
      </c>
      <c r="CO158" s="805" t="s">
        <v>1942</v>
      </c>
      <c r="CP158" s="808" t="s">
        <v>1942</v>
      </c>
      <c r="CQ158" s="800" t="s">
        <v>1942</v>
      </c>
      <c r="CR158" s="800" t="s">
        <v>1942</v>
      </c>
      <c r="CS158" s="800" t="s">
        <v>1942</v>
      </c>
      <c r="CT158" s="805" t="s">
        <v>1942</v>
      </c>
      <c r="CU158" s="1284" t="s">
        <v>1942</v>
      </c>
      <c r="CV158" s="1283" t="s">
        <v>1942</v>
      </c>
      <c r="CW158" s="1283" t="s">
        <v>1942</v>
      </c>
      <c r="CX158" s="1285" t="s">
        <v>1942</v>
      </c>
      <c r="CY158" s="1283" t="s">
        <v>1942</v>
      </c>
      <c r="CZ158" s="1283" t="s">
        <v>1942</v>
      </c>
      <c r="DA158" s="1283" t="s">
        <v>1942</v>
      </c>
      <c r="DB158" s="1285" t="s">
        <v>1942</v>
      </c>
      <c r="DC158" s="785"/>
      <c r="DD158" s="813">
        <v>1</v>
      </c>
      <c r="DE158" s="814"/>
    </row>
    <row r="159" spans="1:109" ht="15.75" hidden="1" customHeight="1">
      <c r="A159" s="772" t="s">
        <v>1032</v>
      </c>
      <c r="B159" s="773">
        <v>153</v>
      </c>
      <c r="C159" s="789" t="s">
        <v>2571</v>
      </c>
      <c r="D159" s="773" t="s">
        <v>2572</v>
      </c>
      <c r="E159" s="773" t="s">
        <v>1907</v>
      </c>
      <c r="F159" s="785" t="s">
        <v>2573</v>
      </c>
      <c r="G159" s="790" t="s">
        <v>2574</v>
      </c>
      <c r="H159" s="791" t="s">
        <v>2575</v>
      </c>
      <c r="I159" s="792"/>
      <c r="J159" s="793">
        <v>0.56999999999999995</v>
      </c>
      <c r="K159" s="793">
        <v>0.43</v>
      </c>
      <c r="L159" s="793"/>
      <c r="M159" s="793"/>
      <c r="N159" s="793"/>
      <c r="O159" s="793"/>
      <c r="P159" s="794"/>
      <c r="Q159" s="795">
        <f t="shared" si="2"/>
        <v>1</v>
      </c>
      <c r="R159" s="789" t="s">
        <v>1007</v>
      </c>
      <c r="S159" s="773" t="s">
        <v>1942</v>
      </c>
      <c r="T159" s="796" t="s">
        <v>1942</v>
      </c>
      <c r="U159" s="773" t="s">
        <v>2117</v>
      </c>
      <c r="V159" s="773" t="s">
        <v>278</v>
      </c>
      <c r="W159" s="773" t="s">
        <v>2576</v>
      </c>
      <c r="X159" s="829">
        <v>1</v>
      </c>
      <c r="Y159" s="821" t="s">
        <v>1010</v>
      </c>
      <c r="Z159" s="790" t="s">
        <v>1942</v>
      </c>
      <c r="AA159" s="785"/>
      <c r="AB159" s="785"/>
      <c r="AC159" s="785"/>
      <c r="AD159" s="785"/>
      <c r="AE159" s="785"/>
      <c r="AF159" s="799"/>
      <c r="AG159" s="800"/>
      <c r="AH159" s="800"/>
      <c r="AI159" s="800"/>
      <c r="AJ159" s="800"/>
      <c r="AK159" s="800"/>
      <c r="AL159" s="800"/>
      <c r="AM159" s="800"/>
      <c r="AN159" s="800"/>
      <c r="AO159" s="800"/>
      <c r="AP159" s="800"/>
      <c r="AQ159" s="808">
        <v>84.4</v>
      </c>
      <c r="AR159" s="800">
        <v>87.1</v>
      </c>
      <c r="AS159" s="800">
        <v>89.7</v>
      </c>
      <c r="AT159" s="800">
        <v>92.4</v>
      </c>
      <c r="AU159" s="805">
        <v>95</v>
      </c>
      <c r="AV159" s="808"/>
      <c r="AW159" s="800"/>
      <c r="AX159" s="800"/>
      <c r="AY159" s="800"/>
      <c r="AZ159" s="800"/>
      <c r="BA159" s="800"/>
      <c r="BB159" s="800"/>
      <c r="BC159" s="800"/>
      <c r="BD159" s="800"/>
      <c r="BE159" s="800"/>
      <c r="BF159" s="800"/>
      <c r="BG159" s="800"/>
      <c r="BH159" s="800"/>
      <c r="BI159" s="800"/>
      <c r="BJ159" s="800"/>
      <c r="BK159" s="805"/>
      <c r="BL159" s="789"/>
      <c r="BM159" s="785"/>
      <c r="BN159" s="785"/>
      <c r="BO159" s="785"/>
      <c r="BP159" s="796"/>
      <c r="BQ159" s="808" t="s">
        <v>1942</v>
      </c>
      <c r="BR159" s="800" t="s">
        <v>1942</v>
      </c>
      <c r="BS159" s="800" t="s">
        <v>1942</v>
      </c>
      <c r="BT159" s="800" t="s">
        <v>1942</v>
      </c>
      <c r="BU159" s="805" t="s">
        <v>1942</v>
      </c>
      <c r="BV159" s="808" t="s">
        <v>1942</v>
      </c>
      <c r="BW159" s="800" t="s">
        <v>1942</v>
      </c>
      <c r="BX159" s="800" t="s">
        <v>1942</v>
      </c>
      <c r="BY159" s="800" t="s">
        <v>1942</v>
      </c>
      <c r="BZ159" s="800" t="s">
        <v>1942</v>
      </c>
      <c r="CA159" s="808" t="s">
        <v>1942</v>
      </c>
      <c r="CB159" s="800" t="s">
        <v>1942</v>
      </c>
      <c r="CC159" s="800" t="s">
        <v>1942</v>
      </c>
      <c r="CD159" s="800" t="s">
        <v>1942</v>
      </c>
      <c r="CE159" s="805" t="s">
        <v>1942</v>
      </c>
      <c r="CF159" s="800" t="s">
        <v>1942</v>
      </c>
      <c r="CG159" s="800" t="s">
        <v>1942</v>
      </c>
      <c r="CH159" s="800" t="s">
        <v>1942</v>
      </c>
      <c r="CI159" s="800" t="s">
        <v>1942</v>
      </c>
      <c r="CJ159" s="805" t="s">
        <v>1942</v>
      </c>
      <c r="CK159" s="808" t="s">
        <v>1942</v>
      </c>
      <c r="CL159" s="800" t="s">
        <v>1942</v>
      </c>
      <c r="CM159" s="800" t="s">
        <v>1942</v>
      </c>
      <c r="CN159" s="800" t="s">
        <v>1942</v>
      </c>
      <c r="CO159" s="805" t="s">
        <v>1942</v>
      </c>
      <c r="CP159" s="808" t="s">
        <v>1942</v>
      </c>
      <c r="CQ159" s="800" t="s">
        <v>1942</v>
      </c>
      <c r="CR159" s="800" t="s">
        <v>1942</v>
      </c>
      <c r="CS159" s="800" t="s">
        <v>1942</v>
      </c>
      <c r="CT159" s="805" t="s">
        <v>1942</v>
      </c>
      <c r="CU159" s="1284" t="s">
        <v>1942</v>
      </c>
      <c r="CV159" s="1283" t="s">
        <v>1942</v>
      </c>
      <c r="CW159" s="1283" t="s">
        <v>1942</v>
      </c>
      <c r="CX159" s="1285" t="s">
        <v>1942</v>
      </c>
      <c r="CY159" s="1283" t="s">
        <v>1942</v>
      </c>
      <c r="CZ159" s="1283" t="s">
        <v>1942</v>
      </c>
      <c r="DA159" s="1283" t="s">
        <v>1942</v>
      </c>
      <c r="DB159" s="1285" t="s">
        <v>1942</v>
      </c>
      <c r="DC159" s="785"/>
      <c r="DD159" s="813">
        <v>1</v>
      </c>
      <c r="DE159" s="814"/>
    </row>
    <row r="160" spans="1:109" ht="15.75" hidden="1" customHeight="1">
      <c r="A160" s="772" t="s">
        <v>1032</v>
      </c>
      <c r="B160" s="773">
        <v>154</v>
      </c>
      <c r="C160" s="789" t="s">
        <v>2577</v>
      </c>
      <c r="D160" s="773" t="s">
        <v>2539</v>
      </c>
      <c r="E160" s="773" t="s">
        <v>1907</v>
      </c>
      <c r="F160" s="785" t="s">
        <v>2578</v>
      </c>
      <c r="G160" s="790" t="s">
        <v>2579</v>
      </c>
      <c r="H160" s="791" t="s">
        <v>2580</v>
      </c>
      <c r="I160" s="792"/>
      <c r="J160" s="793"/>
      <c r="K160" s="793"/>
      <c r="L160" s="793"/>
      <c r="M160" s="793">
        <v>1</v>
      </c>
      <c r="N160" s="793"/>
      <c r="O160" s="793"/>
      <c r="P160" s="794"/>
      <c r="Q160" s="795">
        <f t="shared" si="2"/>
        <v>1</v>
      </c>
      <c r="R160" s="789" t="s">
        <v>1030</v>
      </c>
      <c r="S160" s="773" t="s">
        <v>1008</v>
      </c>
      <c r="T160" s="796" t="s">
        <v>1009</v>
      </c>
      <c r="U160" s="773" t="s">
        <v>2117</v>
      </c>
      <c r="V160" s="773" t="s">
        <v>278</v>
      </c>
      <c r="W160" s="773" t="s">
        <v>2581</v>
      </c>
      <c r="X160" s="829">
        <v>2</v>
      </c>
      <c r="Y160" s="821" t="s">
        <v>1020</v>
      </c>
      <c r="Z160" s="790" t="s">
        <v>1942</v>
      </c>
      <c r="AA160" s="785"/>
      <c r="AB160" s="785"/>
      <c r="AC160" s="785"/>
      <c r="AD160" s="785"/>
      <c r="AE160" s="785"/>
      <c r="AF160" s="799"/>
      <c r="AG160" s="800"/>
      <c r="AH160" s="800"/>
      <c r="AI160" s="800"/>
      <c r="AJ160" s="800"/>
      <c r="AK160" s="800"/>
      <c r="AL160" s="800"/>
      <c r="AM160" s="800"/>
      <c r="AN160" s="800"/>
      <c r="AO160" s="800"/>
      <c r="AP160" s="800"/>
      <c r="AQ160" s="808">
        <v>4.4000000000000004</v>
      </c>
      <c r="AR160" s="800">
        <v>4.3499999999999996</v>
      </c>
      <c r="AS160" s="800">
        <v>4.3</v>
      </c>
      <c r="AT160" s="800">
        <v>4.25</v>
      </c>
      <c r="AU160" s="805">
        <v>4.21</v>
      </c>
      <c r="AV160" s="808"/>
      <c r="AW160" s="800"/>
      <c r="AX160" s="800"/>
      <c r="AY160" s="800"/>
      <c r="AZ160" s="800"/>
      <c r="BA160" s="800"/>
      <c r="BB160" s="800"/>
      <c r="BC160" s="800"/>
      <c r="BD160" s="800"/>
      <c r="BE160" s="800"/>
      <c r="BF160" s="800"/>
      <c r="BG160" s="800"/>
      <c r="BH160" s="800"/>
      <c r="BI160" s="800"/>
      <c r="BJ160" s="800"/>
      <c r="BK160" s="805"/>
      <c r="BL160" s="789" t="s">
        <v>168</v>
      </c>
      <c r="BM160" s="785" t="s">
        <v>168</v>
      </c>
      <c r="BN160" s="785" t="s">
        <v>168</v>
      </c>
      <c r="BO160" s="785" t="s">
        <v>168</v>
      </c>
      <c r="BP160" s="796" t="s">
        <v>168</v>
      </c>
      <c r="BQ160" s="808" t="s">
        <v>1942</v>
      </c>
      <c r="BR160" s="800" t="s">
        <v>1942</v>
      </c>
      <c r="BS160" s="800" t="s">
        <v>1942</v>
      </c>
      <c r="BT160" s="800" t="s">
        <v>1942</v>
      </c>
      <c r="BU160" s="805" t="s">
        <v>1942</v>
      </c>
      <c r="BV160" s="806">
        <v>4.9400000000000004</v>
      </c>
      <c r="BW160" s="807">
        <v>4.9400000000000004</v>
      </c>
      <c r="BX160" s="807">
        <v>4.9400000000000004</v>
      </c>
      <c r="BY160" s="807">
        <v>4.9400000000000004</v>
      </c>
      <c r="BZ160" s="807">
        <v>4.9400000000000004</v>
      </c>
      <c r="CA160" s="808" t="s">
        <v>1942</v>
      </c>
      <c r="CB160" s="800" t="s">
        <v>1942</v>
      </c>
      <c r="CC160" s="800" t="s">
        <v>1942</v>
      </c>
      <c r="CD160" s="800" t="s">
        <v>1942</v>
      </c>
      <c r="CE160" s="805" t="s">
        <v>1942</v>
      </c>
      <c r="CF160" s="810" t="s">
        <v>1942</v>
      </c>
      <c r="CG160" s="810" t="s">
        <v>1942</v>
      </c>
      <c r="CH160" s="810" t="s">
        <v>1942</v>
      </c>
      <c r="CI160" s="810" t="s">
        <v>1942</v>
      </c>
      <c r="CJ160" s="811" t="s">
        <v>1942</v>
      </c>
      <c r="CK160" s="808">
        <v>3.9</v>
      </c>
      <c r="CL160" s="800">
        <v>3.85</v>
      </c>
      <c r="CM160" s="800">
        <v>3.8</v>
      </c>
      <c r="CN160" s="800">
        <v>3.75</v>
      </c>
      <c r="CO160" s="805">
        <v>3.71</v>
      </c>
      <c r="CP160" s="808" t="s">
        <v>1942</v>
      </c>
      <c r="CQ160" s="800" t="s">
        <v>1942</v>
      </c>
      <c r="CR160" s="800" t="s">
        <v>1942</v>
      </c>
      <c r="CS160" s="800" t="s">
        <v>1942</v>
      </c>
      <c r="CT160" s="805" t="s">
        <v>1942</v>
      </c>
      <c r="CU160" s="1284">
        <v>-2.665</v>
      </c>
      <c r="CV160" s="1283" t="s">
        <v>1942</v>
      </c>
      <c r="CW160" s="1283" t="s">
        <v>1942</v>
      </c>
      <c r="CX160" s="1285" t="s">
        <v>1942</v>
      </c>
      <c r="CY160" s="1283">
        <v>2.665</v>
      </c>
      <c r="CZ160" s="1283" t="s">
        <v>1942</v>
      </c>
      <c r="DA160" s="1283" t="s">
        <v>1942</v>
      </c>
      <c r="DB160" s="1285" t="s">
        <v>1942</v>
      </c>
      <c r="DC160" s="785"/>
      <c r="DD160" s="813">
        <v>1</v>
      </c>
      <c r="DE160" s="814"/>
    </row>
    <row r="161" spans="1:109" ht="15.75" hidden="1" customHeight="1">
      <c r="A161" s="772" t="s">
        <v>1032</v>
      </c>
      <c r="B161" s="773">
        <v>155</v>
      </c>
      <c r="C161" s="789" t="s">
        <v>2582</v>
      </c>
      <c r="D161" s="773" t="s">
        <v>2512</v>
      </c>
      <c r="E161" s="773" t="s">
        <v>1907</v>
      </c>
      <c r="F161" s="785" t="s">
        <v>2583</v>
      </c>
      <c r="G161" s="790" t="s">
        <v>2584</v>
      </c>
      <c r="H161" s="791" t="s">
        <v>2585</v>
      </c>
      <c r="I161" s="792"/>
      <c r="J161" s="793">
        <v>1</v>
      </c>
      <c r="K161" s="793"/>
      <c r="L161" s="793"/>
      <c r="M161" s="793"/>
      <c r="N161" s="793"/>
      <c r="O161" s="793"/>
      <c r="P161" s="794"/>
      <c r="Q161" s="795">
        <f t="shared" si="2"/>
        <v>1</v>
      </c>
      <c r="R161" s="789" t="s">
        <v>1030</v>
      </c>
      <c r="S161" s="773" t="s">
        <v>1008</v>
      </c>
      <c r="T161" s="796" t="s">
        <v>1009</v>
      </c>
      <c r="U161" s="773" t="s">
        <v>1892</v>
      </c>
      <c r="V161" s="773" t="s">
        <v>1033</v>
      </c>
      <c r="W161" s="773" t="s">
        <v>2586</v>
      </c>
      <c r="X161" s="829">
        <v>0</v>
      </c>
      <c r="Y161" s="821" t="s">
        <v>1020</v>
      </c>
      <c r="Z161" s="790" t="s">
        <v>1942</v>
      </c>
      <c r="AA161" s="785"/>
      <c r="AB161" s="785"/>
      <c r="AC161" s="785"/>
      <c r="AD161" s="785"/>
      <c r="AE161" s="785"/>
      <c r="AF161" s="799"/>
      <c r="AG161" s="800"/>
      <c r="AH161" s="800"/>
      <c r="AI161" s="800"/>
      <c r="AJ161" s="800"/>
      <c r="AK161" s="800"/>
      <c r="AL161" s="800"/>
      <c r="AM161" s="800"/>
      <c r="AN161" s="800"/>
      <c r="AO161" s="800"/>
      <c r="AP161" s="800"/>
      <c r="AQ161" s="808">
        <v>500</v>
      </c>
      <c r="AR161" s="800">
        <v>475</v>
      </c>
      <c r="AS161" s="800">
        <v>450</v>
      </c>
      <c r="AT161" s="800">
        <v>425</v>
      </c>
      <c r="AU161" s="805">
        <v>400</v>
      </c>
      <c r="AV161" s="808"/>
      <c r="AW161" s="800"/>
      <c r="AX161" s="800"/>
      <c r="AY161" s="800"/>
      <c r="AZ161" s="800"/>
      <c r="BA161" s="800"/>
      <c r="BB161" s="800"/>
      <c r="BC161" s="800"/>
      <c r="BD161" s="800"/>
      <c r="BE161" s="800"/>
      <c r="BF161" s="800"/>
      <c r="BG161" s="800"/>
      <c r="BH161" s="800"/>
      <c r="BI161" s="800"/>
      <c r="BJ161" s="800"/>
      <c r="BK161" s="805"/>
      <c r="BL161" s="789" t="s">
        <v>168</v>
      </c>
      <c r="BM161" s="785" t="s">
        <v>168</v>
      </c>
      <c r="BN161" s="785" t="s">
        <v>168</v>
      </c>
      <c r="BO161" s="785" t="s">
        <v>168</v>
      </c>
      <c r="BP161" s="796" t="s">
        <v>168</v>
      </c>
      <c r="BQ161" s="808" t="s">
        <v>1942</v>
      </c>
      <c r="BR161" s="800" t="s">
        <v>1942</v>
      </c>
      <c r="BS161" s="800" t="s">
        <v>1942</v>
      </c>
      <c r="BT161" s="800" t="s">
        <v>1942</v>
      </c>
      <c r="BU161" s="805" t="s">
        <v>1942</v>
      </c>
      <c r="BV161" s="808" t="s">
        <v>1942</v>
      </c>
      <c r="BW161" s="800" t="s">
        <v>1942</v>
      </c>
      <c r="BX161" s="800" t="s">
        <v>1942</v>
      </c>
      <c r="BY161" s="800" t="s">
        <v>1942</v>
      </c>
      <c r="BZ161" s="800" t="s">
        <v>1942</v>
      </c>
      <c r="CA161" s="808" t="s">
        <v>1942</v>
      </c>
      <c r="CB161" s="800" t="s">
        <v>1942</v>
      </c>
      <c r="CC161" s="800" t="s">
        <v>1942</v>
      </c>
      <c r="CD161" s="800" t="s">
        <v>1942</v>
      </c>
      <c r="CE161" s="805" t="s">
        <v>1942</v>
      </c>
      <c r="CF161" s="800" t="s">
        <v>1942</v>
      </c>
      <c r="CG161" s="800" t="s">
        <v>1942</v>
      </c>
      <c r="CH161" s="800" t="s">
        <v>1942</v>
      </c>
      <c r="CI161" s="800" t="s">
        <v>1942</v>
      </c>
      <c r="CJ161" s="805" t="s">
        <v>1942</v>
      </c>
      <c r="CK161" s="808" t="s">
        <v>1942</v>
      </c>
      <c r="CL161" s="800" t="s">
        <v>1942</v>
      </c>
      <c r="CM161" s="800" t="s">
        <v>1942</v>
      </c>
      <c r="CN161" s="800" t="s">
        <v>1942</v>
      </c>
      <c r="CO161" s="805" t="s">
        <v>1942</v>
      </c>
      <c r="CP161" s="808" t="s">
        <v>1942</v>
      </c>
      <c r="CQ161" s="800" t="s">
        <v>1942</v>
      </c>
      <c r="CR161" s="800" t="s">
        <v>1942</v>
      </c>
      <c r="CS161" s="800" t="s">
        <v>1942</v>
      </c>
      <c r="CT161" s="805" t="s">
        <v>1942</v>
      </c>
      <c r="CU161" s="1284">
        <v>-3.31E-3</v>
      </c>
      <c r="CV161" s="1283" t="s">
        <v>1942</v>
      </c>
      <c r="CW161" s="1283" t="s">
        <v>1942</v>
      </c>
      <c r="CX161" s="1285" t="s">
        <v>1942</v>
      </c>
      <c r="CY161" s="1283">
        <v>3.31E-3</v>
      </c>
      <c r="CZ161" s="1283" t="s">
        <v>1942</v>
      </c>
      <c r="DA161" s="1283" t="s">
        <v>1942</v>
      </c>
      <c r="DB161" s="1285" t="s">
        <v>1942</v>
      </c>
      <c r="DC161" s="785"/>
      <c r="DD161" s="813">
        <v>1</v>
      </c>
      <c r="DE161" s="814"/>
    </row>
    <row r="162" spans="1:109" ht="15.75" hidden="1" customHeight="1">
      <c r="A162" s="772" t="s">
        <v>1032</v>
      </c>
      <c r="B162" s="773">
        <v>156</v>
      </c>
      <c r="C162" s="789" t="s">
        <v>2587</v>
      </c>
      <c r="D162" s="773" t="s">
        <v>2481</v>
      </c>
      <c r="E162" s="773" t="s">
        <v>1896</v>
      </c>
      <c r="F162" s="785" t="s">
        <v>2588</v>
      </c>
      <c r="G162" s="790" t="s">
        <v>2589</v>
      </c>
      <c r="H162" s="791" t="s">
        <v>2590</v>
      </c>
      <c r="I162" s="792"/>
      <c r="J162" s="793">
        <v>1</v>
      </c>
      <c r="K162" s="793"/>
      <c r="L162" s="793"/>
      <c r="M162" s="793"/>
      <c r="N162" s="793"/>
      <c r="O162" s="793"/>
      <c r="P162" s="794"/>
      <c r="Q162" s="795">
        <f t="shared" si="2"/>
        <v>1</v>
      </c>
      <c r="R162" s="789" t="s">
        <v>1030</v>
      </c>
      <c r="S162" s="773" t="s">
        <v>1008</v>
      </c>
      <c r="T162" s="796" t="s">
        <v>1009</v>
      </c>
      <c r="U162" s="773" t="s">
        <v>2149</v>
      </c>
      <c r="V162" s="773" t="s">
        <v>1033</v>
      </c>
      <c r="W162" s="773" t="s">
        <v>2591</v>
      </c>
      <c r="X162" s="829">
        <v>2</v>
      </c>
      <c r="Y162" s="821" t="s">
        <v>1020</v>
      </c>
      <c r="Z162" s="790" t="s">
        <v>2002</v>
      </c>
      <c r="AA162" s="785"/>
      <c r="AB162" s="785"/>
      <c r="AC162" s="785"/>
      <c r="AD162" s="785"/>
      <c r="AE162" s="785"/>
      <c r="AF162" s="799"/>
      <c r="AG162" s="800"/>
      <c r="AH162" s="800"/>
      <c r="AI162" s="800"/>
      <c r="AJ162" s="800"/>
      <c r="AK162" s="800"/>
      <c r="AL162" s="800"/>
      <c r="AM162" s="800"/>
      <c r="AN162" s="800"/>
      <c r="AO162" s="800"/>
      <c r="AP162" s="800"/>
      <c r="AQ162" s="808">
        <v>10.51</v>
      </c>
      <c r="AR162" s="800">
        <v>9.75</v>
      </c>
      <c r="AS162" s="800">
        <v>8.98</v>
      </c>
      <c r="AT162" s="800">
        <v>8.2100000000000009</v>
      </c>
      <c r="AU162" s="805">
        <v>7.44</v>
      </c>
      <c r="AV162" s="808"/>
      <c r="AW162" s="800"/>
      <c r="AX162" s="800"/>
      <c r="AY162" s="800"/>
      <c r="AZ162" s="800"/>
      <c r="BA162" s="800"/>
      <c r="BB162" s="800"/>
      <c r="BC162" s="800"/>
      <c r="BD162" s="800"/>
      <c r="BE162" s="800"/>
      <c r="BF162" s="800"/>
      <c r="BG162" s="800"/>
      <c r="BH162" s="800"/>
      <c r="BI162" s="800"/>
      <c r="BJ162" s="800"/>
      <c r="BK162" s="805"/>
      <c r="BL162" s="789" t="s">
        <v>168</v>
      </c>
      <c r="BM162" s="785" t="s">
        <v>168</v>
      </c>
      <c r="BN162" s="785" t="s">
        <v>168</v>
      </c>
      <c r="BO162" s="785" t="s">
        <v>168</v>
      </c>
      <c r="BP162" s="796" t="s">
        <v>168</v>
      </c>
      <c r="BQ162" s="808" t="s">
        <v>1942</v>
      </c>
      <c r="BR162" s="800" t="s">
        <v>1942</v>
      </c>
      <c r="BS162" s="800" t="s">
        <v>1942</v>
      </c>
      <c r="BT162" s="800" t="s">
        <v>1942</v>
      </c>
      <c r="BU162" s="805" t="s">
        <v>1942</v>
      </c>
      <c r="BV162" s="808" t="s">
        <v>1942</v>
      </c>
      <c r="BW162" s="800" t="s">
        <v>1942</v>
      </c>
      <c r="BX162" s="800" t="s">
        <v>1942</v>
      </c>
      <c r="BY162" s="800" t="s">
        <v>1942</v>
      </c>
      <c r="BZ162" s="800" t="s">
        <v>1942</v>
      </c>
      <c r="CA162" s="808" t="s">
        <v>1942</v>
      </c>
      <c r="CB162" s="800" t="s">
        <v>1942</v>
      </c>
      <c r="CC162" s="800" t="s">
        <v>1942</v>
      </c>
      <c r="CD162" s="800" t="s">
        <v>1942</v>
      </c>
      <c r="CE162" s="805" t="s">
        <v>1942</v>
      </c>
      <c r="CF162" s="800" t="s">
        <v>1942</v>
      </c>
      <c r="CG162" s="800" t="s">
        <v>1942</v>
      </c>
      <c r="CH162" s="800" t="s">
        <v>1942</v>
      </c>
      <c r="CI162" s="800" t="s">
        <v>1942</v>
      </c>
      <c r="CJ162" s="805" t="s">
        <v>1942</v>
      </c>
      <c r="CK162" s="808" t="s">
        <v>1942</v>
      </c>
      <c r="CL162" s="800" t="s">
        <v>1942</v>
      </c>
      <c r="CM162" s="800" t="s">
        <v>1942</v>
      </c>
      <c r="CN162" s="800" t="s">
        <v>1942</v>
      </c>
      <c r="CO162" s="805" t="s">
        <v>1942</v>
      </c>
      <c r="CP162" s="808" t="s">
        <v>1942</v>
      </c>
      <c r="CQ162" s="800" t="s">
        <v>1942</v>
      </c>
      <c r="CR162" s="800" t="s">
        <v>1942</v>
      </c>
      <c r="CS162" s="800" t="s">
        <v>1942</v>
      </c>
      <c r="CT162" s="805" t="s">
        <v>1942</v>
      </c>
      <c r="CU162" s="1284">
        <v>-1.054</v>
      </c>
      <c r="CV162" s="1283" t="s">
        <v>1942</v>
      </c>
      <c r="CW162" s="1283" t="s">
        <v>1942</v>
      </c>
      <c r="CX162" s="1285" t="s">
        <v>1942</v>
      </c>
      <c r="CY162" s="1283">
        <v>0.878</v>
      </c>
      <c r="CZ162" s="1283" t="s">
        <v>1942</v>
      </c>
      <c r="DA162" s="1283" t="s">
        <v>1942</v>
      </c>
      <c r="DB162" s="1285" t="s">
        <v>1942</v>
      </c>
      <c r="DC162" s="785"/>
      <c r="DD162" s="813">
        <v>1</v>
      </c>
      <c r="DE162" s="814"/>
    </row>
    <row r="163" spans="1:109" ht="15.75" hidden="1" customHeight="1">
      <c r="A163" s="772" t="s">
        <v>1032</v>
      </c>
      <c r="B163" s="773">
        <v>157</v>
      </c>
      <c r="C163" s="789" t="s">
        <v>2592</v>
      </c>
      <c r="D163" s="773" t="s">
        <v>2481</v>
      </c>
      <c r="E163" s="773" t="s">
        <v>1896</v>
      </c>
      <c r="F163" s="785" t="s">
        <v>2593</v>
      </c>
      <c r="G163" s="790" t="s">
        <v>2594</v>
      </c>
      <c r="H163" s="791" t="s">
        <v>2595</v>
      </c>
      <c r="I163" s="792"/>
      <c r="J163" s="793">
        <v>1</v>
      </c>
      <c r="K163" s="793"/>
      <c r="L163" s="793"/>
      <c r="M163" s="793"/>
      <c r="N163" s="793"/>
      <c r="O163" s="793"/>
      <c r="P163" s="794"/>
      <c r="Q163" s="795">
        <f t="shared" si="2"/>
        <v>1</v>
      </c>
      <c r="R163" s="789" t="s">
        <v>1030</v>
      </c>
      <c r="S163" s="773" t="s">
        <v>1008</v>
      </c>
      <c r="T163" s="796" t="s">
        <v>1009</v>
      </c>
      <c r="U163" s="773" t="s">
        <v>2149</v>
      </c>
      <c r="V163" s="773" t="s">
        <v>1033</v>
      </c>
      <c r="W163" s="773" t="s">
        <v>2596</v>
      </c>
      <c r="X163" s="829">
        <v>2</v>
      </c>
      <c r="Y163" s="821" t="s">
        <v>1020</v>
      </c>
      <c r="Z163" s="790" t="s">
        <v>2002</v>
      </c>
      <c r="AA163" s="785"/>
      <c r="AB163" s="785"/>
      <c r="AC163" s="785"/>
      <c r="AD163" s="785"/>
      <c r="AE163" s="785"/>
      <c r="AF163" s="799"/>
      <c r="AG163" s="800"/>
      <c r="AH163" s="800"/>
      <c r="AI163" s="816"/>
      <c r="AJ163" s="800"/>
      <c r="AK163" s="816"/>
      <c r="AL163" s="816"/>
      <c r="AM163" s="816"/>
      <c r="AN163" s="816"/>
      <c r="AO163" s="816"/>
      <c r="AP163" s="816"/>
      <c r="AQ163" s="817">
        <v>2.08</v>
      </c>
      <c r="AR163" s="816">
        <v>2.0699999999999998</v>
      </c>
      <c r="AS163" s="816">
        <v>2.0499999999999998</v>
      </c>
      <c r="AT163" s="816">
        <v>2.04</v>
      </c>
      <c r="AU163" s="818">
        <v>2.02</v>
      </c>
      <c r="AV163" s="817"/>
      <c r="AW163" s="816"/>
      <c r="AX163" s="816"/>
      <c r="AY163" s="816"/>
      <c r="AZ163" s="816"/>
      <c r="BA163" s="816"/>
      <c r="BB163" s="816"/>
      <c r="BC163" s="816"/>
      <c r="BD163" s="816"/>
      <c r="BE163" s="816"/>
      <c r="BF163" s="816"/>
      <c r="BG163" s="816"/>
      <c r="BH163" s="816"/>
      <c r="BI163" s="816"/>
      <c r="BJ163" s="816"/>
      <c r="BK163" s="805"/>
      <c r="BL163" s="789" t="s">
        <v>168</v>
      </c>
      <c r="BM163" s="785" t="s">
        <v>168</v>
      </c>
      <c r="BN163" s="785" t="s">
        <v>168</v>
      </c>
      <c r="BO163" s="785" t="s">
        <v>168</v>
      </c>
      <c r="BP163" s="796" t="s">
        <v>168</v>
      </c>
      <c r="BQ163" s="808" t="s">
        <v>1942</v>
      </c>
      <c r="BR163" s="800" t="s">
        <v>1942</v>
      </c>
      <c r="BS163" s="800" t="s">
        <v>1942</v>
      </c>
      <c r="BT163" s="800" t="s">
        <v>1942</v>
      </c>
      <c r="BU163" s="805" t="s">
        <v>1942</v>
      </c>
      <c r="BV163" s="808" t="s">
        <v>1942</v>
      </c>
      <c r="BW163" s="800" t="s">
        <v>1942</v>
      </c>
      <c r="BX163" s="800" t="s">
        <v>1942</v>
      </c>
      <c r="BY163" s="800" t="s">
        <v>1942</v>
      </c>
      <c r="BZ163" s="800" t="s">
        <v>1942</v>
      </c>
      <c r="CA163" s="808" t="s">
        <v>1942</v>
      </c>
      <c r="CB163" s="800" t="s">
        <v>1942</v>
      </c>
      <c r="CC163" s="800" t="s">
        <v>1942</v>
      </c>
      <c r="CD163" s="800" t="s">
        <v>1942</v>
      </c>
      <c r="CE163" s="805" t="s">
        <v>1942</v>
      </c>
      <c r="CF163" s="800" t="s">
        <v>1942</v>
      </c>
      <c r="CG163" s="800" t="s">
        <v>1942</v>
      </c>
      <c r="CH163" s="800" t="s">
        <v>1942</v>
      </c>
      <c r="CI163" s="800" t="s">
        <v>1942</v>
      </c>
      <c r="CJ163" s="805" t="s">
        <v>1942</v>
      </c>
      <c r="CK163" s="808" t="s">
        <v>1942</v>
      </c>
      <c r="CL163" s="800" t="s">
        <v>1942</v>
      </c>
      <c r="CM163" s="800" t="s">
        <v>1942</v>
      </c>
      <c r="CN163" s="800" t="s">
        <v>1942</v>
      </c>
      <c r="CO163" s="805" t="s">
        <v>1942</v>
      </c>
      <c r="CP163" s="808" t="s">
        <v>1942</v>
      </c>
      <c r="CQ163" s="800" t="s">
        <v>1942</v>
      </c>
      <c r="CR163" s="800" t="s">
        <v>1942</v>
      </c>
      <c r="CS163" s="800" t="s">
        <v>1942</v>
      </c>
      <c r="CT163" s="805" t="s">
        <v>1942</v>
      </c>
      <c r="CU163" s="1284">
        <v>-1.054</v>
      </c>
      <c r="CV163" s="1283" t="s">
        <v>1942</v>
      </c>
      <c r="CW163" s="1283" t="s">
        <v>1942</v>
      </c>
      <c r="CX163" s="1285" t="s">
        <v>1942</v>
      </c>
      <c r="CY163" s="1283">
        <v>0.878</v>
      </c>
      <c r="CZ163" s="1283" t="s">
        <v>1942</v>
      </c>
      <c r="DA163" s="1283" t="s">
        <v>1942</v>
      </c>
      <c r="DB163" s="1285" t="s">
        <v>1942</v>
      </c>
      <c r="DC163" s="785"/>
      <c r="DD163" s="813">
        <v>1</v>
      </c>
      <c r="DE163" s="814"/>
    </row>
    <row r="164" spans="1:109" ht="15.75" hidden="1" customHeight="1">
      <c r="A164" s="772" t="s">
        <v>1032</v>
      </c>
      <c r="B164" s="773">
        <v>158</v>
      </c>
      <c r="C164" s="789" t="s">
        <v>2597</v>
      </c>
      <c r="D164" s="773" t="s">
        <v>2481</v>
      </c>
      <c r="E164" s="773" t="s">
        <v>1907</v>
      </c>
      <c r="F164" s="785" t="s">
        <v>2598</v>
      </c>
      <c r="G164" s="790" t="s">
        <v>2599</v>
      </c>
      <c r="H164" s="791" t="s">
        <v>2600</v>
      </c>
      <c r="I164" s="792"/>
      <c r="J164" s="793">
        <v>1</v>
      </c>
      <c r="K164" s="793"/>
      <c r="L164" s="793"/>
      <c r="M164" s="793"/>
      <c r="N164" s="793"/>
      <c r="O164" s="793"/>
      <c r="P164" s="794"/>
      <c r="Q164" s="795">
        <f t="shared" si="2"/>
        <v>1</v>
      </c>
      <c r="R164" s="789" t="s">
        <v>1026</v>
      </c>
      <c r="S164" s="773" t="s">
        <v>1008</v>
      </c>
      <c r="T164" s="796" t="s">
        <v>1009</v>
      </c>
      <c r="U164" s="773" t="s">
        <v>1910</v>
      </c>
      <c r="V164" s="773" t="s">
        <v>1033</v>
      </c>
      <c r="W164" s="773" t="s">
        <v>2601</v>
      </c>
      <c r="X164" s="829">
        <v>3</v>
      </c>
      <c r="Y164" s="821" t="s">
        <v>1020</v>
      </c>
      <c r="Z164" s="790" t="s">
        <v>1942</v>
      </c>
      <c r="AA164" s="785"/>
      <c r="AB164" s="785"/>
      <c r="AC164" s="785"/>
      <c r="AD164" s="785"/>
      <c r="AE164" s="785"/>
      <c r="AF164" s="799"/>
      <c r="AG164" s="838"/>
      <c r="AH164" s="838"/>
      <c r="AI164" s="838"/>
      <c r="AJ164" s="838"/>
      <c r="AK164" s="838"/>
      <c r="AL164" s="838"/>
      <c r="AM164" s="838"/>
      <c r="AN164" s="838"/>
      <c r="AO164" s="838"/>
      <c r="AP164" s="838"/>
      <c r="AQ164" s="839">
        <v>295.07</v>
      </c>
      <c r="AR164" s="838">
        <v>224</v>
      </c>
      <c r="AS164" s="838">
        <v>152.94</v>
      </c>
      <c r="AT164" s="838">
        <v>81.87</v>
      </c>
      <c r="AU164" s="840">
        <v>10.8</v>
      </c>
      <c r="AV164" s="839"/>
      <c r="AW164" s="838"/>
      <c r="AX164" s="838"/>
      <c r="AY164" s="838"/>
      <c r="AZ164" s="838"/>
      <c r="BA164" s="838"/>
      <c r="BB164" s="838"/>
      <c r="BC164" s="838"/>
      <c r="BD164" s="838"/>
      <c r="BE164" s="838"/>
      <c r="BF164" s="838"/>
      <c r="BG164" s="838"/>
      <c r="BH164" s="838"/>
      <c r="BI164" s="838"/>
      <c r="BJ164" s="838"/>
      <c r="BK164" s="840"/>
      <c r="BL164" s="853" t="s">
        <v>168</v>
      </c>
      <c r="BM164" s="854" t="s">
        <v>168</v>
      </c>
      <c r="BN164" s="854" t="s">
        <v>168</v>
      </c>
      <c r="BO164" s="854" t="s">
        <v>168</v>
      </c>
      <c r="BP164" s="855" t="s">
        <v>168</v>
      </c>
      <c r="BQ164" s="808" t="s">
        <v>1942</v>
      </c>
      <c r="BR164" s="800" t="s">
        <v>1942</v>
      </c>
      <c r="BS164" s="800" t="s">
        <v>1942</v>
      </c>
      <c r="BT164" s="800" t="s">
        <v>1942</v>
      </c>
      <c r="BU164" s="805" t="s">
        <v>1942</v>
      </c>
      <c r="BV164" s="808">
        <v>300</v>
      </c>
      <c r="BW164" s="800">
        <v>260</v>
      </c>
      <c r="BX164" s="800">
        <v>220</v>
      </c>
      <c r="BY164" s="800">
        <v>180</v>
      </c>
      <c r="BZ164" s="800">
        <v>150</v>
      </c>
      <c r="CA164" s="808" t="s">
        <v>1942</v>
      </c>
      <c r="CB164" s="800" t="s">
        <v>1942</v>
      </c>
      <c r="CC164" s="800" t="s">
        <v>1942</v>
      </c>
      <c r="CD164" s="800" t="s">
        <v>1942</v>
      </c>
      <c r="CE164" s="805" t="s">
        <v>1942</v>
      </c>
      <c r="CF164" s="800" t="s">
        <v>1942</v>
      </c>
      <c r="CG164" s="800" t="s">
        <v>1942</v>
      </c>
      <c r="CH164" s="800" t="s">
        <v>1942</v>
      </c>
      <c r="CI164" s="800" t="s">
        <v>1942</v>
      </c>
      <c r="CJ164" s="805" t="s">
        <v>1942</v>
      </c>
      <c r="CK164" s="808" t="s">
        <v>1942</v>
      </c>
      <c r="CL164" s="800" t="s">
        <v>1942</v>
      </c>
      <c r="CM164" s="800" t="s">
        <v>1942</v>
      </c>
      <c r="CN164" s="800" t="s">
        <v>1942</v>
      </c>
      <c r="CO164" s="805" t="s">
        <v>1942</v>
      </c>
      <c r="CP164" s="808" t="s">
        <v>1942</v>
      </c>
      <c r="CQ164" s="800" t="s">
        <v>1942</v>
      </c>
      <c r="CR164" s="800" t="s">
        <v>1942</v>
      </c>
      <c r="CS164" s="800" t="s">
        <v>1942</v>
      </c>
      <c r="CT164" s="805" t="s">
        <v>1942</v>
      </c>
      <c r="CU164" s="1284">
        <v>-2E-3</v>
      </c>
      <c r="CV164" s="1283" t="s">
        <v>1942</v>
      </c>
      <c r="CW164" s="1283" t="s">
        <v>1942</v>
      </c>
      <c r="CX164" s="1285" t="s">
        <v>1942</v>
      </c>
      <c r="CY164" s="1283" t="s">
        <v>1942</v>
      </c>
      <c r="CZ164" s="1283" t="s">
        <v>1942</v>
      </c>
      <c r="DA164" s="1283" t="s">
        <v>1942</v>
      </c>
      <c r="DB164" s="1285" t="s">
        <v>1942</v>
      </c>
      <c r="DC164" s="785"/>
      <c r="DD164" s="813">
        <v>1</v>
      </c>
      <c r="DE164" s="814"/>
    </row>
    <row r="165" spans="1:109" ht="15.75" hidden="1" customHeight="1">
      <c r="A165" s="772" t="s">
        <v>1032</v>
      </c>
      <c r="B165" s="773">
        <v>159</v>
      </c>
      <c r="C165" s="789" t="s">
        <v>2602</v>
      </c>
      <c r="D165" s="773" t="s">
        <v>2486</v>
      </c>
      <c r="E165" s="773" t="s">
        <v>1907</v>
      </c>
      <c r="F165" s="785" t="s">
        <v>2603</v>
      </c>
      <c r="G165" s="790" t="s">
        <v>2604</v>
      </c>
      <c r="H165" s="791" t="s">
        <v>2605</v>
      </c>
      <c r="I165" s="792"/>
      <c r="J165" s="793">
        <v>1</v>
      </c>
      <c r="K165" s="793"/>
      <c r="L165" s="793"/>
      <c r="M165" s="793"/>
      <c r="N165" s="793"/>
      <c r="O165" s="793"/>
      <c r="P165" s="794"/>
      <c r="Q165" s="795">
        <f t="shared" si="2"/>
        <v>1</v>
      </c>
      <c r="R165" s="789" t="s">
        <v>1030</v>
      </c>
      <c r="S165" s="773" t="s">
        <v>1008</v>
      </c>
      <c r="T165" s="796" t="s">
        <v>1009</v>
      </c>
      <c r="U165" s="773" t="s">
        <v>1892</v>
      </c>
      <c r="V165" s="773" t="s">
        <v>2118</v>
      </c>
      <c r="W165" s="773" t="s">
        <v>2606</v>
      </c>
      <c r="X165" s="829">
        <v>1</v>
      </c>
      <c r="Y165" s="821" t="s">
        <v>1020</v>
      </c>
      <c r="Z165" s="790" t="s">
        <v>1942</v>
      </c>
      <c r="AA165" s="785"/>
      <c r="AB165" s="785"/>
      <c r="AC165" s="785"/>
      <c r="AD165" s="785"/>
      <c r="AE165" s="785"/>
      <c r="AF165" s="799"/>
      <c r="AG165" s="800"/>
      <c r="AH165" s="800"/>
      <c r="AI165" s="800"/>
      <c r="AJ165" s="800"/>
      <c r="AK165" s="800"/>
      <c r="AL165" s="800"/>
      <c r="AM165" s="800"/>
      <c r="AN165" s="800"/>
      <c r="AO165" s="800"/>
      <c r="AP165" s="800"/>
      <c r="AQ165" s="808" t="s">
        <v>1942</v>
      </c>
      <c r="AR165" s="800">
        <v>97.5</v>
      </c>
      <c r="AS165" s="800">
        <v>95</v>
      </c>
      <c r="AT165" s="800">
        <v>92.5</v>
      </c>
      <c r="AU165" s="805">
        <v>90</v>
      </c>
      <c r="AV165" s="808"/>
      <c r="AW165" s="800"/>
      <c r="AX165" s="800"/>
      <c r="AY165" s="800"/>
      <c r="AZ165" s="800"/>
      <c r="BA165" s="800"/>
      <c r="BB165" s="800"/>
      <c r="BC165" s="800"/>
      <c r="BD165" s="800"/>
      <c r="BE165" s="800"/>
      <c r="BF165" s="800"/>
      <c r="BG165" s="800"/>
      <c r="BH165" s="800"/>
      <c r="BI165" s="800"/>
      <c r="BJ165" s="800"/>
      <c r="BK165" s="805"/>
      <c r="BL165" s="789"/>
      <c r="BM165" s="785" t="s">
        <v>168</v>
      </c>
      <c r="BN165" s="785" t="s">
        <v>168</v>
      </c>
      <c r="BO165" s="785" t="s">
        <v>168</v>
      </c>
      <c r="BP165" s="796" t="s">
        <v>168</v>
      </c>
      <c r="BQ165" s="808" t="s">
        <v>1942</v>
      </c>
      <c r="BR165" s="800" t="s">
        <v>1942</v>
      </c>
      <c r="BS165" s="800" t="s">
        <v>1942</v>
      </c>
      <c r="BT165" s="800" t="s">
        <v>1942</v>
      </c>
      <c r="BU165" s="805" t="s">
        <v>1942</v>
      </c>
      <c r="BV165" s="808" t="s">
        <v>1942</v>
      </c>
      <c r="BW165" s="800" t="s">
        <v>1942</v>
      </c>
      <c r="BX165" s="800" t="s">
        <v>1942</v>
      </c>
      <c r="BY165" s="800" t="s">
        <v>1942</v>
      </c>
      <c r="BZ165" s="800" t="s">
        <v>1942</v>
      </c>
      <c r="CA165" s="808" t="s">
        <v>1942</v>
      </c>
      <c r="CB165" s="800" t="s">
        <v>1942</v>
      </c>
      <c r="CC165" s="800" t="s">
        <v>1942</v>
      </c>
      <c r="CD165" s="800" t="s">
        <v>1942</v>
      </c>
      <c r="CE165" s="805" t="s">
        <v>1942</v>
      </c>
      <c r="CF165" s="800" t="s">
        <v>1942</v>
      </c>
      <c r="CG165" s="800" t="s">
        <v>1942</v>
      </c>
      <c r="CH165" s="800" t="s">
        <v>1942</v>
      </c>
      <c r="CI165" s="800" t="s">
        <v>1942</v>
      </c>
      <c r="CJ165" s="805" t="s">
        <v>1942</v>
      </c>
      <c r="CK165" s="808" t="s">
        <v>1942</v>
      </c>
      <c r="CL165" s="800" t="s">
        <v>1942</v>
      </c>
      <c r="CM165" s="800" t="s">
        <v>1942</v>
      </c>
      <c r="CN165" s="800" t="s">
        <v>1942</v>
      </c>
      <c r="CO165" s="805" t="s">
        <v>1942</v>
      </c>
      <c r="CP165" s="808" t="s">
        <v>1942</v>
      </c>
      <c r="CQ165" s="800" t="s">
        <v>1942</v>
      </c>
      <c r="CR165" s="800" t="s">
        <v>1942</v>
      </c>
      <c r="CS165" s="800" t="s">
        <v>1942</v>
      </c>
      <c r="CT165" s="805" t="s">
        <v>1942</v>
      </c>
      <c r="CU165" s="1284">
        <v>-1.119</v>
      </c>
      <c r="CV165" s="1283" t="s">
        <v>1942</v>
      </c>
      <c r="CW165" s="1283" t="s">
        <v>1942</v>
      </c>
      <c r="CX165" s="1285" t="s">
        <v>1942</v>
      </c>
      <c r="CY165" s="1283">
        <v>0.77100000000000002</v>
      </c>
      <c r="CZ165" s="1283" t="s">
        <v>1942</v>
      </c>
      <c r="DA165" s="1283" t="s">
        <v>1942</v>
      </c>
      <c r="DB165" s="1285" t="s">
        <v>1942</v>
      </c>
      <c r="DC165" s="785"/>
      <c r="DD165" s="813">
        <v>1</v>
      </c>
      <c r="DE165" s="814"/>
    </row>
    <row r="166" spans="1:109" ht="15.75" hidden="1" customHeight="1">
      <c r="A166" s="772" t="s">
        <v>1032</v>
      </c>
      <c r="B166" s="773">
        <v>160</v>
      </c>
      <c r="C166" s="789" t="s">
        <v>2607</v>
      </c>
      <c r="D166" s="773" t="s">
        <v>2502</v>
      </c>
      <c r="E166" s="773" t="s">
        <v>1907</v>
      </c>
      <c r="F166" s="785" t="s">
        <v>2608</v>
      </c>
      <c r="G166" s="790" t="s">
        <v>2416</v>
      </c>
      <c r="H166" s="791" t="s">
        <v>2609</v>
      </c>
      <c r="I166" s="792"/>
      <c r="J166" s="793"/>
      <c r="K166" s="793">
        <v>1</v>
      </c>
      <c r="L166" s="793"/>
      <c r="M166" s="793"/>
      <c r="N166" s="793"/>
      <c r="O166" s="793"/>
      <c r="P166" s="794"/>
      <c r="Q166" s="795">
        <f t="shared" si="2"/>
        <v>1</v>
      </c>
      <c r="R166" s="789" t="s">
        <v>1030</v>
      </c>
      <c r="S166" s="773" t="s">
        <v>1008</v>
      </c>
      <c r="T166" s="796" t="s">
        <v>1009</v>
      </c>
      <c r="U166" s="773" t="s">
        <v>1920</v>
      </c>
      <c r="V166" s="773" t="s">
        <v>1033</v>
      </c>
      <c r="W166" s="773" t="s">
        <v>2610</v>
      </c>
      <c r="X166" s="1274">
        <v>0</v>
      </c>
      <c r="Y166" s="821" t="s">
        <v>1020</v>
      </c>
      <c r="Z166" s="790" t="s">
        <v>2416</v>
      </c>
      <c r="AA166" s="785"/>
      <c r="AB166" s="785"/>
      <c r="AC166" s="785"/>
      <c r="AD166" s="785"/>
      <c r="AE166" s="785"/>
      <c r="AF166" s="799"/>
      <c r="AG166" s="800"/>
      <c r="AH166" s="800"/>
      <c r="AI166" s="800"/>
      <c r="AJ166" s="800"/>
      <c r="AK166" s="800"/>
      <c r="AL166" s="800"/>
      <c r="AM166" s="800"/>
      <c r="AN166" s="800"/>
      <c r="AO166" s="800"/>
      <c r="AP166" s="800"/>
      <c r="AQ166" s="808">
        <v>11594</v>
      </c>
      <c r="AR166" s="800">
        <v>11379</v>
      </c>
      <c r="AS166" s="800">
        <v>11164</v>
      </c>
      <c r="AT166" s="800">
        <v>10950</v>
      </c>
      <c r="AU166" s="805">
        <v>10600</v>
      </c>
      <c r="AV166" s="808"/>
      <c r="AW166" s="800"/>
      <c r="AX166" s="800"/>
      <c r="AY166" s="800"/>
      <c r="AZ166" s="800"/>
      <c r="BA166" s="800"/>
      <c r="BB166" s="800"/>
      <c r="BC166" s="800"/>
      <c r="BD166" s="800"/>
      <c r="BE166" s="800"/>
      <c r="BF166" s="800"/>
      <c r="BG166" s="800"/>
      <c r="BH166" s="800"/>
      <c r="BI166" s="800"/>
      <c r="BJ166" s="800"/>
      <c r="BK166" s="805"/>
      <c r="BL166" s="789" t="s">
        <v>168</v>
      </c>
      <c r="BM166" s="785" t="s">
        <v>168</v>
      </c>
      <c r="BN166" s="785" t="s">
        <v>168</v>
      </c>
      <c r="BO166" s="785" t="s">
        <v>168</v>
      </c>
      <c r="BP166" s="796" t="s">
        <v>168</v>
      </c>
      <c r="BQ166" s="808" t="s">
        <v>1942</v>
      </c>
      <c r="BR166" s="800" t="s">
        <v>1942</v>
      </c>
      <c r="BS166" s="800" t="s">
        <v>1942</v>
      </c>
      <c r="BT166" s="800" t="s">
        <v>1942</v>
      </c>
      <c r="BU166" s="805" t="s">
        <v>1942</v>
      </c>
      <c r="BV166" s="808" t="s">
        <v>1942</v>
      </c>
      <c r="BW166" s="800" t="s">
        <v>1942</v>
      </c>
      <c r="BX166" s="800" t="s">
        <v>1942</v>
      </c>
      <c r="BY166" s="800" t="s">
        <v>1942</v>
      </c>
      <c r="BZ166" s="800" t="s">
        <v>1942</v>
      </c>
      <c r="CA166" s="808" t="s">
        <v>1942</v>
      </c>
      <c r="CB166" s="800" t="s">
        <v>1942</v>
      </c>
      <c r="CC166" s="800" t="s">
        <v>1942</v>
      </c>
      <c r="CD166" s="800" t="s">
        <v>1942</v>
      </c>
      <c r="CE166" s="805" t="s">
        <v>1942</v>
      </c>
      <c r="CF166" s="800" t="s">
        <v>1942</v>
      </c>
      <c r="CG166" s="800" t="s">
        <v>1942</v>
      </c>
      <c r="CH166" s="800" t="s">
        <v>1942</v>
      </c>
      <c r="CI166" s="800" t="s">
        <v>1942</v>
      </c>
      <c r="CJ166" s="805" t="s">
        <v>1942</v>
      </c>
      <c r="CK166" s="808" t="s">
        <v>1942</v>
      </c>
      <c r="CL166" s="800" t="s">
        <v>1942</v>
      </c>
      <c r="CM166" s="800" t="s">
        <v>1942</v>
      </c>
      <c r="CN166" s="800" t="s">
        <v>1942</v>
      </c>
      <c r="CO166" s="805" t="s">
        <v>1942</v>
      </c>
      <c r="CP166" s="808" t="s">
        <v>1942</v>
      </c>
      <c r="CQ166" s="800" t="s">
        <v>1942</v>
      </c>
      <c r="CR166" s="800" t="s">
        <v>1942</v>
      </c>
      <c r="CS166" s="800" t="s">
        <v>1942</v>
      </c>
      <c r="CT166" s="805" t="s">
        <v>1942</v>
      </c>
      <c r="CU166" s="1284">
        <v>-1.4430000000000001E-3</v>
      </c>
      <c r="CV166" s="1283" t="s">
        <v>1942</v>
      </c>
      <c r="CW166" s="1283" t="s">
        <v>1942</v>
      </c>
      <c r="CX166" s="1285" t="s">
        <v>1942</v>
      </c>
      <c r="CY166" s="1283">
        <v>7.7999999999999999E-4</v>
      </c>
      <c r="CZ166" s="1283" t="s">
        <v>1942</v>
      </c>
      <c r="DA166" s="1283" t="s">
        <v>1942</v>
      </c>
      <c r="DB166" s="1285" t="s">
        <v>1942</v>
      </c>
      <c r="DC166" s="785"/>
      <c r="DD166" s="813">
        <v>1</v>
      </c>
      <c r="DE166" s="814"/>
    </row>
    <row r="167" spans="1:109" ht="15.75" hidden="1" customHeight="1">
      <c r="A167" s="772" t="s">
        <v>1032</v>
      </c>
      <c r="B167" s="773">
        <v>161</v>
      </c>
      <c r="C167" s="789" t="s">
        <v>2611</v>
      </c>
      <c r="D167" s="773" t="s">
        <v>2502</v>
      </c>
      <c r="E167" s="773" t="s">
        <v>1889</v>
      </c>
      <c r="F167" s="785" t="s">
        <v>2612</v>
      </c>
      <c r="G167" s="790" t="s">
        <v>2098</v>
      </c>
      <c r="H167" s="791" t="s">
        <v>2613</v>
      </c>
      <c r="I167" s="792"/>
      <c r="J167" s="793"/>
      <c r="K167" s="793">
        <v>1</v>
      </c>
      <c r="L167" s="793"/>
      <c r="M167" s="793"/>
      <c r="N167" s="793"/>
      <c r="O167" s="793"/>
      <c r="P167" s="794"/>
      <c r="Q167" s="795">
        <f t="shared" si="2"/>
        <v>1</v>
      </c>
      <c r="R167" s="789" t="s">
        <v>1030</v>
      </c>
      <c r="S167" s="773" t="s">
        <v>1008</v>
      </c>
      <c r="T167" s="796" t="s">
        <v>1009</v>
      </c>
      <c r="U167" s="773" t="s">
        <v>2058</v>
      </c>
      <c r="V167" s="773" t="s">
        <v>1033</v>
      </c>
      <c r="W167" s="773" t="s">
        <v>2614</v>
      </c>
      <c r="X167" s="1274">
        <v>0</v>
      </c>
      <c r="Y167" s="821" t="s">
        <v>1020</v>
      </c>
      <c r="Z167" s="790" t="s">
        <v>2098</v>
      </c>
      <c r="AA167" s="785"/>
      <c r="AB167" s="785"/>
      <c r="AC167" s="785"/>
      <c r="AD167" s="785"/>
      <c r="AE167" s="785"/>
      <c r="AF167" s="799"/>
      <c r="AG167" s="800"/>
      <c r="AH167" s="800"/>
      <c r="AI167" s="800"/>
      <c r="AJ167" s="800"/>
      <c r="AK167" s="800"/>
      <c r="AL167" s="800"/>
      <c r="AM167" s="800"/>
      <c r="AN167" s="800"/>
      <c r="AO167" s="800"/>
      <c r="AP167" s="800"/>
      <c r="AQ167" s="808">
        <v>3372</v>
      </c>
      <c r="AR167" s="800">
        <v>3191</v>
      </c>
      <c r="AS167" s="800">
        <v>3009</v>
      </c>
      <c r="AT167" s="800">
        <v>2828</v>
      </c>
      <c r="AU167" s="805">
        <v>2647</v>
      </c>
      <c r="AV167" s="808"/>
      <c r="AW167" s="800"/>
      <c r="AX167" s="800"/>
      <c r="AY167" s="800"/>
      <c r="AZ167" s="800"/>
      <c r="BA167" s="800"/>
      <c r="BB167" s="800"/>
      <c r="BC167" s="800"/>
      <c r="BD167" s="800"/>
      <c r="BE167" s="800"/>
      <c r="BF167" s="800"/>
      <c r="BG167" s="800"/>
      <c r="BH167" s="800"/>
      <c r="BI167" s="800"/>
      <c r="BJ167" s="800"/>
      <c r="BK167" s="805"/>
      <c r="BL167" s="789" t="s">
        <v>168</v>
      </c>
      <c r="BM167" s="785" t="s">
        <v>168</v>
      </c>
      <c r="BN167" s="785" t="s">
        <v>168</v>
      </c>
      <c r="BO167" s="785" t="s">
        <v>168</v>
      </c>
      <c r="BP167" s="796" t="s">
        <v>168</v>
      </c>
      <c r="BQ167" s="808" t="s">
        <v>1942</v>
      </c>
      <c r="BR167" s="800" t="s">
        <v>1942</v>
      </c>
      <c r="BS167" s="800" t="s">
        <v>1942</v>
      </c>
      <c r="BT167" s="800" t="s">
        <v>1942</v>
      </c>
      <c r="BU167" s="805" t="s">
        <v>1942</v>
      </c>
      <c r="BV167" s="808">
        <v>5058</v>
      </c>
      <c r="BW167" s="800">
        <v>5058</v>
      </c>
      <c r="BX167" s="800">
        <v>5058</v>
      </c>
      <c r="BY167" s="800">
        <v>5058</v>
      </c>
      <c r="BZ167" s="800">
        <v>5058</v>
      </c>
      <c r="CA167" s="808" t="s">
        <v>1942</v>
      </c>
      <c r="CB167" s="800" t="s">
        <v>1942</v>
      </c>
      <c r="CC167" s="800" t="s">
        <v>1942</v>
      </c>
      <c r="CD167" s="800" t="s">
        <v>1942</v>
      </c>
      <c r="CE167" s="805" t="s">
        <v>1942</v>
      </c>
      <c r="CF167" s="800" t="s">
        <v>1942</v>
      </c>
      <c r="CG167" s="800" t="s">
        <v>1942</v>
      </c>
      <c r="CH167" s="800" t="s">
        <v>1942</v>
      </c>
      <c r="CI167" s="800" t="s">
        <v>1942</v>
      </c>
      <c r="CJ167" s="805" t="s">
        <v>1942</v>
      </c>
      <c r="CK167" s="808">
        <v>3000</v>
      </c>
      <c r="CL167" s="800">
        <v>2800</v>
      </c>
      <c r="CM167" s="800">
        <v>2659</v>
      </c>
      <c r="CN167" s="800">
        <v>2487</v>
      </c>
      <c r="CO167" s="805">
        <v>2315</v>
      </c>
      <c r="CP167" s="808" t="s">
        <v>1942</v>
      </c>
      <c r="CQ167" s="800" t="s">
        <v>1942</v>
      </c>
      <c r="CR167" s="800" t="s">
        <v>1942</v>
      </c>
      <c r="CS167" s="800" t="s">
        <v>1942</v>
      </c>
      <c r="CT167" s="805" t="s">
        <v>1942</v>
      </c>
      <c r="CU167" s="1284">
        <v>-6.2700000000000004E-3</v>
      </c>
      <c r="CV167" s="1283" t="s">
        <v>1942</v>
      </c>
      <c r="CW167" s="1283" t="s">
        <v>1942</v>
      </c>
      <c r="CX167" s="1285" t="s">
        <v>1942</v>
      </c>
      <c r="CY167" s="1283">
        <v>4.3099999999999996E-3</v>
      </c>
      <c r="CZ167" s="1283" t="s">
        <v>1942</v>
      </c>
      <c r="DA167" s="1283" t="s">
        <v>1942</v>
      </c>
      <c r="DB167" s="1285" t="s">
        <v>1942</v>
      </c>
      <c r="DC167" s="785"/>
      <c r="DD167" s="813">
        <v>1</v>
      </c>
      <c r="DE167" s="814"/>
    </row>
    <row r="168" spans="1:109" ht="15.75" hidden="1" customHeight="1">
      <c r="A168" s="772" t="s">
        <v>1032</v>
      </c>
      <c r="B168" s="773">
        <v>162</v>
      </c>
      <c r="C168" s="789" t="s">
        <v>2615</v>
      </c>
      <c r="D168" s="773" t="s">
        <v>2502</v>
      </c>
      <c r="E168" s="773" t="s">
        <v>1889</v>
      </c>
      <c r="F168" s="785" t="s">
        <v>2616</v>
      </c>
      <c r="G168" s="790" t="s">
        <v>2617</v>
      </c>
      <c r="H168" s="791" t="s">
        <v>2618</v>
      </c>
      <c r="I168" s="792"/>
      <c r="J168" s="793"/>
      <c r="K168" s="793">
        <v>1</v>
      </c>
      <c r="L168" s="793"/>
      <c r="M168" s="793"/>
      <c r="N168" s="793"/>
      <c r="O168" s="793"/>
      <c r="P168" s="794"/>
      <c r="Q168" s="795">
        <f t="shared" si="2"/>
        <v>1</v>
      </c>
      <c r="R168" s="789" t="s">
        <v>1030</v>
      </c>
      <c r="S168" s="773" t="s">
        <v>1008</v>
      </c>
      <c r="T168" s="796" t="s">
        <v>1009</v>
      </c>
      <c r="U168" s="773" t="s">
        <v>2058</v>
      </c>
      <c r="V168" s="773" t="s">
        <v>1033</v>
      </c>
      <c r="W168" s="773" t="s">
        <v>2619</v>
      </c>
      <c r="X168" s="1274">
        <v>0</v>
      </c>
      <c r="Y168" s="821" t="s">
        <v>1020</v>
      </c>
      <c r="Z168" s="790" t="s">
        <v>1942</v>
      </c>
      <c r="AA168" s="785"/>
      <c r="AB168" s="785"/>
      <c r="AC168" s="785"/>
      <c r="AD168" s="785"/>
      <c r="AE168" s="785"/>
      <c r="AF168" s="799"/>
      <c r="AG168" s="800"/>
      <c r="AH168" s="800"/>
      <c r="AI168" s="800"/>
      <c r="AJ168" s="800"/>
      <c r="AK168" s="800"/>
      <c r="AL168" s="800"/>
      <c r="AM168" s="800"/>
      <c r="AN168" s="800"/>
      <c r="AO168" s="800"/>
      <c r="AP168" s="800"/>
      <c r="AQ168" s="808">
        <v>46</v>
      </c>
      <c r="AR168" s="800">
        <v>44</v>
      </c>
      <c r="AS168" s="800">
        <v>42</v>
      </c>
      <c r="AT168" s="800">
        <v>39</v>
      </c>
      <c r="AU168" s="805">
        <v>37</v>
      </c>
      <c r="AV168" s="808"/>
      <c r="AW168" s="800"/>
      <c r="AX168" s="800"/>
      <c r="AY168" s="800"/>
      <c r="AZ168" s="800"/>
      <c r="BA168" s="800"/>
      <c r="BB168" s="800"/>
      <c r="BC168" s="800"/>
      <c r="BD168" s="800"/>
      <c r="BE168" s="800"/>
      <c r="BF168" s="800"/>
      <c r="BG168" s="800"/>
      <c r="BH168" s="800"/>
      <c r="BI168" s="800"/>
      <c r="BJ168" s="800"/>
      <c r="BK168" s="805"/>
      <c r="BL168" s="789" t="s">
        <v>168</v>
      </c>
      <c r="BM168" s="785" t="s">
        <v>168</v>
      </c>
      <c r="BN168" s="785" t="s">
        <v>168</v>
      </c>
      <c r="BO168" s="785" t="s">
        <v>168</v>
      </c>
      <c r="BP168" s="796" t="s">
        <v>168</v>
      </c>
      <c r="BQ168" s="808" t="s">
        <v>1942</v>
      </c>
      <c r="BR168" s="800" t="s">
        <v>1942</v>
      </c>
      <c r="BS168" s="800" t="s">
        <v>1942</v>
      </c>
      <c r="BT168" s="800" t="s">
        <v>1942</v>
      </c>
      <c r="BU168" s="805" t="s">
        <v>1942</v>
      </c>
      <c r="BV168" s="808" t="s">
        <v>1942</v>
      </c>
      <c r="BW168" s="800" t="s">
        <v>1942</v>
      </c>
      <c r="BX168" s="800" t="s">
        <v>1942</v>
      </c>
      <c r="BY168" s="800" t="s">
        <v>1942</v>
      </c>
      <c r="BZ168" s="800" t="s">
        <v>1942</v>
      </c>
      <c r="CA168" s="808" t="s">
        <v>1942</v>
      </c>
      <c r="CB168" s="800" t="s">
        <v>1942</v>
      </c>
      <c r="CC168" s="800" t="s">
        <v>1942</v>
      </c>
      <c r="CD168" s="800" t="s">
        <v>1942</v>
      </c>
      <c r="CE168" s="805" t="s">
        <v>1942</v>
      </c>
      <c r="CF168" s="800" t="s">
        <v>1942</v>
      </c>
      <c r="CG168" s="800" t="s">
        <v>1942</v>
      </c>
      <c r="CH168" s="800" t="s">
        <v>1942</v>
      </c>
      <c r="CI168" s="800" t="s">
        <v>1942</v>
      </c>
      <c r="CJ168" s="805" t="s">
        <v>1942</v>
      </c>
      <c r="CK168" s="808" t="s">
        <v>1942</v>
      </c>
      <c r="CL168" s="800" t="s">
        <v>1942</v>
      </c>
      <c r="CM168" s="800" t="s">
        <v>1942</v>
      </c>
      <c r="CN168" s="800" t="s">
        <v>1942</v>
      </c>
      <c r="CO168" s="805" t="s">
        <v>1942</v>
      </c>
      <c r="CP168" s="808" t="s">
        <v>1942</v>
      </c>
      <c r="CQ168" s="800" t="s">
        <v>1942</v>
      </c>
      <c r="CR168" s="800" t="s">
        <v>1942</v>
      </c>
      <c r="CS168" s="800" t="s">
        <v>1942</v>
      </c>
      <c r="CT168" s="805" t="s">
        <v>1942</v>
      </c>
      <c r="CU168" s="1284">
        <v>-5.5100000000000003E-2</v>
      </c>
      <c r="CV168" s="1283" t="s">
        <v>1942</v>
      </c>
      <c r="CW168" s="1283" t="s">
        <v>1942</v>
      </c>
      <c r="CX168" s="1285" t="s">
        <v>1942</v>
      </c>
      <c r="CY168" s="1283">
        <v>5.5100000000000003E-2</v>
      </c>
      <c r="CZ168" s="1283" t="s">
        <v>1942</v>
      </c>
      <c r="DA168" s="1283" t="s">
        <v>1942</v>
      </c>
      <c r="DB168" s="1285" t="s">
        <v>1942</v>
      </c>
      <c r="DC168" s="785"/>
      <c r="DD168" s="813">
        <v>1</v>
      </c>
      <c r="DE168" s="814"/>
    </row>
    <row r="169" spans="1:109" ht="15.75" hidden="1" customHeight="1">
      <c r="A169" s="772" t="s">
        <v>1032</v>
      </c>
      <c r="B169" s="773">
        <v>163</v>
      </c>
      <c r="C169" s="789" t="s">
        <v>2620</v>
      </c>
      <c r="D169" s="773" t="s">
        <v>2507</v>
      </c>
      <c r="E169" s="773" t="s">
        <v>1907</v>
      </c>
      <c r="F169" s="785" t="s">
        <v>2621</v>
      </c>
      <c r="G169" s="790" t="s">
        <v>2622</v>
      </c>
      <c r="H169" s="791" t="s">
        <v>2623</v>
      </c>
      <c r="I169" s="792">
        <v>1</v>
      </c>
      <c r="J169" s="793"/>
      <c r="K169" s="793"/>
      <c r="L169" s="793"/>
      <c r="M169" s="793"/>
      <c r="N169" s="793"/>
      <c r="O169" s="793"/>
      <c r="P169" s="794"/>
      <c r="Q169" s="795">
        <f t="shared" si="2"/>
        <v>1</v>
      </c>
      <c r="R169" s="789" t="s">
        <v>1030</v>
      </c>
      <c r="S169" s="773" t="s">
        <v>1008</v>
      </c>
      <c r="T169" s="796" t="s">
        <v>1009</v>
      </c>
      <c r="U169" s="773" t="s">
        <v>1979</v>
      </c>
      <c r="V169" s="773" t="s">
        <v>1033</v>
      </c>
      <c r="W169" s="773" t="s">
        <v>2312</v>
      </c>
      <c r="X169" s="1274">
        <v>0</v>
      </c>
      <c r="Y169" s="819" t="s">
        <v>1020</v>
      </c>
      <c r="Z169" s="790" t="s">
        <v>1942</v>
      </c>
      <c r="AA169" s="785"/>
      <c r="AB169" s="785"/>
      <c r="AC169" s="785"/>
      <c r="AD169" s="785"/>
      <c r="AE169" s="785"/>
      <c r="AF169" s="799"/>
      <c r="AG169" s="800"/>
      <c r="AH169" s="800"/>
      <c r="AI169" s="800"/>
      <c r="AJ169" s="800"/>
      <c r="AK169" s="800"/>
      <c r="AL169" s="800"/>
      <c r="AM169" s="800"/>
      <c r="AN169" s="800"/>
      <c r="AO169" s="800"/>
      <c r="AP169" s="800"/>
      <c r="AQ169" s="808">
        <v>0</v>
      </c>
      <c r="AR169" s="800">
        <v>0</v>
      </c>
      <c r="AS169" s="800">
        <v>0</v>
      </c>
      <c r="AT169" s="800">
        <v>0</v>
      </c>
      <c r="AU169" s="805">
        <v>0</v>
      </c>
      <c r="AV169" s="808"/>
      <c r="AW169" s="800"/>
      <c r="AX169" s="800"/>
      <c r="AY169" s="800"/>
      <c r="AZ169" s="800"/>
      <c r="BA169" s="800"/>
      <c r="BB169" s="800"/>
      <c r="BC169" s="800"/>
      <c r="BD169" s="800"/>
      <c r="BE169" s="800"/>
      <c r="BF169" s="800"/>
      <c r="BG169" s="800"/>
      <c r="BH169" s="800"/>
      <c r="BI169" s="800"/>
      <c r="BJ169" s="800"/>
      <c r="BK169" s="805"/>
      <c r="BL169" s="789" t="s">
        <v>168</v>
      </c>
      <c r="BM169" s="785" t="s">
        <v>168</v>
      </c>
      <c r="BN169" s="785" t="s">
        <v>168</v>
      </c>
      <c r="BO169" s="785" t="s">
        <v>168</v>
      </c>
      <c r="BP169" s="796" t="s">
        <v>168</v>
      </c>
      <c r="BQ169" s="808" t="s">
        <v>1942</v>
      </c>
      <c r="BR169" s="800" t="s">
        <v>1942</v>
      </c>
      <c r="BS169" s="800" t="s">
        <v>1942</v>
      </c>
      <c r="BT169" s="800" t="s">
        <v>1942</v>
      </c>
      <c r="BU169" s="805" t="s">
        <v>1942</v>
      </c>
      <c r="BV169" s="808">
        <v>36</v>
      </c>
      <c r="BW169" s="800">
        <v>36</v>
      </c>
      <c r="BX169" s="800">
        <v>36</v>
      </c>
      <c r="BY169" s="800">
        <v>36</v>
      </c>
      <c r="BZ169" s="800">
        <v>36</v>
      </c>
      <c r="CA169" s="808" t="s">
        <v>1942</v>
      </c>
      <c r="CB169" s="800" t="s">
        <v>1942</v>
      </c>
      <c r="CC169" s="800" t="s">
        <v>1942</v>
      </c>
      <c r="CD169" s="800" t="s">
        <v>1942</v>
      </c>
      <c r="CE169" s="805" t="s">
        <v>1942</v>
      </c>
      <c r="CF169" s="800" t="s">
        <v>1942</v>
      </c>
      <c r="CG169" s="800" t="s">
        <v>1942</v>
      </c>
      <c r="CH169" s="800" t="s">
        <v>1942</v>
      </c>
      <c r="CI169" s="800" t="s">
        <v>1942</v>
      </c>
      <c r="CJ169" s="805" t="s">
        <v>1942</v>
      </c>
      <c r="CK169" s="808" t="s">
        <v>1942</v>
      </c>
      <c r="CL169" s="800" t="s">
        <v>1942</v>
      </c>
      <c r="CM169" s="800" t="s">
        <v>1942</v>
      </c>
      <c r="CN169" s="800" t="s">
        <v>1942</v>
      </c>
      <c r="CO169" s="805" t="s">
        <v>1942</v>
      </c>
      <c r="CP169" s="808" t="s">
        <v>1942</v>
      </c>
      <c r="CQ169" s="800" t="s">
        <v>1942</v>
      </c>
      <c r="CR169" s="800" t="s">
        <v>1942</v>
      </c>
      <c r="CS169" s="800" t="s">
        <v>1942</v>
      </c>
      <c r="CT169" s="805" t="s">
        <v>1942</v>
      </c>
      <c r="CU169" s="1284">
        <v>-3.4999999999999997E-5</v>
      </c>
      <c r="CV169" s="1283" t="s">
        <v>1942</v>
      </c>
      <c r="CW169" s="1283" t="s">
        <v>1942</v>
      </c>
      <c r="CX169" s="1285" t="s">
        <v>1942</v>
      </c>
      <c r="CY169" s="1283">
        <v>4.1999999999999998E-5</v>
      </c>
      <c r="CZ169" s="1283" t="s">
        <v>1942</v>
      </c>
      <c r="DA169" s="1283" t="s">
        <v>1942</v>
      </c>
      <c r="DB169" s="1285" t="s">
        <v>1942</v>
      </c>
      <c r="DC169" s="785"/>
      <c r="DD169" s="813">
        <v>1</v>
      </c>
      <c r="DE169" s="814"/>
    </row>
    <row r="170" spans="1:109" ht="15.75" hidden="1" customHeight="1">
      <c r="A170" s="772" t="s">
        <v>1032</v>
      </c>
      <c r="B170" s="773">
        <v>164</v>
      </c>
      <c r="C170" s="789" t="s">
        <v>2624</v>
      </c>
      <c r="D170" s="773" t="s">
        <v>2507</v>
      </c>
      <c r="E170" s="773" t="s">
        <v>1889</v>
      </c>
      <c r="F170" s="785" t="s">
        <v>2625</v>
      </c>
      <c r="G170" s="790" t="s">
        <v>2626</v>
      </c>
      <c r="H170" s="791" t="s">
        <v>2627</v>
      </c>
      <c r="I170" s="792"/>
      <c r="J170" s="793"/>
      <c r="K170" s="793">
        <v>1</v>
      </c>
      <c r="L170" s="793"/>
      <c r="M170" s="793"/>
      <c r="N170" s="793"/>
      <c r="O170" s="793"/>
      <c r="P170" s="794"/>
      <c r="Q170" s="795">
        <f t="shared" si="2"/>
        <v>1</v>
      </c>
      <c r="R170" s="789" t="s">
        <v>1030</v>
      </c>
      <c r="S170" s="773" t="s">
        <v>1008</v>
      </c>
      <c r="T170" s="796" t="s">
        <v>1009</v>
      </c>
      <c r="U170" s="773" t="s">
        <v>2106</v>
      </c>
      <c r="V170" s="773" t="s">
        <v>278</v>
      </c>
      <c r="W170" s="773" t="s">
        <v>2628</v>
      </c>
      <c r="X170" s="1274">
        <v>2</v>
      </c>
      <c r="Y170" s="798" t="s">
        <v>1010</v>
      </c>
      <c r="Z170" s="790" t="s">
        <v>1942</v>
      </c>
      <c r="AA170" s="785"/>
      <c r="AB170" s="785"/>
      <c r="AC170" s="785"/>
      <c r="AD170" s="785"/>
      <c r="AE170" s="785"/>
      <c r="AF170" s="799"/>
      <c r="AG170" s="800"/>
      <c r="AH170" s="800"/>
      <c r="AI170" s="800"/>
      <c r="AJ170" s="800"/>
      <c r="AK170" s="800"/>
      <c r="AL170" s="800"/>
      <c r="AM170" s="800"/>
      <c r="AN170" s="800"/>
      <c r="AO170" s="800"/>
      <c r="AP170" s="800"/>
      <c r="AQ170" s="808">
        <v>97.06</v>
      </c>
      <c r="AR170" s="800">
        <v>97.06</v>
      </c>
      <c r="AS170" s="800">
        <v>97.06</v>
      </c>
      <c r="AT170" s="800">
        <v>97.06</v>
      </c>
      <c r="AU170" s="805">
        <v>97.06</v>
      </c>
      <c r="AV170" s="808"/>
      <c r="AW170" s="800"/>
      <c r="AX170" s="800"/>
      <c r="AY170" s="800"/>
      <c r="AZ170" s="800"/>
      <c r="BA170" s="800"/>
      <c r="BB170" s="800"/>
      <c r="BC170" s="800"/>
      <c r="BD170" s="800"/>
      <c r="BE170" s="800"/>
      <c r="BF170" s="800"/>
      <c r="BG170" s="800"/>
      <c r="BH170" s="800"/>
      <c r="BI170" s="800"/>
      <c r="BJ170" s="800"/>
      <c r="BK170" s="805"/>
      <c r="BL170" s="789" t="s">
        <v>168</v>
      </c>
      <c r="BM170" s="785" t="s">
        <v>168</v>
      </c>
      <c r="BN170" s="785" t="s">
        <v>168</v>
      </c>
      <c r="BO170" s="785" t="s">
        <v>168</v>
      </c>
      <c r="BP170" s="796" t="s">
        <v>168</v>
      </c>
      <c r="BQ170" s="808" t="s">
        <v>1942</v>
      </c>
      <c r="BR170" s="800" t="s">
        <v>1942</v>
      </c>
      <c r="BS170" s="800" t="s">
        <v>1942</v>
      </c>
      <c r="BT170" s="800" t="s">
        <v>1942</v>
      </c>
      <c r="BU170" s="805" t="s">
        <v>1942</v>
      </c>
      <c r="BV170" s="808" t="s">
        <v>1942</v>
      </c>
      <c r="BW170" s="800" t="s">
        <v>1942</v>
      </c>
      <c r="BX170" s="800" t="s">
        <v>1942</v>
      </c>
      <c r="BY170" s="800" t="s">
        <v>1942</v>
      </c>
      <c r="BZ170" s="800" t="s">
        <v>1942</v>
      </c>
      <c r="CA170" s="808" t="s">
        <v>1942</v>
      </c>
      <c r="CB170" s="800" t="s">
        <v>1942</v>
      </c>
      <c r="CC170" s="800" t="s">
        <v>1942</v>
      </c>
      <c r="CD170" s="800" t="s">
        <v>1942</v>
      </c>
      <c r="CE170" s="805" t="s">
        <v>1942</v>
      </c>
      <c r="CF170" s="800" t="s">
        <v>1942</v>
      </c>
      <c r="CG170" s="800" t="s">
        <v>1942</v>
      </c>
      <c r="CH170" s="800" t="s">
        <v>1942</v>
      </c>
      <c r="CI170" s="800" t="s">
        <v>1942</v>
      </c>
      <c r="CJ170" s="805" t="s">
        <v>1942</v>
      </c>
      <c r="CK170" s="808" t="s">
        <v>1942</v>
      </c>
      <c r="CL170" s="800" t="s">
        <v>1942</v>
      </c>
      <c r="CM170" s="800" t="s">
        <v>1942</v>
      </c>
      <c r="CN170" s="800" t="s">
        <v>1942</v>
      </c>
      <c r="CO170" s="805" t="s">
        <v>1942</v>
      </c>
      <c r="CP170" s="808" t="s">
        <v>1942</v>
      </c>
      <c r="CQ170" s="800" t="s">
        <v>1942</v>
      </c>
      <c r="CR170" s="800" t="s">
        <v>1942</v>
      </c>
      <c r="CS170" s="800" t="s">
        <v>1942</v>
      </c>
      <c r="CT170" s="805" t="s">
        <v>1942</v>
      </c>
      <c r="CU170" s="1284">
        <v>-0.249</v>
      </c>
      <c r="CV170" s="1283" t="s">
        <v>1942</v>
      </c>
      <c r="CW170" s="1283" t="s">
        <v>1942</v>
      </c>
      <c r="CX170" s="1285" t="s">
        <v>1942</v>
      </c>
      <c r="CY170" s="1283">
        <v>0.249</v>
      </c>
      <c r="CZ170" s="1283" t="s">
        <v>1942</v>
      </c>
      <c r="DA170" s="1283" t="s">
        <v>1942</v>
      </c>
      <c r="DB170" s="1285" t="s">
        <v>1942</v>
      </c>
      <c r="DC170" s="785"/>
      <c r="DD170" s="813">
        <v>1</v>
      </c>
      <c r="DE170" s="814"/>
    </row>
    <row r="171" spans="1:109" ht="15.75" hidden="1" customHeight="1">
      <c r="A171" s="772" t="s">
        <v>1032</v>
      </c>
      <c r="B171" s="773">
        <v>165</v>
      </c>
      <c r="C171" s="789" t="s">
        <v>2629</v>
      </c>
      <c r="D171" s="773" t="s">
        <v>2630</v>
      </c>
      <c r="E171" s="773" t="s">
        <v>1907</v>
      </c>
      <c r="F171" s="785" t="s">
        <v>2631</v>
      </c>
      <c r="G171" s="790" t="s">
        <v>2632</v>
      </c>
      <c r="H171" s="791" t="s">
        <v>2633</v>
      </c>
      <c r="I171" s="792">
        <v>0.122</v>
      </c>
      <c r="J171" s="793">
        <v>0.501</v>
      </c>
      <c r="K171" s="793">
        <v>0.377</v>
      </c>
      <c r="L171" s="793"/>
      <c r="M171" s="793"/>
      <c r="N171" s="793"/>
      <c r="O171" s="793"/>
      <c r="P171" s="794"/>
      <c r="Q171" s="795">
        <f t="shared" si="2"/>
        <v>1</v>
      </c>
      <c r="R171" s="789" t="s">
        <v>1030</v>
      </c>
      <c r="S171" s="773" t="s">
        <v>1008</v>
      </c>
      <c r="T171" s="796" t="s">
        <v>1009</v>
      </c>
      <c r="U171" s="773" t="s">
        <v>2106</v>
      </c>
      <c r="V171" s="773" t="s">
        <v>1033</v>
      </c>
      <c r="W171" s="773" t="s">
        <v>2634</v>
      </c>
      <c r="X171" s="829">
        <v>1</v>
      </c>
      <c r="Y171" s="798" t="s">
        <v>1010</v>
      </c>
      <c r="Z171" s="790" t="s">
        <v>1942</v>
      </c>
      <c r="AA171" s="785"/>
      <c r="AB171" s="785"/>
      <c r="AC171" s="785"/>
      <c r="AD171" s="785"/>
      <c r="AE171" s="785"/>
      <c r="AF171" s="799"/>
      <c r="AG171" s="800"/>
      <c r="AH171" s="800"/>
      <c r="AI171" s="800"/>
      <c r="AJ171" s="800"/>
      <c r="AK171" s="800"/>
      <c r="AL171" s="824"/>
      <c r="AM171" s="824"/>
      <c r="AN171" s="824"/>
      <c r="AO171" s="824"/>
      <c r="AP171" s="824"/>
      <c r="AQ171" s="806">
        <v>10</v>
      </c>
      <c r="AR171" s="807">
        <v>10</v>
      </c>
      <c r="AS171" s="807">
        <v>10</v>
      </c>
      <c r="AT171" s="807">
        <v>10</v>
      </c>
      <c r="AU171" s="820">
        <v>10</v>
      </c>
      <c r="AV171" s="823"/>
      <c r="AW171" s="824"/>
      <c r="AX171" s="824"/>
      <c r="AY171" s="824"/>
      <c r="AZ171" s="824"/>
      <c r="BA171" s="824"/>
      <c r="BB171" s="824"/>
      <c r="BC171" s="824"/>
      <c r="BD171" s="824"/>
      <c r="BE171" s="824"/>
      <c r="BF171" s="824"/>
      <c r="BG171" s="824"/>
      <c r="BH171" s="824"/>
      <c r="BI171" s="824"/>
      <c r="BJ171" s="824"/>
      <c r="BK171" s="825"/>
      <c r="BL171" s="789" t="s">
        <v>168</v>
      </c>
      <c r="BM171" s="785" t="s">
        <v>168</v>
      </c>
      <c r="BN171" s="785" t="s">
        <v>168</v>
      </c>
      <c r="BO171" s="785" t="s">
        <v>168</v>
      </c>
      <c r="BP171" s="796" t="s">
        <v>168</v>
      </c>
      <c r="BQ171" s="804" t="s">
        <v>1942</v>
      </c>
      <c r="BR171" s="800" t="s">
        <v>1942</v>
      </c>
      <c r="BS171" s="800" t="s">
        <v>1942</v>
      </c>
      <c r="BT171" s="800" t="s">
        <v>1942</v>
      </c>
      <c r="BU171" s="805" t="s">
        <v>1942</v>
      </c>
      <c r="BV171" s="808" t="s">
        <v>1942</v>
      </c>
      <c r="BW171" s="800" t="s">
        <v>1942</v>
      </c>
      <c r="BX171" s="800" t="s">
        <v>1942</v>
      </c>
      <c r="BY171" s="800" t="s">
        <v>1942</v>
      </c>
      <c r="BZ171" s="800" t="s">
        <v>1942</v>
      </c>
      <c r="CA171" s="808" t="s">
        <v>1942</v>
      </c>
      <c r="CB171" s="800" t="s">
        <v>1942</v>
      </c>
      <c r="CC171" s="800" t="s">
        <v>1942</v>
      </c>
      <c r="CD171" s="800" t="s">
        <v>1942</v>
      </c>
      <c r="CE171" s="805" t="s">
        <v>1942</v>
      </c>
      <c r="CF171" s="800" t="s">
        <v>1942</v>
      </c>
      <c r="CG171" s="800" t="s">
        <v>1942</v>
      </c>
      <c r="CH171" s="800" t="s">
        <v>1942</v>
      </c>
      <c r="CI171" s="800" t="s">
        <v>1942</v>
      </c>
      <c r="CJ171" s="805" t="s">
        <v>1942</v>
      </c>
      <c r="CK171" s="808" t="s">
        <v>1942</v>
      </c>
      <c r="CL171" s="800" t="s">
        <v>1942</v>
      </c>
      <c r="CM171" s="800" t="s">
        <v>1942</v>
      </c>
      <c r="CN171" s="800" t="s">
        <v>1942</v>
      </c>
      <c r="CO171" s="805" t="s">
        <v>1942</v>
      </c>
      <c r="CP171" s="808" t="s">
        <v>1942</v>
      </c>
      <c r="CQ171" s="800" t="s">
        <v>1942</v>
      </c>
      <c r="CR171" s="800" t="s">
        <v>1942</v>
      </c>
      <c r="CS171" s="800" t="s">
        <v>1942</v>
      </c>
      <c r="CT171" s="805" t="s">
        <v>1942</v>
      </c>
      <c r="CU171" s="1284">
        <v>-1.189E-2</v>
      </c>
      <c r="CV171" s="1283" t="s">
        <v>1942</v>
      </c>
      <c r="CW171" s="1283" t="s">
        <v>1942</v>
      </c>
      <c r="CX171" s="1285" t="s">
        <v>1942</v>
      </c>
      <c r="CY171" s="1283">
        <v>7.6800000000000002E-3</v>
      </c>
      <c r="CZ171" s="1283" t="s">
        <v>1942</v>
      </c>
      <c r="DA171" s="1283" t="s">
        <v>1942</v>
      </c>
      <c r="DB171" s="1285" t="s">
        <v>1942</v>
      </c>
      <c r="DC171" s="785" t="s">
        <v>131</v>
      </c>
      <c r="DD171" s="813">
        <v>1</v>
      </c>
      <c r="DE171" s="814"/>
    </row>
    <row r="172" spans="1:109" ht="15.75" hidden="1" customHeight="1">
      <c r="A172" s="772" t="s">
        <v>1032</v>
      </c>
      <c r="B172" s="773">
        <v>166</v>
      </c>
      <c r="C172" s="789" t="s">
        <v>2635</v>
      </c>
      <c r="D172" s="773" t="s">
        <v>2630</v>
      </c>
      <c r="E172" s="773" t="s">
        <v>1889</v>
      </c>
      <c r="F172" s="785" t="s">
        <v>2636</v>
      </c>
      <c r="G172" s="790" t="s">
        <v>2637</v>
      </c>
      <c r="H172" s="791" t="s">
        <v>2638</v>
      </c>
      <c r="I172" s="792">
        <v>0.11</v>
      </c>
      <c r="J172" s="793">
        <v>0.44900000000000001</v>
      </c>
      <c r="K172" s="793">
        <v>0.33800000000000002</v>
      </c>
      <c r="L172" s="793">
        <v>2.9000000000000001E-2</v>
      </c>
      <c r="M172" s="793">
        <v>7.3999999999999996E-2</v>
      </c>
      <c r="N172" s="793"/>
      <c r="O172" s="793"/>
      <c r="P172" s="794"/>
      <c r="Q172" s="795">
        <f t="shared" si="2"/>
        <v>1</v>
      </c>
      <c r="R172" s="789" t="s">
        <v>1030</v>
      </c>
      <c r="S172" s="773" t="s">
        <v>1008</v>
      </c>
      <c r="T172" s="796" t="s">
        <v>1009</v>
      </c>
      <c r="U172" s="773" t="s">
        <v>2132</v>
      </c>
      <c r="V172" s="773" t="s">
        <v>2639</v>
      </c>
      <c r="W172" s="773" t="s">
        <v>2640</v>
      </c>
      <c r="X172" s="1274">
        <v>0</v>
      </c>
      <c r="Y172" s="798" t="s">
        <v>1010</v>
      </c>
      <c r="Z172" s="790" t="s">
        <v>1942</v>
      </c>
      <c r="AA172" s="785"/>
      <c r="AB172" s="785"/>
      <c r="AC172" s="785"/>
      <c r="AD172" s="785"/>
      <c r="AE172" s="785"/>
      <c r="AF172" s="799"/>
      <c r="AG172" s="800"/>
      <c r="AH172" s="800"/>
      <c r="AI172" s="800"/>
      <c r="AJ172" s="800"/>
      <c r="AK172" s="800"/>
      <c r="AL172" s="800"/>
      <c r="AM172" s="800"/>
      <c r="AN172" s="800"/>
      <c r="AO172" s="800"/>
      <c r="AP172" s="800"/>
      <c r="AQ172" s="808">
        <v>4433</v>
      </c>
      <c r="AR172" s="800">
        <v>5602</v>
      </c>
      <c r="AS172" s="800">
        <v>6771</v>
      </c>
      <c r="AT172" s="800">
        <v>7941</v>
      </c>
      <c r="AU172" s="805">
        <v>9110</v>
      </c>
      <c r="AV172" s="808"/>
      <c r="AW172" s="800"/>
      <c r="AX172" s="800"/>
      <c r="AY172" s="800"/>
      <c r="AZ172" s="800"/>
      <c r="BA172" s="800"/>
      <c r="BB172" s="800"/>
      <c r="BC172" s="800"/>
      <c r="BD172" s="800"/>
      <c r="BE172" s="800"/>
      <c r="BF172" s="800"/>
      <c r="BG172" s="800"/>
      <c r="BH172" s="800"/>
      <c r="BI172" s="800"/>
      <c r="BJ172" s="800"/>
      <c r="BK172" s="805"/>
      <c r="BL172" s="789" t="s">
        <v>168</v>
      </c>
      <c r="BM172" s="785" t="s">
        <v>168</v>
      </c>
      <c r="BN172" s="785" t="s">
        <v>168</v>
      </c>
      <c r="BO172" s="785" t="s">
        <v>168</v>
      </c>
      <c r="BP172" s="796" t="s">
        <v>168</v>
      </c>
      <c r="BQ172" s="808" t="s">
        <v>1942</v>
      </c>
      <c r="BR172" s="800" t="s">
        <v>1942</v>
      </c>
      <c r="BS172" s="800" t="s">
        <v>1942</v>
      </c>
      <c r="BT172" s="800" t="s">
        <v>1942</v>
      </c>
      <c r="BU172" s="805" t="s">
        <v>1942</v>
      </c>
      <c r="BV172" s="808" t="s">
        <v>1942</v>
      </c>
      <c r="BW172" s="800" t="s">
        <v>1942</v>
      </c>
      <c r="BX172" s="800" t="s">
        <v>1942</v>
      </c>
      <c r="BY172" s="800" t="s">
        <v>1942</v>
      </c>
      <c r="BZ172" s="800" t="s">
        <v>1942</v>
      </c>
      <c r="CA172" s="808" t="s">
        <v>1942</v>
      </c>
      <c r="CB172" s="800" t="s">
        <v>1942</v>
      </c>
      <c r="CC172" s="800" t="s">
        <v>1942</v>
      </c>
      <c r="CD172" s="800" t="s">
        <v>1942</v>
      </c>
      <c r="CE172" s="805" t="s">
        <v>1942</v>
      </c>
      <c r="CF172" s="800" t="s">
        <v>1942</v>
      </c>
      <c r="CG172" s="800" t="s">
        <v>1942</v>
      </c>
      <c r="CH172" s="800" t="s">
        <v>1942</v>
      </c>
      <c r="CI172" s="800" t="s">
        <v>1942</v>
      </c>
      <c r="CJ172" s="805" t="s">
        <v>1942</v>
      </c>
      <c r="CK172" s="808" t="s">
        <v>1942</v>
      </c>
      <c r="CL172" s="800" t="s">
        <v>1942</v>
      </c>
      <c r="CM172" s="800" t="s">
        <v>1942</v>
      </c>
      <c r="CN172" s="800" t="s">
        <v>1942</v>
      </c>
      <c r="CO172" s="805" t="s">
        <v>1942</v>
      </c>
      <c r="CP172" s="808" t="s">
        <v>1942</v>
      </c>
      <c r="CQ172" s="800" t="s">
        <v>1942</v>
      </c>
      <c r="CR172" s="800" t="s">
        <v>1942</v>
      </c>
      <c r="CS172" s="800" t="s">
        <v>1942</v>
      </c>
      <c r="CT172" s="805" t="s">
        <v>1942</v>
      </c>
      <c r="CU172" s="1284">
        <v>-1.8699999999999999E-4</v>
      </c>
      <c r="CV172" s="1283" t="s">
        <v>1942</v>
      </c>
      <c r="CW172" s="1283" t="s">
        <v>1942</v>
      </c>
      <c r="CX172" s="1285" t="s">
        <v>1942</v>
      </c>
      <c r="CY172" s="1283">
        <v>1.8699999999999999E-4</v>
      </c>
      <c r="CZ172" s="1283" t="s">
        <v>1942</v>
      </c>
      <c r="DA172" s="1283" t="s">
        <v>1942</v>
      </c>
      <c r="DB172" s="1285" t="s">
        <v>1942</v>
      </c>
      <c r="DC172" s="785" t="s">
        <v>131</v>
      </c>
      <c r="DD172" s="813">
        <v>1</v>
      </c>
      <c r="DE172" s="814"/>
    </row>
    <row r="173" spans="1:109" ht="15.75" hidden="1" customHeight="1">
      <c r="A173" s="772" t="s">
        <v>1032</v>
      </c>
      <c r="B173" s="773">
        <v>167</v>
      </c>
      <c r="C173" s="789" t="s">
        <v>2641</v>
      </c>
      <c r="D173" s="773" t="s">
        <v>2630</v>
      </c>
      <c r="E173" s="773" t="s">
        <v>1907</v>
      </c>
      <c r="F173" s="785" t="s">
        <v>2642</v>
      </c>
      <c r="G173" s="790" t="s">
        <v>2643</v>
      </c>
      <c r="H173" s="791" t="s">
        <v>2644</v>
      </c>
      <c r="I173" s="792"/>
      <c r="J173" s="793"/>
      <c r="K173" s="793"/>
      <c r="L173" s="793">
        <v>1</v>
      </c>
      <c r="M173" s="793"/>
      <c r="N173" s="793"/>
      <c r="O173" s="793"/>
      <c r="P173" s="794"/>
      <c r="Q173" s="795">
        <f t="shared" si="2"/>
        <v>1</v>
      </c>
      <c r="R173" s="789" t="s">
        <v>1007</v>
      </c>
      <c r="S173" s="773" t="s">
        <v>1942</v>
      </c>
      <c r="T173" s="796" t="s">
        <v>1942</v>
      </c>
      <c r="U173" s="773" t="s">
        <v>763</v>
      </c>
      <c r="V173" s="773" t="s">
        <v>278</v>
      </c>
      <c r="W173" s="773" t="s">
        <v>2645</v>
      </c>
      <c r="X173" s="1309">
        <v>1</v>
      </c>
      <c r="Y173" s="798" t="s">
        <v>1010</v>
      </c>
      <c r="Z173" s="790" t="s">
        <v>1942</v>
      </c>
      <c r="AA173" s="785"/>
      <c r="AB173" s="785"/>
      <c r="AC173" s="785"/>
      <c r="AD173" s="785"/>
      <c r="AE173" s="785"/>
      <c r="AF173" s="799"/>
      <c r="AG173" s="800"/>
      <c r="AH173" s="800"/>
      <c r="AI173" s="800"/>
      <c r="AJ173" s="800"/>
      <c r="AK173" s="816"/>
      <c r="AL173" s="816"/>
      <c r="AM173" s="816"/>
      <c r="AN173" s="816"/>
      <c r="AO173" s="816"/>
      <c r="AP173" s="816"/>
      <c r="AQ173" s="817">
        <v>100</v>
      </c>
      <c r="AR173" s="816">
        <v>100</v>
      </c>
      <c r="AS173" s="816">
        <v>100</v>
      </c>
      <c r="AT173" s="816">
        <v>100</v>
      </c>
      <c r="AU173" s="818">
        <v>100</v>
      </c>
      <c r="AV173" s="817"/>
      <c r="AW173" s="816"/>
      <c r="AX173" s="816"/>
      <c r="AY173" s="816"/>
      <c r="AZ173" s="816"/>
      <c r="BA173" s="816"/>
      <c r="BB173" s="816"/>
      <c r="BC173" s="816"/>
      <c r="BD173" s="816"/>
      <c r="BE173" s="816"/>
      <c r="BF173" s="816"/>
      <c r="BG173" s="816"/>
      <c r="BH173" s="816"/>
      <c r="BI173" s="816"/>
      <c r="BJ173" s="816"/>
      <c r="BK173" s="805"/>
      <c r="BL173" s="789"/>
      <c r="BM173" s="785"/>
      <c r="BN173" s="785"/>
      <c r="BO173" s="785"/>
      <c r="BP173" s="796"/>
      <c r="BQ173" s="808" t="s">
        <v>1942</v>
      </c>
      <c r="BR173" s="800" t="s">
        <v>1942</v>
      </c>
      <c r="BS173" s="800" t="s">
        <v>1942</v>
      </c>
      <c r="BT173" s="800" t="s">
        <v>1942</v>
      </c>
      <c r="BU173" s="805" t="s">
        <v>1942</v>
      </c>
      <c r="BV173" s="808" t="s">
        <v>1942</v>
      </c>
      <c r="BW173" s="800" t="s">
        <v>1942</v>
      </c>
      <c r="BX173" s="800" t="s">
        <v>1942</v>
      </c>
      <c r="BY173" s="800" t="s">
        <v>1942</v>
      </c>
      <c r="BZ173" s="800" t="s">
        <v>1942</v>
      </c>
      <c r="CA173" s="808" t="s">
        <v>1942</v>
      </c>
      <c r="CB173" s="800" t="s">
        <v>1942</v>
      </c>
      <c r="CC173" s="800" t="s">
        <v>1942</v>
      </c>
      <c r="CD173" s="800" t="s">
        <v>1942</v>
      </c>
      <c r="CE173" s="805" t="s">
        <v>1942</v>
      </c>
      <c r="CF173" s="800" t="s">
        <v>1942</v>
      </c>
      <c r="CG173" s="800" t="s">
        <v>1942</v>
      </c>
      <c r="CH173" s="800" t="s">
        <v>1942</v>
      </c>
      <c r="CI173" s="800" t="s">
        <v>1942</v>
      </c>
      <c r="CJ173" s="800" t="s">
        <v>1942</v>
      </c>
      <c r="CK173" s="808" t="s">
        <v>1942</v>
      </c>
      <c r="CL173" s="800" t="s">
        <v>1942</v>
      </c>
      <c r="CM173" s="800" t="s">
        <v>1942</v>
      </c>
      <c r="CN173" s="800" t="s">
        <v>1942</v>
      </c>
      <c r="CO173" s="805" t="s">
        <v>1942</v>
      </c>
      <c r="CP173" s="808" t="s">
        <v>1942</v>
      </c>
      <c r="CQ173" s="800" t="s">
        <v>1942</v>
      </c>
      <c r="CR173" s="800" t="s">
        <v>1942</v>
      </c>
      <c r="CS173" s="800" t="s">
        <v>1942</v>
      </c>
      <c r="CT173" s="805" t="s">
        <v>1942</v>
      </c>
      <c r="CU173" s="1284" t="s">
        <v>1942</v>
      </c>
      <c r="CV173" s="1283" t="s">
        <v>1942</v>
      </c>
      <c r="CW173" s="1283" t="s">
        <v>1942</v>
      </c>
      <c r="CX173" s="1285" t="s">
        <v>1942</v>
      </c>
      <c r="CY173" s="1283" t="s">
        <v>1942</v>
      </c>
      <c r="CZ173" s="1283" t="s">
        <v>1942</v>
      </c>
      <c r="DA173" s="1283" t="s">
        <v>1942</v>
      </c>
      <c r="DB173" s="1285" t="s">
        <v>1942</v>
      </c>
      <c r="DC173" s="785"/>
      <c r="DD173" s="813">
        <v>1</v>
      </c>
      <c r="DE173" s="814"/>
    </row>
    <row r="174" spans="1:109" ht="15.75" hidden="1" customHeight="1">
      <c r="A174" s="772" t="s">
        <v>1032</v>
      </c>
      <c r="B174" s="773">
        <v>168</v>
      </c>
      <c r="C174" s="789" t="s">
        <v>2646</v>
      </c>
      <c r="D174" s="773" t="s">
        <v>2539</v>
      </c>
      <c r="E174" s="773" t="s">
        <v>1907</v>
      </c>
      <c r="F174" s="785" t="s">
        <v>2647</v>
      </c>
      <c r="G174" s="790" t="s">
        <v>2648</v>
      </c>
      <c r="H174" s="791" t="s">
        <v>2649</v>
      </c>
      <c r="I174" s="792"/>
      <c r="J174" s="793"/>
      <c r="K174" s="793"/>
      <c r="L174" s="793"/>
      <c r="M174" s="793">
        <v>1</v>
      </c>
      <c r="N174" s="793"/>
      <c r="O174" s="793"/>
      <c r="P174" s="794"/>
      <c r="Q174" s="795">
        <f t="shared" si="2"/>
        <v>1</v>
      </c>
      <c r="R174" s="789" t="s">
        <v>1007</v>
      </c>
      <c r="S174" s="773" t="s">
        <v>1942</v>
      </c>
      <c r="T174" s="796" t="s">
        <v>1942</v>
      </c>
      <c r="U174" s="773" t="s">
        <v>2117</v>
      </c>
      <c r="V174" s="773" t="s">
        <v>1033</v>
      </c>
      <c r="W174" s="773" t="s">
        <v>2543</v>
      </c>
      <c r="X174" s="829">
        <v>1</v>
      </c>
      <c r="Y174" s="819" t="s">
        <v>1010</v>
      </c>
      <c r="Z174" s="790" t="s">
        <v>1942</v>
      </c>
      <c r="AA174" s="785"/>
      <c r="AB174" s="785"/>
      <c r="AC174" s="785"/>
      <c r="AD174" s="785"/>
      <c r="AE174" s="785"/>
      <c r="AF174" s="799"/>
      <c r="AG174" s="800"/>
      <c r="AH174" s="800"/>
      <c r="AI174" s="800"/>
      <c r="AJ174" s="800"/>
      <c r="AK174" s="800"/>
      <c r="AL174" s="800"/>
      <c r="AM174" s="800"/>
      <c r="AN174" s="800"/>
      <c r="AO174" s="800"/>
      <c r="AP174" s="800"/>
      <c r="AQ174" s="808">
        <v>8.6999999999999993</v>
      </c>
      <c r="AR174" s="800">
        <v>8.6999999999999993</v>
      </c>
      <c r="AS174" s="800">
        <v>8.6999999999999993</v>
      </c>
      <c r="AT174" s="800">
        <v>8.8000000000000007</v>
      </c>
      <c r="AU174" s="805">
        <v>8.8000000000000007</v>
      </c>
      <c r="AV174" s="808"/>
      <c r="AW174" s="800"/>
      <c r="AX174" s="800"/>
      <c r="AY174" s="800"/>
      <c r="AZ174" s="800"/>
      <c r="BA174" s="800"/>
      <c r="BB174" s="800"/>
      <c r="BC174" s="800"/>
      <c r="BD174" s="800"/>
      <c r="BE174" s="800"/>
      <c r="BF174" s="800"/>
      <c r="BG174" s="800"/>
      <c r="BH174" s="800"/>
      <c r="BI174" s="800"/>
      <c r="BJ174" s="800"/>
      <c r="BK174" s="805"/>
      <c r="BL174" s="789"/>
      <c r="BM174" s="785"/>
      <c r="BN174" s="785"/>
      <c r="BO174" s="785"/>
      <c r="BP174" s="796"/>
      <c r="BQ174" s="808" t="s">
        <v>1942</v>
      </c>
      <c r="BR174" s="800" t="s">
        <v>1942</v>
      </c>
      <c r="BS174" s="800" t="s">
        <v>1942</v>
      </c>
      <c r="BT174" s="800" t="s">
        <v>1942</v>
      </c>
      <c r="BU174" s="805" t="s">
        <v>1942</v>
      </c>
      <c r="BV174" s="808" t="s">
        <v>1942</v>
      </c>
      <c r="BW174" s="800" t="s">
        <v>1942</v>
      </c>
      <c r="BX174" s="800" t="s">
        <v>1942</v>
      </c>
      <c r="BY174" s="800" t="s">
        <v>1942</v>
      </c>
      <c r="BZ174" s="800" t="s">
        <v>1942</v>
      </c>
      <c r="CA174" s="808" t="s">
        <v>1942</v>
      </c>
      <c r="CB174" s="800" t="s">
        <v>1942</v>
      </c>
      <c r="CC174" s="800" t="s">
        <v>1942</v>
      </c>
      <c r="CD174" s="800" t="s">
        <v>1942</v>
      </c>
      <c r="CE174" s="805" t="s">
        <v>1942</v>
      </c>
      <c r="CF174" s="800" t="s">
        <v>1942</v>
      </c>
      <c r="CG174" s="800" t="s">
        <v>1942</v>
      </c>
      <c r="CH174" s="800" t="s">
        <v>1942</v>
      </c>
      <c r="CI174" s="800" t="s">
        <v>1942</v>
      </c>
      <c r="CJ174" s="805" t="s">
        <v>1942</v>
      </c>
      <c r="CK174" s="808" t="s">
        <v>1942</v>
      </c>
      <c r="CL174" s="800" t="s">
        <v>1942</v>
      </c>
      <c r="CM174" s="800" t="s">
        <v>1942</v>
      </c>
      <c r="CN174" s="800" t="s">
        <v>1942</v>
      </c>
      <c r="CO174" s="805" t="s">
        <v>1942</v>
      </c>
      <c r="CP174" s="808" t="s">
        <v>1942</v>
      </c>
      <c r="CQ174" s="800" t="s">
        <v>1942</v>
      </c>
      <c r="CR174" s="800" t="s">
        <v>1942</v>
      </c>
      <c r="CS174" s="800" t="s">
        <v>1942</v>
      </c>
      <c r="CT174" s="805" t="s">
        <v>1942</v>
      </c>
      <c r="CU174" s="1284" t="s">
        <v>1942</v>
      </c>
      <c r="CV174" s="1283" t="s">
        <v>1942</v>
      </c>
      <c r="CW174" s="1283" t="s">
        <v>1942</v>
      </c>
      <c r="CX174" s="1285" t="s">
        <v>1942</v>
      </c>
      <c r="CY174" s="1283" t="s">
        <v>1942</v>
      </c>
      <c r="CZ174" s="1283" t="s">
        <v>1942</v>
      </c>
      <c r="DA174" s="1283" t="s">
        <v>1942</v>
      </c>
      <c r="DB174" s="1285" t="s">
        <v>1942</v>
      </c>
      <c r="DC174" s="785"/>
      <c r="DD174" s="813"/>
      <c r="DE174" s="814"/>
    </row>
    <row r="175" spans="1:109" ht="15.75" hidden="1" customHeight="1">
      <c r="A175" s="772" t="s">
        <v>1032</v>
      </c>
      <c r="B175" s="773">
        <v>169</v>
      </c>
      <c r="C175" s="789" t="s">
        <v>2650</v>
      </c>
      <c r="D175" s="773" t="s">
        <v>2539</v>
      </c>
      <c r="E175" s="773" t="s">
        <v>1907</v>
      </c>
      <c r="F175" s="785" t="s">
        <v>2651</v>
      </c>
      <c r="G175" s="790" t="s">
        <v>2652</v>
      </c>
      <c r="H175" s="791" t="s">
        <v>2653</v>
      </c>
      <c r="I175" s="792"/>
      <c r="J175" s="793"/>
      <c r="K175" s="793"/>
      <c r="L175" s="793"/>
      <c r="M175" s="793">
        <v>1</v>
      </c>
      <c r="N175" s="793"/>
      <c r="O175" s="793"/>
      <c r="P175" s="794"/>
      <c r="Q175" s="795">
        <f t="shared" si="2"/>
        <v>1</v>
      </c>
      <c r="R175" s="789" t="s">
        <v>1007</v>
      </c>
      <c r="S175" s="773" t="s">
        <v>1942</v>
      </c>
      <c r="T175" s="796" t="s">
        <v>1942</v>
      </c>
      <c r="U175" s="773" t="s">
        <v>2400</v>
      </c>
      <c r="V175" s="773" t="s">
        <v>278</v>
      </c>
      <c r="W175" s="773" t="s">
        <v>2654</v>
      </c>
      <c r="X175" s="829">
        <v>1</v>
      </c>
      <c r="Y175" s="819" t="s">
        <v>1010</v>
      </c>
      <c r="Z175" s="790" t="s">
        <v>1942</v>
      </c>
      <c r="AA175" s="785"/>
      <c r="AB175" s="785"/>
      <c r="AC175" s="785"/>
      <c r="AD175" s="785"/>
      <c r="AE175" s="785"/>
      <c r="AF175" s="799"/>
      <c r="AG175" s="800"/>
      <c r="AH175" s="800"/>
      <c r="AI175" s="800"/>
      <c r="AJ175" s="800"/>
      <c r="AK175" s="800"/>
      <c r="AL175" s="800"/>
      <c r="AM175" s="800"/>
      <c r="AN175" s="800"/>
      <c r="AO175" s="816"/>
      <c r="AP175" s="816"/>
      <c r="AQ175" s="817">
        <v>39</v>
      </c>
      <c r="AR175" s="816">
        <v>52</v>
      </c>
      <c r="AS175" s="816">
        <v>65</v>
      </c>
      <c r="AT175" s="816">
        <v>65</v>
      </c>
      <c r="AU175" s="818">
        <v>65</v>
      </c>
      <c r="AV175" s="817"/>
      <c r="AW175" s="816"/>
      <c r="AX175" s="816"/>
      <c r="AY175" s="816"/>
      <c r="AZ175" s="816"/>
      <c r="BA175" s="816"/>
      <c r="BB175" s="816"/>
      <c r="BC175" s="816"/>
      <c r="BD175" s="816"/>
      <c r="BE175" s="816"/>
      <c r="BF175" s="800"/>
      <c r="BG175" s="800"/>
      <c r="BH175" s="800"/>
      <c r="BI175" s="800"/>
      <c r="BJ175" s="800"/>
      <c r="BK175" s="805"/>
      <c r="BL175" s="789"/>
      <c r="BM175" s="785"/>
      <c r="BN175" s="785"/>
      <c r="BO175" s="785"/>
      <c r="BP175" s="796"/>
      <c r="BQ175" s="808" t="s">
        <v>1942</v>
      </c>
      <c r="BR175" s="800" t="s">
        <v>1942</v>
      </c>
      <c r="BS175" s="800" t="s">
        <v>1942</v>
      </c>
      <c r="BT175" s="800" t="s">
        <v>1942</v>
      </c>
      <c r="BU175" s="805" t="s">
        <v>1942</v>
      </c>
      <c r="BV175" s="808" t="s">
        <v>1942</v>
      </c>
      <c r="BW175" s="800" t="s">
        <v>1942</v>
      </c>
      <c r="BX175" s="800" t="s">
        <v>1942</v>
      </c>
      <c r="BY175" s="800" t="s">
        <v>1942</v>
      </c>
      <c r="BZ175" s="800" t="s">
        <v>1942</v>
      </c>
      <c r="CA175" s="808" t="s">
        <v>1942</v>
      </c>
      <c r="CB175" s="800" t="s">
        <v>1942</v>
      </c>
      <c r="CC175" s="800" t="s">
        <v>1942</v>
      </c>
      <c r="CD175" s="800" t="s">
        <v>1942</v>
      </c>
      <c r="CE175" s="805" t="s">
        <v>1942</v>
      </c>
      <c r="CF175" s="800" t="s">
        <v>1942</v>
      </c>
      <c r="CG175" s="800" t="s">
        <v>1942</v>
      </c>
      <c r="CH175" s="800" t="s">
        <v>1942</v>
      </c>
      <c r="CI175" s="800" t="s">
        <v>1942</v>
      </c>
      <c r="CJ175" s="805" t="s">
        <v>1942</v>
      </c>
      <c r="CK175" s="808" t="s">
        <v>1942</v>
      </c>
      <c r="CL175" s="800" t="s">
        <v>1942</v>
      </c>
      <c r="CM175" s="800" t="s">
        <v>1942</v>
      </c>
      <c r="CN175" s="800" t="s">
        <v>1942</v>
      </c>
      <c r="CO175" s="805" t="s">
        <v>1942</v>
      </c>
      <c r="CP175" s="808" t="s">
        <v>1942</v>
      </c>
      <c r="CQ175" s="800" t="s">
        <v>1942</v>
      </c>
      <c r="CR175" s="800" t="s">
        <v>1942</v>
      </c>
      <c r="CS175" s="800" t="s">
        <v>1942</v>
      </c>
      <c r="CT175" s="805" t="s">
        <v>1942</v>
      </c>
      <c r="CU175" s="1284" t="s">
        <v>1942</v>
      </c>
      <c r="CV175" s="1283" t="s">
        <v>1942</v>
      </c>
      <c r="CW175" s="1283" t="s">
        <v>1942</v>
      </c>
      <c r="CX175" s="1285" t="s">
        <v>1942</v>
      </c>
      <c r="CY175" s="1283" t="s">
        <v>1942</v>
      </c>
      <c r="CZ175" s="1283" t="s">
        <v>1942</v>
      </c>
      <c r="DA175" s="1283" t="s">
        <v>1942</v>
      </c>
      <c r="DB175" s="1285" t="s">
        <v>1942</v>
      </c>
      <c r="DC175" s="785"/>
      <c r="DD175" s="813">
        <v>1</v>
      </c>
      <c r="DE175" s="814"/>
    </row>
    <row r="176" spans="1:109" ht="15.75" hidden="1" customHeight="1">
      <c r="A176" s="772" t="s">
        <v>1032</v>
      </c>
      <c r="B176" s="773">
        <v>170</v>
      </c>
      <c r="C176" s="789" t="s">
        <v>2655</v>
      </c>
      <c r="D176" s="773" t="s">
        <v>2539</v>
      </c>
      <c r="E176" s="773" t="s">
        <v>1907</v>
      </c>
      <c r="F176" s="785" t="s">
        <v>2656</v>
      </c>
      <c r="G176" s="790" t="s">
        <v>703</v>
      </c>
      <c r="H176" s="791" t="s">
        <v>2657</v>
      </c>
      <c r="I176" s="792"/>
      <c r="J176" s="793"/>
      <c r="K176" s="793"/>
      <c r="L176" s="793"/>
      <c r="M176" s="793">
        <v>1</v>
      </c>
      <c r="N176" s="793"/>
      <c r="O176" s="793"/>
      <c r="P176" s="794"/>
      <c r="Q176" s="795">
        <f t="shared" si="2"/>
        <v>1</v>
      </c>
      <c r="R176" s="789" t="s">
        <v>1007</v>
      </c>
      <c r="S176" s="773" t="s">
        <v>1942</v>
      </c>
      <c r="T176" s="796" t="s">
        <v>1942</v>
      </c>
      <c r="U176" s="773" t="s">
        <v>2029</v>
      </c>
      <c r="V176" s="773" t="s">
        <v>278</v>
      </c>
      <c r="W176" s="773" t="s">
        <v>2658</v>
      </c>
      <c r="X176" s="829">
        <v>1</v>
      </c>
      <c r="Y176" s="819" t="s">
        <v>1010</v>
      </c>
      <c r="Z176" s="790" t="s">
        <v>703</v>
      </c>
      <c r="AA176" s="785"/>
      <c r="AB176" s="785"/>
      <c r="AC176" s="785"/>
      <c r="AD176" s="785"/>
      <c r="AE176" s="785"/>
      <c r="AF176" s="799"/>
      <c r="AG176" s="800"/>
      <c r="AH176" s="800"/>
      <c r="AI176" s="800"/>
      <c r="AJ176" s="800"/>
      <c r="AK176" s="800"/>
      <c r="AL176" s="800"/>
      <c r="AM176" s="800"/>
      <c r="AN176" s="800"/>
      <c r="AO176" s="800"/>
      <c r="AP176" s="800"/>
      <c r="AQ176" s="1420"/>
      <c r="AR176" s="1730"/>
      <c r="AS176" s="1730"/>
      <c r="AT176" s="1730"/>
      <c r="AU176" s="1527"/>
      <c r="AV176" s="808"/>
      <c r="AW176" s="800"/>
      <c r="AX176" s="800"/>
      <c r="AY176" s="800"/>
      <c r="AZ176" s="800"/>
      <c r="BA176" s="800"/>
      <c r="BB176" s="800"/>
      <c r="BC176" s="800"/>
      <c r="BD176" s="800"/>
      <c r="BE176" s="800"/>
      <c r="BF176" s="800"/>
      <c r="BG176" s="800"/>
      <c r="BH176" s="800"/>
      <c r="BI176" s="800"/>
      <c r="BJ176" s="800"/>
      <c r="BK176" s="805"/>
      <c r="BL176" s="1376"/>
      <c r="BM176" s="1377"/>
      <c r="BN176" s="1377"/>
      <c r="BO176" s="1377"/>
      <c r="BP176" s="1440"/>
      <c r="BQ176" s="1420"/>
      <c r="BR176" s="1368"/>
      <c r="BS176" s="1368"/>
      <c r="BT176" s="1368"/>
      <c r="BU176" s="1369"/>
      <c r="BV176" s="1420"/>
      <c r="BW176" s="1368"/>
      <c r="BX176" s="1368"/>
      <c r="BY176" s="1368"/>
      <c r="BZ176" s="1368"/>
      <c r="CA176" s="1420"/>
      <c r="CB176" s="1368"/>
      <c r="CC176" s="1368"/>
      <c r="CD176" s="1368"/>
      <c r="CE176" s="1369"/>
      <c r="CF176" s="1368"/>
      <c r="CG176" s="1368"/>
      <c r="CH176" s="1368"/>
      <c r="CI176" s="1368"/>
      <c r="CJ176" s="1369"/>
      <c r="CK176" s="1420"/>
      <c r="CL176" s="1368"/>
      <c r="CM176" s="1368"/>
      <c r="CN176" s="1368"/>
      <c r="CO176" s="1369"/>
      <c r="CP176" s="1420"/>
      <c r="CQ176" s="1368"/>
      <c r="CR176" s="1368"/>
      <c r="CS176" s="1368"/>
      <c r="CT176" s="1369"/>
      <c r="CU176" s="1528"/>
      <c r="CV176" s="1519"/>
      <c r="CW176" s="1519"/>
      <c r="CX176" s="1728"/>
      <c r="CY176" s="1519"/>
      <c r="CZ176" s="1519"/>
      <c r="DA176" s="1519"/>
      <c r="DB176" s="1728"/>
      <c r="DC176" s="1377"/>
      <c r="DD176" s="1729"/>
      <c r="DE176" s="1734"/>
    </row>
    <row r="177" spans="1:109" ht="15.75" hidden="1" customHeight="1">
      <c r="A177" s="772" t="s">
        <v>1032</v>
      </c>
      <c r="B177" s="773">
        <v>171</v>
      </c>
      <c r="C177" s="789" t="s">
        <v>2659</v>
      </c>
      <c r="D177" s="773" t="s">
        <v>2539</v>
      </c>
      <c r="E177" s="773" t="s">
        <v>1907</v>
      </c>
      <c r="F177" s="785" t="s">
        <v>2660</v>
      </c>
      <c r="G177" s="790" t="s">
        <v>2661</v>
      </c>
      <c r="H177" s="791" t="s">
        <v>2662</v>
      </c>
      <c r="I177" s="792"/>
      <c r="J177" s="793"/>
      <c r="K177" s="793"/>
      <c r="L177" s="793"/>
      <c r="M177" s="793">
        <v>1</v>
      </c>
      <c r="N177" s="793"/>
      <c r="O177" s="793"/>
      <c r="P177" s="794"/>
      <c r="Q177" s="795">
        <f t="shared" si="2"/>
        <v>1</v>
      </c>
      <c r="R177" s="789" t="s">
        <v>1007</v>
      </c>
      <c r="S177" s="773" t="s">
        <v>1942</v>
      </c>
      <c r="T177" s="796" t="s">
        <v>1942</v>
      </c>
      <c r="U177" s="773" t="s">
        <v>2400</v>
      </c>
      <c r="V177" s="773" t="s">
        <v>1072</v>
      </c>
      <c r="W177" s="773" t="s">
        <v>2663</v>
      </c>
      <c r="X177" s="829">
        <v>0</v>
      </c>
      <c r="Y177" s="819" t="s">
        <v>1942</v>
      </c>
      <c r="Z177" s="790" t="s">
        <v>1942</v>
      </c>
      <c r="AA177" s="785"/>
      <c r="AB177" s="785"/>
      <c r="AC177" s="785"/>
      <c r="AD177" s="785"/>
      <c r="AE177" s="785"/>
      <c r="AF177" s="799"/>
      <c r="AG177" s="800"/>
      <c r="AH177" s="800"/>
      <c r="AI177" s="800"/>
      <c r="AJ177" s="800"/>
      <c r="AK177" s="800"/>
      <c r="AL177" s="800"/>
      <c r="AM177" s="800"/>
      <c r="AN177" s="800"/>
      <c r="AO177" s="800"/>
      <c r="AP177" s="800"/>
      <c r="AQ177" s="808" t="s">
        <v>2012</v>
      </c>
      <c r="AR177" s="800" t="s">
        <v>2012</v>
      </c>
      <c r="AS177" s="800" t="s">
        <v>2012</v>
      </c>
      <c r="AT177" s="800" t="s">
        <v>2012</v>
      </c>
      <c r="AU177" s="805" t="s">
        <v>2012</v>
      </c>
      <c r="AV177" s="808"/>
      <c r="AW177" s="800"/>
      <c r="AX177" s="800"/>
      <c r="AY177" s="800"/>
      <c r="AZ177" s="800"/>
      <c r="BA177" s="800"/>
      <c r="BB177" s="800"/>
      <c r="BC177" s="800"/>
      <c r="BD177" s="800"/>
      <c r="BE177" s="800"/>
      <c r="BF177" s="800"/>
      <c r="BG177" s="800"/>
      <c r="BH177" s="800"/>
      <c r="BI177" s="800"/>
      <c r="BJ177" s="800"/>
      <c r="BK177" s="805"/>
      <c r="BL177" s="789"/>
      <c r="BM177" s="785"/>
      <c r="BN177" s="785"/>
      <c r="BO177" s="785"/>
      <c r="BP177" s="796"/>
      <c r="BQ177" s="808" t="s">
        <v>1942</v>
      </c>
      <c r="BR177" s="800" t="s">
        <v>1942</v>
      </c>
      <c r="BS177" s="800" t="s">
        <v>1942</v>
      </c>
      <c r="BT177" s="800" t="s">
        <v>1942</v>
      </c>
      <c r="BU177" s="805" t="s">
        <v>1942</v>
      </c>
      <c r="BV177" s="808" t="s">
        <v>1942</v>
      </c>
      <c r="BW177" s="800" t="s">
        <v>1942</v>
      </c>
      <c r="BX177" s="800" t="s">
        <v>1942</v>
      </c>
      <c r="BY177" s="800" t="s">
        <v>1942</v>
      </c>
      <c r="BZ177" s="800" t="s">
        <v>1942</v>
      </c>
      <c r="CA177" s="808" t="s">
        <v>1942</v>
      </c>
      <c r="CB177" s="800" t="s">
        <v>1942</v>
      </c>
      <c r="CC177" s="800" t="s">
        <v>1942</v>
      </c>
      <c r="CD177" s="800" t="s">
        <v>1942</v>
      </c>
      <c r="CE177" s="805" t="s">
        <v>1942</v>
      </c>
      <c r="CF177" s="800" t="s">
        <v>1942</v>
      </c>
      <c r="CG177" s="800" t="s">
        <v>1942</v>
      </c>
      <c r="CH177" s="800" t="s">
        <v>1942</v>
      </c>
      <c r="CI177" s="800" t="s">
        <v>1942</v>
      </c>
      <c r="CJ177" s="805" t="s">
        <v>1942</v>
      </c>
      <c r="CK177" s="808" t="s">
        <v>1942</v>
      </c>
      <c r="CL177" s="800" t="s">
        <v>1942</v>
      </c>
      <c r="CM177" s="800" t="s">
        <v>1942</v>
      </c>
      <c r="CN177" s="800" t="s">
        <v>1942</v>
      </c>
      <c r="CO177" s="805" t="s">
        <v>1942</v>
      </c>
      <c r="CP177" s="808" t="s">
        <v>1942</v>
      </c>
      <c r="CQ177" s="800" t="s">
        <v>1942</v>
      </c>
      <c r="CR177" s="800" t="s">
        <v>1942</v>
      </c>
      <c r="CS177" s="800" t="s">
        <v>1942</v>
      </c>
      <c r="CT177" s="805" t="s">
        <v>1942</v>
      </c>
      <c r="CU177" s="1284" t="s">
        <v>1942</v>
      </c>
      <c r="CV177" s="1283" t="s">
        <v>1942</v>
      </c>
      <c r="CW177" s="1283" t="s">
        <v>1942</v>
      </c>
      <c r="CX177" s="1285" t="s">
        <v>1942</v>
      </c>
      <c r="CY177" s="1283" t="s">
        <v>1942</v>
      </c>
      <c r="CZ177" s="1283" t="s">
        <v>1942</v>
      </c>
      <c r="DA177" s="1283" t="s">
        <v>1942</v>
      </c>
      <c r="DB177" s="1285" t="s">
        <v>1942</v>
      </c>
      <c r="DC177" s="785"/>
      <c r="DD177" s="813">
        <v>1</v>
      </c>
      <c r="DE177" s="814"/>
    </row>
    <row r="178" spans="1:109" ht="15.75" hidden="1" customHeight="1">
      <c r="A178" s="772" t="s">
        <v>1032</v>
      </c>
      <c r="B178" s="773">
        <v>172</v>
      </c>
      <c r="C178" s="789" t="s">
        <v>2664</v>
      </c>
      <c r="D178" s="773" t="s">
        <v>2512</v>
      </c>
      <c r="E178" s="773" t="s">
        <v>1907</v>
      </c>
      <c r="F178" s="785" t="s">
        <v>2665</v>
      </c>
      <c r="G178" s="790" t="s">
        <v>2666</v>
      </c>
      <c r="H178" s="791" t="s">
        <v>2667</v>
      </c>
      <c r="I178" s="792"/>
      <c r="J178" s="793">
        <v>1</v>
      </c>
      <c r="K178" s="793"/>
      <c r="L178" s="793"/>
      <c r="M178" s="793"/>
      <c r="N178" s="793"/>
      <c r="O178" s="793"/>
      <c r="P178" s="794"/>
      <c r="Q178" s="795">
        <f t="shared" si="2"/>
        <v>1</v>
      </c>
      <c r="R178" s="789" t="s">
        <v>1026</v>
      </c>
      <c r="S178" s="773" t="s">
        <v>1008</v>
      </c>
      <c r="T178" s="796" t="s">
        <v>1019</v>
      </c>
      <c r="U178" s="773" t="s">
        <v>1910</v>
      </c>
      <c r="V178" s="773" t="s">
        <v>278</v>
      </c>
      <c r="W178" s="773" t="s">
        <v>2668</v>
      </c>
      <c r="X178" s="829">
        <v>1</v>
      </c>
      <c r="Y178" s="822" t="s">
        <v>1010</v>
      </c>
      <c r="Z178" s="790" t="s">
        <v>1942</v>
      </c>
      <c r="AA178" s="785"/>
      <c r="AB178" s="785"/>
      <c r="AC178" s="785"/>
      <c r="AD178" s="785"/>
      <c r="AE178" s="785"/>
      <c r="AF178" s="799"/>
      <c r="AG178" s="800"/>
      <c r="AH178" s="800"/>
      <c r="AI178" s="800"/>
      <c r="AJ178" s="800"/>
      <c r="AK178" s="800"/>
      <c r="AL178" s="800"/>
      <c r="AM178" s="800"/>
      <c r="AN178" s="800"/>
      <c r="AO178" s="800"/>
      <c r="AP178" s="800"/>
      <c r="AQ178" s="817">
        <v>0</v>
      </c>
      <c r="AR178" s="816">
        <v>0</v>
      </c>
      <c r="AS178" s="816">
        <v>0</v>
      </c>
      <c r="AT178" s="816">
        <v>0</v>
      </c>
      <c r="AU178" s="818">
        <v>100</v>
      </c>
      <c r="AV178" s="808"/>
      <c r="AW178" s="800"/>
      <c r="AX178" s="800"/>
      <c r="AY178" s="800"/>
      <c r="AZ178" s="800"/>
      <c r="BA178" s="800"/>
      <c r="BB178" s="800"/>
      <c r="BC178" s="800"/>
      <c r="BD178" s="800"/>
      <c r="BE178" s="800"/>
      <c r="BF178" s="800"/>
      <c r="BG178" s="800"/>
      <c r="BH178" s="800"/>
      <c r="BI178" s="800"/>
      <c r="BJ178" s="800"/>
      <c r="BK178" s="805"/>
      <c r="BL178" s="789"/>
      <c r="BM178" s="785"/>
      <c r="BN178" s="785"/>
      <c r="BO178" s="785"/>
      <c r="BP178" s="796" t="s">
        <v>168</v>
      </c>
      <c r="BQ178" s="808" t="s">
        <v>1942</v>
      </c>
      <c r="BR178" s="800" t="s">
        <v>1942</v>
      </c>
      <c r="BS178" s="800" t="s">
        <v>1942</v>
      </c>
      <c r="BT178" s="800" t="s">
        <v>1942</v>
      </c>
      <c r="BU178" s="805" t="s">
        <v>1942</v>
      </c>
      <c r="BV178" s="808" t="s">
        <v>1942</v>
      </c>
      <c r="BW178" s="800" t="s">
        <v>1942</v>
      </c>
      <c r="BX178" s="800" t="s">
        <v>1942</v>
      </c>
      <c r="BY178" s="800" t="s">
        <v>1942</v>
      </c>
      <c r="BZ178" s="800" t="s">
        <v>1942</v>
      </c>
      <c r="CA178" s="808" t="s">
        <v>1942</v>
      </c>
      <c r="CB178" s="800" t="s">
        <v>1942</v>
      </c>
      <c r="CC178" s="800" t="s">
        <v>1942</v>
      </c>
      <c r="CD178" s="800" t="s">
        <v>1942</v>
      </c>
      <c r="CE178" s="805" t="s">
        <v>1942</v>
      </c>
      <c r="CF178" s="800" t="s">
        <v>1942</v>
      </c>
      <c r="CG178" s="800" t="s">
        <v>1942</v>
      </c>
      <c r="CH178" s="800" t="s">
        <v>1942</v>
      </c>
      <c r="CI178" s="800" t="s">
        <v>1942</v>
      </c>
      <c r="CJ178" s="805" t="s">
        <v>1942</v>
      </c>
      <c r="CK178" s="808" t="s">
        <v>1942</v>
      </c>
      <c r="CL178" s="800" t="s">
        <v>1942</v>
      </c>
      <c r="CM178" s="800" t="s">
        <v>1942</v>
      </c>
      <c r="CN178" s="800" t="s">
        <v>1942</v>
      </c>
      <c r="CO178" s="805" t="s">
        <v>1942</v>
      </c>
      <c r="CP178" s="808" t="s">
        <v>1942</v>
      </c>
      <c r="CQ178" s="800" t="s">
        <v>1942</v>
      </c>
      <c r="CR178" s="800" t="s">
        <v>1942</v>
      </c>
      <c r="CS178" s="800" t="s">
        <v>1942</v>
      </c>
      <c r="CT178" s="805" t="s">
        <v>1942</v>
      </c>
      <c r="CU178" s="1288">
        <v>-0.36899999999999999</v>
      </c>
      <c r="CV178" s="1283" t="s">
        <v>1942</v>
      </c>
      <c r="CW178" s="1283" t="s">
        <v>1942</v>
      </c>
      <c r="CX178" s="1285" t="s">
        <v>1942</v>
      </c>
      <c r="CY178" s="1283" t="s">
        <v>1942</v>
      </c>
      <c r="CZ178" s="1283" t="s">
        <v>1942</v>
      </c>
      <c r="DA178" s="1283" t="s">
        <v>1942</v>
      </c>
      <c r="DB178" s="1285" t="s">
        <v>1942</v>
      </c>
      <c r="DC178" s="785" t="s">
        <v>131</v>
      </c>
      <c r="DD178" s="813">
        <v>1</v>
      </c>
      <c r="DE178" s="814"/>
    </row>
    <row r="179" spans="1:109" ht="15.75" hidden="1" customHeight="1">
      <c r="A179" s="772" t="s">
        <v>1032</v>
      </c>
      <c r="B179" s="773">
        <v>173</v>
      </c>
      <c r="C179" s="789" t="s">
        <v>2669</v>
      </c>
      <c r="D179" s="773" t="s">
        <v>2481</v>
      </c>
      <c r="E179" s="773" t="s">
        <v>1907</v>
      </c>
      <c r="F179" s="785" t="s">
        <v>2670</v>
      </c>
      <c r="G179" s="790" t="s">
        <v>2671</v>
      </c>
      <c r="H179" s="791" t="s">
        <v>2672</v>
      </c>
      <c r="I179" s="792"/>
      <c r="J179" s="793">
        <v>1</v>
      </c>
      <c r="K179" s="793"/>
      <c r="L179" s="793"/>
      <c r="M179" s="793"/>
      <c r="N179" s="793"/>
      <c r="O179" s="793"/>
      <c r="P179" s="794"/>
      <c r="Q179" s="795">
        <f t="shared" si="2"/>
        <v>1</v>
      </c>
      <c r="R179" s="789" t="s">
        <v>1026</v>
      </c>
      <c r="S179" s="773" t="s">
        <v>1008</v>
      </c>
      <c r="T179" s="796" t="s">
        <v>1019</v>
      </c>
      <c r="U179" s="773" t="s">
        <v>1926</v>
      </c>
      <c r="V179" s="773" t="s">
        <v>278</v>
      </c>
      <c r="W179" s="773" t="s">
        <v>2668</v>
      </c>
      <c r="X179" s="829">
        <v>1</v>
      </c>
      <c r="Y179" s="822" t="s">
        <v>1010</v>
      </c>
      <c r="Z179" s="790" t="s">
        <v>1942</v>
      </c>
      <c r="AA179" s="785"/>
      <c r="AB179" s="785"/>
      <c r="AC179" s="785"/>
      <c r="AD179" s="785"/>
      <c r="AE179" s="785"/>
      <c r="AF179" s="799"/>
      <c r="AG179" s="800"/>
      <c r="AH179" s="800"/>
      <c r="AI179" s="800"/>
      <c r="AJ179" s="800"/>
      <c r="AK179" s="800"/>
      <c r="AL179" s="800"/>
      <c r="AM179" s="800"/>
      <c r="AN179" s="800"/>
      <c r="AO179" s="800"/>
      <c r="AP179" s="800"/>
      <c r="AQ179" s="808">
        <v>15.1</v>
      </c>
      <c r="AR179" s="800">
        <v>36.4</v>
      </c>
      <c r="AS179" s="800">
        <v>57.6</v>
      </c>
      <c r="AT179" s="800">
        <v>78.8</v>
      </c>
      <c r="AU179" s="805">
        <v>100</v>
      </c>
      <c r="AV179" s="808"/>
      <c r="AW179" s="800"/>
      <c r="AX179" s="800"/>
      <c r="AY179" s="800"/>
      <c r="AZ179" s="800"/>
      <c r="BA179" s="800"/>
      <c r="BB179" s="800"/>
      <c r="BC179" s="800"/>
      <c r="BD179" s="800"/>
      <c r="BE179" s="800"/>
      <c r="BF179" s="800"/>
      <c r="BG179" s="800"/>
      <c r="BH179" s="800"/>
      <c r="BI179" s="800"/>
      <c r="BJ179" s="800"/>
      <c r="BK179" s="805"/>
      <c r="BL179" s="789"/>
      <c r="BM179" s="785"/>
      <c r="BN179" s="785"/>
      <c r="BO179" s="785"/>
      <c r="BP179" s="796" t="s">
        <v>168</v>
      </c>
      <c r="BQ179" s="808" t="s">
        <v>1942</v>
      </c>
      <c r="BR179" s="800" t="s">
        <v>1942</v>
      </c>
      <c r="BS179" s="800" t="s">
        <v>1942</v>
      </c>
      <c r="BT179" s="800" t="s">
        <v>1942</v>
      </c>
      <c r="BU179" s="805" t="s">
        <v>1942</v>
      </c>
      <c r="BV179" s="808" t="s">
        <v>1942</v>
      </c>
      <c r="BW179" s="800" t="s">
        <v>1942</v>
      </c>
      <c r="BX179" s="800" t="s">
        <v>1942</v>
      </c>
      <c r="BY179" s="800" t="s">
        <v>1942</v>
      </c>
      <c r="BZ179" s="800" t="s">
        <v>1942</v>
      </c>
      <c r="CA179" s="808" t="s">
        <v>1942</v>
      </c>
      <c r="CB179" s="800" t="s">
        <v>1942</v>
      </c>
      <c r="CC179" s="800" t="s">
        <v>1942</v>
      </c>
      <c r="CD179" s="800" t="s">
        <v>1942</v>
      </c>
      <c r="CE179" s="805" t="s">
        <v>1942</v>
      </c>
      <c r="CF179" s="800" t="s">
        <v>1942</v>
      </c>
      <c r="CG179" s="800" t="s">
        <v>1942</v>
      </c>
      <c r="CH179" s="800" t="s">
        <v>1942</v>
      </c>
      <c r="CI179" s="800" t="s">
        <v>1942</v>
      </c>
      <c r="CJ179" s="805" t="s">
        <v>1942</v>
      </c>
      <c r="CK179" s="808" t="s">
        <v>1942</v>
      </c>
      <c r="CL179" s="800" t="s">
        <v>1942</v>
      </c>
      <c r="CM179" s="800" t="s">
        <v>1942</v>
      </c>
      <c r="CN179" s="800" t="s">
        <v>1942</v>
      </c>
      <c r="CO179" s="805" t="s">
        <v>1942</v>
      </c>
      <c r="CP179" s="808" t="s">
        <v>1942</v>
      </c>
      <c r="CQ179" s="800" t="s">
        <v>1942</v>
      </c>
      <c r="CR179" s="800" t="s">
        <v>1942</v>
      </c>
      <c r="CS179" s="800" t="s">
        <v>1942</v>
      </c>
      <c r="CT179" s="805" t="s">
        <v>1942</v>
      </c>
      <c r="CU179" s="1288">
        <v>-4.6199999999999998E-2</v>
      </c>
      <c r="CV179" s="1283" t="s">
        <v>1942</v>
      </c>
      <c r="CW179" s="1283" t="s">
        <v>1942</v>
      </c>
      <c r="CX179" s="1285" t="s">
        <v>1942</v>
      </c>
      <c r="CY179" s="1283" t="s">
        <v>1942</v>
      </c>
      <c r="CZ179" s="1283" t="s">
        <v>1942</v>
      </c>
      <c r="DA179" s="1283" t="s">
        <v>1942</v>
      </c>
      <c r="DB179" s="1285" t="s">
        <v>1942</v>
      </c>
      <c r="DC179" s="785" t="s">
        <v>131</v>
      </c>
      <c r="DD179" s="813">
        <v>1</v>
      </c>
      <c r="DE179" s="814"/>
    </row>
    <row r="180" spans="1:109" ht="15.75" hidden="1" customHeight="1">
      <c r="A180" s="772" t="s">
        <v>1032</v>
      </c>
      <c r="B180" s="773">
        <v>174</v>
      </c>
      <c r="C180" s="789" t="s">
        <v>2673</v>
      </c>
      <c r="D180" s="773" t="s">
        <v>2539</v>
      </c>
      <c r="E180" s="773" t="s">
        <v>1907</v>
      </c>
      <c r="F180" s="785" t="s">
        <v>2674</v>
      </c>
      <c r="G180" s="790" t="s">
        <v>2675</v>
      </c>
      <c r="H180" s="791" t="s">
        <v>2676</v>
      </c>
      <c r="I180" s="792"/>
      <c r="J180" s="793">
        <v>1</v>
      </c>
      <c r="K180" s="793"/>
      <c r="L180" s="793"/>
      <c r="M180" s="793"/>
      <c r="N180" s="793"/>
      <c r="O180" s="793"/>
      <c r="P180" s="794"/>
      <c r="Q180" s="795">
        <f t="shared" si="2"/>
        <v>1</v>
      </c>
      <c r="R180" s="789" t="s">
        <v>1026</v>
      </c>
      <c r="S180" s="773" t="s">
        <v>1008</v>
      </c>
      <c r="T180" s="796" t="s">
        <v>1019</v>
      </c>
      <c r="U180" s="773" t="s">
        <v>2677</v>
      </c>
      <c r="V180" s="773" t="s">
        <v>278</v>
      </c>
      <c r="W180" s="773" t="s">
        <v>2668</v>
      </c>
      <c r="X180" s="829">
        <v>1</v>
      </c>
      <c r="Y180" s="822" t="s">
        <v>1010</v>
      </c>
      <c r="Z180" s="790" t="s">
        <v>1942</v>
      </c>
      <c r="AA180" s="785"/>
      <c r="AB180" s="785"/>
      <c r="AC180" s="785"/>
      <c r="AD180" s="785"/>
      <c r="AE180" s="785"/>
      <c r="AF180" s="799"/>
      <c r="AG180" s="800"/>
      <c r="AH180" s="800"/>
      <c r="AI180" s="800"/>
      <c r="AJ180" s="800"/>
      <c r="AK180" s="800"/>
      <c r="AL180" s="800"/>
      <c r="AM180" s="800"/>
      <c r="AN180" s="800"/>
      <c r="AO180" s="800"/>
      <c r="AP180" s="800"/>
      <c r="AQ180" s="808">
        <v>20.399999999999999</v>
      </c>
      <c r="AR180" s="800">
        <v>40.6</v>
      </c>
      <c r="AS180" s="800">
        <v>60.6</v>
      </c>
      <c r="AT180" s="800">
        <v>80.400000000000006</v>
      </c>
      <c r="AU180" s="805">
        <v>100</v>
      </c>
      <c r="AV180" s="808"/>
      <c r="AW180" s="800"/>
      <c r="AX180" s="800"/>
      <c r="AY180" s="800"/>
      <c r="AZ180" s="800"/>
      <c r="BA180" s="800"/>
      <c r="BB180" s="800"/>
      <c r="BC180" s="800"/>
      <c r="BD180" s="800"/>
      <c r="BE180" s="800"/>
      <c r="BF180" s="800"/>
      <c r="BG180" s="800"/>
      <c r="BH180" s="800"/>
      <c r="BI180" s="800"/>
      <c r="BJ180" s="800"/>
      <c r="BK180" s="805"/>
      <c r="BL180" s="789"/>
      <c r="BM180" s="785"/>
      <c r="BN180" s="785"/>
      <c r="BO180" s="785"/>
      <c r="BP180" s="796" t="s">
        <v>168</v>
      </c>
      <c r="BQ180" s="808" t="s">
        <v>1942</v>
      </c>
      <c r="BR180" s="800" t="s">
        <v>1942</v>
      </c>
      <c r="BS180" s="800" t="s">
        <v>1942</v>
      </c>
      <c r="BT180" s="800" t="s">
        <v>1942</v>
      </c>
      <c r="BU180" s="805" t="s">
        <v>1942</v>
      </c>
      <c r="BV180" s="808" t="s">
        <v>1942</v>
      </c>
      <c r="BW180" s="800" t="s">
        <v>1942</v>
      </c>
      <c r="BX180" s="800" t="s">
        <v>1942</v>
      </c>
      <c r="BY180" s="800" t="s">
        <v>1942</v>
      </c>
      <c r="BZ180" s="800" t="s">
        <v>1942</v>
      </c>
      <c r="CA180" s="808" t="s">
        <v>1942</v>
      </c>
      <c r="CB180" s="800" t="s">
        <v>1942</v>
      </c>
      <c r="CC180" s="800" t="s">
        <v>1942</v>
      </c>
      <c r="CD180" s="800" t="s">
        <v>1942</v>
      </c>
      <c r="CE180" s="805" t="s">
        <v>1942</v>
      </c>
      <c r="CF180" s="800" t="s">
        <v>1942</v>
      </c>
      <c r="CG180" s="800" t="s">
        <v>1942</v>
      </c>
      <c r="CH180" s="800" t="s">
        <v>1942</v>
      </c>
      <c r="CI180" s="800" t="s">
        <v>1942</v>
      </c>
      <c r="CJ180" s="805" t="s">
        <v>1942</v>
      </c>
      <c r="CK180" s="808" t="s">
        <v>1942</v>
      </c>
      <c r="CL180" s="800" t="s">
        <v>1942</v>
      </c>
      <c r="CM180" s="800" t="s">
        <v>1942</v>
      </c>
      <c r="CN180" s="800" t="s">
        <v>1942</v>
      </c>
      <c r="CO180" s="805" t="s">
        <v>1942</v>
      </c>
      <c r="CP180" s="808" t="s">
        <v>1942</v>
      </c>
      <c r="CQ180" s="800" t="s">
        <v>1942</v>
      </c>
      <c r="CR180" s="800" t="s">
        <v>1942</v>
      </c>
      <c r="CS180" s="800" t="s">
        <v>1942</v>
      </c>
      <c r="CT180" s="805" t="s">
        <v>1942</v>
      </c>
      <c r="CU180" s="1288">
        <v>-0.19400000000000001</v>
      </c>
      <c r="CV180" s="1283" t="s">
        <v>1942</v>
      </c>
      <c r="CW180" s="1283" t="s">
        <v>1942</v>
      </c>
      <c r="CX180" s="1285" t="s">
        <v>1942</v>
      </c>
      <c r="CY180" s="1283" t="s">
        <v>1942</v>
      </c>
      <c r="CZ180" s="1283" t="s">
        <v>1942</v>
      </c>
      <c r="DA180" s="1283" t="s">
        <v>1942</v>
      </c>
      <c r="DB180" s="1285" t="s">
        <v>1942</v>
      </c>
      <c r="DC180" s="785" t="s">
        <v>131</v>
      </c>
      <c r="DD180" s="813">
        <v>1</v>
      </c>
      <c r="DE180" s="814"/>
    </row>
    <row r="181" spans="1:109" ht="15.75" hidden="1" customHeight="1">
      <c r="A181" s="772" t="s">
        <v>1032</v>
      </c>
      <c r="B181" s="773">
        <v>175</v>
      </c>
      <c r="C181" s="789" t="s">
        <v>2678</v>
      </c>
      <c r="D181" s="773" t="s">
        <v>2512</v>
      </c>
      <c r="E181" s="773" t="s">
        <v>1907</v>
      </c>
      <c r="F181" s="785" t="s">
        <v>2679</v>
      </c>
      <c r="G181" s="790" t="s">
        <v>2680</v>
      </c>
      <c r="H181" s="791" t="s">
        <v>2681</v>
      </c>
      <c r="I181" s="792"/>
      <c r="J181" s="793"/>
      <c r="K181" s="793">
        <v>1</v>
      </c>
      <c r="L181" s="793"/>
      <c r="M181" s="793"/>
      <c r="N181" s="793"/>
      <c r="O181" s="793"/>
      <c r="P181" s="794"/>
      <c r="Q181" s="795">
        <f t="shared" si="2"/>
        <v>1</v>
      </c>
      <c r="R181" s="789" t="s">
        <v>1026</v>
      </c>
      <c r="S181" s="773" t="s">
        <v>1008</v>
      </c>
      <c r="T181" s="796" t="s">
        <v>1019</v>
      </c>
      <c r="U181" s="773" t="s">
        <v>1910</v>
      </c>
      <c r="V181" s="1522" t="s">
        <v>1033</v>
      </c>
      <c r="W181" s="773" t="s">
        <v>2682</v>
      </c>
      <c r="X181" s="829">
        <v>0</v>
      </c>
      <c r="Y181" s="1954" t="s">
        <v>1010</v>
      </c>
      <c r="Z181" s="790" t="s">
        <v>1942</v>
      </c>
      <c r="AA181" s="785"/>
      <c r="AB181" s="785"/>
      <c r="AC181" s="785"/>
      <c r="AD181" s="785"/>
      <c r="AE181" s="785"/>
      <c r="AF181" s="799"/>
      <c r="AG181" s="800"/>
      <c r="AH181" s="800"/>
      <c r="AI181" s="800"/>
      <c r="AJ181" s="800"/>
      <c r="AK181" s="800"/>
      <c r="AL181" s="800"/>
      <c r="AM181" s="800"/>
      <c r="AN181" s="800"/>
      <c r="AO181" s="800"/>
      <c r="AP181" s="800"/>
      <c r="AQ181" s="808">
        <v>0</v>
      </c>
      <c r="AR181" s="800">
        <v>35</v>
      </c>
      <c r="AS181" s="800">
        <v>70</v>
      </c>
      <c r="AT181" s="800">
        <v>105</v>
      </c>
      <c r="AU181" s="805">
        <v>141</v>
      </c>
      <c r="AV181" s="808"/>
      <c r="AW181" s="800"/>
      <c r="AX181" s="800"/>
      <c r="AY181" s="800"/>
      <c r="AZ181" s="800"/>
      <c r="BA181" s="800"/>
      <c r="BB181" s="800"/>
      <c r="BC181" s="800"/>
      <c r="BD181" s="800"/>
      <c r="BE181" s="800"/>
      <c r="BF181" s="800"/>
      <c r="BG181" s="800"/>
      <c r="BH181" s="800"/>
      <c r="BI181" s="800"/>
      <c r="BJ181" s="800"/>
      <c r="BK181" s="805"/>
      <c r="BL181" s="1955" t="s">
        <v>168</v>
      </c>
      <c r="BM181" s="1956" t="s">
        <v>168</v>
      </c>
      <c r="BN181" s="1956" t="s">
        <v>168</v>
      </c>
      <c r="BO181" s="1956" t="s">
        <v>168</v>
      </c>
      <c r="BP181" s="796" t="s">
        <v>168</v>
      </c>
      <c r="BQ181" s="808" t="s">
        <v>1942</v>
      </c>
      <c r="BR181" s="800" t="s">
        <v>1942</v>
      </c>
      <c r="BS181" s="800" t="s">
        <v>1942</v>
      </c>
      <c r="BT181" s="800" t="s">
        <v>1942</v>
      </c>
      <c r="BU181" s="805" t="s">
        <v>1942</v>
      </c>
      <c r="BV181" s="808" t="s">
        <v>1942</v>
      </c>
      <c r="BW181" s="800" t="s">
        <v>1942</v>
      </c>
      <c r="BX181" s="800" t="s">
        <v>1942</v>
      </c>
      <c r="BY181" s="800" t="s">
        <v>1942</v>
      </c>
      <c r="BZ181" s="800" t="s">
        <v>1942</v>
      </c>
      <c r="CA181" s="808" t="s">
        <v>1942</v>
      </c>
      <c r="CB181" s="800" t="s">
        <v>1942</v>
      </c>
      <c r="CC181" s="800" t="s">
        <v>1942</v>
      </c>
      <c r="CD181" s="800" t="s">
        <v>1942</v>
      </c>
      <c r="CE181" s="805" t="s">
        <v>1942</v>
      </c>
      <c r="CF181" s="800" t="s">
        <v>1942</v>
      </c>
      <c r="CG181" s="800" t="s">
        <v>1942</v>
      </c>
      <c r="CH181" s="800" t="s">
        <v>1942</v>
      </c>
      <c r="CI181" s="800" t="s">
        <v>1942</v>
      </c>
      <c r="CJ181" s="805" t="s">
        <v>1942</v>
      </c>
      <c r="CK181" s="808" t="s">
        <v>1942</v>
      </c>
      <c r="CL181" s="800" t="s">
        <v>1942</v>
      </c>
      <c r="CM181" s="800" t="s">
        <v>1942</v>
      </c>
      <c r="CN181" s="800" t="s">
        <v>1942</v>
      </c>
      <c r="CO181" s="805" t="s">
        <v>1942</v>
      </c>
      <c r="CP181" s="808" t="s">
        <v>1942</v>
      </c>
      <c r="CQ181" s="800" t="s">
        <v>1942</v>
      </c>
      <c r="CR181" s="800" t="s">
        <v>1942</v>
      </c>
      <c r="CS181" s="800" t="s">
        <v>1942</v>
      </c>
      <c r="CT181" s="805" t="s">
        <v>1942</v>
      </c>
      <c r="CU181" s="1288">
        <v>-0.127</v>
      </c>
      <c r="CV181" s="1283" t="s">
        <v>1942</v>
      </c>
      <c r="CW181" s="1283" t="s">
        <v>1942</v>
      </c>
      <c r="CX181" s="1285" t="s">
        <v>1942</v>
      </c>
      <c r="CY181" s="1283" t="s">
        <v>1942</v>
      </c>
      <c r="CZ181" s="1283" t="s">
        <v>1942</v>
      </c>
      <c r="DA181" s="1283" t="s">
        <v>1942</v>
      </c>
      <c r="DB181" s="1285" t="s">
        <v>1942</v>
      </c>
      <c r="DC181" s="785" t="s">
        <v>131</v>
      </c>
      <c r="DD181" s="813">
        <v>1</v>
      </c>
      <c r="DE181" s="814"/>
    </row>
    <row r="182" spans="1:109" ht="15.75" hidden="1" customHeight="1">
      <c r="A182" s="772" t="s">
        <v>1032</v>
      </c>
      <c r="B182" s="773">
        <v>176</v>
      </c>
      <c r="C182" s="789" t="s">
        <v>2683</v>
      </c>
      <c r="D182" s="773" t="s">
        <v>2512</v>
      </c>
      <c r="E182" s="773" t="s">
        <v>1907</v>
      </c>
      <c r="F182" s="785" t="s">
        <v>2684</v>
      </c>
      <c r="G182" s="790" t="s">
        <v>2685</v>
      </c>
      <c r="H182" s="791" t="s">
        <v>2686</v>
      </c>
      <c r="I182" s="792"/>
      <c r="J182" s="793">
        <v>0.70399999999999996</v>
      </c>
      <c r="K182" s="793">
        <v>0.29599999999999999</v>
      </c>
      <c r="L182" s="793"/>
      <c r="M182" s="793"/>
      <c r="N182" s="793"/>
      <c r="O182" s="793"/>
      <c r="P182" s="794"/>
      <c r="Q182" s="795">
        <f t="shared" si="2"/>
        <v>1</v>
      </c>
      <c r="R182" s="789" t="s">
        <v>1026</v>
      </c>
      <c r="S182" s="773" t="s">
        <v>1008</v>
      </c>
      <c r="T182" s="796" t="s">
        <v>1009</v>
      </c>
      <c r="U182" s="773" t="s">
        <v>1910</v>
      </c>
      <c r="V182" s="773" t="s">
        <v>278</v>
      </c>
      <c r="W182" s="773" t="s">
        <v>2668</v>
      </c>
      <c r="X182" s="829">
        <v>1</v>
      </c>
      <c r="Y182" s="822" t="s">
        <v>1010</v>
      </c>
      <c r="Z182" s="790" t="s">
        <v>1942</v>
      </c>
      <c r="AA182" s="785"/>
      <c r="AB182" s="785"/>
      <c r="AC182" s="785"/>
      <c r="AD182" s="785"/>
      <c r="AE182" s="785"/>
      <c r="AF182" s="799"/>
      <c r="AG182" s="800"/>
      <c r="AH182" s="800"/>
      <c r="AI182" s="800"/>
      <c r="AJ182" s="800"/>
      <c r="AK182" s="800"/>
      <c r="AL182" s="800"/>
      <c r="AM182" s="800"/>
      <c r="AN182" s="800"/>
      <c r="AO182" s="800"/>
      <c r="AP182" s="800"/>
      <c r="AQ182" s="817">
        <v>0</v>
      </c>
      <c r="AR182" s="816">
        <v>40.4</v>
      </c>
      <c r="AS182" s="816">
        <v>40.4</v>
      </c>
      <c r="AT182" s="816">
        <v>40.4</v>
      </c>
      <c r="AU182" s="818">
        <v>100</v>
      </c>
      <c r="AV182" s="808"/>
      <c r="AW182" s="800"/>
      <c r="AX182" s="800"/>
      <c r="AY182" s="800"/>
      <c r="AZ182" s="800"/>
      <c r="BA182" s="800"/>
      <c r="BB182" s="800"/>
      <c r="BC182" s="800"/>
      <c r="BD182" s="800"/>
      <c r="BE182" s="800"/>
      <c r="BF182" s="800"/>
      <c r="BG182" s="800"/>
      <c r="BH182" s="800"/>
      <c r="BI182" s="800"/>
      <c r="BJ182" s="800"/>
      <c r="BK182" s="805"/>
      <c r="BL182" s="789"/>
      <c r="BM182" s="785"/>
      <c r="BN182" s="785"/>
      <c r="BO182" s="785"/>
      <c r="BP182" s="796" t="s">
        <v>168</v>
      </c>
      <c r="BQ182" s="808" t="s">
        <v>1942</v>
      </c>
      <c r="BR182" s="800" t="s">
        <v>1942</v>
      </c>
      <c r="BS182" s="800" t="s">
        <v>1942</v>
      </c>
      <c r="BT182" s="800" t="s">
        <v>1942</v>
      </c>
      <c r="BU182" s="805" t="s">
        <v>1942</v>
      </c>
      <c r="BV182" s="808" t="s">
        <v>1942</v>
      </c>
      <c r="BW182" s="800" t="s">
        <v>1942</v>
      </c>
      <c r="BX182" s="800" t="s">
        <v>1942</v>
      </c>
      <c r="BY182" s="800" t="s">
        <v>1942</v>
      </c>
      <c r="BZ182" s="800" t="s">
        <v>1942</v>
      </c>
      <c r="CA182" s="808" t="s">
        <v>1942</v>
      </c>
      <c r="CB182" s="800" t="s">
        <v>1942</v>
      </c>
      <c r="CC182" s="800" t="s">
        <v>1942</v>
      </c>
      <c r="CD182" s="800" t="s">
        <v>1942</v>
      </c>
      <c r="CE182" s="805" t="s">
        <v>1942</v>
      </c>
      <c r="CF182" s="800" t="s">
        <v>1942</v>
      </c>
      <c r="CG182" s="800" t="s">
        <v>1942</v>
      </c>
      <c r="CH182" s="800" t="s">
        <v>1942</v>
      </c>
      <c r="CI182" s="800" t="s">
        <v>1942</v>
      </c>
      <c r="CJ182" s="800" t="s">
        <v>1942</v>
      </c>
      <c r="CK182" s="808" t="s">
        <v>1942</v>
      </c>
      <c r="CL182" s="800" t="s">
        <v>1942</v>
      </c>
      <c r="CM182" s="800" t="s">
        <v>1942</v>
      </c>
      <c r="CN182" s="800" t="s">
        <v>1942</v>
      </c>
      <c r="CO182" s="805" t="s">
        <v>1942</v>
      </c>
      <c r="CP182" s="808" t="s">
        <v>1942</v>
      </c>
      <c r="CQ182" s="800" t="s">
        <v>1942</v>
      </c>
      <c r="CR182" s="800" t="s">
        <v>1942</v>
      </c>
      <c r="CS182" s="800" t="s">
        <v>1942</v>
      </c>
      <c r="CT182" s="805" t="s">
        <v>1942</v>
      </c>
      <c r="CU182" s="1288">
        <v>-7.3000000000000001E-3</v>
      </c>
      <c r="CV182" s="1519"/>
      <c r="CW182" s="1283" t="s">
        <v>1942</v>
      </c>
      <c r="CX182" s="1285" t="s">
        <v>1942</v>
      </c>
      <c r="CY182" s="1283" t="s">
        <v>1942</v>
      </c>
      <c r="CZ182" s="1283" t="s">
        <v>1942</v>
      </c>
      <c r="DA182" s="1283" t="s">
        <v>1942</v>
      </c>
      <c r="DB182" s="1285" t="s">
        <v>1942</v>
      </c>
      <c r="DC182" s="785" t="s">
        <v>131</v>
      </c>
      <c r="DD182" s="813">
        <v>1</v>
      </c>
      <c r="DE182" s="814"/>
    </row>
    <row r="183" spans="1:109" ht="15.75" hidden="1" customHeight="1">
      <c r="A183" s="772" t="s">
        <v>1032</v>
      </c>
      <c r="B183" s="773">
        <v>177</v>
      </c>
      <c r="C183" s="789" t="s">
        <v>2687</v>
      </c>
      <c r="D183" s="773" t="s">
        <v>2539</v>
      </c>
      <c r="E183" s="773" t="s">
        <v>1896</v>
      </c>
      <c r="F183" s="785" t="s">
        <v>2688</v>
      </c>
      <c r="G183" s="790" t="s">
        <v>2689</v>
      </c>
      <c r="H183" s="791" t="s">
        <v>2690</v>
      </c>
      <c r="I183" s="792"/>
      <c r="J183" s="793"/>
      <c r="K183" s="793"/>
      <c r="L183" s="793"/>
      <c r="M183" s="793">
        <v>1</v>
      </c>
      <c r="N183" s="793"/>
      <c r="O183" s="793"/>
      <c r="P183" s="794"/>
      <c r="Q183" s="795">
        <f t="shared" si="2"/>
        <v>1</v>
      </c>
      <c r="R183" s="789" t="s">
        <v>1007</v>
      </c>
      <c r="S183" s="773" t="s">
        <v>1942</v>
      </c>
      <c r="T183" s="796" t="s">
        <v>1942</v>
      </c>
      <c r="U183" s="773" t="s">
        <v>2029</v>
      </c>
      <c r="V183" s="773" t="s">
        <v>1033</v>
      </c>
      <c r="W183" s="773" t="s">
        <v>2690</v>
      </c>
      <c r="X183" s="1309">
        <v>1</v>
      </c>
      <c r="Y183" s="819" t="s">
        <v>1010</v>
      </c>
      <c r="Z183" s="790" t="s">
        <v>1942</v>
      </c>
      <c r="AA183" s="785"/>
      <c r="AB183" s="785"/>
      <c r="AC183" s="785"/>
      <c r="AD183" s="785"/>
      <c r="AE183" s="785"/>
      <c r="AF183" s="799"/>
      <c r="AG183" s="800"/>
      <c r="AH183" s="800"/>
      <c r="AI183" s="800"/>
      <c r="AJ183" s="800"/>
      <c r="AK183" s="800"/>
      <c r="AL183" s="800"/>
      <c r="AM183" s="800"/>
      <c r="AN183" s="800"/>
      <c r="AO183" s="800"/>
      <c r="AP183" s="800"/>
      <c r="AQ183" s="808">
        <v>8.1999999999999993</v>
      </c>
      <c r="AR183" s="800">
        <v>8.3000000000000007</v>
      </c>
      <c r="AS183" s="800">
        <v>8.3000000000000007</v>
      </c>
      <c r="AT183" s="800">
        <v>8.4</v>
      </c>
      <c r="AU183" s="805">
        <v>8.5</v>
      </c>
      <c r="AV183" s="808"/>
      <c r="AW183" s="800"/>
      <c r="AX183" s="800"/>
      <c r="AY183" s="800"/>
      <c r="AZ183" s="800"/>
      <c r="BA183" s="800"/>
      <c r="BB183" s="800"/>
      <c r="BC183" s="800"/>
      <c r="BD183" s="800"/>
      <c r="BE183" s="800"/>
      <c r="BF183" s="800"/>
      <c r="BG183" s="800"/>
      <c r="BH183" s="800"/>
      <c r="BI183" s="800"/>
      <c r="BJ183" s="800"/>
      <c r="BK183" s="805"/>
      <c r="BL183" s="789"/>
      <c r="BM183" s="785"/>
      <c r="BN183" s="785"/>
      <c r="BO183" s="785"/>
      <c r="BP183" s="796"/>
      <c r="BQ183" s="808" t="s">
        <v>1942</v>
      </c>
      <c r="BR183" s="800" t="s">
        <v>1942</v>
      </c>
      <c r="BS183" s="800" t="s">
        <v>1942</v>
      </c>
      <c r="BT183" s="800" t="s">
        <v>1942</v>
      </c>
      <c r="BU183" s="805" t="s">
        <v>1942</v>
      </c>
      <c r="BV183" s="808" t="s">
        <v>1942</v>
      </c>
      <c r="BW183" s="800" t="s">
        <v>1942</v>
      </c>
      <c r="BX183" s="800" t="s">
        <v>1942</v>
      </c>
      <c r="BY183" s="800" t="s">
        <v>1942</v>
      </c>
      <c r="BZ183" s="800" t="s">
        <v>1942</v>
      </c>
      <c r="CA183" s="808" t="s">
        <v>1942</v>
      </c>
      <c r="CB183" s="800" t="s">
        <v>1942</v>
      </c>
      <c r="CC183" s="800" t="s">
        <v>1942</v>
      </c>
      <c r="CD183" s="800" t="s">
        <v>1942</v>
      </c>
      <c r="CE183" s="805" t="s">
        <v>1942</v>
      </c>
      <c r="CF183" s="800" t="s">
        <v>1942</v>
      </c>
      <c r="CG183" s="800" t="s">
        <v>1942</v>
      </c>
      <c r="CH183" s="800" t="s">
        <v>1942</v>
      </c>
      <c r="CI183" s="800" t="s">
        <v>1942</v>
      </c>
      <c r="CJ183" s="805" t="s">
        <v>1942</v>
      </c>
      <c r="CK183" s="808" t="s">
        <v>1942</v>
      </c>
      <c r="CL183" s="800" t="s">
        <v>1942</v>
      </c>
      <c r="CM183" s="800" t="s">
        <v>1942</v>
      </c>
      <c r="CN183" s="800" t="s">
        <v>1942</v>
      </c>
      <c r="CO183" s="805" t="s">
        <v>1942</v>
      </c>
      <c r="CP183" s="808" t="s">
        <v>1942</v>
      </c>
      <c r="CQ183" s="800" t="s">
        <v>1942</v>
      </c>
      <c r="CR183" s="800" t="s">
        <v>1942</v>
      </c>
      <c r="CS183" s="800" t="s">
        <v>1942</v>
      </c>
      <c r="CT183" s="805" t="s">
        <v>1942</v>
      </c>
      <c r="CU183" s="1284" t="s">
        <v>1942</v>
      </c>
      <c r="CV183" s="1283" t="s">
        <v>1942</v>
      </c>
      <c r="CW183" s="1283" t="s">
        <v>1942</v>
      </c>
      <c r="CX183" s="1285" t="s">
        <v>1942</v>
      </c>
      <c r="CY183" s="1283" t="s">
        <v>1942</v>
      </c>
      <c r="CZ183" s="1283" t="s">
        <v>1942</v>
      </c>
      <c r="DA183" s="1283" t="s">
        <v>1942</v>
      </c>
      <c r="DB183" s="1285" t="s">
        <v>1942</v>
      </c>
      <c r="DC183" s="785"/>
      <c r="DD183" s="813">
        <v>1</v>
      </c>
      <c r="DE183" s="814"/>
    </row>
    <row r="184" spans="1:109" ht="15.75" hidden="1" customHeight="1">
      <c r="A184" s="772" t="s">
        <v>1032</v>
      </c>
      <c r="B184" s="773">
        <v>178</v>
      </c>
      <c r="C184" s="789" t="s">
        <v>2691</v>
      </c>
      <c r="D184" s="773"/>
      <c r="E184" s="773"/>
      <c r="F184" s="785" t="s">
        <v>2032</v>
      </c>
      <c r="G184" s="790" t="s">
        <v>2033</v>
      </c>
      <c r="H184" s="791"/>
      <c r="I184" s="792"/>
      <c r="J184" s="793"/>
      <c r="K184" s="793"/>
      <c r="L184" s="793"/>
      <c r="M184" s="793"/>
      <c r="N184" s="793"/>
      <c r="O184" s="793"/>
      <c r="P184" s="794"/>
      <c r="Q184" s="795">
        <f t="shared" si="2"/>
        <v>0</v>
      </c>
      <c r="R184" s="789" t="s">
        <v>1007</v>
      </c>
      <c r="S184" s="773"/>
      <c r="T184" s="796"/>
      <c r="U184" s="773"/>
      <c r="V184" s="773" t="s">
        <v>1072</v>
      </c>
      <c r="W184" s="773" t="s">
        <v>2034</v>
      </c>
      <c r="X184" s="829">
        <v>0</v>
      </c>
      <c r="Y184" s="819"/>
      <c r="Z184" s="790"/>
      <c r="AA184" s="785"/>
      <c r="AB184" s="785"/>
      <c r="AC184" s="785"/>
      <c r="AD184" s="785"/>
      <c r="AE184" s="785"/>
      <c r="AF184" s="799"/>
      <c r="AG184" s="800"/>
      <c r="AH184" s="800"/>
      <c r="AI184" s="800"/>
      <c r="AJ184" s="800"/>
      <c r="AK184" s="800"/>
      <c r="AL184" s="800"/>
      <c r="AM184" s="800"/>
      <c r="AN184" s="800"/>
      <c r="AO184" s="800"/>
      <c r="AP184" s="800"/>
      <c r="AQ184" s="808" t="s">
        <v>591</v>
      </c>
      <c r="AR184" s="800" t="s">
        <v>591</v>
      </c>
      <c r="AS184" s="800" t="s">
        <v>591</v>
      </c>
      <c r="AT184" s="800" t="s">
        <v>591</v>
      </c>
      <c r="AU184" s="805" t="s">
        <v>591</v>
      </c>
      <c r="AV184" s="808"/>
      <c r="AW184" s="800"/>
      <c r="AX184" s="800"/>
      <c r="AY184" s="800"/>
      <c r="AZ184" s="800"/>
      <c r="BA184" s="800"/>
      <c r="BB184" s="800"/>
      <c r="BC184" s="800"/>
      <c r="BD184" s="800"/>
      <c r="BE184" s="800"/>
      <c r="BF184" s="800"/>
      <c r="BG184" s="800"/>
      <c r="BH184" s="800"/>
      <c r="BI184" s="800"/>
      <c r="BJ184" s="800"/>
      <c r="BK184" s="805"/>
      <c r="BL184" s="789"/>
      <c r="BM184" s="785"/>
      <c r="BN184" s="785"/>
      <c r="BO184" s="785"/>
      <c r="BP184" s="796"/>
      <c r="BQ184" s="808" t="s">
        <v>1942</v>
      </c>
      <c r="BR184" s="800" t="s">
        <v>1942</v>
      </c>
      <c r="BS184" s="800" t="s">
        <v>1942</v>
      </c>
      <c r="BT184" s="800" t="s">
        <v>1942</v>
      </c>
      <c r="BU184" s="805" t="s">
        <v>1942</v>
      </c>
      <c r="BV184" s="808" t="s">
        <v>1942</v>
      </c>
      <c r="BW184" s="800" t="s">
        <v>1942</v>
      </c>
      <c r="BX184" s="800" t="s">
        <v>1942</v>
      </c>
      <c r="BY184" s="800" t="s">
        <v>1942</v>
      </c>
      <c r="BZ184" s="800" t="s">
        <v>1942</v>
      </c>
      <c r="CA184" s="808" t="s">
        <v>1942</v>
      </c>
      <c r="CB184" s="800" t="s">
        <v>1942</v>
      </c>
      <c r="CC184" s="800" t="s">
        <v>1942</v>
      </c>
      <c r="CD184" s="800" t="s">
        <v>1942</v>
      </c>
      <c r="CE184" s="805" t="s">
        <v>1942</v>
      </c>
      <c r="CF184" s="800" t="s">
        <v>1942</v>
      </c>
      <c r="CG184" s="800" t="s">
        <v>1942</v>
      </c>
      <c r="CH184" s="800" t="s">
        <v>1942</v>
      </c>
      <c r="CI184" s="800" t="s">
        <v>1942</v>
      </c>
      <c r="CJ184" s="805" t="s">
        <v>1942</v>
      </c>
      <c r="CK184" s="808" t="s">
        <v>1942</v>
      </c>
      <c r="CL184" s="800" t="s">
        <v>1942</v>
      </c>
      <c r="CM184" s="800" t="s">
        <v>1942</v>
      </c>
      <c r="CN184" s="800" t="s">
        <v>1942</v>
      </c>
      <c r="CO184" s="805" t="s">
        <v>1942</v>
      </c>
      <c r="CP184" s="808" t="s">
        <v>1942</v>
      </c>
      <c r="CQ184" s="800" t="s">
        <v>1942</v>
      </c>
      <c r="CR184" s="800" t="s">
        <v>1942</v>
      </c>
      <c r="CS184" s="800" t="s">
        <v>1942</v>
      </c>
      <c r="CT184" s="805" t="s">
        <v>1942</v>
      </c>
      <c r="CU184" s="1284" t="s">
        <v>1942</v>
      </c>
      <c r="CV184" s="1283" t="s">
        <v>1942</v>
      </c>
      <c r="CW184" s="1283" t="s">
        <v>1942</v>
      </c>
      <c r="CX184" s="1285" t="s">
        <v>1942</v>
      </c>
      <c r="CY184" s="1283" t="s">
        <v>1942</v>
      </c>
      <c r="CZ184" s="1283" t="s">
        <v>1942</v>
      </c>
      <c r="DA184" s="1283" t="s">
        <v>1942</v>
      </c>
      <c r="DB184" s="1285" t="s">
        <v>1942</v>
      </c>
      <c r="DC184" s="785"/>
      <c r="DD184" s="813"/>
      <c r="DE184" s="814"/>
    </row>
    <row r="185" spans="1:109" ht="15.75" hidden="1" customHeight="1">
      <c r="A185" s="772" t="s">
        <v>1032</v>
      </c>
      <c r="B185" s="773">
        <v>179</v>
      </c>
      <c r="C185" s="789" t="s">
        <v>2692</v>
      </c>
      <c r="D185" s="773"/>
      <c r="E185" s="773"/>
      <c r="F185" s="785" t="s">
        <v>2693</v>
      </c>
      <c r="G185" s="790" t="s">
        <v>2143</v>
      </c>
      <c r="H185" s="791"/>
      <c r="I185" s="792">
        <v>0.14499999999999999</v>
      </c>
      <c r="J185" s="793"/>
      <c r="K185" s="793">
        <v>0.85499999999999998</v>
      </c>
      <c r="L185" s="793"/>
      <c r="M185" s="793"/>
      <c r="N185" s="793"/>
      <c r="O185" s="793"/>
      <c r="P185" s="794"/>
      <c r="Q185" s="795">
        <f t="shared" si="2"/>
        <v>1</v>
      </c>
      <c r="R185" s="789" t="s">
        <v>1026</v>
      </c>
      <c r="S185" s="773" t="s">
        <v>1008</v>
      </c>
      <c r="T185" s="796" t="s">
        <v>1009</v>
      </c>
      <c r="U185" s="773"/>
      <c r="V185" s="1248" t="s">
        <v>1033</v>
      </c>
      <c r="W185" s="773" t="s">
        <v>2694</v>
      </c>
      <c r="X185" s="829">
        <v>0</v>
      </c>
      <c r="Y185" s="819" t="s">
        <v>1010</v>
      </c>
      <c r="Z185" s="790"/>
      <c r="AA185" s="785"/>
      <c r="AB185" s="785"/>
      <c r="AC185" s="785"/>
      <c r="AD185" s="785"/>
      <c r="AE185" s="785"/>
      <c r="AF185" s="799"/>
      <c r="AG185" s="800"/>
      <c r="AH185" s="800"/>
      <c r="AI185" s="800"/>
      <c r="AJ185" s="800"/>
      <c r="AK185" s="800"/>
      <c r="AL185" s="800"/>
      <c r="AM185" s="800"/>
      <c r="AN185" s="800"/>
      <c r="AO185" s="800"/>
      <c r="AP185" s="800"/>
      <c r="AQ185" s="808">
        <v>170</v>
      </c>
      <c r="AR185" s="800">
        <v>397</v>
      </c>
      <c r="AS185" s="800">
        <v>460</v>
      </c>
      <c r="AT185" s="800">
        <v>535</v>
      </c>
      <c r="AU185" s="805">
        <v>657</v>
      </c>
      <c r="AV185" s="808"/>
      <c r="AW185" s="800"/>
      <c r="AX185" s="800"/>
      <c r="AY185" s="800"/>
      <c r="AZ185" s="800"/>
      <c r="BA185" s="800"/>
      <c r="BB185" s="800"/>
      <c r="BC185" s="800"/>
      <c r="BD185" s="800"/>
      <c r="BE185" s="800"/>
      <c r="BF185" s="800"/>
      <c r="BG185" s="800"/>
      <c r="BH185" s="800"/>
      <c r="BI185" s="800"/>
      <c r="BJ185" s="800"/>
      <c r="BK185" s="805"/>
      <c r="BL185" s="1376"/>
      <c r="BM185" s="1377"/>
      <c r="BN185" s="1377"/>
      <c r="BO185" s="1377"/>
      <c r="BP185" s="796" t="s">
        <v>168</v>
      </c>
      <c r="BQ185" s="808" t="s">
        <v>1942</v>
      </c>
      <c r="BR185" s="800" t="s">
        <v>1942</v>
      </c>
      <c r="BS185" s="800" t="s">
        <v>1942</v>
      </c>
      <c r="BT185" s="800" t="s">
        <v>1942</v>
      </c>
      <c r="BU185" s="805" t="s">
        <v>1942</v>
      </c>
      <c r="BV185" s="808" t="s">
        <v>1942</v>
      </c>
      <c r="BW185" s="800" t="s">
        <v>1942</v>
      </c>
      <c r="BX185" s="800" t="s">
        <v>1942</v>
      </c>
      <c r="BY185" s="800" t="s">
        <v>1942</v>
      </c>
      <c r="BZ185" s="800" t="s">
        <v>1942</v>
      </c>
      <c r="CA185" s="808" t="s">
        <v>1942</v>
      </c>
      <c r="CB185" s="800" t="s">
        <v>1942</v>
      </c>
      <c r="CC185" s="800" t="s">
        <v>1942</v>
      </c>
      <c r="CD185" s="800" t="s">
        <v>1942</v>
      </c>
      <c r="CE185" s="805" t="s">
        <v>1942</v>
      </c>
      <c r="CF185" s="800" t="s">
        <v>1942</v>
      </c>
      <c r="CG185" s="800" t="s">
        <v>1942</v>
      </c>
      <c r="CH185" s="800" t="s">
        <v>1942</v>
      </c>
      <c r="CI185" s="800" t="s">
        <v>1942</v>
      </c>
      <c r="CJ185" s="805" t="s">
        <v>1942</v>
      </c>
      <c r="CK185" s="808" t="s">
        <v>1942</v>
      </c>
      <c r="CL185" s="800" t="s">
        <v>1942</v>
      </c>
      <c r="CM185" s="800" t="s">
        <v>1942</v>
      </c>
      <c r="CN185" s="800" t="s">
        <v>1942</v>
      </c>
      <c r="CO185" s="805" t="s">
        <v>1942</v>
      </c>
      <c r="CP185" s="808" t="s">
        <v>1942</v>
      </c>
      <c r="CQ185" s="800" t="s">
        <v>1942</v>
      </c>
      <c r="CR185" s="800" t="s">
        <v>1942</v>
      </c>
      <c r="CS185" s="800" t="s">
        <v>1942</v>
      </c>
      <c r="CT185" s="805" t="s">
        <v>1942</v>
      </c>
      <c r="CU185" s="1288">
        <v>-1.83E-2</v>
      </c>
      <c r="CV185" s="1283" t="s">
        <v>1942</v>
      </c>
      <c r="CW185" s="1283" t="s">
        <v>1942</v>
      </c>
      <c r="CX185" s="1285" t="s">
        <v>1942</v>
      </c>
      <c r="CY185" s="1283" t="s">
        <v>1942</v>
      </c>
      <c r="CZ185" s="1283" t="s">
        <v>1942</v>
      </c>
      <c r="DA185" s="1283" t="s">
        <v>1942</v>
      </c>
      <c r="DB185" s="1285" t="s">
        <v>1942</v>
      </c>
      <c r="DC185" s="785"/>
      <c r="DD185" s="813"/>
      <c r="DE185" s="814"/>
    </row>
    <row r="186" spans="1:109" ht="15.75" hidden="1" customHeight="1">
      <c r="A186" s="772" t="s">
        <v>1032</v>
      </c>
      <c r="B186" s="773">
        <v>180</v>
      </c>
      <c r="C186" s="789" t="s">
        <v>2695</v>
      </c>
      <c r="D186" s="773"/>
      <c r="E186" s="773"/>
      <c r="F186" s="785" t="s">
        <v>2696</v>
      </c>
      <c r="G186" s="790" t="s">
        <v>2697</v>
      </c>
      <c r="H186" s="791"/>
      <c r="I186" s="792"/>
      <c r="J186" s="793"/>
      <c r="K186" s="793"/>
      <c r="L186" s="793"/>
      <c r="M186" s="793"/>
      <c r="N186" s="793"/>
      <c r="O186" s="793"/>
      <c r="P186" s="794"/>
      <c r="Q186" s="795">
        <f t="shared" si="2"/>
        <v>0</v>
      </c>
      <c r="R186" s="789" t="s">
        <v>1007</v>
      </c>
      <c r="S186" s="773"/>
      <c r="T186" s="796"/>
      <c r="U186" s="773"/>
      <c r="V186" s="773" t="s">
        <v>278</v>
      </c>
      <c r="W186" s="773" t="s">
        <v>2698</v>
      </c>
      <c r="X186" s="1309">
        <v>0</v>
      </c>
      <c r="Y186" s="819" t="s">
        <v>1010</v>
      </c>
      <c r="Z186" s="790"/>
      <c r="AA186" s="785"/>
      <c r="AB186" s="785"/>
      <c r="AC186" s="785"/>
      <c r="AD186" s="785"/>
      <c r="AE186" s="785"/>
      <c r="AF186" s="799"/>
      <c r="AG186" s="800"/>
      <c r="AH186" s="800"/>
      <c r="AI186" s="800"/>
      <c r="AJ186" s="800"/>
      <c r="AK186" s="800"/>
      <c r="AL186" s="800"/>
      <c r="AM186" s="800"/>
      <c r="AN186" s="800"/>
      <c r="AO186" s="800"/>
      <c r="AP186" s="800"/>
      <c r="AQ186" s="808" t="s">
        <v>1942</v>
      </c>
      <c r="AR186" s="800" t="s">
        <v>1942</v>
      </c>
      <c r="AS186" s="800">
        <v>100</v>
      </c>
      <c r="AT186" s="800">
        <v>100</v>
      </c>
      <c r="AU186" s="805">
        <v>100</v>
      </c>
      <c r="AV186" s="808"/>
      <c r="AW186" s="800"/>
      <c r="AX186" s="800"/>
      <c r="AY186" s="800"/>
      <c r="AZ186" s="800"/>
      <c r="BA186" s="800"/>
      <c r="BB186" s="800"/>
      <c r="BC186" s="800"/>
      <c r="BD186" s="800"/>
      <c r="BE186" s="800"/>
      <c r="BF186" s="800"/>
      <c r="BG186" s="800"/>
      <c r="BH186" s="800"/>
      <c r="BI186" s="800"/>
      <c r="BJ186" s="800"/>
      <c r="BK186" s="805"/>
      <c r="BL186" s="789"/>
      <c r="BM186" s="785"/>
      <c r="BN186" s="785"/>
      <c r="BO186" s="785"/>
      <c r="BP186" s="796"/>
      <c r="BQ186" s="808" t="s">
        <v>1942</v>
      </c>
      <c r="BR186" s="800" t="s">
        <v>1942</v>
      </c>
      <c r="BS186" s="800" t="s">
        <v>1942</v>
      </c>
      <c r="BT186" s="800" t="s">
        <v>1942</v>
      </c>
      <c r="BU186" s="805" t="s">
        <v>1942</v>
      </c>
      <c r="BV186" s="808" t="s">
        <v>1942</v>
      </c>
      <c r="BW186" s="800" t="s">
        <v>1942</v>
      </c>
      <c r="BX186" s="800" t="s">
        <v>1942</v>
      </c>
      <c r="BY186" s="800" t="s">
        <v>1942</v>
      </c>
      <c r="BZ186" s="800" t="s">
        <v>1942</v>
      </c>
      <c r="CA186" s="808" t="s">
        <v>1942</v>
      </c>
      <c r="CB186" s="800" t="s">
        <v>1942</v>
      </c>
      <c r="CC186" s="800" t="s">
        <v>1942</v>
      </c>
      <c r="CD186" s="800" t="s">
        <v>1942</v>
      </c>
      <c r="CE186" s="805" t="s">
        <v>1942</v>
      </c>
      <c r="CF186" s="800" t="s">
        <v>1942</v>
      </c>
      <c r="CG186" s="800" t="s">
        <v>1942</v>
      </c>
      <c r="CH186" s="800" t="s">
        <v>1942</v>
      </c>
      <c r="CI186" s="800" t="s">
        <v>1942</v>
      </c>
      <c r="CJ186" s="805" t="s">
        <v>1942</v>
      </c>
      <c r="CK186" s="808" t="s">
        <v>1942</v>
      </c>
      <c r="CL186" s="800" t="s">
        <v>1942</v>
      </c>
      <c r="CM186" s="800" t="s">
        <v>1942</v>
      </c>
      <c r="CN186" s="800" t="s">
        <v>1942</v>
      </c>
      <c r="CO186" s="805" t="s">
        <v>1942</v>
      </c>
      <c r="CP186" s="808" t="s">
        <v>1942</v>
      </c>
      <c r="CQ186" s="800" t="s">
        <v>1942</v>
      </c>
      <c r="CR186" s="800" t="s">
        <v>1942</v>
      </c>
      <c r="CS186" s="800" t="s">
        <v>1942</v>
      </c>
      <c r="CT186" s="805" t="s">
        <v>1942</v>
      </c>
      <c r="CU186" s="1284" t="s">
        <v>1942</v>
      </c>
      <c r="CV186" s="1283" t="s">
        <v>1942</v>
      </c>
      <c r="CW186" s="1283" t="s">
        <v>1942</v>
      </c>
      <c r="CX186" s="1285" t="s">
        <v>1942</v>
      </c>
      <c r="CY186" s="1283" t="s">
        <v>1942</v>
      </c>
      <c r="CZ186" s="1283" t="s">
        <v>1942</v>
      </c>
      <c r="DA186" s="1283" t="s">
        <v>1942</v>
      </c>
      <c r="DB186" s="1285" t="s">
        <v>1942</v>
      </c>
      <c r="DC186" s="785"/>
      <c r="DD186" s="813"/>
      <c r="DE186" s="814"/>
    </row>
    <row r="187" spans="1:109" ht="15.75" hidden="1" customHeight="1">
      <c r="A187" s="1223" t="s">
        <v>1032</v>
      </c>
      <c r="B187" s="1224">
        <v>181</v>
      </c>
      <c r="C187" s="1225"/>
      <c r="D187" s="1224"/>
      <c r="E187" s="1224"/>
      <c r="F187" s="1226"/>
      <c r="G187" s="1227"/>
      <c r="H187" s="1228"/>
      <c r="I187" s="1229"/>
      <c r="J187" s="1230"/>
      <c r="K187" s="1230"/>
      <c r="L187" s="1230"/>
      <c r="M187" s="1230"/>
      <c r="N187" s="1230"/>
      <c r="O187" s="1230"/>
      <c r="P187" s="1231"/>
      <c r="Q187" s="1232">
        <f t="shared" si="2"/>
        <v>0</v>
      </c>
      <c r="R187" s="1225"/>
      <c r="S187" s="1224"/>
      <c r="T187" s="1233"/>
      <c r="U187" s="1224"/>
      <c r="V187" s="1224"/>
      <c r="W187" s="1224"/>
      <c r="X187" s="1271"/>
      <c r="Y187" s="1234"/>
      <c r="Z187" s="1227"/>
      <c r="AA187" s="785"/>
      <c r="AB187" s="785"/>
      <c r="AC187" s="785"/>
      <c r="AD187" s="785"/>
      <c r="AE187" s="785"/>
      <c r="AF187" s="799"/>
      <c r="AG187" s="800"/>
      <c r="AH187" s="800"/>
      <c r="AI187" s="800"/>
      <c r="AJ187" s="800"/>
      <c r="AK187" s="800"/>
      <c r="AL187" s="800"/>
      <c r="AM187" s="800"/>
      <c r="AN187" s="800"/>
      <c r="AO187" s="800"/>
      <c r="AP187" s="800"/>
      <c r="AQ187" s="1209" t="s">
        <v>1942</v>
      </c>
      <c r="AR187" s="1210" t="s">
        <v>1942</v>
      </c>
      <c r="AS187" s="1210" t="s">
        <v>1942</v>
      </c>
      <c r="AT187" s="1210" t="s">
        <v>1942</v>
      </c>
      <c r="AU187" s="1211" t="s">
        <v>1942</v>
      </c>
      <c r="AV187" s="808"/>
      <c r="AW187" s="800"/>
      <c r="AX187" s="800"/>
      <c r="AY187" s="800"/>
      <c r="AZ187" s="800"/>
      <c r="BA187" s="800"/>
      <c r="BB187" s="800"/>
      <c r="BC187" s="800"/>
      <c r="BD187" s="800"/>
      <c r="BE187" s="800"/>
      <c r="BF187" s="800"/>
      <c r="BG187" s="800"/>
      <c r="BH187" s="800"/>
      <c r="BI187" s="800"/>
      <c r="BJ187" s="800"/>
      <c r="BK187" s="805"/>
      <c r="BL187" s="1225"/>
      <c r="BM187" s="1226"/>
      <c r="BN187" s="1226"/>
      <c r="BO187" s="1226"/>
      <c r="BP187" s="1233"/>
      <c r="BQ187" s="1209" t="s">
        <v>1942</v>
      </c>
      <c r="BR187" s="1210" t="s">
        <v>1942</v>
      </c>
      <c r="BS187" s="1210" t="s">
        <v>1942</v>
      </c>
      <c r="BT187" s="1210" t="s">
        <v>1942</v>
      </c>
      <c r="BU187" s="1211" t="s">
        <v>1942</v>
      </c>
      <c r="BV187" s="1209" t="s">
        <v>1942</v>
      </c>
      <c r="BW187" s="1210" t="s">
        <v>1942</v>
      </c>
      <c r="BX187" s="1210" t="s">
        <v>1942</v>
      </c>
      <c r="BY187" s="1210" t="s">
        <v>1942</v>
      </c>
      <c r="BZ187" s="1210" t="s">
        <v>1942</v>
      </c>
      <c r="CA187" s="1209" t="s">
        <v>1942</v>
      </c>
      <c r="CB187" s="1210" t="s">
        <v>1942</v>
      </c>
      <c r="CC187" s="1210" t="s">
        <v>1942</v>
      </c>
      <c r="CD187" s="1210" t="s">
        <v>1942</v>
      </c>
      <c r="CE187" s="1211" t="s">
        <v>1942</v>
      </c>
      <c r="CF187" s="1210" t="s">
        <v>1942</v>
      </c>
      <c r="CG187" s="1210" t="s">
        <v>1942</v>
      </c>
      <c r="CH187" s="1210" t="s">
        <v>1942</v>
      </c>
      <c r="CI187" s="1210" t="s">
        <v>1942</v>
      </c>
      <c r="CJ187" s="1211" t="s">
        <v>1942</v>
      </c>
      <c r="CK187" s="1209" t="s">
        <v>1942</v>
      </c>
      <c r="CL187" s="1210" t="s">
        <v>1942</v>
      </c>
      <c r="CM187" s="1210" t="s">
        <v>1942</v>
      </c>
      <c r="CN187" s="1210" t="s">
        <v>1942</v>
      </c>
      <c r="CO187" s="1211" t="s">
        <v>1942</v>
      </c>
      <c r="CP187" s="1209" t="s">
        <v>1942</v>
      </c>
      <c r="CQ187" s="1210" t="s">
        <v>1942</v>
      </c>
      <c r="CR187" s="1210" t="s">
        <v>1942</v>
      </c>
      <c r="CS187" s="1210" t="s">
        <v>1942</v>
      </c>
      <c r="CT187" s="1211" t="s">
        <v>1942</v>
      </c>
      <c r="CU187" s="1288" t="s">
        <v>1942</v>
      </c>
      <c r="CV187" s="1286" t="s">
        <v>1942</v>
      </c>
      <c r="CW187" s="1286" t="s">
        <v>1942</v>
      </c>
      <c r="CX187" s="1287" t="s">
        <v>1942</v>
      </c>
      <c r="CY187" s="1286" t="s">
        <v>1942</v>
      </c>
      <c r="CZ187" s="1286" t="s">
        <v>1942</v>
      </c>
      <c r="DA187" s="1286" t="s">
        <v>1942</v>
      </c>
      <c r="DB187" s="1287" t="s">
        <v>1942</v>
      </c>
      <c r="DC187" s="1226"/>
      <c r="DD187" s="1235"/>
      <c r="DE187" s="1236"/>
    </row>
    <row r="188" spans="1:109" ht="15.75" hidden="1" customHeight="1">
      <c r="A188" s="772" t="s">
        <v>1032</v>
      </c>
      <c r="B188" s="773">
        <v>182</v>
      </c>
      <c r="C188" s="789" t="s">
        <v>2699</v>
      </c>
      <c r="D188" s="773"/>
      <c r="E188" s="773"/>
      <c r="F188" s="785" t="s">
        <v>2700</v>
      </c>
      <c r="G188" s="790" t="s">
        <v>2701</v>
      </c>
      <c r="H188" s="791"/>
      <c r="I188" s="792"/>
      <c r="J188" s="793"/>
      <c r="K188" s="793">
        <v>1</v>
      </c>
      <c r="L188" s="793"/>
      <c r="M188" s="793"/>
      <c r="N188" s="793"/>
      <c r="O188" s="793"/>
      <c r="P188" s="794"/>
      <c r="Q188" s="795">
        <f t="shared" si="2"/>
        <v>1</v>
      </c>
      <c r="R188" s="789" t="s">
        <v>1026</v>
      </c>
      <c r="S188" s="773" t="s">
        <v>1008</v>
      </c>
      <c r="T188" s="796" t="s">
        <v>1019</v>
      </c>
      <c r="U188" s="773"/>
      <c r="V188" s="773" t="s">
        <v>2702</v>
      </c>
      <c r="W188" s="773" t="s">
        <v>2703</v>
      </c>
      <c r="X188" s="829">
        <v>0</v>
      </c>
      <c r="Y188" s="819" t="s">
        <v>1020</v>
      </c>
      <c r="Z188" s="790"/>
      <c r="AA188" s="785"/>
      <c r="AB188" s="785"/>
      <c r="AC188" s="785"/>
      <c r="AD188" s="785"/>
      <c r="AE188" s="785"/>
      <c r="AF188" s="799"/>
      <c r="AG188" s="800"/>
      <c r="AH188" s="800"/>
      <c r="AI188" s="800"/>
      <c r="AJ188" s="800"/>
      <c r="AK188" s="800"/>
      <c r="AL188" s="800"/>
      <c r="AM188" s="800"/>
      <c r="AN188" s="800"/>
      <c r="AO188" s="800"/>
      <c r="AP188" s="800"/>
      <c r="AQ188" s="808">
        <v>0</v>
      </c>
      <c r="AR188" s="800">
        <v>0</v>
      </c>
      <c r="AS188" s="800">
        <v>0</v>
      </c>
      <c r="AT188" s="800">
        <v>0</v>
      </c>
      <c r="AU188" s="805">
        <v>0</v>
      </c>
      <c r="AV188" s="808"/>
      <c r="AW188" s="800"/>
      <c r="AX188" s="800"/>
      <c r="AY188" s="800"/>
      <c r="AZ188" s="800"/>
      <c r="BA188" s="800"/>
      <c r="BB188" s="800"/>
      <c r="BC188" s="800"/>
      <c r="BD188" s="800"/>
      <c r="BE188" s="800"/>
      <c r="BF188" s="800"/>
      <c r="BG188" s="800"/>
      <c r="BH188" s="800"/>
      <c r="BI188" s="800"/>
      <c r="BJ188" s="800"/>
      <c r="BK188" s="805"/>
      <c r="BL188" s="789"/>
      <c r="BM188" s="785"/>
      <c r="BN188" s="785"/>
      <c r="BO188" s="785"/>
      <c r="BP188" s="796" t="s">
        <v>168</v>
      </c>
      <c r="BQ188" s="808" t="s">
        <v>1942</v>
      </c>
      <c r="BR188" s="800" t="s">
        <v>1942</v>
      </c>
      <c r="BS188" s="800" t="s">
        <v>1942</v>
      </c>
      <c r="BT188" s="800" t="s">
        <v>1942</v>
      </c>
      <c r="BU188" s="805" t="s">
        <v>1942</v>
      </c>
      <c r="BV188" s="808" t="s">
        <v>1942</v>
      </c>
      <c r="BW188" s="800" t="s">
        <v>1942</v>
      </c>
      <c r="BX188" s="800" t="s">
        <v>1942</v>
      </c>
      <c r="BY188" s="800" t="s">
        <v>1942</v>
      </c>
      <c r="BZ188" s="800" t="s">
        <v>1942</v>
      </c>
      <c r="CA188" s="808" t="s">
        <v>1942</v>
      </c>
      <c r="CB188" s="800" t="s">
        <v>1942</v>
      </c>
      <c r="CC188" s="800" t="s">
        <v>1942</v>
      </c>
      <c r="CD188" s="800" t="s">
        <v>1942</v>
      </c>
      <c r="CE188" s="805" t="s">
        <v>1942</v>
      </c>
      <c r="CF188" s="800" t="s">
        <v>1942</v>
      </c>
      <c r="CG188" s="800" t="s">
        <v>1942</v>
      </c>
      <c r="CH188" s="800" t="s">
        <v>1942</v>
      </c>
      <c r="CI188" s="800" t="s">
        <v>1942</v>
      </c>
      <c r="CJ188" s="805" t="s">
        <v>1942</v>
      </c>
      <c r="CK188" s="808" t="s">
        <v>1942</v>
      </c>
      <c r="CL188" s="800" t="s">
        <v>1942</v>
      </c>
      <c r="CM188" s="800" t="s">
        <v>1942</v>
      </c>
      <c r="CN188" s="800" t="s">
        <v>1942</v>
      </c>
      <c r="CO188" s="805" t="s">
        <v>1942</v>
      </c>
      <c r="CP188" s="808" t="s">
        <v>1942</v>
      </c>
      <c r="CQ188" s="800" t="s">
        <v>1942</v>
      </c>
      <c r="CR188" s="800" t="s">
        <v>1942</v>
      </c>
      <c r="CS188" s="800" t="s">
        <v>1942</v>
      </c>
      <c r="CT188" s="805" t="s">
        <v>1942</v>
      </c>
      <c r="CU188" s="1288">
        <v>-2.7400000000000001E-2</v>
      </c>
      <c r="CV188" s="1283" t="s">
        <v>1942</v>
      </c>
      <c r="CW188" s="1283" t="s">
        <v>1942</v>
      </c>
      <c r="CX188" s="1285" t="s">
        <v>1942</v>
      </c>
      <c r="CY188" s="1283" t="s">
        <v>1942</v>
      </c>
      <c r="CZ188" s="1283" t="s">
        <v>1942</v>
      </c>
      <c r="DA188" s="1283" t="s">
        <v>1942</v>
      </c>
      <c r="DB188" s="1285" t="s">
        <v>1942</v>
      </c>
      <c r="DC188" s="785"/>
      <c r="DD188" s="813"/>
      <c r="DE188" s="814"/>
    </row>
    <row r="189" spans="1:109" ht="15.75" hidden="1" customHeight="1">
      <c r="A189" s="772" t="s">
        <v>1068</v>
      </c>
      <c r="B189" s="773">
        <v>183</v>
      </c>
      <c r="C189" s="789" t="s">
        <v>2704</v>
      </c>
      <c r="D189" s="773" t="s">
        <v>2705</v>
      </c>
      <c r="E189" s="773" t="s">
        <v>1896</v>
      </c>
      <c r="F189" s="785" t="s">
        <v>2706</v>
      </c>
      <c r="G189" s="790" t="s">
        <v>669</v>
      </c>
      <c r="H189" s="791" t="s">
        <v>2707</v>
      </c>
      <c r="I189" s="792"/>
      <c r="J189" s="793">
        <v>1</v>
      </c>
      <c r="K189" s="793"/>
      <c r="L189" s="793"/>
      <c r="M189" s="793"/>
      <c r="N189" s="793"/>
      <c r="O189" s="793"/>
      <c r="P189" s="794"/>
      <c r="Q189" s="795">
        <f t="shared" si="2"/>
        <v>1</v>
      </c>
      <c r="R189" s="789" t="s">
        <v>1030</v>
      </c>
      <c r="S189" s="773" t="s">
        <v>1008</v>
      </c>
      <c r="T189" s="796" t="s">
        <v>1009</v>
      </c>
      <c r="U189" s="773" t="s">
        <v>669</v>
      </c>
      <c r="V189" s="773" t="s">
        <v>1033</v>
      </c>
      <c r="W189" s="773" t="s">
        <v>670</v>
      </c>
      <c r="X189" s="829">
        <v>1</v>
      </c>
      <c r="Y189" s="819" t="s">
        <v>1020</v>
      </c>
      <c r="Z189" s="790" t="s">
        <v>669</v>
      </c>
      <c r="AA189" s="785"/>
      <c r="AB189" s="785"/>
      <c r="AC189" s="785"/>
      <c r="AD189" s="785"/>
      <c r="AE189" s="785"/>
      <c r="AF189" s="799"/>
      <c r="AG189" s="842"/>
      <c r="AH189" s="842"/>
      <c r="AI189" s="842"/>
      <c r="AJ189" s="842"/>
      <c r="AK189" s="842"/>
      <c r="AL189" s="842"/>
      <c r="AM189" s="842"/>
      <c r="AN189" s="842"/>
      <c r="AO189" s="842"/>
      <c r="AP189" s="842"/>
      <c r="AQ189" s="1742"/>
      <c r="AR189" s="1743"/>
      <c r="AS189" s="1743"/>
      <c r="AT189" s="1743"/>
      <c r="AU189" s="1744"/>
      <c r="AV189" s="843"/>
      <c r="AW189" s="842"/>
      <c r="AX189" s="842"/>
      <c r="AY189" s="842"/>
      <c r="AZ189" s="842"/>
      <c r="BA189" s="842"/>
      <c r="BB189" s="842"/>
      <c r="BC189" s="842"/>
      <c r="BD189" s="842"/>
      <c r="BE189" s="842"/>
      <c r="BF189" s="842"/>
      <c r="BG189" s="842"/>
      <c r="BH189" s="842"/>
      <c r="BI189" s="842"/>
      <c r="BJ189" s="842"/>
      <c r="BK189" s="844"/>
      <c r="BL189" s="1376"/>
      <c r="BM189" s="1377"/>
      <c r="BN189" s="1377"/>
      <c r="BO189" s="1377"/>
      <c r="BP189" s="1440"/>
      <c r="BQ189" s="1420"/>
      <c r="BR189" s="1368"/>
      <c r="BS189" s="1368"/>
      <c r="BT189" s="1368"/>
      <c r="BU189" s="1369"/>
      <c r="BV189" s="1421"/>
      <c r="BW189" s="1373"/>
      <c r="BX189" s="1373"/>
      <c r="BY189" s="1373"/>
      <c r="BZ189" s="1373"/>
      <c r="CA189" s="1420"/>
      <c r="CB189" s="1368"/>
      <c r="CC189" s="1368"/>
      <c r="CD189" s="1368"/>
      <c r="CE189" s="1369"/>
      <c r="CF189" s="1368"/>
      <c r="CG189" s="1368"/>
      <c r="CH189" s="1368"/>
      <c r="CI189" s="1368"/>
      <c r="CJ189" s="1369"/>
      <c r="CK189" s="1420"/>
      <c r="CL189" s="1368"/>
      <c r="CM189" s="1368"/>
      <c r="CN189" s="1368"/>
      <c r="CO189" s="1369"/>
      <c r="CP189" s="1420"/>
      <c r="CQ189" s="1368"/>
      <c r="CR189" s="1368"/>
      <c r="CS189" s="1368"/>
      <c r="CT189" s="1369"/>
      <c r="CU189" s="1528"/>
      <c r="CV189" s="1519"/>
      <c r="CW189" s="1519"/>
      <c r="CX189" s="1728"/>
      <c r="CY189" s="1519"/>
      <c r="CZ189" s="1519"/>
      <c r="DA189" s="1519"/>
      <c r="DB189" s="1728"/>
      <c r="DC189" s="1377"/>
      <c r="DD189" s="1729"/>
      <c r="DE189" s="1734"/>
    </row>
    <row r="190" spans="1:109" ht="15.75" hidden="1" customHeight="1">
      <c r="A190" s="772" t="s">
        <v>1068</v>
      </c>
      <c r="B190" s="773">
        <v>184</v>
      </c>
      <c r="C190" s="789" t="s">
        <v>2708</v>
      </c>
      <c r="D190" s="773" t="s">
        <v>2709</v>
      </c>
      <c r="E190" s="773" t="s">
        <v>1889</v>
      </c>
      <c r="F190" s="785" t="s">
        <v>2710</v>
      </c>
      <c r="G190" s="790" t="s">
        <v>1902</v>
      </c>
      <c r="H190" s="791" t="s">
        <v>2711</v>
      </c>
      <c r="I190" s="792">
        <v>1</v>
      </c>
      <c r="J190" s="793"/>
      <c r="K190" s="793"/>
      <c r="L190" s="793"/>
      <c r="M190" s="793"/>
      <c r="N190" s="793"/>
      <c r="O190" s="793"/>
      <c r="P190" s="794"/>
      <c r="Q190" s="795">
        <f t="shared" si="2"/>
        <v>1</v>
      </c>
      <c r="R190" s="789" t="s">
        <v>1030</v>
      </c>
      <c r="S190" s="773" t="s">
        <v>1008</v>
      </c>
      <c r="T190" s="1440" t="s">
        <v>1019</v>
      </c>
      <c r="U190" s="773" t="s">
        <v>2054</v>
      </c>
      <c r="V190" s="773" t="s">
        <v>1033</v>
      </c>
      <c r="W190" s="773" t="s">
        <v>2712</v>
      </c>
      <c r="X190" s="1274">
        <v>1</v>
      </c>
      <c r="Y190" s="819" t="s">
        <v>1020</v>
      </c>
      <c r="Z190" s="790" t="s">
        <v>1902</v>
      </c>
      <c r="AA190" s="785"/>
      <c r="AB190" s="785"/>
      <c r="AC190" s="785"/>
      <c r="AD190" s="785"/>
      <c r="AE190" s="785"/>
      <c r="AF190" s="799"/>
      <c r="AG190" s="800"/>
      <c r="AH190" s="800"/>
      <c r="AI190" s="800"/>
      <c r="AJ190" s="800"/>
      <c r="AK190" s="800"/>
      <c r="AL190" s="800"/>
      <c r="AM190" s="800"/>
      <c r="AN190" s="797"/>
      <c r="AO190" s="797"/>
      <c r="AP190" s="797"/>
      <c r="AQ190" s="1740"/>
      <c r="AR190" s="1741"/>
      <c r="AS190" s="1741"/>
      <c r="AT190" s="1741"/>
      <c r="AU190" s="1749"/>
      <c r="AV190" s="827"/>
      <c r="AW190" s="797"/>
      <c r="AX190" s="797"/>
      <c r="AY190" s="797"/>
      <c r="AZ190" s="797"/>
      <c r="BA190" s="797"/>
      <c r="BB190" s="797"/>
      <c r="BC190" s="797"/>
      <c r="BD190" s="797"/>
      <c r="BE190" s="797"/>
      <c r="BF190" s="797"/>
      <c r="BG190" s="797"/>
      <c r="BH190" s="797"/>
      <c r="BI190" s="797"/>
      <c r="BJ190" s="797"/>
      <c r="BK190" s="841"/>
      <c r="BL190" s="1376"/>
      <c r="BM190" s="1377"/>
      <c r="BN190" s="1377"/>
      <c r="BO190" s="1377"/>
      <c r="BP190" s="1440"/>
      <c r="BQ190" s="1420"/>
      <c r="BR190" s="1368"/>
      <c r="BS190" s="1368"/>
      <c r="BT190" s="1368"/>
      <c r="BU190" s="1369"/>
      <c r="BV190" s="1421"/>
      <c r="BW190" s="1373"/>
      <c r="BX190" s="1373"/>
      <c r="BY190" s="1373"/>
      <c r="BZ190" s="1373"/>
      <c r="CA190" s="1420"/>
      <c r="CB190" s="1368"/>
      <c r="CC190" s="1368"/>
      <c r="CD190" s="1368"/>
      <c r="CE190" s="1369"/>
      <c r="CF190" s="1368"/>
      <c r="CG190" s="1368"/>
      <c r="CH190" s="1368"/>
      <c r="CI190" s="1368"/>
      <c r="CJ190" s="1369"/>
      <c r="CK190" s="1420"/>
      <c r="CL190" s="1368"/>
      <c r="CM190" s="1368"/>
      <c r="CN190" s="1368"/>
      <c r="CO190" s="1369"/>
      <c r="CP190" s="1420"/>
      <c r="CQ190" s="1368"/>
      <c r="CR190" s="1368"/>
      <c r="CS190" s="1368"/>
      <c r="CT190" s="1369"/>
      <c r="CU190" s="1528"/>
      <c r="CV190" s="1519"/>
      <c r="CW190" s="1519"/>
      <c r="CX190" s="1728"/>
      <c r="CY190" s="1519"/>
      <c r="CZ190" s="1519"/>
      <c r="DA190" s="1519"/>
      <c r="DB190" s="1728"/>
      <c r="DC190" s="1377"/>
      <c r="DD190" s="1729"/>
      <c r="DE190" s="1734"/>
    </row>
    <row r="191" spans="1:109" ht="15.75" hidden="1" customHeight="1">
      <c r="A191" s="772" t="s">
        <v>1068</v>
      </c>
      <c r="B191" s="773">
        <v>185</v>
      </c>
      <c r="C191" s="789" t="s">
        <v>2713</v>
      </c>
      <c r="D191" s="773" t="s">
        <v>2714</v>
      </c>
      <c r="E191" s="773" t="s">
        <v>1907</v>
      </c>
      <c r="F191" s="785" t="s">
        <v>2715</v>
      </c>
      <c r="G191" s="790" t="s">
        <v>130</v>
      </c>
      <c r="H191" s="791" t="s">
        <v>2716</v>
      </c>
      <c r="I191" s="792"/>
      <c r="J191" s="793">
        <v>1</v>
      </c>
      <c r="K191" s="793"/>
      <c r="L191" s="793"/>
      <c r="M191" s="793"/>
      <c r="N191" s="793"/>
      <c r="O191" s="793"/>
      <c r="P191" s="794"/>
      <c r="Q191" s="795">
        <f t="shared" si="2"/>
        <v>1</v>
      </c>
      <c r="R191" s="789" t="s">
        <v>1026</v>
      </c>
      <c r="S191" s="773" t="s">
        <v>1008</v>
      </c>
      <c r="T191" s="796" t="s">
        <v>1009</v>
      </c>
      <c r="U191" s="773" t="s">
        <v>1926</v>
      </c>
      <c r="V191" s="773" t="s">
        <v>1033</v>
      </c>
      <c r="W191" s="773" t="s">
        <v>2717</v>
      </c>
      <c r="X191" s="829">
        <v>2</v>
      </c>
      <c r="Y191" s="821" t="s">
        <v>1020</v>
      </c>
      <c r="Z191" s="790" t="s">
        <v>130</v>
      </c>
      <c r="AA191" s="785"/>
      <c r="AB191" s="785"/>
      <c r="AC191" s="785"/>
      <c r="AD191" s="785"/>
      <c r="AE191" s="785"/>
      <c r="AF191" s="799"/>
      <c r="AG191" s="800"/>
      <c r="AH191" s="800"/>
      <c r="AI191" s="800"/>
      <c r="AJ191" s="800"/>
      <c r="AK191" s="800"/>
      <c r="AL191" s="800"/>
      <c r="AM191" s="800"/>
      <c r="AN191" s="800"/>
      <c r="AO191" s="800"/>
      <c r="AP191" s="800"/>
      <c r="AQ191" s="1420"/>
      <c r="AR191" s="1368"/>
      <c r="AS191" s="1368"/>
      <c r="AT191" s="1368"/>
      <c r="AU191" s="1369"/>
      <c r="AV191" s="808"/>
      <c r="AW191" s="800"/>
      <c r="AX191" s="800"/>
      <c r="AY191" s="800"/>
      <c r="AZ191" s="800"/>
      <c r="BA191" s="800"/>
      <c r="BB191" s="800"/>
      <c r="BC191" s="800"/>
      <c r="BD191" s="800"/>
      <c r="BE191" s="800"/>
      <c r="BF191" s="800"/>
      <c r="BG191" s="800"/>
      <c r="BH191" s="800"/>
      <c r="BI191" s="800"/>
      <c r="BJ191" s="800"/>
      <c r="BK191" s="805"/>
      <c r="BL191" s="1376"/>
      <c r="BM191" s="1377"/>
      <c r="BN191" s="1377"/>
      <c r="BO191" s="1377"/>
      <c r="BP191" s="1440"/>
      <c r="BQ191" s="1420"/>
      <c r="BR191" s="1368"/>
      <c r="BS191" s="1368"/>
      <c r="BT191" s="1368"/>
      <c r="BU191" s="1369"/>
      <c r="BV191" s="1420"/>
      <c r="BW191" s="1368"/>
      <c r="BX191" s="1368"/>
      <c r="BY191" s="1368"/>
      <c r="BZ191" s="1368"/>
      <c r="CA191" s="1420"/>
      <c r="CB191" s="1368"/>
      <c r="CC191" s="1368"/>
      <c r="CD191" s="1368"/>
      <c r="CE191" s="1369"/>
      <c r="CF191" s="1368"/>
      <c r="CG191" s="1368"/>
      <c r="CH191" s="1368"/>
      <c r="CI191" s="1368"/>
      <c r="CJ191" s="1369"/>
      <c r="CK191" s="1420"/>
      <c r="CL191" s="1368"/>
      <c r="CM191" s="1368"/>
      <c r="CN191" s="1368"/>
      <c r="CO191" s="1369"/>
      <c r="CP191" s="1420"/>
      <c r="CQ191" s="1368"/>
      <c r="CR191" s="1368"/>
      <c r="CS191" s="1368"/>
      <c r="CT191" s="1369"/>
      <c r="CU191" s="1528"/>
      <c r="CV191" s="1519"/>
      <c r="CW191" s="1519"/>
      <c r="CX191" s="1728"/>
      <c r="CY191" s="1519"/>
      <c r="CZ191" s="1519"/>
      <c r="DA191" s="1519"/>
      <c r="DB191" s="1728"/>
      <c r="DC191" s="1377"/>
      <c r="DD191" s="1729"/>
      <c r="DE191" s="1734"/>
    </row>
    <row r="192" spans="1:109" ht="15.75" hidden="1" customHeight="1">
      <c r="A192" s="772" t="s">
        <v>1068</v>
      </c>
      <c r="B192" s="773">
        <v>186</v>
      </c>
      <c r="C192" s="789" t="s">
        <v>2718</v>
      </c>
      <c r="D192" s="773" t="s">
        <v>2714</v>
      </c>
      <c r="E192" s="773" t="s">
        <v>1896</v>
      </c>
      <c r="F192" s="785" t="s">
        <v>2719</v>
      </c>
      <c r="G192" s="790" t="s">
        <v>137</v>
      </c>
      <c r="H192" s="791" t="s">
        <v>2720</v>
      </c>
      <c r="I192" s="792"/>
      <c r="J192" s="793">
        <v>1</v>
      </c>
      <c r="K192" s="793"/>
      <c r="L192" s="793"/>
      <c r="M192" s="793"/>
      <c r="N192" s="793"/>
      <c r="O192" s="793"/>
      <c r="P192" s="794"/>
      <c r="Q192" s="795">
        <f t="shared" si="2"/>
        <v>1</v>
      </c>
      <c r="R192" s="789" t="s">
        <v>1030</v>
      </c>
      <c r="S192" s="773" t="s">
        <v>1008</v>
      </c>
      <c r="T192" s="796" t="s">
        <v>1009</v>
      </c>
      <c r="U192" s="773" t="s">
        <v>1892</v>
      </c>
      <c r="V192" s="773" t="s">
        <v>1029</v>
      </c>
      <c r="W192" s="773" t="s">
        <v>2721</v>
      </c>
      <c r="X192" s="1274">
        <v>0</v>
      </c>
      <c r="Y192" s="821" t="s">
        <v>1020</v>
      </c>
      <c r="Z192" s="790" t="s">
        <v>137</v>
      </c>
      <c r="AA192" s="785"/>
      <c r="AB192" s="785"/>
      <c r="AC192" s="785"/>
      <c r="AD192" s="785"/>
      <c r="AE192" s="785"/>
      <c r="AF192" s="799"/>
      <c r="AG192" s="800"/>
      <c r="AH192" s="800"/>
      <c r="AI192" s="800"/>
      <c r="AJ192" s="800"/>
      <c r="AK192" s="800"/>
      <c r="AL192" s="845"/>
      <c r="AM192" s="845"/>
      <c r="AN192" s="845"/>
      <c r="AO192" s="845"/>
      <c r="AP192" s="845"/>
      <c r="AQ192" s="1370"/>
      <c r="AR192" s="1371"/>
      <c r="AS192" s="1371"/>
      <c r="AT192" s="1371"/>
      <c r="AU192" s="1372"/>
      <c r="AV192" s="846"/>
      <c r="AW192" s="845"/>
      <c r="AX192" s="845"/>
      <c r="AY192" s="845"/>
      <c r="AZ192" s="845"/>
      <c r="BA192" s="845"/>
      <c r="BB192" s="845"/>
      <c r="BC192" s="845"/>
      <c r="BD192" s="845"/>
      <c r="BE192" s="845"/>
      <c r="BF192" s="845"/>
      <c r="BG192" s="845"/>
      <c r="BH192" s="845"/>
      <c r="BI192" s="845"/>
      <c r="BJ192" s="845"/>
      <c r="BK192" s="847"/>
      <c r="BL192" s="1376"/>
      <c r="BM192" s="1377"/>
      <c r="BN192" s="1377"/>
      <c r="BO192" s="1377"/>
      <c r="BP192" s="1440"/>
      <c r="BQ192" s="1420"/>
      <c r="BR192" s="1368"/>
      <c r="BS192" s="1368"/>
      <c r="BT192" s="1368"/>
      <c r="BU192" s="1369"/>
      <c r="BV192" s="1370"/>
      <c r="BW192" s="1371"/>
      <c r="BX192" s="1371"/>
      <c r="BY192" s="1371"/>
      <c r="BZ192" s="1371"/>
      <c r="CA192" s="1420"/>
      <c r="CB192" s="1368"/>
      <c r="CC192" s="1368"/>
      <c r="CD192" s="1368"/>
      <c r="CE192" s="1369"/>
      <c r="CF192" s="1368"/>
      <c r="CG192" s="1368"/>
      <c r="CH192" s="1368"/>
      <c r="CI192" s="1368"/>
      <c r="CJ192" s="1369"/>
      <c r="CK192" s="1370"/>
      <c r="CL192" s="1371"/>
      <c r="CM192" s="1371"/>
      <c r="CN192" s="1371"/>
      <c r="CO192" s="1372"/>
      <c r="CP192" s="1420"/>
      <c r="CQ192" s="1368"/>
      <c r="CR192" s="1368"/>
      <c r="CS192" s="1368"/>
      <c r="CT192" s="1369"/>
      <c r="CU192" s="1528"/>
      <c r="CV192" s="1519"/>
      <c r="CW192" s="1519"/>
      <c r="CX192" s="1728"/>
      <c r="CY192" s="1519"/>
      <c r="CZ192" s="1519"/>
      <c r="DA192" s="1519"/>
      <c r="DB192" s="1728"/>
      <c r="DC192" s="1377"/>
      <c r="DD192" s="1729"/>
      <c r="DE192" s="1734"/>
    </row>
    <row r="193" spans="1:109" ht="15.75" hidden="1" customHeight="1">
      <c r="A193" s="772" t="s">
        <v>1068</v>
      </c>
      <c r="B193" s="773">
        <v>187</v>
      </c>
      <c r="C193" s="789" t="s">
        <v>2722</v>
      </c>
      <c r="D193" s="773" t="s">
        <v>2714</v>
      </c>
      <c r="E193" s="773" t="s">
        <v>1889</v>
      </c>
      <c r="F193" s="785" t="s">
        <v>2723</v>
      </c>
      <c r="G193" s="790" t="s">
        <v>161</v>
      </c>
      <c r="H193" s="791" t="s">
        <v>2724</v>
      </c>
      <c r="I193" s="792"/>
      <c r="J193" s="793">
        <v>1</v>
      </c>
      <c r="K193" s="793"/>
      <c r="L193" s="793"/>
      <c r="M193" s="793"/>
      <c r="N193" s="793"/>
      <c r="O193" s="793"/>
      <c r="P193" s="794"/>
      <c r="Q193" s="795">
        <f t="shared" si="2"/>
        <v>1</v>
      </c>
      <c r="R193" s="789" t="s">
        <v>1026</v>
      </c>
      <c r="S193" s="773" t="s">
        <v>1008</v>
      </c>
      <c r="T193" s="796" t="s">
        <v>1009</v>
      </c>
      <c r="U193" s="773" t="s">
        <v>2074</v>
      </c>
      <c r="V193" s="773" t="s">
        <v>1033</v>
      </c>
      <c r="W193" s="773" t="s">
        <v>2725</v>
      </c>
      <c r="X193" s="829">
        <v>1</v>
      </c>
      <c r="Y193" s="821" t="s">
        <v>1020</v>
      </c>
      <c r="Z193" s="790" t="s">
        <v>161</v>
      </c>
      <c r="AA193" s="785"/>
      <c r="AB193" s="785"/>
      <c r="AC193" s="785"/>
      <c r="AD193" s="785"/>
      <c r="AE193" s="785"/>
      <c r="AF193" s="799"/>
      <c r="AG193" s="800"/>
      <c r="AH193" s="800"/>
      <c r="AI193" s="800"/>
      <c r="AJ193" s="800"/>
      <c r="AK193" s="800"/>
      <c r="AL193" s="800"/>
      <c r="AM193" s="800"/>
      <c r="AN193" s="800"/>
      <c r="AO193" s="800"/>
      <c r="AP193" s="800"/>
      <c r="AQ193" s="1421"/>
      <c r="AR193" s="1373"/>
      <c r="AS193" s="1373"/>
      <c r="AT193" s="1373"/>
      <c r="AU193" s="1374"/>
      <c r="AV193" s="808"/>
      <c r="AW193" s="800"/>
      <c r="AX193" s="800"/>
      <c r="AY193" s="800"/>
      <c r="AZ193" s="800"/>
      <c r="BA193" s="800"/>
      <c r="BB193" s="800"/>
      <c r="BC193" s="800"/>
      <c r="BD193" s="800"/>
      <c r="BE193" s="800"/>
      <c r="BF193" s="800"/>
      <c r="BG193" s="800"/>
      <c r="BH193" s="800"/>
      <c r="BI193" s="800"/>
      <c r="BJ193" s="800"/>
      <c r="BK193" s="805"/>
      <c r="BL193" s="1376"/>
      <c r="BM193" s="1377"/>
      <c r="BN193" s="1377"/>
      <c r="BO193" s="1377"/>
      <c r="BP193" s="1440"/>
      <c r="BQ193" s="1420"/>
      <c r="BR193" s="1368"/>
      <c r="BS193" s="1368"/>
      <c r="BT193" s="1368"/>
      <c r="BU193" s="1369"/>
      <c r="BV193" s="1420"/>
      <c r="BW193" s="1368"/>
      <c r="BX193" s="1368"/>
      <c r="BY193" s="1368"/>
      <c r="BZ193" s="1368"/>
      <c r="CA193" s="1420"/>
      <c r="CB193" s="1368"/>
      <c r="CC193" s="1368"/>
      <c r="CD193" s="1368"/>
      <c r="CE193" s="1369"/>
      <c r="CF193" s="1368"/>
      <c r="CG193" s="1368"/>
      <c r="CH193" s="1368"/>
      <c r="CI193" s="1368"/>
      <c r="CJ193" s="1369"/>
      <c r="CK193" s="1420"/>
      <c r="CL193" s="1368"/>
      <c r="CM193" s="1368"/>
      <c r="CN193" s="1368"/>
      <c r="CO193" s="1369"/>
      <c r="CP193" s="1420"/>
      <c r="CQ193" s="1368"/>
      <c r="CR193" s="1368"/>
      <c r="CS193" s="1368"/>
      <c r="CT193" s="1369"/>
      <c r="CU193" s="1528"/>
      <c r="CV193" s="1519"/>
      <c r="CW193" s="1519"/>
      <c r="CX193" s="1728"/>
      <c r="CY193" s="1519"/>
      <c r="CZ193" s="1519"/>
      <c r="DA193" s="1519"/>
      <c r="DB193" s="1728"/>
      <c r="DC193" s="1377"/>
      <c r="DD193" s="1729"/>
      <c r="DE193" s="1734"/>
    </row>
    <row r="194" spans="1:109" ht="15.75" hidden="1" customHeight="1">
      <c r="A194" s="772" t="s">
        <v>1068</v>
      </c>
      <c r="B194" s="773">
        <v>188</v>
      </c>
      <c r="C194" s="789" t="s">
        <v>2726</v>
      </c>
      <c r="D194" s="773" t="s">
        <v>2714</v>
      </c>
      <c r="E194" s="773" t="s">
        <v>1907</v>
      </c>
      <c r="F194" s="785" t="s">
        <v>2727</v>
      </c>
      <c r="G194" s="790" t="s">
        <v>167</v>
      </c>
      <c r="H194" s="791" t="s">
        <v>2728</v>
      </c>
      <c r="I194" s="792"/>
      <c r="J194" s="793">
        <v>1</v>
      </c>
      <c r="K194" s="793"/>
      <c r="L194" s="793"/>
      <c r="M194" s="793"/>
      <c r="N194" s="793"/>
      <c r="O194" s="793"/>
      <c r="P194" s="794"/>
      <c r="Q194" s="795">
        <f t="shared" si="2"/>
        <v>1</v>
      </c>
      <c r="R194" s="789" t="s">
        <v>1026</v>
      </c>
      <c r="S194" s="773" t="s">
        <v>1008</v>
      </c>
      <c r="T194" s="796" t="s">
        <v>1009</v>
      </c>
      <c r="U194" s="773" t="s">
        <v>2085</v>
      </c>
      <c r="V194" s="773" t="s">
        <v>278</v>
      </c>
      <c r="W194" s="773" t="s">
        <v>2729</v>
      </c>
      <c r="X194" s="1274">
        <v>2</v>
      </c>
      <c r="Y194" s="821" t="s">
        <v>1020</v>
      </c>
      <c r="Z194" s="790" t="s">
        <v>167</v>
      </c>
      <c r="AA194" s="785"/>
      <c r="AB194" s="785"/>
      <c r="AC194" s="785"/>
      <c r="AD194" s="785"/>
      <c r="AE194" s="785"/>
      <c r="AF194" s="799"/>
      <c r="AG194" s="800"/>
      <c r="AH194" s="800"/>
      <c r="AI194" s="800"/>
      <c r="AJ194" s="800"/>
      <c r="AK194" s="800"/>
      <c r="AL194" s="800"/>
      <c r="AM194" s="800"/>
      <c r="AN194" s="800"/>
      <c r="AO194" s="800"/>
      <c r="AP194" s="800"/>
      <c r="AQ194" s="1421"/>
      <c r="AR194" s="1373"/>
      <c r="AS194" s="1373"/>
      <c r="AT194" s="1373"/>
      <c r="AU194" s="1374"/>
      <c r="AV194" s="808"/>
      <c r="AW194" s="800"/>
      <c r="AX194" s="800"/>
      <c r="AY194" s="800"/>
      <c r="AZ194" s="800"/>
      <c r="BA194" s="800"/>
      <c r="BB194" s="800"/>
      <c r="BC194" s="800"/>
      <c r="BD194" s="800"/>
      <c r="BE194" s="800"/>
      <c r="BF194" s="800"/>
      <c r="BG194" s="800"/>
      <c r="BH194" s="800"/>
      <c r="BI194" s="800"/>
      <c r="BJ194" s="800"/>
      <c r="BK194" s="805"/>
      <c r="BL194" s="1376"/>
      <c r="BM194" s="1377"/>
      <c r="BN194" s="1377"/>
      <c r="BO194" s="1377"/>
      <c r="BP194" s="1440"/>
      <c r="BQ194" s="1420"/>
      <c r="BR194" s="1368"/>
      <c r="BS194" s="1368"/>
      <c r="BT194" s="1368"/>
      <c r="BU194" s="1369"/>
      <c r="BV194" s="1420"/>
      <c r="BW194" s="1368"/>
      <c r="BX194" s="1368"/>
      <c r="BY194" s="1368"/>
      <c r="BZ194" s="1368"/>
      <c r="CA194" s="1420"/>
      <c r="CB194" s="1368"/>
      <c r="CC194" s="1368"/>
      <c r="CD194" s="1368"/>
      <c r="CE194" s="1369"/>
      <c r="CF194" s="1368"/>
      <c r="CG194" s="1368"/>
      <c r="CH194" s="1368"/>
      <c r="CI194" s="1368"/>
      <c r="CJ194" s="1369"/>
      <c r="CK194" s="1420"/>
      <c r="CL194" s="1368"/>
      <c r="CM194" s="1368"/>
      <c r="CN194" s="1368"/>
      <c r="CO194" s="1369"/>
      <c r="CP194" s="1420"/>
      <c r="CQ194" s="1368"/>
      <c r="CR194" s="1368"/>
      <c r="CS194" s="1368"/>
      <c r="CT194" s="1369"/>
      <c r="CU194" s="1528"/>
      <c r="CV194" s="1519"/>
      <c r="CW194" s="1519"/>
      <c r="CX194" s="1728"/>
      <c r="CY194" s="1519"/>
      <c r="CZ194" s="1519"/>
      <c r="DA194" s="1519"/>
      <c r="DB194" s="1728"/>
      <c r="DC194" s="1377"/>
      <c r="DD194" s="1729"/>
      <c r="DE194" s="1734"/>
    </row>
    <row r="195" spans="1:109" ht="15.75" hidden="1" customHeight="1">
      <c r="A195" s="772" t="s">
        <v>1068</v>
      </c>
      <c r="B195" s="773">
        <v>189</v>
      </c>
      <c r="C195" s="789" t="s">
        <v>2730</v>
      </c>
      <c r="D195" s="773" t="s">
        <v>2714</v>
      </c>
      <c r="E195" s="773" t="s">
        <v>1896</v>
      </c>
      <c r="F195" s="785" t="s">
        <v>2731</v>
      </c>
      <c r="G195" s="790" t="s">
        <v>2147</v>
      </c>
      <c r="H195" s="791" t="s">
        <v>2732</v>
      </c>
      <c r="I195" s="792"/>
      <c r="J195" s="793">
        <v>1</v>
      </c>
      <c r="K195" s="793"/>
      <c r="L195" s="793"/>
      <c r="M195" s="793"/>
      <c r="N195" s="793"/>
      <c r="O195" s="793"/>
      <c r="P195" s="794"/>
      <c r="Q195" s="795">
        <f t="shared" si="2"/>
        <v>1</v>
      </c>
      <c r="R195" s="789" t="s">
        <v>1026</v>
      </c>
      <c r="S195" s="773" t="s">
        <v>1008</v>
      </c>
      <c r="T195" s="796" t="s">
        <v>1009</v>
      </c>
      <c r="U195" s="773" t="s">
        <v>2149</v>
      </c>
      <c r="V195" s="773" t="s">
        <v>1033</v>
      </c>
      <c r="W195" s="773" t="s">
        <v>2733</v>
      </c>
      <c r="X195" s="1274">
        <v>2</v>
      </c>
      <c r="Y195" s="798" t="s">
        <v>1020</v>
      </c>
      <c r="Z195" s="790" t="s">
        <v>2002</v>
      </c>
      <c r="AA195" s="785"/>
      <c r="AB195" s="785"/>
      <c r="AC195" s="785"/>
      <c r="AD195" s="785"/>
      <c r="AE195" s="785"/>
      <c r="AF195" s="799"/>
      <c r="AG195" s="807"/>
      <c r="AH195" s="807"/>
      <c r="AI195" s="807"/>
      <c r="AJ195" s="807"/>
      <c r="AK195" s="807"/>
      <c r="AL195" s="807"/>
      <c r="AM195" s="807"/>
      <c r="AN195" s="807"/>
      <c r="AO195" s="807"/>
      <c r="AP195" s="807"/>
      <c r="AQ195" s="806">
        <v>0.44</v>
      </c>
      <c r="AR195" s="807">
        <v>0.43</v>
      </c>
      <c r="AS195" s="807">
        <v>0.43</v>
      </c>
      <c r="AT195" s="807">
        <v>0.42</v>
      </c>
      <c r="AU195" s="820">
        <v>0.41</v>
      </c>
      <c r="AV195" s="806"/>
      <c r="AW195" s="807"/>
      <c r="AX195" s="807"/>
      <c r="AY195" s="807"/>
      <c r="AZ195" s="807"/>
      <c r="BA195" s="807"/>
      <c r="BB195" s="807"/>
      <c r="BC195" s="807"/>
      <c r="BD195" s="807"/>
      <c r="BE195" s="807"/>
      <c r="BF195" s="807"/>
      <c r="BG195" s="807"/>
      <c r="BH195" s="807"/>
      <c r="BI195" s="807"/>
      <c r="BJ195" s="807"/>
      <c r="BK195" s="820"/>
      <c r="BL195" s="789" t="s">
        <v>168</v>
      </c>
      <c r="BM195" s="785" t="s">
        <v>168</v>
      </c>
      <c r="BN195" s="785" t="s">
        <v>168</v>
      </c>
      <c r="BO195" s="785" t="s">
        <v>168</v>
      </c>
      <c r="BP195" s="796" t="s">
        <v>168</v>
      </c>
      <c r="BQ195" s="808" t="s">
        <v>1942</v>
      </c>
      <c r="BR195" s="800" t="s">
        <v>1942</v>
      </c>
      <c r="BS195" s="800" t="s">
        <v>1942</v>
      </c>
      <c r="BT195" s="800" t="s">
        <v>1942</v>
      </c>
      <c r="BU195" s="805" t="s">
        <v>1942</v>
      </c>
      <c r="BV195" s="804" t="s">
        <v>1942</v>
      </c>
      <c r="BW195" s="800" t="s">
        <v>1942</v>
      </c>
      <c r="BX195" s="800" t="s">
        <v>1942</v>
      </c>
      <c r="BY195" s="800" t="s">
        <v>1942</v>
      </c>
      <c r="BZ195" s="800" t="s">
        <v>1942</v>
      </c>
      <c r="CA195" s="806" t="s">
        <v>1942</v>
      </c>
      <c r="CB195" s="807" t="s">
        <v>1942</v>
      </c>
      <c r="CC195" s="807" t="s">
        <v>1942</v>
      </c>
      <c r="CD195" s="807" t="s">
        <v>1942</v>
      </c>
      <c r="CE195" s="820" t="s">
        <v>1942</v>
      </c>
      <c r="CF195" s="807" t="s">
        <v>1942</v>
      </c>
      <c r="CG195" s="807" t="s">
        <v>1942</v>
      </c>
      <c r="CH195" s="807" t="s">
        <v>1942</v>
      </c>
      <c r="CI195" s="807" t="s">
        <v>1942</v>
      </c>
      <c r="CJ195" s="820" t="s">
        <v>1942</v>
      </c>
      <c r="CK195" s="808" t="s">
        <v>1942</v>
      </c>
      <c r="CL195" s="800" t="s">
        <v>1942</v>
      </c>
      <c r="CM195" s="800" t="s">
        <v>1942</v>
      </c>
      <c r="CN195" s="800" t="s">
        <v>1942</v>
      </c>
      <c r="CO195" s="805" t="s">
        <v>1942</v>
      </c>
      <c r="CP195" s="808" t="s">
        <v>1942</v>
      </c>
      <c r="CQ195" s="800" t="s">
        <v>1942</v>
      </c>
      <c r="CR195" s="800" t="s">
        <v>1942</v>
      </c>
      <c r="CS195" s="800" t="s">
        <v>1942</v>
      </c>
      <c r="CT195" s="805" t="s">
        <v>1942</v>
      </c>
      <c r="CU195" s="1284">
        <v>-0.54400000000000004</v>
      </c>
      <c r="CV195" s="1283" t="s">
        <v>1942</v>
      </c>
      <c r="CW195" s="1283" t="s">
        <v>1942</v>
      </c>
      <c r="CX195" s="1285" t="s">
        <v>1942</v>
      </c>
      <c r="CY195" s="1283" t="s">
        <v>1942</v>
      </c>
      <c r="CZ195" s="1283" t="s">
        <v>1942</v>
      </c>
      <c r="DA195" s="1283" t="s">
        <v>1942</v>
      </c>
      <c r="DB195" s="1285" t="s">
        <v>1942</v>
      </c>
      <c r="DC195" s="785"/>
      <c r="DD195" s="813">
        <v>1</v>
      </c>
      <c r="DE195" s="814"/>
    </row>
    <row r="196" spans="1:109" ht="15.75" hidden="1" customHeight="1">
      <c r="A196" s="772" t="s">
        <v>1068</v>
      </c>
      <c r="B196" s="773">
        <v>190</v>
      </c>
      <c r="C196" s="789" t="s">
        <v>2734</v>
      </c>
      <c r="D196" s="773" t="s">
        <v>2714</v>
      </c>
      <c r="E196" s="773" t="s">
        <v>1907</v>
      </c>
      <c r="F196" s="785" t="s">
        <v>2735</v>
      </c>
      <c r="G196" s="790" t="s">
        <v>1987</v>
      </c>
      <c r="H196" s="791" t="s">
        <v>2736</v>
      </c>
      <c r="I196" s="792"/>
      <c r="J196" s="793">
        <v>1</v>
      </c>
      <c r="K196" s="793"/>
      <c r="L196" s="793"/>
      <c r="M196" s="793"/>
      <c r="N196" s="793"/>
      <c r="O196" s="793"/>
      <c r="P196" s="794"/>
      <c r="Q196" s="795">
        <f t="shared" si="2"/>
        <v>1</v>
      </c>
      <c r="R196" s="789" t="s">
        <v>1026</v>
      </c>
      <c r="S196" s="773" t="s">
        <v>1008</v>
      </c>
      <c r="T196" s="796" t="s">
        <v>1009</v>
      </c>
      <c r="U196" s="773" t="s">
        <v>1985</v>
      </c>
      <c r="V196" s="773" t="s">
        <v>1033</v>
      </c>
      <c r="W196" s="773" t="s">
        <v>2737</v>
      </c>
      <c r="X196" s="829">
        <v>0</v>
      </c>
      <c r="Y196" s="798" t="s">
        <v>1020</v>
      </c>
      <c r="Z196" s="790" t="s">
        <v>1987</v>
      </c>
      <c r="AA196" s="785"/>
      <c r="AB196" s="785"/>
      <c r="AC196" s="785"/>
      <c r="AD196" s="785"/>
      <c r="AE196" s="785"/>
      <c r="AF196" s="799"/>
      <c r="AG196" s="800"/>
      <c r="AH196" s="800"/>
      <c r="AI196" s="800"/>
      <c r="AJ196" s="800"/>
      <c r="AK196" s="800"/>
      <c r="AL196" s="800"/>
      <c r="AM196" s="800"/>
      <c r="AN196" s="800"/>
      <c r="AO196" s="800"/>
      <c r="AP196" s="800"/>
      <c r="AQ196" s="808">
        <v>60</v>
      </c>
      <c r="AR196" s="800">
        <v>50</v>
      </c>
      <c r="AS196" s="800">
        <v>40</v>
      </c>
      <c r="AT196" s="800">
        <v>30</v>
      </c>
      <c r="AU196" s="805">
        <v>18</v>
      </c>
      <c r="AV196" s="808"/>
      <c r="AW196" s="800"/>
      <c r="AX196" s="800"/>
      <c r="AY196" s="800"/>
      <c r="AZ196" s="800"/>
      <c r="BA196" s="800"/>
      <c r="BB196" s="800"/>
      <c r="BC196" s="800"/>
      <c r="BD196" s="800"/>
      <c r="BE196" s="800"/>
      <c r="BF196" s="800"/>
      <c r="BG196" s="800"/>
      <c r="BH196" s="800"/>
      <c r="BI196" s="800"/>
      <c r="BJ196" s="800"/>
      <c r="BK196" s="805"/>
      <c r="BL196" s="789" t="s">
        <v>168</v>
      </c>
      <c r="BM196" s="785" t="s">
        <v>168</v>
      </c>
      <c r="BN196" s="785" t="s">
        <v>168</v>
      </c>
      <c r="BO196" s="785" t="s">
        <v>168</v>
      </c>
      <c r="BP196" s="796" t="s">
        <v>168</v>
      </c>
      <c r="BQ196" s="804" t="s">
        <v>1942</v>
      </c>
      <c r="BR196" s="800" t="s">
        <v>1942</v>
      </c>
      <c r="BS196" s="800" t="s">
        <v>1942</v>
      </c>
      <c r="BT196" s="800" t="s">
        <v>1942</v>
      </c>
      <c r="BU196" s="805" t="s">
        <v>1942</v>
      </c>
      <c r="BV196" s="804" t="s">
        <v>1942</v>
      </c>
      <c r="BW196" s="800" t="s">
        <v>1942</v>
      </c>
      <c r="BX196" s="800" t="s">
        <v>1942</v>
      </c>
      <c r="BY196" s="800" t="s">
        <v>1942</v>
      </c>
      <c r="BZ196" s="800" t="s">
        <v>1942</v>
      </c>
      <c r="CA196" s="808" t="s">
        <v>1942</v>
      </c>
      <c r="CB196" s="800" t="s">
        <v>1942</v>
      </c>
      <c r="CC196" s="800" t="s">
        <v>1942</v>
      </c>
      <c r="CD196" s="800" t="s">
        <v>1942</v>
      </c>
      <c r="CE196" s="805" t="s">
        <v>1942</v>
      </c>
      <c r="CF196" s="800" t="s">
        <v>1942</v>
      </c>
      <c r="CG196" s="800" t="s">
        <v>1942</v>
      </c>
      <c r="CH196" s="800" t="s">
        <v>1942</v>
      </c>
      <c r="CI196" s="800" t="s">
        <v>1942</v>
      </c>
      <c r="CJ196" s="805" t="s">
        <v>1942</v>
      </c>
      <c r="CK196" s="808" t="s">
        <v>1942</v>
      </c>
      <c r="CL196" s="800" t="s">
        <v>1942</v>
      </c>
      <c r="CM196" s="800" t="s">
        <v>1942</v>
      </c>
      <c r="CN196" s="800" t="s">
        <v>1942</v>
      </c>
      <c r="CO196" s="805" t="s">
        <v>1942</v>
      </c>
      <c r="CP196" s="808" t="s">
        <v>1942</v>
      </c>
      <c r="CQ196" s="800" t="s">
        <v>1942</v>
      </c>
      <c r="CR196" s="800" t="s">
        <v>1942</v>
      </c>
      <c r="CS196" s="800" t="s">
        <v>1942</v>
      </c>
      <c r="CT196" s="805" t="s">
        <v>1942</v>
      </c>
      <c r="CU196" s="1284">
        <v>-1.89E-3</v>
      </c>
      <c r="CV196" s="1283" t="s">
        <v>1942</v>
      </c>
      <c r="CW196" s="1283" t="s">
        <v>1942</v>
      </c>
      <c r="CX196" s="1285" t="s">
        <v>1942</v>
      </c>
      <c r="CY196" s="1283" t="s">
        <v>1942</v>
      </c>
      <c r="CZ196" s="1283" t="s">
        <v>1942</v>
      </c>
      <c r="DA196" s="1283" t="s">
        <v>1942</v>
      </c>
      <c r="DB196" s="1285" t="s">
        <v>1942</v>
      </c>
      <c r="DC196" s="785"/>
      <c r="DD196" s="813">
        <v>1</v>
      </c>
      <c r="DE196" s="814"/>
    </row>
    <row r="197" spans="1:109" ht="15.75" hidden="1" customHeight="1">
      <c r="A197" s="772" t="s">
        <v>1068</v>
      </c>
      <c r="B197" s="773">
        <v>191</v>
      </c>
      <c r="C197" s="789" t="s">
        <v>2738</v>
      </c>
      <c r="D197" s="773" t="s">
        <v>2739</v>
      </c>
      <c r="E197" s="773" t="s">
        <v>1907</v>
      </c>
      <c r="F197" s="785" t="s">
        <v>2740</v>
      </c>
      <c r="G197" s="790" t="s">
        <v>2741</v>
      </c>
      <c r="H197" s="791" t="s">
        <v>2742</v>
      </c>
      <c r="I197" s="792"/>
      <c r="J197" s="793">
        <v>1</v>
      </c>
      <c r="K197" s="793"/>
      <c r="L197" s="793"/>
      <c r="M197" s="793"/>
      <c r="N197" s="793"/>
      <c r="O197" s="793"/>
      <c r="P197" s="794"/>
      <c r="Q197" s="795">
        <f t="shared" si="2"/>
        <v>1</v>
      </c>
      <c r="R197" s="789" t="s">
        <v>1030</v>
      </c>
      <c r="S197" s="773" t="s">
        <v>1008</v>
      </c>
      <c r="T197" s="796" t="s">
        <v>1009</v>
      </c>
      <c r="U197" s="773" t="s">
        <v>1967</v>
      </c>
      <c r="V197" s="773" t="s">
        <v>1033</v>
      </c>
      <c r="W197" s="773" t="s">
        <v>2743</v>
      </c>
      <c r="X197" s="829">
        <v>0</v>
      </c>
      <c r="Y197" s="798" t="s">
        <v>1010</v>
      </c>
      <c r="Z197" s="790"/>
      <c r="AA197" s="785"/>
      <c r="AB197" s="785"/>
      <c r="AC197" s="785"/>
      <c r="AD197" s="785"/>
      <c r="AE197" s="785"/>
      <c r="AF197" s="799"/>
      <c r="AG197" s="800"/>
      <c r="AH197" s="800"/>
      <c r="AI197" s="800"/>
      <c r="AJ197" s="800"/>
      <c r="AK197" s="800"/>
      <c r="AL197" s="800"/>
      <c r="AM197" s="800"/>
      <c r="AN197" s="800"/>
      <c r="AO197" s="800"/>
      <c r="AP197" s="800"/>
      <c r="AQ197" s="808">
        <v>10</v>
      </c>
      <c r="AR197" s="800">
        <v>20</v>
      </c>
      <c r="AS197" s="800">
        <v>30</v>
      </c>
      <c r="AT197" s="800">
        <v>40</v>
      </c>
      <c r="AU197" s="805">
        <v>50</v>
      </c>
      <c r="AV197" s="808"/>
      <c r="AW197" s="800"/>
      <c r="AX197" s="800"/>
      <c r="AY197" s="800"/>
      <c r="AZ197" s="800"/>
      <c r="BA197" s="800"/>
      <c r="BB197" s="800"/>
      <c r="BC197" s="800"/>
      <c r="BD197" s="800"/>
      <c r="BE197" s="800"/>
      <c r="BF197" s="800"/>
      <c r="BG197" s="800"/>
      <c r="BH197" s="800"/>
      <c r="BI197" s="800"/>
      <c r="BJ197" s="800"/>
      <c r="BK197" s="805"/>
      <c r="BL197" s="789" t="s">
        <v>168</v>
      </c>
      <c r="BM197" s="785" t="s">
        <v>168</v>
      </c>
      <c r="BN197" s="785" t="s">
        <v>168</v>
      </c>
      <c r="BO197" s="785" t="s">
        <v>168</v>
      </c>
      <c r="BP197" s="796" t="s">
        <v>168</v>
      </c>
      <c r="BQ197" s="808" t="s">
        <v>1942</v>
      </c>
      <c r="BR197" s="800" t="s">
        <v>1942</v>
      </c>
      <c r="BS197" s="800" t="s">
        <v>1942</v>
      </c>
      <c r="BT197" s="800" t="s">
        <v>1942</v>
      </c>
      <c r="BU197" s="805" t="s">
        <v>1942</v>
      </c>
      <c r="BV197" s="808" t="s">
        <v>1942</v>
      </c>
      <c r="BW197" s="800" t="s">
        <v>1942</v>
      </c>
      <c r="BX197" s="800" t="s">
        <v>1942</v>
      </c>
      <c r="BY197" s="800" t="s">
        <v>1942</v>
      </c>
      <c r="BZ197" s="800" t="s">
        <v>1942</v>
      </c>
      <c r="CA197" s="808" t="s">
        <v>1942</v>
      </c>
      <c r="CB197" s="800" t="s">
        <v>1942</v>
      </c>
      <c r="CC197" s="800" t="s">
        <v>1942</v>
      </c>
      <c r="CD197" s="800" t="s">
        <v>1942</v>
      </c>
      <c r="CE197" s="805" t="s">
        <v>1942</v>
      </c>
      <c r="CF197" s="800" t="s">
        <v>1942</v>
      </c>
      <c r="CG197" s="800" t="s">
        <v>1942</v>
      </c>
      <c r="CH197" s="800" t="s">
        <v>1942</v>
      </c>
      <c r="CI197" s="800" t="s">
        <v>1942</v>
      </c>
      <c r="CJ197" s="805" t="s">
        <v>1942</v>
      </c>
      <c r="CK197" s="808" t="s">
        <v>1942</v>
      </c>
      <c r="CL197" s="800" t="s">
        <v>1942</v>
      </c>
      <c r="CM197" s="800" t="s">
        <v>1942</v>
      </c>
      <c r="CN197" s="800" t="s">
        <v>1942</v>
      </c>
      <c r="CO197" s="805" t="s">
        <v>1942</v>
      </c>
      <c r="CP197" s="808" t="s">
        <v>1942</v>
      </c>
      <c r="CQ197" s="800" t="s">
        <v>1942</v>
      </c>
      <c r="CR197" s="800" t="s">
        <v>1942</v>
      </c>
      <c r="CS197" s="800" t="s">
        <v>1942</v>
      </c>
      <c r="CT197" s="805" t="s">
        <v>1942</v>
      </c>
      <c r="CU197" s="1284">
        <v>-8.0000000000000004E-4</v>
      </c>
      <c r="CV197" s="1283" t="s">
        <v>1942</v>
      </c>
      <c r="CW197" s="1283" t="s">
        <v>1942</v>
      </c>
      <c r="CX197" s="1285" t="s">
        <v>1942</v>
      </c>
      <c r="CY197" s="1283">
        <v>4.0000000000000002E-4</v>
      </c>
      <c r="CZ197" s="1283" t="s">
        <v>1942</v>
      </c>
      <c r="DA197" s="1283" t="s">
        <v>1942</v>
      </c>
      <c r="DB197" s="1285" t="s">
        <v>1942</v>
      </c>
      <c r="DC197" s="785"/>
      <c r="DD197" s="813">
        <v>1</v>
      </c>
      <c r="DE197" s="814"/>
    </row>
    <row r="198" spans="1:109" ht="15.75" hidden="1" customHeight="1">
      <c r="A198" s="772" t="s">
        <v>1068</v>
      </c>
      <c r="B198" s="773">
        <v>192</v>
      </c>
      <c r="C198" s="789" t="s">
        <v>2744</v>
      </c>
      <c r="D198" s="773" t="s">
        <v>2739</v>
      </c>
      <c r="E198" s="773" t="s">
        <v>1907</v>
      </c>
      <c r="F198" s="785" t="s">
        <v>2745</v>
      </c>
      <c r="G198" s="790" t="s">
        <v>2110</v>
      </c>
      <c r="H198" s="791" t="s">
        <v>2746</v>
      </c>
      <c r="I198" s="792">
        <v>1</v>
      </c>
      <c r="J198" s="793"/>
      <c r="K198" s="793"/>
      <c r="L198" s="793"/>
      <c r="M198" s="793"/>
      <c r="N198" s="793"/>
      <c r="O198" s="793"/>
      <c r="P198" s="794"/>
      <c r="Q198" s="795">
        <f t="shared" si="2"/>
        <v>1</v>
      </c>
      <c r="R198" s="789" t="s">
        <v>1030</v>
      </c>
      <c r="S198" s="773" t="s">
        <v>1008</v>
      </c>
      <c r="T198" s="796" t="s">
        <v>1009</v>
      </c>
      <c r="U198" s="773" t="s">
        <v>1979</v>
      </c>
      <c r="V198" s="773" t="s">
        <v>1033</v>
      </c>
      <c r="W198" s="773" t="s">
        <v>1980</v>
      </c>
      <c r="X198" s="829">
        <v>1</v>
      </c>
      <c r="Y198" s="798" t="s">
        <v>1020</v>
      </c>
      <c r="Z198" s="790"/>
      <c r="AA198" s="785"/>
      <c r="AB198" s="785"/>
      <c r="AC198" s="785"/>
      <c r="AD198" s="785"/>
      <c r="AE198" s="785"/>
      <c r="AF198" s="799"/>
      <c r="AG198" s="800"/>
      <c r="AH198" s="800"/>
      <c r="AI198" s="800"/>
      <c r="AJ198" s="800"/>
      <c r="AK198" s="800"/>
      <c r="AL198" s="800"/>
      <c r="AM198" s="800"/>
      <c r="AN198" s="800"/>
      <c r="AO198" s="800"/>
      <c r="AP198" s="800"/>
      <c r="AQ198" s="808">
        <v>0</v>
      </c>
      <c r="AR198" s="800">
        <v>0</v>
      </c>
      <c r="AS198" s="800">
        <v>0</v>
      </c>
      <c r="AT198" s="800">
        <v>0</v>
      </c>
      <c r="AU198" s="805">
        <v>0</v>
      </c>
      <c r="AV198" s="808"/>
      <c r="AW198" s="800"/>
      <c r="AX198" s="800"/>
      <c r="AY198" s="800"/>
      <c r="AZ198" s="800"/>
      <c r="BA198" s="800"/>
      <c r="BB198" s="800"/>
      <c r="BC198" s="800"/>
      <c r="BD198" s="800"/>
      <c r="BE198" s="800"/>
      <c r="BF198" s="800"/>
      <c r="BG198" s="800"/>
      <c r="BH198" s="800"/>
      <c r="BI198" s="800"/>
      <c r="BJ198" s="800"/>
      <c r="BK198" s="805"/>
      <c r="BL198" s="789" t="s">
        <v>168</v>
      </c>
      <c r="BM198" s="785" t="s">
        <v>168</v>
      </c>
      <c r="BN198" s="785" t="s">
        <v>168</v>
      </c>
      <c r="BO198" s="785" t="s">
        <v>168</v>
      </c>
      <c r="BP198" s="796" t="s">
        <v>168</v>
      </c>
      <c r="BQ198" s="808" t="s">
        <v>1942</v>
      </c>
      <c r="BR198" s="800" t="s">
        <v>1942</v>
      </c>
      <c r="BS198" s="800" t="s">
        <v>1942</v>
      </c>
      <c r="BT198" s="800" t="s">
        <v>1942</v>
      </c>
      <c r="BU198" s="805" t="s">
        <v>1942</v>
      </c>
      <c r="BV198" s="808" t="s">
        <v>1942</v>
      </c>
      <c r="BW198" s="800" t="s">
        <v>1942</v>
      </c>
      <c r="BX198" s="800" t="s">
        <v>1942</v>
      </c>
      <c r="BY198" s="800" t="s">
        <v>1942</v>
      </c>
      <c r="BZ198" s="800" t="s">
        <v>1942</v>
      </c>
      <c r="CA198" s="808" t="s">
        <v>1942</v>
      </c>
      <c r="CB198" s="800" t="s">
        <v>1942</v>
      </c>
      <c r="CC198" s="800" t="s">
        <v>1942</v>
      </c>
      <c r="CD198" s="800" t="s">
        <v>1942</v>
      </c>
      <c r="CE198" s="805" t="s">
        <v>1942</v>
      </c>
      <c r="CF198" s="800" t="s">
        <v>1942</v>
      </c>
      <c r="CG198" s="800" t="s">
        <v>1942</v>
      </c>
      <c r="CH198" s="800" t="s">
        <v>1942</v>
      </c>
      <c r="CI198" s="800" t="s">
        <v>1942</v>
      </c>
      <c r="CJ198" s="800" t="s">
        <v>1942</v>
      </c>
      <c r="CK198" s="808">
        <v>-1.7</v>
      </c>
      <c r="CL198" s="800">
        <v>-1.7</v>
      </c>
      <c r="CM198" s="800">
        <v>-1.7</v>
      </c>
      <c r="CN198" s="800">
        <v>-1.7</v>
      </c>
      <c r="CO198" s="805">
        <v>-1.7</v>
      </c>
      <c r="CP198" s="808" t="s">
        <v>1942</v>
      </c>
      <c r="CQ198" s="800" t="s">
        <v>1942</v>
      </c>
      <c r="CR198" s="800" t="s">
        <v>1942</v>
      </c>
      <c r="CS198" s="800" t="s">
        <v>1942</v>
      </c>
      <c r="CT198" s="805" t="s">
        <v>1942</v>
      </c>
      <c r="CU198" s="1284">
        <v>-1.9E-2</v>
      </c>
      <c r="CV198" s="1283" t="s">
        <v>1942</v>
      </c>
      <c r="CW198" s="1283" t="s">
        <v>1942</v>
      </c>
      <c r="CX198" s="1285" t="s">
        <v>1942</v>
      </c>
      <c r="CY198" s="1283">
        <v>1.6799999999999999E-2</v>
      </c>
      <c r="CZ198" s="1283" t="s">
        <v>1942</v>
      </c>
      <c r="DA198" s="1283" t="s">
        <v>1942</v>
      </c>
      <c r="DB198" s="1285" t="s">
        <v>1942</v>
      </c>
      <c r="DC198" s="785"/>
      <c r="DD198" s="813">
        <v>1</v>
      </c>
      <c r="DE198" s="814"/>
    </row>
    <row r="199" spans="1:109" ht="15.75" hidden="1" customHeight="1">
      <c r="A199" s="772" t="s">
        <v>1068</v>
      </c>
      <c r="B199" s="773">
        <v>193</v>
      </c>
      <c r="C199" s="789" t="s">
        <v>2747</v>
      </c>
      <c r="D199" s="773" t="s">
        <v>2739</v>
      </c>
      <c r="E199" s="773" t="s">
        <v>1907</v>
      </c>
      <c r="F199" s="785" t="s">
        <v>2748</v>
      </c>
      <c r="G199" s="790" t="s">
        <v>2749</v>
      </c>
      <c r="H199" s="791" t="s">
        <v>2750</v>
      </c>
      <c r="I199" s="792"/>
      <c r="J199" s="793">
        <v>1</v>
      </c>
      <c r="K199" s="793"/>
      <c r="L199" s="793"/>
      <c r="M199" s="793"/>
      <c r="N199" s="793"/>
      <c r="O199" s="793"/>
      <c r="P199" s="794"/>
      <c r="Q199" s="795">
        <f t="shared" si="2"/>
        <v>1</v>
      </c>
      <c r="R199" s="789" t="s">
        <v>2751</v>
      </c>
      <c r="S199" s="773" t="s">
        <v>1008</v>
      </c>
      <c r="T199" s="796" t="s">
        <v>1019</v>
      </c>
      <c r="U199" s="773" t="s">
        <v>2289</v>
      </c>
      <c r="V199" s="773" t="s">
        <v>123</v>
      </c>
      <c r="W199" s="773" t="s">
        <v>2752</v>
      </c>
      <c r="X199" s="929">
        <v>3</v>
      </c>
      <c r="Y199" s="819" t="s">
        <v>1010</v>
      </c>
      <c r="Z199" s="790"/>
      <c r="AA199" s="785"/>
      <c r="AB199" s="785"/>
      <c r="AC199" s="785"/>
      <c r="AD199" s="785"/>
      <c r="AE199" s="785"/>
      <c r="AF199" s="799"/>
      <c r="AG199" s="800"/>
      <c r="AH199" s="800"/>
      <c r="AI199" s="800"/>
      <c r="AJ199" s="800"/>
      <c r="AK199" s="800"/>
      <c r="AL199" s="800"/>
      <c r="AM199" s="800"/>
      <c r="AN199" s="800"/>
      <c r="AO199" s="800"/>
      <c r="AP199" s="800"/>
      <c r="AQ199" s="806">
        <v>0.05</v>
      </c>
      <c r="AR199" s="807">
        <v>0.1</v>
      </c>
      <c r="AS199" s="807">
        <v>0.15</v>
      </c>
      <c r="AT199" s="807">
        <v>0.2</v>
      </c>
      <c r="AU199" s="820">
        <v>0.25</v>
      </c>
      <c r="AV199" s="808"/>
      <c r="AW199" s="800"/>
      <c r="AX199" s="800"/>
      <c r="AY199" s="800"/>
      <c r="AZ199" s="800"/>
      <c r="BA199" s="800"/>
      <c r="BB199" s="800"/>
      <c r="BC199" s="800"/>
      <c r="BD199" s="800"/>
      <c r="BE199" s="800"/>
      <c r="BF199" s="800"/>
      <c r="BG199" s="800"/>
      <c r="BH199" s="800"/>
      <c r="BI199" s="800"/>
      <c r="BJ199" s="800"/>
      <c r="BK199" s="805"/>
      <c r="BL199" s="789"/>
      <c r="BM199" s="785"/>
      <c r="BN199" s="785"/>
      <c r="BO199" s="785"/>
      <c r="BP199" s="796" t="s">
        <v>168</v>
      </c>
      <c r="BQ199" s="808" t="s">
        <v>1942</v>
      </c>
      <c r="BR199" s="800" t="s">
        <v>1942</v>
      </c>
      <c r="BS199" s="800" t="s">
        <v>1942</v>
      </c>
      <c r="BT199" s="800" t="s">
        <v>1942</v>
      </c>
      <c r="BU199" s="805" t="s">
        <v>1942</v>
      </c>
      <c r="BV199" s="808" t="s">
        <v>1942</v>
      </c>
      <c r="BW199" s="800" t="s">
        <v>1942</v>
      </c>
      <c r="BX199" s="800" t="s">
        <v>1942</v>
      </c>
      <c r="BY199" s="800" t="s">
        <v>1942</v>
      </c>
      <c r="BZ199" s="800" t="s">
        <v>1942</v>
      </c>
      <c r="CA199" s="808" t="s">
        <v>1942</v>
      </c>
      <c r="CB199" s="800" t="s">
        <v>1942</v>
      </c>
      <c r="CC199" s="800" t="s">
        <v>1942</v>
      </c>
      <c r="CD199" s="800" t="s">
        <v>1942</v>
      </c>
      <c r="CE199" s="805" t="s">
        <v>1942</v>
      </c>
      <c r="CF199" s="800" t="s">
        <v>1942</v>
      </c>
      <c r="CG199" s="800" t="s">
        <v>1942</v>
      </c>
      <c r="CH199" s="800" t="s">
        <v>1942</v>
      </c>
      <c r="CI199" s="800" t="s">
        <v>1942</v>
      </c>
      <c r="CJ199" s="805" t="s">
        <v>1942</v>
      </c>
      <c r="CK199" s="808" t="s">
        <v>1942</v>
      </c>
      <c r="CL199" s="800" t="s">
        <v>1942</v>
      </c>
      <c r="CM199" s="800" t="s">
        <v>1942</v>
      </c>
      <c r="CN199" s="800" t="s">
        <v>1942</v>
      </c>
      <c r="CO199" s="805" t="s">
        <v>1942</v>
      </c>
      <c r="CP199" s="808" t="s">
        <v>1942</v>
      </c>
      <c r="CQ199" s="800" t="s">
        <v>1942</v>
      </c>
      <c r="CR199" s="800" t="s">
        <v>1942</v>
      </c>
      <c r="CS199" s="800" t="s">
        <v>1942</v>
      </c>
      <c r="CT199" s="805" t="s">
        <v>1942</v>
      </c>
      <c r="CU199" s="1284">
        <v>-0.186</v>
      </c>
      <c r="CV199" s="1283" t="s">
        <v>1942</v>
      </c>
      <c r="CW199" s="1283" t="s">
        <v>1942</v>
      </c>
      <c r="CX199" s="1285" t="s">
        <v>1942</v>
      </c>
      <c r="CY199" s="1283">
        <v>0.186</v>
      </c>
      <c r="CZ199" s="1283" t="s">
        <v>1942</v>
      </c>
      <c r="DA199" s="1283" t="s">
        <v>1942</v>
      </c>
      <c r="DB199" s="1285" t="s">
        <v>1942</v>
      </c>
      <c r="DC199" s="785"/>
      <c r="DD199" s="813">
        <v>1</v>
      </c>
      <c r="DE199" s="814"/>
    </row>
    <row r="200" spans="1:109" ht="15.75" hidden="1" customHeight="1">
      <c r="A200" s="772" t="s">
        <v>1068</v>
      </c>
      <c r="B200" s="773">
        <v>194</v>
      </c>
      <c r="C200" s="789" t="s">
        <v>2753</v>
      </c>
      <c r="D200" s="773" t="s">
        <v>2739</v>
      </c>
      <c r="E200" s="773" t="s">
        <v>1889</v>
      </c>
      <c r="F200" s="785" t="s">
        <v>2754</v>
      </c>
      <c r="G200" s="790" t="s">
        <v>2755</v>
      </c>
      <c r="H200" s="791" t="s">
        <v>2756</v>
      </c>
      <c r="I200" s="792"/>
      <c r="J200" s="793">
        <v>1</v>
      </c>
      <c r="K200" s="793"/>
      <c r="L200" s="793"/>
      <c r="M200" s="793"/>
      <c r="N200" s="793"/>
      <c r="O200" s="793"/>
      <c r="P200" s="794"/>
      <c r="Q200" s="795">
        <f t="shared" si="2"/>
        <v>1</v>
      </c>
      <c r="R200" s="789" t="s">
        <v>1026</v>
      </c>
      <c r="S200" s="773" t="s">
        <v>1008</v>
      </c>
      <c r="T200" s="796" t="s">
        <v>1009</v>
      </c>
      <c r="U200" s="773" t="s">
        <v>2289</v>
      </c>
      <c r="V200" s="773" t="s">
        <v>278</v>
      </c>
      <c r="W200" s="773" t="s">
        <v>2757</v>
      </c>
      <c r="X200" s="829">
        <v>1</v>
      </c>
      <c r="Y200" s="819" t="s">
        <v>1010</v>
      </c>
      <c r="Z200" s="790"/>
      <c r="AA200" s="785"/>
      <c r="AB200" s="785"/>
      <c r="AC200" s="785"/>
      <c r="AD200" s="785"/>
      <c r="AE200" s="785"/>
      <c r="AF200" s="799"/>
      <c r="AG200" s="800"/>
      <c r="AH200" s="800"/>
      <c r="AI200" s="800"/>
      <c r="AJ200" s="800"/>
      <c r="AK200" s="800"/>
      <c r="AL200" s="800"/>
      <c r="AM200" s="800"/>
      <c r="AN200" s="800"/>
      <c r="AO200" s="800"/>
      <c r="AP200" s="800"/>
      <c r="AQ200" s="828">
        <v>90</v>
      </c>
      <c r="AR200" s="800">
        <v>90</v>
      </c>
      <c r="AS200" s="800">
        <v>90</v>
      </c>
      <c r="AT200" s="800">
        <v>90</v>
      </c>
      <c r="AU200" s="805">
        <v>90</v>
      </c>
      <c r="AV200" s="808"/>
      <c r="AW200" s="800"/>
      <c r="AX200" s="800"/>
      <c r="AY200" s="800"/>
      <c r="AZ200" s="800"/>
      <c r="BA200" s="800"/>
      <c r="BB200" s="800"/>
      <c r="BC200" s="800"/>
      <c r="BD200" s="800"/>
      <c r="BE200" s="800"/>
      <c r="BF200" s="800"/>
      <c r="BG200" s="800"/>
      <c r="BH200" s="800"/>
      <c r="BI200" s="800"/>
      <c r="BJ200" s="800"/>
      <c r="BK200" s="805"/>
      <c r="BL200" s="789" t="s">
        <v>168</v>
      </c>
      <c r="BM200" s="785" t="s">
        <v>168</v>
      </c>
      <c r="BN200" s="785" t="s">
        <v>168</v>
      </c>
      <c r="BO200" s="785" t="s">
        <v>168</v>
      </c>
      <c r="BP200" s="796" t="s">
        <v>168</v>
      </c>
      <c r="BQ200" s="808" t="s">
        <v>1942</v>
      </c>
      <c r="BR200" s="800" t="s">
        <v>1942</v>
      </c>
      <c r="BS200" s="800" t="s">
        <v>1942</v>
      </c>
      <c r="BT200" s="800" t="s">
        <v>1942</v>
      </c>
      <c r="BU200" s="805" t="s">
        <v>1942</v>
      </c>
      <c r="BV200" s="808">
        <v>70</v>
      </c>
      <c r="BW200" s="800">
        <v>70</v>
      </c>
      <c r="BX200" s="800">
        <v>70</v>
      </c>
      <c r="BY200" s="800">
        <v>70</v>
      </c>
      <c r="BZ200" s="800">
        <v>70</v>
      </c>
      <c r="CA200" s="817" t="s">
        <v>1942</v>
      </c>
      <c r="CB200" s="800" t="s">
        <v>1942</v>
      </c>
      <c r="CC200" s="800" t="s">
        <v>1942</v>
      </c>
      <c r="CD200" s="800" t="s">
        <v>1942</v>
      </c>
      <c r="CE200" s="805" t="s">
        <v>1942</v>
      </c>
      <c r="CF200" s="800" t="s">
        <v>1942</v>
      </c>
      <c r="CG200" s="800" t="s">
        <v>1942</v>
      </c>
      <c r="CH200" s="800" t="s">
        <v>1942</v>
      </c>
      <c r="CI200" s="800" t="s">
        <v>1942</v>
      </c>
      <c r="CJ200" s="805" t="s">
        <v>1942</v>
      </c>
      <c r="CK200" s="808" t="s">
        <v>1942</v>
      </c>
      <c r="CL200" s="800" t="s">
        <v>1942</v>
      </c>
      <c r="CM200" s="800" t="s">
        <v>1942</v>
      </c>
      <c r="CN200" s="800" t="s">
        <v>1942</v>
      </c>
      <c r="CO200" s="805" t="s">
        <v>1942</v>
      </c>
      <c r="CP200" s="808" t="s">
        <v>1942</v>
      </c>
      <c r="CQ200" s="800" t="s">
        <v>1942</v>
      </c>
      <c r="CR200" s="800" t="s">
        <v>1942</v>
      </c>
      <c r="CS200" s="800" t="s">
        <v>1942</v>
      </c>
      <c r="CT200" s="805" t="s">
        <v>1942</v>
      </c>
      <c r="CU200" s="1284">
        <v>-9.3999999999999997E-4</v>
      </c>
      <c r="CV200" s="1283" t="s">
        <v>1942</v>
      </c>
      <c r="CW200" s="1283" t="s">
        <v>1942</v>
      </c>
      <c r="CX200" s="1285" t="s">
        <v>1942</v>
      </c>
      <c r="CY200" s="1283" t="s">
        <v>1942</v>
      </c>
      <c r="CZ200" s="1283" t="s">
        <v>1942</v>
      </c>
      <c r="DA200" s="1283" t="s">
        <v>1942</v>
      </c>
      <c r="DB200" s="1285" t="s">
        <v>1942</v>
      </c>
      <c r="DC200" s="785"/>
      <c r="DD200" s="813">
        <v>1</v>
      </c>
      <c r="DE200" s="814"/>
    </row>
    <row r="201" spans="1:109" ht="15.75" hidden="1" customHeight="1">
      <c r="A201" s="772" t="s">
        <v>1068</v>
      </c>
      <c r="B201" s="773">
        <v>195</v>
      </c>
      <c r="C201" s="789" t="s">
        <v>2758</v>
      </c>
      <c r="D201" s="773" t="s">
        <v>2759</v>
      </c>
      <c r="E201" s="773" t="s">
        <v>1907</v>
      </c>
      <c r="F201" s="785" t="s">
        <v>2760</v>
      </c>
      <c r="G201" s="790" t="s">
        <v>2761</v>
      </c>
      <c r="H201" s="791" t="s">
        <v>2762</v>
      </c>
      <c r="I201" s="792"/>
      <c r="J201" s="793"/>
      <c r="K201" s="793"/>
      <c r="L201" s="793"/>
      <c r="M201" s="793">
        <v>1</v>
      </c>
      <c r="N201" s="793"/>
      <c r="O201" s="793"/>
      <c r="P201" s="794"/>
      <c r="Q201" s="795">
        <f t="shared" ref="Q201:Q264" si="3">SUM(I201:P201)</f>
        <v>1</v>
      </c>
      <c r="R201" s="789" t="s">
        <v>1030</v>
      </c>
      <c r="S201" s="773" t="s">
        <v>1008</v>
      </c>
      <c r="T201" s="796" t="s">
        <v>1009</v>
      </c>
      <c r="U201" s="773" t="s">
        <v>2763</v>
      </c>
      <c r="V201" s="773" t="s">
        <v>278</v>
      </c>
      <c r="W201" s="773" t="s">
        <v>2430</v>
      </c>
      <c r="X201" s="1274">
        <v>2</v>
      </c>
      <c r="Y201" s="819" t="s">
        <v>1020</v>
      </c>
      <c r="Z201" s="790"/>
      <c r="AA201" s="785"/>
      <c r="AB201" s="785"/>
      <c r="AC201" s="785"/>
      <c r="AD201" s="785"/>
      <c r="AE201" s="785"/>
      <c r="AF201" s="799"/>
      <c r="AG201" s="800"/>
      <c r="AH201" s="800"/>
      <c r="AI201" s="800"/>
      <c r="AJ201" s="800"/>
      <c r="AK201" s="800"/>
      <c r="AL201" s="807"/>
      <c r="AM201" s="807"/>
      <c r="AN201" s="807"/>
      <c r="AO201" s="807"/>
      <c r="AP201" s="807"/>
      <c r="AQ201" s="806">
        <v>2</v>
      </c>
      <c r="AR201" s="807">
        <v>2</v>
      </c>
      <c r="AS201" s="807">
        <v>2</v>
      </c>
      <c r="AT201" s="807">
        <v>2</v>
      </c>
      <c r="AU201" s="820">
        <v>2</v>
      </c>
      <c r="AV201" s="806"/>
      <c r="AW201" s="807"/>
      <c r="AX201" s="807"/>
      <c r="AY201" s="807"/>
      <c r="AZ201" s="807"/>
      <c r="BA201" s="807"/>
      <c r="BB201" s="807"/>
      <c r="BC201" s="807"/>
      <c r="BD201" s="807"/>
      <c r="BE201" s="807"/>
      <c r="BF201" s="807"/>
      <c r="BG201" s="807"/>
      <c r="BH201" s="807"/>
      <c r="BI201" s="807"/>
      <c r="BJ201" s="807"/>
      <c r="BK201" s="820"/>
      <c r="BL201" s="789" t="s">
        <v>168</v>
      </c>
      <c r="BM201" s="785" t="s">
        <v>168</v>
      </c>
      <c r="BN201" s="785" t="s">
        <v>168</v>
      </c>
      <c r="BO201" s="785" t="s">
        <v>168</v>
      </c>
      <c r="BP201" s="796" t="s">
        <v>168</v>
      </c>
      <c r="BQ201" s="808" t="s">
        <v>1942</v>
      </c>
      <c r="BR201" s="800" t="s">
        <v>1942</v>
      </c>
      <c r="BS201" s="800" t="s">
        <v>1942</v>
      </c>
      <c r="BT201" s="800" t="s">
        <v>1942</v>
      </c>
      <c r="BU201" s="805" t="s">
        <v>1942</v>
      </c>
      <c r="BV201" s="806">
        <v>2.62</v>
      </c>
      <c r="BW201" s="807">
        <v>2.62</v>
      </c>
      <c r="BX201" s="807">
        <v>2.62</v>
      </c>
      <c r="BY201" s="807">
        <v>2.62</v>
      </c>
      <c r="BZ201" s="807">
        <v>2.62</v>
      </c>
      <c r="CA201" s="808" t="s">
        <v>1942</v>
      </c>
      <c r="CB201" s="800" t="s">
        <v>1942</v>
      </c>
      <c r="CC201" s="800" t="s">
        <v>1942</v>
      </c>
      <c r="CD201" s="800" t="s">
        <v>1942</v>
      </c>
      <c r="CE201" s="805" t="s">
        <v>1942</v>
      </c>
      <c r="CF201" s="810" t="s">
        <v>1942</v>
      </c>
      <c r="CG201" s="810" t="s">
        <v>1942</v>
      </c>
      <c r="CH201" s="810" t="s">
        <v>1942</v>
      </c>
      <c r="CI201" s="810" t="s">
        <v>1942</v>
      </c>
      <c r="CJ201" s="811" t="s">
        <v>1942</v>
      </c>
      <c r="CK201" s="808">
        <v>1.5</v>
      </c>
      <c r="CL201" s="800">
        <v>1.5</v>
      </c>
      <c r="CM201" s="800">
        <v>1.5</v>
      </c>
      <c r="CN201" s="800">
        <v>1.5</v>
      </c>
      <c r="CO201" s="805">
        <v>1.5</v>
      </c>
      <c r="CP201" s="808" t="s">
        <v>1942</v>
      </c>
      <c r="CQ201" s="800" t="s">
        <v>1942</v>
      </c>
      <c r="CR201" s="800" t="s">
        <v>1942</v>
      </c>
      <c r="CS201" s="800" t="s">
        <v>1942</v>
      </c>
      <c r="CT201" s="805" t="s">
        <v>1942</v>
      </c>
      <c r="CU201" s="1284">
        <v>-0.14000000000000001</v>
      </c>
      <c r="CV201" s="1283" t="s">
        <v>1942</v>
      </c>
      <c r="CW201" s="1283" t="s">
        <v>1942</v>
      </c>
      <c r="CX201" s="1285" t="s">
        <v>1942</v>
      </c>
      <c r="CY201" s="1283">
        <v>0.14000000000000001</v>
      </c>
      <c r="CZ201" s="1283" t="s">
        <v>1942</v>
      </c>
      <c r="DA201" s="1283" t="s">
        <v>1942</v>
      </c>
      <c r="DB201" s="1285" t="s">
        <v>1942</v>
      </c>
      <c r="DC201" s="785"/>
      <c r="DD201" s="813">
        <v>1</v>
      </c>
      <c r="DE201" s="814"/>
    </row>
    <row r="202" spans="1:109" ht="15.75" hidden="1" customHeight="1">
      <c r="A202" s="772" t="s">
        <v>1068</v>
      </c>
      <c r="B202" s="773">
        <v>196</v>
      </c>
      <c r="C202" s="789" t="s">
        <v>2764</v>
      </c>
      <c r="D202" s="773" t="s">
        <v>2759</v>
      </c>
      <c r="E202" s="773" t="s">
        <v>1907</v>
      </c>
      <c r="F202" s="785" t="s">
        <v>2765</v>
      </c>
      <c r="G202" s="790" t="s">
        <v>2766</v>
      </c>
      <c r="H202" s="791" t="s">
        <v>2767</v>
      </c>
      <c r="I202" s="792"/>
      <c r="J202" s="793"/>
      <c r="K202" s="793"/>
      <c r="L202" s="793"/>
      <c r="M202" s="793">
        <v>1</v>
      </c>
      <c r="N202" s="793"/>
      <c r="O202" s="793"/>
      <c r="P202" s="794"/>
      <c r="Q202" s="795">
        <f t="shared" si="3"/>
        <v>1</v>
      </c>
      <c r="R202" s="789" t="s">
        <v>1026</v>
      </c>
      <c r="S202" s="773" t="s">
        <v>1008</v>
      </c>
      <c r="T202" s="796" t="s">
        <v>1009</v>
      </c>
      <c r="U202" s="773" t="s">
        <v>2029</v>
      </c>
      <c r="V202" s="773" t="s">
        <v>1033</v>
      </c>
      <c r="W202" s="773" t="s">
        <v>2768</v>
      </c>
      <c r="X202" s="829">
        <v>0</v>
      </c>
      <c r="Y202" s="821" t="s">
        <v>1010</v>
      </c>
      <c r="Z202" s="790"/>
      <c r="AA202" s="785"/>
      <c r="AB202" s="785"/>
      <c r="AC202" s="785"/>
      <c r="AD202" s="785"/>
      <c r="AE202" s="785"/>
      <c r="AF202" s="799"/>
      <c r="AG202" s="800"/>
      <c r="AH202" s="800"/>
      <c r="AI202" s="800"/>
      <c r="AJ202" s="800"/>
      <c r="AK202" s="800"/>
      <c r="AL202" s="800"/>
      <c r="AM202" s="800"/>
      <c r="AN202" s="800"/>
      <c r="AO202" s="800"/>
      <c r="AP202" s="800"/>
      <c r="AQ202" s="808">
        <v>8000</v>
      </c>
      <c r="AR202" s="800">
        <v>8500</v>
      </c>
      <c r="AS202" s="800">
        <v>9000</v>
      </c>
      <c r="AT202" s="800">
        <v>9500</v>
      </c>
      <c r="AU202" s="805">
        <v>10000</v>
      </c>
      <c r="AV202" s="808"/>
      <c r="AW202" s="800"/>
      <c r="AX202" s="800"/>
      <c r="AY202" s="800"/>
      <c r="AZ202" s="800"/>
      <c r="BA202" s="800"/>
      <c r="BB202" s="800"/>
      <c r="BC202" s="800"/>
      <c r="BD202" s="800"/>
      <c r="BE202" s="800"/>
      <c r="BF202" s="800"/>
      <c r="BG202" s="800"/>
      <c r="BH202" s="800"/>
      <c r="BI202" s="800"/>
      <c r="BJ202" s="800"/>
      <c r="BK202" s="805"/>
      <c r="BL202" s="789" t="s">
        <v>168</v>
      </c>
      <c r="BM202" s="785" t="s">
        <v>168</v>
      </c>
      <c r="BN202" s="785" t="s">
        <v>168</v>
      </c>
      <c r="BO202" s="785" t="s">
        <v>168</v>
      </c>
      <c r="BP202" s="796" t="s">
        <v>168</v>
      </c>
      <c r="BQ202" s="808" t="s">
        <v>1942</v>
      </c>
      <c r="BR202" s="800" t="s">
        <v>1942</v>
      </c>
      <c r="BS202" s="800" t="s">
        <v>1942</v>
      </c>
      <c r="BT202" s="800" t="s">
        <v>1942</v>
      </c>
      <c r="BU202" s="805" t="s">
        <v>1942</v>
      </c>
      <c r="BV202" s="808" t="s">
        <v>1942</v>
      </c>
      <c r="BW202" s="800" t="s">
        <v>1942</v>
      </c>
      <c r="BX202" s="800" t="s">
        <v>1942</v>
      </c>
      <c r="BY202" s="800" t="s">
        <v>1942</v>
      </c>
      <c r="BZ202" s="800" t="s">
        <v>1942</v>
      </c>
      <c r="CA202" s="808" t="s">
        <v>1942</v>
      </c>
      <c r="CB202" s="800" t="s">
        <v>1942</v>
      </c>
      <c r="CC202" s="800" t="s">
        <v>1942</v>
      </c>
      <c r="CD202" s="800" t="s">
        <v>1942</v>
      </c>
      <c r="CE202" s="805" t="s">
        <v>1942</v>
      </c>
      <c r="CF202" s="800" t="s">
        <v>1942</v>
      </c>
      <c r="CG202" s="800" t="s">
        <v>1942</v>
      </c>
      <c r="CH202" s="800" t="s">
        <v>1942</v>
      </c>
      <c r="CI202" s="800" t="s">
        <v>1942</v>
      </c>
      <c r="CJ202" s="805" t="s">
        <v>1942</v>
      </c>
      <c r="CK202" s="808" t="s">
        <v>1942</v>
      </c>
      <c r="CL202" s="800" t="s">
        <v>1942</v>
      </c>
      <c r="CM202" s="800" t="s">
        <v>1942</v>
      </c>
      <c r="CN202" s="800" t="s">
        <v>1942</v>
      </c>
      <c r="CO202" s="805" t="s">
        <v>1942</v>
      </c>
      <c r="CP202" s="808" t="s">
        <v>1942</v>
      </c>
      <c r="CQ202" s="800" t="s">
        <v>1942</v>
      </c>
      <c r="CR202" s="800" t="s">
        <v>1942</v>
      </c>
      <c r="CS202" s="800" t="s">
        <v>1942</v>
      </c>
      <c r="CT202" s="805" t="s">
        <v>1942</v>
      </c>
      <c r="CU202" s="1284">
        <v>-2.0999999999999999E-5</v>
      </c>
      <c r="CV202" s="1283" t="s">
        <v>1942</v>
      </c>
      <c r="CW202" s="1283" t="s">
        <v>1942</v>
      </c>
      <c r="CX202" s="1285" t="s">
        <v>1942</v>
      </c>
      <c r="CY202" s="1283" t="s">
        <v>1942</v>
      </c>
      <c r="CZ202" s="1283" t="s">
        <v>1942</v>
      </c>
      <c r="DA202" s="1283" t="s">
        <v>1942</v>
      </c>
      <c r="DB202" s="1285" t="s">
        <v>1942</v>
      </c>
      <c r="DC202" s="785"/>
      <c r="DD202" s="813">
        <v>1</v>
      </c>
      <c r="DE202" s="814"/>
    </row>
    <row r="203" spans="1:109" ht="15.75" hidden="1" customHeight="1">
      <c r="A203" s="772" t="s">
        <v>1068</v>
      </c>
      <c r="B203" s="773">
        <v>197</v>
      </c>
      <c r="C203" s="789" t="s">
        <v>2769</v>
      </c>
      <c r="D203" s="773" t="s">
        <v>2759</v>
      </c>
      <c r="E203" s="773" t="s">
        <v>1907</v>
      </c>
      <c r="F203" s="785" t="s">
        <v>2770</v>
      </c>
      <c r="G203" s="790" t="s">
        <v>1931</v>
      </c>
      <c r="H203" s="791" t="s">
        <v>2771</v>
      </c>
      <c r="I203" s="792"/>
      <c r="J203" s="793"/>
      <c r="K203" s="793"/>
      <c r="L203" s="793"/>
      <c r="M203" s="793">
        <v>1</v>
      </c>
      <c r="N203" s="793"/>
      <c r="O203" s="793"/>
      <c r="P203" s="794"/>
      <c r="Q203" s="795">
        <f t="shared" si="3"/>
        <v>1</v>
      </c>
      <c r="R203" s="789" t="s">
        <v>1030</v>
      </c>
      <c r="S203" s="773" t="s">
        <v>1008</v>
      </c>
      <c r="T203" s="796" t="s">
        <v>1009</v>
      </c>
      <c r="U203" s="773" t="s">
        <v>1069</v>
      </c>
      <c r="V203" s="773" t="s">
        <v>1081</v>
      </c>
      <c r="W203" s="773" t="s">
        <v>2772</v>
      </c>
      <c r="X203" s="1274">
        <v>2</v>
      </c>
      <c r="Y203" s="819" t="s">
        <v>1010</v>
      </c>
      <c r="Z203" s="790" t="s">
        <v>1931</v>
      </c>
      <c r="AA203" s="785"/>
      <c r="AB203" s="785"/>
      <c r="AC203" s="785"/>
      <c r="AD203" s="785"/>
      <c r="AE203" s="785"/>
      <c r="AF203" s="799"/>
      <c r="AG203" s="800"/>
      <c r="AH203" s="800"/>
      <c r="AI203" s="800"/>
      <c r="AJ203" s="800"/>
      <c r="AK203" s="800"/>
      <c r="AL203" s="800"/>
      <c r="AM203" s="800"/>
      <c r="AN203" s="800"/>
      <c r="AO203" s="800"/>
      <c r="AP203" s="800"/>
      <c r="AQ203" s="1420"/>
      <c r="AR203" s="1368"/>
      <c r="AS203" s="1368"/>
      <c r="AT203" s="1368"/>
      <c r="AU203" s="1369"/>
      <c r="AV203" s="808"/>
      <c r="AW203" s="800"/>
      <c r="AX203" s="800"/>
      <c r="AY203" s="800"/>
      <c r="AZ203" s="800"/>
      <c r="BA203" s="800"/>
      <c r="BB203" s="800"/>
      <c r="BC203" s="800"/>
      <c r="BD203" s="800"/>
      <c r="BE203" s="800"/>
      <c r="BF203" s="800"/>
      <c r="BG203" s="800"/>
      <c r="BH203" s="800"/>
      <c r="BI203" s="800"/>
      <c r="BJ203" s="800"/>
      <c r="BK203" s="805"/>
      <c r="BL203" s="1376"/>
      <c r="BM203" s="1377"/>
      <c r="BN203" s="1377"/>
      <c r="BO203" s="1377"/>
      <c r="BP203" s="1440"/>
      <c r="BQ203" s="1420"/>
      <c r="BR203" s="1368"/>
      <c r="BS203" s="1368"/>
      <c r="BT203" s="1368"/>
      <c r="BU203" s="1369"/>
      <c r="BV203" s="1420"/>
      <c r="BW203" s="1368"/>
      <c r="BX203" s="1368"/>
      <c r="BY203" s="1368"/>
      <c r="BZ203" s="1368"/>
      <c r="CA203" s="1420"/>
      <c r="CB203" s="1368"/>
      <c r="CC203" s="1368"/>
      <c r="CD203" s="1368"/>
      <c r="CE203" s="1369"/>
      <c r="CF203" s="1368"/>
      <c r="CG203" s="1368"/>
      <c r="CH203" s="1368"/>
      <c r="CI203" s="1368"/>
      <c r="CJ203" s="1369"/>
      <c r="CK203" s="1420"/>
      <c r="CL203" s="1368"/>
      <c r="CM203" s="1368"/>
      <c r="CN203" s="1368"/>
      <c r="CO203" s="1369"/>
      <c r="CP203" s="1420"/>
      <c r="CQ203" s="1368"/>
      <c r="CR203" s="1368"/>
      <c r="CS203" s="1368"/>
      <c r="CT203" s="1369"/>
      <c r="CU203" s="1528"/>
      <c r="CV203" s="1519"/>
      <c r="CW203" s="1519"/>
      <c r="CX203" s="1728"/>
      <c r="CY203" s="1519"/>
      <c r="CZ203" s="1519"/>
      <c r="DA203" s="1519"/>
      <c r="DB203" s="1728"/>
      <c r="DC203" s="1377"/>
      <c r="DD203" s="1729"/>
      <c r="DE203" s="1734"/>
    </row>
    <row r="204" spans="1:109" ht="15.75" hidden="1" customHeight="1">
      <c r="A204" s="772" t="s">
        <v>1068</v>
      </c>
      <c r="B204" s="773">
        <v>198</v>
      </c>
      <c r="C204" s="789" t="s">
        <v>2773</v>
      </c>
      <c r="D204" s="773" t="s">
        <v>2759</v>
      </c>
      <c r="E204" s="773" t="s">
        <v>1907</v>
      </c>
      <c r="F204" s="785" t="s">
        <v>2774</v>
      </c>
      <c r="G204" s="790" t="s">
        <v>1935</v>
      </c>
      <c r="H204" s="791" t="s">
        <v>2775</v>
      </c>
      <c r="I204" s="792"/>
      <c r="J204" s="793">
        <v>1</v>
      </c>
      <c r="K204" s="793"/>
      <c r="L204" s="793"/>
      <c r="M204" s="793"/>
      <c r="N204" s="793"/>
      <c r="O204" s="793"/>
      <c r="P204" s="794"/>
      <c r="Q204" s="795">
        <f t="shared" si="3"/>
        <v>1</v>
      </c>
      <c r="R204" s="789" t="s">
        <v>1030</v>
      </c>
      <c r="S204" s="773" t="s">
        <v>1008</v>
      </c>
      <c r="T204" s="796" t="s">
        <v>1009</v>
      </c>
      <c r="U204" s="773" t="s">
        <v>1073</v>
      </c>
      <c r="V204" s="773" t="s">
        <v>1081</v>
      </c>
      <c r="W204" s="773" t="s">
        <v>2776</v>
      </c>
      <c r="X204" s="1274">
        <v>2</v>
      </c>
      <c r="Y204" s="822" t="s">
        <v>1010</v>
      </c>
      <c r="Z204" s="790" t="s">
        <v>1935</v>
      </c>
      <c r="AA204" s="785"/>
      <c r="AB204" s="785"/>
      <c r="AC204" s="785"/>
      <c r="AD204" s="785"/>
      <c r="AE204" s="785"/>
      <c r="AF204" s="799"/>
      <c r="AG204" s="800"/>
      <c r="AH204" s="800"/>
      <c r="AI204" s="800"/>
      <c r="AJ204" s="800"/>
      <c r="AK204" s="800"/>
      <c r="AL204" s="800"/>
      <c r="AM204" s="800"/>
      <c r="AN204" s="800"/>
      <c r="AO204" s="800"/>
      <c r="AP204" s="800"/>
      <c r="AQ204" s="1420"/>
      <c r="AR204" s="1368"/>
      <c r="AS204" s="1368"/>
      <c r="AT204" s="1368"/>
      <c r="AU204" s="1369"/>
      <c r="AV204" s="808"/>
      <c r="AW204" s="800"/>
      <c r="AX204" s="800"/>
      <c r="AY204" s="800"/>
      <c r="AZ204" s="800"/>
      <c r="BA204" s="800"/>
      <c r="BB204" s="800"/>
      <c r="BC204" s="800"/>
      <c r="BD204" s="800"/>
      <c r="BE204" s="800"/>
      <c r="BF204" s="800"/>
      <c r="BG204" s="800"/>
      <c r="BH204" s="800"/>
      <c r="BI204" s="800"/>
      <c r="BJ204" s="800"/>
      <c r="BK204" s="805"/>
      <c r="BL204" s="1376"/>
      <c r="BM204" s="1377"/>
      <c r="BN204" s="1377"/>
      <c r="BO204" s="1377"/>
      <c r="BP204" s="1440"/>
      <c r="BQ204" s="1420"/>
      <c r="BR204" s="1368"/>
      <c r="BS204" s="1368"/>
      <c r="BT204" s="1368"/>
      <c r="BU204" s="1369"/>
      <c r="BV204" s="1420"/>
      <c r="BW204" s="1368"/>
      <c r="BX204" s="1368"/>
      <c r="BY204" s="1368"/>
      <c r="BZ204" s="1368"/>
      <c r="CA204" s="1420"/>
      <c r="CB204" s="1368"/>
      <c r="CC204" s="1368"/>
      <c r="CD204" s="1368"/>
      <c r="CE204" s="1369"/>
      <c r="CF204" s="1368"/>
      <c r="CG204" s="1368"/>
      <c r="CH204" s="1368"/>
      <c r="CI204" s="1368"/>
      <c r="CJ204" s="1369"/>
      <c r="CK204" s="1420"/>
      <c r="CL204" s="1368"/>
      <c r="CM204" s="1368"/>
      <c r="CN204" s="1368"/>
      <c r="CO204" s="1369"/>
      <c r="CP204" s="1420"/>
      <c r="CQ204" s="1368"/>
      <c r="CR204" s="1368"/>
      <c r="CS204" s="1368"/>
      <c r="CT204" s="1369"/>
      <c r="CU204" s="1528"/>
      <c r="CV204" s="1519"/>
      <c r="CW204" s="1519"/>
      <c r="CX204" s="1728"/>
      <c r="CY204" s="1519"/>
      <c r="CZ204" s="1519"/>
      <c r="DA204" s="1519"/>
      <c r="DB204" s="1728"/>
      <c r="DC204" s="1377"/>
      <c r="DD204" s="1729"/>
      <c r="DE204" s="1734"/>
    </row>
    <row r="205" spans="1:109" ht="15.75" hidden="1" customHeight="1">
      <c r="A205" s="772" t="s">
        <v>1068</v>
      </c>
      <c r="B205" s="773">
        <v>199</v>
      </c>
      <c r="C205" s="789" t="s">
        <v>2777</v>
      </c>
      <c r="D205" s="773" t="s">
        <v>2709</v>
      </c>
      <c r="E205" s="773" t="s">
        <v>1907</v>
      </c>
      <c r="F205" s="785" t="s">
        <v>2778</v>
      </c>
      <c r="G205" s="790" t="s">
        <v>2779</v>
      </c>
      <c r="H205" s="791" t="s">
        <v>2780</v>
      </c>
      <c r="I205" s="792"/>
      <c r="J205" s="793">
        <v>1</v>
      </c>
      <c r="K205" s="793"/>
      <c r="L205" s="793"/>
      <c r="M205" s="793"/>
      <c r="N205" s="793"/>
      <c r="O205" s="793"/>
      <c r="P205" s="794"/>
      <c r="Q205" s="795">
        <f t="shared" si="3"/>
        <v>1</v>
      </c>
      <c r="R205" s="789" t="s">
        <v>1007</v>
      </c>
      <c r="S205" s="773"/>
      <c r="T205" s="796"/>
      <c r="U205" s="773" t="s">
        <v>1910</v>
      </c>
      <c r="V205" s="773" t="s">
        <v>278</v>
      </c>
      <c r="W205" s="773" t="s">
        <v>2781</v>
      </c>
      <c r="X205" s="829">
        <v>0</v>
      </c>
      <c r="Y205" s="826" t="s">
        <v>1020</v>
      </c>
      <c r="Z205" s="790"/>
      <c r="AA205" s="785"/>
      <c r="AB205" s="785"/>
      <c r="AC205" s="785"/>
      <c r="AD205" s="785"/>
      <c r="AE205" s="785"/>
      <c r="AF205" s="799"/>
      <c r="AG205" s="800"/>
      <c r="AH205" s="800"/>
      <c r="AI205" s="800"/>
      <c r="AJ205" s="800"/>
      <c r="AK205" s="800"/>
      <c r="AL205" s="800"/>
      <c r="AM205" s="800"/>
      <c r="AN205" s="800"/>
      <c r="AO205" s="800"/>
      <c r="AP205" s="800"/>
      <c r="AQ205" s="808">
        <v>0</v>
      </c>
      <c r="AR205" s="800">
        <v>0</v>
      </c>
      <c r="AS205" s="800">
        <v>0</v>
      </c>
      <c r="AT205" s="800">
        <v>0</v>
      </c>
      <c r="AU205" s="805">
        <v>100</v>
      </c>
      <c r="AV205" s="808"/>
      <c r="AW205" s="800"/>
      <c r="AX205" s="800"/>
      <c r="AY205" s="800"/>
      <c r="AZ205" s="800"/>
      <c r="BA205" s="800"/>
      <c r="BB205" s="800"/>
      <c r="BC205" s="800"/>
      <c r="BD205" s="800"/>
      <c r="BE205" s="800"/>
      <c r="BF205" s="800"/>
      <c r="BG205" s="800"/>
      <c r="BH205" s="800"/>
      <c r="BI205" s="800"/>
      <c r="BJ205" s="800"/>
      <c r="BK205" s="805"/>
      <c r="BL205" s="789"/>
      <c r="BM205" s="785"/>
      <c r="BN205" s="785"/>
      <c r="BO205" s="785"/>
      <c r="BP205" s="796"/>
      <c r="BQ205" s="808" t="s">
        <v>1942</v>
      </c>
      <c r="BR205" s="800" t="s">
        <v>1942</v>
      </c>
      <c r="BS205" s="800" t="s">
        <v>1942</v>
      </c>
      <c r="BT205" s="800" t="s">
        <v>1942</v>
      </c>
      <c r="BU205" s="805" t="s">
        <v>1942</v>
      </c>
      <c r="BV205" s="808" t="s">
        <v>1942</v>
      </c>
      <c r="BW205" s="800" t="s">
        <v>1942</v>
      </c>
      <c r="BX205" s="800" t="s">
        <v>1942</v>
      </c>
      <c r="BY205" s="800" t="s">
        <v>1942</v>
      </c>
      <c r="BZ205" s="800" t="s">
        <v>1942</v>
      </c>
      <c r="CA205" s="808" t="s">
        <v>1942</v>
      </c>
      <c r="CB205" s="800" t="s">
        <v>1942</v>
      </c>
      <c r="CC205" s="800" t="s">
        <v>1942</v>
      </c>
      <c r="CD205" s="800" t="s">
        <v>1942</v>
      </c>
      <c r="CE205" s="805" t="s">
        <v>1942</v>
      </c>
      <c r="CF205" s="800" t="s">
        <v>1942</v>
      </c>
      <c r="CG205" s="800" t="s">
        <v>1942</v>
      </c>
      <c r="CH205" s="800" t="s">
        <v>1942</v>
      </c>
      <c r="CI205" s="800" t="s">
        <v>1942</v>
      </c>
      <c r="CJ205" s="805" t="s">
        <v>1942</v>
      </c>
      <c r="CK205" s="808" t="s">
        <v>1942</v>
      </c>
      <c r="CL205" s="800" t="s">
        <v>1942</v>
      </c>
      <c r="CM205" s="800" t="s">
        <v>1942</v>
      </c>
      <c r="CN205" s="800" t="s">
        <v>1942</v>
      </c>
      <c r="CO205" s="805" t="s">
        <v>1942</v>
      </c>
      <c r="CP205" s="808" t="s">
        <v>1942</v>
      </c>
      <c r="CQ205" s="800" t="s">
        <v>1942</v>
      </c>
      <c r="CR205" s="800" t="s">
        <v>1942</v>
      </c>
      <c r="CS205" s="800" t="s">
        <v>1942</v>
      </c>
      <c r="CT205" s="805" t="s">
        <v>1942</v>
      </c>
      <c r="CU205" s="1284" t="s">
        <v>1942</v>
      </c>
      <c r="CV205" s="1283" t="s">
        <v>1942</v>
      </c>
      <c r="CW205" s="1283" t="s">
        <v>1942</v>
      </c>
      <c r="CX205" s="1285" t="s">
        <v>1942</v>
      </c>
      <c r="CY205" s="1283" t="s">
        <v>1942</v>
      </c>
      <c r="CZ205" s="1283" t="s">
        <v>1942</v>
      </c>
      <c r="DA205" s="1283" t="s">
        <v>1942</v>
      </c>
      <c r="DB205" s="1285" t="s">
        <v>1942</v>
      </c>
      <c r="DC205" s="785"/>
      <c r="DD205" s="813">
        <v>1</v>
      </c>
      <c r="DE205" s="814"/>
    </row>
    <row r="206" spans="1:109" ht="15.75" hidden="1" customHeight="1">
      <c r="A206" s="772" t="s">
        <v>1068</v>
      </c>
      <c r="B206" s="773">
        <v>200</v>
      </c>
      <c r="C206" s="789" t="s">
        <v>2782</v>
      </c>
      <c r="D206" s="773" t="s">
        <v>2709</v>
      </c>
      <c r="E206" s="773" t="s">
        <v>1907</v>
      </c>
      <c r="F206" s="785" t="s">
        <v>2783</v>
      </c>
      <c r="G206" s="790" t="s">
        <v>535</v>
      </c>
      <c r="H206" s="791" t="s">
        <v>2784</v>
      </c>
      <c r="I206" s="792">
        <v>1</v>
      </c>
      <c r="J206" s="793"/>
      <c r="K206" s="793"/>
      <c r="L206" s="793"/>
      <c r="M206" s="793"/>
      <c r="N206" s="793"/>
      <c r="O206" s="793"/>
      <c r="P206" s="794"/>
      <c r="Q206" s="795">
        <f t="shared" si="3"/>
        <v>1</v>
      </c>
      <c r="R206" s="789" t="s">
        <v>1007</v>
      </c>
      <c r="S206" s="773"/>
      <c r="T206" s="796"/>
      <c r="U206" s="773" t="s">
        <v>1910</v>
      </c>
      <c r="V206" s="773" t="s">
        <v>278</v>
      </c>
      <c r="W206" s="773" t="s">
        <v>2785</v>
      </c>
      <c r="X206" s="829">
        <v>1</v>
      </c>
      <c r="Y206" s="821" t="s">
        <v>1020</v>
      </c>
      <c r="Z206" s="790" t="s">
        <v>535</v>
      </c>
      <c r="AA206" s="785"/>
      <c r="AB206" s="785"/>
      <c r="AC206" s="785"/>
      <c r="AD206" s="785"/>
      <c r="AE206" s="785"/>
      <c r="AF206" s="799"/>
      <c r="AG206" s="800"/>
      <c r="AH206" s="800"/>
      <c r="AI206" s="800"/>
      <c r="AJ206" s="800"/>
      <c r="AK206" s="816"/>
      <c r="AL206" s="816"/>
      <c r="AM206" s="816"/>
      <c r="AN206" s="816"/>
      <c r="AO206" s="816"/>
      <c r="AP206" s="816"/>
      <c r="AQ206" s="1750"/>
      <c r="AR206" s="1751"/>
      <c r="AS206" s="1751"/>
      <c r="AT206" s="1751"/>
      <c r="AU206" s="1752"/>
      <c r="AV206" s="817"/>
      <c r="AW206" s="816"/>
      <c r="AX206" s="816"/>
      <c r="AY206" s="816"/>
      <c r="AZ206" s="816"/>
      <c r="BA206" s="816"/>
      <c r="BB206" s="816"/>
      <c r="BC206" s="816"/>
      <c r="BD206" s="816"/>
      <c r="BE206" s="816"/>
      <c r="BF206" s="816"/>
      <c r="BG206" s="816"/>
      <c r="BH206" s="816"/>
      <c r="BI206" s="816"/>
      <c r="BJ206" s="816"/>
      <c r="BK206" s="818"/>
      <c r="BL206" s="1376"/>
      <c r="BM206" s="1377"/>
      <c r="BN206" s="1377"/>
      <c r="BO206" s="1377"/>
      <c r="BP206" s="1440"/>
      <c r="BQ206" s="1420"/>
      <c r="BR206" s="1368"/>
      <c r="BS206" s="1368"/>
      <c r="BT206" s="1368"/>
      <c r="BU206" s="1369"/>
      <c r="BV206" s="1420"/>
      <c r="BW206" s="1368"/>
      <c r="BX206" s="1368"/>
      <c r="BY206" s="1368"/>
      <c r="BZ206" s="1368"/>
      <c r="CA206" s="1420"/>
      <c r="CB206" s="1368"/>
      <c r="CC206" s="1368"/>
      <c r="CD206" s="1368"/>
      <c r="CE206" s="1369"/>
      <c r="CF206" s="1368"/>
      <c r="CG206" s="1368"/>
      <c r="CH206" s="1368"/>
      <c r="CI206" s="1368"/>
      <c r="CJ206" s="1369"/>
      <c r="CK206" s="1420"/>
      <c r="CL206" s="1368"/>
      <c r="CM206" s="1368"/>
      <c r="CN206" s="1368"/>
      <c r="CO206" s="1369"/>
      <c r="CP206" s="1420"/>
      <c r="CQ206" s="1368"/>
      <c r="CR206" s="1368"/>
      <c r="CS206" s="1368"/>
      <c r="CT206" s="1369"/>
      <c r="CU206" s="1528"/>
      <c r="CV206" s="1519"/>
      <c r="CW206" s="1519"/>
      <c r="CX206" s="1728"/>
      <c r="CY206" s="1519"/>
      <c r="CZ206" s="1519"/>
      <c r="DA206" s="1519"/>
      <c r="DB206" s="1728"/>
      <c r="DC206" s="1377"/>
      <c r="DD206" s="1729"/>
      <c r="DE206" s="1734"/>
    </row>
    <row r="207" spans="1:109" ht="15.75" hidden="1" customHeight="1">
      <c r="A207" s="772" t="s">
        <v>1068</v>
      </c>
      <c r="B207" s="773">
        <v>201</v>
      </c>
      <c r="C207" s="789" t="s">
        <v>2786</v>
      </c>
      <c r="D207" s="773" t="s">
        <v>2709</v>
      </c>
      <c r="E207" s="773" t="s">
        <v>1896</v>
      </c>
      <c r="F207" s="785" t="s">
        <v>2787</v>
      </c>
      <c r="G207" s="790" t="s">
        <v>2788</v>
      </c>
      <c r="H207" s="791" t="s">
        <v>2789</v>
      </c>
      <c r="I207" s="792">
        <v>1</v>
      </c>
      <c r="J207" s="793"/>
      <c r="K207" s="793"/>
      <c r="L207" s="793"/>
      <c r="M207" s="793"/>
      <c r="N207" s="793"/>
      <c r="O207" s="793"/>
      <c r="P207" s="794"/>
      <c r="Q207" s="795">
        <f t="shared" si="3"/>
        <v>1</v>
      </c>
      <c r="R207" s="789" t="s">
        <v>1007</v>
      </c>
      <c r="S207" s="773"/>
      <c r="T207" s="796"/>
      <c r="U207" s="773" t="s">
        <v>1910</v>
      </c>
      <c r="V207" s="773" t="s">
        <v>1033</v>
      </c>
      <c r="W207" s="773" t="s">
        <v>2790</v>
      </c>
      <c r="X207" s="829">
        <v>0</v>
      </c>
      <c r="Y207" s="826" t="s">
        <v>1020</v>
      </c>
      <c r="Z207" s="790"/>
      <c r="AA207" s="785"/>
      <c r="AB207" s="785"/>
      <c r="AC207" s="785"/>
      <c r="AD207" s="785"/>
      <c r="AE207" s="785"/>
      <c r="AF207" s="799"/>
      <c r="AG207" s="800"/>
      <c r="AH207" s="800"/>
      <c r="AI207" s="800"/>
      <c r="AJ207" s="800"/>
      <c r="AK207" s="800"/>
      <c r="AL207" s="800"/>
      <c r="AM207" s="800"/>
      <c r="AN207" s="800"/>
      <c r="AO207" s="800"/>
      <c r="AP207" s="800"/>
      <c r="AQ207" s="808">
        <v>0</v>
      </c>
      <c r="AR207" s="800">
        <v>0</v>
      </c>
      <c r="AS207" s="800">
        <v>0</v>
      </c>
      <c r="AT207" s="800">
        <v>0</v>
      </c>
      <c r="AU207" s="805">
        <v>0</v>
      </c>
      <c r="AV207" s="808"/>
      <c r="AW207" s="800"/>
      <c r="AX207" s="800"/>
      <c r="AY207" s="800"/>
      <c r="AZ207" s="800"/>
      <c r="BA207" s="800"/>
      <c r="BB207" s="800"/>
      <c r="BC207" s="800"/>
      <c r="BD207" s="800"/>
      <c r="BE207" s="800"/>
      <c r="BF207" s="800"/>
      <c r="BG207" s="800"/>
      <c r="BH207" s="800"/>
      <c r="BI207" s="800"/>
      <c r="BJ207" s="800"/>
      <c r="BK207" s="805"/>
      <c r="BL207" s="789"/>
      <c r="BM207" s="785"/>
      <c r="BN207" s="785"/>
      <c r="BO207" s="785"/>
      <c r="BP207" s="796"/>
      <c r="BQ207" s="808" t="s">
        <v>1942</v>
      </c>
      <c r="BR207" s="800" t="s">
        <v>1942</v>
      </c>
      <c r="BS207" s="800" t="s">
        <v>1942</v>
      </c>
      <c r="BT207" s="800" t="s">
        <v>1942</v>
      </c>
      <c r="BU207" s="805" t="s">
        <v>1942</v>
      </c>
      <c r="BV207" s="808" t="s">
        <v>1942</v>
      </c>
      <c r="BW207" s="800" t="s">
        <v>1942</v>
      </c>
      <c r="BX207" s="800" t="s">
        <v>1942</v>
      </c>
      <c r="BY207" s="800" t="s">
        <v>1942</v>
      </c>
      <c r="BZ207" s="800" t="s">
        <v>1942</v>
      </c>
      <c r="CA207" s="808" t="s">
        <v>1942</v>
      </c>
      <c r="CB207" s="800" t="s">
        <v>1942</v>
      </c>
      <c r="CC207" s="800" t="s">
        <v>1942</v>
      </c>
      <c r="CD207" s="800" t="s">
        <v>1942</v>
      </c>
      <c r="CE207" s="805" t="s">
        <v>1942</v>
      </c>
      <c r="CF207" s="800" t="s">
        <v>1942</v>
      </c>
      <c r="CG207" s="800" t="s">
        <v>1942</v>
      </c>
      <c r="CH207" s="800" t="s">
        <v>1942</v>
      </c>
      <c r="CI207" s="800" t="s">
        <v>1942</v>
      </c>
      <c r="CJ207" s="805" t="s">
        <v>1942</v>
      </c>
      <c r="CK207" s="808" t="s">
        <v>1942</v>
      </c>
      <c r="CL207" s="800" t="s">
        <v>1942</v>
      </c>
      <c r="CM207" s="800" t="s">
        <v>1942</v>
      </c>
      <c r="CN207" s="800" t="s">
        <v>1942</v>
      </c>
      <c r="CO207" s="805" t="s">
        <v>1942</v>
      </c>
      <c r="CP207" s="808" t="s">
        <v>1942</v>
      </c>
      <c r="CQ207" s="800" t="s">
        <v>1942</v>
      </c>
      <c r="CR207" s="800" t="s">
        <v>1942</v>
      </c>
      <c r="CS207" s="800" t="s">
        <v>1942</v>
      </c>
      <c r="CT207" s="805" t="s">
        <v>1942</v>
      </c>
      <c r="CU207" s="1284" t="s">
        <v>1942</v>
      </c>
      <c r="CV207" s="1283" t="s">
        <v>1942</v>
      </c>
      <c r="CW207" s="1283" t="s">
        <v>1942</v>
      </c>
      <c r="CX207" s="1285" t="s">
        <v>1942</v>
      </c>
      <c r="CY207" s="1283" t="s">
        <v>1942</v>
      </c>
      <c r="CZ207" s="1283" t="s">
        <v>1942</v>
      </c>
      <c r="DA207" s="1283" t="s">
        <v>1942</v>
      </c>
      <c r="DB207" s="1285" t="s">
        <v>1942</v>
      </c>
      <c r="DC207" s="785"/>
      <c r="DD207" s="813">
        <v>1</v>
      </c>
      <c r="DE207" s="814"/>
    </row>
    <row r="208" spans="1:109" ht="15.75" hidden="1" customHeight="1">
      <c r="A208" s="772" t="s">
        <v>1068</v>
      </c>
      <c r="B208" s="773">
        <v>202</v>
      </c>
      <c r="C208" s="789" t="s">
        <v>2791</v>
      </c>
      <c r="D208" s="773" t="s">
        <v>2739</v>
      </c>
      <c r="E208" s="773" t="s">
        <v>1889</v>
      </c>
      <c r="F208" s="785" t="s">
        <v>2792</v>
      </c>
      <c r="G208" s="790" t="s">
        <v>2793</v>
      </c>
      <c r="H208" s="791" t="s">
        <v>2794</v>
      </c>
      <c r="I208" s="792"/>
      <c r="J208" s="793">
        <v>1</v>
      </c>
      <c r="K208" s="793"/>
      <c r="L208" s="793"/>
      <c r="M208" s="793"/>
      <c r="N208" s="793"/>
      <c r="O208" s="793"/>
      <c r="P208" s="794"/>
      <c r="Q208" s="795">
        <f t="shared" si="3"/>
        <v>1</v>
      </c>
      <c r="R208" s="789" t="s">
        <v>1007</v>
      </c>
      <c r="S208" s="773"/>
      <c r="T208" s="796"/>
      <c r="U208" s="773" t="s">
        <v>2132</v>
      </c>
      <c r="V208" s="773" t="s">
        <v>278</v>
      </c>
      <c r="W208" s="773" t="s">
        <v>2795</v>
      </c>
      <c r="X208" s="1274">
        <v>1</v>
      </c>
      <c r="Y208" s="821" t="s">
        <v>1020</v>
      </c>
      <c r="Z208" s="790"/>
      <c r="AA208" s="785"/>
      <c r="AB208" s="785"/>
      <c r="AC208" s="785"/>
      <c r="AD208" s="785"/>
      <c r="AE208" s="785"/>
      <c r="AF208" s="799"/>
      <c r="AG208" s="800"/>
      <c r="AH208" s="800"/>
      <c r="AI208" s="800"/>
      <c r="AJ208" s="800"/>
      <c r="AK208" s="800"/>
      <c r="AL208" s="800"/>
      <c r="AM208" s="800"/>
      <c r="AN208" s="800"/>
      <c r="AO208" s="800"/>
      <c r="AP208" s="800"/>
      <c r="AQ208" s="808">
        <v>1</v>
      </c>
      <c r="AR208" s="800">
        <v>2</v>
      </c>
      <c r="AS208" s="800">
        <v>3</v>
      </c>
      <c r="AT208" s="800">
        <v>4</v>
      </c>
      <c r="AU208" s="805">
        <v>5</v>
      </c>
      <c r="AV208" s="808"/>
      <c r="AW208" s="800"/>
      <c r="AX208" s="800"/>
      <c r="AY208" s="800"/>
      <c r="AZ208" s="800"/>
      <c r="BA208" s="800"/>
      <c r="BB208" s="800"/>
      <c r="BC208" s="800"/>
      <c r="BD208" s="800"/>
      <c r="BE208" s="800"/>
      <c r="BF208" s="800"/>
      <c r="BG208" s="800"/>
      <c r="BH208" s="800"/>
      <c r="BI208" s="800"/>
      <c r="BJ208" s="800"/>
      <c r="BK208" s="805"/>
      <c r="BL208" s="789"/>
      <c r="BM208" s="785"/>
      <c r="BN208" s="785"/>
      <c r="BO208" s="785"/>
      <c r="BP208" s="796"/>
      <c r="BQ208" s="808" t="s">
        <v>1942</v>
      </c>
      <c r="BR208" s="800" t="s">
        <v>1942</v>
      </c>
      <c r="BS208" s="800" t="s">
        <v>1942</v>
      </c>
      <c r="BT208" s="800" t="s">
        <v>1942</v>
      </c>
      <c r="BU208" s="805" t="s">
        <v>1942</v>
      </c>
      <c r="BV208" s="808" t="s">
        <v>1942</v>
      </c>
      <c r="BW208" s="800" t="s">
        <v>1942</v>
      </c>
      <c r="BX208" s="800" t="s">
        <v>1942</v>
      </c>
      <c r="BY208" s="800" t="s">
        <v>1942</v>
      </c>
      <c r="BZ208" s="800" t="s">
        <v>1942</v>
      </c>
      <c r="CA208" s="808" t="s">
        <v>1942</v>
      </c>
      <c r="CB208" s="800" t="s">
        <v>1942</v>
      </c>
      <c r="CC208" s="800" t="s">
        <v>1942</v>
      </c>
      <c r="CD208" s="800" t="s">
        <v>1942</v>
      </c>
      <c r="CE208" s="805" t="s">
        <v>1942</v>
      </c>
      <c r="CF208" s="800" t="s">
        <v>1942</v>
      </c>
      <c r="CG208" s="800" t="s">
        <v>1942</v>
      </c>
      <c r="CH208" s="800" t="s">
        <v>1942</v>
      </c>
      <c r="CI208" s="800" t="s">
        <v>1942</v>
      </c>
      <c r="CJ208" s="800" t="s">
        <v>1942</v>
      </c>
      <c r="CK208" s="808" t="s">
        <v>1942</v>
      </c>
      <c r="CL208" s="800" t="s">
        <v>1942</v>
      </c>
      <c r="CM208" s="800" t="s">
        <v>1942</v>
      </c>
      <c r="CN208" s="800" t="s">
        <v>1942</v>
      </c>
      <c r="CO208" s="805" t="s">
        <v>1942</v>
      </c>
      <c r="CP208" s="808" t="s">
        <v>1942</v>
      </c>
      <c r="CQ208" s="800" t="s">
        <v>1942</v>
      </c>
      <c r="CR208" s="800" t="s">
        <v>1942</v>
      </c>
      <c r="CS208" s="800" t="s">
        <v>1942</v>
      </c>
      <c r="CT208" s="805" t="s">
        <v>1942</v>
      </c>
      <c r="CU208" s="1284" t="s">
        <v>1942</v>
      </c>
      <c r="CV208" s="1283" t="s">
        <v>1942</v>
      </c>
      <c r="CW208" s="1283" t="s">
        <v>1942</v>
      </c>
      <c r="CX208" s="1285" t="s">
        <v>1942</v>
      </c>
      <c r="CY208" s="1283" t="s">
        <v>1942</v>
      </c>
      <c r="CZ208" s="1283" t="s">
        <v>1942</v>
      </c>
      <c r="DA208" s="1283" t="s">
        <v>1942</v>
      </c>
      <c r="DB208" s="1285" t="s">
        <v>1942</v>
      </c>
      <c r="DC208" s="785"/>
      <c r="DD208" s="813">
        <v>1</v>
      </c>
      <c r="DE208" s="814"/>
    </row>
    <row r="209" spans="1:109" ht="15.75" hidden="1" customHeight="1">
      <c r="A209" s="772" t="s">
        <v>1068</v>
      </c>
      <c r="B209" s="773">
        <v>203</v>
      </c>
      <c r="C209" s="789" t="s">
        <v>2796</v>
      </c>
      <c r="D209" s="773" t="s">
        <v>2797</v>
      </c>
      <c r="E209" s="773" t="s">
        <v>1889</v>
      </c>
      <c r="F209" s="785" t="s">
        <v>2798</v>
      </c>
      <c r="G209" s="790" t="s">
        <v>2799</v>
      </c>
      <c r="H209" s="791" t="s">
        <v>2800</v>
      </c>
      <c r="I209" s="792"/>
      <c r="J209" s="793"/>
      <c r="K209" s="793"/>
      <c r="L209" s="793"/>
      <c r="M209" s="793">
        <v>1</v>
      </c>
      <c r="N209" s="793"/>
      <c r="O209" s="793"/>
      <c r="P209" s="794"/>
      <c r="Q209" s="795">
        <f t="shared" si="3"/>
        <v>1</v>
      </c>
      <c r="R209" s="789" t="s">
        <v>1007</v>
      </c>
      <c r="S209" s="773"/>
      <c r="T209" s="796"/>
      <c r="U209" s="773" t="s">
        <v>2029</v>
      </c>
      <c r="V209" s="773" t="s">
        <v>278</v>
      </c>
      <c r="W209" s="773" t="s">
        <v>2801</v>
      </c>
      <c r="X209" s="829">
        <v>0</v>
      </c>
      <c r="Y209" s="819" t="s">
        <v>1010</v>
      </c>
      <c r="Z209" s="790"/>
      <c r="AA209" s="785"/>
      <c r="AB209" s="785"/>
      <c r="AC209" s="785"/>
      <c r="AD209" s="785"/>
      <c r="AE209" s="785"/>
      <c r="AF209" s="799"/>
      <c r="AG209" s="800"/>
      <c r="AH209" s="800"/>
      <c r="AI209" s="800"/>
      <c r="AJ209" s="800"/>
      <c r="AK209" s="800"/>
      <c r="AL209" s="800"/>
      <c r="AM209" s="800"/>
      <c r="AN209" s="800"/>
      <c r="AO209" s="800"/>
      <c r="AP209" s="800"/>
      <c r="AQ209" s="808">
        <v>85</v>
      </c>
      <c r="AR209" s="800">
        <v>85</v>
      </c>
      <c r="AS209" s="800">
        <v>85</v>
      </c>
      <c r="AT209" s="800">
        <v>85</v>
      </c>
      <c r="AU209" s="805">
        <v>85</v>
      </c>
      <c r="AV209" s="808"/>
      <c r="AW209" s="800"/>
      <c r="AX209" s="800"/>
      <c r="AY209" s="800"/>
      <c r="AZ209" s="800"/>
      <c r="BA209" s="800"/>
      <c r="BB209" s="800"/>
      <c r="BC209" s="800"/>
      <c r="BD209" s="800"/>
      <c r="BE209" s="800"/>
      <c r="BF209" s="800"/>
      <c r="BG209" s="800"/>
      <c r="BH209" s="800"/>
      <c r="BI209" s="800"/>
      <c r="BJ209" s="800"/>
      <c r="BK209" s="805"/>
      <c r="BL209" s="789"/>
      <c r="BM209" s="785"/>
      <c r="BN209" s="785"/>
      <c r="BO209" s="785"/>
      <c r="BP209" s="796"/>
      <c r="BQ209" s="808" t="s">
        <v>1942</v>
      </c>
      <c r="BR209" s="800" t="s">
        <v>1942</v>
      </c>
      <c r="BS209" s="800" t="s">
        <v>1942</v>
      </c>
      <c r="BT209" s="800" t="s">
        <v>1942</v>
      </c>
      <c r="BU209" s="805" t="s">
        <v>1942</v>
      </c>
      <c r="BV209" s="808" t="s">
        <v>1942</v>
      </c>
      <c r="BW209" s="800" t="s">
        <v>1942</v>
      </c>
      <c r="BX209" s="800" t="s">
        <v>1942</v>
      </c>
      <c r="BY209" s="800" t="s">
        <v>1942</v>
      </c>
      <c r="BZ209" s="800" t="s">
        <v>1942</v>
      </c>
      <c r="CA209" s="808" t="s">
        <v>1942</v>
      </c>
      <c r="CB209" s="800" t="s">
        <v>1942</v>
      </c>
      <c r="CC209" s="800" t="s">
        <v>1942</v>
      </c>
      <c r="CD209" s="800" t="s">
        <v>1942</v>
      </c>
      <c r="CE209" s="805" t="s">
        <v>1942</v>
      </c>
      <c r="CF209" s="800" t="s">
        <v>1942</v>
      </c>
      <c r="CG209" s="800" t="s">
        <v>1942</v>
      </c>
      <c r="CH209" s="800" t="s">
        <v>1942</v>
      </c>
      <c r="CI209" s="800" t="s">
        <v>1942</v>
      </c>
      <c r="CJ209" s="805" t="s">
        <v>1942</v>
      </c>
      <c r="CK209" s="808" t="s">
        <v>1942</v>
      </c>
      <c r="CL209" s="800" t="s">
        <v>1942</v>
      </c>
      <c r="CM209" s="800" t="s">
        <v>1942</v>
      </c>
      <c r="CN209" s="800" t="s">
        <v>1942</v>
      </c>
      <c r="CO209" s="805" t="s">
        <v>1942</v>
      </c>
      <c r="CP209" s="808" t="s">
        <v>1942</v>
      </c>
      <c r="CQ209" s="800" t="s">
        <v>1942</v>
      </c>
      <c r="CR209" s="800" t="s">
        <v>1942</v>
      </c>
      <c r="CS209" s="800" t="s">
        <v>1942</v>
      </c>
      <c r="CT209" s="805" t="s">
        <v>1942</v>
      </c>
      <c r="CU209" s="1284" t="s">
        <v>1942</v>
      </c>
      <c r="CV209" s="1283" t="s">
        <v>1942</v>
      </c>
      <c r="CW209" s="1283" t="s">
        <v>1942</v>
      </c>
      <c r="CX209" s="1285" t="s">
        <v>1942</v>
      </c>
      <c r="CY209" s="1283" t="s">
        <v>1942</v>
      </c>
      <c r="CZ209" s="1283" t="s">
        <v>1942</v>
      </c>
      <c r="DA209" s="1283" t="s">
        <v>1942</v>
      </c>
      <c r="DB209" s="1285" t="s">
        <v>1942</v>
      </c>
      <c r="DC209" s="785"/>
      <c r="DD209" s="813">
        <v>1</v>
      </c>
      <c r="DE209" s="814"/>
    </row>
    <row r="210" spans="1:109" ht="15.75" hidden="1" customHeight="1">
      <c r="A210" s="772" t="s">
        <v>1068</v>
      </c>
      <c r="B210" s="773">
        <v>204</v>
      </c>
      <c r="C210" s="789" t="s">
        <v>2802</v>
      </c>
      <c r="D210" s="773" t="s">
        <v>2803</v>
      </c>
      <c r="E210" s="773" t="s">
        <v>1896</v>
      </c>
      <c r="F210" s="785" t="s">
        <v>2804</v>
      </c>
      <c r="G210" s="790" t="s">
        <v>2805</v>
      </c>
      <c r="H210" s="791" t="s">
        <v>2806</v>
      </c>
      <c r="I210" s="792"/>
      <c r="J210" s="793">
        <v>1</v>
      </c>
      <c r="K210" s="793"/>
      <c r="L210" s="793"/>
      <c r="M210" s="793"/>
      <c r="N210" s="793"/>
      <c r="O210" s="793"/>
      <c r="P210" s="794"/>
      <c r="Q210" s="795">
        <f t="shared" si="3"/>
        <v>1</v>
      </c>
      <c r="R210" s="789" t="s">
        <v>1007</v>
      </c>
      <c r="S210" s="773"/>
      <c r="T210" s="796"/>
      <c r="U210" s="773" t="s">
        <v>2807</v>
      </c>
      <c r="V210" s="773" t="s">
        <v>1083</v>
      </c>
      <c r="W210" s="773" t="s">
        <v>2808</v>
      </c>
      <c r="X210" s="1277">
        <v>0</v>
      </c>
      <c r="Y210" s="819" t="s">
        <v>1010</v>
      </c>
      <c r="Z210" s="790"/>
      <c r="AA210" s="785"/>
      <c r="AB210" s="785"/>
      <c r="AC210" s="785"/>
      <c r="AD210" s="785"/>
      <c r="AE210" s="785"/>
      <c r="AF210" s="799"/>
      <c r="AG210" s="800"/>
      <c r="AH210" s="800"/>
      <c r="AI210" s="800"/>
      <c r="AJ210" s="800"/>
      <c r="AK210" s="800"/>
      <c r="AL210" s="800"/>
      <c r="AM210" s="800"/>
      <c r="AN210" s="800"/>
      <c r="AO210" s="800"/>
      <c r="AP210" s="800"/>
      <c r="AQ210" s="808" t="s">
        <v>2809</v>
      </c>
      <c r="AR210" s="800" t="s">
        <v>2809</v>
      </c>
      <c r="AS210" s="800" t="s">
        <v>2809</v>
      </c>
      <c r="AT210" s="800" t="s">
        <v>2809</v>
      </c>
      <c r="AU210" s="805" t="s">
        <v>2809</v>
      </c>
      <c r="AV210" s="808"/>
      <c r="AW210" s="800"/>
      <c r="AX210" s="800"/>
      <c r="AY210" s="800"/>
      <c r="AZ210" s="800"/>
      <c r="BA210" s="800"/>
      <c r="BB210" s="800"/>
      <c r="BC210" s="800"/>
      <c r="BD210" s="800"/>
      <c r="BE210" s="800"/>
      <c r="BF210" s="800"/>
      <c r="BG210" s="800"/>
      <c r="BH210" s="800"/>
      <c r="BI210" s="800"/>
      <c r="BJ210" s="800"/>
      <c r="BK210" s="805"/>
      <c r="BL210" s="789"/>
      <c r="BM210" s="785"/>
      <c r="BN210" s="785"/>
      <c r="BO210" s="785"/>
      <c r="BP210" s="796"/>
      <c r="BQ210" s="808" t="s">
        <v>1942</v>
      </c>
      <c r="BR210" s="800" t="s">
        <v>1942</v>
      </c>
      <c r="BS210" s="800" t="s">
        <v>1942</v>
      </c>
      <c r="BT210" s="800" t="s">
        <v>1942</v>
      </c>
      <c r="BU210" s="805" t="s">
        <v>1942</v>
      </c>
      <c r="BV210" s="808" t="s">
        <v>1942</v>
      </c>
      <c r="BW210" s="800" t="s">
        <v>1942</v>
      </c>
      <c r="BX210" s="800" t="s">
        <v>1942</v>
      </c>
      <c r="BY210" s="800" t="s">
        <v>1942</v>
      </c>
      <c r="BZ210" s="800" t="s">
        <v>1942</v>
      </c>
      <c r="CA210" s="808" t="s">
        <v>1942</v>
      </c>
      <c r="CB210" s="800" t="s">
        <v>1942</v>
      </c>
      <c r="CC210" s="800" t="s">
        <v>1942</v>
      </c>
      <c r="CD210" s="800" t="s">
        <v>1942</v>
      </c>
      <c r="CE210" s="805" t="s">
        <v>1942</v>
      </c>
      <c r="CF210" s="800" t="s">
        <v>1942</v>
      </c>
      <c r="CG210" s="800" t="s">
        <v>1942</v>
      </c>
      <c r="CH210" s="800" t="s">
        <v>1942</v>
      </c>
      <c r="CI210" s="800" t="s">
        <v>1942</v>
      </c>
      <c r="CJ210" s="805" t="s">
        <v>1942</v>
      </c>
      <c r="CK210" s="808" t="s">
        <v>1942</v>
      </c>
      <c r="CL210" s="800" t="s">
        <v>1942</v>
      </c>
      <c r="CM210" s="800" t="s">
        <v>1942</v>
      </c>
      <c r="CN210" s="800" t="s">
        <v>1942</v>
      </c>
      <c r="CO210" s="805" t="s">
        <v>1942</v>
      </c>
      <c r="CP210" s="808" t="s">
        <v>1942</v>
      </c>
      <c r="CQ210" s="800" t="s">
        <v>1942</v>
      </c>
      <c r="CR210" s="800" t="s">
        <v>1942</v>
      </c>
      <c r="CS210" s="800" t="s">
        <v>1942</v>
      </c>
      <c r="CT210" s="805" t="s">
        <v>1942</v>
      </c>
      <c r="CU210" s="1284" t="s">
        <v>1942</v>
      </c>
      <c r="CV210" s="1283" t="s">
        <v>1942</v>
      </c>
      <c r="CW210" s="1283" t="s">
        <v>1942</v>
      </c>
      <c r="CX210" s="1285" t="s">
        <v>1942</v>
      </c>
      <c r="CY210" s="1283" t="s">
        <v>1942</v>
      </c>
      <c r="CZ210" s="1283" t="s">
        <v>1942</v>
      </c>
      <c r="DA210" s="1283" t="s">
        <v>1942</v>
      </c>
      <c r="DB210" s="1285" t="s">
        <v>1942</v>
      </c>
      <c r="DC210" s="785"/>
      <c r="DD210" s="813">
        <v>1</v>
      </c>
      <c r="DE210" s="814"/>
    </row>
    <row r="211" spans="1:109" ht="15.75" hidden="1" customHeight="1">
      <c r="A211" s="772" t="s">
        <v>1068</v>
      </c>
      <c r="B211" s="773">
        <v>205</v>
      </c>
      <c r="C211" s="789" t="s">
        <v>2810</v>
      </c>
      <c r="D211" s="773" t="s">
        <v>2759</v>
      </c>
      <c r="E211" s="773" t="s">
        <v>1907</v>
      </c>
      <c r="F211" s="785" t="s">
        <v>2811</v>
      </c>
      <c r="G211" s="790" t="s">
        <v>703</v>
      </c>
      <c r="H211" s="791" t="s">
        <v>2812</v>
      </c>
      <c r="I211" s="792"/>
      <c r="J211" s="793"/>
      <c r="K211" s="793"/>
      <c r="L211" s="793"/>
      <c r="M211" s="793">
        <v>1</v>
      </c>
      <c r="N211" s="793"/>
      <c r="O211" s="793"/>
      <c r="P211" s="794"/>
      <c r="Q211" s="795">
        <f t="shared" si="3"/>
        <v>1</v>
      </c>
      <c r="R211" s="789" t="s">
        <v>1007</v>
      </c>
      <c r="S211" s="773"/>
      <c r="T211" s="796"/>
      <c r="U211" s="773" t="s">
        <v>2029</v>
      </c>
      <c r="V211" s="773" t="s">
        <v>1081</v>
      </c>
      <c r="W211" s="773" t="s">
        <v>1081</v>
      </c>
      <c r="X211" s="829">
        <v>1</v>
      </c>
      <c r="Y211" s="819" t="s">
        <v>1010</v>
      </c>
      <c r="Z211" s="790" t="s">
        <v>703</v>
      </c>
      <c r="AA211" s="785"/>
      <c r="AB211" s="785"/>
      <c r="AC211" s="785"/>
      <c r="AD211" s="785"/>
      <c r="AE211" s="785"/>
      <c r="AF211" s="799"/>
      <c r="AG211" s="800"/>
      <c r="AH211" s="800"/>
      <c r="AI211" s="800"/>
      <c r="AJ211" s="800"/>
      <c r="AK211" s="800"/>
      <c r="AL211" s="800"/>
      <c r="AM211" s="800"/>
      <c r="AN211" s="800"/>
      <c r="AO211" s="800"/>
      <c r="AP211" s="800"/>
      <c r="AQ211" s="1420"/>
      <c r="AR211" s="1368"/>
      <c r="AS211" s="1368"/>
      <c r="AT211" s="1368"/>
      <c r="AU211" s="1369"/>
      <c r="AV211" s="808"/>
      <c r="AW211" s="800"/>
      <c r="AX211" s="800"/>
      <c r="AY211" s="800"/>
      <c r="AZ211" s="800"/>
      <c r="BA211" s="800"/>
      <c r="BB211" s="800"/>
      <c r="BC211" s="800"/>
      <c r="BD211" s="800"/>
      <c r="BE211" s="800"/>
      <c r="BF211" s="800"/>
      <c r="BG211" s="800"/>
      <c r="BH211" s="800"/>
      <c r="BI211" s="800"/>
      <c r="BJ211" s="800"/>
      <c r="BK211" s="805"/>
      <c r="BL211" s="1376"/>
      <c r="BM211" s="1377"/>
      <c r="BN211" s="1377"/>
      <c r="BO211" s="1377"/>
      <c r="BP211" s="1440"/>
      <c r="BQ211" s="1420"/>
      <c r="BR211" s="1368"/>
      <c r="BS211" s="1368"/>
      <c r="BT211" s="1368"/>
      <c r="BU211" s="1369"/>
      <c r="BV211" s="1420"/>
      <c r="BW211" s="1368"/>
      <c r="BX211" s="1368"/>
      <c r="BY211" s="1368"/>
      <c r="BZ211" s="1368"/>
      <c r="CA211" s="1420"/>
      <c r="CB211" s="1368"/>
      <c r="CC211" s="1368"/>
      <c r="CD211" s="1368"/>
      <c r="CE211" s="1369"/>
      <c r="CF211" s="1368"/>
      <c r="CG211" s="1368"/>
      <c r="CH211" s="1368"/>
      <c r="CI211" s="1368"/>
      <c r="CJ211" s="1369"/>
      <c r="CK211" s="1420"/>
      <c r="CL211" s="1368"/>
      <c r="CM211" s="1368"/>
      <c r="CN211" s="1368"/>
      <c r="CO211" s="1369"/>
      <c r="CP211" s="1420"/>
      <c r="CQ211" s="1368"/>
      <c r="CR211" s="1368"/>
      <c r="CS211" s="1368"/>
      <c r="CT211" s="1369"/>
      <c r="CU211" s="1528"/>
      <c r="CV211" s="1519"/>
      <c r="CW211" s="1519"/>
      <c r="CX211" s="1728"/>
      <c r="CY211" s="1519"/>
      <c r="CZ211" s="1519"/>
      <c r="DA211" s="1519"/>
      <c r="DB211" s="1728"/>
      <c r="DC211" s="1377"/>
      <c r="DD211" s="1729"/>
      <c r="DE211" s="1734"/>
    </row>
    <row r="212" spans="1:109" ht="15.75" hidden="1" customHeight="1">
      <c r="A212" s="772" t="s">
        <v>1068</v>
      </c>
      <c r="B212" s="773">
        <v>206</v>
      </c>
      <c r="C212" s="789" t="s">
        <v>2813</v>
      </c>
      <c r="D212" s="773"/>
      <c r="E212" s="773"/>
      <c r="F212" s="785" t="s">
        <v>2032</v>
      </c>
      <c r="G212" s="790" t="s">
        <v>2033</v>
      </c>
      <c r="H212" s="791"/>
      <c r="I212" s="792"/>
      <c r="J212" s="793"/>
      <c r="K212" s="793"/>
      <c r="L212" s="793"/>
      <c r="M212" s="793"/>
      <c r="N212" s="793"/>
      <c r="O212" s="793"/>
      <c r="P212" s="794"/>
      <c r="Q212" s="795">
        <f t="shared" si="3"/>
        <v>0</v>
      </c>
      <c r="R212" s="789" t="s">
        <v>1007</v>
      </c>
      <c r="S212" s="773"/>
      <c r="T212" s="796"/>
      <c r="U212" s="773"/>
      <c r="V212" s="1247" t="s">
        <v>1072</v>
      </c>
      <c r="W212" s="773" t="s">
        <v>2034</v>
      </c>
      <c r="X212" s="1277">
        <v>0</v>
      </c>
      <c r="Y212" s="819"/>
      <c r="Z212" s="790"/>
      <c r="AA212" s="785"/>
      <c r="AB212" s="785"/>
      <c r="AC212" s="785"/>
      <c r="AD212" s="785"/>
      <c r="AE212" s="785"/>
      <c r="AF212" s="799"/>
      <c r="AG212" s="800"/>
      <c r="AH212" s="800"/>
      <c r="AI212" s="800"/>
      <c r="AJ212" s="800"/>
      <c r="AK212" s="800"/>
      <c r="AL212" s="800"/>
      <c r="AM212" s="800"/>
      <c r="AN212" s="800"/>
      <c r="AO212" s="800"/>
      <c r="AP212" s="800"/>
      <c r="AQ212" s="808" t="s">
        <v>591</v>
      </c>
      <c r="AR212" s="800" t="s">
        <v>591</v>
      </c>
      <c r="AS212" s="800" t="s">
        <v>591</v>
      </c>
      <c r="AT212" s="800" t="s">
        <v>591</v>
      </c>
      <c r="AU212" s="805" t="s">
        <v>591</v>
      </c>
      <c r="AV212" s="808"/>
      <c r="AW212" s="800"/>
      <c r="AX212" s="800"/>
      <c r="AY212" s="800"/>
      <c r="AZ212" s="800"/>
      <c r="BA212" s="800"/>
      <c r="BB212" s="800"/>
      <c r="BC212" s="800"/>
      <c r="BD212" s="800"/>
      <c r="BE212" s="800"/>
      <c r="BF212" s="800"/>
      <c r="BG212" s="800"/>
      <c r="BH212" s="800"/>
      <c r="BI212" s="800"/>
      <c r="BJ212" s="800"/>
      <c r="BK212" s="805"/>
      <c r="BL212" s="789"/>
      <c r="BM212" s="785"/>
      <c r="BN212" s="785"/>
      <c r="BO212" s="785"/>
      <c r="BP212" s="796"/>
      <c r="BQ212" s="808" t="s">
        <v>1942</v>
      </c>
      <c r="BR212" s="800" t="s">
        <v>1942</v>
      </c>
      <c r="BS212" s="800" t="s">
        <v>1942</v>
      </c>
      <c r="BT212" s="800" t="s">
        <v>1942</v>
      </c>
      <c r="BU212" s="805" t="s">
        <v>1942</v>
      </c>
      <c r="BV212" s="808" t="s">
        <v>1942</v>
      </c>
      <c r="BW212" s="800" t="s">
        <v>1942</v>
      </c>
      <c r="BX212" s="800" t="s">
        <v>1942</v>
      </c>
      <c r="BY212" s="800" t="s">
        <v>1942</v>
      </c>
      <c r="BZ212" s="800" t="s">
        <v>1942</v>
      </c>
      <c r="CA212" s="808" t="s">
        <v>1942</v>
      </c>
      <c r="CB212" s="800" t="s">
        <v>1942</v>
      </c>
      <c r="CC212" s="800" t="s">
        <v>1942</v>
      </c>
      <c r="CD212" s="800" t="s">
        <v>1942</v>
      </c>
      <c r="CE212" s="805" t="s">
        <v>1942</v>
      </c>
      <c r="CF212" s="800" t="s">
        <v>1942</v>
      </c>
      <c r="CG212" s="800" t="s">
        <v>1942</v>
      </c>
      <c r="CH212" s="800" t="s">
        <v>1942</v>
      </c>
      <c r="CI212" s="800" t="s">
        <v>1942</v>
      </c>
      <c r="CJ212" s="805" t="s">
        <v>1942</v>
      </c>
      <c r="CK212" s="808" t="s">
        <v>1942</v>
      </c>
      <c r="CL212" s="800" t="s">
        <v>1942</v>
      </c>
      <c r="CM212" s="800" t="s">
        <v>1942</v>
      </c>
      <c r="CN212" s="800" t="s">
        <v>1942</v>
      </c>
      <c r="CO212" s="805" t="s">
        <v>1942</v>
      </c>
      <c r="CP212" s="808" t="s">
        <v>1942</v>
      </c>
      <c r="CQ212" s="800" t="s">
        <v>1942</v>
      </c>
      <c r="CR212" s="800" t="s">
        <v>1942</v>
      </c>
      <c r="CS212" s="800" t="s">
        <v>1942</v>
      </c>
      <c r="CT212" s="805" t="s">
        <v>1942</v>
      </c>
      <c r="CU212" s="1284" t="s">
        <v>1942</v>
      </c>
      <c r="CV212" s="1283" t="s">
        <v>1942</v>
      </c>
      <c r="CW212" s="1283" t="s">
        <v>1942</v>
      </c>
      <c r="CX212" s="1285" t="s">
        <v>1942</v>
      </c>
      <c r="CY212" s="1283" t="s">
        <v>1942</v>
      </c>
      <c r="CZ212" s="1283" t="s">
        <v>1942</v>
      </c>
      <c r="DA212" s="1283" t="s">
        <v>1942</v>
      </c>
      <c r="DB212" s="1285" t="s">
        <v>1942</v>
      </c>
      <c r="DC212" s="785"/>
      <c r="DD212" s="813"/>
      <c r="DE212" s="814"/>
    </row>
    <row r="213" spans="1:109" ht="15.75" hidden="1" customHeight="1">
      <c r="A213" s="772" t="s">
        <v>1068</v>
      </c>
      <c r="B213" s="773">
        <v>207</v>
      </c>
      <c r="C213" s="789" t="s">
        <v>2814</v>
      </c>
      <c r="D213" s="773"/>
      <c r="E213" s="773"/>
      <c r="F213" s="785" t="s">
        <v>2815</v>
      </c>
      <c r="G213" s="790" t="s">
        <v>2143</v>
      </c>
      <c r="H213" s="791"/>
      <c r="I213" s="792">
        <v>1</v>
      </c>
      <c r="J213" s="793"/>
      <c r="K213" s="793"/>
      <c r="L213" s="793"/>
      <c r="M213" s="793"/>
      <c r="N213" s="793"/>
      <c r="O213" s="793"/>
      <c r="P213" s="794"/>
      <c r="Q213" s="795">
        <f t="shared" si="3"/>
        <v>1</v>
      </c>
      <c r="R213" s="789" t="s">
        <v>1026</v>
      </c>
      <c r="S213" s="773" t="s">
        <v>1008</v>
      </c>
      <c r="T213" s="796" t="s">
        <v>1009</v>
      </c>
      <c r="U213" s="773"/>
      <c r="V213" s="1248" t="s">
        <v>1033</v>
      </c>
      <c r="W213" s="773" t="s">
        <v>2816</v>
      </c>
      <c r="X213" s="829">
        <v>0</v>
      </c>
      <c r="Y213" s="819" t="s">
        <v>1010</v>
      </c>
      <c r="Z213" s="790"/>
      <c r="AA213" s="785"/>
      <c r="AB213" s="785"/>
      <c r="AC213" s="785"/>
      <c r="AD213" s="785"/>
      <c r="AE213" s="785"/>
      <c r="AF213" s="799"/>
      <c r="AG213" s="800"/>
      <c r="AH213" s="800"/>
      <c r="AI213" s="800"/>
      <c r="AJ213" s="800"/>
      <c r="AK213" s="800"/>
      <c r="AL213" s="800"/>
      <c r="AM213" s="800"/>
      <c r="AN213" s="800"/>
      <c r="AO213" s="800"/>
      <c r="AP213" s="800"/>
      <c r="AQ213" s="808">
        <v>2</v>
      </c>
      <c r="AR213" s="800">
        <v>7</v>
      </c>
      <c r="AS213" s="800">
        <v>7</v>
      </c>
      <c r="AT213" s="800">
        <v>7</v>
      </c>
      <c r="AU213" s="805">
        <v>18</v>
      </c>
      <c r="AV213" s="808"/>
      <c r="AW213" s="800"/>
      <c r="AX213" s="800"/>
      <c r="AY213" s="800"/>
      <c r="AZ213" s="800"/>
      <c r="BA213" s="800"/>
      <c r="BB213" s="800"/>
      <c r="BC213" s="800"/>
      <c r="BD213" s="800"/>
      <c r="BE213" s="800"/>
      <c r="BF213" s="800"/>
      <c r="BG213" s="800"/>
      <c r="BH213" s="800"/>
      <c r="BI213" s="800"/>
      <c r="BJ213" s="800"/>
      <c r="BK213" s="805"/>
      <c r="BL213" s="789" t="s">
        <v>168</v>
      </c>
      <c r="BM213" s="785" t="s">
        <v>168</v>
      </c>
      <c r="BN213" s="785" t="s">
        <v>168</v>
      </c>
      <c r="BO213" s="785" t="s">
        <v>168</v>
      </c>
      <c r="BP213" s="796" t="s">
        <v>168</v>
      </c>
      <c r="BQ213" s="808" t="s">
        <v>1942</v>
      </c>
      <c r="BR213" s="800" t="s">
        <v>1942</v>
      </c>
      <c r="BS213" s="800" t="s">
        <v>1942</v>
      </c>
      <c r="BT213" s="800" t="s">
        <v>1942</v>
      </c>
      <c r="BU213" s="805" t="s">
        <v>1942</v>
      </c>
      <c r="BV213" s="808" t="s">
        <v>1942</v>
      </c>
      <c r="BW213" s="800" t="s">
        <v>1942</v>
      </c>
      <c r="BX213" s="800" t="s">
        <v>1942</v>
      </c>
      <c r="BY213" s="800" t="s">
        <v>1942</v>
      </c>
      <c r="BZ213" s="800" t="s">
        <v>1942</v>
      </c>
      <c r="CA213" s="808" t="s">
        <v>1942</v>
      </c>
      <c r="CB213" s="800" t="s">
        <v>1942</v>
      </c>
      <c r="CC213" s="800" t="s">
        <v>1942</v>
      </c>
      <c r="CD213" s="800" t="s">
        <v>1942</v>
      </c>
      <c r="CE213" s="805" t="s">
        <v>1942</v>
      </c>
      <c r="CF213" s="800" t="s">
        <v>1942</v>
      </c>
      <c r="CG213" s="800" t="s">
        <v>1942</v>
      </c>
      <c r="CH213" s="800" t="s">
        <v>1942</v>
      </c>
      <c r="CI213" s="800" t="s">
        <v>1942</v>
      </c>
      <c r="CJ213" s="805" t="s">
        <v>1942</v>
      </c>
      <c r="CK213" s="808" t="s">
        <v>1942</v>
      </c>
      <c r="CL213" s="800" t="s">
        <v>1942</v>
      </c>
      <c r="CM213" s="800" t="s">
        <v>1942</v>
      </c>
      <c r="CN213" s="800" t="s">
        <v>1942</v>
      </c>
      <c r="CO213" s="805" t="s">
        <v>1942</v>
      </c>
      <c r="CP213" s="808" t="s">
        <v>1942</v>
      </c>
      <c r="CQ213" s="800" t="s">
        <v>1942</v>
      </c>
      <c r="CR213" s="800" t="s">
        <v>1942</v>
      </c>
      <c r="CS213" s="800" t="s">
        <v>1942</v>
      </c>
      <c r="CT213" s="805" t="s">
        <v>1942</v>
      </c>
      <c r="CU213" s="1284">
        <v>-2.23E-2</v>
      </c>
      <c r="CV213" s="1283" t="s">
        <v>1942</v>
      </c>
      <c r="CW213" s="1283" t="s">
        <v>1942</v>
      </c>
      <c r="CX213" s="1285" t="s">
        <v>1942</v>
      </c>
      <c r="CY213" s="1283" t="s">
        <v>1942</v>
      </c>
      <c r="CZ213" s="1283" t="s">
        <v>1942</v>
      </c>
      <c r="DA213" s="1283" t="s">
        <v>1942</v>
      </c>
      <c r="DB213" s="1285" t="s">
        <v>1942</v>
      </c>
      <c r="DC213" s="785"/>
      <c r="DD213" s="813"/>
      <c r="DE213" s="814"/>
    </row>
    <row r="214" spans="1:109" ht="15.75" hidden="1" customHeight="1">
      <c r="A214" s="772" t="s">
        <v>1068</v>
      </c>
      <c r="B214" s="773">
        <v>208</v>
      </c>
      <c r="C214" s="789" t="s">
        <v>2817</v>
      </c>
      <c r="D214" s="773"/>
      <c r="E214" s="773"/>
      <c r="F214" s="785">
        <v>15</v>
      </c>
      <c r="G214" s="790" t="s">
        <v>2818</v>
      </c>
      <c r="H214" s="791" t="s">
        <v>2819</v>
      </c>
      <c r="I214" s="792"/>
      <c r="J214" s="793"/>
      <c r="K214" s="793"/>
      <c r="L214" s="793"/>
      <c r="M214" s="793"/>
      <c r="N214" s="793"/>
      <c r="O214" s="793"/>
      <c r="P214" s="794"/>
      <c r="Q214" s="795">
        <f t="shared" si="3"/>
        <v>0</v>
      </c>
      <c r="R214" s="789" t="s">
        <v>1026</v>
      </c>
      <c r="S214" s="773" t="s">
        <v>1008</v>
      </c>
      <c r="T214" s="796" t="s">
        <v>1019</v>
      </c>
      <c r="U214" s="773"/>
      <c r="V214" s="773" t="s">
        <v>2702</v>
      </c>
      <c r="W214" s="773"/>
      <c r="X214" s="1274">
        <v>0</v>
      </c>
      <c r="Y214" s="819"/>
      <c r="Z214" s="790"/>
      <c r="AA214" s="785"/>
      <c r="AB214" s="785"/>
      <c r="AC214" s="785"/>
      <c r="AD214" s="785"/>
      <c r="AE214" s="785"/>
      <c r="AF214" s="799"/>
      <c r="AG214" s="800"/>
      <c r="AH214" s="800"/>
      <c r="AI214" s="800"/>
      <c r="AJ214" s="800"/>
      <c r="AK214" s="800"/>
      <c r="AL214" s="800"/>
      <c r="AM214" s="800"/>
      <c r="AN214" s="800"/>
      <c r="AO214" s="800"/>
      <c r="AP214" s="800"/>
      <c r="AQ214" s="808" t="s">
        <v>1942</v>
      </c>
      <c r="AR214" s="800" t="s">
        <v>1942</v>
      </c>
      <c r="AS214" s="800" t="s">
        <v>1942</v>
      </c>
      <c r="AT214" s="800" t="s">
        <v>1942</v>
      </c>
      <c r="AU214" s="805" t="s">
        <v>1942</v>
      </c>
      <c r="AV214" s="808"/>
      <c r="AW214" s="800"/>
      <c r="AX214" s="800"/>
      <c r="AY214" s="800"/>
      <c r="AZ214" s="800"/>
      <c r="BA214" s="800"/>
      <c r="BB214" s="800"/>
      <c r="BC214" s="800"/>
      <c r="BD214" s="800"/>
      <c r="BE214" s="800"/>
      <c r="BF214" s="800"/>
      <c r="BG214" s="800"/>
      <c r="BH214" s="800"/>
      <c r="BI214" s="800"/>
      <c r="BJ214" s="800"/>
      <c r="BK214" s="805"/>
      <c r="BL214" s="789"/>
      <c r="BM214" s="785"/>
      <c r="BN214" s="785"/>
      <c r="BO214" s="785"/>
      <c r="BP214" s="796"/>
      <c r="BQ214" s="808" t="s">
        <v>1942</v>
      </c>
      <c r="BR214" s="800" t="s">
        <v>1942</v>
      </c>
      <c r="BS214" s="800" t="s">
        <v>1942</v>
      </c>
      <c r="BT214" s="800" t="s">
        <v>1942</v>
      </c>
      <c r="BU214" s="805" t="s">
        <v>1942</v>
      </c>
      <c r="BV214" s="808" t="s">
        <v>1942</v>
      </c>
      <c r="BW214" s="800" t="s">
        <v>1942</v>
      </c>
      <c r="BX214" s="800" t="s">
        <v>1942</v>
      </c>
      <c r="BY214" s="800" t="s">
        <v>1942</v>
      </c>
      <c r="BZ214" s="800" t="s">
        <v>1942</v>
      </c>
      <c r="CA214" s="808" t="s">
        <v>1942</v>
      </c>
      <c r="CB214" s="800" t="s">
        <v>1942</v>
      </c>
      <c r="CC214" s="800" t="s">
        <v>1942</v>
      </c>
      <c r="CD214" s="800" t="s">
        <v>1942</v>
      </c>
      <c r="CE214" s="805" t="s">
        <v>1942</v>
      </c>
      <c r="CF214" s="800" t="s">
        <v>1942</v>
      </c>
      <c r="CG214" s="800" t="s">
        <v>1942</v>
      </c>
      <c r="CH214" s="800" t="s">
        <v>1942</v>
      </c>
      <c r="CI214" s="800" t="s">
        <v>1942</v>
      </c>
      <c r="CJ214" s="805" t="s">
        <v>1942</v>
      </c>
      <c r="CK214" s="808" t="s">
        <v>1942</v>
      </c>
      <c r="CL214" s="800" t="s">
        <v>1942</v>
      </c>
      <c r="CM214" s="800" t="s">
        <v>1942</v>
      </c>
      <c r="CN214" s="800" t="s">
        <v>1942</v>
      </c>
      <c r="CO214" s="805" t="s">
        <v>1942</v>
      </c>
      <c r="CP214" s="808" t="s">
        <v>1942</v>
      </c>
      <c r="CQ214" s="800" t="s">
        <v>1942</v>
      </c>
      <c r="CR214" s="800" t="s">
        <v>1942</v>
      </c>
      <c r="CS214" s="800" t="s">
        <v>1942</v>
      </c>
      <c r="CT214" s="805" t="s">
        <v>1942</v>
      </c>
      <c r="CU214" s="1284">
        <v>-7.9000000000000001E-2</v>
      </c>
      <c r="CV214" s="1283" t="s">
        <v>1942</v>
      </c>
      <c r="CW214" s="1283" t="s">
        <v>1942</v>
      </c>
      <c r="CX214" s="1285" t="s">
        <v>1942</v>
      </c>
      <c r="CY214" s="1283">
        <v>0.31590000000000001</v>
      </c>
      <c r="CZ214" s="1283" t="s">
        <v>1942</v>
      </c>
      <c r="DA214" s="1283" t="s">
        <v>1942</v>
      </c>
      <c r="DB214" s="1285" t="s">
        <v>1942</v>
      </c>
      <c r="DC214" s="785"/>
      <c r="DD214" s="813"/>
      <c r="DE214" s="814"/>
    </row>
    <row r="215" spans="1:109" ht="15.75" hidden="1" customHeight="1">
      <c r="A215" s="772" t="s">
        <v>1071</v>
      </c>
      <c r="B215" s="773">
        <v>209</v>
      </c>
      <c r="C215" s="789" t="s">
        <v>2820</v>
      </c>
      <c r="D215" s="773" t="s">
        <v>2821</v>
      </c>
      <c r="E215" s="773" t="s">
        <v>1896</v>
      </c>
      <c r="F215" s="785" t="s">
        <v>2822</v>
      </c>
      <c r="G215" s="790" t="s">
        <v>137</v>
      </c>
      <c r="H215" s="791" t="s">
        <v>2823</v>
      </c>
      <c r="I215" s="792"/>
      <c r="J215" s="793">
        <v>1</v>
      </c>
      <c r="K215" s="793"/>
      <c r="L215" s="793"/>
      <c r="M215" s="793"/>
      <c r="N215" s="793"/>
      <c r="O215" s="793"/>
      <c r="P215" s="794"/>
      <c r="Q215" s="795">
        <f t="shared" si="3"/>
        <v>1</v>
      </c>
      <c r="R215" s="789" t="s">
        <v>1030</v>
      </c>
      <c r="S215" s="773" t="s">
        <v>1008</v>
      </c>
      <c r="T215" s="796" t="s">
        <v>1009</v>
      </c>
      <c r="U215" s="773" t="s">
        <v>1892</v>
      </c>
      <c r="V215" s="773" t="s">
        <v>1029</v>
      </c>
      <c r="W215" s="773" t="s">
        <v>2824</v>
      </c>
      <c r="X215" s="829">
        <v>0</v>
      </c>
      <c r="Y215" s="821" t="s">
        <v>1020</v>
      </c>
      <c r="Z215" s="790" t="s">
        <v>137</v>
      </c>
      <c r="AA215" s="785"/>
      <c r="AB215" s="785"/>
      <c r="AC215" s="785"/>
      <c r="AD215" s="785"/>
      <c r="AE215" s="785"/>
      <c r="AF215" s="799"/>
      <c r="AG215" s="800"/>
      <c r="AH215" s="800"/>
      <c r="AI215" s="800"/>
      <c r="AJ215" s="800"/>
      <c r="AK215" s="800"/>
      <c r="AL215" s="800"/>
      <c r="AM215" s="800"/>
      <c r="AN215" s="800"/>
      <c r="AO215" s="800"/>
      <c r="AP215" s="800"/>
      <c r="AQ215" s="1421"/>
      <c r="AR215" s="1373"/>
      <c r="AS215" s="1373"/>
      <c r="AT215" s="1373"/>
      <c r="AU215" s="1374"/>
      <c r="AV215" s="808"/>
      <c r="AW215" s="800"/>
      <c r="AX215" s="800"/>
      <c r="AY215" s="800"/>
      <c r="AZ215" s="800"/>
      <c r="BA215" s="800"/>
      <c r="BB215" s="800"/>
      <c r="BC215" s="800"/>
      <c r="BD215" s="800"/>
      <c r="BE215" s="800"/>
      <c r="BF215" s="800"/>
      <c r="BG215" s="800"/>
      <c r="BH215" s="800"/>
      <c r="BI215" s="800"/>
      <c r="BJ215" s="800"/>
      <c r="BK215" s="805"/>
      <c r="BL215" s="1376"/>
      <c r="BM215" s="1377"/>
      <c r="BN215" s="1377"/>
      <c r="BO215" s="1377"/>
      <c r="BP215" s="1440"/>
      <c r="BQ215" s="1725"/>
      <c r="BR215" s="1726"/>
      <c r="BS215" s="1726"/>
      <c r="BT215" s="1726"/>
      <c r="BU215" s="1727"/>
      <c r="BV215" s="1725"/>
      <c r="BW215" s="1726"/>
      <c r="BX215" s="1726"/>
      <c r="BY215" s="1726"/>
      <c r="BZ215" s="1726"/>
      <c r="CA215" s="1420"/>
      <c r="CB215" s="1368"/>
      <c r="CC215" s="1368"/>
      <c r="CD215" s="1368"/>
      <c r="CE215" s="1369"/>
      <c r="CF215" s="1368"/>
      <c r="CG215" s="1368"/>
      <c r="CH215" s="1368"/>
      <c r="CI215" s="1368"/>
      <c r="CJ215" s="1369"/>
      <c r="CK215" s="1421"/>
      <c r="CL215" s="1373"/>
      <c r="CM215" s="1373"/>
      <c r="CN215" s="1373"/>
      <c r="CO215" s="1374"/>
      <c r="CP215" s="1421"/>
      <c r="CQ215" s="1373"/>
      <c r="CR215" s="1373"/>
      <c r="CS215" s="1373"/>
      <c r="CT215" s="1374"/>
      <c r="CU215" s="1528"/>
      <c r="CV215" s="1519"/>
      <c r="CW215" s="1519"/>
      <c r="CX215" s="1728"/>
      <c r="CY215" s="1519"/>
      <c r="CZ215" s="1519"/>
      <c r="DA215" s="1519"/>
      <c r="DB215" s="1728"/>
      <c r="DC215" s="1377"/>
      <c r="DD215" s="1729"/>
      <c r="DE215" s="1734"/>
    </row>
    <row r="216" spans="1:109" ht="15.75" hidden="1" customHeight="1">
      <c r="A216" s="772" t="s">
        <v>1071</v>
      </c>
      <c r="B216" s="773">
        <v>210</v>
      </c>
      <c r="C216" s="789" t="s">
        <v>2825</v>
      </c>
      <c r="D216" s="773" t="s">
        <v>2821</v>
      </c>
      <c r="E216" s="773" t="s">
        <v>1896</v>
      </c>
      <c r="F216" s="785" t="s">
        <v>2826</v>
      </c>
      <c r="G216" s="790" t="s">
        <v>161</v>
      </c>
      <c r="H216" s="791" t="s">
        <v>2823</v>
      </c>
      <c r="I216" s="792"/>
      <c r="J216" s="793">
        <v>1</v>
      </c>
      <c r="K216" s="793"/>
      <c r="L216" s="793"/>
      <c r="M216" s="793"/>
      <c r="N216" s="793"/>
      <c r="O216" s="793"/>
      <c r="P216" s="794"/>
      <c r="Q216" s="795">
        <f t="shared" si="3"/>
        <v>1</v>
      </c>
      <c r="R216" s="789" t="s">
        <v>1026</v>
      </c>
      <c r="S216" s="773" t="s">
        <v>1008</v>
      </c>
      <c r="T216" s="796" t="s">
        <v>1009</v>
      </c>
      <c r="U216" s="773" t="s">
        <v>2074</v>
      </c>
      <c r="V216" s="773" t="s">
        <v>1033</v>
      </c>
      <c r="W216" s="773" t="s">
        <v>2207</v>
      </c>
      <c r="X216" s="829">
        <v>1</v>
      </c>
      <c r="Y216" s="821" t="s">
        <v>1020</v>
      </c>
      <c r="Z216" s="790" t="s">
        <v>161</v>
      </c>
      <c r="AA216" s="785"/>
      <c r="AB216" s="785"/>
      <c r="AC216" s="785"/>
      <c r="AD216" s="785"/>
      <c r="AE216" s="785"/>
      <c r="AF216" s="799"/>
      <c r="AG216" s="800"/>
      <c r="AH216" s="800"/>
      <c r="AI216" s="800"/>
      <c r="AJ216" s="800"/>
      <c r="AK216" s="800"/>
      <c r="AL216" s="800"/>
      <c r="AM216" s="800"/>
      <c r="AN216" s="800"/>
      <c r="AO216" s="800"/>
      <c r="AP216" s="800"/>
      <c r="AQ216" s="1421"/>
      <c r="AR216" s="1373"/>
      <c r="AS216" s="1373"/>
      <c r="AT216" s="1373"/>
      <c r="AU216" s="1374"/>
      <c r="AV216" s="808"/>
      <c r="AW216" s="800"/>
      <c r="AX216" s="800"/>
      <c r="AY216" s="800"/>
      <c r="AZ216" s="800"/>
      <c r="BA216" s="800"/>
      <c r="BB216" s="800"/>
      <c r="BC216" s="800"/>
      <c r="BD216" s="800"/>
      <c r="BE216" s="800"/>
      <c r="BF216" s="800"/>
      <c r="BG216" s="800"/>
      <c r="BH216" s="800"/>
      <c r="BI216" s="800"/>
      <c r="BJ216" s="800"/>
      <c r="BK216" s="805"/>
      <c r="BL216" s="1376"/>
      <c r="BM216" s="1377"/>
      <c r="BN216" s="1377"/>
      <c r="BO216" s="1377"/>
      <c r="BP216" s="1440"/>
      <c r="BQ216" s="1420"/>
      <c r="BR216" s="1368"/>
      <c r="BS216" s="1368"/>
      <c r="BT216" s="1368"/>
      <c r="BU216" s="1369"/>
      <c r="BV216" s="1420"/>
      <c r="BW216" s="1368"/>
      <c r="BX216" s="1368"/>
      <c r="BY216" s="1368"/>
      <c r="BZ216" s="1368"/>
      <c r="CA216" s="1420"/>
      <c r="CB216" s="1368"/>
      <c r="CC216" s="1368"/>
      <c r="CD216" s="1368"/>
      <c r="CE216" s="1369"/>
      <c r="CF216" s="1368"/>
      <c r="CG216" s="1368"/>
      <c r="CH216" s="1368"/>
      <c r="CI216" s="1368"/>
      <c r="CJ216" s="1369"/>
      <c r="CK216" s="1420"/>
      <c r="CL216" s="1368"/>
      <c r="CM216" s="1368"/>
      <c r="CN216" s="1368"/>
      <c r="CO216" s="1369"/>
      <c r="CP216" s="1420"/>
      <c r="CQ216" s="1368"/>
      <c r="CR216" s="1368"/>
      <c r="CS216" s="1368"/>
      <c r="CT216" s="1369"/>
      <c r="CU216" s="1528"/>
      <c r="CV216" s="1519"/>
      <c r="CW216" s="1519"/>
      <c r="CX216" s="1728"/>
      <c r="CY216" s="1519"/>
      <c r="CZ216" s="1519"/>
      <c r="DA216" s="1519"/>
      <c r="DB216" s="1728"/>
      <c r="DC216" s="1377"/>
      <c r="DD216" s="1729"/>
      <c r="DE216" s="1734"/>
    </row>
    <row r="217" spans="1:109" ht="15.75" hidden="1" customHeight="1">
      <c r="A217" s="772" t="s">
        <v>1071</v>
      </c>
      <c r="B217" s="773">
        <v>211</v>
      </c>
      <c r="C217" s="789" t="s">
        <v>2827</v>
      </c>
      <c r="D217" s="773" t="s">
        <v>2821</v>
      </c>
      <c r="E217" s="773" t="s">
        <v>1896</v>
      </c>
      <c r="F217" s="785" t="s">
        <v>2828</v>
      </c>
      <c r="G217" s="790" t="s">
        <v>2829</v>
      </c>
      <c r="H217" s="791" t="s">
        <v>2830</v>
      </c>
      <c r="I217" s="792"/>
      <c r="J217" s="793">
        <v>1</v>
      </c>
      <c r="K217" s="793"/>
      <c r="L217" s="793"/>
      <c r="M217" s="793"/>
      <c r="N217" s="793"/>
      <c r="O217" s="793"/>
      <c r="P217" s="794"/>
      <c r="Q217" s="795">
        <f t="shared" si="3"/>
        <v>1</v>
      </c>
      <c r="R217" s="789" t="s">
        <v>1026</v>
      </c>
      <c r="S217" s="773" t="s">
        <v>1008</v>
      </c>
      <c r="T217" s="796" t="s">
        <v>1009</v>
      </c>
      <c r="U217" s="773" t="s">
        <v>2149</v>
      </c>
      <c r="V217" s="773" t="s">
        <v>1033</v>
      </c>
      <c r="W217" s="773" t="s">
        <v>2219</v>
      </c>
      <c r="X217" s="829">
        <v>2</v>
      </c>
      <c r="Y217" s="821" t="s">
        <v>1020</v>
      </c>
      <c r="Z217" s="790" t="s">
        <v>2002</v>
      </c>
      <c r="AA217" s="785"/>
      <c r="AB217" s="785"/>
      <c r="AC217" s="785"/>
      <c r="AD217" s="785"/>
      <c r="AE217" s="785"/>
      <c r="AF217" s="799"/>
      <c r="AG217" s="800"/>
      <c r="AH217" s="800"/>
      <c r="AI217" s="800"/>
      <c r="AJ217" s="800"/>
      <c r="AK217" s="800"/>
      <c r="AL217" s="800"/>
      <c r="AM217" s="800"/>
      <c r="AN217" s="800"/>
      <c r="AO217" s="800"/>
      <c r="AP217" s="800"/>
      <c r="AQ217" s="808">
        <v>0.51</v>
      </c>
      <c r="AR217" s="800">
        <v>0.51</v>
      </c>
      <c r="AS217" s="800">
        <v>0.5</v>
      </c>
      <c r="AT217" s="800">
        <v>0.5</v>
      </c>
      <c r="AU217" s="805">
        <v>0.5</v>
      </c>
      <c r="AV217" s="808"/>
      <c r="AW217" s="800"/>
      <c r="AX217" s="800"/>
      <c r="AY217" s="800"/>
      <c r="AZ217" s="800"/>
      <c r="BA217" s="800"/>
      <c r="BB217" s="800"/>
      <c r="BC217" s="800"/>
      <c r="BD217" s="800"/>
      <c r="BE217" s="800"/>
      <c r="BF217" s="800"/>
      <c r="BG217" s="800"/>
      <c r="BH217" s="800"/>
      <c r="BI217" s="800"/>
      <c r="BJ217" s="800"/>
      <c r="BK217" s="805"/>
      <c r="BL217" s="789" t="s">
        <v>168</v>
      </c>
      <c r="BM217" s="785" t="s">
        <v>168</v>
      </c>
      <c r="BN217" s="785" t="s">
        <v>168</v>
      </c>
      <c r="BO217" s="785" t="s">
        <v>168</v>
      </c>
      <c r="BP217" s="796" t="s">
        <v>168</v>
      </c>
      <c r="BQ217" s="808" t="s">
        <v>1942</v>
      </c>
      <c r="BR217" s="800" t="s">
        <v>1942</v>
      </c>
      <c r="BS217" s="800" t="s">
        <v>1942</v>
      </c>
      <c r="BT217" s="800" t="s">
        <v>1942</v>
      </c>
      <c r="BU217" s="805" t="s">
        <v>1942</v>
      </c>
      <c r="BV217" s="808" t="s">
        <v>1942</v>
      </c>
      <c r="BW217" s="800" t="s">
        <v>1942</v>
      </c>
      <c r="BX217" s="800" t="s">
        <v>1942</v>
      </c>
      <c r="BY217" s="800" t="s">
        <v>1942</v>
      </c>
      <c r="BZ217" s="800" t="s">
        <v>1942</v>
      </c>
      <c r="CA217" s="808" t="s">
        <v>1942</v>
      </c>
      <c r="CB217" s="800" t="s">
        <v>1942</v>
      </c>
      <c r="CC217" s="800" t="s">
        <v>1942</v>
      </c>
      <c r="CD217" s="800" t="s">
        <v>1942</v>
      </c>
      <c r="CE217" s="805" t="s">
        <v>1942</v>
      </c>
      <c r="CF217" s="800" t="s">
        <v>1942</v>
      </c>
      <c r="CG217" s="800" t="s">
        <v>1942</v>
      </c>
      <c r="CH217" s="800" t="s">
        <v>1942</v>
      </c>
      <c r="CI217" s="800" t="s">
        <v>1942</v>
      </c>
      <c r="CJ217" s="805" t="s">
        <v>1942</v>
      </c>
      <c r="CK217" s="808" t="s">
        <v>1942</v>
      </c>
      <c r="CL217" s="800" t="s">
        <v>1942</v>
      </c>
      <c r="CM217" s="800" t="s">
        <v>1942</v>
      </c>
      <c r="CN217" s="800" t="s">
        <v>1942</v>
      </c>
      <c r="CO217" s="805" t="s">
        <v>1942</v>
      </c>
      <c r="CP217" s="808" t="s">
        <v>1942</v>
      </c>
      <c r="CQ217" s="800" t="s">
        <v>1942</v>
      </c>
      <c r="CR217" s="800" t="s">
        <v>1942</v>
      </c>
      <c r="CS217" s="800" t="s">
        <v>1942</v>
      </c>
      <c r="CT217" s="805" t="s">
        <v>1942</v>
      </c>
      <c r="CU217" s="1284">
        <v>-0.79600000000000004</v>
      </c>
      <c r="CV217" s="1283" t="s">
        <v>1942</v>
      </c>
      <c r="CW217" s="1283" t="s">
        <v>1942</v>
      </c>
      <c r="CX217" s="1285" t="s">
        <v>1942</v>
      </c>
      <c r="CY217" s="1283" t="s">
        <v>1942</v>
      </c>
      <c r="CZ217" s="1283" t="s">
        <v>1942</v>
      </c>
      <c r="DA217" s="1283" t="s">
        <v>1942</v>
      </c>
      <c r="DB217" s="1285" t="s">
        <v>1942</v>
      </c>
      <c r="DC217" s="785"/>
      <c r="DD217" s="813">
        <v>1</v>
      </c>
      <c r="DE217" s="814"/>
    </row>
    <row r="218" spans="1:109" ht="15.75" hidden="1" customHeight="1">
      <c r="A218" s="772" t="s">
        <v>1071</v>
      </c>
      <c r="B218" s="773">
        <v>212</v>
      </c>
      <c r="C218" s="789" t="s">
        <v>2831</v>
      </c>
      <c r="D218" s="773" t="s">
        <v>2821</v>
      </c>
      <c r="E218" s="773" t="s">
        <v>1889</v>
      </c>
      <c r="F218" s="785" t="s">
        <v>2832</v>
      </c>
      <c r="G218" s="790" t="s">
        <v>130</v>
      </c>
      <c r="H218" s="791" t="s">
        <v>2823</v>
      </c>
      <c r="I218" s="792"/>
      <c r="J218" s="793">
        <v>1</v>
      </c>
      <c r="K218" s="793"/>
      <c r="L218" s="793"/>
      <c r="M218" s="793"/>
      <c r="N218" s="793"/>
      <c r="O218" s="793"/>
      <c r="P218" s="794"/>
      <c r="Q218" s="795">
        <f t="shared" si="3"/>
        <v>1</v>
      </c>
      <c r="R218" s="789" t="s">
        <v>1026</v>
      </c>
      <c r="S218" s="773" t="s">
        <v>1008</v>
      </c>
      <c r="T218" s="796" t="s">
        <v>1009</v>
      </c>
      <c r="U218" s="773" t="s">
        <v>1926</v>
      </c>
      <c r="V218" s="773" t="s">
        <v>1081</v>
      </c>
      <c r="W218" s="773" t="s">
        <v>2833</v>
      </c>
      <c r="X218" s="829">
        <v>2</v>
      </c>
      <c r="Y218" s="821" t="s">
        <v>1020</v>
      </c>
      <c r="Z218" s="790" t="s">
        <v>130</v>
      </c>
      <c r="AA218" s="785"/>
      <c r="AB218" s="785"/>
      <c r="AC218" s="785"/>
      <c r="AD218" s="785"/>
      <c r="AE218" s="785"/>
      <c r="AF218" s="799"/>
      <c r="AG218" s="800"/>
      <c r="AH218" s="800"/>
      <c r="AI218" s="800"/>
      <c r="AJ218" s="800"/>
      <c r="AK218" s="800"/>
      <c r="AL218" s="800"/>
      <c r="AM218" s="800"/>
      <c r="AN218" s="800"/>
      <c r="AO218" s="800"/>
      <c r="AP218" s="800"/>
      <c r="AQ218" s="1420"/>
      <c r="AR218" s="1368"/>
      <c r="AS218" s="1368"/>
      <c r="AT218" s="1368"/>
      <c r="AU218" s="1369"/>
      <c r="AV218" s="808"/>
      <c r="AW218" s="800"/>
      <c r="AX218" s="800"/>
      <c r="AY218" s="800"/>
      <c r="AZ218" s="800"/>
      <c r="BA218" s="800"/>
      <c r="BB218" s="800"/>
      <c r="BC218" s="800"/>
      <c r="BD218" s="800"/>
      <c r="BE218" s="800"/>
      <c r="BF218" s="800"/>
      <c r="BG218" s="800"/>
      <c r="BH218" s="800"/>
      <c r="BI218" s="800"/>
      <c r="BJ218" s="800"/>
      <c r="BK218" s="805"/>
      <c r="BL218" s="1376"/>
      <c r="BM218" s="1377"/>
      <c r="BN218" s="1377"/>
      <c r="BO218" s="1377"/>
      <c r="BP218" s="1440"/>
      <c r="BQ218" s="1420"/>
      <c r="BR218" s="1368"/>
      <c r="BS218" s="1368"/>
      <c r="BT218" s="1368"/>
      <c r="BU218" s="1369"/>
      <c r="BV218" s="1420"/>
      <c r="BW218" s="1368"/>
      <c r="BX218" s="1368"/>
      <c r="BY218" s="1368"/>
      <c r="BZ218" s="1368"/>
      <c r="CA218" s="1420"/>
      <c r="CB218" s="1368"/>
      <c r="CC218" s="1368"/>
      <c r="CD218" s="1368"/>
      <c r="CE218" s="1369"/>
      <c r="CF218" s="1368"/>
      <c r="CG218" s="1368"/>
      <c r="CH218" s="1368"/>
      <c r="CI218" s="1368"/>
      <c r="CJ218" s="1369"/>
      <c r="CK218" s="1420"/>
      <c r="CL218" s="1368"/>
      <c r="CM218" s="1368"/>
      <c r="CN218" s="1368"/>
      <c r="CO218" s="1369"/>
      <c r="CP218" s="1420"/>
      <c r="CQ218" s="1368"/>
      <c r="CR218" s="1368"/>
      <c r="CS218" s="1368"/>
      <c r="CT218" s="1369"/>
      <c r="CU218" s="1528"/>
      <c r="CV218" s="1519"/>
      <c r="CW218" s="1519"/>
      <c r="CX218" s="1728"/>
      <c r="CY218" s="1519"/>
      <c r="CZ218" s="1519"/>
      <c r="DA218" s="1519"/>
      <c r="DB218" s="1728"/>
      <c r="DC218" s="1377"/>
      <c r="DD218" s="1729"/>
      <c r="DE218" s="1734"/>
    </row>
    <row r="219" spans="1:109" ht="15.75" hidden="1" customHeight="1">
      <c r="A219" s="772" t="s">
        <v>1071</v>
      </c>
      <c r="B219" s="773">
        <v>213</v>
      </c>
      <c r="C219" s="789" t="s">
        <v>2834</v>
      </c>
      <c r="D219" s="773" t="s">
        <v>2835</v>
      </c>
      <c r="E219" s="773" t="s">
        <v>1896</v>
      </c>
      <c r="F219" s="785" t="s">
        <v>2836</v>
      </c>
      <c r="G219" s="790" t="s">
        <v>2837</v>
      </c>
      <c r="H219" s="791" t="s">
        <v>2838</v>
      </c>
      <c r="I219" s="792"/>
      <c r="J219" s="793"/>
      <c r="K219" s="793"/>
      <c r="L219" s="793"/>
      <c r="M219" s="793">
        <v>1</v>
      </c>
      <c r="N219" s="793"/>
      <c r="O219" s="793"/>
      <c r="P219" s="794"/>
      <c r="Q219" s="795">
        <f t="shared" si="3"/>
        <v>1</v>
      </c>
      <c r="R219" s="789" t="s">
        <v>1026</v>
      </c>
      <c r="S219" s="773" t="s">
        <v>1008</v>
      </c>
      <c r="T219" s="796" t="s">
        <v>1009</v>
      </c>
      <c r="U219" s="773" t="s">
        <v>2117</v>
      </c>
      <c r="V219" s="773" t="s">
        <v>1033</v>
      </c>
      <c r="W219" s="773" t="s">
        <v>2839</v>
      </c>
      <c r="X219" s="829">
        <v>0</v>
      </c>
      <c r="Y219" s="821" t="s">
        <v>1010</v>
      </c>
      <c r="Z219" s="790"/>
      <c r="AA219" s="785"/>
      <c r="AB219" s="785"/>
      <c r="AC219" s="785"/>
      <c r="AD219" s="785"/>
      <c r="AE219" s="785"/>
      <c r="AF219" s="799"/>
      <c r="AG219" s="800"/>
      <c r="AH219" s="800"/>
      <c r="AI219" s="800"/>
      <c r="AJ219" s="800"/>
      <c r="AK219" s="800"/>
      <c r="AL219" s="800"/>
      <c r="AM219" s="800"/>
      <c r="AN219" s="800"/>
      <c r="AO219" s="800"/>
      <c r="AP219" s="800"/>
      <c r="AQ219" s="808">
        <v>12960</v>
      </c>
      <c r="AR219" s="800">
        <v>15970</v>
      </c>
      <c r="AS219" s="800">
        <v>18980</v>
      </c>
      <c r="AT219" s="800">
        <v>21990</v>
      </c>
      <c r="AU219" s="805">
        <v>25000</v>
      </c>
      <c r="AV219" s="808"/>
      <c r="AW219" s="800"/>
      <c r="AX219" s="800"/>
      <c r="AY219" s="800"/>
      <c r="AZ219" s="800"/>
      <c r="BA219" s="800"/>
      <c r="BB219" s="800"/>
      <c r="BC219" s="800"/>
      <c r="BD219" s="800"/>
      <c r="BE219" s="800"/>
      <c r="BF219" s="800"/>
      <c r="BG219" s="800"/>
      <c r="BH219" s="800"/>
      <c r="BI219" s="800"/>
      <c r="BJ219" s="800"/>
      <c r="BK219" s="805"/>
      <c r="BL219" s="789" t="s">
        <v>168</v>
      </c>
      <c r="BM219" s="785" t="s">
        <v>168</v>
      </c>
      <c r="BN219" s="785" t="s">
        <v>168</v>
      </c>
      <c r="BO219" s="785" t="s">
        <v>168</v>
      </c>
      <c r="BP219" s="796" t="s">
        <v>168</v>
      </c>
      <c r="BQ219" s="808" t="s">
        <v>1942</v>
      </c>
      <c r="BR219" s="800" t="s">
        <v>1942</v>
      </c>
      <c r="BS219" s="800" t="s">
        <v>1942</v>
      </c>
      <c r="BT219" s="800" t="s">
        <v>1942</v>
      </c>
      <c r="BU219" s="805" t="s">
        <v>1942</v>
      </c>
      <c r="BV219" s="808" t="s">
        <v>1942</v>
      </c>
      <c r="BW219" s="800" t="s">
        <v>1942</v>
      </c>
      <c r="BX219" s="800" t="s">
        <v>1942</v>
      </c>
      <c r="BY219" s="800" t="s">
        <v>1942</v>
      </c>
      <c r="BZ219" s="800" t="s">
        <v>1942</v>
      </c>
      <c r="CA219" s="808" t="s">
        <v>1942</v>
      </c>
      <c r="CB219" s="800" t="s">
        <v>1942</v>
      </c>
      <c r="CC219" s="800" t="s">
        <v>1942</v>
      </c>
      <c r="CD219" s="800" t="s">
        <v>1942</v>
      </c>
      <c r="CE219" s="805" t="s">
        <v>1942</v>
      </c>
      <c r="CF219" s="800" t="s">
        <v>1942</v>
      </c>
      <c r="CG219" s="800" t="s">
        <v>1942</v>
      </c>
      <c r="CH219" s="800" t="s">
        <v>1942</v>
      </c>
      <c r="CI219" s="800" t="s">
        <v>1942</v>
      </c>
      <c r="CJ219" s="800" t="s">
        <v>1942</v>
      </c>
      <c r="CK219" s="808" t="s">
        <v>1942</v>
      </c>
      <c r="CL219" s="800" t="s">
        <v>1942</v>
      </c>
      <c r="CM219" s="800" t="s">
        <v>1942</v>
      </c>
      <c r="CN219" s="800" t="s">
        <v>1942</v>
      </c>
      <c r="CO219" s="805" t="s">
        <v>1942</v>
      </c>
      <c r="CP219" s="808" t="s">
        <v>1942</v>
      </c>
      <c r="CQ219" s="800" t="s">
        <v>1942</v>
      </c>
      <c r="CR219" s="800" t="s">
        <v>1942</v>
      </c>
      <c r="CS219" s="800" t="s">
        <v>1942</v>
      </c>
      <c r="CT219" s="805" t="s">
        <v>1942</v>
      </c>
      <c r="CU219" s="1284">
        <v>-9.0999999999999993E-6</v>
      </c>
      <c r="CV219" s="1283" t="s">
        <v>1942</v>
      </c>
      <c r="CW219" s="1283" t="s">
        <v>1942</v>
      </c>
      <c r="CX219" s="1285" t="s">
        <v>1942</v>
      </c>
      <c r="CY219" s="1283" t="s">
        <v>1942</v>
      </c>
      <c r="CZ219" s="1283" t="s">
        <v>1942</v>
      </c>
      <c r="DA219" s="1283" t="s">
        <v>1942</v>
      </c>
      <c r="DB219" s="1285" t="s">
        <v>1942</v>
      </c>
      <c r="DC219" s="785"/>
      <c r="DD219" s="813">
        <v>1</v>
      </c>
      <c r="DE219" s="814"/>
    </row>
    <row r="220" spans="1:109" ht="15.75" hidden="1" customHeight="1">
      <c r="A220" s="772" t="s">
        <v>1071</v>
      </c>
      <c r="B220" s="773">
        <v>214</v>
      </c>
      <c r="C220" s="789" t="s">
        <v>2840</v>
      </c>
      <c r="D220" s="773" t="s">
        <v>2835</v>
      </c>
      <c r="E220" s="773" t="s">
        <v>1907</v>
      </c>
      <c r="F220" s="785" t="s">
        <v>2841</v>
      </c>
      <c r="G220" s="790" t="s">
        <v>2842</v>
      </c>
      <c r="H220" s="791" t="s">
        <v>2843</v>
      </c>
      <c r="I220" s="792"/>
      <c r="J220" s="793"/>
      <c r="K220" s="793"/>
      <c r="L220" s="793"/>
      <c r="M220" s="793">
        <v>1</v>
      </c>
      <c r="N220" s="793"/>
      <c r="O220" s="793"/>
      <c r="P220" s="794"/>
      <c r="Q220" s="795">
        <f t="shared" si="3"/>
        <v>1</v>
      </c>
      <c r="R220" s="789" t="s">
        <v>1007</v>
      </c>
      <c r="S220" s="773"/>
      <c r="T220" s="796"/>
      <c r="U220" s="773" t="s">
        <v>2117</v>
      </c>
      <c r="V220" s="773" t="s">
        <v>278</v>
      </c>
      <c r="W220" s="773" t="s">
        <v>2459</v>
      </c>
      <c r="X220" s="829">
        <v>1</v>
      </c>
      <c r="Y220" s="821" t="s">
        <v>1010</v>
      </c>
      <c r="Z220" s="790"/>
      <c r="AA220" s="785"/>
      <c r="AB220" s="785"/>
      <c r="AC220" s="785"/>
      <c r="AD220" s="785"/>
      <c r="AE220" s="785"/>
      <c r="AF220" s="799"/>
      <c r="AG220" s="800"/>
      <c r="AH220" s="800"/>
      <c r="AI220" s="800"/>
      <c r="AJ220" s="800"/>
      <c r="AK220" s="800"/>
      <c r="AL220" s="800"/>
      <c r="AM220" s="800"/>
      <c r="AN220" s="800"/>
      <c r="AO220" s="800"/>
      <c r="AP220" s="800"/>
      <c r="AQ220" s="808">
        <v>56.7</v>
      </c>
      <c r="AR220" s="800">
        <v>59.5</v>
      </c>
      <c r="AS220" s="800">
        <v>62.3</v>
      </c>
      <c r="AT220" s="800">
        <v>65.2</v>
      </c>
      <c r="AU220" s="805">
        <v>68</v>
      </c>
      <c r="AV220" s="808"/>
      <c r="AW220" s="800"/>
      <c r="AX220" s="800"/>
      <c r="AY220" s="800"/>
      <c r="AZ220" s="800"/>
      <c r="BA220" s="800"/>
      <c r="BB220" s="800"/>
      <c r="BC220" s="800"/>
      <c r="BD220" s="800"/>
      <c r="BE220" s="800"/>
      <c r="BF220" s="800"/>
      <c r="BG220" s="800"/>
      <c r="BH220" s="800"/>
      <c r="BI220" s="800"/>
      <c r="BJ220" s="800"/>
      <c r="BK220" s="805"/>
      <c r="BL220" s="789"/>
      <c r="BM220" s="785"/>
      <c r="BN220" s="785"/>
      <c r="BO220" s="785"/>
      <c r="BP220" s="796"/>
      <c r="BQ220" s="808" t="s">
        <v>1942</v>
      </c>
      <c r="BR220" s="800" t="s">
        <v>1942</v>
      </c>
      <c r="BS220" s="800" t="s">
        <v>1942</v>
      </c>
      <c r="BT220" s="800" t="s">
        <v>1942</v>
      </c>
      <c r="BU220" s="805" t="s">
        <v>1942</v>
      </c>
      <c r="BV220" s="808" t="s">
        <v>1942</v>
      </c>
      <c r="BW220" s="800" t="s">
        <v>1942</v>
      </c>
      <c r="BX220" s="800" t="s">
        <v>1942</v>
      </c>
      <c r="BY220" s="800" t="s">
        <v>1942</v>
      </c>
      <c r="BZ220" s="800" t="s">
        <v>1942</v>
      </c>
      <c r="CA220" s="808" t="s">
        <v>1942</v>
      </c>
      <c r="CB220" s="800" t="s">
        <v>1942</v>
      </c>
      <c r="CC220" s="800" t="s">
        <v>1942</v>
      </c>
      <c r="CD220" s="800" t="s">
        <v>1942</v>
      </c>
      <c r="CE220" s="805" t="s">
        <v>1942</v>
      </c>
      <c r="CF220" s="800" t="s">
        <v>1942</v>
      </c>
      <c r="CG220" s="800" t="s">
        <v>1942</v>
      </c>
      <c r="CH220" s="800" t="s">
        <v>1942</v>
      </c>
      <c r="CI220" s="800" t="s">
        <v>1942</v>
      </c>
      <c r="CJ220" s="805" t="s">
        <v>1942</v>
      </c>
      <c r="CK220" s="808" t="s">
        <v>1942</v>
      </c>
      <c r="CL220" s="800" t="s">
        <v>1942</v>
      </c>
      <c r="CM220" s="800" t="s">
        <v>1942</v>
      </c>
      <c r="CN220" s="800" t="s">
        <v>1942</v>
      </c>
      <c r="CO220" s="805" t="s">
        <v>1942</v>
      </c>
      <c r="CP220" s="808" t="s">
        <v>1942</v>
      </c>
      <c r="CQ220" s="800" t="s">
        <v>1942</v>
      </c>
      <c r="CR220" s="800" t="s">
        <v>1942</v>
      </c>
      <c r="CS220" s="800" t="s">
        <v>1942</v>
      </c>
      <c r="CT220" s="805" t="s">
        <v>1942</v>
      </c>
      <c r="CU220" s="1284" t="s">
        <v>1942</v>
      </c>
      <c r="CV220" s="1283" t="s">
        <v>1942</v>
      </c>
      <c r="CW220" s="1283" t="s">
        <v>1942</v>
      </c>
      <c r="CX220" s="1285" t="s">
        <v>1942</v>
      </c>
      <c r="CY220" s="1283" t="s">
        <v>1942</v>
      </c>
      <c r="CZ220" s="1283" t="s">
        <v>1942</v>
      </c>
      <c r="DA220" s="1283" t="s">
        <v>1942</v>
      </c>
      <c r="DB220" s="1285" t="s">
        <v>1942</v>
      </c>
      <c r="DC220" s="785"/>
      <c r="DD220" s="813">
        <v>1</v>
      </c>
      <c r="DE220" s="814"/>
    </row>
    <row r="221" spans="1:109" ht="15.75" hidden="1" customHeight="1">
      <c r="A221" s="772" t="s">
        <v>1071</v>
      </c>
      <c r="B221" s="773">
        <v>215</v>
      </c>
      <c r="C221" s="789" t="s">
        <v>2844</v>
      </c>
      <c r="D221" s="773" t="s">
        <v>2835</v>
      </c>
      <c r="E221" s="773" t="s">
        <v>1907</v>
      </c>
      <c r="F221" s="785" t="s">
        <v>2845</v>
      </c>
      <c r="G221" s="790" t="s">
        <v>2846</v>
      </c>
      <c r="H221" s="791" t="s">
        <v>2847</v>
      </c>
      <c r="I221" s="792"/>
      <c r="J221" s="793"/>
      <c r="K221" s="793"/>
      <c r="L221" s="793"/>
      <c r="M221" s="793">
        <v>1</v>
      </c>
      <c r="N221" s="793"/>
      <c r="O221" s="793"/>
      <c r="P221" s="794"/>
      <c r="Q221" s="795">
        <f t="shared" si="3"/>
        <v>1</v>
      </c>
      <c r="R221" s="789" t="s">
        <v>1007</v>
      </c>
      <c r="S221" s="773"/>
      <c r="T221" s="796"/>
      <c r="U221" s="773" t="s">
        <v>2117</v>
      </c>
      <c r="V221" s="773" t="s">
        <v>278</v>
      </c>
      <c r="W221" s="773" t="s">
        <v>2459</v>
      </c>
      <c r="X221" s="829">
        <v>1</v>
      </c>
      <c r="Y221" s="798" t="s">
        <v>1010</v>
      </c>
      <c r="Z221" s="790"/>
      <c r="AA221" s="785"/>
      <c r="AB221" s="785"/>
      <c r="AC221" s="785"/>
      <c r="AD221" s="785"/>
      <c r="AE221" s="785"/>
      <c r="AF221" s="799"/>
      <c r="AG221" s="800"/>
      <c r="AH221" s="800"/>
      <c r="AI221" s="800"/>
      <c r="AJ221" s="800"/>
      <c r="AK221" s="800"/>
      <c r="AL221" s="800"/>
      <c r="AM221" s="800"/>
      <c r="AN221" s="800"/>
      <c r="AO221" s="800"/>
      <c r="AP221" s="800"/>
      <c r="AQ221" s="808">
        <v>80</v>
      </c>
      <c r="AR221" s="800">
        <v>80</v>
      </c>
      <c r="AS221" s="800">
        <v>80</v>
      </c>
      <c r="AT221" s="800">
        <v>80</v>
      </c>
      <c r="AU221" s="805">
        <v>80</v>
      </c>
      <c r="AV221" s="808"/>
      <c r="AW221" s="800"/>
      <c r="AX221" s="800"/>
      <c r="AY221" s="800"/>
      <c r="AZ221" s="800"/>
      <c r="BA221" s="800"/>
      <c r="BB221" s="800"/>
      <c r="BC221" s="800"/>
      <c r="BD221" s="800"/>
      <c r="BE221" s="800"/>
      <c r="BF221" s="800"/>
      <c r="BG221" s="800"/>
      <c r="BH221" s="800"/>
      <c r="BI221" s="800"/>
      <c r="BJ221" s="800"/>
      <c r="BK221" s="805"/>
      <c r="BL221" s="789"/>
      <c r="BM221" s="785"/>
      <c r="BN221" s="785"/>
      <c r="BO221" s="785"/>
      <c r="BP221" s="796"/>
      <c r="BQ221" s="808" t="s">
        <v>1942</v>
      </c>
      <c r="BR221" s="800" t="s">
        <v>1942</v>
      </c>
      <c r="BS221" s="800" t="s">
        <v>1942</v>
      </c>
      <c r="BT221" s="800" t="s">
        <v>1942</v>
      </c>
      <c r="BU221" s="805" t="s">
        <v>1942</v>
      </c>
      <c r="BV221" s="808" t="s">
        <v>1942</v>
      </c>
      <c r="BW221" s="800" t="s">
        <v>1942</v>
      </c>
      <c r="BX221" s="800" t="s">
        <v>1942</v>
      </c>
      <c r="BY221" s="800" t="s">
        <v>1942</v>
      </c>
      <c r="BZ221" s="800" t="s">
        <v>1942</v>
      </c>
      <c r="CA221" s="808" t="s">
        <v>1942</v>
      </c>
      <c r="CB221" s="800" t="s">
        <v>1942</v>
      </c>
      <c r="CC221" s="800" t="s">
        <v>1942</v>
      </c>
      <c r="CD221" s="800" t="s">
        <v>1942</v>
      </c>
      <c r="CE221" s="805" t="s">
        <v>1942</v>
      </c>
      <c r="CF221" s="800" t="s">
        <v>1942</v>
      </c>
      <c r="CG221" s="800" t="s">
        <v>1942</v>
      </c>
      <c r="CH221" s="800" t="s">
        <v>1942</v>
      </c>
      <c r="CI221" s="800" t="s">
        <v>1942</v>
      </c>
      <c r="CJ221" s="805" t="s">
        <v>1942</v>
      </c>
      <c r="CK221" s="808" t="s">
        <v>1942</v>
      </c>
      <c r="CL221" s="800" t="s">
        <v>1942</v>
      </c>
      <c r="CM221" s="800" t="s">
        <v>1942</v>
      </c>
      <c r="CN221" s="800" t="s">
        <v>1942</v>
      </c>
      <c r="CO221" s="805" t="s">
        <v>1942</v>
      </c>
      <c r="CP221" s="808" t="s">
        <v>1942</v>
      </c>
      <c r="CQ221" s="800" t="s">
        <v>1942</v>
      </c>
      <c r="CR221" s="800" t="s">
        <v>1942</v>
      </c>
      <c r="CS221" s="800" t="s">
        <v>1942</v>
      </c>
      <c r="CT221" s="805" t="s">
        <v>1942</v>
      </c>
      <c r="CU221" s="1284" t="s">
        <v>1942</v>
      </c>
      <c r="CV221" s="1283" t="s">
        <v>1942</v>
      </c>
      <c r="CW221" s="1283" t="s">
        <v>1942</v>
      </c>
      <c r="CX221" s="1285" t="s">
        <v>1942</v>
      </c>
      <c r="CY221" s="1283" t="s">
        <v>1942</v>
      </c>
      <c r="CZ221" s="1283" t="s">
        <v>1942</v>
      </c>
      <c r="DA221" s="1283" t="s">
        <v>1942</v>
      </c>
      <c r="DB221" s="1285" t="s">
        <v>1942</v>
      </c>
      <c r="DC221" s="785"/>
      <c r="DD221" s="813">
        <v>1</v>
      </c>
      <c r="DE221" s="814"/>
    </row>
    <row r="222" spans="1:109" ht="15.75" hidden="1" customHeight="1">
      <c r="A222" s="772" t="s">
        <v>1071</v>
      </c>
      <c r="B222" s="773">
        <v>216</v>
      </c>
      <c r="C222" s="789" t="s">
        <v>2848</v>
      </c>
      <c r="D222" s="773" t="s">
        <v>2835</v>
      </c>
      <c r="E222" s="773" t="s">
        <v>1907</v>
      </c>
      <c r="F222" s="785" t="s">
        <v>2849</v>
      </c>
      <c r="G222" s="790" t="s">
        <v>2263</v>
      </c>
      <c r="H222" s="791" t="s">
        <v>2850</v>
      </c>
      <c r="I222" s="792"/>
      <c r="J222" s="793"/>
      <c r="K222" s="793"/>
      <c r="L222" s="793"/>
      <c r="M222" s="793">
        <v>1</v>
      </c>
      <c r="N222" s="793"/>
      <c r="O222" s="793"/>
      <c r="P222" s="794"/>
      <c r="Q222" s="795">
        <f t="shared" si="3"/>
        <v>1</v>
      </c>
      <c r="R222" s="789" t="s">
        <v>1030</v>
      </c>
      <c r="S222" s="773" t="s">
        <v>1008</v>
      </c>
      <c r="T222" s="796" t="s">
        <v>1009</v>
      </c>
      <c r="U222" s="773" t="s">
        <v>2117</v>
      </c>
      <c r="V222" s="773" t="s">
        <v>278</v>
      </c>
      <c r="W222" s="773" t="s">
        <v>2851</v>
      </c>
      <c r="X222" s="829">
        <v>2</v>
      </c>
      <c r="Y222" s="798" t="s">
        <v>1020</v>
      </c>
      <c r="Z222" s="790"/>
      <c r="AA222" s="785"/>
      <c r="AB222" s="785"/>
      <c r="AC222" s="785"/>
      <c r="AD222" s="785"/>
      <c r="AE222" s="785"/>
      <c r="AF222" s="799"/>
      <c r="AG222" s="807"/>
      <c r="AH222" s="807"/>
      <c r="AI222" s="807"/>
      <c r="AJ222" s="807"/>
      <c r="AK222" s="807"/>
      <c r="AL222" s="807"/>
      <c r="AM222" s="807"/>
      <c r="AN222" s="807"/>
      <c r="AO222" s="807"/>
      <c r="AP222" s="807"/>
      <c r="AQ222" s="806">
        <v>2.8</v>
      </c>
      <c r="AR222" s="807">
        <v>2.7</v>
      </c>
      <c r="AS222" s="807">
        <v>2.5</v>
      </c>
      <c r="AT222" s="807">
        <v>2.4</v>
      </c>
      <c r="AU222" s="820">
        <v>2.2000000000000002</v>
      </c>
      <c r="AV222" s="806"/>
      <c r="AW222" s="807"/>
      <c r="AX222" s="807"/>
      <c r="AY222" s="807"/>
      <c r="AZ222" s="807"/>
      <c r="BA222" s="807"/>
      <c r="BB222" s="807"/>
      <c r="BC222" s="807"/>
      <c r="BD222" s="807"/>
      <c r="BE222" s="807"/>
      <c r="BF222" s="807"/>
      <c r="BG222" s="807"/>
      <c r="BH222" s="807"/>
      <c r="BI222" s="807"/>
      <c r="BJ222" s="807"/>
      <c r="BK222" s="820"/>
      <c r="BL222" s="789" t="s">
        <v>168</v>
      </c>
      <c r="BM222" s="785" t="s">
        <v>168</v>
      </c>
      <c r="BN222" s="785" t="s">
        <v>168</v>
      </c>
      <c r="BO222" s="785" t="s">
        <v>168</v>
      </c>
      <c r="BP222" s="796" t="s">
        <v>168</v>
      </c>
      <c r="BQ222" s="804" t="s">
        <v>1942</v>
      </c>
      <c r="BR222" s="800" t="s">
        <v>1942</v>
      </c>
      <c r="BS222" s="800" t="s">
        <v>1942</v>
      </c>
      <c r="BT222" s="800" t="s">
        <v>1942</v>
      </c>
      <c r="BU222" s="805" t="s">
        <v>1942</v>
      </c>
      <c r="BV222" s="806">
        <v>3.36</v>
      </c>
      <c r="BW222" s="807">
        <v>3.36</v>
      </c>
      <c r="BX222" s="807">
        <v>3.36</v>
      </c>
      <c r="BY222" s="807">
        <v>3.36</v>
      </c>
      <c r="BZ222" s="807">
        <v>3.36</v>
      </c>
      <c r="CA222" s="808" t="s">
        <v>1942</v>
      </c>
      <c r="CB222" s="800" t="s">
        <v>1942</v>
      </c>
      <c r="CC222" s="800" t="s">
        <v>1942</v>
      </c>
      <c r="CD222" s="800" t="s">
        <v>1942</v>
      </c>
      <c r="CE222" s="805" t="s">
        <v>1942</v>
      </c>
      <c r="CF222" s="810" t="s">
        <v>1942</v>
      </c>
      <c r="CG222" s="810" t="s">
        <v>1942</v>
      </c>
      <c r="CH222" s="810" t="s">
        <v>1942</v>
      </c>
      <c r="CI222" s="810" t="s">
        <v>1942</v>
      </c>
      <c r="CJ222" s="811" t="s">
        <v>1942</v>
      </c>
      <c r="CK222" s="808">
        <v>2.2999999999999998</v>
      </c>
      <c r="CL222" s="800">
        <v>2.2000000000000002</v>
      </c>
      <c r="CM222" s="800">
        <v>2</v>
      </c>
      <c r="CN222" s="800">
        <v>1.9</v>
      </c>
      <c r="CO222" s="805">
        <v>1.7</v>
      </c>
      <c r="CP222" s="808" t="s">
        <v>1942</v>
      </c>
      <c r="CQ222" s="800" t="s">
        <v>1942</v>
      </c>
      <c r="CR222" s="800" t="s">
        <v>1942</v>
      </c>
      <c r="CS222" s="800" t="s">
        <v>1942</v>
      </c>
      <c r="CT222" s="805" t="s">
        <v>1942</v>
      </c>
      <c r="CU222" s="1284">
        <v>-0.24099999999999999</v>
      </c>
      <c r="CV222" s="1283" t="s">
        <v>1942</v>
      </c>
      <c r="CW222" s="1283" t="s">
        <v>1942</v>
      </c>
      <c r="CX222" s="1285" t="s">
        <v>1942</v>
      </c>
      <c r="CY222" s="1283">
        <v>0.24099999999999999</v>
      </c>
      <c r="CZ222" s="1283" t="s">
        <v>1942</v>
      </c>
      <c r="DA222" s="1283" t="s">
        <v>1942</v>
      </c>
      <c r="DB222" s="1285" t="s">
        <v>1942</v>
      </c>
      <c r="DC222" s="785"/>
      <c r="DD222" s="813">
        <v>1</v>
      </c>
      <c r="DE222" s="814"/>
    </row>
    <row r="223" spans="1:109" ht="15.75" hidden="1" customHeight="1">
      <c r="A223" s="772" t="s">
        <v>1071</v>
      </c>
      <c r="B223" s="773">
        <v>217</v>
      </c>
      <c r="C223" s="789" t="s">
        <v>2852</v>
      </c>
      <c r="D223" s="773" t="s">
        <v>2835</v>
      </c>
      <c r="E223" s="773" t="s">
        <v>1907</v>
      </c>
      <c r="F223" s="785" t="s">
        <v>2853</v>
      </c>
      <c r="G223" s="790" t="s">
        <v>703</v>
      </c>
      <c r="H223" s="791" t="s">
        <v>2823</v>
      </c>
      <c r="I223" s="792"/>
      <c r="J223" s="793"/>
      <c r="K223" s="793"/>
      <c r="L223" s="793"/>
      <c r="M223" s="793">
        <v>1</v>
      </c>
      <c r="N223" s="793"/>
      <c r="O223" s="793"/>
      <c r="P223" s="794"/>
      <c r="Q223" s="795">
        <f t="shared" si="3"/>
        <v>1</v>
      </c>
      <c r="R223" s="789" t="s">
        <v>1007</v>
      </c>
      <c r="S223" s="773"/>
      <c r="T223" s="796"/>
      <c r="U223" s="773" t="s">
        <v>2117</v>
      </c>
      <c r="V223" s="773" t="s">
        <v>278</v>
      </c>
      <c r="W223" s="773" t="s">
        <v>2854</v>
      </c>
      <c r="X223" s="829">
        <v>1</v>
      </c>
      <c r="Y223" s="798" t="s">
        <v>1010</v>
      </c>
      <c r="Z223" s="790" t="s">
        <v>703</v>
      </c>
      <c r="AA223" s="785"/>
      <c r="AB223" s="785"/>
      <c r="AC223" s="785"/>
      <c r="AD223" s="785"/>
      <c r="AE223" s="785"/>
      <c r="AF223" s="799"/>
      <c r="AG223" s="800"/>
      <c r="AH223" s="800"/>
      <c r="AI223" s="800"/>
      <c r="AJ223" s="800"/>
      <c r="AK223" s="800"/>
      <c r="AL223" s="800"/>
      <c r="AM223" s="800"/>
      <c r="AN223" s="800"/>
      <c r="AO223" s="800"/>
      <c r="AP223" s="800"/>
      <c r="AQ223" s="1420"/>
      <c r="AR223" s="1368"/>
      <c r="AS223" s="1368"/>
      <c r="AT223" s="1368"/>
      <c r="AU223" s="1369"/>
      <c r="AV223" s="808"/>
      <c r="AW223" s="800"/>
      <c r="AX223" s="800"/>
      <c r="AY223" s="800"/>
      <c r="AZ223" s="800"/>
      <c r="BA223" s="800"/>
      <c r="BB223" s="800"/>
      <c r="BC223" s="800"/>
      <c r="BD223" s="800"/>
      <c r="BE223" s="800"/>
      <c r="BF223" s="800"/>
      <c r="BG223" s="800"/>
      <c r="BH223" s="800"/>
      <c r="BI223" s="800"/>
      <c r="BJ223" s="800"/>
      <c r="BK223" s="805"/>
      <c r="BL223" s="1376"/>
      <c r="BM223" s="1377"/>
      <c r="BN223" s="1377"/>
      <c r="BO223" s="1377"/>
      <c r="BP223" s="1440"/>
      <c r="BQ223" s="1420"/>
      <c r="BR223" s="1368"/>
      <c r="BS223" s="1368"/>
      <c r="BT223" s="1368"/>
      <c r="BU223" s="1369"/>
      <c r="BV223" s="1420"/>
      <c r="BW223" s="1368"/>
      <c r="BX223" s="1368"/>
      <c r="BY223" s="1368"/>
      <c r="BZ223" s="1368"/>
      <c r="CA223" s="1420"/>
      <c r="CB223" s="1368"/>
      <c r="CC223" s="1368"/>
      <c r="CD223" s="1368"/>
      <c r="CE223" s="1369"/>
      <c r="CF223" s="1368"/>
      <c r="CG223" s="1368"/>
      <c r="CH223" s="1368"/>
      <c r="CI223" s="1368"/>
      <c r="CJ223" s="1369"/>
      <c r="CK223" s="1420"/>
      <c r="CL223" s="1368"/>
      <c r="CM223" s="1368"/>
      <c r="CN223" s="1368"/>
      <c r="CO223" s="1369"/>
      <c r="CP223" s="1420"/>
      <c r="CQ223" s="1368"/>
      <c r="CR223" s="1368"/>
      <c r="CS223" s="1368"/>
      <c r="CT223" s="1369"/>
      <c r="CU223" s="1528"/>
      <c r="CV223" s="1519"/>
      <c r="CW223" s="1519"/>
      <c r="CX223" s="1728"/>
      <c r="CY223" s="1519"/>
      <c r="CZ223" s="1519"/>
      <c r="DA223" s="1519"/>
      <c r="DB223" s="1728"/>
      <c r="DC223" s="1377"/>
      <c r="DD223" s="1729"/>
      <c r="DE223" s="1734"/>
    </row>
    <row r="224" spans="1:109" ht="15.75" hidden="1" customHeight="1">
      <c r="A224" s="772" t="s">
        <v>1071</v>
      </c>
      <c r="B224" s="773">
        <v>218</v>
      </c>
      <c r="C224" s="789" t="s">
        <v>2855</v>
      </c>
      <c r="D224" s="773" t="s">
        <v>2856</v>
      </c>
      <c r="E224" s="773" t="s">
        <v>1907</v>
      </c>
      <c r="F224" s="785" t="s">
        <v>2857</v>
      </c>
      <c r="G224" s="790" t="s">
        <v>535</v>
      </c>
      <c r="H224" s="791" t="s">
        <v>2823</v>
      </c>
      <c r="I224" s="792">
        <v>1</v>
      </c>
      <c r="J224" s="793"/>
      <c r="K224" s="793"/>
      <c r="L224" s="793"/>
      <c r="M224" s="793"/>
      <c r="N224" s="793"/>
      <c r="O224" s="793"/>
      <c r="P224" s="794"/>
      <c r="Q224" s="795">
        <f t="shared" si="3"/>
        <v>1</v>
      </c>
      <c r="R224" s="789" t="s">
        <v>1007</v>
      </c>
      <c r="S224" s="773"/>
      <c r="T224" s="796"/>
      <c r="U224" s="773" t="s">
        <v>1910</v>
      </c>
      <c r="V224" s="773" t="s">
        <v>278</v>
      </c>
      <c r="W224" s="773" t="s">
        <v>2858</v>
      </c>
      <c r="X224" s="829">
        <v>1</v>
      </c>
      <c r="Y224" s="798" t="s">
        <v>1020</v>
      </c>
      <c r="Z224" s="790" t="s">
        <v>535</v>
      </c>
      <c r="AA224" s="785"/>
      <c r="AB224" s="785"/>
      <c r="AC224" s="785"/>
      <c r="AD224" s="785"/>
      <c r="AE224" s="785"/>
      <c r="AF224" s="799"/>
      <c r="AG224" s="807"/>
      <c r="AH224" s="807"/>
      <c r="AI224" s="807"/>
      <c r="AJ224" s="807"/>
      <c r="AK224" s="807"/>
      <c r="AL224" s="807"/>
      <c r="AM224" s="807"/>
      <c r="AN224" s="816"/>
      <c r="AO224" s="816"/>
      <c r="AP224" s="816"/>
      <c r="AQ224" s="1521"/>
      <c r="AR224" s="1730"/>
      <c r="AS224" s="1730"/>
      <c r="AT224" s="1730"/>
      <c r="AU224" s="1527"/>
      <c r="AV224" s="817"/>
      <c r="AW224" s="816"/>
      <c r="AX224" s="816"/>
      <c r="AY224" s="816"/>
      <c r="AZ224" s="816"/>
      <c r="BA224" s="816"/>
      <c r="BB224" s="816"/>
      <c r="BC224" s="816"/>
      <c r="BD224" s="816"/>
      <c r="BE224" s="816"/>
      <c r="BF224" s="816"/>
      <c r="BG224" s="816"/>
      <c r="BH224" s="816"/>
      <c r="BI224" s="816"/>
      <c r="BJ224" s="816"/>
      <c r="BK224" s="818"/>
      <c r="BL224" s="1376"/>
      <c r="BM224" s="1377"/>
      <c r="BN224" s="1377"/>
      <c r="BO224" s="1377"/>
      <c r="BP224" s="1440"/>
      <c r="BQ224" s="1420"/>
      <c r="BR224" s="1368"/>
      <c r="BS224" s="1368"/>
      <c r="BT224" s="1368"/>
      <c r="BU224" s="1369"/>
      <c r="BV224" s="1735"/>
      <c r="BW224" s="1736"/>
      <c r="BX224" s="1736"/>
      <c r="BY224" s="1736"/>
      <c r="BZ224" s="1736"/>
      <c r="CA224" s="1420"/>
      <c r="CB224" s="1368"/>
      <c r="CC224" s="1368"/>
      <c r="CD224" s="1368"/>
      <c r="CE224" s="1369"/>
      <c r="CF224" s="1368"/>
      <c r="CG224" s="1368"/>
      <c r="CH224" s="1368"/>
      <c r="CI224" s="1368"/>
      <c r="CJ224" s="1368"/>
      <c r="CK224" s="1735"/>
      <c r="CL224" s="1736"/>
      <c r="CM224" s="1736"/>
      <c r="CN224" s="1736"/>
      <c r="CO224" s="1753"/>
      <c r="CP224" s="1420"/>
      <c r="CQ224" s="1368"/>
      <c r="CR224" s="1368"/>
      <c r="CS224" s="1368"/>
      <c r="CT224" s="1369"/>
      <c r="CU224" s="1528"/>
      <c r="CV224" s="1519"/>
      <c r="CW224" s="1519"/>
      <c r="CX224" s="1728"/>
      <c r="CY224" s="1519"/>
      <c r="CZ224" s="1519"/>
      <c r="DA224" s="1519"/>
      <c r="DB224" s="1728"/>
      <c r="DC224" s="1377"/>
      <c r="DD224" s="1729"/>
      <c r="DE224" s="1734"/>
    </row>
    <row r="225" spans="1:109" ht="15.75" hidden="1" customHeight="1">
      <c r="A225" s="772" t="s">
        <v>1071</v>
      </c>
      <c r="B225" s="773">
        <v>219</v>
      </c>
      <c r="C225" s="789" t="s">
        <v>2859</v>
      </c>
      <c r="D225" s="773" t="s">
        <v>2856</v>
      </c>
      <c r="E225" s="773" t="s">
        <v>1907</v>
      </c>
      <c r="F225" s="785" t="s">
        <v>2860</v>
      </c>
      <c r="G225" s="790" t="s">
        <v>167</v>
      </c>
      <c r="H225" s="791" t="s">
        <v>2823</v>
      </c>
      <c r="I225" s="792"/>
      <c r="J225" s="793">
        <v>1</v>
      </c>
      <c r="K225" s="793"/>
      <c r="L225" s="793"/>
      <c r="M225" s="793"/>
      <c r="N225" s="793"/>
      <c r="O225" s="793"/>
      <c r="P225" s="794"/>
      <c r="Q225" s="795">
        <f t="shared" si="3"/>
        <v>1</v>
      </c>
      <c r="R225" s="789" t="s">
        <v>1026</v>
      </c>
      <c r="S225" s="773" t="s">
        <v>1008</v>
      </c>
      <c r="T225" s="796" t="s">
        <v>1009</v>
      </c>
      <c r="U225" s="773" t="s">
        <v>1915</v>
      </c>
      <c r="V225" s="773" t="s">
        <v>278</v>
      </c>
      <c r="W225" s="773" t="s">
        <v>2861</v>
      </c>
      <c r="X225" s="829">
        <v>2</v>
      </c>
      <c r="Y225" s="819" t="s">
        <v>1020</v>
      </c>
      <c r="Z225" s="790" t="s">
        <v>167</v>
      </c>
      <c r="AA225" s="785"/>
      <c r="AB225" s="785"/>
      <c r="AC225" s="785"/>
      <c r="AD225" s="785"/>
      <c r="AE225" s="785"/>
      <c r="AF225" s="799"/>
      <c r="AG225" s="800"/>
      <c r="AH225" s="800"/>
      <c r="AI225" s="800"/>
      <c r="AJ225" s="800"/>
      <c r="AK225" s="800"/>
      <c r="AL225" s="800"/>
      <c r="AM225" s="800"/>
      <c r="AN225" s="800"/>
      <c r="AO225" s="800"/>
      <c r="AP225" s="800"/>
      <c r="AQ225" s="1421"/>
      <c r="AR225" s="1373"/>
      <c r="AS225" s="1373"/>
      <c r="AT225" s="1373"/>
      <c r="AU225" s="1374"/>
      <c r="AV225" s="808"/>
      <c r="AW225" s="800"/>
      <c r="AX225" s="800"/>
      <c r="AY225" s="800"/>
      <c r="AZ225" s="800"/>
      <c r="BA225" s="800"/>
      <c r="BB225" s="800"/>
      <c r="BC225" s="800"/>
      <c r="BD225" s="800"/>
      <c r="BE225" s="800"/>
      <c r="BF225" s="800"/>
      <c r="BG225" s="800"/>
      <c r="BH225" s="800"/>
      <c r="BI225" s="800"/>
      <c r="BJ225" s="800"/>
      <c r="BK225" s="805"/>
      <c r="BL225" s="1376"/>
      <c r="BM225" s="1377"/>
      <c r="BN225" s="1377"/>
      <c r="BO225" s="1377"/>
      <c r="BP225" s="1440"/>
      <c r="BQ225" s="1420"/>
      <c r="BR225" s="1368"/>
      <c r="BS225" s="1368"/>
      <c r="BT225" s="1368"/>
      <c r="BU225" s="1369"/>
      <c r="BV225" s="1420"/>
      <c r="BW225" s="1368"/>
      <c r="BX225" s="1368"/>
      <c r="BY225" s="1368"/>
      <c r="BZ225" s="1368"/>
      <c r="CA225" s="1420"/>
      <c r="CB225" s="1368"/>
      <c r="CC225" s="1368"/>
      <c r="CD225" s="1368"/>
      <c r="CE225" s="1369"/>
      <c r="CF225" s="1368"/>
      <c r="CG225" s="1368"/>
      <c r="CH225" s="1368"/>
      <c r="CI225" s="1368"/>
      <c r="CJ225" s="1369"/>
      <c r="CK225" s="1420"/>
      <c r="CL225" s="1368"/>
      <c r="CM225" s="1368"/>
      <c r="CN225" s="1368"/>
      <c r="CO225" s="1369"/>
      <c r="CP225" s="1420"/>
      <c r="CQ225" s="1368"/>
      <c r="CR225" s="1368"/>
      <c r="CS225" s="1368"/>
      <c r="CT225" s="1369"/>
      <c r="CU225" s="1528"/>
      <c r="CV225" s="1519"/>
      <c r="CW225" s="1519"/>
      <c r="CX225" s="1728"/>
      <c r="CY225" s="1519"/>
      <c r="CZ225" s="1519"/>
      <c r="DA225" s="1519"/>
      <c r="DB225" s="1728"/>
      <c r="DC225" s="1377"/>
      <c r="DD225" s="1729"/>
      <c r="DE225" s="1734"/>
    </row>
    <row r="226" spans="1:109" ht="15.75" hidden="1" customHeight="1">
      <c r="A226" s="772" t="s">
        <v>1071</v>
      </c>
      <c r="B226" s="773">
        <v>220</v>
      </c>
      <c r="C226" s="789" t="s">
        <v>2862</v>
      </c>
      <c r="D226" s="773" t="s">
        <v>2856</v>
      </c>
      <c r="E226" s="773" t="s">
        <v>1896</v>
      </c>
      <c r="F226" s="785" t="s">
        <v>2863</v>
      </c>
      <c r="G226" s="790" t="s">
        <v>669</v>
      </c>
      <c r="H226" s="791" t="s">
        <v>2823</v>
      </c>
      <c r="I226" s="792"/>
      <c r="J226" s="793">
        <v>1</v>
      </c>
      <c r="K226" s="793"/>
      <c r="L226" s="793"/>
      <c r="M226" s="793"/>
      <c r="N226" s="793"/>
      <c r="O226" s="793"/>
      <c r="P226" s="794"/>
      <c r="Q226" s="795">
        <f t="shared" si="3"/>
        <v>1</v>
      </c>
      <c r="R226" s="789" t="s">
        <v>1030</v>
      </c>
      <c r="S226" s="773" t="s">
        <v>1008</v>
      </c>
      <c r="T226" s="796" t="s">
        <v>1009</v>
      </c>
      <c r="U226" s="773" t="s">
        <v>669</v>
      </c>
      <c r="V226" s="773" t="s">
        <v>1033</v>
      </c>
      <c r="W226" s="773" t="s">
        <v>2864</v>
      </c>
      <c r="X226" s="829">
        <v>1</v>
      </c>
      <c r="Y226" s="819" t="s">
        <v>1020</v>
      </c>
      <c r="Z226" s="790" t="s">
        <v>669</v>
      </c>
      <c r="AA226" s="785"/>
      <c r="AB226" s="785"/>
      <c r="AC226" s="785"/>
      <c r="AD226" s="785"/>
      <c r="AE226" s="785"/>
      <c r="AF226" s="799"/>
      <c r="AG226" s="800"/>
      <c r="AH226" s="800"/>
      <c r="AI226" s="800"/>
      <c r="AJ226" s="800"/>
      <c r="AK226" s="800"/>
      <c r="AL226" s="800"/>
      <c r="AM226" s="800"/>
      <c r="AN226" s="800"/>
      <c r="AO226" s="800"/>
      <c r="AP226" s="800"/>
      <c r="AQ226" s="1421"/>
      <c r="AR226" s="1373"/>
      <c r="AS226" s="1373"/>
      <c r="AT226" s="1373"/>
      <c r="AU226" s="1374"/>
      <c r="AV226" s="808"/>
      <c r="AW226" s="800"/>
      <c r="AX226" s="800"/>
      <c r="AY226" s="800"/>
      <c r="AZ226" s="800"/>
      <c r="BA226" s="800"/>
      <c r="BB226" s="800"/>
      <c r="BC226" s="800"/>
      <c r="BD226" s="800"/>
      <c r="BE226" s="800"/>
      <c r="BF226" s="800"/>
      <c r="BG226" s="800"/>
      <c r="BH226" s="800"/>
      <c r="BI226" s="800"/>
      <c r="BJ226" s="800"/>
      <c r="BK226" s="805"/>
      <c r="BL226" s="1376"/>
      <c r="BM226" s="1377"/>
      <c r="BN226" s="1377"/>
      <c r="BO226" s="1377"/>
      <c r="BP226" s="1440"/>
      <c r="BQ226" s="1521"/>
      <c r="BR226" s="1730"/>
      <c r="BS226" s="1730"/>
      <c r="BT226" s="1730"/>
      <c r="BU226" s="1527"/>
      <c r="BV226" s="1421"/>
      <c r="BW226" s="1373"/>
      <c r="BX226" s="1373"/>
      <c r="BY226" s="1373"/>
      <c r="BZ226" s="1373"/>
      <c r="CA226" s="1420"/>
      <c r="CB226" s="1368"/>
      <c r="CC226" s="1368"/>
      <c r="CD226" s="1368"/>
      <c r="CE226" s="1369"/>
      <c r="CF226" s="1368"/>
      <c r="CG226" s="1368"/>
      <c r="CH226" s="1368"/>
      <c r="CI226" s="1368"/>
      <c r="CJ226" s="1369"/>
      <c r="CK226" s="1421"/>
      <c r="CL226" s="1373"/>
      <c r="CM226" s="1373"/>
      <c r="CN226" s="1373"/>
      <c r="CO226" s="1374"/>
      <c r="CP226" s="1421"/>
      <c r="CQ226" s="1373"/>
      <c r="CR226" s="1373"/>
      <c r="CS226" s="1373"/>
      <c r="CT226" s="1374"/>
      <c r="CU226" s="1528"/>
      <c r="CV226" s="1519"/>
      <c r="CW226" s="1519"/>
      <c r="CX226" s="1728"/>
      <c r="CY226" s="1519"/>
      <c r="CZ226" s="1519"/>
      <c r="DA226" s="1519"/>
      <c r="DB226" s="1728"/>
      <c r="DC226" s="1377"/>
      <c r="DD226" s="1729"/>
      <c r="DE226" s="1734"/>
    </row>
    <row r="227" spans="1:109" ht="15.75" hidden="1" customHeight="1">
      <c r="A227" s="772" t="s">
        <v>1071</v>
      </c>
      <c r="B227" s="773">
        <v>221</v>
      </c>
      <c r="C227" s="789" t="s">
        <v>2865</v>
      </c>
      <c r="D227" s="773" t="s">
        <v>2866</v>
      </c>
      <c r="E227" s="773" t="s">
        <v>1907</v>
      </c>
      <c r="F227" s="785" t="s">
        <v>2867</v>
      </c>
      <c r="G227" s="790" t="s">
        <v>2868</v>
      </c>
      <c r="H227" s="791" t="s">
        <v>2869</v>
      </c>
      <c r="I227" s="792"/>
      <c r="J227" s="793"/>
      <c r="K227" s="793"/>
      <c r="L227" s="793"/>
      <c r="M227" s="793">
        <v>1</v>
      </c>
      <c r="N227" s="793"/>
      <c r="O227" s="793"/>
      <c r="P227" s="794"/>
      <c r="Q227" s="795">
        <f t="shared" si="3"/>
        <v>1</v>
      </c>
      <c r="R227" s="789" t="s">
        <v>1026</v>
      </c>
      <c r="S227" s="773" t="s">
        <v>1008</v>
      </c>
      <c r="T227" s="796" t="s">
        <v>1009</v>
      </c>
      <c r="U227" s="773" t="s">
        <v>1947</v>
      </c>
      <c r="V227" s="773" t="s">
        <v>278</v>
      </c>
      <c r="W227" s="773" t="s">
        <v>2870</v>
      </c>
      <c r="X227" s="829">
        <v>1</v>
      </c>
      <c r="Y227" s="821" t="s">
        <v>1010</v>
      </c>
      <c r="Z227" s="790"/>
      <c r="AA227" s="785"/>
      <c r="AB227" s="785"/>
      <c r="AC227" s="785"/>
      <c r="AD227" s="785"/>
      <c r="AE227" s="785"/>
      <c r="AF227" s="799"/>
      <c r="AG227" s="800"/>
      <c r="AH227" s="800"/>
      <c r="AI227" s="800"/>
      <c r="AJ227" s="800"/>
      <c r="AK227" s="800"/>
      <c r="AL227" s="800"/>
      <c r="AM227" s="800"/>
      <c r="AN227" s="800"/>
      <c r="AO227" s="800"/>
      <c r="AP227" s="800"/>
      <c r="AQ227" s="808">
        <v>80</v>
      </c>
      <c r="AR227" s="800">
        <v>82.5</v>
      </c>
      <c r="AS227" s="800">
        <v>85</v>
      </c>
      <c r="AT227" s="800">
        <v>87.5</v>
      </c>
      <c r="AU227" s="805">
        <v>90</v>
      </c>
      <c r="AV227" s="808"/>
      <c r="AW227" s="800"/>
      <c r="AX227" s="800"/>
      <c r="AY227" s="800"/>
      <c r="AZ227" s="800"/>
      <c r="BA227" s="800"/>
      <c r="BB227" s="800"/>
      <c r="BC227" s="800"/>
      <c r="BD227" s="800"/>
      <c r="BE227" s="800"/>
      <c r="BF227" s="800"/>
      <c r="BG227" s="800"/>
      <c r="BH227" s="800"/>
      <c r="BI227" s="800"/>
      <c r="BJ227" s="800"/>
      <c r="BK227" s="805"/>
      <c r="BL227" s="789" t="s">
        <v>168</v>
      </c>
      <c r="BM227" s="785" t="s">
        <v>168</v>
      </c>
      <c r="BN227" s="785" t="s">
        <v>168</v>
      </c>
      <c r="BO227" s="785" t="s">
        <v>168</v>
      </c>
      <c r="BP227" s="796" t="s">
        <v>168</v>
      </c>
      <c r="BQ227" s="808" t="s">
        <v>1942</v>
      </c>
      <c r="BR227" s="800" t="s">
        <v>1942</v>
      </c>
      <c r="BS227" s="800" t="s">
        <v>1942</v>
      </c>
      <c r="BT227" s="800" t="s">
        <v>1942</v>
      </c>
      <c r="BU227" s="805" t="s">
        <v>1942</v>
      </c>
      <c r="BV227" s="808" t="s">
        <v>1942</v>
      </c>
      <c r="BW227" s="800" t="s">
        <v>1942</v>
      </c>
      <c r="BX227" s="800" t="s">
        <v>1942</v>
      </c>
      <c r="BY227" s="800" t="s">
        <v>1942</v>
      </c>
      <c r="BZ227" s="800" t="s">
        <v>1942</v>
      </c>
      <c r="CA227" s="808" t="s">
        <v>1942</v>
      </c>
      <c r="CB227" s="800" t="s">
        <v>1942</v>
      </c>
      <c r="CC227" s="800" t="s">
        <v>1942</v>
      </c>
      <c r="CD227" s="800" t="s">
        <v>1942</v>
      </c>
      <c r="CE227" s="805" t="s">
        <v>1942</v>
      </c>
      <c r="CF227" s="800" t="s">
        <v>1942</v>
      </c>
      <c r="CG227" s="800" t="s">
        <v>1942</v>
      </c>
      <c r="CH227" s="800" t="s">
        <v>1942</v>
      </c>
      <c r="CI227" s="800" t="s">
        <v>1942</v>
      </c>
      <c r="CJ227" s="805" t="s">
        <v>1942</v>
      </c>
      <c r="CK227" s="808" t="s">
        <v>1942</v>
      </c>
      <c r="CL227" s="800" t="s">
        <v>1942</v>
      </c>
      <c r="CM227" s="800" t="s">
        <v>1942</v>
      </c>
      <c r="CN227" s="800" t="s">
        <v>1942</v>
      </c>
      <c r="CO227" s="805" t="s">
        <v>1942</v>
      </c>
      <c r="CP227" s="808" t="s">
        <v>1942</v>
      </c>
      <c r="CQ227" s="800" t="s">
        <v>1942</v>
      </c>
      <c r="CR227" s="800" t="s">
        <v>1942</v>
      </c>
      <c r="CS227" s="800" t="s">
        <v>1942</v>
      </c>
      <c r="CT227" s="805" t="s">
        <v>1942</v>
      </c>
      <c r="CU227" s="1284">
        <v>-3.261E-3</v>
      </c>
      <c r="CV227" s="1283" t="s">
        <v>1942</v>
      </c>
      <c r="CW227" s="1283" t="s">
        <v>1942</v>
      </c>
      <c r="CX227" s="1285" t="s">
        <v>1942</v>
      </c>
      <c r="CY227" s="1283" t="s">
        <v>1942</v>
      </c>
      <c r="CZ227" s="1283" t="s">
        <v>1942</v>
      </c>
      <c r="DA227" s="1283" t="s">
        <v>1942</v>
      </c>
      <c r="DB227" s="1285" t="s">
        <v>1942</v>
      </c>
      <c r="DC227" s="785"/>
      <c r="DD227" s="813">
        <v>1</v>
      </c>
      <c r="DE227" s="814"/>
    </row>
    <row r="228" spans="1:109" ht="15.75" hidden="1" customHeight="1">
      <c r="A228" s="772" t="s">
        <v>1071</v>
      </c>
      <c r="B228" s="773">
        <v>222</v>
      </c>
      <c r="C228" s="789" t="s">
        <v>2871</v>
      </c>
      <c r="D228" s="773" t="s">
        <v>2866</v>
      </c>
      <c r="E228" s="773" t="s">
        <v>1907</v>
      </c>
      <c r="F228" s="785" t="s">
        <v>2872</v>
      </c>
      <c r="G228" s="790" t="s">
        <v>1931</v>
      </c>
      <c r="H228" s="791" t="s">
        <v>2823</v>
      </c>
      <c r="I228" s="792"/>
      <c r="J228" s="793"/>
      <c r="K228" s="793"/>
      <c r="L228" s="793"/>
      <c r="M228" s="793">
        <v>1</v>
      </c>
      <c r="N228" s="793"/>
      <c r="O228" s="793"/>
      <c r="P228" s="794"/>
      <c r="Q228" s="795">
        <f t="shared" si="3"/>
        <v>1</v>
      </c>
      <c r="R228" s="789" t="s">
        <v>1030</v>
      </c>
      <c r="S228" s="773" t="s">
        <v>1008</v>
      </c>
      <c r="T228" s="796" t="s">
        <v>1009</v>
      </c>
      <c r="U228" s="773" t="s">
        <v>1069</v>
      </c>
      <c r="V228" s="773" t="s">
        <v>1081</v>
      </c>
      <c r="W228" s="773" t="s">
        <v>2873</v>
      </c>
      <c r="X228" s="1274">
        <v>2</v>
      </c>
      <c r="Y228" s="819" t="s">
        <v>1010</v>
      </c>
      <c r="Z228" s="790" t="s">
        <v>1931</v>
      </c>
      <c r="AA228" s="785"/>
      <c r="AB228" s="785"/>
      <c r="AC228" s="785"/>
      <c r="AD228" s="785"/>
      <c r="AE228" s="785"/>
      <c r="AF228" s="799"/>
      <c r="AG228" s="800"/>
      <c r="AH228" s="800"/>
      <c r="AI228" s="800"/>
      <c r="AJ228" s="800"/>
      <c r="AK228" s="800"/>
      <c r="AL228" s="800"/>
      <c r="AM228" s="800"/>
      <c r="AN228" s="800"/>
      <c r="AO228" s="800"/>
      <c r="AP228" s="800"/>
      <c r="AQ228" s="1420"/>
      <c r="AR228" s="1368"/>
      <c r="AS228" s="1368"/>
      <c r="AT228" s="1368"/>
      <c r="AU228" s="1369"/>
      <c r="AV228" s="808"/>
      <c r="AW228" s="800"/>
      <c r="AX228" s="800"/>
      <c r="AY228" s="800"/>
      <c r="AZ228" s="800"/>
      <c r="BA228" s="800"/>
      <c r="BB228" s="800"/>
      <c r="BC228" s="800"/>
      <c r="BD228" s="800"/>
      <c r="BE228" s="800"/>
      <c r="BF228" s="800"/>
      <c r="BG228" s="800"/>
      <c r="BH228" s="800"/>
      <c r="BI228" s="800"/>
      <c r="BJ228" s="800"/>
      <c r="BK228" s="805"/>
      <c r="BL228" s="1376"/>
      <c r="BM228" s="1377"/>
      <c r="BN228" s="1377"/>
      <c r="BO228" s="1377"/>
      <c r="BP228" s="1440"/>
      <c r="BQ228" s="1420"/>
      <c r="BR228" s="1368"/>
      <c r="BS228" s="1368"/>
      <c r="BT228" s="1368"/>
      <c r="BU228" s="1369"/>
      <c r="BV228" s="1420"/>
      <c r="BW228" s="1368"/>
      <c r="BX228" s="1368"/>
      <c r="BY228" s="1368"/>
      <c r="BZ228" s="1368"/>
      <c r="CA228" s="1420"/>
      <c r="CB228" s="1368"/>
      <c r="CC228" s="1368"/>
      <c r="CD228" s="1368"/>
      <c r="CE228" s="1369"/>
      <c r="CF228" s="1368"/>
      <c r="CG228" s="1368"/>
      <c r="CH228" s="1368"/>
      <c r="CI228" s="1368"/>
      <c r="CJ228" s="1369"/>
      <c r="CK228" s="1420"/>
      <c r="CL228" s="1368"/>
      <c r="CM228" s="1368"/>
      <c r="CN228" s="1368"/>
      <c r="CO228" s="1369"/>
      <c r="CP228" s="1420"/>
      <c r="CQ228" s="1368"/>
      <c r="CR228" s="1368"/>
      <c r="CS228" s="1368"/>
      <c r="CT228" s="1369"/>
      <c r="CU228" s="1528"/>
      <c r="CV228" s="1519"/>
      <c r="CW228" s="1519"/>
      <c r="CX228" s="1728"/>
      <c r="CY228" s="1519"/>
      <c r="CZ228" s="1519"/>
      <c r="DA228" s="1519"/>
      <c r="DB228" s="1728"/>
      <c r="DC228" s="1377"/>
      <c r="DD228" s="1729"/>
      <c r="DE228" s="1734"/>
    </row>
    <row r="229" spans="1:109" ht="15.75" hidden="1" customHeight="1">
      <c r="A229" s="772" t="s">
        <v>1071</v>
      </c>
      <c r="B229" s="773">
        <v>223</v>
      </c>
      <c r="C229" s="789" t="s">
        <v>2874</v>
      </c>
      <c r="D229" s="773" t="s">
        <v>2866</v>
      </c>
      <c r="E229" s="773" t="s">
        <v>1907</v>
      </c>
      <c r="F229" s="785" t="s">
        <v>2875</v>
      </c>
      <c r="G229" s="790" t="s">
        <v>1935</v>
      </c>
      <c r="H229" s="791" t="s">
        <v>2823</v>
      </c>
      <c r="I229" s="792"/>
      <c r="J229" s="793">
        <v>1</v>
      </c>
      <c r="K229" s="793"/>
      <c r="L229" s="793"/>
      <c r="M229" s="793"/>
      <c r="N229" s="793"/>
      <c r="O229" s="793"/>
      <c r="P229" s="794"/>
      <c r="Q229" s="795">
        <f t="shared" si="3"/>
        <v>1</v>
      </c>
      <c r="R229" s="789" t="s">
        <v>1030</v>
      </c>
      <c r="S229" s="773" t="s">
        <v>1008</v>
      </c>
      <c r="T229" s="796" t="s">
        <v>1009</v>
      </c>
      <c r="U229" s="773" t="s">
        <v>1073</v>
      </c>
      <c r="V229" s="773" t="s">
        <v>1081</v>
      </c>
      <c r="W229" s="773" t="s">
        <v>2776</v>
      </c>
      <c r="X229" s="1274">
        <v>2</v>
      </c>
      <c r="Y229" s="822" t="s">
        <v>1010</v>
      </c>
      <c r="Z229" s="790" t="s">
        <v>1935</v>
      </c>
      <c r="AA229" s="785"/>
      <c r="AB229" s="785"/>
      <c r="AC229" s="785"/>
      <c r="AD229" s="785"/>
      <c r="AE229" s="785"/>
      <c r="AF229" s="799"/>
      <c r="AG229" s="800"/>
      <c r="AH229" s="800"/>
      <c r="AI229" s="800"/>
      <c r="AJ229" s="800"/>
      <c r="AK229" s="800"/>
      <c r="AL229" s="800"/>
      <c r="AM229" s="800"/>
      <c r="AN229" s="800"/>
      <c r="AO229" s="800"/>
      <c r="AP229" s="800"/>
      <c r="AQ229" s="1420"/>
      <c r="AR229" s="1368"/>
      <c r="AS229" s="1368"/>
      <c r="AT229" s="1368"/>
      <c r="AU229" s="1369"/>
      <c r="AV229" s="808"/>
      <c r="AW229" s="800"/>
      <c r="AX229" s="800"/>
      <c r="AY229" s="800"/>
      <c r="AZ229" s="800"/>
      <c r="BA229" s="800"/>
      <c r="BB229" s="800"/>
      <c r="BC229" s="800"/>
      <c r="BD229" s="800"/>
      <c r="BE229" s="800"/>
      <c r="BF229" s="800"/>
      <c r="BG229" s="800"/>
      <c r="BH229" s="800"/>
      <c r="BI229" s="800"/>
      <c r="BJ229" s="800"/>
      <c r="BK229" s="805"/>
      <c r="BL229" s="1376"/>
      <c r="BM229" s="1377"/>
      <c r="BN229" s="1377"/>
      <c r="BO229" s="1377"/>
      <c r="BP229" s="1440"/>
      <c r="BQ229" s="1420"/>
      <c r="BR229" s="1368"/>
      <c r="BS229" s="1368"/>
      <c r="BT229" s="1368"/>
      <c r="BU229" s="1369"/>
      <c r="BV229" s="1420"/>
      <c r="BW229" s="1368"/>
      <c r="BX229" s="1368"/>
      <c r="BY229" s="1368"/>
      <c r="BZ229" s="1368"/>
      <c r="CA229" s="1420"/>
      <c r="CB229" s="1368"/>
      <c r="CC229" s="1368"/>
      <c r="CD229" s="1368"/>
      <c r="CE229" s="1369"/>
      <c r="CF229" s="1368"/>
      <c r="CG229" s="1368"/>
      <c r="CH229" s="1368"/>
      <c r="CI229" s="1368"/>
      <c r="CJ229" s="1369"/>
      <c r="CK229" s="1420"/>
      <c r="CL229" s="1368"/>
      <c r="CM229" s="1368"/>
      <c r="CN229" s="1368"/>
      <c r="CO229" s="1369"/>
      <c r="CP229" s="1420"/>
      <c r="CQ229" s="1368"/>
      <c r="CR229" s="1368"/>
      <c r="CS229" s="1368"/>
      <c r="CT229" s="1369"/>
      <c r="CU229" s="1528"/>
      <c r="CV229" s="1519"/>
      <c r="CW229" s="1519"/>
      <c r="CX229" s="1728"/>
      <c r="CY229" s="1519"/>
      <c r="CZ229" s="1519"/>
      <c r="DA229" s="1519"/>
      <c r="DB229" s="1728"/>
      <c r="DC229" s="1377"/>
      <c r="DD229" s="1729"/>
      <c r="DE229" s="1734"/>
    </row>
    <row r="230" spans="1:109" ht="15.75" hidden="1" customHeight="1">
      <c r="A230" s="772" t="s">
        <v>1071</v>
      </c>
      <c r="B230" s="773">
        <v>224</v>
      </c>
      <c r="C230" s="789" t="s">
        <v>2876</v>
      </c>
      <c r="D230" s="773" t="s">
        <v>2877</v>
      </c>
      <c r="E230" s="773" t="s">
        <v>1889</v>
      </c>
      <c r="F230" s="785" t="s">
        <v>2878</v>
      </c>
      <c r="G230" s="790" t="s">
        <v>1902</v>
      </c>
      <c r="H230" s="791" t="s">
        <v>2823</v>
      </c>
      <c r="I230" s="792"/>
      <c r="J230" s="793">
        <v>1</v>
      </c>
      <c r="K230" s="793"/>
      <c r="L230" s="793"/>
      <c r="M230" s="793"/>
      <c r="N230" s="793"/>
      <c r="O230" s="793"/>
      <c r="P230" s="794"/>
      <c r="Q230" s="795">
        <f t="shared" si="3"/>
        <v>1</v>
      </c>
      <c r="R230" s="789" t="s">
        <v>1026</v>
      </c>
      <c r="S230" s="773" t="s">
        <v>1008</v>
      </c>
      <c r="T230" s="1440" t="s">
        <v>1019</v>
      </c>
      <c r="U230" s="773" t="s">
        <v>2054</v>
      </c>
      <c r="V230" s="773" t="s">
        <v>1033</v>
      </c>
      <c r="W230" s="773" t="s">
        <v>2879</v>
      </c>
      <c r="X230" s="829">
        <v>1</v>
      </c>
      <c r="Y230" s="826" t="s">
        <v>1020</v>
      </c>
      <c r="Z230" s="790" t="s">
        <v>1902</v>
      </c>
      <c r="AA230" s="785"/>
      <c r="AB230" s="785"/>
      <c r="AC230" s="785"/>
      <c r="AD230" s="785"/>
      <c r="AE230" s="785"/>
      <c r="AF230" s="799"/>
      <c r="AG230" s="800"/>
      <c r="AH230" s="800"/>
      <c r="AI230" s="800"/>
      <c r="AJ230" s="800"/>
      <c r="AK230" s="800"/>
      <c r="AL230" s="800"/>
      <c r="AM230" s="800"/>
      <c r="AN230" s="800"/>
      <c r="AO230" s="800"/>
      <c r="AP230" s="800"/>
      <c r="AQ230" s="1420"/>
      <c r="AR230" s="1368"/>
      <c r="AS230" s="1368"/>
      <c r="AT230" s="1368"/>
      <c r="AU230" s="1369"/>
      <c r="AV230" s="808"/>
      <c r="AW230" s="800"/>
      <c r="AX230" s="800"/>
      <c r="AY230" s="800"/>
      <c r="AZ230" s="800"/>
      <c r="BA230" s="800"/>
      <c r="BB230" s="800"/>
      <c r="BC230" s="800"/>
      <c r="BD230" s="800"/>
      <c r="BE230" s="800"/>
      <c r="BF230" s="800"/>
      <c r="BG230" s="800"/>
      <c r="BH230" s="800"/>
      <c r="BI230" s="800"/>
      <c r="BJ230" s="800"/>
      <c r="BK230" s="805"/>
      <c r="BL230" s="1376"/>
      <c r="BM230" s="1377"/>
      <c r="BN230" s="1377"/>
      <c r="BO230" s="1377"/>
      <c r="BP230" s="1440"/>
      <c r="BQ230" s="1420"/>
      <c r="BR230" s="1368"/>
      <c r="BS230" s="1368"/>
      <c r="BT230" s="1368"/>
      <c r="BU230" s="1369"/>
      <c r="BV230" s="1421"/>
      <c r="BW230" s="1373"/>
      <c r="BX230" s="1373"/>
      <c r="BY230" s="1373"/>
      <c r="BZ230" s="1373"/>
      <c r="CA230" s="1420"/>
      <c r="CB230" s="1368"/>
      <c r="CC230" s="1368"/>
      <c r="CD230" s="1368"/>
      <c r="CE230" s="1369"/>
      <c r="CF230" s="1368"/>
      <c r="CG230" s="1368"/>
      <c r="CH230" s="1368"/>
      <c r="CI230" s="1368"/>
      <c r="CJ230" s="1369"/>
      <c r="CK230" s="1420"/>
      <c r="CL230" s="1368"/>
      <c r="CM230" s="1368"/>
      <c r="CN230" s="1368"/>
      <c r="CO230" s="1369"/>
      <c r="CP230" s="1420"/>
      <c r="CQ230" s="1368"/>
      <c r="CR230" s="1368"/>
      <c r="CS230" s="1368"/>
      <c r="CT230" s="1369"/>
      <c r="CU230" s="1528"/>
      <c r="CV230" s="1519"/>
      <c r="CW230" s="1519"/>
      <c r="CX230" s="1728"/>
      <c r="CY230" s="1519"/>
      <c r="CZ230" s="1519"/>
      <c r="DA230" s="1519"/>
      <c r="DB230" s="1728"/>
      <c r="DC230" s="1377"/>
      <c r="DD230" s="1729"/>
      <c r="DE230" s="1734"/>
    </row>
    <row r="231" spans="1:109" ht="15.75" hidden="1" customHeight="1">
      <c r="A231" s="772" t="s">
        <v>1071</v>
      </c>
      <c r="B231" s="773">
        <v>225</v>
      </c>
      <c r="C231" s="789" t="s">
        <v>2880</v>
      </c>
      <c r="D231" s="773" t="s">
        <v>2877</v>
      </c>
      <c r="E231" s="773" t="s">
        <v>1896</v>
      </c>
      <c r="F231" s="785" t="s">
        <v>2881</v>
      </c>
      <c r="G231" s="790" t="s">
        <v>2882</v>
      </c>
      <c r="H231" s="791" t="s">
        <v>2883</v>
      </c>
      <c r="I231" s="792"/>
      <c r="J231" s="793">
        <v>1</v>
      </c>
      <c r="K231" s="793"/>
      <c r="L231" s="793"/>
      <c r="M231" s="793"/>
      <c r="N231" s="793"/>
      <c r="O231" s="793"/>
      <c r="P231" s="794"/>
      <c r="Q231" s="795">
        <f t="shared" si="3"/>
        <v>1</v>
      </c>
      <c r="R231" s="789" t="s">
        <v>1026</v>
      </c>
      <c r="S231" s="773" t="s">
        <v>1008</v>
      </c>
      <c r="T231" s="796" t="s">
        <v>1009</v>
      </c>
      <c r="U231" s="773" t="s">
        <v>2132</v>
      </c>
      <c r="V231" s="773" t="s">
        <v>1033</v>
      </c>
      <c r="W231" s="773" t="s">
        <v>2884</v>
      </c>
      <c r="X231" s="829">
        <v>0</v>
      </c>
      <c r="Y231" s="821" t="s">
        <v>1020</v>
      </c>
      <c r="Z231" s="790"/>
      <c r="AA231" s="785"/>
      <c r="AB231" s="785"/>
      <c r="AC231" s="785"/>
      <c r="AD231" s="785"/>
      <c r="AE231" s="785"/>
      <c r="AF231" s="799"/>
      <c r="AG231" s="800"/>
      <c r="AH231" s="800"/>
      <c r="AI231" s="800"/>
      <c r="AJ231" s="800"/>
      <c r="AK231" s="800"/>
      <c r="AL231" s="800"/>
      <c r="AM231" s="800"/>
      <c r="AN231" s="800"/>
      <c r="AO231" s="800"/>
      <c r="AP231" s="800"/>
      <c r="AQ231" s="808">
        <v>55</v>
      </c>
      <c r="AR231" s="800">
        <v>55</v>
      </c>
      <c r="AS231" s="800">
        <v>55</v>
      </c>
      <c r="AT231" s="800">
        <v>55</v>
      </c>
      <c r="AU231" s="805">
        <v>55</v>
      </c>
      <c r="AV231" s="808"/>
      <c r="AW231" s="800"/>
      <c r="AX231" s="800"/>
      <c r="AY231" s="800"/>
      <c r="AZ231" s="800"/>
      <c r="BA231" s="800"/>
      <c r="BB231" s="800"/>
      <c r="BC231" s="800"/>
      <c r="BD231" s="800"/>
      <c r="BE231" s="800"/>
      <c r="BF231" s="800"/>
      <c r="BG231" s="800"/>
      <c r="BH231" s="800"/>
      <c r="BI231" s="800"/>
      <c r="BJ231" s="800"/>
      <c r="BK231" s="805"/>
      <c r="BL231" s="789" t="s">
        <v>168</v>
      </c>
      <c r="BM231" s="785" t="s">
        <v>168</v>
      </c>
      <c r="BN231" s="785" t="s">
        <v>168</v>
      </c>
      <c r="BO231" s="785" t="s">
        <v>168</v>
      </c>
      <c r="BP231" s="796" t="s">
        <v>168</v>
      </c>
      <c r="BQ231" s="808" t="s">
        <v>1942</v>
      </c>
      <c r="BR231" s="800" t="s">
        <v>1942</v>
      </c>
      <c r="BS231" s="800" t="s">
        <v>1942</v>
      </c>
      <c r="BT231" s="800" t="s">
        <v>1942</v>
      </c>
      <c r="BU231" s="805" t="s">
        <v>1942</v>
      </c>
      <c r="BV231" s="808" t="s">
        <v>1942</v>
      </c>
      <c r="BW231" s="800" t="s">
        <v>1942</v>
      </c>
      <c r="BX231" s="800" t="s">
        <v>1942</v>
      </c>
      <c r="BY231" s="800" t="s">
        <v>1942</v>
      </c>
      <c r="BZ231" s="800" t="s">
        <v>1942</v>
      </c>
      <c r="CA231" s="808" t="s">
        <v>1942</v>
      </c>
      <c r="CB231" s="800" t="s">
        <v>1942</v>
      </c>
      <c r="CC231" s="800" t="s">
        <v>1942</v>
      </c>
      <c r="CD231" s="800" t="s">
        <v>1942</v>
      </c>
      <c r="CE231" s="805" t="s">
        <v>1942</v>
      </c>
      <c r="CF231" s="800" t="s">
        <v>1942</v>
      </c>
      <c r="CG231" s="800" t="s">
        <v>1942</v>
      </c>
      <c r="CH231" s="800" t="s">
        <v>1942</v>
      </c>
      <c r="CI231" s="800" t="s">
        <v>1942</v>
      </c>
      <c r="CJ231" s="805" t="s">
        <v>1942</v>
      </c>
      <c r="CK231" s="808" t="s">
        <v>1942</v>
      </c>
      <c r="CL231" s="800" t="s">
        <v>1942</v>
      </c>
      <c r="CM231" s="800" t="s">
        <v>1942</v>
      </c>
      <c r="CN231" s="800" t="s">
        <v>1942</v>
      </c>
      <c r="CO231" s="805" t="s">
        <v>1942</v>
      </c>
      <c r="CP231" s="808" t="s">
        <v>1942</v>
      </c>
      <c r="CQ231" s="800" t="s">
        <v>1942</v>
      </c>
      <c r="CR231" s="800" t="s">
        <v>1942</v>
      </c>
      <c r="CS231" s="800" t="s">
        <v>1942</v>
      </c>
      <c r="CT231" s="805" t="s">
        <v>1942</v>
      </c>
      <c r="CU231" s="1284">
        <v>-1.578E-3</v>
      </c>
      <c r="CV231" s="1283" t="s">
        <v>1942</v>
      </c>
      <c r="CW231" s="1283" t="s">
        <v>1942</v>
      </c>
      <c r="CX231" s="1285" t="s">
        <v>1942</v>
      </c>
      <c r="CY231" s="1283" t="s">
        <v>1942</v>
      </c>
      <c r="CZ231" s="1283" t="s">
        <v>1942</v>
      </c>
      <c r="DA231" s="1283" t="s">
        <v>1942</v>
      </c>
      <c r="DB231" s="1285" t="s">
        <v>1942</v>
      </c>
      <c r="DC231" s="785"/>
      <c r="DD231" s="813">
        <v>1</v>
      </c>
      <c r="DE231" s="814"/>
    </row>
    <row r="232" spans="1:109" ht="15.75" hidden="1" customHeight="1">
      <c r="A232" s="772" t="s">
        <v>1071</v>
      </c>
      <c r="B232" s="773">
        <v>226</v>
      </c>
      <c r="C232" s="789" t="s">
        <v>2885</v>
      </c>
      <c r="D232" s="773" t="s">
        <v>2877</v>
      </c>
      <c r="E232" s="773" t="s">
        <v>1889</v>
      </c>
      <c r="F232" s="785" t="s">
        <v>2886</v>
      </c>
      <c r="G232" s="790" t="s">
        <v>736</v>
      </c>
      <c r="H232" s="791" t="s">
        <v>2887</v>
      </c>
      <c r="I232" s="792"/>
      <c r="J232" s="793">
        <v>1</v>
      </c>
      <c r="K232" s="793"/>
      <c r="L232" s="793"/>
      <c r="M232" s="793"/>
      <c r="N232" s="793"/>
      <c r="O232" s="793"/>
      <c r="P232" s="794"/>
      <c r="Q232" s="795">
        <f t="shared" si="3"/>
        <v>1</v>
      </c>
      <c r="R232" s="789" t="s">
        <v>1007</v>
      </c>
      <c r="S232" s="773"/>
      <c r="T232" s="796"/>
      <c r="U232" s="773" t="s">
        <v>736</v>
      </c>
      <c r="V232" s="773" t="s">
        <v>1033</v>
      </c>
      <c r="W232" s="773" t="s">
        <v>2888</v>
      </c>
      <c r="X232" s="829">
        <v>0</v>
      </c>
      <c r="Y232" s="826" t="s">
        <v>1020</v>
      </c>
      <c r="Z232" s="790"/>
      <c r="AA232" s="785"/>
      <c r="AB232" s="785"/>
      <c r="AC232" s="785"/>
      <c r="AD232" s="785"/>
      <c r="AE232" s="785"/>
      <c r="AF232" s="799"/>
      <c r="AG232" s="800"/>
      <c r="AH232" s="800"/>
      <c r="AI232" s="800"/>
      <c r="AJ232" s="800"/>
      <c r="AK232" s="800"/>
      <c r="AL232" s="800"/>
      <c r="AM232" s="800"/>
      <c r="AN232" s="800"/>
      <c r="AO232" s="800"/>
      <c r="AP232" s="800"/>
      <c r="AQ232" s="1420"/>
      <c r="AR232" s="1368"/>
      <c r="AS232" s="1368"/>
      <c r="AT232" s="1368"/>
      <c r="AU232" s="1369"/>
      <c r="AV232" s="808"/>
      <c r="AW232" s="800"/>
      <c r="AX232" s="800"/>
      <c r="AY232" s="800"/>
      <c r="AZ232" s="800"/>
      <c r="BA232" s="800"/>
      <c r="BB232" s="800"/>
      <c r="BC232" s="800"/>
      <c r="BD232" s="800"/>
      <c r="BE232" s="800"/>
      <c r="BF232" s="800"/>
      <c r="BG232" s="800"/>
      <c r="BH232" s="800"/>
      <c r="BI232" s="800"/>
      <c r="BJ232" s="800"/>
      <c r="BK232" s="805"/>
      <c r="BL232" s="1376"/>
      <c r="BM232" s="1377"/>
      <c r="BN232" s="1377"/>
      <c r="BO232" s="1377"/>
      <c r="BP232" s="1440"/>
      <c r="BQ232" s="1420"/>
      <c r="BR232" s="1368"/>
      <c r="BS232" s="1368"/>
      <c r="BT232" s="1368"/>
      <c r="BU232" s="1369"/>
      <c r="BV232" s="1420"/>
      <c r="BW232" s="1368"/>
      <c r="BX232" s="1368"/>
      <c r="BY232" s="1368"/>
      <c r="BZ232" s="1368"/>
      <c r="CA232" s="1420"/>
      <c r="CB232" s="1368"/>
      <c r="CC232" s="1368"/>
      <c r="CD232" s="1368"/>
      <c r="CE232" s="1369"/>
      <c r="CF232" s="1368"/>
      <c r="CG232" s="1368"/>
      <c r="CH232" s="1368"/>
      <c r="CI232" s="1368"/>
      <c r="CJ232" s="1369"/>
      <c r="CK232" s="1420"/>
      <c r="CL232" s="1368"/>
      <c r="CM232" s="1368"/>
      <c r="CN232" s="1368"/>
      <c r="CO232" s="1369"/>
      <c r="CP232" s="1420"/>
      <c r="CQ232" s="1368"/>
      <c r="CR232" s="1368"/>
      <c r="CS232" s="1368"/>
      <c r="CT232" s="1369"/>
      <c r="CU232" s="1528"/>
      <c r="CV232" s="1519"/>
      <c r="CW232" s="1519"/>
      <c r="CX232" s="1728"/>
      <c r="CY232" s="1519"/>
      <c r="CZ232" s="1519"/>
      <c r="DA232" s="1519"/>
      <c r="DB232" s="1728"/>
      <c r="DC232" s="1377"/>
      <c r="DD232" s="1729"/>
      <c r="DE232" s="1734"/>
    </row>
    <row r="233" spans="1:109" ht="15.75" hidden="1" customHeight="1">
      <c r="A233" s="772" t="s">
        <v>1071</v>
      </c>
      <c r="B233" s="773">
        <v>227</v>
      </c>
      <c r="C233" s="789" t="s">
        <v>2889</v>
      </c>
      <c r="D233" s="773" t="s">
        <v>2877</v>
      </c>
      <c r="E233" s="773" t="s">
        <v>1907</v>
      </c>
      <c r="F233" s="785" t="s">
        <v>2890</v>
      </c>
      <c r="G233" s="790" t="s">
        <v>2891</v>
      </c>
      <c r="H233" s="791" t="s">
        <v>2892</v>
      </c>
      <c r="I233" s="792">
        <v>1</v>
      </c>
      <c r="J233" s="793"/>
      <c r="K233" s="793"/>
      <c r="L233" s="793"/>
      <c r="M233" s="793"/>
      <c r="N233" s="793"/>
      <c r="O233" s="793"/>
      <c r="P233" s="794"/>
      <c r="Q233" s="795">
        <f t="shared" si="3"/>
        <v>1</v>
      </c>
      <c r="R233" s="789" t="s">
        <v>1007</v>
      </c>
      <c r="S233" s="773"/>
      <c r="T233" s="796"/>
      <c r="U233" s="773" t="s">
        <v>1979</v>
      </c>
      <c r="V233" s="773" t="s">
        <v>1033</v>
      </c>
      <c r="W233" s="773" t="s">
        <v>2312</v>
      </c>
      <c r="X233" s="829">
        <v>0</v>
      </c>
      <c r="Y233" s="826" t="s">
        <v>1020</v>
      </c>
      <c r="Z233" s="790"/>
      <c r="AA233" s="785"/>
      <c r="AB233" s="785"/>
      <c r="AC233" s="785"/>
      <c r="AD233" s="785"/>
      <c r="AE233" s="785"/>
      <c r="AF233" s="799"/>
      <c r="AG233" s="800"/>
      <c r="AH233" s="800"/>
      <c r="AI233" s="800"/>
      <c r="AJ233" s="800"/>
      <c r="AK233" s="800"/>
      <c r="AL233" s="800"/>
      <c r="AM233" s="800"/>
      <c r="AN233" s="800"/>
      <c r="AO233" s="800"/>
      <c r="AP233" s="800"/>
      <c r="AQ233" s="857" t="s">
        <v>2893</v>
      </c>
      <c r="AR233" s="800" t="s">
        <v>2893</v>
      </c>
      <c r="AS233" s="800" t="s">
        <v>2893</v>
      </c>
      <c r="AT233" s="800" t="s">
        <v>2893</v>
      </c>
      <c r="AU233" s="805" t="s">
        <v>2893</v>
      </c>
      <c r="AV233" s="808"/>
      <c r="AW233" s="800"/>
      <c r="AX233" s="800"/>
      <c r="AY233" s="800"/>
      <c r="AZ233" s="800"/>
      <c r="BA233" s="800"/>
      <c r="BB233" s="800"/>
      <c r="BC233" s="800"/>
      <c r="BD233" s="800"/>
      <c r="BE233" s="800"/>
      <c r="BF233" s="800"/>
      <c r="BG233" s="800"/>
      <c r="BH233" s="800"/>
      <c r="BI233" s="800"/>
      <c r="BJ233" s="800"/>
      <c r="BK233" s="805"/>
      <c r="BL233" s="789"/>
      <c r="BM233" s="785"/>
      <c r="BN233" s="785"/>
      <c r="BO233" s="785"/>
      <c r="BP233" s="796"/>
      <c r="BQ233" s="808" t="s">
        <v>1942</v>
      </c>
      <c r="BR233" s="800" t="s">
        <v>1942</v>
      </c>
      <c r="BS233" s="800" t="s">
        <v>1942</v>
      </c>
      <c r="BT233" s="800" t="s">
        <v>1942</v>
      </c>
      <c r="BU233" s="805" t="s">
        <v>1942</v>
      </c>
      <c r="BV233" s="808" t="s">
        <v>1942</v>
      </c>
      <c r="BW233" s="800" t="s">
        <v>1942</v>
      </c>
      <c r="BX233" s="800" t="s">
        <v>1942</v>
      </c>
      <c r="BY233" s="800" t="s">
        <v>1942</v>
      </c>
      <c r="BZ233" s="800" t="s">
        <v>1942</v>
      </c>
      <c r="CA233" s="808" t="s">
        <v>1942</v>
      </c>
      <c r="CB233" s="800" t="s">
        <v>1942</v>
      </c>
      <c r="CC233" s="800" t="s">
        <v>1942</v>
      </c>
      <c r="CD233" s="800" t="s">
        <v>1942</v>
      </c>
      <c r="CE233" s="805" t="s">
        <v>1942</v>
      </c>
      <c r="CF233" s="800" t="s">
        <v>1942</v>
      </c>
      <c r="CG233" s="800" t="s">
        <v>1942</v>
      </c>
      <c r="CH233" s="800" t="s">
        <v>1942</v>
      </c>
      <c r="CI233" s="800" t="s">
        <v>1942</v>
      </c>
      <c r="CJ233" s="800" t="s">
        <v>1942</v>
      </c>
      <c r="CK233" s="808" t="s">
        <v>1942</v>
      </c>
      <c r="CL233" s="800" t="s">
        <v>1942</v>
      </c>
      <c r="CM233" s="800" t="s">
        <v>1942</v>
      </c>
      <c r="CN233" s="800" t="s">
        <v>1942</v>
      </c>
      <c r="CO233" s="805" t="s">
        <v>1942</v>
      </c>
      <c r="CP233" s="808" t="s">
        <v>1942</v>
      </c>
      <c r="CQ233" s="800" t="s">
        <v>1942</v>
      </c>
      <c r="CR233" s="800" t="s">
        <v>1942</v>
      </c>
      <c r="CS233" s="800" t="s">
        <v>1942</v>
      </c>
      <c r="CT233" s="805" t="s">
        <v>1942</v>
      </c>
      <c r="CU233" s="1284" t="s">
        <v>1942</v>
      </c>
      <c r="CV233" s="1283" t="s">
        <v>1942</v>
      </c>
      <c r="CW233" s="1283" t="s">
        <v>1942</v>
      </c>
      <c r="CX233" s="1285" t="s">
        <v>1942</v>
      </c>
      <c r="CY233" s="1283" t="s">
        <v>1942</v>
      </c>
      <c r="CZ233" s="1283" t="s">
        <v>1942</v>
      </c>
      <c r="DA233" s="1283" t="s">
        <v>1942</v>
      </c>
      <c r="DB233" s="1285" t="s">
        <v>1942</v>
      </c>
      <c r="DC233" s="785"/>
      <c r="DD233" s="813">
        <v>1</v>
      </c>
      <c r="DE233" s="814"/>
    </row>
    <row r="234" spans="1:109" ht="15.75" hidden="1" customHeight="1">
      <c r="A234" s="772" t="s">
        <v>1071</v>
      </c>
      <c r="B234" s="773">
        <v>228</v>
      </c>
      <c r="C234" s="789" t="s">
        <v>2894</v>
      </c>
      <c r="D234" s="773" t="s">
        <v>2877</v>
      </c>
      <c r="E234" s="773" t="s">
        <v>1907</v>
      </c>
      <c r="F234" s="785" t="s">
        <v>2895</v>
      </c>
      <c r="G234" s="790" t="s">
        <v>2896</v>
      </c>
      <c r="H234" s="791" t="s">
        <v>2897</v>
      </c>
      <c r="I234" s="792"/>
      <c r="J234" s="793">
        <v>1</v>
      </c>
      <c r="K234" s="793"/>
      <c r="L234" s="793"/>
      <c r="M234" s="793"/>
      <c r="N234" s="793"/>
      <c r="O234" s="793"/>
      <c r="P234" s="794"/>
      <c r="Q234" s="795">
        <f t="shared" si="3"/>
        <v>1</v>
      </c>
      <c r="R234" s="789" t="s">
        <v>1007</v>
      </c>
      <c r="S234" s="773"/>
      <c r="T234" s="796"/>
      <c r="U234" s="773" t="s">
        <v>2289</v>
      </c>
      <c r="V234" s="773" t="s">
        <v>1033</v>
      </c>
      <c r="W234" s="773" t="s">
        <v>2682</v>
      </c>
      <c r="X234" s="829">
        <v>0</v>
      </c>
      <c r="Y234" s="819" t="s">
        <v>1010</v>
      </c>
      <c r="Z234" s="790"/>
      <c r="AA234" s="785"/>
      <c r="AB234" s="785"/>
      <c r="AC234" s="785"/>
      <c r="AD234" s="785"/>
      <c r="AE234" s="785"/>
      <c r="AF234" s="799"/>
      <c r="AG234" s="800"/>
      <c r="AH234" s="800"/>
      <c r="AI234" s="800"/>
      <c r="AJ234" s="800"/>
      <c r="AK234" s="800"/>
      <c r="AL234" s="800"/>
      <c r="AM234" s="800"/>
      <c r="AN234" s="800"/>
      <c r="AO234" s="800"/>
      <c r="AP234" s="800"/>
      <c r="AQ234" s="808">
        <v>1</v>
      </c>
      <c r="AR234" s="800">
        <v>2</v>
      </c>
      <c r="AS234" s="800">
        <v>2</v>
      </c>
      <c r="AT234" s="800">
        <v>3</v>
      </c>
      <c r="AU234" s="805">
        <v>3</v>
      </c>
      <c r="AV234" s="808"/>
      <c r="AW234" s="800"/>
      <c r="AX234" s="800"/>
      <c r="AY234" s="800"/>
      <c r="AZ234" s="800"/>
      <c r="BA234" s="800"/>
      <c r="BB234" s="800"/>
      <c r="BC234" s="800"/>
      <c r="BD234" s="800"/>
      <c r="BE234" s="800"/>
      <c r="BF234" s="800"/>
      <c r="BG234" s="800"/>
      <c r="BH234" s="800"/>
      <c r="BI234" s="800"/>
      <c r="BJ234" s="800"/>
      <c r="BK234" s="805"/>
      <c r="BL234" s="789"/>
      <c r="BM234" s="785"/>
      <c r="BN234" s="785"/>
      <c r="BO234" s="785"/>
      <c r="BP234" s="796"/>
      <c r="BQ234" s="808" t="s">
        <v>1942</v>
      </c>
      <c r="BR234" s="800" t="s">
        <v>1942</v>
      </c>
      <c r="BS234" s="800" t="s">
        <v>1942</v>
      </c>
      <c r="BT234" s="800" t="s">
        <v>1942</v>
      </c>
      <c r="BU234" s="805" t="s">
        <v>1942</v>
      </c>
      <c r="BV234" s="808" t="s">
        <v>1942</v>
      </c>
      <c r="BW234" s="800" t="s">
        <v>1942</v>
      </c>
      <c r="BX234" s="800" t="s">
        <v>1942</v>
      </c>
      <c r="BY234" s="800" t="s">
        <v>1942</v>
      </c>
      <c r="BZ234" s="800" t="s">
        <v>1942</v>
      </c>
      <c r="CA234" s="808" t="s">
        <v>1942</v>
      </c>
      <c r="CB234" s="800" t="s">
        <v>1942</v>
      </c>
      <c r="CC234" s="800" t="s">
        <v>1942</v>
      </c>
      <c r="CD234" s="800" t="s">
        <v>1942</v>
      </c>
      <c r="CE234" s="805" t="s">
        <v>1942</v>
      </c>
      <c r="CF234" s="800" t="s">
        <v>1942</v>
      </c>
      <c r="CG234" s="800" t="s">
        <v>1942</v>
      </c>
      <c r="CH234" s="800" t="s">
        <v>1942</v>
      </c>
      <c r="CI234" s="800" t="s">
        <v>1942</v>
      </c>
      <c r="CJ234" s="805" t="s">
        <v>1942</v>
      </c>
      <c r="CK234" s="808" t="s">
        <v>1942</v>
      </c>
      <c r="CL234" s="800" t="s">
        <v>1942</v>
      </c>
      <c r="CM234" s="800" t="s">
        <v>1942</v>
      </c>
      <c r="CN234" s="800" t="s">
        <v>1942</v>
      </c>
      <c r="CO234" s="805" t="s">
        <v>1942</v>
      </c>
      <c r="CP234" s="808" t="s">
        <v>1942</v>
      </c>
      <c r="CQ234" s="800" t="s">
        <v>1942</v>
      </c>
      <c r="CR234" s="800" t="s">
        <v>1942</v>
      </c>
      <c r="CS234" s="800" t="s">
        <v>1942</v>
      </c>
      <c r="CT234" s="805" t="s">
        <v>1942</v>
      </c>
      <c r="CU234" s="1284" t="s">
        <v>1942</v>
      </c>
      <c r="CV234" s="1283" t="s">
        <v>1942</v>
      </c>
      <c r="CW234" s="1283" t="s">
        <v>1942</v>
      </c>
      <c r="CX234" s="1285" t="s">
        <v>1942</v>
      </c>
      <c r="CY234" s="1283" t="s">
        <v>1942</v>
      </c>
      <c r="CZ234" s="1283" t="s">
        <v>1942</v>
      </c>
      <c r="DA234" s="1283" t="s">
        <v>1942</v>
      </c>
      <c r="DB234" s="1285" t="s">
        <v>1942</v>
      </c>
      <c r="DC234" s="785"/>
      <c r="DD234" s="813">
        <v>1</v>
      </c>
      <c r="DE234" s="814"/>
    </row>
    <row r="235" spans="1:109" ht="15.75" hidden="1" customHeight="1">
      <c r="A235" s="772" t="s">
        <v>1071</v>
      </c>
      <c r="B235" s="773">
        <v>229</v>
      </c>
      <c r="C235" s="789" t="s">
        <v>2898</v>
      </c>
      <c r="D235" s="773" t="s">
        <v>2877</v>
      </c>
      <c r="E235" s="773" t="s">
        <v>1896</v>
      </c>
      <c r="F235" s="785" t="s">
        <v>2899</v>
      </c>
      <c r="G235" s="790" t="s">
        <v>2900</v>
      </c>
      <c r="H235" s="791" t="s">
        <v>2901</v>
      </c>
      <c r="I235" s="792">
        <v>0.34</v>
      </c>
      <c r="J235" s="793">
        <v>0.66</v>
      </c>
      <c r="K235" s="793"/>
      <c r="L235" s="793"/>
      <c r="M235" s="793"/>
      <c r="N235" s="793"/>
      <c r="O235" s="793"/>
      <c r="P235" s="794"/>
      <c r="Q235" s="795">
        <f t="shared" si="3"/>
        <v>1</v>
      </c>
      <c r="R235" s="789" t="s">
        <v>1026</v>
      </c>
      <c r="S235" s="773" t="s">
        <v>1008</v>
      </c>
      <c r="T235" s="796" t="s">
        <v>1009</v>
      </c>
      <c r="U235" s="773" t="s">
        <v>2106</v>
      </c>
      <c r="V235" s="773" t="s">
        <v>1033</v>
      </c>
      <c r="W235" s="773" t="s">
        <v>2902</v>
      </c>
      <c r="X235" s="829">
        <v>0</v>
      </c>
      <c r="Y235" s="819" t="s">
        <v>1010</v>
      </c>
      <c r="Z235" s="790"/>
      <c r="AA235" s="785"/>
      <c r="AB235" s="785"/>
      <c r="AC235" s="785"/>
      <c r="AD235" s="785"/>
      <c r="AE235" s="785"/>
      <c r="AF235" s="799"/>
      <c r="AG235" s="800"/>
      <c r="AH235" s="800"/>
      <c r="AI235" s="800"/>
      <c r="AJ235" s="800"/>
      <c r="AK235" s="800"/>
      <c r="AL235" s="800"/>
      <c r="AM235" s="800"/>
      <c r="AN235" s="800"/>
      <c r="AO235" s="800"/>
      <c r="AP235" s="800"/>
      <c r="AQ235" s="808">
        <v>0</v>
      </c>
      <c r="AR235" s="800">
        <v>7</v>
      </c>
      <c r="AS235" s="800">
        <v>7</v>
      </c>
      <c r="AT235" s="800">
        <v>7</v>
      </c>
      <c r="AU235" s="805">
        <v>24</v>
      </c>
      <c r="AV235" s="808"/>
      <c r="AW235" s="800"/>
      <c r="AX235" s="800"/>
      <c r="AY235" s="800"/>
      <c r="AZ235" s="800"/>
      <c r="BA235" s="800"/>
      <c r="BB235" s="800"/>
      <c r="BC235" s="800"/>
      <c r="BD235" s="800"/>
      <c r="BE235" s="800"/>
      <c r="BF235" s="800"/>
      <c r="BG235" s="800"/>
      <c r="BH235" s="800"/>
      <c r="BI235" s="800"/>
      <c r="BJ235" s="800"/>
      <c r="BK235" s="805"/>
      <c r="BL235" s="789" t="s">
        <v>168</v>
      </c>
      <c r="BM235" s="785" t="s">
        <v>168</v>
      </c>
      <c r="BN235" s="785" t="s">
        <v>168</v>
      </c>
      <c r="BO235" s="785" t="s">
        <v>168</v>
      </c>
      <c r="BP235" s="796" t="s">
        <v>168</v>
      </c>
      <c r="BQ235" s="808" t="s">
        <v>1942</v>
      </c>
      <c r="BR235" s="800" t="s">
        <v>1942</v>
      </c>
      <c r="BS235" s="800" t="s">
        <v>1942</v>
      </c>
      <c r="BT235" s="800" t="s">
        <v>1942</v>
      </c>
      <c r="BU235" s="805" t="s">
        <v>1942</v>
      </c>
      <c r="BV235" s="808" t="s">
        <v>1942</v>
      </c>
      <c r="BW235" s="800" t="s">
        <v>1942</v>
      </c>
      <c r="BX235" s="800" t="s">
        <v>1942</v>
      </c>
      <c r="BY235" s="800" t="s">
        <v>1942</v>
      </c>
      <c r="BZ235" s="800" t="s">
        <v>1942</v>
      </c>
      <c r="CA235" s="808" t="s">
        <v>1942</v>
      </c>
      <c r="CB235" s="800" t="s">
        <v>1942</v>
      </c>
      <c r="CC235" s="800" t="s">
        <v>1942</v>
      </c>
      <c r="CD235" s="800" t="s">
        <v>1942</v>
      </c>
      <c r="CE235" s="805" t="s">
        <v>1942</v>
      </c>
      <c r="CF235" s="800" t="s">
        <v>1942</v>
      </c>
      <c r="CG235" s="800" t="s">
        <v>1942</v>
      </c>
      <c r="CH235" s="800" t="s">
        <v>1942</v>
      </c>
      <c r="CI235" s="800" t="s">
        <v>1942</v>
      </c>
      <c r="CJ235" s="805" t="s">
        <v>1942</v>
      </c>
      <c r="CK235" s="808" t="s">
        <v>1942</v>
      </c>
      <c r="CL235" s="800" t="s">
        <v>1942</v>
      </c>
      <c r="CM235" s="800" t="s">
        <v>1942</v>
      </c>
      <c r="CN235" s="800" t="s">
        <v>1942</v>
      </c>
      <c r="CO235" s="805" t="s">
        <v>1942</v>
      </c>
      <c r="CP235" s="808" t="s">
        <v>1942</v>
      </c>
      <c r="CQ235" s="800" t="s">
        <v>1942</v>
      </c>
      <c r="CR235" s="800" t="s">
        <v>1942</v>
      </c>
      <c r="CS235" s="800" t="s">
        <v>1942</v>
      </c>
      <c r="CT235" s="805" t="s">
        <v>1942</v>
      </c>
      <c r="CU235" s="1284">
        <v>-4.2500000000000003E-3</v>
      </c>
      <c r="CV235" s="1283" t="s">
        <v>1942</v>
      </c>
      <c r="CW235" s="1283" t="s">
        <v>1942</v>
      </c>
      <c r="CX235" s="1285" t="s">
        <v>1942</v>
      </c>
      <c r="CY235" s="1283" t="s">
        <v>1942</v>
      </c>
      <c r="CZ235" s="1283" t="s">
        <v>1942</v>
      </c>
      <c r="DA235" s="1283" t="s">
        <v>1942</v>
      </c>
      <c r="DB235" s="1285" t="s">
        <v>1942</v>
      </c>
      <c r="DC235" s="785"/>
      <c r="DD235" s="813">
        <v>1</v>
      </c>
      <c r="DE235" s="814"/>
    </row>
    <row r="236" spans="1:109" ht="15.75" hidden="1" customHeight="1">
      <c r="A236" s="772" t="s">
        <v>1071</v>
      </c>
      <c r="B236" s="773">
        <v>230</v>
      </c>
      <c r="C236" s="789" t="s">
        <v>2903</v>
      </c>
      <c r="D236" s="773" t="s">
        <v>2821</v>
      </c>
      <c r="E236" s="773" t="s">
        <v>1907</v>
      </c>
      <c r="F236" s="785" t="s">
        <v>2904</v>
      </c>
      <c r="G236" s="790" t="s">
        <v>2905</v>
      </c>
      <c r="H236" s="791" t="s">
        <v>2906</v>
      </c>
      <c r="I236" s="792"/>
      <c r="J236" s="793">
        <v>1</v>
      </c>
      <c r="K236" s="793"/>
      <c r="L236" s="793"/>
      <c r="M236" s="793"/>
      <c r="N236" s="793"/>
      <c r="O236" s="793"/>
      <c r="P236" s="794"/>
      <c r="Q236" s="795">
        <f t="shared" si="3"/>
        <v>1</v>
      </c>
      <c r="R236" s="789" t="s">
        <v>1026</v>
      </c>
      <c r="S236" s="773" t="s">
        <v>1008</v>
      </c>
      <c r="T236" s="796" t="s">
        <v>1009</v>
      </c>
      <c r="U236" s="773"/>
      <c r="V236" s="773" t="s">
        <v>1033</v>
      </c>
      <c r="W236" s="773" t="s">
        <v>2907</v>
      </c>
      <c r="X236" s="1274">
        <v>1</v>
      </c>
      <c r="Y236" s="826" t="s">
        <v>1020</v>
      </c>
      <c r="Z236" s="790"/>
      <c r="AA236" s="785"/>
      <c r="AB236" s="785"/>
      <c r="AC236" s="785"/>
      <c r="AD236" s="785"/>
      <c r="AE236" s="785"/>
      <c r="AF236" s="799"/>
      <c r="AG236" s="800"/>
      <c r="AH236" s="800"/>
      <c r="AI236" s="800"/>
      <c r="AJ236" s="800"/>
      <c r="AK236" s="800"/>
      <c r="AL236" s="800"/>
      <c r="AM236" s="800"/>
      <c r="AN236" s="800"/>
      <c r="AO236" s="800"/>
      <c r="AP236" s="800"/>
      <c r="AQ236" s="808">
        <v>0</v>
      </c>
      <c r="AR236" s="800">
        <v>0</v>
      </c>
      <c r="AS236" s="800">
        <v>0</v>
      </c>
      <c r="AT236" s="800">
        <v>0</v>
      </c>
      <c r="AU236" s="805">
        <v>0</v>
      </c>
      <c r="AV236" s="808"/>
      <c r="AW236" s="800"/>
      <c r="AX236" s="800"/>
      <c r="AY236" s="800"/>
      <c r="AZ236" s="800"/>
      <c r="BA236" s="800"/>
      <c r="BB236" s="800"/>
      <c r="BC236" s="800"/>
      <c r="BD236" s="800"/>
      <c r="BE236" s="800"/>
      <c r="BF236" s="800"/>
      <c r="BG236" s="800"/>
      <c r="BH236" s="800"/>
      <c r="BI236" s="800"/>
      <c r="BJ236" s="800"/>
      <c r="BK236" s="805"/>
      <c r="BL236" s="789" t="s">
        <v>168</v>
      </c>
      <c r="BM236" s="785" t="s">
        <v>168</v>
      </c>
      <c r="BN236" s="785" t="s">
        <v>168</v>
      </c>
      <c r="BO236" s="785" t="s">
        <v>168</v>
      </c>
      <c r="BP236" s="796" t="s">
        <v>168</v>
      </c>
      <c r="BQ236" s="808" t="s">
        <v>1942</v>
      </c>
      <c r="BR236" s="800" t="s">
        <v>1942</v>
      </c>
      <c r="BS236" s="800" t="s">
        <v>1942</v>
      </c>
      <c r="BT236" s="800" t="s">
        <v>1942</v>
      </c>
      <c r="BU236" s="805" t="s">
        <v>1942</v>
      </c>
      <c r="BV236" s="808" t="s">
        <v>1942</v>
      </c>
      <c r="BW236" s="800" t="s">
        <v>1942</v>
      </c>
      <c r="BX236" s="800" t="s">
        <v>1942</v>
      </c>
      <c r="BY236" s="800" t="s">
        <v>1942</v>
      </c>
      <c r="BZ236" s="800" t="s">
        <v>1942</v>
      </c>
      <c r="CA236" s="808" t="s">
        <v>1942</v>
      </c>
      <c r="CB236" s="800" t="s">
        <v>1942</v>
      </c>
      <c r="CC236" s="800" t="s">
        <v>1942</v>
      </c>
      <c r="CD236" s="800" t="s">
        <v>1942</v>
      </c>
      <c r="CE236" s="805" t="s">
        <v>1942</v>
      </c>
      <c r="CF236" s="800" t="s">
        <v>1942</v>
      </c>
      <c r="CG236" s="800" t="s">
        <v>1942</v>
      </c>
      <c r="CH236" s="800" t="s">
        <v>1942</v>
      </c>
      <c r="CI236" s="800" t="s">
        <v>1942</v>
      </c>
      <c r="CJ236" s="805" t="s">
        <v>1942</v>
      </c>
      <c r="CK236" s="808" t="s">
        <v>1942</v>
      </c>
      <c r="CL236" s="800" t="s">
        <v>1942</v>
      </c>
      <c r="CM236" s="800" t="s">
        <v>1942</v>
      </c>
      <c r="CN236" s="800" t="s">
        <v>1942</v>
      </c>
      <c r="CO236" s="805" t="s">
        <v>1942</v>
      </c>
      <c r="CP236" s="808" t="s">
        <v>1942</v>
      </c>
      <c r="CQ236" s="800" t="s">
        <v>1942</v>
      </c>
      <c r="CR236" s="800" t="s">
        <v>1942</v>
      </c>
      <c r="CS236" s="800" t="s">
        <v>1942</v>
      </c>
      <c r="CT236" s="805" t="s">
        <v>1942</v>
      </c>
      <c r="CU236" s="1284">
        <v>-2.8199999999999999E-2</v>
      </c>
      <c r="CV236" s="1283" t="s">
        <v>1942</v>
      </c>
      <c r="CW236" s="1283" t="s">
        <v>1942</v>
      </c>
      <c r="CX236" s="1285" t="s">
        <v>1942</v>
      </c>
      <c r="CY236" s="1283" t="s">
        <v>1942</v>
      </c>
      <c r="CZ236" s="1283" t="s">
        <v>1942</v>
      </c>
      <c r="DA236" s="1283" t="s">
        <v>1942</v>
      </c>
      <c r="DB236" s="1285" t="s">
        <v>1942</v>
      </c>
      <c r="DC236" s="785"/>
      <c r="DD236" s="813"/>
      <c r="DE236" s="814"/>
    </row>
    <row r="237" spans="1:109" ht="15.75" hidden="1" customHeight="1">
      <c r="A237" s="772" t="s">
        <v>1071</v>
      </c>
      <c r="B237" s="773">
        <v>231</v>
      </c>
      <c r="C237" s="789" t="s">
        <v>2908</v>
      </c>
      <c r="D237" s="773" t="s">
        <v>2835</v>
      </c>
      <c r="E237" s="773" t="s">
        <v>1896</v>
      </c>
      <c r="F237" s="785" t="s">
        <v>2909</v>
      </c>
      <c r="G237" s="790" t="s">
        <v>2910</v>
      </c>
      <c r="H237" s="791" t="s">
        <v>2911</v>
      </c>
      <c r="I237" s="792"/>
      <c r="J237" s="793"/>
      <c r="K237" s="793"/>
      <c r="L237" s="793"/>
      <c r="M237" s="793">
        <v>1</v>
      </c>
      <c r="N237" s="793"/>
      <c r="O237" s="793"/>
      <c r="P237" s="794"/>
      <c r="Q237" s="795">
        <f t="shared" si="3"/>
        <v>1</v>
      </c>
      <c r="R237" s="789" t="s">
        <v>1007</v>
      </c>
      <c r="S237" s="773"/>
      <c r="T237" s="796"/>
      <c r="U237" s="773" t="s">
        <v>2117</v>
      </c>
      <c r="V237" s="773" t="s">
        <v>278</v>
      </c>
      <c r="W237" s="773" t="s">
        <v>2459</v>
      </c>
      <c r="X237" s="829">
        <v>0</v>
      </c>
      <c r="Y237" s="826" t="s">
        <v>1020</v>
      </c>
      <c r="Z237" s="790"/>
      <c r="AA237" s="785"/>
      <c r="AB237" s="785"/>
      <c r="AC237" s="785"/>
      <c r="AD237" s="785"/>
      <c r="AE237" s="785"/>
      <c r="AF237" s="799"/>
      <c r="AG237" s="800"/>
      <c r="AH237" s="800"/>
      <c r="AI237" s="800"/>
      <c r="AJ237" s="800"/>
      <c r="AK237" s="800"/>
      <c r="AL237" s="800"/>
      <c r="AM237" s="800"/>
      <c r="AN237" s="800"/>
      <c r="AO237" s="800"/>
      <c r="AP237" s="800"/>
      <c r="AQ237" s="808">
        <v>9</v>
      </c>
      <c r="AR237" s="800">
        <v>8</v>
      </c>
      <c r="AS237" s="800">
        <v>7</v>
      </c>
      <c r="AT237" s="800">
        <v>6</v>
      </c>
      <c r="AU237" s="805">
        <v>6</v>
      </c>
      <c r="AV237" s="808"/>
      <c r="AW237" s="800"/>
      <c r="AX237" s="800"/>
      <c r="AY237" s="800"/>
      <c r="AZ237" s="800"/>
      <c r="BA237" s="800"/>
      <c r="BB237" s="800"/>
      <c r="BC237" s="800"/>
      <c r="BD237" s="800"/>
      <c r="BE237" s="800"/>
      <c r="BF237" s="800"/>
      <c r="BG237" s="800"/>
      <c r="BH237" s="800"/>
      <c r="BI237" s="800"/>
      <c r="BJ237" s="800"/>
      <c r="BK237" s="805"/>
      <c r="BL237" s="789"/>
      <c r="BM237" s="785"/>
      <c r="BN237" s="785"/>
      <c r="BO237" s="785"/>
      <c r="BP237" s="796"/>
      <c r="BQ237" s="808" t="s">
        <v>1942</v>
      </c>
      <c r="BR237" s="800" t="s">
        <v>1942</v>
      </c>
      <c r="BS237" s="800" t="s">
        <v>1942</v>
      </c>
      <c r="BT237" s="800" t="s">
        <v>1942</v>
      </c>
      <c r="BU237" s="805" t="s">
        <v>1942</v>
      </c>
      <c r="BV237" s="808" t="s">
        <v>1942</v>
      </c>
      <c r="BW237" s="800" t="s">
        <v>1942</v>
      </c>
      <c r="BX237" s="800" t="s">
        <v>1942</v>
      </c>
      <c r="BY237" s="800" t="s">
        <v>1942</v>
      </c>
      <c r="BZ237" s="800" t="s">
        <v>1942</v>
      </c>
      <c r="CA237" s="808" t="s">
        <v>1942</v>
      </c>
      <c r="CB237" s="800" t="s">
        <v>1942</v>
      </c>
      <c r="CC237" s="800" t="s">
        <v>1942</v>
      </c>
      <c r="CD237" s="800" t="s">
        <v>1942</v>
      </c>
      <c r="CE237" s="805" t="s">
        <v>1942</v>
      </c>
      <c r="CF237" s="800" t="s">
        <v>1942</v>
      </c>
      <c r="CG237" s="800" t="s">
        <v>1942</v>
      </c>
      <c r="CH237" s="800" t="s">
        <v>1942</v>
      </c>
      <c r="CI237" s="800" t="s">
        <v>1942</v>
      </c>
      <c r="CJ237" s="805" t="s">
        <v>1942</v>
      </c>
      <c r="CK237" s="808" t="s">
        <v>1942</v>
      </c>
      <c r="CL237" s="800" t="s">
        <v>1942</v>
      </c>
      <c r="CM237" s="800" t="s">
        <v>1942</v>
      </c>
      <c r="CN237" s="800" t="s">
        <v>1942</v>
      </c>
      <c r="CO237" s="805" t="s">
        <v>1942</v>
      </c>
      <c r="CP237" s="808" t="s">
        <v>1942</v>
      </c>
      <c r="CQ237" s="800" t="s">
        <v>1942</v>
      </c>
      <c r="CR237" s="800" t="s">
        <v>1942</v>
      </c>
      <c r="CS237" s="800" t="s">
        <v>1942</v>
      </c>
      <c r="CT237" s="805" t="s">
        <v>1942</v>
      </c>
      <c r="CU237" s="1284" t="s">
        <v>1942</v>
      </c>
      <c r="CV237" s="1283" t="s">
        <v>1942</v>
      </c>
      <c r="CW237" s="1283" t="s">
        <v>1942</v>
      </c>
      <c r="CX237" s="1285" t="s">
        <v>1942</v>
      </c>
      <c r="CY237" s="1283" t="s">
        <v>1942</v>
      </c>
      <c r="CZ237" s="1283" t="s">
        <v>1942</v>
      </c>
      <c r="DA237" s="1283" t="s">
        <v>1942</v>
      </c>
      <c r="DB237" s="1285" t="s">
        <v>1942</v>
      </c>
      <c r="DC237" s="785"/>
      <c r="DD237" s="813"/>
      <c r="DE237" s="814"/>
    </row>
    <row r="238" spans="1:109" ht="15.75" hidden="1" customHeight="1">
      <c r="A238" s="772" t="s">
        <v>1071</v>
      </c>
      <c r="B238" s="773">
        <v>232</v>
      </c>
      <c r="C238" s="789" t="s">
        <v>2912</v>
      </c>
      <c r="D238" s="773"/>
      <c r="E238" s="773"/>
      <c r="F238" s="785" t="s">
        <v>2032</v>
      </c>
      <c r="G238" s="790" t="s">
        <v>2033</v>
      </c>
      <c r="H238" s="791"/>
      <c r="I238" s="792"/>
      <c r="J238" s="793"/>
      <c r="K238" s="793"/>
      <c r="L238" s="793"/>
      <c r="M238" s="793"/>
      <c r="N238" s="793"/>
      <c r="O238" s="793"/>
      <c r="P238" s="794"/>
      <c r="Q238" s="795">
        <f t="shared" si="3"/>
        <v>0</v>
      </c>
      <c r="R238" s="789" t="s">
        <v>1007</v>
      </c>
      <c r="S238" s="773"/>
      <c r="T238" s="796"/>
      <c r="U238" s="773"/>
      <c r="V238" s="1247" t="s">
        <v>1072</v>
      </c>
      <c r="W238" s="773" t="s">
        <v>2034</v>
      </c>
      <c r="X238" s="1277">
        <v>0</v>
      </c>
      <c r="Y238" s="819"/>
      <c r="Z238" s="790"/>
      <c r="AA238" s="785"/>
      <c r="AB238" s="785"/>
      <c r="AC238" s="785"/>
      <c r="AD238" s="785"/>
      <c r="AE238" s="785"/>
      <c r="AF238" s="799"/>
      <c r="AG238" s="800"/>
      <c r="AH238" s="800"/>
      <c r="AI238" s="800"/>
      <c r="AJ238" s="800"/>
      <c r="AK238" s="800"/>
      <c r="AL238" s="800"/>
      <c r="AM238" s="800"/>
      <c r="AN238" s="800"/>
      <c r="AO238" s="800"/>
      <c r="AP238" s="800"/>
      <c r="AQ238" s="808" t="s">
        <v>591</v>
      </c>
      <c r="AR238" s="800" t="s">
        <v>591</v>
      </c>
      <c r="AS238" s="800" t="s">
        <v>591</v>
      </c>
      <c r="AT238" s="800" t="s">
        <v>591</v>
      </c>
      <c r="AU238" s="805" t="s">
        <v>591</v>
      </c>
      <c r="AV238" s="808"/>
      <c r="AW238" s="800"/>
      <c r="AX238" s="800"/>
      <c r="AY238" s="800"/>
      <c r="AZ238" s="800"/>
      <c r="BA238" s="800"/>
      <c r="BB238" s="800"/>
      <c r="BC238" s="800"/>
      <c r="BD238" s="800"/>
      <c r="BE238" s="800"/>
      <c r="BF238" s="800"/>
      <c r="BG238" s="800"/>
      <c r="BH238" s="800"/>
      <c r="BI238" s="800"/>
      <c r="BJ238" s="800"/>
      <c r="BK238" s="805"/>
      <c r="BL238" s="789"/>
      <c r="BM238" s="785"/>
      <c r="BN238" s="785"/>
      <c r="BO238" s="785"/>
      <c r="BP238" s="796"/>
      <c r="BQ238" s="808" t="s">
        <v>1942</v>
      </c>
      <c r="BR238" s="800" t="s">
        <v>1942</v>
      </c>
      <c r="BS238" s="800" t="s">
        <v>1942</v>
      </c>
      <c r="BT238" s="800" t="s">
        <v>1942</v>
      </c>
      <c r="BU238" s="805" t="s">
        <v>1942</v>
      </c>
      <c r="BV238" s="808" t="s">
        <v>1942</v>
      </c>
      <c r="BW238" s="800" t="s">
        <v>1942</v>
      </c>
      <c r="BX238" s="800" t="s">
        <v>1942</v>
      </c>
      <c r="BY238" s="800" t="s">
        <v>1942</v>
      </c>
      <c r="BZ238" s="800" t="s">
        <v>1942</v>
      </c>
      <c r="CA238" s="808" t="s">
        <v>1942</v>
      </c>
      <c r="CB238" s="800" t="s">
        <v>1942</v>
      </c>
      <c r="CC238" s="800" t="s">
        <v>1942</v>
      </c>
      <c r="CD238" s="800" t="s">
        <v>1942</v>
      </c>
      <c r="CE238" s="805" t="s">
        <v>1942</v>
      </c>
      <c r="CF238" s="800" t="s">
        <v>1942</v>
      </c>
      <c r="CG238" s="800" t="s">
        <v>1942</v>
      </c>
      <c r="CH238" s="800" t="s">
        <v>1942</v>
      </c>
      <c r="CI238" s="800" t="s">
        <v>1942</v>
      </c>
      <c r="CJ238" s="805" t="s">
        <v>1942</v>
      </c>
      <c r="CK238" s="808" t="s">
        <v>1942</v>
      </c>
      <c r="CL238" s="800" t="s">
        <v>1942</v>
      </c>
      <c r="CM238" s="800" t="s">
        <v>1942</v>
      </c>
      <c r="CN238" s="800" t="s">
        <v>1942</v>
      </c>
      <c r="CO238" s="805" t="s">
        <v>1942</v>
      </c>
      <c r="CP238" s="808" t="s">
        <v>1942</v>
      </c>
      <c r="CQ238" s="800" t="s">
        <v>1942</v>
      </c>
      <c r="CR238" s="800" t="s">
        <v>1942</v>
      </c>
      <c r="CS238" s="800" t="s">
        <v>1942</v>
      </c>
      <c r="CT238" s="805" t="s">
        <v>1942</v>
      </c>
      <c r="CU238" s="1284" t="s">
        <v>1942</v>
      </c>
      <c r="CV238" s="1283" t="s">
        <v>1942</v>
      </c>
      <c r="CW238" s="1283" t="s">
        <v>1942</v>
      </c>
      <c r="CX238" s="1285" t="s">
        <v>1942</v>
      </c>
      <c r="CY238" s="1283" t="s">
        <v>1942</v>
      </c>
      <c r="CZ238" s="1283" t="s">
        <v>1942</v>
      </c>
      <c r="DA238" s="1283" t="s">
        <v>1942</v>
      </c>
      <c r="DB238" s="1285" t="s">
        <v>1942</v>
      </c>
      <c r="DC238" s="785"/>
      <c r="DD238" s="813"/>
      <c r="DE238" s="814"/>
    </row>
    <row r="239" spans="1:109" ht="15.75" hidden="1" customHeight="1">
      <c r="A239" s="772" t="s">
        <v>1071</v>
      </c>
      <c r="B239" s="773">
        <v>233</v>
      </c>
      <c r="C239" s="789" t="s">
        <v>2913</v>
      </c>
      <c r="D239" s="773"/>
      <c r="E239" s="773"/>
      <c r="F239" s="785" t="s">
        <v>2914</v>
      </c>
      <c r="G239" s="790" t="s">
        <v>2915</v>
      </c>
      <c r="H239" s="791"/>
      <c r="I239" s="792"/>
      <c r="J239" s="793">
        <v>1</v>
      </c>
      <c r="K239" s="793"/>
      <c r="L239" s="793"/>
      <c r="M239" s="793"/>
      <c r="N239" s="793"/>
      <c r="O239" s="793"/>
      <c r="P239" s="794"/>
      <c r="Q239" s="795">
        <f t="shared" si="3"/>
        <v>1</v>
      </c>
      <c r="R239" s="789" t="s">
        <v>1026</v>
      </c>
      <c r="S239" s="773" t="s">
        <v>1008</v>
      </c>
      <c r="T239" s="796" t="s">
        <v>1009</v>
      </c>
      <c r="U239" s="773"/>
      <c r="V239" s="773" t="s">
        <v>278</v>
      </c>
      <c r="W239" s="773" t="s">
        <v>2916</v>
      </c>
      <c r="X239" s="1274">
        <v>0</v>
      </c>
      <c r="Y239" s="819" t="s">
        <v>1010</v>
      </c>
      <c r="Z239" s="790"/>
      <c r="AA239" s="785"/>
      <c r="AB239" s="785"/>
      <c r="AC239" s="785"/>
      <c r="AD239" s="785"/>
      <c r="AE239" s="785"/>
      <c r="AF239" s="799"/>
      <c r="AG239" s="800"/>
      <c r="AH239" s="800"/>
      <c r="AI239" s="800"/>
      <c r="AJ239" s="800"/>
      <c r="AK239" s="800"/>
      <c r="AL239" s="800"/>
      <c r="AM239" s="800"/>
      <c r="AN239" s="800"/>
      <c r="AO239" s="800"/>
      <c r="AP239" s="800"/>
      <c r="AQ239" s="808">
        <v>65</v>
      </c>
      <c r="AR239" s="800">
        <v>65</v>
      </c>
      <c r="AS239" s="800">
        <v>76</v>
      </c>
      <c r="AT239" s="800">
        <v>76</v>
      </c>
      <c r="AU239" s="805">
        <v>100</v>
      </c>
      <c r="AV239" s="808"/>
      <c r="AW239" s="800"/>
      <c r="AX239" s="800"/>
      <c r="AY239" s="800"/>
      <c r="AZ239" s="800"/>
      <c r="BA239" s="800"/>
      <c r="BB239" s="800"/>
      <c r="BC239" s="800"/>
      <c r="BD239" s="800"/>
      <c r="BE239" s="800"/>
      <c r="BF239" s="800"/>
      <c r="BG239" s="800"/>
      <c r="BH239" s="800"/>
      <c r="BI239" s="800"/>
      <c r="BJ239" s="800"/>
      <c r="BK239" s="805"/>
      <c r="BL239" s="1955" t="s">
        <v>168</v>
      </c>
      <c r="BM239" s="1956" t="s">
        <v>168</v>
      </c>
      <c r="BN239" s="1956" t="s">
        <v>168</v>
      </c>
      <c r="BO239" s="1956" t="s">
        <v>168</v>
      </c>
      <c r="BP239" s="796" t="s">
        <v>168</v>
      </c>
      <c r="BQ239" s="808" t="s">
        <v>1942</v>
      </c>
      <c r="BR239" s="800" t="s">
        <v>1942</v>
      </c>
      <c r="BS239" s="800" t="s">
        <v>1942</v>
      </c>
      <c r="BT239" s="800" t="s">
        <v>1942</v>
      </c>
      <c r="BU239" s="805" t="s">
        <v>1942</v>
      </c>
      <c r="BV239" s="808" t="s">
        <v>1942</v>
      </c>
      <c r="BW239" s="800" t="s">
        <v>1942</v>
      </c>
      <c r="BX239" s="800" t="s">
        <v>1942</v>
      </c>
      <c r="BY239" s="800" t="s">
        <v>1942</v>
      </c>
      <c r="BZ239" s="800" t="s">
        <v>1942</v>
      </c>
      <c r="CA239" s="808" t="s">
        <v>1942</v>
      </c>
      <c r="CB239" s="800" t="s">
        <v>1942</v>
      </c>
      <c r="CC239" s="800" t="s">
        <v>1942</v>
      </c>
      <c r="CD239" s="800" t="s">
        <v>1942</v>
      </c>
      <c r="CE239" s="805" t="s">
        <v>1942</v>
      </c>
      <c r="CF239" s="800" t="s">
        <v>1942</v>
      </c>
      <c r="CG239" s="800" t="s">
        <v>1942</v>
      </c>
      <c r="CH239" s="800" t="s">
        <v>1942</v>
      </c>
      <c r="CI239" s="800" t="s">
        <v>1942</v>
      </c>
      <c r="CJ239" s="805" t="s">
        <v>1942</v>
      </c>
      <c r="CK239" s="808" t="s">
        <v>1942</v>
      </c>
      <c r="CL239" s="800" t="s">
        <v>1942</v>
      </c>
      <c r="CM239" s="800" t="s">
        <v>1942</v>
      </c>
      <c r="CN239" s="800" t="s">
        <v>1942</v>
      </c>
      <c r="CO239" s="805" t="s">
        <v>1942</v>
      </c>
      <c r="CP239" s="808" t="s">
        <v>1942</v>
      </c>
      <c r="CQ239" s="800" t="s">
        <v>1942</v>
      </c>
      <c r="CR239" s="800" t="s">
        <v>1942</v>
      </c>
      <c r="CS239" s="800" t="s">
        <v>1942</v>
      </c>
      <c r="CT239" s="805" t="s">
        <v>1942</v>
      </c>
      <c r="CU239" s="1284">
        <v>-6.4000000000000003E-3</v>
      </c>
      <c r="CV239" s="1283" t="s">
        <v>1942</v>
      </c>
      <c r="CW239" s="1283" t="s">
        <v>1942</v>
      </c>
      <c r="CX239" s="1285" t="s">
        <v>1942</v>
      </c>
      <c r="CY239" s="1283" t="s">
        <v>1942</v>
      </c>
      <c r="CZ239" s="1283" t="s">
        <v>1942</v>
      </c>
      <c r="DA239" s="1283" t="s">
        <v>1942</v>
      </c>
      <c r="DB239" s="1285" t="s">
        <v>1942</v>
      </c>
      <c r="DC239" s="785"/>
      <c r="DD239" s="813"/>
      <c r="DE239" s="814"/>
    </row>
    <row r="240" spans="1:109" ht="15.75" hidden="1" customHeight="1">
      <c r="A240" s="772" t="s">
        <v>1075</v>
      </c>
      <c r="B240" s="773">
        <v>234</v>
      </c>
      <c r="C240" s="789" t="s">
        <v>2917</v>
      </c>
      <c r="D240" s="773" t="s">
        <v>2918</v>
      </c>
      <c r="E240" s="773" t="s">
        <v>1907</v>
      </c>
      <c r="F240" s="785" t="s">
        <v>2857</v>
      </c>
      <c r="G240" s="790" t="s">
        <v>1931</v>
      </c>
      <c r="H240" s="791" t="s">
        <v>2919</v>
      </c>
      <c r="I240" s="792"/>
      <c r="J240" s="793"/>
      <c r="K240" s="793"/>
      <c r="L240" s="793"/>
      <c r="M240" s="793">
        <v>1</v>
      </c>
      <c r="N240" s="793"/>
      <c r="O240" s="793"/>
      <c r="P240" s="794"/>
      <c r="Q240" s="795">
        <f t="shared" si="3"/>
        <v>1</v>
      </c>
      <c r="R240" s="789" t="s">
        <v>1030</v>
      </c>
      <c r="S240" s="773" t="s">
        <v>1008</v>
      </c>
      <c r="T240" s="796" t="s">
        <v>1009</v>
      </c>
      <c r="U240" s="773" t="s">
        <v>1069</v>
      </c>
      <c r="V240" s="773" t="s">
        <v>1081</v>
      </c>
      <c r="W240" s="773" t="s">
        <v>2920</v>
      </c>
      <c r="X240" s="1311">
        <v>2</v>
      </c>
      <c r="Y240" s="819" t="s">
        <v>1010</v>
      </c>
      <c r="Z240" s="790" t="s">
        <v>1931</v>
      </c>
      <c r="AA240" s="785"/>
      <c r="AB240" s="785"/>
      <c r="AC240" s="785"/>
      <c r="AD240" s="785"/>
      <c r="AE240" s="785"/>
      <c r="AF240" s="799"/>
      <c r="AG240" s="800"/>
      <c r="AH240" s="800"/>
      <c r="AI240" s="800"/>
      <c r="AJ240" s="800"/>
      <c r="AK240" s="800"/>
      <c r="AL240" s="800"/>
      <c r="AM240" s="800"/>
      <c r="AN240" s="800"/>
      <c r="AO240" s="800"/>
      <c r="AP240" s="800"/>
      <c r="AQ240" s="1420"/>
      <c r="AR240" s="1368"/>
      <c r="AS240" s="1368"/>
      <c r="AT240" s="1368"/>
      <c r="AU240" s="1369"/>
      <c r="AV240" s="808"/>
      <c r="AW240" s="800"/>
      <c r="AX240" s="800"/>
      <c r="AY240" s="800"/>
      <c r="AZ240" s="800"/>
      <c r="BA240" s="800"/>
      <c r="BB240" s="800"/>
      <c r="BC240" s="800"/>
      <c r="BD240" s="800"/>
      <c r="BE240" s="800"/>
      <c r="BF240" s="800"/>
      <c r="BG240" s="800"/>
      <c r="BH240" s="800"/>
      <c r="BI240" s="800"/>
      <c r="BJ240" s="800"/>
      <c r="BK240" s="805"/>
      <c r="BL240" s="1376"/>
      <c r="BM240" s="1377"/>
      <c r="BN240" s="1377"/>
      <c r="BO240" s="1377"/>
      <c r="BP240" s="1440"/>
      <c r="BQ240" s="1420"/>
      <c r="BR240" s="1368"/>
      <c r="BS240" s="1368"/>
      <c r="BT240" s="1368"/>
      <c r="BU240" s="1369"/>
      <c r="BV240" s="1420"/>
      <c r="BW240" s="1368"/>
      <c r="BX240" s="1368"/>
      <c r="BY240" s="1368"/>
      <c r="BZ240" s="1368"/>
      <c r="CA240" s="1420"/>
      <c r="CB240" s="1368"/>
      <c r="CC240" s="1368"/>
      <c r="CD240" s="1368"/>
      <c r="CE240" s="1369"/>
      <c r="CF240" s="1368"/>
      <c r="CG240" s="1368"/>
      <c r="CH240" s="1368"/>
      <c r="CI240" s="1368"/>
      <c r="CJ240" s="1369"/>
      <c r="CK240" s="1420"/>
      <c r="CL240" s="1368"/>
      <c r="CM240" s="1368"/>
      <c r="CN240" s="1368"/>
      <c r="CO240" s="1369"/>
      <c r="CP240" s="1420"/>
      <c r="CQ240" s="1368"/>
      <c r="CR240" s="1368"/>
      <c r="CS240" s="1368"/>
      <c r="CT240" s="1369"/>
      <c r="CU240" s="1528"/>
      <c r="CV240" s="1519"/>
      <c r="CW240" s="1519"/>
      <c r="CX240" s="1728"/>
      <c r="CY240" s="1519"/>
      <c r="CZ240" s="1519"/>
      <c r="DA240" s="1519"/>
      <c r="DB240" s="1728"/>
      <c r="DC240" s="1377"/>
      <c r="DD240" s="1729"/>
      <c r="DE240" s="1734"/>
    </row>
    <row r="241" spans="1:109" ht="15.75" hidden="1" customHeight="1">
      <c r="A241" s="772" t="s">
        <v>1075</v>
      </c>
      <c r="B241" s="773">
        <v>235</v>
      </c>
      <c r="C241" s="789" t="s">
        <v>2921</v>
      </c>
      <c r="D241" s="773" t="s">
        <v>2922</v>
      </c>
      <c r="E241" s="773" t="s">
        <v>1907</v>
      </c>
      <c r="F241" s="785" t="s">
        <v>2923</v>
      </c>
      <c r="G241" s="790" t="s">
        <v>1935</v>
      </c>
      <c r="H241" s="791" t="s">
        <v>2924</v>
      </c>
      <c r="I241" s="792"/>
      <c r="J241" s="793">
        <v>1</v>
      </c>
      <c r="K241" s="793"/>
      <c r="L241" s="793"/>
      <c r="M241" s="793"/>
      <c r="N241" s="793"/>
      <c r="O241" s="793"/>
      <c r="P241" s="794"/>
      <c r="Q241" s="795">
        <f t="shared" si="3"/>
        <v>1</v>
      </c>
      <c r="R241" s="789" t="s">
        <v>1030</v>
      </c>
      <c r="S241" s="773" t="s">
        <v>1008</v>
      </c>
      <c r="T241" s="796" t="s">
        <v>1009</v>
      </c>
      <c r="U241" s="773" t="s">
        <v>1073</v>
      </c>
      <c r="V241" s="773" t="s">
        <v>1081</v>
      </c>
      <c r="W241" s="773" t="s">
        <v>2920</v>
      </c>
      <c r="X241" s="1311">
        <v>2</v>
      </c>
      <c r="Y241" s="819" t="s">
        <v>1010</v>
      </c>
      <c r="Z241" s="790" t="s">
        <v>1935</v>
      </c>
      <c r="AA241" s="785"/>
      <c r="AB241" s="785"/>
      <c r="AC241" s="785"/>
      <c r="AD241" s="785"/>
      <c r="AE241" s="785"/>
      <c r="AF241" s="799"/>
      <c r="AG241" s="800"/>
      <c r="AH241" s="800"/>
      <c r="AI241" s="800"/>
      <c r="AJ241" s="800"/>
      <c r="AK241" s="800"/>
      <c r="AL241" s="800"/>
      <c r="AM241" s="800"/>
      <c r="AN241" s="800"/>
      <c r="AO241" s="800"/>
      <c r="AP241" s="800"/>
      <c r="AQ241" s="1420"/>
      <c r="AR241" s="1368"/>
      <c r="AS241" s="1368"/>
      <c r="AT241" s="1368"/>
      <c r="AU241" s="1369"/>
      <c r="AV241" s="808"/>
      <c r="AW241" s="800"/>
      <c r="AX241" s="800"/>
      <c r="AY241" s="800"/>
      <c r="AZ241" s="800"/>
      <c r="BA241" s="800"/>
      <c r="BB241" s="800"/>
      <c r="BC241" s="800"/>
      <c r="BD241" s="800"/>
      <c r="BE241" s="800"/>
      <c r="BF241" s="800"/>
      <c r="BG241" s="800"/>
      <c r="BH241" s="800"/>
      <c r="BI241" s="800"/>
      <c r="BJ241" s="800"/>
      <c r="BK241" s="805"/>
      <c r="BL241" s="1376"/>
      <c r="BM241" s="1377"/>
      <c r="BN241" s="1377"/>
      <c r="BO241" s="1377"/>
      <c r="BP241" s="1440"/>
      <c r="BQ241" s="1420"/>
      <c r="BR241" s="1368"/>
      <c r="BS241" s="1368"/>
      <c r="BT241" s="1368"/>
      <c r="BU241" s="1369"/>
      <c r="BV241" s="1420"/>
      <c r="BW241" s="1368"/>
      <c r="BX241" s="1368"/>
      <c r="BY241" s="1368"/>
      <c r="BZ241" s="1368"/>
      <c r="CA241" s="1420"/>
      <c r="CB241" s="1368"/>
      <c r="CC241" s="1368"/>
      <c r="CD241" s="1368"/>
      <c r="CE241" s="1369"/>
      <c r="CF241" s="1368"/>
      <c r="CG241" s="1368"/>
      <c r="CH241" s="1368"/>
      <c r="CI241" s="1368"/>
      <c r="CJ241" s="1369"/>
      <c r="CK241" s="1420"/>
      <c r="CL241" s="1368"/>
      <c r="CM241" s="1368"/>
      <c r="CN241" s="1368"/>
      <c r="CO241" s="1369"/>
      <c r="CP241" s="1420"/>
      <c r="CQ241" s="1368"/>
      <c r="CR241" s="1368"/>
      <c r="CS241" s="1368"/>
      <c r="CT241" s="1369"/>
      <c r="CU241" s="1528"/>
      <c r="CV241" s="1519"/>
      <c r="CW241" s="1519"/>
      <c r="CX241" s="1728"/>
      <c r="CY241" s="1519"/>
      <c r="CZ241" s="1519"/>
      <c r="DA241" s="1519"/>
      <c r="DB241" s="1728"/>
      <c r="DC241" s="1377"/>
      <c r="DD241" s="1729"/>
      <c r="DE241" s="1734"/>
    </row>
    <row r="242" spans="1:109" ht="15.75" hidden="1" customHeight="1">
      <c r="A242" s="772" t="s">
        <v>1075</v>
      </c>
      <c r="B242" s="773">
        <v>236</v>
      </c>
      <c r="C242" s="789" t="s">
        <v>2925</v>
      </c>
      <c r="D242" s="773" t="s">
        <v>2926</v>
      </c>
      <c r="E242" s="773" t="s">
        <v>1907</v>
      </c>
      <c r="F242" s="785" t="s">
        <v>2822</v>
      </c>
      <c r="G242" s="790" t="s">
        <v>130</v>
      </c>
      <c r="H242" s="791" t="s">
        <v>2927</v>
      </c>
      <c r="I242" s="792">
        <v>0.1</v>
      </c>
      <c r="J242" s="793">
        <v>0.9</v>
      </c>
      <c r="K242" s="793"/>
      <c r="L242" s="793"/>
      <c r="M242" s="793"/>
      <c r="N242" s="793"/>
      <c r="O242" s="793"/>
      <c r="P242" s="794"/>
      <c r="Q242" s="795">
        <f t="shared" si="3"/>
        <v>1</v>
      </c>
      <c r="R242" s="789" t="s">
        <v>1026</v>
      </c>
      <c r="S242" s="773" t="s">
        <v>1008</v>
      </c>
      <c r="T242" s="796" t="s">
        <v>1009</v>
      </c>
      <c r="U242" s="773" t="s">
        <v>1926</v>
      </c>
      <c r="V242" s="773" t="s">
        <v>1081</v>
      </c>
      <c r="W242" s="773" t="s">
        <v>2928</v>
      </c>
      <c r="X242" s="1310">
        <v>2</v>
      </c>
      <c r="Y242" s="821" t="s">
        <v>1020</v>
      </c>
      <c r="Z242" s="790" t="s">
        <v>130</v>
      </c>
      <c r="AA242" s="785"/>
      <c r="AB242" s="785"/>
      <c r="AC242" s="785"/>
      <c r="AD242" s="785"/>
      <c r="AE242" s="785"/>
      <c r="AF242" s="799"/>
      <c r="AG242" s="800"/>
      <c r="AH242" s="800"/>
      <c r="AI242" s="800"/>
      <c r="AJ242" s="800"/>
      <c r="AK242" s="800"/>
      <c r="AL242" s="800"/>
      <c r="AM242" s="800"/>
      <c r="AN242" s="800"/>
      <c r="AO242" s="800"/>
      <c r="AP242" s="800"/>
      <c r="AQ242" s="1421"/>
      <c r="AR242" s="1373"/>
      <c r="AS242" s="1373"/>
      <c r="AT242" s="1373"/>
      <c r="AU242" s="1374"/>
      <c r="AV242" s="808"/>
      <c r="AW242" s="800"/>
      <c r="AX242" s="800"/>
      <c r="AY242" s="800"/>
      <c r="AZ242" s="800"/>
      <c r="BA242" s="800"/>
      <c r="BB242" s="800"/>
      <c r="BC242" s="800"/>
      <c r="BD242" s="800"/>
      <c r="BE242" s="800"/>
      <c r="BF242" s="800"/>
      <c r="BG242" s="800"/>
      <c r="BH242" s="800"/>
      <c r="BI242" s="800"/>
      <c r="BJ242" s="800"/>
      <c r="BK242" s="805"/>
      <c r="BL242" s="1376"/>
      <c r="BM242" s="1377"/>
      <c r="BN242" s="1377"/>
      <c r="BO242" s="1377"/>
      <c r="BP242" s="1440"/>
      <c r="BQ242" s="1420"/>
      <c r="BR242" s="1368"/>
      <c r="BS242" s="1368"/>
      <c r="BT242" s="1368"/>
      <c r="BU242" s="1369"/>
      <c r="BV242" s="1420"/>
      <c r="BW242" s="1368"/>
      <c r="BX242" s="1368"/>
      <c r="BY242" s="1368"/>
      <c r="BZ242" s="1368"/>
      <c r="CA242" s="1420"/>
      <c r="CB242" s="1368"/>
      <c r="CC242" s="1368"/>
      <c r="CD242" s="1368"/>
      <c r="CE242" s="1369"/>
      <c r="CF242" s="1368"/>
      <c r="CG242" s="1368"/>
      <c r="CH242" s="1368"/>
      <c r="CI242" s="1368"/>
      <c r="CJ242" s="1369"/>
      <c r="CK242" s="1420"/>
      <c r="CL242" s="1368"/>
      <c r="CM242" s="1368"/>
      <c r="CN242" s="1368"/>
      <c r="CO242" s="1369"/>
      <c r="CP242" s="1420"/>
      <c r="CQ242" s="1368"/>
      <c r="CR242" s="1368"/>
      <c r="CS242" s="1368"/>
      <c r="CT242" s="1369"/>
      <c r="CU242" s="1528"/>
      <c r="CV242" s="1519"/>
      <c r="CW242" s="1519"/>
      <c r="CX242" s="1728"/>
      <c r="CY242" s="1519"/>
      <c r="CZ242" s="1519"/>
      <c r="DA242" s="1519"/>
      <c r="DB242" s="1728"/>
      <c r="DC242" s="1377"/>
      <c r="DD242" s="1729"/>
      <c r="DE242" s="1734"/>
    </row>
    <row r="243" spans="1:109" ht="15.75" hidden="1" customHeight="1">
      <c r="A243" s="772" t="s">
        <v>1075</v>
      </c>
      <c r="B243" s="773">
        <v>237</v>
      </c>
      <c r="C243" s="789" t="s">
        <v>2929</v>
      </c>
      <c r="D243" s="773" t="s">
        <v>2930</v>
      </c>
      <c r="E243" s="773" t="s">
        <v>1896</v>
      </c>
      <c r="F243" s="785" t="s">
        <v>2836</v>
      </c>
      <c r="G243" s="790" t="s">
        <v>137</v>
      </c>
      <c r="H243" s="791" t="s">
        <v>2931</v>
      </c>
      <c r="I243" s="792">
        <v>0.05</v>
      </c>
      <c r="J243" s="793">
        <v>0.95</v>
      </c>
      <c r="K243" s="793"/>
      <c r="L243" s="793"/>
      <c r="M243" s="793"/>
      <c r="N243" s="793"/>
      <c r="O243" s="793"/>
      <c r="P243" s="794"/>
      <c r="Q243" s="795">
        <f t="shared" si="3"/>
        <v>1</v>
      </c>
      <c r="R243" s="789" t="s">
        <v>1030</v>
      </c>
      <c r="S243" s="773" t="s">
        <v>1008</v>
      </c>
      <c r="T243" s="796" t="s">
        <v>1009</v>
      </c>
      <c r="U243" s="773" t="s">
        <v>1892</v>
      </c>
      <c r="V243" s="773" t="s">
        <v>1029</v>
      </c>
      <c r="W243" s="773" t="s">
        <v>2932</v>
      </c>
      <c r="X243" s="1311">
        <v>0</v>
      </c>
      <c r="Y243" s="821" t="s">
        <v>1020</v>
      </c>
      <c r="Z243" s="790" t="s">
        <v>137</v>
      </c>
      <c r="AA243" s="785"/>
      <c r="AB243" s="785"/>
      <c r="AC243" s="785"/>
      <c r="AD243" s="785"/>
      <c r="AE243" s="785"/>
      <c r="AF243" s="799"/>
      <c r="AG243" s="800"/>
      <c r="AH243" s="800"/>
      <c r="AI243" s="845"/>
      <c r="AJ243" s="845"/>
      <c r="AK243" s="845"/>
      <c r="AL243" s="845"/>
      <c r="AM243" s="845"/>
      <c r="AN243" s="845"/>
      <c r="AO243" s="845"/>
      <c r="AP243" s="845"/>
      <c r="AQ243" s="1370"/>
      <c r="AR243" s="1371"/>
      <c r="AS243" s="1371"/>
      <c r="AT243" s="1371"/>
      <c r="AU243" s="1372"/>
      <c r="AV243" s="846"/>
      <c r="AW243" s="845"/>
      <c r="AX243" s="845"/>
      <c r="AY243" s="845"/>
      <c r="AZ243" s="845"/>
      <c r="BA243" s="845"/>
      <c r="BB243" s="845"/>
      <c r="BC243" s="845"/>
      <c r="BD243" s="845"/>
      <c r="BE243" s="845"/>
      <c r="BF243" s="845"/>
      <c r="BG243" s="845"/>
      <c r="BH243" s="845"/>
      <c r="BI243" s="845"/>
      <c r="BJ243" s="845"/>
      <c r="BK243" s="847"/>
      <c r="BL243" s="1376"/>
      <c r="BM243" s="1377"/>
      <c r="BN243" s="1377"/>
      <c r="BO243" s="1377"/>
      <c r="BP243" s="1440"/>
      <c r="BQ243" s="1420"/>
      <c r="BR243" s="1368"/>
      <c r="BS243" s="1368"/>
      <c r="BT243" s="1368"/>
      <c r="BU243" s="1369"/>
      <c r="BV243" s="1370"/>
      <c r="BW243" s="1371"/>
      <c r="BX243" s="1371"/>
      <c r="BY243" s="1371"/>
      <c r="BZ243" s="1371"/>
      <c r="CA243" s="1370"/>
      <c r="CB243" s="1371"/>
      <c r="CC243" s="1371"/>
      <c r="CD243" s="1371"/>
      <c r="CE243" s="1372"/>
      <c r="CF243" s="1371"/>
      <c r="CG243" s="1371"/>
      <c r="CH243" s="1371"/>
      <c r="CI243" s="1371"/>
      <c r="CJ243" s="1372"/>
      <c r="CK243" s="1370"/>
      <c r="CL243" s="1371"/>
      <c r="CM243" s="1371"/>
      <c r="CN243" s="1371"/>
      <c r="CO243" s="1372"/>
      <c r="CP243" s="1370"/>
      <c r="CQ243" s="1371"/>
      <c r="CR243" s="1371"/>
      <c r="CS243" s="1371"/>
      <c r="CT243" s="1372"/>
      <c r="CU243" s="1528"/>
      <c r="CV243" s="1519"/>
      <c r="CW243" s="1519"/>
      <c r="CX243" s="1728"/>
      <c r="CY243" s="1519"/>
      <c r="CZ243" s="1519"/>
      <c r="DA243" s="1519"/>
      <c r="DB243" s="1728"/>
      <c r="DC243" s="1377"/>
      <c r="DD243" s="1729"/>
      <c r="DE243" s="1734"/>
    </row>
    <row r="244" spans="1:109" ht="15.75" hidden="1" customHeight="1">
      <c r="A244" s="772" t="s">
        <v>1075</v>
      </c>
      <c r="B244" s="773">
        <v>238</v>
      </c>
      <c r="C244" s="789" t="s">
        <v>2933</v>
      </c>
      <c r="D244" s="773" t="s">
        <v>2934</v>
      </c>
      <c r="E244" s="773" t="s">
        <v>1889</v>
      </c>
      <c r="F244" s="785" t="s">
        <v>2867</v>
      </c>
      <c r="G244" s="790" t="s">
        <v>669</v>
      </c>
      <c r="H244" s="791" t="s">
        <v>2935</v>
      </c>
      <c r="I244" s="792"/>
      <c r="J244" s="793">
        <v>1</v>
      </c>
      <c r="K244" s="793"/>
      <c r="L244" s="793"/>
      <c r="M244" s="793"/>
      <c r="N244" s="793"/>
      <c r="O244" s="793"/>
      <c r="P244" s="794"/>
      <c r="Q244" s="795">
        <f t="shared" si="3"/>
        <v>1</v>
      </c>
      <c r="R244" s="789" t="s">
        <v>1030</v>
      </c>
      <c r="S244" s="773" t="s">
        <v>1008</v>
      </c>
      <c r="T244" s="796" t="s">
        <v>1009</v>
      </c>
      <c r="U244" s="773" t="s">
        <v>669</v>
      </c>
      <c r="V244" s="773" t="s">
        <v>278</v>
      </c>
      <c r="W244" s="773" t="s">
        <v>2936</v>
      </c>
      <c r="X244" s="1310">
        <v>1</v>
      </c>
      <c r="Y244" s="821" t="s">
        <v>1010</v>
      </c>
      <c r="Z244" s="790" t="s">
        <v>669</v>
      </c>
      <c r="AA244" s="785"/>
      <c r="AB244" s="785"/>
      <c r="AC244" s="785"/>
      <c r="AD244" s="785"/>
      <c r="AE244" s="785"/>
      <c r="AF244" s="799"/>
      <c r="AG244" s="800"/>
      <c r="AH244" s="800"/>
      <c r="AI244" s="800"/>
      <c r="AJ244" s="800"/>
      <c r="AK244" s="800"/>
      <c r="AL244" s="797"/>
      <c r="AM244" s="842"/>
      <c r="AN244" s="842"/>
      <c r="AO244" s="842"/>
      <c r="AP244" s="842"/>
      <c r="AQ244" s="1521"/>
      <c r="AR244" s="1730"/>
      <c r="AS244" s="1730"/>
      <c r="AT244" s="1730"/>
      <c r="AU244" s="1527"/>
      <c r="AV244" s="843"/>
      <c r="AW244" s="842"/>
      <c r="AX244" s="842"/>
      <c r="AY244" s="842"/>
      <c r="AZ244" s="842"/>
      <c r="BA244" s="842"/>
      <c r="BB244" s="842"/>
      <c r="BC244" s="842"/>
      <c r="BD244" s="842"/>
      <c r="BE244" s="842"/>
      <c r="BF244" s="842"/>
      <c r="BG244" s="842"/>
      <c r="BH244" s="842"/>
      <c r="BI244" s="842"/>
      <c r="BJ244" s="842"/>
      <c r="BK244" s="844"/>
      <c r="BL244" s="1376"/>
      <c r="BM244" s="1377"/>
      <c r="BN244" s="1377"/>
      <c r="BO244" s="1377"/>
      <c r="BP244" s="1440"/>
      <c r="BQ244" s="1420"/>
      <c r="BR244" s="1368"/>
      <c r="BS244" s="1368"/>
      <c r="BT244" s="1368"/>
      <c r="BU244" s="1369"/>
      <c r="BV244" s="1421"/>
      <c r="BW244" s="1373"/>
      <c r="BX244" s="1373"/>
      <c r="BY244" s="1373"/>
      <c r="BZ244" s="1373"/>
      <c r="CA244" s="1420"/>
      <c r="CB244" s="1368"/>
      <c r="CC244" s="1368"/>
      <c r="CD244" s="1368"/>
      <c r="CE244" s="1369"/>
      <c r="CF244" s="1368"/>
      <c r="CG244" s="1368"/>
      <c r="CH244" s="1368"/>
      <c r="CI244" s="1368"/>
      <c r="CJ244" s="1369"/>
      <c r="CK244" s="1420"/>
      <c r="CL244" s="1368"/>
      <c r="CM244" s="1368"/>
      <c r="CN244" s="1368"/>
      <c r="CO244" s="1369"/>
      <c r="CP244" s="1420"/>
      <c r="CQ244" s="1368"/>
      <c r="CR244" s="1368"/>
      <c r="CS244" s="1368"/>
      <c r="CT244" s="1369"/>
      <c r="CU244" s="1528"/>
      <c r="CV244" s="1519"/>
      <c r="CW244" s="1519"/>
      <c r="CX244" s="1728"/>
      <c r="CY244" s="1519"/>
      <c r="CZ244" s="1519"/>
      <c r="DA244" s="1519"/>
      <c r="DB244" s="1728"/>
      <c r="DC244" s="1377"/>
      <c r="DD244" s="1729"/>
      <c r="DE244" s="1734"/>
    </row>
    <row r="245" spans="1:109" ht="15.75" hidden="1" customHeight="1">
      <c r="A245" s="772" t="s">
        <v>1075</v>
      </c>
      <c r="B245" s="773">
        <v>239</v>
      </c>
      <c r="C245" s="789" t="s">
        <v>2937</v>
      </c>
      <c r="D245" s="773" t="s">
        <v>2938</v>
      </c>
      <c r="E245" s="773" t="s">
        <v>1907</v>
      </c>
      <c r="F245" s="785" t="s">
        <v>2878</v>
      </c>
      <c r="G245" s="790" t="s">
        <v>1902</v>
      </c>
      <c r="H245" s="791" t="s">
        <v>2939</v>
      </c>
      <c r="I245" s="792"/>
      <c r="J245" s="793">
        <v>0.25</v>
      </c>
      <c r="K245" s="793"/>
      <c r="L245" s="793"/>
      <c r="M245" s="793">
        <v>0.75</v>
      </c>
      <c r="N245" s="793"/>
      <c r="O245" s="793"/>
      <c r="P245" s="794"/>
      <c r="Q245" s="795">
        <f t="shared" si="3"/>
        <v>1</v>
      </c>
      <c r="R245" s="789" t="s">
        <v>1030</v>
      </c>
      <c r="S245" s="773" t="s">
        <v>1008</v>
      </c>
      <c r="T245" s="1440" t="s">
        <v>1019</v>
      </c>
      <c r="U245" s="773" t="s">
        <v>2054</v>
      </c>
      <c r="V245" s="773" t="s">
        <v>1033</v>
      </c>
      <c r="W245" s="773" t="s">
        <v>2940</v>
      </c>
      <c r="X245" s="1310">
        <v>1</v>
      </c>
      <c r="Y245" s="821" t="s">
        <v>1020</v>
      </c>
      <c r="Z245" s="790" t="s">
        <v>1902</v>
      </c>
      <c r="AA245" s="785"/>
      <c r="AB245" s="785"/>
      <c r="AC245" s="785"/>
      <c r="AD245" s="785"/>
      <c r="AE245" s="785"/>
      <c r="AF245" s="799"/>
      <c r="AG245" s="800"/>
      <c r="AH245" s="800"/>
      <c r="AI245" s="800"/>
      <c r="AJ245" s="800"/>
      <c r="AK245" s="800"/>
      <c r="AL245" s="797"/>
      <c r="AM245" s="797"/>
      <c r="AN245" s="797"/>
      <c r="AO245" s="797"/>
      <c r="AP245" s="797"/>
      <c r="AQ245" s="1420"/>
      <c r="AR245" s="1368"/>
      <c r="AS245" s="1368"/>
      <c r="AT245" s="1368"/>
      <c r="AU245" s="1369"/>
      <c r="AV245" s="827"/>
      <c r="AW245" s="797"/>
      <c r="AX245" s="797"/>
      <c r="AY245" s="797"/>
      <c r="AZ245" s="797"/>
      <c r="BA245" s="797"/>
      <c r="BB245" s="797"/>
      <c r="BC245" s="797"/>
      <c r="BD245" s="797"/>
      <c r="BE245" s="797"/>
      <c r="BF245" s="797"/>
      <c r="BG245" s="797"/>
      <c r="BH245" s="797"/>
      <c r="BI245" s="797"/>
      <c r="BJ245" s="797"/>
      <c r="BK245" s="805"/>
      <c r="BL245" s="1376"/>
      <c r="BM245" s="1377"/>
      <c r="BN245" s="1377"/>
      <c r="BO245" s="1377"/>
      <c r="BP245" s="1440"/>
      <c r="BQ245" s="1420"/>
      <c r="BR245" s="1368"/>
      <c r="BS245" s="1368"/>
      <c r="BT245" s="1368"/>
      <c r="BU245" s="1369"/>
      <c r="BV245" s="1420"/>
      <c r="BW245" s="1368"/>
      <c r="BX245" s="1368"/>
      <c r="BY245" s="1368"/>
      <c r="BZ245" s="1368"/>
      <c r="CA245" s="1420"/>
      <c r="CB245" s="1368"/>
      <c r="CC245" s="1368"/>
      <c r="CD245" s="1368"/>
      <c r="CE245" s="1369"/>
      <c r="CF245" s="1368"/>
      <c r="CG245" s="1368"/>
      <c r="CH245" s="1368"/>
      <c r="CI245" s="1368"/>
      <c r="CJ245" s="1369"/>
      <c r="CK245" s="1420"/>
      <c r="CL245" s="1368"/>
      <c r="CM245" s="1368"/>
      <c r="CN245" s="1368"/>
      <c r="CO245" s="1369"/>
      <c r="CP245" s="1420"/>
      <c r="CQ245" s="1368"/>
      <c r="CR245" s="1368"/>
      <c r="CS245" s="1368"/>
      <c r="CT245" s="1369"/>
      <c r="CU245" s="1528"/>
      <c r="CV245" s="1519"/>
      <c r="CW245" s="1519"/>
      <c r="CX245" s="1728"/>
      <c r="CY245" s="1519"/>
      <c r="CZ245" s="1519"/>
      <c r="DA245" s="1519"/>
      <c r="DB245" s="1728"/>
      <c r="DC245" s="1377"/>
      <c r="DD245" s="1729"/>
      <c r="DE245" s="1734"/>
    </row>
    <row r="246" spans="1:109" ht="15.75" hidden="1" customHeight="1">
      <c r="A246" s="772" t="s">
        <v>1075</v>
      </c>
      <c r="B246" s="773">
        <v>240</v>
      </c>
      <c r="C246" s="789" t="s">
        <v>2941</v>
      </c>
      <c r="D246" s="773" t="s">
        <v>2942</v>
      </c>
      <c r="E246" s="773" t="s">
        <v>1907</v>
      </c>
      <c r="F246" s="785" t="s">
        <v>2943</v>
      </c>
      <c r="G246" s="790" t="s">
        <v>535</v>
      </c>
      <c r="H246" s="791" t="s">
        <v>2514</v>
      </c>
      <c r="I246" s="792">
        <v>0.75</v>
      </c>
      <c r="J246" s="793">
        <v>0.25</v>
      </c>
      <c r="K246" s="793"/>
      <c r="L246" s="793"/>
      <c r="M246" s="793"/>
      <c r="N246" s="793"/>
      <c r="O246" s="793"/>
      <c r="P246" s="794"/>
      <c r="Q246" s="795">
        <f t="shared" si="3"/>
        <v>1</v>
      </c>
      <c r="R246" s="789" t="s">
        <v>1007</v>
      </c>
      <c r="S246" s="773"/>
      <c r="T246" s="796"/>
      <c r="U246" s="773" t="s">
        <v>2944</v>
      </c>
      <c r="V246" s="773" t="s">
        <v>278</v>
      </c>
      <c r="W246" s="773" t="s">
        <v>2945</v>
      </c>
      <c r="X246" s="1310">
        <v>1</v>
      </c>
      <c r="Y246" s="821" t="s">
        <v>1020</v>
      </c>
      <c r="Z246" s="790" t="s">
        <v>535</v>
      </c>
      <c r="AA246" s="785"/>
      <c r="AB246" s="785"/>
      <c r="AC246" s="785"/>
      <c r="AD246" s="785"/>
      <c r="AE246" s="785"/>
      <c r="AF246" s="799"/>
      <c r="AG246" s="800"/>
      <c r="AH246" s="800"/>
      <c r="AI246" s="800"/>
      <c r="AJ246" s="800"/>
      <c r="AK246" s="800"/>
      <c r="AL246" s="816"/>
      <c r="AM246" s="816"/>
      <c r="AN246" s="816"/>
      <c r="AO246" s="816"/>
      <c r="AP246" s="816"/>
      <c r="AQ246" s="1521"/>
      <c r="AR246" s="1730"/>
      <c r="AS246" s="1730"/>
      <c r="AT246" s="1730"/>
      <c r="AU246" s="1527"/>
      <c r="AV246" s="817"/>
      <c r="AW246" s="816"/>
      <c r="AX246" s="816"/>
      <c r="AY246" s="816"/>
      <c r="AZ246" s="816"/>
      <c r="BA246" s="816"/>
      <c r="BB246" s="816"/>
      <c r="BC246" s="816"/>
      <c r="BD246" s="816"/>
      <c r="BE246" s="816"/>
      <c r="BF246" s="816"/>
      <c r="BG246" s="816"/>
      <c r="BH246" s="816"/>
      <c r="BI246" s="816"/>
      <c r="BJ246" s="816"/>
      <c r="BK246" s="818"/>
      <c r="BL246" s="1376"/>
      <c r="BM246" s="1377"/>
      <c r="BN246" s="1377"/>
      <c r="BO246" s="1377"/>
      <c r="BP246" s="1440"/>
      <c r="BQ246" s="1420"/>
      <c r="BR246" s="1368"/>
      <c r="BS246" s="1368"/>
      <c r="BT246" s="1368"/>
      <c r="BU246" s="1369"/>
      <c r="BV246" s="1420"/>
      <c r="BW246" s="1368"/>
      <c r="BX246" s="1368"/>
      <c r="BY246" s="1368"/>
      <c r="BZ246" s="1368"/>
      <c r="CA246" s="1420"/>
      <c r="CB246" s="1368"/>
      <c r="CC246" s="1368"/>
      <c r="CD246" s="1368"/>
      <c r="CE246" s="1369"/>
      <c r="CF246" s="1368"/>
      <c r="CG246" s="1368"/>
      <c r="CH246" s="1368"/>
      <c r="CI246" s="1368"/>
      <c r="CJ246" s="1368"/>
      <c r="CK246" s="1420"/>
      <c r="CL246" s="1368"/>
      <c r="CM246" s="1368"/>
      <c r="CN246" s="1368"/>
      <c r="CO246" s="1369"/>
      <c r="CP246" s="1420"/>
      <c r="CQ246" s="1368"/>
      <c r="CR246" s="1368"/>
      <c r="CS246" s="1368"/>
      <c r="CT246" s="1369"/>
      <c r="CU246" s="1528"/>
      <c r="CV246" s="1519"/>
      <c r="CW246" s="1519"/>
      <c r="CX246" s="1728"/>
      <c r="CY246" s="1519"/>
      <c r="CZ246" s="1519"/>
      <c r="DA246" s="1519"/>
      <c r="DB246" s="1728"/>
      <c r="DC246" s="1377"/>
      <c r="DD246" s="1729"/>
      <c r="DE246" s="1734"/>
    </row>
    <row r="247" spans="1:109" ht="15.75" hidden="1" customHeight="1">
      <c r="A247" s="772" t="s">
        <v>1075</v>
      </c>
      <c r="B247" s="773">
        <v>241</v>
      </c>
      <c r="C247" s="789" t="s">
        <v>2946</v>
      </c>
      <c r="D247" s="773" t="s">
        <v>2930</v>
      </c>
      <c r="E247" s="773" t="s">
        <v>1889</v>
      </c>
      <c r="F247" s="785" t="s">
        <v>2841</v>
      </c>
      <c r="G247" s="790" t="s">
        <v>161</v>
      </c>
      <c r="H247" s="791" t="s">
        <v>2947</v>
      </c>
      <c r="I247" s="792"/>
      <c r="J247" s="793">
        <v>1</v>
      </c>
      <c r="K247" s="793"/>
      <c r="L247" s="793"/>
      <c r="M247" s="793"/>
      <c r="N247" s="793"/>
      <c r="O247" s="793"/>
      <c r="P247" s="794"/>
      <c r="Q247" s="795">
        <f t="shared" si="3"/>
        <v>1</v>
      </c>
      <c r="R247" s="789" t="s">
        <v>1026</v>
      </c>
      <c r="S247" s="773" t="s">
        <v>1008</v>
      </c>
      <c r="T247" s="796" t="s">
        <v>1009</v>
      </c>
      <c r="U247" s="773" t="s">
        <v>2074</v>
      </c>
      <c r="V247" s="773" t="s">
        <v>1033</v>
      </c>
      <c r="W247" s="773" t="s">
        <v>2948</v>
      </c>
      <c r="X247" s="1310">
        <v>1</v>
      </c>
      <c r="Y247" s="821" t="s">
        <v>1020</v>
      </c>
      <c r="Z247" s="790" t="s">
        <v>161</v>
      </c>
      <c r="AA247" s="785"/>
      <c r="AB247" s="785"/>
      <c r="AC247" s="785"/>
      <c r="AD247" s="785"/>
      <c r="AE247" s="785"/>
      <c r="AF247" s="799"/>
      <c r="AG247" s="800"/>
      <c r="AH247" s="800"/>
      <c r="AI247" s="800"/>
      <c r="AJ247" s="800"/>
      <c r="AK247" s="800"/>
      <c r="AL247" s="800"/>
      <c r="AM247" s="800"/>
      <c r="AN247" s="800"/>
      <c r="AO247" s="800"/>
      <c r="AP247" s="800"/>
      <c r="AQ247" s="1521"/>
      <c r="AR247" s="1730"/>
      <c r="AS247" s="1730"/>
      <c r="AT247" s="1730"/>
      <c r="AU247" s="1527"/>
      <c r="AV247" s="808"/>
      <c r="AW247" s="800"/>
      <c r="AX247" s="800"/>
      <c r="AY247" s="800"/>
      <c r="AZ247" s="800"/>
      <c r="BA247" s="800"/>
      <c r="BB247" s="800"/>
      <c r="BC247" s="800"/>
      <c r="BD247" s="800"/>
      <c r="BE247" s="800"/>
      <c r="BF247" s="800"/>
      <c r="BG247" s="800"/>
      <c r="BH247" s="800"/>
      <c r="BI247" s="800"/>
      <c r="BJ247" s="800"/>
      <c r="BK247" s="805"/>
      <c r="BL247" s="1376"/>
      <c r="BM247" s="1377"/>
      <c r="BN247" s="1377"/>
      <c r="BO247" s="1377"/>
      <c r="BP247" s="1440"/>
      <c r="BQ247" s="1420"/>
      <c r="BR247" s="1368"/>
      <c r="BS247" s="1368"/>
      <c r="BT247" s="1368"/>
      <c r="BU247" s="1369"/>
      <c r="BV247" s="1420"/>
      <c r="BW247" s="1368"/>
      <c r="BX247" s="1368"/>
      <c r="BY247" s="1368"/>
      <c r="BZ247" s="1368"/>
      <c r="CA247" s="1420"/>
      <c r="CB247" s="1368"/>
      <c r="CC247" s="1368"/>
      <c r="CD247" s="1368"/>
      <c r="CE247" s="1369"/>
      <c r="CF247" s="1368"/>
      <c r="CG247" s="1368"/>
      <c r="CH247" s="1368"/>
      <c r="CI247" s="1368"/>
      <c r="CJ247" s="1369"/>
      <c r="CK247" s="1420"/>
      <c r="CL247" s="1368"/>
      <c r="CM247" s="1368"/>
      <c r="CN247" s="1368"/>
      <c r="CO247" s="1369"/>
      <c r="CP247" s="1420"/>
      <c r="CQ247" s="1368"/>
      <c r="CR247" s="1368"/>
      <c r="CS247" s="1368"/>
      <c r="CT247" s="1369"/>
      <c r="CU247" s="1528"/>
      <c r="CV247" s="1519"/>
      <c r="CW247" s="1519"/>
      <c r="CX247" s="1728"/>
      <c r="CY247" s="1519"/>
      <c r="CZ247" s="1519"/>
      <c r="DA247" s="1519"/>
      <c r="DB247" s="1728"/>
      <c r="DC247" s="1377"/>
      <c r="DD247" s="1729"/>
      <c r="DE247" s="1734"/>
    </row>
    <row r="248" spans="1:109" ht="15.75" hidden="1" customHeight="1">
      <c r="A248" s="772" t="s">
        <v>1075</v>
      </c>
      <c r="B248" s="773">
        <v>242</v>
      </c>
      <c r="C248" s="789" t="s">
        <v>2949</v>
      </c>
      <c r="D248" s="773" t="s">
        <v>2930</v>
      </c>
      <c r="E248" s="773" t="s">
        <v>1907</v>
      </c>
      <c r="F248" s="785" t="s">
        <v>2845</v>
      </c>
      <c r="G248" s="790" t="s">
        <v>167</v>
      </c>
      <c r="H248" s="791" t="s">
        <v>2950</v>
      </c>
      <c r="I248" s="792">
        <v>0.05</v>
      </c>
      <c r="J248" s="793">
        <v>0.95</v>
      </c>
      <c r="K248" s="793"/>
      <c r="L248" s="793"/>
      <c r="M248" s="793"/>
      <c r="N248" s="793"/>
      <c r="O248" s="793"/>
      <c r="P248" s="794"/>
      <c r="Q248" s="795">
        <f t="shared" si="3"/>
        <v>1</v>
      </c>
      <c r="R248" s="789" t="s">
        <v>1026</v>
      </c>
      <c r="S248" s="773" t="s">
        <v>1008</v>
      </c>
      <c r="T248" s="796" t="s">
        <v>1009</v>
      </c>
      <c r="U248" s="773" t="s">
        <v>1915</v>
      </c>
      <c r="V248" s="773" t="s">
        <v>278</v>
      </c>
      <c r="W248" s="773" t="s">
        <v>2951</v>
      </c>
      <c r="X248" s="1311">
        <v>2</v>
      </c>
      <c r="Y248" s="821" t="s">
        <v>1020</v>
      </c>
      <c r="Z248" s="790" t="s">
        <v>167</v>
      </c>
      <c r="AA248" s="785"/>
      <c r="AB248" s="785"/>
      <c r="AC248" s="785"/>
      <c r="AD248" s="785"/>
      <c r="AE248" s="785"/>
      <c r="AF248" s="799"/>
      <c r="AG248" s="800"/>
      <c r="AH248" s="800"/>
      <c r="AI248" s="800"/>
      <c r="AJ248" s="800"/>
      <c r="AK248" s="800"/>
      <c r="AL248" s="800"/>
      <c r="AM248" s="800"/>
      <c r="AN248" s="800"/>
      <c r="AO248" s="800"/>
      <c r="AP248" s="800"/>
      <c r="AQ248" s="1421"/>
      <c r="AR248" s="1373"/>
      <c r="AS248" s="1373"/>
      <c r="AT248" s="1373"/>
      <c r="AU248" s="1374"/>
      <c r="AV248" s="808"/>
      <c r="AW248" s="800"/>
      <c r="AX248" s="800"/>
      <c r="AY248" s="800"/>
      <c r="AZ248" s="800"/>
      <c r="BA248" s="800"/>
      <c r="BB248" s="800"/>
      <c r="BC248" s="800"/>
      <c r="BD248" s="800"/>
      <c r="BE248" s="800"/>
      <c r="BF248" s="800"/>
      <c r="BG248" s="800"/>
      <c r="BH248" s="800"/>
      <c r="BI248" s="800"/>
      <c r="BJ248" s="800"/>
      <c r="BK248" s="805"/>
      <c r="BL248" s="1376"/>
      <c r="BM248" s="1377"/>
      <c r="BN248" s="1377"/>
      <c r="BO248" s="1377"/>
      <c r="BP248" s="1440"/>
      <c r="BQ248" s="1420"/>
      <c r="BR248" s="1368"/>
      <c r="BS248" s="1368"/>
      <c r="BT248" s="1368"/>
      <c r="BU248" s="1369"/>
      <c r="BV248" s="1421"/>
      <c r="BW248" s="1373"/>
      <c r="BX248" s="1373"/>
      <c r="BY248" s="1373"/>
      <c r="BZ248" s="1373"/>
      <c r="CA248" s="1420"/>
      <c r="CB248" s="1368"/>
      <c r="CC248" s="1368"/>
      <c r="CD248" s="1368"/>
      <c r="CE248" s="1369"/>
      <c r="CF248" s="1368"/>
      <c r="CG248" s="1368"/>
      <c r="CH248" s="1368"/>
      <c r="CI248" s="1368"/>
      <c r="CJ248" s="1369"/>
      <c r="CK248" s="1420"/>
      <c r="CL248" s="1368"/>
      <c r="CM248" s="1368"/>
      <c r="CN248" s="1368"/>
      <c r="CO248" s="1369"/>
      <c r="CP248" s="1420"/>
      <c r="CQ248" s="1368"/>
      <c r="CR248" s="1368"/>
      <c r="CS248" s="1368"/>
      <c r="CT248" s="1369"/>
      <c r="CU248" s="1528"/>
      <c r="CV248" s="1519"/>
      <c r="CW248" s="1519"/>
      <c r="CX248" s="1728"/>
      <c r="CY248" s="1519"/>
      <c r="CZ248" s="1519"/>
      <c r="DA248" s="1519"/>
      <c r="DB248" s="1728"/>
      <c r="DC248" s="1377"/>
      <c r="DD248" s="1729"/>
      <c r="DE248" s="1734"/>
    </row>
    <row r="249" spans="1:109" ht="15.75" hidden="1" customHeight="1">
      <c r="A249" s="772" t="s">
        <v>1075</v>
      </c>
      <c r="B249" s="773">
        <v>243</v>
      </c>
      <c r="C249" s="789" t="s">
        <v>2952</v>
      </c>
      <c r="D249" s="773" t="s">
        <v>2918</v>
      </c>
      <c r="E249" s="773" t="s">
        <v>1907</v>
      </c>
      <c r="F249" s="785" t="s">
        <v>2914</v>
      </c>
      <c r="G249" s="790" t="s">
        <v>2953</v>
      </c>
      <c r="H249" s="791" t="s">
        <v>2954</v>
      </c>
      <c r="I249" s="792"/>
      <c r="J249" s="793">
        <v>0.25</v>
      </c>
      <c r="K249" s="793"/>
      <c r="L249" s="793"/>
      <c r="M249" s="793">
        <v>0.75</v>
      </c>
      <c r="N249" s="793"/>
      <c r="O249" s="793"/>
      <c r="P249" s="794"/>
      <c r="Q249" s="795">
        <f t="shared" si="3"/>
        <v>1</v>
      </c>
      <c r="R249" s="789" t="s">
        <v>1007</v>
      </c>
      <c r="S249" s="773"/>
      <c r="T249" s="796"/>
      <c r="U249" s="773" t="s">
        <v>1947</v>
      </c>
      <c r="V249" s="773" t="s">
        <v>1081</v>
      </c>
      <c r="W249" s="773" t="s">
        <v>2955</v>
      </c>
      <c r="X249" s="1310">
        <v>1</v>
      </c>
      <c r="Y249" s="821" t="s">
        <v>1010</v>
      </c>
      <c r="Z249" s="790"/>
      <c r="AA249" s="785"/>
      <c r="AB249" s="785"/>
      <c r="AC249" s="785"/>
      <c r="AD249" s="785"/>
      <c r="AE249" s="785"/>
      <c r="AF249" s="799"/>
      <c r="AG249" s="800"/>
      <c r="AH249" s="800"/>
      <c r="AI249" s="800"/>
      <c r="AJ249" s="800"/>
      <c r="AK249" s="800"/>
      <c r="AL249" s="800"/>
      <c r="AM249" s="800"/>
      <c r="AN249" s="800"/>
      <c r="AO249" s="800"/>
      <c r="AP249" s="800"/>
      <c r="AQ249" s="808">
        <v>4.2</v>
      </c>
      <c r="AR249" s="800">
        <v>4.2</v>
      </c>
      <c r="AS249" s="800">
        <v>4.3</v>
      </c>
      <c r="AT249" s="800">
        <v>4.4000000000000004</v>
      </c>
      <c r="AU249" s="805">
        <v>4.5</v>
      </c>
      <c r="AV249" s="808"/>
      <c r="AW249" s="800"/>
      <c r="AX249" s="800"/>
      <c r="AY249" s="800"/>
      <c r="AZ249" s="800"/>
      <c r="BA249" s="800"/>
      <c r="BB249" s="800"/>
      <c r="BC249" s="800"/>
      <c r="BD249" s="800"/>
      <c r="BE249" s="800"/>
      <c r="BF249" s="800"/>
      <c r="BG249" s="800"/>
      <c r="BH249" s="800"/>
      <c r="BI249" s="800"/>
      <c r="BJ249" s="800"/>
      <c r="BK249" s="805"/>
      <c r="BL249" s="789"/>
      <c r="BM249" s="785"/>
      <c r="BN249" s="785"/>
      <c r="BO249" s="785"/>
      <c r="BP249" s="796"/>
      <c r="BQ249" s="808" t="s">
        <v>1942</v>
      </c>
      <c r="BR249" s="800" t="s">
        <v>1942</v>
      </c>
      <c r="BS249" s="800" t="s">
        <v>1942</v>
      </c>
      <c r="BT249" s="800" t="s">
        <v>1942</v>
      </c>
      <c r="BU249" s="805" t="s">
        <v>1942</v>
      </c>
      <c r="BV249" s="808" t="s">
        <v>1942</v>
      </c>
      <c r="BW249" s="800" t="s">
        <v>1942</v>
      </c>
      <c r="BX249" s="800" t="s">
        <v>1942</v>
      </c>
      <c r="BY249" s="800" t="s">
        <v>1942</v>
      </c>
      <c r="BZ249" s="800" t="s">
        <v>1942</v>
      </c>
      <c r="CA249" s="808" t="s">
        <v>1942</v>
      </c>
      <c r="CB249" s="800" t="s">
        <v>1942</v>
      </c>
      <c r="CC249" s="800" t="s">
        <v>1942</v>
      </c>
      <c r="CD249" s="800" t="s">
        <v>1942</v>
      </c>
      <c r="CE249" s="805" t="s">
        <v>1942</v>
      </c>
      <c r="CF249" s="800" t="s">
        <v>1942</v>
      </c>
      <c r="CG249" s="800" t="s">
        <v>1942</v>
      </c>
      <c r="CH249" s="800" t="s">
        <v>1942</v>
      </c>
      <c r="CI249" s="800" t="s">
        <v>1942</v>
      </c>
      <c r="CJ249" s="805" t="s">
        <v>1942</v>
      </c>
      <c r="CK249" s="808" t="s">
        <v>1942</v>
      </c>
      <c r="CL249" s="800" t="s">
        <v>1942</v>
      </c>
      <c r="CM249" s="800" t="s">
        <v>1942</v>
      </c>
      <c r="CN249" s="800" t="s">
        <v>1942</v>
      </c>
      <c r="CO249" s="805" t="s">
        <v>1942</v>
      </c>
      <c r="CP249" s="808" t="s">
        <v>1942</v>
      </c>
      <c r="CQ249" s="800" t="s">
        <v>1942</v>
      </c>
      <c r="CR249" s="800" t="s">
        <v>1942</v>
      </c>
      <c r="CS249" s="800" t="s">
        <v>1942</v>
      </c>
      <c r="CT249" s="805" t="s">
        <v>1942</v>
      </c>
      <c r="CU249" s="1284" t="s">
        <v>1942</v>
      </c>
      <c r="CV249" s="1283" t="s">
        <v>1942</v>
      </c>
      <c r="CW249" s="1283" t="s">
        <v>1942</v>
      </c>
      <c r="CX249" s="1285" t="s">
        <v>1942</v>
      </c>
      <c r="CY249" s="1283" t="s">
        <v>1942</v>
      </c>
      <c r="CZ249" s="1283" t="s">
        <v>1942</v>
      </c>
      <c r="DA249" s="1283" t="s">
        <v>1942</v>
      </c>
      <c r="DB249" s="1285" t="s">
        <v>1942</v>
      </c>
      <c r="DC249" s="785"/>
      <c r="DD249" s="813">
        <v>1</v>
      </c>
      <c r="DE249" s="814"/>
    </row>
    <row r="250" spans="1:109" ht="15.75" hidden="1" customHeight="1">
      <c r="A250" s="772" t="s">
        <v>1075</v>
      </c>
      <c r="B250" s="773">
        <v>244</v>
      </c>
      <c r="C250" s="789" t="s">
        <v>2956</v>
      </c>
      <c r="D250" s="773" t="s">
        <v>2918</v>
      </c>
      <c r="E250" s="773" t="s">
        <v>1907</v>
      </c>
      <c r="F250" s="785" t="s">
        <v>2860</v>
      </c>
      <c r="G250" s="790" t="s">
        <v>2957</v>
      </c>
      <c r="H250" s="791" t="s">
        <v>2958</v>
      </c>
      <c r="I250" s="792"/>
      <c r="J250" s="793">
        <v>0.25</v>
      </c>
      <c r="K250" s="793"/>
      <c r="L250" s="793"/>
      <c r="M250" s="793">
        <v>0.75</v>
      </c>
      <c r="N250" s="793"/>
      <c r="O250" s="793"/>
      <c r="P250" s="794"/>
      <c r="Q250" s="795">
        <f t="shared" si="3"/>
        <v>1</v>
      </c>
      <c r="R250" s="789" t="s">
        <v>1007</v>
      </c>
      <c r="S250" s="773"/>
      <c r="T250" s="796"/>
      <c r="U250" s="773" t="s">
        <v>1947</v>
      </c>
      <c r="V250" s="773" t="s">
        <v>1081</v>
      </c>
      <c r="W250" s="773" t="s">
        <v>2955</v>
      </c>
      <c r="X250" s="1310">
        <v>1</v>
      </c>
      <c r="Y250" s="821" t="s">
        <v>1010</v>
      </c>
      <c r="Z250" s="790"/>
      <c r="AA250" s="785"/>
      <c r="AB250" s="785"/>
      <c r="AC250" s="785"/>
      <c r="AD250" s="785"/>
      <c r="AE250" s="785"/>
      <c r="AF250" s="799"/>
      <c r="AG250" s="800"/>
      <c r="AH250" s="800"/>
      <c r="AI250" s="800"/>
      <c r="AJ250" s="800"/>
      <c r="AK250" s="800"/>
      <c r="AL250" s="800"/>
      <c r="AM250" s="800"/>
      <c r="AN250" s="800"/>
      <c r="AO250" s="800"/>
      <c r="AP250" s="800"/>
      <c r="AQ250" s="808">
        <v>4.4000000000000004</v>
      </c>
      <c r="AR250" s="800">
        <v>4.4000000000000004</v>
      </c>
      <c r="AS250" s="800">
        <v>4.4000000000000004</v>
      </c>
      <c r="AT250" s="800">
        <v>4.4000000000000004</v>
      </c>
      <c r="AU250" s="805">
        <v>4.5</v>
      </c>
      <c r="AV250" s="808"/>
      <c r="AW250" s="800"/>
      <c r="AX250" s="800"/>
      <c r="AY250" s="800"/>
      <c r="AZ250" s="800"/>
      <c r="BA250" s="800"/>
      <c r="BB250" s="800"/>
      <c r="BC250" s="800"/>
      <c r="BD250" s="800"/>
      <c r="BE250" s="800"/>
      <c r="BF250" s="800"/>
      <c r="BG250" s="800"/>
      <c r="BH250" s="800"/>
      <c r="BI250" s="800"/>
      <c r="BJ250" s="800"/>
      <c r="BK250" s="805"/>
      <c r="BL250" s="789"/>
      <c r="BM250" s="785"/>
      <c r="BN250" s="785"/>
      <c r="BO250" s="785"/>
      <c r="BP250" s="796"/>
      <c r="BQ250" s="808" t="s">
        <v>1942</v>
      </c>
      <c r="BR250" s="800" t="s">
        <v>1942</v>
      </c>
      <c r="BS250" s="800" t="s">
        <v>1942</v>
      </c>
      <c r="BT250" s="800" t="s">
        <v>1942</v>
      </c>
      <c r="BU250" s="805" t="s">
        <v>1942</v>
      </c>
      <c r="BV250" s="808" t="s">
        <v>1942</v>
      </c>
      <c r="BW250" s="800" t="s">
        <v>1942</v>
      </c>
      <c r="BX250" s="800" t="s">
        <v>1942</v>
      </c>
      <c r="BY250" s="800" t="s">
        <v>1942</v>
      </c>
      <c r="BZ250" s="800" t="s">
        <v>1942</v>
      </c>
      <c r="CA250" s="808" t="s">
        <v>1942</v>
      </c>
      <c r="CB250" s="800" t="s">
        <v>1942</v>
      </c>
      <c r="CC250" s="800" t="s">
        <v>1942</v>
      </c>
      <c r="CD250" s="800" t="s">
        <v>1942</v>
      </c>
      <c r="CE250" s="805" t="s">
        <v>1942</v>
      </c>
      <c r="CF250" s="800" t="s">
        <v>1942</v>
      </c>
      <c r="CG250" s="800" t="s">
        <v>1942</v>
      </c>
      <c r="CH250" s="800" t="s">
        <v>1942</v>
      </c>
      <c r="CI250" s="800" t="s">
        <v>1942</v>
      </c>
      <c r="CJ250" s="805" t="s">
        <v>1942</v>
      </c>
      <c r="CK250" s="808" t="s">
        <v>1942</v>
      </c>
      <c r="CL250" s="800" t="s">
        <v>1942</v>
      </c>
      <c r="CM250" s="800" t="s">
        <v>1942</v>
      </c>
      <c r="CN250" s="800" t="s">
        <v>1942</v>
      </c>
      <c r="CO250" s="805" t="s">
        <v>1942</v>
      </c>
      <c r="CP250" s="808" t="s">
        <v>1942</v>
      </c>
      <c r="CQ250" s="800" t="s">
        <v>1942</v>
      </c>
      <c r="CR250" s="800" t="s">
        <v>1942</v>
      </c>
      <c r="CS250" s="800" t="s">
        <v>1942</v>
      </c>
      <c r="CT250" s="805" t="s">
        <v>1942</v>
      </c>
      <c r="CU250" s="1284" t="s">
        <v>1942</v>
      </c>
      <c r="CV250" s="1283" t="s">
        <v>1942</v>
      </c>
      <c r="CW250" s="1283" t="s">
        <v>1942</v>
      </c>
      <c r="CX250" s="1285" t="s">
        <v>1942</v>
      </c>
      <c r="CY250" s="1283" t="s">
        <v>1942</v>
      </c>
      <c r="CZ250" s="1283" t="s">
        <v>1942</v>
      </c>
      <c r="DA250" s="1283" t="s">
        <v>1942</v>
      </c>
      <c r="DB250" s="1285" t="s">
        <v>1942</v>
      </c>
      <c r="DC250" s="785"/>
      <c r="DD250" s="813">
        <v>1</v>
      </c>
      <c r="DE250" s="814"/>
    </row>
    <row r="251" spans="1:109" ht="15.75" hidden="1" customHeight="1">
      <c r="A251" s="772" t="s">
        <v>1075</v>
      </c>
      <c r="B251" s="773">
        <v>245</v>
      </c>
      <c r="C251" s="789" t="s">
        <v>2959</v>
      </c>
      <c r="D251" s="773" t="s">
        <v>2918</v>
      </c>
      <c r="E251" s="773" t="s">
        <v>1907</v>
      </c>
      <c r="F251" s="785" t="s">
        <v>2863</v>
      </c>
      <c r="G251" s="790" t="s">
        <v>2960</v>
      </c>
      <c r="H251" s="791" t="s">
        <v>2961</v>
      </c>
      <c r="I251" s="792"/>
      <c r="J251" s="793">
        <v>0.25</v>
      </c>
      <c r="K251" s="793"/>
      <c r="L251" s="793"/>
      <c r="M251" s="793">
        <v>0.75</v>
      </c>
      <c r="N251" s="793"/>
      <c r="O251" s="793"/>
      <c r="P251" s="794"/>
      <c r="Q251" s="795">
        <f t="shared" si="3"/>
        <v>1</v>
      </c>
      <c r="R251" s="789" t="s">
        <v>1007</v>
      </c>
      <c r="S251" s="773"/>
      <c r="T251" s="796"/>
      <c r="U251" s="773" t="s">
        <v>1947</v>
      </c>
      <c r="V251" s="773" t="s">
        <v>1081</v>
      </c>
      <c r="W251" s="773" t="s">
        <v>2955</v>
      </c>
      <c r="X251" s="1310">
        <v>1</v>
      </c>
      <c r="Y251" s="821" t="s">
        <v>1010</v>
      </c>
      <c r="Z251" s="790"/>
      <c r="AA251" s="785"/>
      <c r="AB251" s="785"/>
      <c r="AC251" s="785"/>
      <c r="AD251" s="785"/>
      <c r="AE251" s="785"/>
      <c r="AF251" s="799"/>
      <c r="AG251" s="800"/>
      <c r="AH251" s="800"/>
      <c r="AI251" s="800"/>
      <c r="AJ251" s="800"/>
      <c r="AK251" s="800"/>
      <c r="AL251" s="800"/>
      <c r="AM251" s="800"/>
      <c r="AN251" s="800"/>
      <c r="AO251" s="800"/>
      <c r="AP251" s="800"/>
      <c r="AQ251" s="808">
        <v>4.3</v>
      </c>
      <c r="AR251" s="800">
        <v>4.3</v>
      </c>
      <c r="AS251" s="800">
        <v>4.3</v>
      </c>
      <c r="AT251" s="800">
        <v>4.4000000000000004</v>
      </c>
      <c r="AU251" s="805">
        <v>4.5</v>
      </c>
      <c r="AV251" s="808"/>
      <c r="AW251" s="800"/>
      <c r="AX251" s="800"/>
      <c r="AY251" s="800"/>
      <c r="AZ251" s="800"/>
      <c r="BA251" s="800"/>
      <c r="BB251" s="800"/>
      <c r="BC251" s="800"/>
      <c r="BD251" s="800"/>
      <c r="BE251" s="800"/>
      <c r="BF251" s="800"/>
      <c r="BG251" s="800"/>
      <c r="BH251" s="800"/>
      <c r="BI251" s="800"/>
      <c r="BJ251" s="800"/>
      <c r="BK251" s="805"/>
      <c r="BL251" s="789"/>
      <c r="BM251" s="785"/>
      <c r="BN251" s="785"/>
      <c r="BO251" s="785"/>
      <c r="BP251" s="796"/>
      <c r="BQ251" s="808" t="s">
        <v>1942</v>
      </c>
      <c r="BR251" s="800" t="s">
        <v>1942</v>
      </c>
      <c r="BS251" s="800" t="s">
        <v>1942</v>
      </c>
      <c r="BT251" s="800" t="s">
        <v>1942</v>
      </c>
      <c r="BU251" s="805" t="s">
        <v>1942</v>
      </c>
      <c r="BV251" s="808" t="s">
        <v>1942</v>
      </c>
      <c r="BW251" s="800" t="s">
        <v>1942</v>
      </c>
      <c r="BX251" s="800" t="s">
        <v>1942</v>
      </c>
      <c r="BY251" s="800" t="s">
        <v>1942</v>
      </c>
      <c r="BZ251" s="800" t="s">
        <v>1942</v>
      </c>
      <c r="CA251" s="808" t="s">
        <v>1942</v>
      </c>
      <c r="CB251" s="800" t="s">
        <v>1942</v>
      </c>
      <c r="CC251" s="800" t="s">
        <v>1942</v>
      </c>
      <c r="CD251" s="800" t="s">
        <v>1942</v>
      </c>
      <c r="CE251" s="805" t="s">
        <v>1942</v>
      </c>
      <c r="CF251" s="800" t="s">
        <v>1942</v>
      </c>
      <c r="CG251" s="800" t="s">
        <v>1942</v>
      </c>
      <c r="CH251" s="800" t="s">
        <v>1942</v>
      </c>
      <c r="CI251" s="800" t="s">
        <v>1942</v>
      </c>
      <c r="CJ251" s="805" t="s">
        <v>1942</v>
      </c>
      <c r="CK251" s="808" t="s">
        <v>1942</v>
      </c>
      <c r="CL251" s="800" t="s">
        <v>1942</v>
      </c>
      <c r="CM251" s="800" t="s">
        <v>1942</v>
      </c>
      <c r="CN251" s="800" t="s">
        <v>1942</v>
      </c>
      <c r="CO251" s="805" t="s">
        <v>1942</v>
      </c>
      <c r="CP251" s="808" t="s">
        <v>1942</v>
      </c>
      <c r="CQ251" s="800" t="s">
        <v>1942</v>
      </c>
      <c r="CR251" s="800" t="s">
        <v>1942</v>
      </c>
      <c r="CS251" s="800" t="s">
        <v>1942</v>
      </c>
      <c r="CT251" s="805" t="s">
        <v>1942</v>
      </c>
      <c r="CU251" s="1284" t="s">
        <v>1942</v>
      </c>
      <c r="CV251" s="1283" t="s">
        <v>1942</v>
      </c>
      <c r="CW251" s="1283" t="s">
        <v>1942</v>
      </c>
      <c r="CX251" s="1285" t="s">
        <v>1942</v>
      </c>
      <c r="CY251" s="1283" t="s">
        <v>1942</v>
      </c>
      <c r="CZ251" s="1283" t="s">
        <v>1942</v>
      </c>
      <c r="DA251" s="1283" t="s">
        <v>1942</v>
      </c>
      <c r="DB251" s="1285" t="s">
        <v>1942</v>
      </c>
      <c r="DC251" s="785"/>
      <c r="DD251" s="813">
        <v>1</v>
      </c>
      <c r="DE251" s="814"/>
    </row>
    <row r="252" spans="1:109" ht="15.75" hidden="1" customHeight="1">
      <c r="A252" s="772" t="s">
        <v>1075</v>
      </c>
      <c r="B252" s="773">
        <v>246</v>
      </c>
      <c r="C252" s="789" t="s">
        <v>2962</v>
      </c>
      <c r="D252" s="773" t="s">
        <v>2918</v>
      </c>
      <c r="E252" s="773" t="s">
        <v>1907</v>
      </c>
      <c r="F252" s="785" t="s">
        <v>2963</v>
      </c>
      <c r="G252" s="790" t="s">
        <v>2964</v>
      </c>
      <c r="H252" s="791" t="s">
        <v>2965</v>
      </c>
      <c r="I252" s="792"/>
      <c r="J252" s="793">
        <v>0.25</v>
      </c>
      <c r="K252" s="793"/>
      <c r="L252" s="793"/>
      <c r="M252" s="793">
        <v>0.75</v>
      </c>
      <c r="N252" s="793"/>
      <c r="O252" s="793"/>
      <c r="P252" s="794"/>
      <c r="Q252" s="795">
        <f t="shared" si="3"/>
        <v>1</v>
      </c>
      <c r="R252" s="789" t="s">
        <v>1007</v>
      </c>
      <c r="S252" s="773"/>
      <c r="T252" s="796"/>
      <c r="U252" s="773" t="s">
        <v>1947</v>
      </c>
      <c r="V252" s="773" t="s">
        <v>1081</v>
      </c>
      <c r="W252" s="773" t="s">
        <v>2955</v>
      </c>
      <c r="X252" s="1310">
        <v>1</v>
      </c>
      <c r="Y252" s="819" t="s">
        <v>1010</v>
      </c>
      <c r="Z252" s="790"/>
      <c r="AA252" s="785"/>
      <c r="AB252" s="785"/>
      <c r="AC252" s="785"/>
      <c r="AD252" s="785"/>
      <c r="AE252" s="785"/>
      <c r="AF252" s="799"/>
      <c r="AG252" s="800"/>
      <c r="AH252" s="800"/>
      <c r="AI252" s="800"/>
      <c r="AJ252" s="800"/>
      <c r="AK252" s="800"/>
      <c r="AL252" s="800"/>
      <c r="AM252" s="800"/>
      <c r="AN252" s="800"/>
      <c r="AO252" s="800"/>
      <c r="AP252" s="800"/>
      <c r="AQ252" s="808">
        <v>4.3</v>
      </c>
      <c r="AR252" s="800">
        <v>4.3</v>
      </c>
      <c r="AS252" s="800">
        <v>4.3</v>
      </c>
      <c r="AT252" s="800">
        <v>4.4000000000000004</v>
      </c>
      <c r="AU252" s="805">
        <v>4.5</v>
      </c>
      <c r="AV252" s="808"/>
      <c r="AW252" s="800"/>
      <c r="AX252" s="800"/>
      <c r="AY252" s="800"/>
      <c r="AZ252" s="800"/>
      <c r="BA252" s="800"/>
      <c r="BB252" s="800"/>
      <c r="BC252" s="800"/>
      <c r="BD252" s="800"/>
      <c r="BE252" s="800"/>
      <c r="BF252" s="800"/>
      <c r="BG252" s="800"/>
      <c r="BH252" s="800"/>
      <c r="BI252" s="800"/>
      <c r="BJ252" s="800"/>
      <c r="BK252" s="805"/>
      <c r="BL252" s="789"/>
      <c r="BM252" s="785"/>
      <c r="BN252" s="785"/>
      <c r="BO252" s="785"/>
      <c r="BP252" s="796"/>
      <c r="BQ252" s="808" t="s">
        <v>1942</v>
      </c>
      <c r="BR252" s="800" t="s">
        <v>1942</v>
      </c>
      <c r="BS252" s="800" t="s">
        <v>1942</v>
      </c>
      <c r="BT252" s="800" t="s">
        <v>1942</v>
      </c>
      <c r="BU252" s="805" t="s">
        <v>1942</v>
      </c>
      <c r="BV252" s="808" t="s">
        <v>1942</v>
      </c>
      <c r="BW252" s="800" t="s">
        <v>1942</v>
      </c>
      <c r="BX252" s="800" t="s">
        <v>1942</v>
      </c>
      <c r="BY252" s="800" t="s">
        <v>1942</v>
      </c>
      <c r="BZ252" s="800" t="s">
        <v>1942</v>
      </c>
      <c r="CA252" s="808" t="s">
        <v>1942</v>
      </c>
      <c r="CB252" s="800" t="s">
        <v>1942</v>
      </c>
      <c r="CC252" s="800" t="s">
        <v>1942</v>
      </c>
      <c r="CD252" s="800" t="s">
        <v>1942</v>
      </c>
      <c r="CE252" s="805" t="s">
        <v>1942</v>
      </c>
      <c r="CF252" s="800" t="s">
        <v>1942</v>
      </c>
      <c r="CG252" s="800" t="s">
        <v>1942</v>
      </c>
      <c r="CH252" s="800" t="s">
        <v>1942</v>
      </c>
      <c r="CI252" s="800" t="s">
        <v>1942</v>
      </c>
      <c r="CJ252" s="805" t="s">
        <v>1942</v>
      </c>
      <c r="CK252" s="808" t="s">
        <v>1942</v>
      </c>
      <c r="CL252" s="800" t="s">
        <v>1942</v>
      </c>
      <c r="CM252" s="800" t="s">
        <v>1942</v>
      </c>
      <c r="CN252" s="800" t="s">
        <v>1942</v>
      </c>
      <c r="CO252" s="805" t="s">
        <v>1942</v>
      </c>
      <c r="CP252" s="808" t="s">
        <v>1942</v>
      </c>
      <c r="CQ252" s="800" t="s">
        <v>1942</v>
      </c>
      <c r="CR252" s="800" t="s">
        <v>1942</v>
      </c>
      <c r="CS252" s="800" t="s">
        <v>1942</v>
      </c>
      <c r="CT252" s="805" t="s">
        <v>1942</v>
      </c>
      <c r="CU252" s="1284" t="s">
        <v>1942</v>
      </c>
      <c r="CV252" s="1283" t="s">
        <v>1942</v>
      </c>
      <c r="CW252" s="1283" t="s">
        <v>1942</v>
      </c>
      <c r="CX252" s="1285" t="s">
        <v>1942</v>
      </c>
      <c r="CY252" s="1283" t="s">
        <v>1942</v>
      </c>
      <c r="CZ252" s="1283" t="s">
        <v>1942</v>
      </c>
      <c r="DA252" s="1283" t="s">
        <v>1942</v>
      </c>
      <c r="DB252" s="1285" t="s">
        <v>1942</v>
      </c>
      <c r="DC252" s="785"/>
      <c r="DD252" s="813">
        <v>1</v>
      </c>
      <c r="DE252" s="814"/>
    </row>
    <row r="253" spans="1:109" ht="15.75" hidden="1" customHeight="1">
      <c r="A253" s="772" t="s">
        <v>1075</v>
      </c>
      <c r="B253" s="773">
        <v>247</v>
      </c>
      <c r="C253" s="789" t="s">
        <v>2966</v>
      </c>
      <c r="D253" s="773" t="s">
        <v>2918</v>
      </c>
      <c r="E253" s="773" t="s">
        <v>1907</v>
      </c>
      <c r="F253" s="785" t="s">
        <v>2967</v>
      </c>
      <c r="G253" s="790" t="s">
        <v>2968</v>
      </c>
      <c r="H253" s="791" t="s">
        <v>2969</v>
      </c>
      <c r="I253" s="792"/>
      <c r="J253" s="793">
        <v>0.25</v>
      </c>
      <c r="K253" s="793"/>
      <c r="L253" s="793"/>
      <c r="M253" s="793">
        <v>0.75</v>
      </c>
      <c r="N253" s="793"/>
      <c r="O253" s="793"/>
      <c r="P253" s="794"/>
      <c r="Q253" s="795">
        <f t="shared" si="3"/>
        <v>1</v>
      </c>
      <c r="R253" s="789" t="s">
        <v>1007</v>
      </c>
      <c r="S253" s="773"/>
      <c r="T253" s="796"/>
      <c r="U253" s="773" t="s">
        <v>1947</v>
      </c>
      <c r="V253" s="773" t="s">
        <v>1081</v>
      </c>
      <c r="W253" s="773" t="s">
        <v>2955</v>
      </c>
      <c r="X253" s="1310">
        <v>1</v>
      </c>
      <c r="Y253" s="819" t="s">
        <v>1010</v>
      </c>
      <c r="Z253" s="790"/>
      <c r="AA253" s="785"/>
      <c r="AB253" s="785"/>
      <c r="AC253" s="785"/>
      <c r="AD253" s="785"/>
      <c r="AE253" s="785"/>
      <c r="AF253" s="799"/>
      <c r="AG253" s="800"/>
      <c r="AH253" s="800"/>
      <c r="AI253" s="800"/>
      <c r="AJ253" s="800"/>
      <c r="AK253" s="800"/>
      <c r="AL253" s="800"/>
      <c r="AM253" s="800"/>
      <c r="AN253" s="800"/>
      <c r="AO253" s="800"/>
      <c r="AP253" s="800"/>
      <c r="AQ253" s="808">
        <v>4.4000000000000004</v>
      </c>
      <c r="AR253" s="800">
        <v>4.4000000000000004</v>
      </c>
      <c r="AS253" s="800">
        <v>4.4000000000000004</v>
      </c>
      <c r="AT253" s="800">
        <v>4.4000000000000004</v>
      </c>
      <c r="AU253" s="805">
        <v>4.5</v>
      </c>
      <c r="AV253" s="808"/>
      <c r="AW253" s="800"/>
      <c r="AX253" s="800"/>
      <c r="AY253" s="800"/>
      <c r="AZ253" s="800"/>
      <c r="BA253" s="800"/>
      <c r="BB253" s="800"/>
      <c r="BC253" s="800"/>
      <c r="BD253" s="800"/>
      <c r="BE253" s="800"/>
      <c r="BF253" s="800"/>
      <c r="BG253" s="800"/>
      <c r="BH253" s="800"/>
      <c r="BI253" s="800"/>
      <c r="BJ253" s="800"/>
      <c r="BK253" s="805"/>
      <c r="BL253" s="789"/>
      <c r="BM253" s="785"/>
      <c r="BN253" s="785"/>
      <c r="BO253" s="785"/>
      <c r="BP253" s="796"/>
      <c r="BQ253" s="808" t="s">
        <v>1942</v>
      </c>
      <c r="BR253" s="800" t="s">
        <v>1942</v>
      </c>
      <c r="BS253" s="800" t="s">
        <v>1942</v>
      </c>
      <c r="BT253" s="800" t="s">
        <v>1942</v>
      </c>
      <c r="BU253" s="805" t="s">
        <v>1942</v>
      </c>
      <c r="BV253" s="808" t="s">
        <v>1942</v>
      </c>
      <c r="BW253" s="800" t="s">
        <v>1942</v>
      </c>
      <c r="BX253" s="800" t="s">
        <v>1942</v>
      </c>
      <c r="BY253" s="800" t="s">
        <v>1942</v>
      </c>
      <c r="BZ253" s="800" t="s">
        <v>1942</v>
      </c>
      <c r="CA253" s="808" t="s">
        <v>1942</v>
      </c>
      <c r="CB253" s="800" t="s">
        <v>1942</v>
      </c>
      <c r="CC253" s="800" t="s">
        <v>1942</v>
      </c>
      <c r="CD253" s="800" t="s">
        <v>1942</v>
      </c>
      <c r="CE253" s="805" t="s">
        <v>1942</v>
      </c>
      <c r="CF253" s="800" t="s">
        <v>1942</v>
      </c>
      <c r="CG253" s="800" t="s">
        <v>1942</v>
      </c>
      <c r="CH253" s="800" t="s">
        <v>1942</v>
      </c>
      <c r="CI253" s="800" t="s">
        <v>1942</v>
      </c>
      <c r="CJ253" s="805" t="s">
        <v>1942</v>
      </c>
      <c r="CK253" s="808" t="s">
        <v>1942</v>
      </c>
      <c r="CL253" s="800" t="s">
        <v>1942</v>
      </c>
      <c r="CM253" s="800" t="s">
        <v>1942</v>
      </c>
      <c r="CN253" s="800" t="s">
        <v>1942</v>
      </c>
      <c r="CO253" s="805" t="s">
        <v>1942</v>
      </c>
      <c r="CP253" s="808" t="s">
        <v>1942</v>
      </c>
      <c r="CQ253" s="800" t="s">
        <v>1942</v>
      </c>
      <c r="CR253" s="800" t="s">
        <v>1942</v>
      </c>
      <c r="CS253" s="800" t="s">
        <v>1942</v>
      </c>
      <c r="CT253" s="805" t="s">
        <v>1942</v>
      </c>
      <c r="CU253" s="1284" t="s">
        <v>1942</v>
      </c>
      <c r="CV253" s="1283" t="s">
        <v>1942</v>
      </c>
      <c r="CW253" s="1283" t="s">
        <v>1942</v>
      </c>
      <c r="CX253" s="1285" t="s">
        <v>1942</v>
      </c>
      <c r="CY253" s="1283" t="s">
        <v>1942</v>
      </c>
      <c r="CZ253" s="1283" t="s">
        <v>1942</v>
      </c>
      <c r="DA253" s="1283" t="s">
        <v>1942</v>
      </c>
      <c r="DB253" s="1285" t="s">
        <v>1942</v>
      </c>
      <c r="DC253" s="785"/>
      <c r="DD253" s="813">
        <v>1</v>
      </c>
      <c r="DE253" s="814"/>
    </row>
    <row r="254" spans="1:109" ht="15.75" hidden="1" customHeight="1">
      <c r="A254" s="772" t="s">
        <v>1075</v>
      </c>
      <c r="B254" s="773">
        <v>248</v>
      </c>
      <c r="C254" s="789" t="s">
        <v>2970</v>
      </c>
      <c r="D254" s="773" t="s">
        <v>2918</v>
      </c>
      <c r="E254" s="773" t="s">
        <v>1907</v>
      </c>
      <c r="F254" s="785" t="s">
        <v>2971</v>
      </c>
      <c r="G254" s="790" t="s">
        <v>2972</v>
      </c>
      <c r="H254" s="791" t="s">
        <v>2973</v>
      </c>
      <c r="I254" s="792"/>
      <c r="J254" s="793">
        <v>0.25</v>
      </c>
      <c r="K254" s="793"/>
      <c r="L254" s="793"/>
      <c r="M254" s="793">
        <v>0.75</v>
      </c>
      <c r="N254" s="793"/>
      <c r="O254" s="793"/>
      <c r="P254" s="794"/>
      <c r="Q254" s="795">
        <f t="shared" si="3"/>
        <v>1</v>
      </c>
      <c r="R254" s="789" t="s">
        <v>1007</v>
      </c>
      <c r="S254" s="773"/>
      <c r="T254" s="796"/>
      <c r="U254" s="773" t="s">
        <v>1947</v>
      </c>
      <c r="V254" s="773" t="s">
        <v>1081</v>
      </c>
      <c r="W254" s="773" t="s">
        <v>2955</v>
      </c>
      <c r="X254" s="1310">
        <v>1</v>
      </c>
      <c r="Y254" s="826" t="s">
        <v>1010</v>
      </c>
      <c r="Z254" s="790"/>
      <c r="AA254" s="785"/>
      <c r="AB254" s="785"/>
      <c r="AC254" s="785"/>
      <c r="AD254" s="785"/>
      <c r="AE254" s="785"/>
      <c r="AF254" s="799"/>
      <c r="AG254" s="800"/>
      <c r="AH254" s="800"/>
      <c r="AI254" s="800"/>
      <c r="AJ254" s="800"/>
      <c r="AK254" s="800"/>
      <c r="AL254" s="800"/>
      <c r="AM254" s="800"/>
      <c r="AN254" s="800"/>
      <c r="AO254" s="800"/>
      <c r="AP254" s="800"/>
      <c r="AQ254" s="808">
        <v>4.3</v>
      </c>
      <c r="AR254" s="800">
        <v>4.3</v>
      </c>
      <c r="AS254" s="800">
        <v>4.3</v>
      </c>
      <c r="AT254" s="800">
        <v>4.4000000000000004</v>
      </c>
      <c r="AU254" s="805">
        <v>4.5</v>
      </c>
      <c r="AV254" s="808"/>
      <c r="AW254" s="800"/>
      <c r="AX254" s="800"/>
      <c r="AY254" s="800"/>
      <c r="AZ254" s="800"/>
      <c r="BA254" s="800"/>
      <c r="BB254" s="800"/>
      <c r="BC254" s="800"/>
      <c r="BD254" s="800"/>
      <c r="BE254" s="800"/>
      <c r="BF254" s="800"/>
      <c r="BG254" s="800"/>
      <c r="BH254" s="800"/>
      <c r="BI254" s="800"/>
      <c r="BJ254" s="800"/>
      <c r="BK254" s="805"/>
      <c r="BL254" s="834"/>
      <c r="BM254" s="835"/>
      <c r="BN254" s="835"/>
      <c r="BO254" s="835"/>
      <c r="BP254" s="836"/>
      <c r="BQ254" s="808" t="s">
        <v>1942</v>
      </c>
      <c r="BR254" s="800" t="s">
        <v>1942</v>
      </c>
      <c r="BS254" s="800" t="s">
        <v>1942</v>
      </c>
      <c r="BT254" s="800" t="s">
        <v>1942</v>
      </c>
      <c r="BU254" s="805" t="s">
        <v>1942</v>
      </c>
      <c r="BV254" s="808" t="s">
        <v>1942</v>
      </c>
      <c r="BW254" s="800" t="s">
        <v>1942</v>
      </c>
      <c r="BX254" s="800" t="s">
        <v>1942</v>
      </c>
      <c r="BY254" s="800" t="s">
        <v>1942</v>
      </c>
      <c r="BZ254" s="800" t="s">
        <v>1942</v>
      </c>
      <c r="CA254" s="808" t="s">
        <v>1942</v>
      </c>
      <c r="CB254" s="800" t="s">
        <v>1942</v>
      </c>
      <c r="CC254" s="800" t="s">
        <v>1942</v>
      </c>
      <c r="CD254" s="800" t="s">
        <v>1942</v>
      </c>
      <c r="CE254" s="805" t="s">
        <v>1942</v>
      </c>
      <c r="CF254" s="800" t="s">
        <v>1942</v>
      </c>
      <c r="CG254" s="800" t="s">
        <v>1942</v>
      </c>
      <c r="CH254" s="800" t="s">
        <v>1942</v>
      </c>
      <c r="CI254" s="800" t="s">
        <v>1942</v>
      </c>
      <c r="CJ254" s="805" t="s">
        <v>1942</v>
      </c>
      <c r="CK254" s="808" t="s">
        <v>1942</v>
      </c>
      <c r="CL254" s="800" t="s">
        <v>1942</v>
      </c>
      <c r="CM254" s="800" t="s">
        <v>1942</v>
      </c>
      <c r="CN254" s="800" t="s">
        <v>1942</v>
      </c>
      <c r="CO254" s="805" t="s">
        <v>1942</v>
      </c>
      <c r="CP254" s="808" t="s">
        <v>1942</v>
      </c>
      <c r="CQ254" s="800" t="s">
        <v>1942</v>
      </c>
      <c r="CR254" s="800" t="s">
        <v>1942</v>
      </c>
      <c r="CS254" s="800" t="s">
        <v>1942</v>
      </c>
      <c r="CT254" s="805" t="s">
        <v>1942</v>
      </c>
      <c r="CU254" s="1284" t="s">
        <v>1942</v>
      </c>
      <c r="CV254" s="1283" t="s">
        <v>1942</v>
      </c>
      <c r="CW254" s="1283" t="s">
        <v>1942</v>
      </c>
      <c r="CX254" s="1285" t="s">
        <v>1942</v>
      </c>
      <c r="CY254" s="1283" t="s">
        <v>1942</v>
      </c>
      <c r="CZ254" s="1283" t="s">
        <v>1942</v>
      </c>
      <c r="DA254" s="1283" t="s">
        <v>1942</v>
      </c>
      <c r="DB254" s="1285" t="s">
        <v>1942</v>
      </c>
      <c r="DC254" s="785"/>
      <c r="DD254" s="813">
        <v>1</v>
      </c>
      <c r="DE254" s="814"/>
    </row>
    <row r="255" spans="1:109" ht="15.75" hidden="1" customHeight="1">
      <c r="A255" s="772" t="s">
        <v>1075</v>
      </c>
      <c r="B255" s="773">
        <v>249</v>
      </c>
      <c r="C255" s="789" t="s">
        <v>2974</v>
      </c>
      <c r="D255" s="773" t="s">
        <v>2918</v>
      </c>
      <c r="E255" s="773" t="s">
        <v>1907</v>
      </c>
      <c r="F255" s="785" t="s">
        <v>2975</v>
      </c>
      <c r="G255" s="790" t="s">
        <v>2976</v>
      </c>
      <c r="H255" s="791" t="s">
        <v>2977</v>
      </c>
      <c r="I255" s="792"/>
      <c r="J255" s="793"/>
      <c r="K255" s="793"/>
      <c r="L255" s="793"/>
      <c r="M255" s="793">
        <v>1</v>
      </c>
      <c r="N255" s="793"/>
      <c r="O255" s="793"/>
      <c r="P255" s="794"/>
      <c r="Q255" s="795">
        <f t="shared" si="3"/>
        <v>1</v>
      </c>
      <c r="R255" s="789" t="s">
        <v>1007</v>
      </c>
      <c r="S255" s="773"/>
      <c r="T255" s="796"/>
      <c r="U255" s="773" t="s">
        <v>2117</v>
      </c>
      <c r="V255" s="773" t="s">
        <v>1081</v>
      </c>
      <c r="W255" s="773" t="s">
        <v>2955</v>
      </c>
      <c r="X255" s="1310">
        <v>1</v>
      </c>
      <c r="Y255" s="821" t="s">
        <v>1010</v>
      </c>
      <c r="Z255" s="790"/>
      <c r="AA255" s="785"/>
      <c r="AB255" s="785"/>
      <c r="AC255" s="785"/>
      <c r="AD255" s="785"/>
      <c r="AE255" s="785"/>
      <c r="AF255" s="799"/>
      <c r="AG255" s="800"/>
      <c r="AH255" s="800"/>
      <c r="AI255" s="800"/>
      <c r="AJ255" s="800"/>
      <c r="AK255" s="800"/>
      <c r="AL255" s="800"/>
      <c r="AM255" s="800"/>
      <c r="AN255" s="800"/>
      <c r="AO255" s="800"/>
      <c r="AP255" s="800"/>
      <c r="AQ255" s="808">
        <v>4.2</v>
      </c>
      <c r="AR255" s="800">
        <v>4.3</v>
      </c>
      <c r="AS255" s="800">
        <v>4.4000000000000004</v>
      </c>
      <c r="AT255" s="800">
        <v>4.5</v>
      </c>
      <c r="AU255" s="805">
        <v>4.5</v>
      </c>
      <c r="AV255" s="808"/>
      <c r="AW255" s="800"/>
      <c r="AX255" s="800"/>
      <c r="AY255" s="800"/>
      <c r="AZ255" s="800"/>
      <c r="BA255" s="800"/>
      <c r="BB255" s="800"/>
      <c r="BC255" s="800"/>
      <c r="BD255" s="800"/>
      <c r="BE255" s="800"/>
      <c r="BF255" s="800"/>
      <c r="BG255" s="800"/>
      <c r="BH255" s="800"/>
      <c r="BI255" s="800"/>
      <c r="BJ255" s="800"/>
      <c r="BK255" s="805"/>
      <c r="BL255" s="789"/>
      <c r="BM255" s="785"/>
      <c r="BN255" s="785"/>
      <c r="BO255" s="785"/>
      <c r="BP255" s="796"/>
      <c r="BQ255" s="808" t="s">
        <v>1942</v>
      </c>
      <c r="BR255" s="800" t="s">
        <v>1942</v>
      </c>
      <c r="BS255" s="800" t="s">
        <v>1942</v>
      </c>
      <c r="BT255" s="800" t="s">
        <v>1942</v>
      </c>
      <c r="BU255" s="805" t="s">
        <v>1942</v>
      </c>
      <c r="BV255" s="808" t="s">
        <v>1942</v>
      </c>
      <c r="BW255" s="800" t="s">
        <v>1942</v>
      </c>
      <c r="BX255" s="800" t="s">
        <v>1942</v>
      </c>
      <c r="BY255" s="800" t="s">
        <v>1942</v>
      </c>
      <c r="BZ255" s="800" t="s">
        <v>1942</v>
      </c>
      <c r="CA255" s="808" t="s">
        <v>1942</v>
      </c>
      <c r="CB255" s="800" t="s">
        <v>1942</v>
      </c>
      <c r="CC255" s="800" t="s">
        <v>1942</v>
      </c>
      <c r="CD255" s="800" t="s">
        <v>1942</v>
      </c>
      <c r="CE255" s="805" t="s">
        <v>1942</v>
      </c>
      <c r="CF255" s="800" t="s">
        <v>1942</v>
      </c>
      <c r="CG255" s="800" t="s">
        <v>1942</v>
      </c>
      <c r="CH255" s="800" t="s">
        <v>1942</v>
      </c>
      <c r="CI255" s="800" t="s">
        <v>1942</v>
      </c>
      <c r="CJ255" s="805" t="s">
        <v>1942</v>
      </c>
      <c r="CK255" s="808" t="s">
        <v>1942</v>
      </c>
      <c r="CL255" s="800" t="s">
        <v>1942</v>
      </c>
      <c r="CM255" s="800" t="s">
        <v>1942</v>
      </c>
      <c r="CN255" s="800" t="s">
        <v>1942</v>
      </c>
      <c r="CO255" s="805" t="s">
        <v>1942</v>
      </c>
      <c r="CP255" s="808" t="s">
        <v>1942</v>
      </c>
      <c r="CQ255" s="800" t="s">
        <v>1942</v>
      </c>
      <c r="CR255" s="800" t="s">
        <v>1942</v>
      </c>
      <c r="CS255" s="800" t="s">
        <v>1942</v>
      </c>
      <c r="CT255" s="805" t="s">
        <v>1942</v>
      </c>
      <c r="CU255" s="1284" t="s">
        <v>1942</v>
      </c>
      <c r="CV255" s="1283" t="s">
        <v>1942</v>
      </c>
      <c r="CW255" s="1283" t="s">
        <v>1942</v>
      </c>
      <c r="CX255" s="1285" t="s">
        <v>1942</v>
      </c>
      <c r="CY255" s="1283" t="s">
        <v>1942</v>
      </c>
      <c r="CZ255" s="1283" t="s">
        <v>1942</v>
      </c>
      <c r="DA255" s="1283" t="s">
        <v>1942</v>
      </c>
      <c r="DB255" s="1285" t="s">
        <v>1942</v>
      </c>
      <c r="DC255" s="785"/>
      <c r="DD255" s="813">
        <v>1</v>
      </c>
      <c r="DE255" s="814"/>
    </row>
    <row r="256" spans="1:109" ht="15.75" hidden="1" customHeight="1">
      <c r="A256" s="772" t="s">
        <v>1075</v>
      </c>
      <c r="B256" s="773">
        <v>250</v>
      </c>
      <c r="C256" s="789" t="s">
        <v>2978</v>
      </c>
      <c r="D256" s="773" t="s">
        <v>2918</v>
      </c>
      <c r="E256" s="773" t="s">
        <v>1907</v>
      </c>
      <c r="F256" s="785" t="s">
        <v>2979</v>
      </c>
      <c r="G256" s="790" t="s">
        <v>2980</v>
      </c>
      <c r="H256" s="791" t="s">
        <v>2981</v>
      </c>
      <c r="I256" s="792"/>
      <c r="J256" s="793">
        <v>0.5</v>
      </c>
      <c r="K256" s="793"/>
      <c r="L256" s="793"/>
      <c r="M256" s="793">
        <v>0.5</v>
      </c>
      <c r="N256" s="793"/>
      <c r="O256" s="793"/>
      <c r="P256" s="794"/>
      <c r="Q256" s="795">
        <f t="shared" si="3"/>
        <v>1</v>
      </c>
      <c r="R256" s="789" t="s">
        <v>1007</v>
      </c>
      <c r="S256" s="773"/>
      <c r="T256" s="796"/>
      <c r="U256" s="773" t="s">
        <v>2117</v>
      </c>
      <c r="V256" s="773" t="s">
        <v>1081</v>
      </c>
      <c r="W256" s="773" t="s">
        <v>2955</v>
      </c>
      <c r="X256" s="1310">
        <v>1</v>
      </c>
      <c r="Y256" s="821" t="s">
        <v>1010</v>
      </c>
      <c r="Z256" s="790"/>
      <c r="AA256" s="785"/>
      <c r="AB256" s="785"/>
      <c r="AC256" s="785"/>
      <c r="AD256" s="785"/>
      <c r="AE256" s="785"/>
      <c r="AF256" s="799"/>
      <c r="AG256" s="800"/>
      <c r="AH256" s="800"/>
      <c r="AI256" s="800"/>
      <c r="AJ256" s="800"/>
      <c r="AK256" s="800"/>
      <c r="AL256" s="800"/>
      <c r="AM256" s="800"/>
      <c r="AN256" s="800"/>
      <c r="AO256" s="800"/>
      <c r="AP256" s="800"/>
      <c r="AQ256" s="808">
        <v>4.0999999999999996</v>
      </c>
      <c r="AR256" s="800">
        <v>4.2</v>
      </c>
      <c r="AS256" s="800">
        <v>4.3</v>
      </c>
      <c r="AT256" s="800">
        <v>4.4000000000000004</v>
      </c>
      <c r="AU256" s="805">
        <v>4.5</v>
      </c>
      <c r="AV256" s="808"/>
      <c r="AW256" s="800"/>
      <c r="AX256" s="800"/>
      <c r="AY256" s="800"/>
      <c r="AZ256" s="800"/>
      <c r="BA256" s="800"/>
      <c r="BB256" s="800"/>
      <c r="BC256" s="800"/>
      <c r="BD256" s="800"/>
      <c r="BE256" s="800"/>
      <c r="BF256" s="800"/>
      <c r="BG256" s="800"/>
      <c r="BH256" s="800"/>
      <c r="BI256" s="800"/>
      <c r="BJ256" s="800"/>
      <c r="BK256" s="805"/>
      <c r="BL256" s="789"/>
      <c r="BM256" s="785"/>
      <c r="BN256" s="785"/>
      <c r="BO256" s="785"/>
      <c r="BP256" s="796"/>
      <c r="BQ256" s="808" t="s">
        <v>1942</v>
      </c>
      <c r="BR256" s="800" t="s">
        <v>1942</v>
      </c>
      <c r="BS256" s="800" t="s">
        <v>1942</v>
      </c>
      <c r="BT256" s="800" t="s">
        <v>1942</v>
      </c>
      <c r="BU256" s="805" t="s">
        <v>1942</v>
      </c>
      <c r="BV256" s="808" t="s">
        <v>1942</v>
      </c>
      <c r="BW256" s="800" t="s">
        <v>1942</v>
      </c>
      <c r="BX256" s="800" t="s">
        <v>1942</v>
      </c>
      <c r="BY256" s="800" t="s">
        <v>1942</v>
      </c>
      <c r="BZ256" s="800" t="s">
        <v>1942</v>
      </c>
      <c r="CA256" s="808" t="s">
        <v>1942</v>
      </c>
      <c r="CB256" s="800" t="s">
        <v>1942</v>
      </c>
      <c r="CC256" s="800" t="s">
        <v>1942</v>
      </c>
      <c r="CD256" s="800" t="s">
        <v>1942</v>
      </c>
      <c r="CE256" s="805" t="s">
        <v>1942</v>
      </c>
      <c r="CF256" s="800" t="s">
        <v>1942</v>
      </c>
      <c r="CG256" s="800" t="s">
        <v>1942</v>
      </c>
      <c r="CH256" s="800" t="s">
        <v>1942</v>
      </c>
      <c r="CI256" s="800" t="s">
        <v>1942</v>
      </c>
      <c r="CJ256" s="805" t="s">
        <v>1942</v>
      </c>
      <c r="CK256" s="808" t="s">
        <v>1942</v>
      </c>
      <c r="CL256" s="800" t="s">
        <v>1942</v>
      </c>
      <c r="CM256" s="800" t="s">
        <v>1942</v>
      </c>
      <c r="CN256" s="800" t="s">
        <v>1942</v>
      </c>
      <c r="CO256" s="805" t="s">
        <v>1942</v>
      </c>
      <c r="CP256" s="808" t="s">
        <v>1942</v>
      </c>
      <c r="CQ256" s="800" t="s">
        <v>1942</v>
      </c>
      <c r="CR256" s="800" t="s">
        <v>1942</v>
      </c>
      <c r="CS256" s="800" t="s">
        <v>1942</v>
      </c>
      <c r="CT256" s="805" t="s">
        <v>1942</v>
      </c>
      <c r="CU256" s="1284" t="s">
        <v>1942</v>
      </c>
      <c r="CV256" s="1283" t="s">
        <v>1942</v>
      </c>
      <c r="CW256" s="1283" t="s">
        <v>1942</v>
      </c>
      <c r="CX256" s="1285" t="s">
        <v>1942</v>
      </c>
      <c r="CY256" s="1283" t="s">
        <v>1942</v>
      </c>
      <c r="CZ256" s="1283" t="s">
        <v>1942</v>
      </c>
      <c r="DA256" s="1283" t="s">
        <v>1942</v>
      </c>
      <c r="DB256" s="1285" t="s">
        <v>1942</v>
      </c>
      <c r="DC256" s="785"/>
      <c r="DD256" s="813">
        <v>1</v>
      </c>
      <c r="DE256" s="814"/>
    </row>
    <row r="257" spans="1:109" ht="15.75" hidden="1" customHeight="1">
      <c r="A257" s="772" t="s">
        <v>1075</v>
      </c>
      <c r="B257" s="773">
        <v>251</v>
      </c>
      <c r="C257" s="789" t="s">
        <v>2982</v>
      </c>
      <c r="D257" s="773" t="s">
        <v>2918</v>
      </c>
      <c r="E257" s="773" t="s">
        <v>1907</v>
      </c>
      <c r="F257" s="785" t="s">
        <v>2983</v>
      </c>
      <c r="G257" s="790" t="s">
        <v>2984</v>
      </c>
      <c r="H257" s="791" t="s">
        <v>2985</v>
      </c>
      <c r="I257" s="792"/>
      <c r="J257" s="793">
        <v>0.5</v>
      </c>
      <c r="K257" s="793"/>
      <c r="L257" s="793"/>
      <c r="M257" s="793">
        <v>0.5</v>
      </c>
      <c r="N257" s="793"/>
      <c r="O257" s="793"/>
      <c r="P257" s="794"/>
      <c r="Q257" s="795">
        <f t="shared" si="3"/>
        <v>1</v>
      </c>
      <c r="R257" s="789" t="s">
        <v>1007</v>
      </c>
      <c r="S257" s="773"/>
      <c r="T257" s="796"/>
      <c r="U257" s="773" t="s">
        <v>2117</v>
      </c>
      <c r="V257" s="1351" t="s">
        <v>1081</v>
      </c>
      <c r="W257" s="1350" t="s">
        <v>2986</v>
      </c>
      <c r="X257" s="1310">
        <v>1</v>
      </c>
      <c r="Y257" s="821" t="s">
        <v>1010</v>
      </c>
      <c r="Z257" s="790"/>
      <c r="AA257" s="785"/>
      <c r="AB257" s="785"/>
      <c r="AC257" s="785"/>
      <c r="AD257" s="785"/>
      <c r="AE257" s="785"/>
      <c r="AF257" s="799"/>
      <c r="AG257" s="800"/>
      <c r="AH257" s="800"/>
      <c r="AI257" s="800"/>
      <c r="AJ257" s="800"/>
      <c r="AK257" s="800"/>
      <c r="AL257" s="800"/>
      <c r="AM257" s="800"/>
      <c r="AN257" s="800"/>
      <c r="AO257" s="800"/>
      <c r="AP257" s="800"/>
      <c r="AQ257" s="858">
        <v>0.1</v>
      </c>
      <c r="AR257" s="859">
        <v>0.1</v>
      </c>
      <c r="AS257" s="859">
        <v>0.1</v>
      </c>
      <c r="AT257" s="859">
        <v>0.1</v>
      </c>
      <c r="AU257" s="860">
        <v>0.1</v>
      </c>
      <c r="AV257" s="808"/>
      <c r="AW257" s="800"/>
      <c r="AX257" s="800"/>
      <c r="AY257" s="800"/>
      <c r="AZ257" s="800"/>
      <c r="BA257" s="800"/>
      <c r="BB257" s="800"/>
      <c r="BC257" s="800"/>
      <c r="BD257" s="800"/>
      <c r="BE257" s="800"/>
      <c r="BF257" s="800"/>
      <c r="BG257" s="800"/>
      <c r="BH257" s="800"/>
      <c r="BI257" s="800"/>
      <c r="BJ257" s="800"/>
      <c r="BK257" s="805"/>
      <c r="BL257" s="789"/>
      <c r="BM257" s="785"/>
      <c r="BN257" s="785"/>
      <c r="BO257" s="785"/>
      <c r="BP257" s="796"/>
      <c r="BQ257" s="808" t="s">
        <v>1942</v>
      </c>
      <c r="BR257" s="800" t="s">
        <v>1942</v>
      </c>
      <c r="BS257" s="800" t="s">
        <v>1942</v>
      </c>
      <c r="BT257" s="800" t="s">
        <v>1942</v>
      </c>
      <c r="BU257" s="805" t="s">
        <v>1942</v>
      </c>
      <c r="BV257" s="808" t="s">
        <v>1942</v>
      </c>
      <c r="BW257" s="800" t="s">
        <v>1942</v>
      </c>
      <c r="BX257" s="800" t="s">
        <v>1942</v>
      </c>
      <c r="BY257" s="800" t="s">
        <v>1942</v>
      </c>
      <c r="BZ257" s="800" t="s">
        <v>1942</v>
      </c>
      <c r="CA257" s="808" t="s">
        <v>1942</v>
      </c>
      <c r="CB257" s="800" t="s">
        <v>1942</v>
      </c>
      <c r="CC257" s="800" t="s">
        <v>1942</v>
      </c>
      <c r="CD257" s="800" t="s">
        <v>1942</v>
      </c>
      <c r="CE257" s="805" t="s">
        <v>1942</v>
      </c>
      <c r="CF257" s="800" t="s">
        <v>1942</v>
      </c>
      <c r="CG257" s="800" t="s">
        <v>1942</v>
      </c>
      <c r="CH257" s="800" t="s">
        <v>1942</v>
      </c>
      <c r="CI257" s="800" t="s">
        <v>1942</v>
      </c>
      <c r="CJ257" s="805" t="s">
        <v>1942</v>
      </c>
      <c r="CK257" s="808" t="s">
        <v>1942</v>
      </c>
      <c r="CL257" s="800" t="s">
        <v>1942</v>
      </c>
      <c r="CM257" s="800" t="s">
        <v>1942</v>
      </c>
      <c r="CN257" s="800" t="s">
        <v>1942</v>
      </c>
      <c r="CO257" s="805" t="s">
        <v>1942</v>
      </c>
      <c r="CP257" s="808" t="s">
        <v>1942</v>
      </c>
      <c r="CQ257" s="800" t="s">
        <v>1942</v>
      </c>
      <c r="CR257" s="800" t="s">
        <v>1942</v>
      </c>
      <c r="CS257" s="800" t="s">
        <v>1942</v>
      </c>
      <c r="CT257" s="805" t="s">
        <v>1942</v>
      </c>
      <c r="CU257" s="1284" t="s">
        <v>1942</v>
      </c>
      <c r="CV257" s="1283" t="s">
        <v>1942</v>
      </c>
      <c r="CW257" s="1283" t="s">
        <v>1942</v>
      </c>
      <c r="CX257" s="1285" t="s">
        <v>1942</v>
      </c>
      <c r="CY257" s="1283" t="s">
        <v>1942</v>
      </c>
      <c r="CZ257" s="1283" t="s">
        <v>1942</v>
      </c>
      <c r="DA257" s="1283" t="s">
        <v>1942</v>
      </c>
      <c r="DB257" s="1285" t="s">
        <v>1942</v>
      </c>
      <c r="DC257" s="785"/>
      <c r="DD257" s="813">
        <v>1</v>
      </c>
      <c r="DE257" s="814"/>
    </row>
    <row r="258" spans="1:109" ht="15.75" hidden="1" customHeight="1">
      <c r="A258" s="772" t="s">
        <v>1075</v>
      </c>
      <c r="B258" s="773">
        <v>252</v>
      </c>
      <c r="C258" s="789" t="s">
        <v>2987</v>
      </c>
      <c r="D258" s="773" t="s">
        <v>2926</v>
      </c>
      <c r="E258" s="773" t="s">
        <v>1889</v>
      </c>
      <c r="F258" s="785" t="s">
        <v>2826</v>
      </c>
      <c r="G258" s="790" t="s">
        <v>2988</v>
      </c>
      <c r="H258" s="791" t="s">
        <v>2989</v>
      </c>
      <c r="I258" s="792">
        <v>0.2</v>
      </c>
      <c r="J258" s="793">
        <v>0.8</v>
      </c>
      <c r="K258" s="793"/>
      <c r="L258" s="793"/>
      <c r="M258" s="793"/>
      <c r="N258" s="793"/>
      <c r="O258" s="793"/>
      <c r="P258" s="794"/>
      <c r="Q258" s="795">
        <f t="shared" si="3"/>
        <v>1</v>
      </c>
      <c r="R258" s="789" t="s">
        <v>1030</v>
      </c>
      <c r="S258" s="773" t="s">
        <v>1008</v>
      </c>
      <c r="T258" s="796" t="s">
        <v>1009</v>
      </c>
      <c r="U258" s="773" t="s">
        <v>2149</v>
      </c>
      <c r="V258" s="773" t="s">
        <v>1033</v>
      </c>
      <c r="W258" s="773" t="s">
        <v>2990</v>
      </c>
      <c r="X258" s="1310">
        <v>2</v>
      </c>
      <c r="Y258" s="821" t="s">
        <v>1020</v>
      </c>
      <c r="Z258" s="790" t="s">
        <v>2002</v>
      </c>
      <c r="AA258" s="785"/>
      <c r="AB258" s="785"/>
      <c r="AC258" s="785"/>
      <c r="AD258" s="785"/>
      <c r="AE258" s="785"/>
      <c r="AF258" s="799"/>
      <c r="AG258" s="800"/>
      <c r="AH258" s="800"/>
      <c r="AI258" s="800"/>
      <c r="AJ258" s="800"/>
      <c r="AK258" s="800"/>
      <c r="AL258" s="800"/>
      <c r="AM258" s="800"/>
      <c r="AN258" s="800"/>
      <c r="AO258" s="800"/>
      <c r="AP258" s="800"/>
      <c r="AQ258" s="808">
        <v>1.0900000000000001</v>
      </c>
      <c r="AR258" s="800">
        <v>1.02</v>
      </c>
      <c r="AS258" s="800">
        <v>0.94</v>
      </c>
      <c r="AT258" s="800">
        <v>0.86</v>
      </c>
      <c r="AU258" s="805">
        <v>0.79</v>
      </c>
      <c r="AV258" s="808"/>
      <c r="AW258" s="800"/>
      <c r="AX258" s="800"/>
      <c r="AY258" s="800"/>
      <c r="AZ258" s="800"/>
      <c r="BA258" s="800"/>
      <c r="BB258" s="800"/>
      <c r="BC258" s="800"/>
      <c r="BD258" s="800"/>
      <c r="BE258" s="800"/>
      <c r="BF258" s="800"/>
      <c r="BG258" s="800"/>
      <c r="BH258" s="800"/>
      <c r="BI258" s="800"/>
      <c r="BJ258" s="800"/>
      <c r="BK258" s="805"/>
      <c r="BL258" s="789" t="s">
        <v>168</v>
      </c>
      <c r="BM258" s="785" t="s">
        <v>168</v>
      </c>
      <c r="BN258" s="785" t="s">
        <v>168</v>
      </c>
      <c r="BO258" s="785" t="s">
        <v>168</v>
      </c>
      <c r="BP258" s="796" t="s">
        <v>168</v>
      </c>
      <c r="BQ258" s="808" t="s">
        <v>1942</v>
      </c>
      <c r="BR258" s="800" t="s">
        <v>1942</v>
      </c>
      <c r="BS258" s="800" t="s">
        <v>1942</v>
      </c>
      <c r="BT258" s="800" t="s">
        <v>1942</v>
      </c>
      <c r="BU258" s="805" t="s">
        <v>1942</v>
      </c>
      <c r="BV258" s="808" t="s">
        <v>1942</v>
      </c>
      <c r="BW258" s="800" t="s">
        <v>1942</v>
      </c>
      <c r="BX258" s="800" t="s">
        <v>1942</v>
      </c>
      <c r="BY258" s="800" t="s">
        <v>1942</v>
      </c>
      <c r="BZ258" s="800" t="s">
        <v>1942</v>
      </c>
      <c r="CA258" s="808" t="s">
        <v>1942</v>
      </c>
      <c r="CB258" s="800" t="s">
        <v>1942</v>
      </c>
      <c r="CC258" s="800" t="s">
        <v>1942</v>
      </c>
      <c r="CD258" s="800" t="s">
        <v>1942</v>
      </c>
      <c r="CE258" s="805" t="s">
        <v>1942</v>
      </c>
      <c r="CF258" s="800" t="s">
        <v>1942</v>
      </c>
      <c r="CG258" s="800" t="s">
        <v>1942</v>
      </c>
      <c r="CH258" s="800" t="s">
        <v>1942</v>
      </c>
      <c r="CI258" s="800" t="s">
        <v>1942</v>
      </c>
      <c r="CJ258" s="800" t="s">
        <v>1942</v>
      </c>
      <c r="CK258" s="808" t="s">
        <v>1942</v>
      </c>
      <c r="CL258" s="800" t="s">
        <v>1942</v>
      </c>
      <c r="CM258" s="800" t="s">
        <v>1942</v>
      </c>
      <c r="CN258" s="800" t="s">
        <v>1942</v>
      </c>
      <c r="CO258" s="805" t="s">
        <v>1942</v>
      </c>
      <c r="CP258" s="808" t="s">
        <v>1942</v>
      </c>
      <c r="CQ258" s="800" t="s">
        <v>1942</v>
      </c>
      <c r="CR258" s="800" t="s">
        <v>1942</v>
      </c>
      <c r="CS258" s="800" t="s">
        <v>1942</v>
      </c>
      <c r="CT258" s="805" t="s">
        <v>1942</v>
      </c>
      <c r="CU258" s="1284">
        <v>-2.2258</v>
      </c>
      <c r="CV258" s="1283" t="s">
        <v>1942</v>
      </c>
      <c r="CW258" s="1283" t="s">
        <v>1942</v>
      </c>
      <c r="CX258" s="1285" t="s">
        <v>1942</v>
      </c>
      <c r="CY258" s="1283">
        <v>0.94740000000000002</v>
      </c>
      <c r="CZ258" s="1283" t="s">
        <v>1942</v>
      </c>
      <c r="DA258" s="1283" t="s">
        <v>1942</v>
      </c>
      <c r="DB258" s="1285" t="s">
        <v>1942</v>
      </c>
      <c r="DC258" s="785"/>
      <c r="DD258" s="813">
        <v>1</v>
      </c>
      <c r="DE258" s="814"/>
    </row>
    <row r="259" spans="1:109" ht="15.75" hidden="1" customHeight="1">
      <c r="A259" s="772" t="s">
        <v>1075</v>
      </c>
      <c r="B259" s="773">
        <v>253</v>
      </c>
      <c r="C259" s="789" t="s">
        <v>2991</v>
      </c>
      <c r="D259" s="773" t="s">
        <v>2926</v>
      </c>
      <c r="E259" s="773" t="s">
        <v>1907</v>
      </c>
      <c r="F259" s="785" t="s">
        <v>2828</v>
      </c>
      <c r="G259" s="790" t="s">
        <v>2992</v>
      </c>
      <c r="H259" s="791" t="s">
        <v>2993</v>
      </c>
      <c r="I259" s="792">
        <v>0.2</v>
      </c>
      <c r="J259" s="793">
        <v>0.8</v>
      </c>
      <c r="K259" s="793"/>
      <c r="L259" s="793"/>
      <c r="M259" s="793"/>
      <c r="N259" s="793"/>
      <c r="O259" s="793"/>
      <c r="P259" s="794"/>
      <c r="Q259" s="795">
        <f t="shared" si="3"/>
        <v>1</v>
      </c>
      <c r="R259" s="789" t="s">
        <v>1030</v>
      </c>
      <c r="S259" s="773" t="s">
        <v>1008</v>
      </c>
      <c r="T259" s="861" t="s">
        <v>1009</v>
      </c>
      <c r="U259" s="773" t="s">
        <v>2149</v>
      </c>
      <c r="V259" s="773" t="s">
        <v>1033</v>
      </c>
      <c r="W259" s="773" t="s">
        <v>2990</v>
      </c>
      <c r="X259" s="1310">
        <v>2</v>
      </c>
      <c r="Y259" s="798" t="s">
        <v>1020</v>
      </c>
      <c r="Z259" s="790" t="s">
        <v>2002</v>
      </c>
      <c r="AA259" s="785"/>
      <c r="AB259" s="785"/>
      <c r="AC259" s="785"/>
      <c r="AD259" s="785"/>
      <c r="AE259" s="785"/>
      <c r="AF259" s="799"/>
      <c r="AG259" s="800"/>
      <c r="AH259" s="800"/>
      <c r="AI259" s="800"/>
      <c r="AJ259" s="800"/>
      <c r="AK259" s="800"/>
      <c r="AL259" s="800"/>
      <c r="AM259" s="800"/>
      <c r="AN259" s="800"/>
      <c r="AO259" s="800"/>
      <c r="AP259" s="800"/>
      <c r="AQ259" s="808">
        <v>0.42</v>
      </c>
      <c r="AR259" s="800">
        <v>0.38</v>
      </c>
      <c r="AS259" s="800">
        <v>0.35</v>
      </c>
      <c r="AT259" s="800">
        <v>0.32</v>
      </c>
      <c r="AU259" s="805">
        <v>0.28999999999999998</v>
      </c>
      <c r="AV259" s="808"/>
      <c r="AW259" s="800"/>
      <c r="AX259" s="800"/>
      <c r="AY259" s="800"/>
      <c r="AZ259" s="800"/>
      <c r="BA259" s="800"/>
      <c r="BB259" s="800"/>
      <c r="BC259" s="800"/>
      <c r="BD259" s="800"/>
      <c r="BE259" s="800"/>
      <c r="BF259" s="800"/>
      <c r="BG259" s="800"/>
      <c r="BH259" s="800"/>
      <c r="BI259" s="800"/>
      <c r="BJ259" s="800"/>
      <c r="BK259" s="805"/>
      <c r="BL259" s="789" t="s">
        <v>168</v>
      </c>
      <c r="BM259" s="785" t="s">
        <v>168</v>
      </c>
      <c r="BN259" s="785" t="s">
        <v>168</v>
      </c>
      <c r="BO259" s="785" t="s">
        <v>168</v>
      </c>
      <c r="BP259" s="796" t="s">
        <v>168</v>
      </c>
      <c r="BQ259" s="808" t="s">
        <v>1942</v>
      </c>
      <c r="BR259" s="800" t="s">
        <v>1942</v>
      </c>
      <c r="BS259" s="800" t="s">
        <v>1942</v>
      </c>
      <c r="BT259" s="800" t="s">
        <v>1942</v>
      </c>
      <c r="BU259" s="805" t="s">
        <v>1942</v>
      </c>
      <c r="BV259" s="806" t="s">
        <v>1942</v>
      </c>
      <c r="BW259" s="807" t="s">
        <v>1942</v>
      </c>
      <c r="BX259" s="807" t="s">
        <v>1942</v>
      </c>
      <c r="BY259" s="807" t="s">
        <v>1942</v>
      </c>
      <c r="BZ259" s="807" t="s">
        <v>1942</v>
      </c>
      <c r="CA259" s="806" t="s">
        <v>1942</v>
      </c>
      <c r="CB259" s="807" t="s">
        <v>1942</v>
      </c>
      <c r="CC259" s="807" t="s">
        <v>1942</v>
      </c>
      <c r="CD259" s="807" t="s">
        <v>1942</v>
      </c>
      <c r="CE259" s="820" t="s">
        <v>1942</v>
      </c>
      <c r="CF259" s="807" t="s">
        <v>1942</v>
      </c>
      <c r="CG259" s="807" t="s">
        <v>1942</v>
      </c>
      <c r="CH259" s="807" t="s">
        <v>1942</v>
      </c>
      <c r="CI259" s="807" t="s">
        <v>1942</v>
      </c>
      <c r="CJ259" s="820" t="s">
        <v>1942</v>
      </c>
      <c r="CK259" s="806" t="s">
        <v>1942</v>
      </c>
      <c r="CL259" s="807" t="s">
        <v>1942</v>
      </c>
      <c r="CM259" s="807" t="s">
        <v>1942</v>
      </c>
      <c r="CN259" s="807" t="s">
        <v>1942</v>
      </c>
      <c r="CO259" s="820" t="s">
        <v>1942</v>
      </c>
      <c r="CP259" s="808" t="s">
        <v>1942</v>
      </c>
      <c r="CQ259" s="800" t="s">
        <v>1942</v>
      </c>
      <c r="CR259" s="800" t="s">
        <v>1942</v>
      </c>
      <c r="CS259" s="800" t="s">
        <v>1942</v>
      </c>
      <c r="CT259" s="805" t="s">
        <v>1942</v>
      </c>
      <c r="CU259" s="1284">
        <v>-0.80300000000000005</v>
      </c>
      <c r="CV259" s="1283" t="s">
        <v>1942</v>
      </c>
      <c r="CW259" s="1283" t="s">
        <v>1942</v>
      </c>
      <c r="CX259" s="1285" t="s">
        <v>1942</v>
      </c>
      <c r="CY259" s="1283">
        <v>0.80300000000000005</v>
      </c>
      <c r="CZ259" s="1283" t="s">
        <v>1942</v>
      </c>
      <c r="DA259" s="1283" t="s">
        <v>1942</v>
      </c>
      <c r="DB259" s="1285" t="s">
        <v>1942</v>
      </c>
      <c r="DC259" s="785"/>
      <c r="DD259" s="813">
        <v>1</v>
      </c>
      <c r="DE259" s="814"/>
    </row>
    <row r="260" spans="1:109" ht="15.75" hidden="1" customHeight="1">
      <c r="A260" s="772" t="s">
        <v>1075</v>
      </c>
      <c r="B260" s="773">
        <v>254</v>
      </c>
      <c r="C260" s="789" t="s">
        <v>2994</v>
      </c>
      <c r="D260" s="773" t="s">
        <v>2995</v>
      </c>
      <c r="E260" s="773" t="s">
        <v>1907</v>
      </c>
      <c r="F260" s="785" t="s">
        <v>2996</v>
      </c>
      <c r="G260" s="790" t="s">
        <v>2997</v>
      </c>
      <c r="H260" s="791" t="s">
        <v>2998</v>
      </c>
      <c r="I260" s="792"/>
      <c r="J260" s="793">
        <v>0.1</v>
      </c>
      <c r="K260" s="793"/>
      <c r="L260" s="793"/>
      <c r="M260" s="793">
        <v>0.9</v>
      </c>
      <c r="N260" s="793"/>
      <c r="O260" s="793"/>
      <c r="P260" s="794"/>
      <c r="Q260" s="795">
        <f t="shared" si="3"/>
        <v>1</v>
      </c>
      <c r="R260" s="789" t="s">
        <v>1007</v>
      </c>
      <c r="S260" s="773"/>
      <c r="T260" s="861"/>
      <c r="U260" s="773" t="s">
        <v>2117</v>
      </c>
      <c r="V260" s="773" t="s">
        <v>1033</v>
      </c>
      <c r="W260" s="773" t="s">
        <v>2839</v>
      </c>
      <c r="X260" s="1310">
        <v>0</v>
      </c>
      <c r="Y260" s="798" t="s">
        <v>1010</v>
      </c>
      <c r="Z260" s="790"/>
      <c r="AA260" s="785"/>
      <c r="AB260" s="785"/>
      <c r="AC260" s="785"/>
      <c r="AD260" s="785"/>
      <c r="AE260" s="785"/>
      <c r="AF260" s="799"/>
      <c r="AG260" s="800"/>
      <c r="AH260" s="800"/>
      <c r="AI260" s="800"/>
      <c r="AJ260" s="800"/>
      <c r="AK260" s="800"/>
      <c r="AL260" s="800"/>
      <c r="AM260" s="800"/>
      <c r="AN260" s="800"/>
      <c r="AO260" s="800"/>
      <c r="AP260" s="800"/>
      <c r="AQ260" s="808">
        <v>47000</v>
      </c>
      <c r="AR260" s="800">
        <v>58000</v>
      </c>
      <c r="AS260" s="800">
        <v>66000</v>
      </c>
      <c r="AT260" s="800">
        <v>72000</v>
      </c>
      <c r="AU260" s="805">
        <v>75000</v>
      </c>
      <c r="AV260" s="808"/>
      <c r="AW260" s="800"/>
      <c r="AX260" s="800"/>
      <c r="AY260" s="800"/>
      <c r="AZ260" s="800"/>
      <c r="BA260" s="800"/>
      <c r="BB260" s="800"/>
      <c r="BC260" s="800"/>
      <c r="BD260" s="800"/>
      <c r="BE260" s="800"/>
      <c r="BF260" s="800"/>
      <c r="BG260" s="800"/>
      <c r="BH260" s="800"/>
      <c r="BI260" s="800"/>
      <c r="BJ260" s="800"/>
      <c r="BK260" s="805"/>
      <c r="BL260" s="789"/>
      <c r="BM260" s="785"/>
      <c r="BN260" s="785"/>
      <c r="BO260" s="785"/>
      <c r="BP260" s="796"/>
      <c r="BQ260" s="804" t="s">
        <v>1942</v>
      </c>
      <c r="BR260" s="800" t="s">
        <v>1942</v>
      </c>
      <c r="BS260" s="800" t="s">
        <v>1942</v>
      </c>
      <c r="BT260" s="800" t="s">
        <v>1942</v>
      </c>
      <c r="BU260" s="805" t="s">
        <v>1942</v>
      </c>
      <c r="BV260" s="862" t="s">
        <v>1942</v>
      </c>
      <c r="BW260" s="816" t="s">
        <v>1942</v>
      </c>
      <c r="BX260" s="816" t="s">
        <v>1942</v>
      </c>
      <c r="BY260" s="816" t="s">
        <v>1942</v>
      </c>
      <c r="BZ260" s="816" t="s">
        <v>1942</v>
      </c>
      <c r="CA260" s="817" t="s">
        <v>1942</v>
      </c>
      <c r="CB260" s="816" t="s">
        <v>1942</v>
      </c>
      <c r="CC260" s="816" t="s">
        <v>1942</v>
      </c>
      <c r="CD260" s="816" t="s">
        <v>1942</v>
      </c>
      <c r="CE260" s="818" t="s">
        <v>1942</v>
      </c>
      <c r="CF260" s="816" t="s">
        <v>1942</v>
      </c>
      <c r="CG260" s="816" t="s">
        <v>1942</v>
      </c>
      <c r="CH260" s="816" t="s">
        <v>1942</v>
      </c>
      <c r="CI260" s="816" t="s">
        <v>1942</v>
      </c>
      <c r="CJ260" s="818" t="s">
        <v>1942</v>
      </c>
      <c r="CK260" s="817" t="s">
        <v>1942</v>
      </c>
      <c r="CL260" s="816" t="s">
        <v>1942</v>
      </c>
      <c r="CM260" s="816" t="s">
        <v>1942</v>
      </c>
      <c r="CN260" s="816" t="s">
        <v>1942</v>
      </c>
      <c r="CO260" s="818" t="s">
        <v>1942</v>
      </c>
      <c r="CP260" s="808" t="s">
        <v>1942</v>
      </c>
      <c r="CQ260" s="800" t="s">
        <v>1942</v>
      </c>
      <c r="CR260" s="800" t="s">
        <v>1942</v>
      </c>
      <c r="CS260" s="800" t="s">
        <v>1942</v>
      </c>
      <c r="CT260" s="805" t="s">
        <v>1942</v>
      </c>
      <c r="CU260" s="1284" t="s">
        <v>1942</v>
      </c>
      <c r="CV260" s="1283" t="s">
        <v>1942</v>
      </c>
      <c r="CW260" s="1283" t="s">
        <v>1942</v>
      </c>
      <c r="CX260" s="1285" t="s">
        <v>1942</v>
      </c>
      <c r="CY260" s="1283" t="s">
        <v>1942</v>
      </c>
      <c r="CZ260" s="1283" t="s">
        <v>1942</v>
      </c>
      <c r="DA260" s="1283" t="s">
        <v>1942</v>
      </c>
      <c r="DB260" s="1285" t="s">
        <v>1942</v>
      </c>
      <c r="DC260" s="785"/>
      <c r="DD260" s="813">
        <v>1</v>
      </c>
      <c r="DE260" s="814"/>
    </row>
    <row r="261" spans="1:109" ht="15.75" hidden="1" customHeight="1">
      <c r="A261" s="772" t="s">
        <v>1075</v>
      </c>
      <c r="B261" s="773">
        <v>255</v>
      </c>
      <c r="C261" s="789" t="s">
        <v>2999</v>
      </c>
      <c r="D261" s="773" t="s">
        <v>3000</v>
      </c>
      <c r="E261" s="773" t="s">
        <v>1907</v>
      </c>
      <c r="F261" s="785" t="s">
        <v>3001</v>
      </c>
      <c r="G261" s="790" t="s">
        <v>703</v>
      </c>
      <c r="H261" s="791" t="s">
        <v>3002</v>
      </c>
      <c r="I261" s="792"/>
      <c r="J261" s="793">
        <v>0.5</v>
      </c>
      <c r="K261" s="793"/>
      <c r="L261" s="793"/>
      <c r="M261" s="793">
        <v>0.5</v>
      </c>
      <c r="N261" s="793"/>
      <c r="O261" s="793"/>
      <c r="P261" s="794"/>
      <c r="Q261" s="795">
        <f t="shared" si="3"/>
        <v>1</v>
      </c>
      <c r="R261" s="789" t="s">
        <v>1007</v>
      </c>
      <c r="S261" s="773"/>
      <c r="T261" s="861"/>
      <c r="U261" s="773" t="s">
        <v>2117</v>
      </c>
      <c r="V261" s="773" t="s">
        <v>278</v>
      </c>
      <c r="W261" s="773" t="s">
        <v>3003</v>
      </c>
      <c r="X261" s="1310">
        <v>1</v>
      </c>
      <c r="Y261" s="798" t="s">
        <v>1010</v>
      </c>
      <c r="Z261" s="790" t="s">
        <v>703</v>
      </c>
      <c r="AA261" s="785"/>
      <c r="AB261" s="785"/>
      <c r="AC261" s="785"/>
      <c r="AD261" s="785"/>
      <c r="AE261" s="785"/>
      <c r="AF261" s="799"/>
      <c r="AG261" s="800"/>
      <c r="AH261" s="800"/>
      <c r="AI261" s="800"/>
      <c r="AJ261" s="800"/>
      <c r="AK261" s="800"/>
      <c r="AL261" s="800"/>
      <c r="AM261" s="800"/>
      <c r="AN261" s="800"/>
      <c r="AO261" s="800"/>
      <c r="AP261" s="800"/>
      <c r="AQ261" s="1420"/>
      <c r="AR261" s="1754"/>
      <c r="AS261" s="1368"/>
      <c r="AT261" s="1368"/>
      <c r="AU261" s="1369"/>
      <c r="AV261" s="808"/>
      <c r="AW261" s="800"/>
      <c r="AX261" s="800"/>
      <c r="AY261" s="800"/>
      <c r="AZ261" s="800"/>
      <c r="BA261" s="800"/>
      <c r="BB261" s="800"/>
      <c r="BC261" s="800"/>
      <c r="BD261" s="800"/>
      <c r="BE261" s="800"/>
      <c r="BF261" s="800"/>
      <c r="BG261" s="800"/>
      <c r="BH261" s="800"/>
      <c r="BI261" s="800"/>
      <c r="BJ261" s="800"/>
      <c r="BK261" s="805"/>
      <c r="BL261" s="1376"/>
      <c r="BM261" s="1377"/>
      <c r="BN261" s="1377"/>
      <c r="BO261" s="1377"/>
      <c r="BP261" s="1440"/>
      <c r="BQ261" s="1755"/>
      <c r="BR261" s="1754"/>
      <c r="BS261" s="1754"/>
      <c r="BT261" s="1754"/>
      <c r="BU261" s="1756"/>
      <c r="BV261" s="1755"/>
      <c r="BW261" s="1754"/>
      <c r="BX261" s="1754"/>
      <c r="BY261" s="1754"/>
      <c r="BZ261" s="1754"/>
      <c r="CA261" s="1755"/>
      <c r="CB261" s="1754"/>
      <c r="CC261" s="1754"/>
      <c r="CD261" s="1754"/>
      <c r="CE261" s="1756"/>
      <c r="CF261" s="1754"/>
      <c r="CG261" s="1754"/>
      <c r="CH261" s="1754"/>
      <c r="CI261" s="1754"/>
      <c r="CJ261" s="1756"/>
      <c r="CK261" s="1755"/>
      <c r="CL261" s="1754"/>
      <c r="CM261" s="1754"/>
      <c r="CN261" s="1754"/>
      <c r="CO261" s="1756"/>
      <c r="CP261" s="1755"/>
      <c r="CQ261" s="1754"/>
      <c r="CR261" s="1754"/>
      <c r="CS261" s="1754"/>
      <c r="CT261" s="1756"/>
      <c r="CU261" s="1528"/>
      <c r="CV261" s="1519"/>
      <c r="CW261" s="1519"/>
      <c r="CX261" s="1728"/>
      <c r="CY261" s="1519"/>
      <c r="CZ261" s="1519"/>
      <c r="DA261" s="1519"/>
      <c r="DB261" s="1728"/>
      <c r="DC261" s="1377"/>
      <c r="DD261" s="1729"/>
      <c r="DE261" s="1734"/>
    </row>
    <row r="262" spans="1:109" ht="39.4" hidden="1">
      <c r="A262" s="772" t="s">
        <v>1075</v>
      </c>
      <c r="B262" s="773">
        <v>256</v>
      </c>
      <c r="C262" s="789" t="s">
        <v>3004</v>
      </c>
      <c r="D262" s="773" t="s">
        <v>3000</v>
      </c>
      <c r="E262" s="773" t="s">
        <v>1907</v>
      </c>
      <c r="F262" s="785" t="s">
        <v>3005</v>
      </c>
      <c r="G262" s="790" t="s">
        <v>3006</v>
      </c>
      <c r="H262" s="791" t="s">
        <v>3007</v>
      </c>
      <c r="I262" s="792"/>
      <c r="J262" s="793">
        <v>0.5</v>
      </c>
      <c r="K262" s="793"/>
      <c r="L262" s="793"/>
      <c r="M262" s="793">
        <v>0.5</v>
      </c>
      <c r="N262" s="793"/>
      <c r="O262" s="793"/>
      <c r="P262" s="794"/>
      <c r="Q262" s="795">
        <f t="shared" si="3"/>
        <v>1</v>
      </c>
      <c r="R262" s="789" t="s">
        <v>1007</v>
      </c>
      <c r="S262" s="773"/>
      <c r="T262" s="861"/>
      <c r="U262" s="773" t="s">
        <v>2117</v>
      </c>
      <c r="V262" s="1351" t="s">
        <v>1081</v>
      </c>
      <c r="W262" s="1350" t="s">
        <v>2986</v>
      </c>
      <c r="X262" s="1310">
        <v>1</v>
      </c>
      <c r="Y262" s="798" t="s">
        <v>1010</v>
      </c>
      <c r="Z262" s="790"/>
      <c r="AA262" s="785"/>
      <c r="AB262" s="785"/>
      <c r="AC262" s="785"/>
      <c r="AD262" s="785"/>
      <c r="AE262" s="785"/>
      <c r="AF262" s="799"/>
      <c r="AG262" s="800"/>
      <c r="AH262" s="800"/>
      <c r="AI262" s="800"/>
      <c r="AJ262" s="800"/>
      <c r="AK262" s="800"/>
      <c r="AL262" s="800"/>
      <c r="AM262" s="800"/>
      <c r="AN262" s="800"/>
      <c r="AO262" s="800"/>
      <c r="AP262" s="807"/>
      <c r="AQ262" s="858">
        <v>0.1</v>
      </c>
      <c r="AR262" s="859">
        <v>0.1</v>
      </c>
      <c r="AS262" s="859">
        <v>0.1</v>
      </c>
      <c r="AT262" s="859">
        <v>0.1</v>
      </c>
      <c r="AU262" s="860">
        <v>0.1</v>
      </c>
      <c r="AV262" s="806"/>
      <c r="AW262" s="807"/>
      <c r="AX262" s="807"/>
      <c r="AY262" s="807"/>
      <c r="AZ262" s="807"/>
      <c r="BA262" s="807"/>
      <c r="BB262" s="807"/>
      <c r="BC262" s="807"/>
      <c r="BD262" s="807"/>
      <c r="BE262" s="807"/>
      <c r="BF262" s="807"/>
      <c r="BG262" s="807"/>
      <c r="BH262" s="807"/>
      <c r="BI262" s="807"/>
      <c r="BJ262" s="807"/>
      <c r="BK262" s="820"/>
      <c r="BL262" s="789"/>
      <c r="BM262" s="785"/>
      <c r="BN262" s="785"/>
      <c r="BO262" s="785"/>
      <c r="BP262" s="796"/>
      <c r="BQ262" s="808" t="s">
        <v>1942</v>
      </c>
      <c r="BR262" s="800" t="s">
        <v>1942</v>
      </c>
      <c r="BS262" s="800" t="s">
        <v>1942</v>
      </c>
      <c r="BT262" s="800" t="s">
        <v>1942</v>
      </c>
      <c r="BU262" s="805" t="s">
        <v>1942</v>
      </c>
      <c r="BV262" s="806" t="s">
        <v>1942</v>
      </c>
      <c r="BW262" s="807" t="s">
        <v>1942</v>
      </c>
      <c r="BX262" s="807" t="s">
        <v>1942</v>
      </c>
      <c r="BY262" s="807" t="s">
        <v>1942</v>
      </c>
      <c r="BZ262" s="807" t="s">
        <v>1942</v>
      </c>
      <c r="CA262" s="806" t="s">
        <v>1942</v>
      </c>
      <c r="CB262" s="807" t="s">
        <v>1942</v>
      </c>
      <c r="CC262" s="807" t="s">
        <v>1942</v>
      </c>
      <c r="CD262" s="807" t="s">
        <v>1942</v>
      </c>
      <c r="CE262" s="820" t="s">
        <v>1942</v>
      </c>
      <c r="CF262" s="807" t="s">
        <v>1942</v>
      </c>
      <c r="CG262" s="807" t="s">
        <v>1942</v>
      </c>
      <c r="CH262" s="807" t="s">
        <v>1942</v>
      </c>
      <c r="CI262" s="807" t="s">
        <v>1942</v>
      </c>
      <c r="CJ262" s="807" t="s">
        <v>1942</v>
      </c>
      <c r="CK262" s="806" t="s">
        <v>1942</v>
      </c>
      <c r="CL262" s="807" t="s">
        <v>1942</v>
      </c>
      <c r="CM262" s="807" t="s">
        <v>1942</v>
      </c>
      <c r="CN262" s="807" t="s">
        <v>1942</v>
      </c>
      <c r="CO262" s="820" t="s">
        <v>1942</v>
      </c>
      <c r="CP262" s="808" t="s">
        <v>1942</v>
      </c>
      <c r="CQ262" s="800" t="s">
        <v>1942</v>
      </c>
      <c r="CR262" s="800" t="s">
        <v>1942</v>
      </c>
      <c r="CS262" s="800" t="s">
        <v>1942</v>
      </c>
      <c r="CT262" s="805" t="s">
        <v>1942</v>
      </c>
      <c r="CU262" s="1284" t="s">
        <v>1942</v>
      </c>
      <c r="CV262" s="1283" t="s">
        <v>1942</v>
      </c>
      <c r="CW262" s="1283" t="s">
        <v>1942</v>
      </c>
      <c r="CX262" s="1285" t="s">
        <v>1942</v>
      </c>
      <c r="CY262" s="1283" t="s">
        <v>1942</v>
      </c>
      <c r="CZ262" s="1283" t="s">
        <v>1942</v>
      </c>
      <c r="DA262" s="1283" t="s">
        <v>1942</v>
      </c>
      <c r="DB262" s="1285" t="s">
        <v>1942</v>
      </c>
      <c r="DC262" s="785"/>
      <c r="DD262" s="813">
        <v>1</v>
      </c>
      <c r="DE262" s="814"/>
    </row>
    <row r="263" spans="1:109" ht="39.4" hidden="1">
      <c r="A263" s="772" t="s">
        <v>1075</v>
      </c>
      <c r="B263" s="773">
        <v>257</v>
      </c>
      <c r="C263" s="789" t="s">
        <v>3008</v>
      </c>
      <c r="D263" s="773" t="s">
        <v>3009</v>
      </c>
      <c r="E263" s="773" t="s">
        <v>1907</v>
      </c>
      <c r="F263" s="785" t="s">
        <v>3010</v>
      </c>
      <c r="G263" s="790" t="s">
        <v>2574</v>
      </c>
      <c r="H263" s="791" t="s">
        <v>3011</v>
      </c>
      <c r="I263" s="792"/>
      <c r="J263" s="793">
        <v>0.5</v>
      </c>
      <c r="K263" s="793"/>
      <c r="L263" s="793"/>
      <c r="M263" s="793">
        <v>0.5</v>
      </c>
      <c r="N263" s="793"/>
      <c r="O263" s="793"/>
      <c r="P263" s="794"/>
      <c r="Q263" s="795">
        <f t="shared" si="3"/>
        <v>1</v>
      </c>
      <c r="R263" s="789" t="s">
        <v>1007</v>
      </c>
      <c r="S263" s="773"/>
      <c r="T263" s="861"/>
      <c r="U263" s="773" t="s">
        <v>2117</v>
      </c>
      <c r="V263" s="773" t="s">
        <v>1033</v>
      </c>
      <c r="W263" s="773" t="s">
        <v>3012</v>
      </c>
      <c r="X263" s="1310">
        <v>0</v>
      </c>
      <c r="Y263" s="819">
        <v>0</v>
      </c>
      <c r="Z263" s="790"/>
      <c r="AA263" s="785"/>
      <c r="AB263" s="785"/>
      <c r="AC263" s="785"/>
      <c r="AD263" s="785"/>
      <c r="AE263" s="785"/>
      <c r="AF263" s="799"/>
      <c r="AG263" s="800"/>
      <c r="AH263" s="800"/>
      <c r="AI263" s="800"/>
      <c r="AJ263" s="800"/>
      <c r="AK263" s="800"/>
      <c r="AL263" s="800"/>
      <c r="AM263" s="800"/>
      <c r="AN263" s="800"/>
      <c r="AO263" s="800"/>
      <c r="AP263" s="807"/>
      <c r="AQ263" s="1295">
        <v>25</v>
      </c>
      <c r="AR263" s="1296">
        <v>25</v>
      </c>
      <c r="AS263" s="1296">
        <v>25</v>
      </c>
      <c r="AT263" s="1296">
        <v>25</v>
      </c>
      <c r="AU263" s="1297">
        <v>25</v>
      </c>
      <c r="AV263" s="806"/>
      <c r="AW263" s="807"/>
      <c r="AX263" s="807"/>
      <c r="AY263" s="807"/>
      <c r="AZ263" s="807"/>
      <c r="BA263" s="807"/>
      <c r="BB263" s="807"/>
      <c r="BC263" s="807"/>
      <c r="BD263" s="807"/>
      <c r="BE263" s="807"/>
      <c r="BF263" s="807"/>
      <c r="BG263" s="807"/>
      <c r="BH263" s="807"/>
      <c r="BI263" s="807"/>
      <c r="BJ263" s="807"/>
      <c r="BK263" s="820"/>
      <c r="BL263" s="789"/>
      <c r="BM263" s="785"/>
      <c r="BN263" s="785"/>
      <c r="BO263" s="785"/>
      <c r="BP263" s="796"/>
      <c r="BQ263" s="808" t="s">
        <v>1942</v>
      </c>
      <c r="BR263" s="800" t="s">
        <v>1942</v>
      </c>
      <c r="BS263" s="800" t="s">
        <v>1942</v>
      </c>
      <c r="BT263" s="800" t="s">
        <v>1942</v>
      </c>
      <c r="BU263" s="805" t="s">
        <v>1942</v>
      </c>
      <c r="BV263" s="806" t="s">
        <v>1942</v>
      </c>
      <c r="BW263" s="807" t="s">
        <v>1942</v>
      </c>
      <c r="BX263" s="807" t="s">
        <v>1942</v>
      </c>
      <c r="BY263" s="807" t="s">
        <v>1942</v>
      </c>
      <c r="BZ263" s="807" t="s">
        <v>1942</v>
      </c>
      <c r="CA263" s="806" t="s">
        <v>1942</v>
      </c>
      <c r="CB263" s="807" t="s">
        <v>1942</v>
      </c>
      <c r="CC263" s="807" t="s">
        <v>1942</v>
      </c>
      <c r="CD263" s="807" t="s">
        <v>1942</v>
      </c>
      <c r="CE263" s="820" t="s">
        <v>1942</v>
      </c>
      <c r="CF263" s="807" t="s">
        <v>1942</v>
      </c>
      <c r="CG263" s="807" t="s">
        <v>1942</v>
      </c>
      <c r="CH263" s="807" t="s">
        <v>1942</v>
      </c>
      <c r="CI263" s="807" t="s">
        <v>1942</v>
      </c>
      <c r="CJ263" s="820" t="s">
        <v>1942</v>
      </c>
      <c r="CK263" s="806" t="s">
        <v>1942</v>
      </c>
      <c r="CL263" s="807" t="s">
        <v>1942</v>
      </c>
      <c r="CM263" s="807" t="s">
        <v>1942</v>
      </c>
      <c r="CN263" s="807" t="s">
        <v>1942</v>
      </c>
      <c r="CO263" s="820" t="s">
        <v>1942</v>
      </c>
      <c r="CP263" s="808" t="s">
        <v>1942</v>
      </c>
      <c r="CQ263" s="800" t="s">
        <v>1942</v>
      </c>
      <c r="CR263" s="800" t="s">
        <v>1942</v>
      </c>
      <c r="CS263" s="800" t="s">
        <v>1942</v>
      </c>
      <c r="CT263" s="805" t="s">
        <v>1942</v>
      </c>
      <c r="CU263" s="1284" t="s">
        <v>1942</v>
      </c>
      <c r="CV263" s="1283" t="s">
        <v>1942</v>
      </c>
      <c r="CW263" s="1283" t="s">
        <v>1942</v>
      </c>
      <c r="CX263" s="1285" t="s">
        <v>1942</v>
      </c>
      <c r="CY263" s="1283" t="s">
        <v>1942</v>
      </c>
      <c r="CZ263" s="1283" t="s">
        <v>1942</v>
      </c>
      <c r="DA263" s="1283" t="s">
        <v>1942</v>
      </c>
      <c r="DB263" s="1285" t="s">
        <v>1942</v>
      </c>
      <c r="DC263" s="785"/>
      <c r="DD263" s="813">
        <v>1</v>
      </c>
      <c r="DE263" s="814"/>
    </row>
    <row r="264" spans="1:109" ht="39.4" hidden="1">
      <c r="A264" s="772" t="s">
        <v>1075</v>
      </c>
      <c r="B264" s="773">
        <v>258</v>
      </c>
      <c r="C264" s="789" t="s">
        <v>3013</v>
      </c>
      <c r="D264" s="773" t="s">
        <v>3009</v>
      </c>
      <c r="E264" s="773" t="s">
        <v>1907</v>
      </c>
      <c r="F264" s="785" t="s">
        <v>3014</v>
      </c>
      <c r="G264" s="790" t="s">
        <v>3015</v>
      </c>
      <c r="H264" s="791" t="s">
        <v>3016</v>
      </c>
      <c r="I264" s="792"/>
      <c r="J264" s="793"/>
      <c r="K264" s="793"/>
      <c r="L264" s="793"/>
      <c r="M264" s="793">
        <v>1</v>
      </c>
      <c r="N264" s="793"/>
      <c r="O264" s="793"/>
      <c r="P264" s="794"/>
      <c r="Q264" s="795">
        <f t="shared" si="3"/>
        <v>1</v>
      </c>
      <c r="R264" s="789" t="s">
        <v>1030</v>
      </c>
      <c r="S264" s="773" t="s">
        <v>1008</v>
      </c>
      <c r="T264" s="861" t="s">
        <v>1009</v>
      </c>
      <c r="U264" s="773" t="s">
        <v>2117</v>
      </c>
      <c r="V264" s="773" t="s">
        <v>278</v>
      </c>
      <c r="W264" s="773" t="s">
        <v>3017</v>
      </c>
      <c r="X264" s="1310">
        <v>2</v>
      </c>
      <c r="Y264" s="819" t="s">
        <v>1020</v>
      </c>
      <c r="Z264" s="790"/>
      <c r="AA264" s="785"/>
      <c r="AB264" s="785"/>
      <c r="AC264" s="785"/>
      <c r="AD264" s="785"/>
      <c r="AE264" s="785"/>
      <c r="AF264" s="799"/>
      <c r="AG264" s="800"/>
      <c r="AH264" s="800"/>
      <c r="AI264" s="800"/>
      <c r="AJ264" s="800"/>
      <c r="AK264" s="800"/>
      <c r="AL264" s="807"/>
      <c r="AM264" s="807"/>
      <c r="AN264" s="807"/>
      <c r="AO264" s="807"/>
      <c r="AP264" s="807"/>
      <c r="AQ264" s="806">
        <v>2.1</v>
      </c>
      <c r="AR264" s="807">
        <v>2.1</v>
      </c>
      <c r="AS264" s="807">
        <v>2.1</v>
      </c>
      <c r="AT264" s="807">
        <v>2.1</v>
      </c>
      <c r="AU264" s="820">
        <v>2.1</v>
      </c>
      <c r="AV264" s="806"/>
      <c r="AW264" s="807"/>
      <c r="AX264" s="807"/>
      <c r="AY264" s="807"/>
      <c r="AZ264" s="807"/>
      <c r="BA264" s="807"/>
      <c r="BB264" s="807"/>
      <c r="BC264" s="807"/>
      <c r="BD264" s="807"/>
      <c r="BE264" s="807"/>
      <c r="BF264" s="807"/>
      <c r="BG264" s="807"/>
      <c r="BH264" s="807"/>
      <c r="BI264" s="807"/>
      <c r="BJ264" s="807"/>
      <c r="BK264" s="805"/>
      <c r="BL264" s="789" t="s">
        <v>168</v>
      </c>
      <c r="BM264" s="785" t="s">
        <v>168</v>
      </c>
      <c r="BN264" s="785" t="s">
        <v>168</v>
      </c>
      <c r="BO264" s="785" t="s">
        <v>168</v>
      </c>
      <c r="BP264" s="796" t="s">
        <v>168</v>
      </c>
      <c r="BQ264" s="808" t="s">
        <v>1942</v>
      </c>
      <c r="BR264" s="800" t="s">
        <v>1942</v>
      </c>
      <c r="BS264" s="800" t="s">
        <v>1942</v>
      </c>
      <c r="BT264" s="800" t="s">
        <v>1942</v>
      </c>
      <c r="BU264" s="805" t="s">
        <v>1942</v>
      </c>
      <c r="BV264" s="806">
        <v>2.6</v>
      </c>
      <c r="BW264" s="807">
        <v>2.6</v>
      </c>
      <c r="BX264" s="807">
        <v>2.6</v>
      </c>
      <c r="BY264" s="807">
        <v>2.6</v>
      </c>
      <c r="BZ264" s="807">
        <v>2.6</v>
      </c>
      <c r="CA264" s="808" t="s">
        <v>1942</v>
      </c>
      <c r="CB264" s="800" t="s">
        <v>1942</v>
      </c>
      <c r="CC264" s="800" t="s">
        <v>1942</v>
      </c>
      <c r="CD264" s="800" t="s">
        <v>1942</v>
      </c>
      <c r="CE264" s="805" t="s">
        <v>1942</v>
      </c>
      <c r="CF264" s="810" t="s">
        <v>1942</v>
      </c>
      <c r="CG264" s="810" t="s">
        <v>1942</v>
      </c>
      <c r="CH264" s="810" t="s">
        <v>1942</v>
      </c>
      <c r="CI264" s="810" t="s">
        <v>1942</v>
      </c>
      <c r="CJ264" s="811" t="s">
        <v>1942</v>
      </c>
      <c r="CK264" s="808">
        <v>1.6</v>
      </c>
      <c r="CL264" s="800">
        <v>1.6</v>
      </c>
      <c r="CM264" s="800">
        <v>1.6</v>
      </c>
      <c r="CN264" s="800">
        <v>1.6</v>
      </c>
      <c r="CO264" s="805">
        <v>1.6</v>
      </c>
      <c r="CP264" s="808" t="s">
        <v>1942</v>
      </c>
      <c r="CQ264" s="800" t="s">
        <v>1942</v>
      </c>
      <c r="CR264" s="800" t="s">
        <v>1942</v>
      </c>
      <c r="CS264" s="800" t="s">
        <v>1942</v>
      </c>
      <c r="CT264" s="805" t="s">
        <v>1942</v>
      </c>
      <c r="CU264" s="1284">
        <v>-0.85099999999999998</v>
      </c>
      <c r="CV264" s="1283" t="s">
        <v>1942</v>
      </c>
      <c r="CW264" s="1283" t="s">
        <v>1942</v>
      </c>
      <c r="CX264" s="1285" t="s">
        <v>1942</v>
      </c>
      <c r="CY264" s="1283">
        <v>0.85099999999999998</v>
      </c>
      <c r="CZ264" s="1283" t="s">
        <v>1942</v>
      </c>
      <c r="DA264" s="1283" t="s">
        <v>1942</v>
      </c>
      <c r="DB264" s="1285" t="s">
        <v>1942</v>
      </c>
      <c r="DC264" s="785"/>
      <c r="DD264" s="813">
        <v>1</v>
      </c>
      <c r="DE264" s="814"/>
    </row>
    <row r="265" spans="1:109" ht="39.4" hidden="1">
      <c r="A265" s="772" t="s">
        <v>1075</v>
      </c>
      <c r="B265" s="773">
        <v>259</v>
      </c>
      <c r="C265" s="789" t="s">
        <v>3018</v>
      </c>
      <c r="D265" s="773" t="s">
        <v>3009</v>
      </c>
      <c r="E265" s="773" t="s">
        <v>1907</v>
      </c>
      <c r="F265" s="785" t="s">
        <v>3019</v>
      </c>
      <c r="G265" s="790" t="s">
        <v>3020</v>
      </c>
      <c r="H265" s="791" t="s">
        <v>3021</v>
      </c>
      <c r="I265" s="792"/>
      <c r="J265" s="793">
        <v>1</v>
      </c>
      <c r="K265" s="793"/>
      <c r="L265" s="793"/>
      <c r="M265" s="793"/>
      <c r="N265" s="793"/>
      <c r="O265" s="793"/>
      <c r="P265" s="794"/>
      <c r="Q265" s="795">
        <f t="shared" ref="Q265:Q328" si="4">SUM(I265:P265)</f>
        <v>1</v>
      </c>
      <c r="R265" s="789" t="s">
        <v>1030</v>
      </c>
      <c r="S265" s="773" t="s">
        <v>1008</v>
      </c>
      <c r="T265" s="1440" t="s">
        <v>1019</v>
      </c>
      <c r="U265" s="773" t="s">
        <v>2117</v>
      </c>
      <c r="V265" s="773" t="s">
        <v>278</v>
      </c>
      <c r="W265" s="773" t="s">
        <v>3017</v>
      </c>
      <c r="X265" s="1310">
        <v>2</v>
      </c>
      <c r="Y265" s="819" t="s">
        <v>1020</v>
      </c>
      <c r="Z265" s="790"/>
      <c r="AA265" s="785"/>
      <c r="AB265" s="785"/>
      <c r="AC265" s="785"/>
      <c r="AD265" s="785"/>
      <c r="AE265" s="785"/>
      <c r="AF265" s="799"/>
      <c r="AG265" s="816"/>
      <c r="AH265" s="816"/>
      <c r="AI265" s="816"/>
      <c r="AJ265" s="816"/>
      <c r="AK265" s="816"/>
      <c r="AL265" s="816"/>
      <c r="AM265" s="816"/>
      <c r="AN265" s="816"/>
      <c r="AO265" s="816"/>
      <c r="AP265" s="816"/>
      <c r="AQ265" s="933">
        <v>8.1</v>
      </c>
      <c r="AR265" s="879">
        <v>8.1</v>
      </c>
      <c r="AS265" s="879">
        <v>8.1</v>
      </c>
      <c r="AT265" s="879">
        <v>8.1</v>
      </c>
      <c r="AU265" s="934">
        <v>8.1</v>
      </c>
      <c r="AV265" s="817"/>
      <c r="AW265" s="816"/>
      <c r="AX265" s="816"/>
      <c r="AY265" s="816"/>
      <c r="AZ265" s="816"/>
      <c r="BA265" s="816"/>
      <c r="BB265" s="816"/>
      <c r="BC265" s="816"/>
      <c r="BD265" s="816"/>
      <c r="BE265" s="816"/>
      <c r="BF265" s="816"/>
      <c r="BG265" s="816"/>
      <c r="BH265" s="816"/>
      <c r="BI265" s="816"/>
      <c r="BJ265" s="816"/>
      <c r="BK265" s="818"/>
      <c r="BL265" s="789" t="s">
        <v>168</v>
      </c>
      <c r="BM265" s="785" t="s">
        <v>168</v>
      </c>
      <c r="BN265" s="785" t="s">
        <v>168</v>
      </c>
      <c r="BO265" s="785" t="s">
        <v>168</v>
      </c>
      <c r="BP265" s="796" t="s">
        <v>168</v>
      </c>
      <c r="BQ265" s="808" t="s">
        <v>1942</v>
      </c>
      <c r="BR265" s="800" t="s">
        <v>1942</v>
      </c>
      <c r="BS265" s="800" t="s">
        <v>1942</v>
      </c>
      <c r="BT265" s="800" t="s">
        <v>1942</v>
      </c>
      <c r="BU265" s="805" t="s">
        <v>1942</v>
      </c>
      <c r="BV265" s="808" t="s">
        <v>1942</v>
      </c>
      <c r="BW265" s="800" t="s">
        <v>1942</v>
      </c>
      <c r="BX265" s="800" t="s">
        <v>1942</v>
      </c>
      <c r="BY265" s="800" t="s">
        <v>1942</v>
      </c>
      <c r="BZ265" s="800" t="s">
        <v>1942</v>
      </c>
      <c r="CA265" s="792" t="s">
        <v>1942</v>
      </c>
      <c r="CB265" s="793" t="s">
        <v>1942</v>
      </c>
      <c r="CC265" s="793" t="s">
        <v>1942</v>
      </c>
      <c r="CD265" s="793" t="s">
        <v>1942</v>
      </c>
      <c r="CE265" s="794" t="s">
        <v>1942</v>
      </c>
      <c r="CF265" s="793" t="s">
        <v>1942</v>
      </c>
      <c r="CG265" s="793" t="s">
        <v>1942</v>
      </c>
      <c r="CH265" s="793" t="s">
        <v>1942</v>
      </c>
      <c r="CI265" s="793" t="s">
        <v>1942</v>
      </c>
      <c r="CJ265" s="794" t="s">
        <v>1942</v>
      </c>
      <c r="CK265" s="792" t="s">
        <v>1942</v>
      </c>
      <c r="CL265" s="793" t="s">
        <v>1942</v>
      </c>
      <c r="CM265" s="793" t="s">
        <v>1942</v>
      </c>
      <c r="CN265" s="793" t="s">
        <v>1942</v>
      </c>
      <c r="CO265" s="794" t="s">
        <v>1942</v>
      </c>
      <c r="CP265" s="808" t="s">
        <v>1942</v>
      </c>
      <c r="CQ265" s="800" t="s">
        <v>1942</v>
      </c>
      <c r="CR265" s="800" t="s">
        <v>1942</v>
      </c>
      <c r="CS265" s="800" t="s">
        <v>1942</v>
      </c>
      <c r="CT265" s="805" t="s">
        <v>1942</v>
      </c>
      <c r="CU265" s="1284">
        <v>-0.33500000000000002</v>
      </c>
      <c r="CV265" s="1283" t="s">
        <v>1942</v>
      </c>
      <c r="CW265" s="1283" t="s">
        <v>1942</v>
      </c>
      <c r="CX265" s="1285" t="s">
        <v>1942</v>
      </c>
      <c r="CY265" s="1283">
        <v>0.182</v>
      </c>
      <c r="CZ265" s="1283" t="s">
        <v>1942</v>
      </c>
      <c r="DA265" s="1283" t="s">
        <v>1942</v>
      </c>
      <c r="DB265" s="1285" t="s">
        <v>1942</v>
      </c>
      <c r="DC265" s="785"/>
      <c r="DD265" s="813">
        <v>1</v>
      </c>
      <c r="DE265" s="814"/>
    </row>
    <row r="266" spans="1:109" ht="13.15" hidden="1">
      <c r="A266" s="772" t="s">
        <v>1075</v>
      </c>
      <c r="B266" s="773">
        <v>260</v>
      </c>
      <c r="C266" s="789" t="s">
        <v>3022</v>
      </c>
      <c r="D266" s="773" t="s">
        <v>2930</v>
      </c>
      <c r="E266" s="773" t="s">
        <v>1889</v>
      </c>
      <c r="F266" s="785" t="s">
        <v>2849</v>
      </c>
      <c r="G266" s="790" t="s">
        <v>3023</v>
      </c>
      <c r="H266" s="791" t="s">
        <v>3024</v>
      </c>
      <c r="I266" s="792">
        <v>0.05</v>
      </c>
      <c r="J266" s="793">
        <v>0.95</v>
      </c>
      <c r="K266" s="793"/>
      <c r="L266" s="793"/>
      <c r="M266" s="793"/>
      <c r="N266" s="793"/>
      <c r="O266" s="793"/>
      <c r="P266" s="794"/>
      <c r="Q266" s="795">
        <f t="shared" si="4"/>
        <v>1</v>
      </c>
      <c r="R266" s="789" t="s">
        <v>1026</v>
      </c>
      <c r="S266" s="773" t="s">
        <v>1008</v>
      </c>
      <c r="T266" s="861" t="s">
        <v>1019</v>
      </c>
      <c r="U266" s="773" t="s">
        <v>1910</v>
      </c>
      <c r="V266" s="773" t="s">
        <v>1033</v>
      </c>
      <c r="W266" s="773" t="s">
        <v>3025</v>
      </c>
      <c r="X266" s="1310">
        <v>0</v>
      </c>
      <c r="Y266" s="821" t="s">
        <v>1010</v>
      </c>
      <c r="Z266" s="790"/>
      <c r="AA266" s="785"/>
      <c r="AB266" s="785"/>
      <c r="AC266" s="785"/>
      <c r="AD266" s="785"/>
      <c r="AE266" s="785"/>
      <c r="AF266" s="799"/>
      <c r="AG266" s="863"/>
      <c r="AH266" s="863"/>
      <c r="AI266" s="863"/>
      <c r="AJ266" s="863"/>
      <c r="AK266" s="863"/>
      <c r="AL266" s="863"/>
      <c r="AM266" s="863"/>
      <c r="AN266" s="863"/>
      <c r="AO266" s="863"/>
      <c r="AP266" s="863"/>
      <c r="AQ266" s="828">
        <v>0</v>
      </c>
      <c r="AR266" s="829">
        <v>0</v>
      </c>
      <c r="AS266" s="829">
        <v>31</v>
      </c>
      <c r="AT266" s="829">
        <v>61</v>
      </c>
      <c r="AU266" s="830">
        <v>92</v>
      </c>
      <c r="AV266" s="864"/>
      <c r="AW266" s="863"/>
      <c r="AX266" s="863"/>
      <c r="AY266" s="863"/>
      <c r="AZ266" s="863"/>
      <c r="BA266" s="863"/>
      <c r="BB266" s="863"/>
      <c r="BC266" s="863"/>
      <c r="BD266" s="863"/>
      <c r="BE266" s="863"/>
      <c r="BF266" s="863"/>
      <c r="BG266" s="863"/>
      <c r="BH266" s="863"/>
      <c r="BI266" s="863"/>
      <c r="BJ266" s="863"/>
      <c r="BK266" s="865"/>
      <c r="BL266" s="789"/>
      <c r="BM266" s="785"/>
      <c r="BN266" s="785"/>
      <c r="BO266" s="785"/>
      <c r="BP266" s="796" t="s">
        <v>168</v>
      </c>
      <c r="BQ266" s="808" t="s">
        <v>1942</v>
      </c>
      <c r="BR266" s="800" t="s">
        <v>1942</v>
      </c>
      <c r="BS266" s="800" t="s">
        <v>1942</v>
      </c>
      <c r="BT266" s="800" t="s">
        <v>1942</v>
      </c>
      <c r="BU266" s="805" t="s">
        <v>1942</v>
      </c>
      <c r="BV266" s="808" t="s">
        <v>1942</v>
      </c>
      <c r="BW266" s="800" t="s">
        <v>1942</v>
      </c>
      <c r="BX266" s="800" t="s">
        <v>1942</v>
      </c>
      <c r="BY266" s="800" t="s">
        <v>1942</v>
      </c>
      <c r="BZ266" s="800" t="s">
        <v>1942</v>
      </c>
      <c r="CA266" s="864" t="s">
        <v>1942</v>
      </c>
      <c r="CB266" s="863" t="s">
        <v>1942</v>
      </c>
      <c r="CC266" s="863" t="s">
        <v>1942</v>
      </c>
      <c r="CD266" s="863" t="s">
        <v>1942</v>
      </c>
      <c r="CE266" s="865" t="s">
        <v>1942</v>
      </c>
      <c r="CF266" s="800" t="s">
        <v>1942</v>
      </c>
      <c r="CG266" s="800" t="s">
        <v>1942</v>
      </c>
      <c r="CH266" s="800" t="s">
        <v>1942</v>
      </c>
      <c r="CI266" s="800" t="s">
        <v>1942</v>
      </c>
      <c r="CJ266" s="805" t="s">
        <v>1942</v>
      </c>
      <c r="CK266" s="808" t="s">
        <v>1942</v>
      </c>
      <c r="CL266" s="800" t="s">
        <v>1942</v>
      </c>
      <c r="CM266" s="800" t="s">
        <v>1942</v>
      </c>
      <c r="CN266" s="800" t="s">
        <v>1942</v>
      </c>
      <c r="CO266" s="805" t="s">
        <v>1942</v>
      </c>
      <c r="CP266" s="808" t="s">
        <v>1942</v>
      </c>
      <c r="CQ266" s="800" t="s">
        <v>1942</v>
      </c>
      <c r="CR266" s="800" t="s">
        <v>1942</v>
      </c>
      <c r="CS266" s="800" t="s">
        <v>1942</v>
      </c>
      <c r="CT266" s="805" t="s">
        <v>1942</v>
      </c>
      <c r="CU266" s="1284">
        <v>-7.2599999999999997E-4</v>
      </c>
      <c r="CV266" s="1283" t="s">
        <v>1942</v>
      </c>
      <c r="CW266" s="1283" t="s">
        <v>1942</v>
      </c>
      <c r="CX266" s="1285" t="s">
        <v>1942</v>
      </c>
      <c r="CY266" s="1283" t="s">
        <v>1942</v>
      </c>
      <c r="CZ266" s="1283" t="s">
        <v>1942</v>
      </c>
      <c r="DA266" s="1283" t="s">
        <v>1942</v>
      </c>
      <c r="DB266" s="1285" t="s">
        <v>1942</v>
      </c>
      <c r="DC266" s="785"/>
      <c r="DD266" s="813">
        <v>1</v>
      </c>
      <c r="DE266" s="814"/>
    </row>
    <row r="267" spans="1:109" ht="26.25" hidden="1">
      <c r="A267" s="772" t="s">
        <v>1075</v>
      </c>
      <c r="B267" s="773">
        <v>261</v>
      </c>
      <c r="C267" s="789" t="s">
        <v>3026</v>
      </c>
      <c r="D267" s="773" t="s">
        <v>2930</v>
      </c>
      <c r="E267" s="773" t="s">
        <v>1907</v>
      </c>
      <c r="F267" s="785" t="s">
        <v>2853</v>
      </c>
      <c r="G267" s="790" t="s">
        <v>2152</v>
      </c>
      <c r="H267" s="791" t="s">
        <v>3027</v>
      </c>
      <c r="I267" s="792">
        <v>0.1</v>
      </c>
      <c r="J267" s="793">
        <v>0.9</v>
      </c>
      <c r="K267" s="793"/>
      <c r="L267" s="793"/>
      <c r="M267" s="793"/>
      <c r="N267" s="793"/>
      <c r="O267" s="793"/>
      <c r="P267" s="794"/>
      <c r="Q267" s="795">
        <f t="shared" si="4"/>
        <v>1</v>
      </c>
      <c r="R267" s="789" t="s">
        <v>1007</v>
      </c>
      <c r="S267" s="773"/>
      <c r="T267" s="861"/>
      <c r="U267" s="773" t="s">
        <v>1926</v>
      </c>
      <c r="V267" s="773" t="s">
        <v>1081</v>
      </c>
      <c r="W267" s="773" t="s">
        <v>2928</v>
      </c>
      <c r="X267" s="1310">
        <v>3</v>
      </c>
      <c r="Y267" s="819" t="s">
        <v>1020</v>
      </c>
      <c r="Z267" s="790"/>
      <c r="AA267" s="785"/>
      <c r="AB267" s="785"/>
      <c r="AC267" s="785"/>
      <c r="AD267" s="785"/>
      <c r="AE267" s="785"/>
      <c r="AF267" s="799"/>
      <c r="AG267" s="838"/>
      <c r="AH267" s="838"/>
      <c r="AI267" s="838"/>
      <c r="AJ267" s="838"/>
      <c r="AK267" s="838"/>
      <c r="AL267" s="838"/>
      <c r="AM267" s="838"/>
      <c r="AN267" s="838"/>
      <c r="AO267" s="838"/>
      <c r="AP267" s="838"/>
      <c r="AQ267" s="839">
        <v>0</v>
      </c>
      <c r="AR267" s="838">
        <v>0</v>
      </c>
      <c r="AS267" s="838">
        <v>0</v>
      </c>
      <c r="AT267" s="838">
        <v>0</v>
      </c>
      <c r="AU267" s="840">
        <v>0</v>
      </c>
      <c r="AV267" s="839"/>
      <c r="AW267" s="838"/>
      <c r="AX267" s="838"/>
      <c r="AY267" s="838"/>
      <c r="AZ267" s="838"/>
      <c r="BA267" s="838"/>
      <c r="BB267" s="838"/>
      <c r="BC267" s="838"/>
      <c r="BD267" s="838"/>
      <c r="BE267" s="838"/>
      <c r="BF267" s="838"/>
      <c r="BG267" s="838"/>
      <c r="BH267" s="838"/>
      <c r="BI267" s="838"/>
      <c r="BJ267" s="838"/>
      <c r="BK267" s="840"/>
      <c r="BL267" s="789"/>
      <c r="BM267" s="785"/>
      <c r="BN267" s="785"/>
      <c r="BO267" s="785"/>
      <c r="BP267" s="796"/>
      <c r="BQ267" s="808" t="s">
        <v>1942</v>
      </c>
      <c r="BR267" s="800" t="s">
        <v>1942</v>
      </c>
      <c r="BS267" s="800" t="s">
        <v>1942</v>
      </c>
      <c r="BT267" s="800" t="s">
        <v>1942</v>
      </c>
      <c r="BU267" s="805" t="s">
        <v>1942</v>
      </c>
      <c r="BV267" s="808" t="s">
        <v>1942</v>
      </c>
      <c r="BW267" s="800" t="s">
        <v>1942</v>
      </c>
      <c r="BX267" s="800" t="s">
        <v>1942</v>
      </c>
      <c r="BY267" s="800" t="s">
        <v>1942</v>
      </c>
      <c r="BZ267" s="800" t="s">
        <v>1942</v>
      </c>
      <c r="CA267" s="808" t="s">
        <v>1942</v>
      </c>
      <c r="CB267" s="800" t="s">
        <v>1942</v>
      </c>
      <c r="CC267" s="800" t="s">
        <v>1942</v>
      </c>
      <c r="CD267" s="800" t="s">
        <v>1942</v>
      </c>
      <c r="CE267" s="805" t="s">
        <v>1942</v>
      </c>
      <c r="CF267" s="800" t="s">
        <v>1942</v>
      </c>
      <c r="CG267" s="800" t="s">
        <v>1942</v>
      </c>
      <c r="CH267" s="800" t="s">
        <v>1942</v>
      </c>
      <c r="CI267" s="800" t="s">
        <v>1942</v>
      </c>
      <c r="CJ267" s="805" t="s">
        <v>1942</v>
      </c>
      <c r="CK267" s="808" t="s">
        <v>1942</v>
      </c>
      <c r="CL267" s="800" t="s">
        <v>1942</v>
      </c>
      <c r="CM267" s="800" t="s">
        <v>1942</v>
      </c>
      <c r="CN267" s="800" t="s">
        <v>1942</v>
      </c>
      <c r="CO267" s="805" t="s">
        <v>1942</v>
      </c>
      <c r="CP267" s="808" t="s">
        <v>1942</v>
      </c>
      <c r="CQ267" s="800" t="s">
        <v>1942</v>
      </c>
      <c r="CR267" s="800" t="s">
        <v>1942</v>
      </c>
      <c r="CS267" s="800" t="s">
        <v>1942</v>
      </c>
      <c r="CT267" s="805" t="s">
        <v>1942</v>
      </c>
      <c r="CU267" s="1284" t="s">
        <v>1942</v>
      </c>
      <c r="CV267" s="1283" t="s">
        <v>1942</v>
      </c>
      <c r="CW267" s="1283" t="s">
        <v>1942</v>
      </c>
      <c r="CX267" s="1285" t="s">
        <v>1942</v>
      </c>
      <c r="CY267" s="1283" t="s">
        <v>1942</v>
      </c>
      <c r="CZ267" s="1283" t="s">
        <v>1942</v>
      </c>
      <c r="DA267" s="1283" t="s">
        <v>1942</v>
      </c>
      <c r="DB267" s="1285" t="s">
        <v>1942</v>
      </c>
      <c r="DC267" s="785"/>
      <c r="DD267" s="813">
        <v>1</v>
      </c>
      <c r="DE267" s="814"/>
    </row>
    <row r="268" spans="1:109" ht="26.25" hidden="1">
      <c r="A268" s="772" t="s">
        <v>1075</v>
      </c>
      <c r="B268" s="773">
        <v>262</v>
      </c>
      <c r="C268" s="789" t="s">
        <v>3028</v>
      </c>
      <c r="D268" s="773" t="s">
        <v>2930</v>
      </c>
      <c r="E268" s="773" t="s">
        <v>1889</v>
      </c>
      <c r="F268" s="785" t="s">
        <v>2909</v>
      </c>
      <c r="G268" s="790" t="s">
        <v>1987</v>
      </c>
      <c r="H268" s="791" t="s">
        <v>3029</v>
      </c>
      <c r="I268" s="792"/>
      <c r="J268" s="793">
        <v>1</v>
      </c>
      <c r="K268" s="793"/>
      <c r="L268" s="793"/>
      <c r="M268" s="793"/>
      <c r="N268" s="793"/>
      <c r="O268" s="793"/>
      <c r="P268" s="794"/>
      <c r="Q268" s="795">
        <f t="shared" si="4"/>
        <v>1</v>
      </c>
      <c r="R268" s="789" t="s">
        <v>1030</v>
      </c>
      <c r="S268" s="773" t="s">
        <v>1008</v>
      </c>
      <c r="T268" s="861" t="s">
        <v>1009</v>
      </c>
      <c r="U268" s="773" t="s">
        <v>1985</v>
      </c>
      <c r="V268" s="773" t="s">
        <v>1033</v>
      </c>
      <c r="W268" s="773" t="s">
        <v>3030</v>
      </c>
      <c r="X268" s="1310">
        <v>1</v>
      </c>
      <c r="Y268" s="822" t="s">
        <v>1020</v>
      </c>
      <c r="Z268" s="790" t="s">
        <v>1987</v>
      </c>
      <c r="AA268" s="785"/>
      <c r="AB268" s="785"/>
      <c r="AC268" s="785"/>
      <c r="AD268" s="785"/>
      <c r="AE268" s="785"/>
      <c r="AF268" s="799"/>
      <c r="AG268" s="800"/>
      <c r="AH268" s="800"/>
      <c r="AI268" s="800"/>
      <c r="AJ268" s="800"/>
      <c r="AK268" s="800"/>
      <c r="AL268" s="800"/>
      <c r="AM268" s="800"/>
      <c r="AN268" s="800"/>
      <c r="AO268" s="800"/>
      <c r="AP268" s="800"/>
      <c r="AQ268" s="808">
        <v>0.5</v>
      </c>
      <c r="AR268" s="800">
        <v>0.5</v>
      </c>
      <c r="AS268" s="800">
        <v>0.5</v>
      </c>
      <c r="AT268" s="800">
        <v>0.5</v>
      </c>
      <c r="AU268" s="805">
        <v>0.5</v>
      </c>
      <c r="AV268" s="808"/>
      <c r="AW268" s="800"/>
      <c r="AX268" s="800"/>
      <c r="AY268" s="800"/>
      <c r="AZ268" s="800"/>
      <c r="BA268" s="800"/>
      <c r="BB268" s="800"/>
      <c r="BC268" s="800"/>
      <c r="BD268" s="800"/>
      <c r="BE268" s="800"/>
      <c r="BF268" s="800"/>
      <c r="BG268" s="800"/>
      <c r="BH268" s="800"/>
      <c r="BI268" s="800"/>
      <c r="BJ268" s="800"/>
      <c r="BK268" s="805"/>
      <c r="BL268" s="789" t="s">
        <v>168</v>
      </c>
      <c r="BM268" s="785" t="s">
        <v>168</v>
      </c>
      <c r="BN268" s="785" t="s">
        <v>168</v>
      </c>
      <c r="BO268" s="785" t="s">
        <v>168</v>
      </c>
      <c r="BP268" s="796" t="s">
        <v>168</v>
      </c>
      <c r="BQ268" s="808" t="s">
        <v>1942</v>
      </c>
      <c r="BR268" s="800" t="s">
        <v>1942</v>
      </c>
      <c r="BS268" s="800" t="s">
        <v>1942</v>
      </c>
      <c r="BT268" s="800" t="s">
        <v>1942</v>
      </c>
      <c r="BU268" s="805" t="s">
        <v>1942</v>
      </c>
      <c r="BV268" s="808" t="s">
        <v>1942</v>
      </c>
      <c r="BW268" s="800" t="s">
        <v>1942</v>
      </c>
      <c r="BX268" s="800" t="s">
        <v>1942</v>
      </c>
      <c r="BY268" s="800" t="s">
        <v>1942</v>
      </c>
      <c r="BZ268" s="800" t="s">
        <v>1942</v>
      </c>
      <c r="CA268" s="808" t="s">
        <v>1942</v>
      </c>
      <c r="CB268" s="800" t="s">
        <v>1942</v>
      </c>
      <c r="CC268" s="800" t="s">
        <v>1942</v>
      </c>
      <c r="CD268" s="800" t="s">
        <v>1942</v>
      </c>
      <c r="CE268" s="805" t="s">
        <v>1942</v>
      </c>
      <c r="CF268" s="800" t="s">
        <v>1942</v>
      </c>
      <c r="CG268" s="800" t="s">
        <v>1942</v>
      </c>
      <c r="CH268" s="800" t="s">
        <v>1942</v>
      </c>
      <c r="CI268" s="800" t="s">
        <v>1942</v>
      </c>
      <c r="CJ268" s="805" t="s">
        <v>1942</v>
      </c>
      <c r="CK268" s="808" t="s">
        <v>1942</v>
      </c>
      <c r="CL268" s="800" t="s">
        <v>1942</v>
      </c>
      <c r="CM268" s="800" t="s">
        <v>1942</v>
      </c>
      <c r="CN268" s="800" t="s">
        <v>1942</v>
      </c>
      <c r="CO268" s="805" t="s">
        <v>1942</v>
      </c>
      <c r="CP268" s="808" t="s">
        <v>1942</v>
      </c>
      <c r="CQ268" s="800" t="s">
        <v>1942</v>
      </c>
      <c r="CR268" s="800" t="s">
        <v>1942</v>
      </c>
      <c r="CS268" s="800" t="s">
        <v>1942</v>
      </c>
      <c r="CT268" s="805" t="s">
        <v>1942</v>
      </c>
      <c r="CU268" s="1284">
        <v>-8.5361000000000006E-2</v>
      </c>
      <c r="CV268" s="1283" t="s">
        <v>1942</v>
      </c>
      <c r="CW268" s="1283" t="s">
        <v>1942</v>
      </c>
      <c r="CX268" s="1285" t="s">
        <v>1942</v>
      </c>
      <c r="CY268" s="1283">
        <v>7.5377E-2</v>
      </c>
      <c r="CZ268" s="1283" t="s">
        <v>1942</v>
      </c>
      <c r="DA268" s="1283" t="s">
        <v>1942</v>
      </c>
      <c r="DB268" s="1285" t="s">
        <v>1942</v>
      </c>
      <c r="DC268" s="785"/>
      <c r="DD268" s="813">
        <v>1</v>
      </c>
      <c r="DE268" s="814"/>
    </row>
    <row r="269" spans="1:109" ht="52.5" hidden="1">
      <c r="A269" s="772" t="s">
        <v>1075</v>
      </c>
      <c r="B269" s="773">
        <v>263</v>
      </c>
      <c r="C269" s="789" t="s">
        <v>3031</v>
      </c>
      <c r="D269" s="773" t="s">
        <v>3032</v>
      </c>
      <c r="E269" s="773" t="s">
        <v>1907</v>
      </c>
      <c r="F269" s="785" t="s">
        <v>3033</v>
      </c>
      <c r="G269" s="790" t="s">
        <v>3034</v>
      </c>
      <c r="H269" s="791" t="s">
        <v>3035</v>
      </c>
      <c r="I269" s="792">
        <v>1</v>
      </c>
      <c r="J269" s="793"/>
      <c r="K269" s="793"/>
      <c r="L269" s="793"/>
      <c r="M269" s="793"/>
      <c r="N269" s="793"/>
      <c r="O269" s="793"/>
      <c r="P269" s="794"/>
      <c r="Q269" s="795">
        <f t="shared" si="4"/>
        <v>1</v>
      </c>
      <c r="R269" s="789" t="s">
        <v>1030</v>
      </c>
      <c r="S269" s="773" t="s">
        <v>1008</v>
      </c>
      <c r="T269" s="861" t="s">
        <v>1019</v>
      </c>
      <c r="U269" s="773" t="s">
        <v>1967</v>
      </c>
      <c r="V269" s="773" t="s">
        <v>1033</v>
      </c>
      <c r="W269" s="773" t="s">
        <v>3036</v>
      </c>
      <c r="X269" s="1310">
        <v>1</v>
      </c>
      <c r="Y269" s="826" t="s">
        <v>1010</v>
      </c>
      <c r="Z269" s="790"/>
      <c r="AA269" s="785"/>
      <c r="AB269" s="785"/>
      <c r="AC269" s="785"/>
      <c r="AD269" s="785"/>
      <c r="AE269" s="785"/>
      <c r="AF269" s="799"/>
      <c r="AG269" s="800"/>
      <c r="AH269" s="800"/>
      <c r="AI269" s="800"/>
      <c r="AJ269" s="800"/>
      <c r="AK269" s="800"/>
      <c r="AL269" s="800"/>
      <c r="AM269" s="800"/>
      <c r="AN269" s="800"/>
      <c r="AO269" s="800"/>
      <c r="AP269" s="800"/>
      <c r="AQ269" s="1278">
        <v>2843</v>
      </c>
      <c r="AR269" s="1279">
        <v>5687</v>
      </c>
      <c r="AS269" s="1279">
        <v>8530</v>
      </c>
      <c r="AT269" s="1279">
        <v>11374</v>
      </c>
      <c r="AU269" s="1280">
        <v>14217</v>
      </c>
      <c r="AV269" s="808"/>
      <c r="AW269" s="800"/>
      <c r="AX269" s="800"/>
      <c r="AY269" s="800"/>
      <c r="AZ269" s="800"/>
      <c r="BA269" s="800"/>
      <c r="BB269" s="800"/>
      <c r="BC269" s="800"/>
      <c r="BD269" s="800"/>
      <c r="BE269" s="800"/>
      <c r="BF269" s="800"/>
      <c r="BG269" s="800"/>
      <c r="BH269" s="800"/>
      <c r="BI269" s="800"/>
      <c r="BJ269" s="800"/>
      <c r="BK269" s="805"/>
      <c r="BL269" s="789"/>
      <c r="BM269" s="785"/>
      <c r="BN269" s="785"/>
      <c r="BO269" s="785"/>
      <c r="BP269" s="796" t="s">
        <v>168</v>
      </c>
      <c r="BQ269" s="808" t="s">
        <v>1942</v>
      </c>
      <c r="BR269" s="800" t="s">
        <v>1942</v>
      </c>
      <c r="BS269" s="800" t="s">
        <v>1942</v>
      </c>
      <c r="BT269" s="800" t="s">
        <v>1942</v>
      </c>
      <c r="BU269" s="805" t="s">
        <v>1942</v>
      </c>
      <c r="BV269" s="808" t="s">
        <v>1942</v>
      </c>
      <c r="BW269" s="800" t="s">
        <v>1942</v>
      </c>
      <c r="BX269" s="800" t="s">
        <v>1942</v>
      </c>
      <c r="BY269" s="800" t="s">
        <v>1942</v>
      </c>
      <c r="BZ269" s="800">
        <v>9500</v>
      </c>
      <c r="CA269" s="808" t="s">
        <v>1942</v>
      </c>
      <c r="CB269" s="800" t="s">
        <v>1942</v>
      </c>
      <c r="CC269" s="800" t="s">
        <v>1942</v>
      </c>
      <c r="CD269" s="800" t="s">
        <v>1942</v>
      </c>
      <c r="CE269" s="805" t="s">
        <v>1942</v>
      </c>
      <c r="CF269" s="800" t="s">
        <v>1942</v>
      </c>
      <c r="CG269" s="800" t="s">
        <v>1942</v>
      </c>
      <c r="CH269" s="800" t="s">
        <v>1942</v>
      </c>
      <c r="CI269" s="800" t="s">
        <v>1942</v>
      </c>
      <c r="CJ269" s="805" t="s">
        <v>1942</v>
      </c>
      <c r="CK269" s="808" t="s">
        <v>1942</v>
      </c>
      <c r="CL269" s="800" t="s">
        <v>1942</v>
      </c>
      <c r="CM269" s="800" t="s">
        <v>1942</v>
      </c>
      <c r="CN269" s="800" t="s">
        <v>1942</v>
      </c>
      <c r="CO269" s="805">
        <v>17358</v>
      </c>
      <c r="CP269" s="808" t="s">
        <v>1942</v>
      </c>
      <c r="CQ269" s="800" t="s">
        <v>1942</v>
      </c>
      <c r="CR269" s="800" t="s">
        <v>1942</v>
      </c>
      <c r="CS269" s="800" t="s">
        <v>1942</v>
      </c>
      <c r="CT269" s="805" t="s">
        <v>1942</v>
      </c>
      <c r="CU269" s="1284">
        <v>-7.6400000000000003E-4</v>
      </c>
      <c r="CV269" s="1283" t="s">
        <v>1942</v>
      </c>
      <c r="CW269" s="1283" t="s">
        <v>1942</v>
      </c>
      <c r="CX269" s="1285" t="s">
        <v>1942</v>
      </c>
      <c r="CY269" s="1283">
        <v>4.3800000000000002E-4</v>
      </c>
      <c r="CZ269" s="1283" t="s">
        <v>1942</v>
      </c>
      <c r="DA269" s="1283" t="s">
        <v>1942</v>
      </c>
      <c r="DB269" s="1285" t="s">
        <v>1942</v>
      </c>
      <c r="DC269" s="785"/>
      <c r="DD269" s="813">
        <v>1</v>
      </c>
      <c r="DE269" s="814"/>
    </row>
    <row r="270" spans="1:109" ht="26.25" hidden="1">
      <c r="A270" s="772" t="s">
        <v>1075</v>
      </c>
      <c r="B270" s="773">
        <v>264</v>
      </c>
      <c r="C270" s="789" t="s">
        <v>3037</v>
      </c>
      <c r="D270" s="773" t="s">
        <v>3032</v>
      </c>
      <c r="E270" s="773" t="s">
        <v>1907</v>
      </c>
      <c r="F270" s="785" t="s">
        <v>3038</v>
      </c>
      <c r="G270" s="790" t="s">
        <v>3039</v>
      </c>
      <c r="H270" s="791" t="s">
        <v>3040</v>
      </c>
      <c r="I270" s="792">
        <v>0.5</v>
      </c>
      <c r="J270" s="793">
        <v>0.5</v>
      </c>
      <c r="K270" s="793"/>
      <c r="L270" s="793"/>
      <c r="M270" s="793"/>
      <c r="N270" s="793"/>
      <c r="O270" s="793"/>
      <c r="P270" s="794"/>
      <c r="Q270" s="795">
        <f t="shared" si="4"/>
        <v>1</v>
      </c>
      <c r="R270" s="789" t="s">
        <v>1030</v>
      </c>
      <c r="S270" s="773" t="s">
        <v>1008</v>
      </c>
      <c r="T270" s="861" t="s">
        <v>1019</v>
      </c>
      <c r="U270" s="773" t="s">
        <v>2289</v>
      </c>
      <c r="V270" s="773" t="s">
        <v>1033</v>
      </c>
      <c r="W270" s="773" t="s">
        <v>3041</v>
      </c>
      <c r="X270" s="1310">
        <v>1</v>
      </c>
      <c r="Y270" s="821" t="s">
        <v>1010</v>
      </c>
      <c r="Z270" s="790"/>
      <c r="AA270" s="785"/>
      <c r="AB270" s="785"/>
      <c r="AC270" s="785"/>
      <c r="AD270" s="785"/>
      <c r="AE270" s="785"/>
      <c r="AF270" s="799"/>
      <c r="AG270" s="866"/>
      <c r="AH270" s="866"/>
      <c r="AI270" s="866"/>
      <c r="AJ270" s="866"/>
      <c r="AK270" s="866"/>
      <c r="AL270" s="866"/>
      <c r="AM270" s="866"/>
      <c r="AN270" s="866"/>
      <c r="AO270" s="866"/>
      <c r="AP270" s="866"/>
      <c r="AQ270" s="867">
        <v>1166</v>
      </c>
      <c r="AR270" s="866">
        <v>1218</v>
      </c>
      <c r="AS270" s="866">
        <v>1268</v>
      </c>
      <c r="AT270" s="866">
        <v>1343</v>
      </c>
      <c r="AU270" s="868">
        <v>1460</v>
      </c>
      <c r="AV270" s="867"/>
      <c r="AW270" s="866"/>
      <c r="AX270" s="866"/>
      <c r="AY270" s="866"/>
      <c r="AZ270" s="866"/>
      <c r="BA270" s="866"/>
      <c r="BB270" s="866"/>
      <c r="BC270" s="866"/>
      <c r="BD270" s="866"/>
      <c r="BE270" s="866"/>
      <c r="BF270" s="866"/>
      <c r="BG270" s="866"/>
      <c r="BH270" s="866"/>
      <c r="BI270" s="866"/>
      <c r="BJ270" s="866"/>
      <c r="BK270" s="868"/>
      <c r="BL270" s="869"/>
      <c r="BM270" s="870"/>
      <c r="BN270" s="870"/>
      <c r="BO270" s="870"/>
      <c r="BP270" s="871" t="s">
        <v>168</v>
      </c>
      <c r="BQ270" s="867" t="s">
        <v>1942</v>
      </c>
      <c r="BR270" s="866" t="s">
        <v>1942</v>
      </c>
      <c r="BS270" s="866" t="s">
        <v>1942</v>
      </c>
      <c r="BT270" s="866" t="s">
        <v>1942</v>
      </c>
      <c r="BU270" s="868" t="s">
        <v>1942</v>
      </c>
      <c r="BV270" s="808" t="s">
        <v>1942</v>
      </c>
      <c r="BW270" s="800" t="s">
        <v>1942</v>
      </c>
      <c r="BX270" s="800" t="s">
        <v>1942</v>
      </c>
      <c r="BY270" s="800" t="s">
        <v>1942</v>
      </c>
      <c r="BZ270" s="800" t="s">
        <v>1942</v>
      </c>
      <c r="CA270" s="867" t="s">
        <v>1942</v>
      </c>
      <c r="CB270" s="866" t="s">
        <v>1942</v>
      </c>
      <c r="CC270" s="866" t="s">
        <v>1942</v>
      </c>
      <c r="CD270" s="866" t="s">
        <v>1942</v>
      </c>
      <c r="CE270" s="868" t="s">
        <v>1942</v>
      </c>
      <c r="CF270" s="866" t="s">
        <v>1942</v>
      </c>
      <c r="CG270" s="866" t="s">
        <v>1942</v>
      </c>
      <c r="CH270" s="866" t="s">
        <v>1942</v>
      </c>
      <c r="CI270" s="866" t="s">
        <v>1942</v>
      </c>
      <c r="CJ270" s="868" t="s">
        <v>1942</v>
      </c>
      <c r="CK270" s="867" t="s">
        <v>1942</v>
      </c>
      <c r="CL270" s="866" t="s">
        <v>1942</v>
      </c>
      <c r="CM270" s="866" t="s">
        <v>1942</v>
      </c>
      <c r="CN270" s="866" t="s">
        <v>1942</v>
      </c>
      <c r="CO270" s="868">
        <v>1671</v>
      </c>
      <c r="CP270" s="867" t="s">
        <v>1942</v>
      </c>
      <c r="CQ270" s="866" t="s">
        <v>1942</v>
      </c>
      <c r="CR270" s="866" t="s">
        <v>1942</v>
      </c>
      <c r="CS270" s="866" t="s">
        <v>1942</v>
      </c>
      <c r="CT270" s="868" t="s">
        <v>1942</v>
      </c>
      <c r="CU270" s="1284">
        <v>-1.0999999999999999E-2</v>
      </c>
      <c r="CV270" s="1283" t="s">
        <v>1942</v>
      </c>
      <c r="CW270" s="1283" t="s">
        <v>1942</v>
      </c>
      <c r="CX270" s="1285" t="s">
        <v>1942</v>
      </c>
      <c r="CY270" s="1283">
        <v>6.0000000000000001E-3</v>
      </c>
      <c r="CZ270" s="1283" t="s">
        <v>1942</v>
      </c>
      <c r="DA270" s="1283" t="s">
        <v>1942</v>
      </c>
      <c r="DB270" s="1285" t="s">
        <v>1942</v>
      </c>
      <c r="DC270" s="785"/>
      <c r="DD270" s="813">
        <v>1</v>
      </c>
      <c r="DE270" s="814"/>
    </row>
    <row r="271" spans="1:109" ht="26.25" hidden="1">
      <c r="A271" s="772" t="s">
        <v>1075</v>
      </c>
      <c r="B271" s="773">
        <v>265</v>
      </c>
      <c r="C271" s="789" t="s">
        <v>3042</v>
      </c>
      <c r="D271" s="773" t="s">
        <v>3032</v>
      </c>
      <c r="E271" s="773" t="s">
        <v>1907</v>
      </c>
      <c r="F271" s="785" t="s">
        <v>3043</v>
      </c>
      <c r="G271" s="790" t="s">
        <v>3044</v>
      </c>
      <c r="H271" s="791" t="s">
        <v>3045</v>
      </c>
      <c r="I271" s="792">
        <v>1</v>
      </c>
      <c r="J271" s="793"/>
      <c r="K271" s="793"/>
      <c r="L271" s="793"/>
      <c r="M271" s="793"/>
      <c r="N271" s="793"/>
      <c r="O271" s="793"/>
      <c r="P271" s="794"/>
      <c r="Q271" s="795">
        <f t="shared" si="4"/>
        <v>1</v>
      </c>
      <c r="R271" s="789" t="s">
        <v>1026</v>
      </c>
      <c r="S271" s="773" t="s">
        <v>1008</v>
      </c>
      <c r="T271" s="861" t="s">
        <v>1009</v>
      </c>
      <c r="U271" s="773" t="s">
        <v>2106</v>
      </c>
      <c r="V271" s="773" t="s">
        <v>1033</v>
      </c>
      <c r="W271" s="773" t="s">
        <v>2816</v>
      </c>
      <c r="X271" s="1310">
        <v>0</v>
      </c>
      <c r="Y271" s="826" t="s">
        <v>1010</v>
      </c>
      <c r="Z271" s="790"/>
      <c r="AA271" s="785"/>
      <c r="AB271" s="785"/>
      <c r="AC271" s="785"/>
      <c r="AD271" s="785"/>
      <c r="AE271" s="785"/>
      <c r="AF271" s="799"/>
      <c r="AG271" s="800"/>
      <c r="AH271" s="800"/>
      <c r="AI271" s="800"/>
      <c r="AJ271" s="800"/>
      <c r="AK271" s="800"/>
      <c r="AL271" s="800"/>
      <c r="AM271" s="800"/>
      <c r="AN271" s="800"/>
      <c r="AO271" s="800"/>
      <c r="AP271" s="800"/>
      <c r="AQ271" s="828">
        <v>0</v>
      </c>
      <c r="AR271" s="2024">
        <v>37</v>
      </c>
      <c r="AS271" s="2024">
        <v>38</v>
      </c>
      <c r="AT271" s="2042">
        <v>38</v>
      </c>
      <c r="AU271" s="2025">
        <v>65</v>
      </c>
      <c r="AV271" s="864"/>
      <c r="AW271" s="863"/>
      <c r="AX271" s="863"/>
      <c r="AY271" s="863"/>
      <c r="AZ271" s="863"/>
      <c r="BA271" s="863"/>
      <c r="BB271" s="863"/>
      <c r="BC271" s="863"/>
      <c r="BD271" s="863"/>
      <c r="BE271" s="863"/>
      <c r="BF271" s="863"/>
      <c r="BG271" s="863"/>
      <c r="BH271" s="863"/>
      <c r="BI271" s="863"/>
      <c r="BJ271" s="863"/>
      <c r="BK271" s="865"/>
      <c r="BL271" s="789" t="s">
        <v>168</v>
      </c>
      <c r="BM271" s="785" t="s">
        <v>168</v>
      </c>
      <c r="BN271" s="785" t="s">
        <v>168</v>
      </c>
      <c r="BO271" s="785" t="s">
        <v>168</v>
      </c>
      <c r="BP271" s="796" t="s">
        <v>168</v>
      </c>
      <c r="BQ271" s="808" t="s">
        <v>1942</v>
      </c>
      <c r="BR271" s="800" t="s">
        <v>1942</v>
      </c>
      <c r="BS271" s="800" t="s">
        <v>1942</v>
      </c>
      <c r="BT271" s="800" t="s">
        <v>1942</v>
      </c>
      <c r="BU271" s="805" t="s">
        <v>1942</v>
      </c>
      <c r="BV271" s="808" t="s">
        <v>1942</v>
      </c>
      <c r="BW271" s="800" t="s">
        <v>1942</v>
      </c>
      <c r="BX271" s="800" t="s">
        <v>1942</v>
      </c>
      <c r="BY271" s="800" t="s">
        <v>1942</v>
      </c>
      <c r="BZ271" s="800" t="s">
        <v>1942</v>
      </c>
      <c r="CA271" s="808" t="s">
        <v>1942</v>
      </c>
      <c r="CB271" s="800" t="s">
        <v>1942</v>
      </c>
      <c r="CC271" s="800" t="s">
        <v>1942</v>
      </c>
      <c r="CD271" s="800" t="s">
        <v>1942</v>
      </c>
      <c r="CE271" s="805" t="s">
        <v>1942</v>
      </c>
      <c r="CF271" s="800" t="s">
        <v>1942</v>
      </c>
      <c r="CG271" s="800" t="s">
        <v>1942</v>
      </c>
      <c r="CH271" s="800" t="s">
        <v>1942</v>
      </c>
      <c r="CI271" s="800" t="s">
        <v>1942</v>
      </c>
      <c r="CJ271" s="805" t="s">
        <v>1942</v>
      </c>
      <c r="CK271" s="808" t="s">
        <v>1942</v>
      </c>
      <c r="CL271" s="800" t="s">
        <v>1942</v>
      </c>
      <c r="CM271" s="800" t="s">
        <v>1942</v>
      </c>
      <c r="CN271" s="800" t="s">
        <v>1942</v>
      </c>
      <c r="CO271" s="805" t="s">
        <v>1942</v>
      </c>
      <c r="CP271" s="808" t="s">
        <v>1942</v>
      </c>
      <c r="CQ271" s="800" t="s">
        <v>1942</v>
      </c>
      <c r="CR271" s="800" t="s">
        <v>1942</v>
      </c>
      <c r="CS271" s="800" t="s">
        <v>1942</v>
      </c>
      <c r="CT271" s="805" t="s">
        <v>1942</v>
      </c>
      <c r="CU271" s="1284">
        <v>-6.5000000000000002E-2</v>
      </c>
      <c r="CV271" s="1283" t="s">
        <v>1942</v>
      </c>
      <c r="CW271" s="1283" t="s">
        <v>1942</v>
      </c>
      <c r="CX271" s="1285" t="s">
        <v>1942</v>
      </c>
      <c r="CY271" s="1283" t="s">
        <v>1942</v>
      </c>
      <c r="CZ271" s="1283" t="s">
        <v>1942</v>
      </c>
      <c r="DA271" s="1283" t="s">
        <v>1942</v>
      </c>
      <c r="DB271" s="1285" t="s">
        <v>1942</v>
      </c>
      <c r="DC271" s="785"/>
      <c r="DD271" s="813">
        <v>1</v>
      </c>
      <c r="DE271" s="814"/>
    </row>
    <row r="272" spans="1:109" ht="26.25" hidden="1">
      <c r="A272" s="772" t="s">
        <v>1075</v>
      </c>
      <c r="B272" s="773">
        <v>266</v>
      </c>
      <c r="C272" s="789" t="s">
        <v>3046</v>
      </c>
      <c r="D272" s="773" t="s">
        <v>3032</v>
      </c>
      <c r="E272" s="773" t="s">
        <v>1889</v>
      </c>
      <c r="F272" s="785" t="s">
        <v>3047</v>
      </c>
      <c r="G272" s="790" t="s">
        <v>2882</v>
      </c>
      <c r="H272" s="791" t="s">
        <v>3048</v>
      </c>
      <c r="I272" s="792">
        <v>0.25</v>
      </c>
      <c r="J272" s="793">
        <v>0.745</v>
      </c>
      <c r="K272" s="793"/>
      <c r="L272" s="793"/>
      <c r="M272" s="793">
        <v>5.0000000000000001E-3</v>
      </c>
      <c r="N272" s="793"/>
      <c r="O272" s="793"/>
      <c r="P272" s="794"/>
      <c r="Q272" s="795">
        <f t="shared" si="4"/>
        <v>1</v>
      </c>
      <c r="R272" s="789" t="s">
        <v>1007</v>
      </c>
      <c r="S272" s="773"/>
      <c r="T272" s="861"/>
      <c r="U272" s="773" t="s">
        <v>2132</v>
      </c>
      <c r="V272" s="773" t="s">
        <v>1033</v>
      </c>
      <c r="W272" s="773" t="s">
        <v>3049</v>
      </c>
      <c r="X272" s="1310">
        <v>1</v>
      </c>
      <c r="Y272" s="821" t="s">
        <v>1020</v>
      </c>
      <c r="Z272" s="790"/>
      <c r="AA272" s="785"/>
      <c r="AB272" s="785"/>
      <c r="AC272" s="785"/>
      <c r="AD272" s="785"/>
      <c r="AE272" s="785"/>
      <c r="AF272" s="799"/>
      <c r="AG272" s="800"/>
      <c r="AH272" s="800"/>
      <c r="AI272" s="800"/>
      <c r="AJ272" s="800"/>
      <c r="AK272" s="800"/>
      <c r="AL272" s="800"/>
      <c r="AM272" s="800"/>
      <c r="AN272" s="800"/>
      <c r="AO272" s="800"/>
      <c r="AP272" s="800"/>
      <c r="AQ272" s="808">
        <v>152.30000000000001</v>
      </c>
      <c r="AR272" s="800">
        <v>119.9</v>
      </c>
      <c r="AS272" s="800">
        <v>81.8</v>
      </c>
      <c r="AT272" s="800">
        <v>64.7</v>
      </c>
      <c r="AU272" s="805">
        <v>57.6</v>
      </c>
      <c r="AV272" s="808"/>
      <c r="AW272" s="800"/>
      <c r="AX272" s="800"/>
      <c r="AY272" s="800"/>
      <c r="AZ272" s="800"/>
      <c r="BA272" s="800"/>
      <c r="BB272" s="800"/>
      <c r="BC272" s="800"/>
      <c r="BD272" s="800"/>
      <c r="BE272" s="800"/>
      <c r="BF272" s="800"/>
      <c r="BG272" s="800"/>
      <c r="BH272" s="800"/>
      <c r="BI272" s="800"/>
      <c r="BJ272" s="800"/>
      <c r="BK272" s="805"/>
      <c r="BL272" s="789"/>
      <c r="BM272" s="785"/>
      <c r="BN272" s="785"/>
      <c r="BO272" s="785"/>
      <c r="BP272" s="796"/>
      <c r="BQ272" s="808" t="s">
        <v>1942</v>
      </c>
      <c r="BR272" s="800" t="s">
        <v>1942</v>
      </c>
      <c r="BS272" s="800" t="s">
        <v>1942</v>
      </c>
      <c r="BT272" s="800" t="s">
        <v>1942</v>
      </c>
      <c r="BU272" s="805" t="s">
        <v>1942</v>
      </c>
      <c r="BV272" s="808" t="s">
        <v>1942</v>
      </c>
      <c r="BW272" s="800" t="s">
        <v>1942</v>
      </c>
      <c r="BX272" s="800" t="s">
        <v>1942</v>
      </c>
      <c r="BY272" s="800" t="s">
        <v>1942</v>
      </c>
      <c r="BZ272" s="800" t="s">
        <v>1942</v>
      </c>
      <c r="CA272" s="808" t="s">
        <v>1942</v>
      </c>
      <c r="CB272" s="800" t="s">
        <v>1942</v>
      </c>
      <c r="CC272" s="800" t="s">
        <v>1942</v>
      </c>
      <c r="CD272" s="800" t="s">
        <v>1942</v>
      </c>
      <c r="CE272" s="805" t="s">
        <v>1942</v>
      </c>
      <c r="CF272" s="800" t="s">
        <v>1942</v>
      </c>
      <c r="CG272" s="800" t="s">
        <v>1942</v>
      </c>
      <c r="CH272" s="800" t="s">
        <v>1942</v>
      </c>
      <c r="CI272" s="800" t="s">
        <v>1942</v>
      </c>
      <c r="CJ272" s="800" t="s">
        <v>1942</v>
      </c>
      <c r="CK272" s="808" t="s">
        <v>1942</v>
      </c>
      <c r="CL272" s="800" t="s">
        <v>1942</v>
      </c>
      <c r="CM272" s="800" t="s">
        <v>1942</v>
      </c>
      <c r="CN272" s="800" t="s">
        <v>1942</v>
      </c>
      <c r="CO272" s="805" t="s">
        <v>1942</v>
      </c>
      <c r="CP272" s="808" t="s">
        <v>1942</v>
      </c>
      <c r="CQ272" s="800" t="s">
        <v>1942</v>
      </c>
      <c r="CR272" s="800" t="s">
        <v>1942</v>
      </c>
      <c r="CS272" s="800" t="s">
        <v>1942</v>
      </c>
      <c r="CT272" s="805" t="s">
        <v>1942</v>
      </c>
      <c r="CU272" s="1284" t="s">
        <v>1942</v>
      </c>
      <c r="CV272" s="1283" t="s">
        <v>1942</v>
      </c>
      <c r="CW272" s="1283" t="s">
        <v>1942</v>
      </c>
      <c r="CX272" s="1285" t="s">
        <v>1942</v>
      </c>
      <c r="CY272" s="1283" t="s">
        <v>1942</v>
      </c>
      <c r="CZ272" s="1283" t="s">
        <v>1942</v>
      </c>
      <c r="DA272" s="1283" t="s">
        <v>1942</v>
      </c>
      <c r="DB272" s="1285" t="s">
        <v>1942</v>
      </c>
      <c r="DC272" s="785"/>
      <c r="DD272" s="813">
        <v>1</v>
      </c>
      <c r="DE272" s="814"/>
    </row>
    <row r="273" spans="1:109" ht="39.4" hidden="1">
      <c r="A273" s="772" t="s">
        <v>1075</v>
      </c>
      <c r="B273" s="773">
        <v>267</v>
      </c>
      <c r="C273" s="789" t="s">
        <v>3050</v>
      </c>
      <c r="D273" s="773" t="s">
        <v>3032</v>
      </c>
      <c r="E273" s="773" t="s">
        <v>1889</v>
      </c>
      <c r="F273" s="785" t="s">
        <v>3051</v>
      </c>
      <c r="G273" s="790" t="s">
        <v>3052</v>
      </c>
      <c r="H273" s="791" t="s">
        <v>3053</v>
      </c>
      <c r="I273" s="792">
        <v>1</v>
      </c>
      <c r="J273" s="793"/>
      <c r="K273" s="793"/>
      <c r="L273" s="793"/>
      <c r="M273" s="793"/>
      <c r="N273" s="793"/>
      <c r="O273" s="793"/>
      <c r="P273" s="794"/>
      <c r="Q273" s="795">
        <f t="shared" si="4"/>
        <v>1</v>
      </c>
      <c r="R273" s="789" t="s">
        <v>1026</v>
      </c>
      <c r="S273" s="773" t="s">
        <v>1008</v>
      </c>
      <c r="T273" s="861" t="s">
        <v>1009</v>
      </c>
      <c r="U273" s="773" t="s">
        <v>1979</v>
      </c>
      <c r="V273" s="773" t="s">
        <v>1033</v>
      </c>
      <c r="W273" s="773" t="s">
        <v>3054</v>
      </c>
      <c r="X273" s="1310">
        <v>0</v>
      </c>
      <c r="Y273" s="819" t="s">
        <v>1020</v>
      </c>
      <c r="Z273" s="790"/>
      <c r="AA273" s="785"/>
      <c r="AB273" s="785"/>
      <c r="AC273" s="785"/>
      <c r="AD273" s="785"/>
      <c r="AE273" s="785"/>
      <c r="AF273" s="799"/>
      <c r="AG273" s="800"/>
      <c r="AH273" s="800"/>
      <c r="AI273" s="800"/>
      <c r="AJ273" s="800"/>
      <c r="AK273" s="800"/>
      <c r="AL273" s="800"/>
      <c r="AM273" s="800"/>
      <c r="AN273" s="800"/>
      <c r="AO273" s="800"/>
      <c r="AP273" s="800"/>
      <c r="AQ273" s="808">
        <v>0</v>
      </c>
      <c r="AR273" s="800">
        <v>0</v>
      </c>
      <c r="AS273" s="800">
        <v>0</v>
      </c>
      <c r="AT273" s="800">
        <v>0</v>
      </c>
      <c r="AU273" s="805">
        <v>0</v>
      </c>
      <c r="AV273" s="808"/>
      <c r="AW273" s="800"/>
      <c r="AX273" s="800"/>
      <c r="AY273" s="800"/>
      <c r="AZ273" s="800"/>
      <c r="BA273" s="800"/>
      <c r="BB273" s="800"/>
      <c r="BC273" s="800"/>
      <c r="BD273" s="800"/>
      <c r="BE273" s="800"/>
      <c r="BF273" s="800"/>
      <c r="BG273" s="800"/>
      <c r="BH273" s="800"/>
      <c r="BI273" s="800"/>
      <c r="BJ273" s="800"/>
      <c r="BK273" s="805"/>
      <c r="BL273" s="789" t="s">
        <v>168</v>
      </c>
      <c r="BM273" s="785" t="s">
        <v>168</v>
      </c>
      <c r="BN273" s="785" t="s">
        <v>168</v>
      </c>
      <c r="BO273" s="785" t="s">
        <v>168</v>
      </c>
      <c r="BP273" s="796" t="s">
        <v>168</v>
      </c>
      <c r="BQ273" s="808" t="s">
        <v>1942</v>
      </c>
      <c r="BR273" s="800" t="s">
        <v>1942</v>
      </c>
      <c r="BS273" s="800" t="s">
        <v>1942</v>
      </c>
      <c r="BT273" s="800" t="s">
        <v>1942</v>
      </c>
      <c r="BU273" s="805" t="s">
        <v>1942</v>
      </c>
      <c r="BV273" s="808" t="s">
        <v>1942</v>
      </c>
      <c r="BW273" s="800" t="s">
        <v>1942</v>
      </c>
      <c r="BX273" s="800" t="s">
        <v>1942</v>
      </c>
      <c r="BY273" s="800" t="s">
        <v>1942</v>
      </c>
      <c r="BZ273" s="800" t="s">
        <v>1942</v>
      </c>
      <c r="CA273" s="808" t="s">
        <v>1942</v>
      </c>
      <c r="CB273" s="800" t="s">
        <v>1942</v>
      </c>
      <c r="CC273" s="800" t="s">
        <v>1942</v>
      </c>
      <c r="CD273" s="800" t="s">
        <v>1942</v>
      </c>
      <c r="CE273" s="805" t="s">
        <v>1942</v>
      </c>
      <c r="CF273" s="800" t="s">
        <v>1942</v>
      </c>
      <c r="CG273" s="800" t="s">
        <v>1942</v>
      </c>
      <c r="CH273" s="800" t="s">
        <v>1942</v>
      </c>
      <c r="CI273" s="800" t="s">
        <v>1942</v>
      </c>
      <c r="CJ273" s="805" t="s">
        <v>1942</v>
      </c>
      <c r="CK273" s="808" t="s">
        <v>1942</v>
      </c>
      <c r="CL273" s="800" t="s">
        <v>1942</v>
      </c>
      <c r="CM273" s="800" t="s">
        <v>1942</v>
      </c>
      <c r="CN273" s="800" t="s">
        <v>1942</v>
      </c>
      <c r="CO273" s="805" t="s">
        <v>1942</v>
      </c>
      <c r="CP273" s="808" t="s">
        <v>1942</v>
      </c>
      <c r="CQ273" s="800" t="s">
        <v>1942</v>
      </c>
      <c r="CR273" s="800" t="s">
        <v>1942</v>
      </c>
      <c r="CS273" s="800" t="s">
        <v>1942</v>
      </c>
      <c r="CT273" s="805" t="s">
        <v>1942</v>
      </c>
      <c r="CU273" s="1284">
        <v>-5.2999999999999998E-4</v>
      </c>
      <c r="CV273" s="1283" t="s">
        <v>1942</v>
      </c>
      <c r="CW273" s="1283" t="s">
        <v>1942</v>
      </c>
      <c r="CX273" s="1285" t="s">
        <v>1942</v>
      </c>
      <c r="CY273" s="1283" t="s">
        <v>1942</v>
      </c>
      <c r="CZ273" s="1283" t="s">
        <v>1942</v>
      </c>
      <c r="DA273" s="1283" t="s">
        <v>1942</v>
      </c>
      <c r="DB273" s="1285" t="s">
        <v>1942</v>
      </c>
      <c r="DC273" s="785" t="s">
        <v>131</v>
      </c>
      <c r="DD273" s="813">
        <v>1</v>
      </c>
      <c r="DE273" s="814"/>
    </row>
    <row r="274" spans="1:109" ht="39.4" hidden="1">
      <c r="A274" s="772" t="s">
        <v>1075</v>
      </c>
      <c r="B274" s="773">
        <v>268</v>
      </c>
      <c r="C274" s="789" t="s">
        <v>3055</v>
      </c>
      <c r="D274" s="773" t="s">
        <v>3032</v>
      </c>
      <c r="E274" s="773" t="s">
        <v>1907</v>
      </c>
      <c r="F274" s="785" t="s">
        <v>3056</v>
      </c>
      <c r="G274" s="790" t="s">
        <v>3057</v>
      </c>
      <c r="H274" s="791" t="s">
        <v>3058</v>
      </c>
      <c r="I274" s="792">
        <v>1</v>
      </c>
      <c r="J274" s="793"/>
      <c r="K274" s="793"/>
      <c r="L274" s="793"/>
      <c r="M274" s="793"/>
      <c r="N274" s="793"/>
      <c r="O274" s="793"/>
      <c r="P274" s="794"/>
      <c r="Q274" s="795">
        <f t="shared" si="4"/>
        <v>1</v>
      </c>
      <c r="R274" s="789" t="s">
        <v>1007</v>
      </c>
      <c r="S274" s="773"/>
      <c r="T274" s="861"/>
      <c r="U274" s="773" t="s">
        <v>1979</v>
      </c>
      <c r="V274" s="773" t="s">
        <v>278</v>
      </c>
      <c r="W274" s="773" t="s">
        <v>3059</v>
      </c>
      <c r="X274" s="1310">
        <v>0</v>
      </c>
      <c r="Y274" s="819" t="s">
        <v>1010</v>
      </c>
      <c r="Z274" s="790"/>
      <c r="AA274" s="785"/>
      <c r="AB274" s="785"/>
      <c r="AC274" s="785"/>
      <c r="AD274" s="785"/>
      <c r="AE274" s="785"/>
      <c r="AF274" s="799"/>
      <c r="AG274" s="800"/>
      <c r="AH274" s="800"/>
      <c r="AI274" s="800"/>
      <c r="AJ274" s="800"/>
      <c r="AK274" s="800"/>
      <c r="AL274" s="800"/>
      <c r="AM274" s="800"/>
      <c r="AN274" s="800"/>
      <c r="AO274" s="800"/>
      <c r="AP274" s="800"/>
      <c r="AQ274" s="808">
        <v>0</v>
      </c>
      <c r="AR274" s="800">
        <v>0</v>
      </c>
      <c r="AS274" s="800">
        <v>7</v>
      </c>
      <c r="AT274" s="800">
        <v>13</v>
      </c>
      <c r="AU274" s="805">
        <v>20</v>
      </c>
      <c r="AV274" s="808"/>
      <c r="AW274" s="800"/>
      <c r="AX274" s="800"/>
      <c r="AY274" s="800"/>
      <c r="AZ274" s="800"/>
      <c r="BA274" s="800"/>
      <c r="BB274" s="800"/>
      <c r="BC274" s="800"/>
      <c r="BD274" s="800"/>
      <c r="BE274" s="800"/>
      <c r="BF274" s="800"/>
      <c r="BG274" s="800"/>
      <c r="BH274" s="800"/>
      <c r="BI274" s="800"/>
      <c r="BJ274" s="800"/>
      <c r="BK274" s="805"/>
      <c r="BL274" s="789"/>
      <c r="BM274" s="785"/>
      <c r="BN274" s="785"/>
      <c r="BO274" s="785"/>
      <c r="BP274" s="796"/>
      <c r="BQ274" s="808" t="s">
        <v>1942</v>
      </c>
      <c r="BR274" s="800" t="s">
        <v>1942</v>
      </c>
      <c r="BS274" s="800" t="s">
        <v>1942</v>
      </c>
      <c r="BT274" s="800" t="s">
        <v>1942</v>
      </c>
      <c r="BU274" s="805" t="s">
        <v>1942</v>
      </c>
      <c r="BV274" s="808" t="s">
        <v>1942</v>
      </c>
      <c r="BW274" s="800" t="s">
        <v>1942</v>
      </c>
      <c r="BX274" s="800" t="s">
        <v>1942</v>
      </c>
      <c r="BY274" s="800" t="s">
        <v>1942</v>
      </c>
      <c r="BZ274" s="800" t="s">
        <v>1942</v>
      </c>
      <c r="CA274" s="808" t="s">
        <v>1942</v>
      </c>
      <c r="CB274" s="800" t="s">
        <v>1942</v>
      </c>
      <c r="CC274" s="800" t="s">
        <v>1942</v>
      </c>
      <c r="CD274" s="800" t="s">
        <v>1942</v>
      </c>
      <c r="CE274" s="805" t="s">
        <v>1942</v>
      </c>
      <c r="CF274" s="800" t="s">
        <v>1942</v>
      </c>
      <c r="CG274" s="800" t="s">
        <v>1942</v>
      </c>
      <c r="CH274" s="800" t="s">
        <v>1942</v>
      </c>
      <c r="CI274" s="800" t="s">
        <v>1942</v>
      </c>
      <c r="CJ274" s="805" t="s">
        <v>1942</v>
      </c>
      <c r="CK274" s="808" t="s">
        <v>1942</v>
      </c>
      <c r="CL274" s="800" t="s">
        <v>1942</v>
      </c>
      <c r="CM274" s="800" t="s">
        <v>1942</v>
      </c>
      <c r="CN274" s="800" t="s">
        <v>1942</v>
      </c>
      <c r="CO274" s="805" t="s">
        <v>1942</v>
      </c>
      <c r="CP274" s="808" t="s">
        <v>1942</v>
      </c>
      <c r="CQ274" s="800" t="s">
        <v>1942</v>
      </c>
      <c r="CR274" s="800" t="s">
        <v>1942</v>
      </c>
      <c r="CS274" s="800" t="s">
        <v>1942</v>
      </c>
      <c r="CT274" s="805" t="s">
        <v>1942</v>
      </c>
      <c r="CU274" s="1284" t="s">
        <v>1942</v>
      </c>
      <c r="CV274" s="1283" t="s">
        <v>1942</v>
      </c>
      <c r="CW274" s="1283" t="s">
        <v>1942</v>
      </c>
      <c r="CX274" s="1285" t="s">
        <v>1942</v>
      </c>
      <c r="CY274" s="1283" t="s">
        <v>1942</v>
      </c>
      <c r="CZ274" s="1283" t="s">
        <v>1942</v>
      </c>
      <c r="DA274" s="1283" t="s">
        <v>1942</v>
      </c>
      <c r="DB274" s="1285" t="s">
        <v>1942</v>
      </c>
      <c r="DC274" s="785"/>
      <c r="DD274" s="813">
        <v>1</v>
      </c>
      <c r="DE274" s="814"/>
    </row>
    <row r="275" spans="1:109" ht="26.25" hidden="1">
      <c r="A275" s="772" t="s">
        <v>1075</v>
      </c>
      <c r="B275" s="773">
        <v>269</v>
      </c>
      <c r="C275" s="789" t="s">
        <v>3060</v>
      </c>
      <c r="D275" s="773" t="s">
        <v>2918</v>
      </c>
      <c r="E275" s="773" t="s">
        <v>1889</v>
      </c>
      <c r="F275" s="785" t="s">
        <v>3061</v>
      </c>
      <c r="G275" s="790" t="s">
        <v>3062</v>
      </c>
      <c r="H275" s="791" t="s">
        <v>3063</v>
      </c>
      <c r="I275" s="792"/>
      <c r="J275" s="793">
        <v>0.5</v>
      </c>
      <c r="K275" s="793"/>
      <c r="L275" s="793"/>
      <c r="M275" s="793">
        <v>0.5</v>
      </c>
      <c r="N275" s="793"/>
      <c r="O275" s="793"/>
      <c r="P275" s="794"/>
      <c r="Q275" s="795">
        <f t="shared" si="4"/>
        <v>1</v>
      </c>
      <c r="R275" s="789" t="s">
        <v>1007</v>
      </c>
      <c r="S275" s="773"/>
      <c r="T275" s="861"/>
      <c r="U275" s="773" t="s">
        <v>1947</v>
      </c>
      <c r="V275" s="773" t="s">
        <v>1081</v>
      </c>
      <c r="W275" s="773" t="s">
        <v>2955</v>
      </c>
      <c r="X275" s="1310">
        <v>1</v>
      </c>
      <c r="Y275" s="819" t="s">
        <v>1010</v>
      </c>
      <c r="Z275" s="790"/>
      <c r="AA275" s="785"/>
      <c r="AB275" s="785"/>
      <c r="AC275" s="785"/>
      <c r="AD275" s="785"/>
      <c r="AE275" s="785"/>
      <c r="AF275" s="799"/>
      <c r="AG275" s="800"/>
      <c r="AH275" s="800"/>
      <c r="AI275" s="800"/>
      <c r="AJ275" s="800"/>
      <c r="AK275" s="800"/>
      <c r="AL275" s="800"/>
      <c r="AM275" s="800"/>
      <c r="AN275" s="800"/>
      <c r="AO275" s="800"/>
      <c r="AP275" s="800"/>
      <c r="AQ275" s="808">
        <v>3.7</v>
      </c>
      <c r="AR275" s="800">
        <v>3.8</v>
      </c>
      <c r="AS275" s="800">
        <v>3.9</v>
      </c>
      <c r="AT275" s="1281">
        <v>4</v>
      </c>
      <c r="AU275" s="1282">
        <v>4</v>
      </c>
      <c r="AV275" s="808"/>
      <c r="AW275" s="800"/>
      <c r="AX275" s="800"/>
      <c r="AY275" s="800"/>
      <c r="AZ275" s="800"/>
      <c r="BA275" s="800"/>
      <c r="BB275" s="800"/>
      <c r="BC275" s="800"/>
      <c r="BD275" s="800"/>
      <c r="BE275" s="800"/>
      <c r="BF275" s="800"/>
      <c r="BG275" s="800"/>
      <c r="BH275" s="800"/>
      <c r="BI275" s="800"/>
      <c r="BJ275" s="800"/>
      <c r="BK275" s="805"/>
      <c r="BL275" s="789"/>
      <c r="BM275" s="785"/>
      <c r="BN275" s="785"/>
      <c r="BO275" s="785"/>
      <c r="BP275" s="796"/>
      <c r="BQ275" s="808" t="s">
        <v>1942</v>
      </c>
      <c r="BR275" s="800" t="s">
        <v>1942</v>
      </c>
      <c r="BS275" s="800" t="s">
        <v>1942</v>
      </c>
      <c r="BT275" s="800" t="s">
        <v>1942</v>
      </c>
      <c r="BU275" s="805" t="s">
        <v>1942</v>
      </c>
      <c r="BV275" s="808" t="s">
        <v>1942</v>
      </c>
      <c r="BW275" s="800" t="s">
        <v>1942</v>
      </c>
      <c r="BX275" s="800" t="s">
        <v>1942</v>
      </c>
      <c r="BY275" s="800" t="s">
        <v>1942</v>
      </c>
      <c r="BZ275" s="800" t="s">
        <v>1942</v>
      </c>
      <c r="CA275" s="808" t="s">
        <v>1942</v>
      </c>
      <c r="CB275" s="800" t="s">
        <v>1942</v>
      </c>
      <c r="CC275" s="800" t="s">
        <v>1942</v>
      </c>
      <c r="CD275" s="800" t="s">
        <v>1942</v>
      </c>
      <c r="CE275" s="805" t="s">
        <v>1942</v>
      </c>
      <c r="CF275" s="800" t="s">
        <v>1942</v>
      </c>
      <c r="CG275" s="800" t="s">
        <v>1942</v>
      </c>
      <c r="CH275" s="800" t="s">
        <v>1942</v>
      </c>
      <c r="CI275" s="800" t="s">
        <v>1942</v>
      </c>
      <c r="CJ275" s="805" t="s">
        <v>1942</v>
      </c>
      <c r="CK275" s="808" t="s">
        <v>1942</v>
      </c>
      <c r="CL275" s="800" t="s">
        <v>1942</v>
      </c>
      <c r="CM275" s="800" t="s">
        <v>1942</v>
      </c>
      <c r="CN275" s="800" t="s">
        <v>1942</v>
      </c>
      <c r="CO275" s="805" t="s">
        <v>1942</v>
      </c>
      <c r="CP275" s="808" t="s">
        <v>1942</v>
      </c>
      <c r="CQ275" s="800" t="s">
        <v>1942</v>
      </c>
      <c r="CR275" s="800" t="s">
        <v>1942</v>
      </c>
      <c r="CS275" s="800" t="s">
        <v>1942</v>
      </c>
      <c r="CT275" s="805" t="s">
        <v>1942</v>
      </c>
      <c r="CU275" s="1284" t="s">
        <v>1942</v>
      </c>
      <c r="CV275" s="1283" t="s">
        <v>1942</v>
      </c>
      <c r="CW275" s="1283" t="s">
        <v>1942</v>
      </c>
      <c r="CX275" s="1285" t="s">
        <v>1942</v>
      </c>
      <c r="CY275" s="1283" t="s">
        <v>1942</v>
      </c>
      <c r="CZ275" s="1283" t="s">
        <v>1942</v>
      </c>
      <c r="DA275" s="1283" t="s">
        <v>1942</v>
      </c>
      <c r="DB275" s="1285" t="s">
        <v>1942</v>
      </c>
      <c r="DC275" s="785"/>
      <c r="DD275" s="813">
        <v>1</v>
      </c>
      <c r="DE275" s="814"/>
    </row>
    <row r="276" spans="1:109" ht="13.15" hidden="1">
      <c r="A276" s="772" t="s">
        <v>1075</v>
      </c>
      <c r="B276" s="773">
        <v>270</v>
      </c>
      <c r="C276" s="789" t="s">
        <v>3064</v>
      </c>
      <c r="D276" s="773"/>
      <c r="E276" s="773"/>
      <c r="F276" s="785" t="s">
        <v>2032</v>
      </c>
      <c r="G276" s="790" t="s">
        <v>2033</v>
      </c>
      <c r="H276" s="791"/>
      <c r="I276" s="792"/>
      <c r="J276" s="793"/>
      <c r="K276" s="793"/>
      <c r="L276" s="793"/>
      <c r="M276" s="793"/>
      <c r="N276" s="793"/>
      <c r="O276" s="793"/>
      <c r="P276" s="794"/>
      <c r="Q276" s="795">
        <f t="shared" si="4"/>
        <v>0</v>
      </c>
      <c r="R276" s="789" t="s">
        <v>1007</v>
      </c>
      <c r="S276" s="773"/>
      <c r="T276" s="796"/>
      <c r="U276" s="773"/>
      <c r="V276" s="1247" t="s">
        <v>1072</v>
      </c>
      <c r="W276" s="773" t="s">
        <v>2034</v>
      </c>
      <c r="X276" s="1310">
        <v>0</v>
      </c>
      <c r="Y276" s="819"/>
      <c r="Z276" s="790"/>
      <c r="AA276" s="785"/>
      <c r="AB276" s="785"/>
      <c r="AC276" s="785"/>
      <c r="AD276" s="785"/>
      <c r="AE276" s="785"/>
      <c r="AF276" s="799"/>
      <c r="AG276" s="800"/>
      <c r="AH276" s="800"/>
      <c r="AI276" s="800"/>
      <c r="AJ276" s="800"/>
      <c r="AK276" s="800"/>
      <c r="AL276" s="800"/>
      <c r="AM276" s="800"/>
      <c r="AN276" s="800"/>
      <c r="AO276" s="800"/>
      <c r="AP276" s="800"/>
      <c r="AQ276" s="808" t="s">
        <v>591</v>
      </c>
      <c r="AR276" s="800" t="s">
        <v>591</v>
      </c>
      <c r="AS276" s="800" t="s">
        <v>591</v>
      </c>
      <c r="AT276" s="800" t="s">
        <v>591</v>
      </c>
      <c r="AU276" s="805" t="s">
        <v>591</v>
      </c>
      <c r="AV276" s="808"/>
      <c r="AW276" s="800"/>
      <c r="AX276" s="800"/>
      <c r="AY276" s="800"/>
      <c r="AZ276" s="800"/>
      <c r="BA276" s="800"/>
      <c r="BB276" s="800"/>
      <c r="BC276" s="800"/>
      <c r="BD276" s="800"/>
      <c r="BE276" s="800"/>
      <c r="BF276" s="800"/>
      <c r="BG276" s="800"/>
      <c r="BH276" s="800"/>
      <c r="BI276" s="800"/>
      <c r="BJ276" s="800"/>
      <c r="BK276" s="805"/>
      <c r="BL276" s="789"/>
      <c r="BM276" s="785"/>
      <c r="BN276" s="785"/>
      <c r="BO276" s="785"/>
      <c r="BP276" s="796"/>
      <c r="BQ276" s="808" t="s">
        <v>1942</v>
      </c>
      <c r="BR276" s="800" t="s">
        <v>1942</v>
      </c>
      <c r="BS276" s="800" t="s">
        <v>1942</v>
      </c>
      <c r="BT276" s="800" t="s">
        <v>1942</v>
      </c>
      <c r="BU276" s="805" t="s">
        <v>1942</v>
      </c>
      <c r="BV276" s="808" t="s">
        <v>1942</v>
      </c>
      <c r="BW276" s="800" t="s">
        <v>1942</v>
      </c>
      <c r="BX276" s="800" t="s">
        <v>1942</v>
      </c>
      <c r="BY276" s="800" t="s">
        <v>1942</v>
      </c>
      <c r="BZ276" s="800" t="s">
        <v>1942</v>
      </c>
      <c r="CA276" s="808" t="s">
        <v>1942</v>
      </c>
      <c r="CB276" s="800" t="s">
        <v>1942</v>
      </c>
      <c r="CC276" s="800" t="s">
        <v>1942</v>
      </c>
      <c r="CD276" s="800" t="s">
        <v>1942</v>
      </c>
      <c r="CE276" s="805" t="s">
        <v>1942</v>
      </c>
      <c r="CF276" s="800" t="s">
        <v>1942</v>
      </c>
      <c r="CG276" s="800" t="s">
        <v>1942</v>
      </c>
      <c r="CH276" s="800" t="s">
        <v>1942</v>
      </c>
      <c r="CI276" s="800" t="s">
        <v>1942</v>
      </c>
      <c r="CJ276" s="805" t="s">
        <v>1942</v>
      </c>
      <c r="CK276" s="808" t="s">
        <v>1942</v>
      </c>
      <c r="CL276" s="800" t="s">
        <v>1942</v>
      </c>
      <c r="CM276" s="800" t="s">
        <v>1942</v>
      </c>
      <c r="CN276" s="800" t="s">
        <v>1942</v>
      </c>
      <c r="CO276" s="805" t="s">
        <v>1942</v>
      </c>
      <c r="CP276" s="808" t="s">
        <v>1942</v>
      </c>
      <c r="CQ276" s="800" t="s">
        <v>1942</v>
      </c>
      <c r="CR276" s="800" t="s">
        <v>1942</v>
      </c>
      <c r="CS276" s="800" t="s">
        <v>1942</v>
      </c>
      <c r="CT276" s="805" t="s">
        <v>1942</v>
      </c>
      <c r="CU276" s="1284" t="s">
        <v>1942</v>
      </c>
      <c r="CV276" s="1283" t="s">
        <v>1942</v>
      </c>
      <c r="CW276" s="1283" t="s">
        <v>1942</v>
      </c>
      <c r="CX276" s="1285" t="s">
        <v>1942</v>
      </c>
      <c r="CY276" s="1283" t="s">
        <v>1942</v>
      </c>
      <c r="CZ276" s="1283" t="s">
        <v>1942</v>
      </c>
      <c r="DA276" s="1283" t="s">
        <v>1942</v>
      </c>
      <c r="DB276" s="1285" t="s">
        <v>1942</v>
      </c>
      <c r="DC276" s="785"/>
      <c r="DD276" s="813"/>
      <c r="DE276" s="814"/>
    </row>
    <row r="277" spans="1:109" ht="13.15" hidden="1">
      <c r="A277" s="772" t="s">
        <v>1075</v>
      </c>
      <c r="B277" s="773">
        <v>271</v>
      </c>
      <c r="C277" s="789" t="s">
        <v>3065</v>
      </c>
      <c r="D277" s="773"/>
      <c r="E277" s="773"/>
      <c r="F277" s="785" t="s">
        <v>3066</v>
      </c>
      <c r="G277" s="790" t="s">
        <v>3067</v>
      </c>
      <c r="H277" s="791"/>
      <c r="I277" s="792"/>
      <c r="J277" s="793">
        <v>1</v>
      </c>
      <c r="K277" s="793"/>
      <c r="L277" s="793"/>
      <c r="M277" s="793"/>
      <c r="N277" s="793"/>
      <c r="O277" s="793"/>
      <c r="P277" s="794"/>
      <c r="Q277" s="795">
        <f t="shared" si="4"/>
        <v>1</v>
      </c>
      <c r="R277" s="789" t="s">
        <v>2751</v>
      </c>
      <c r="S277" s="773" t="s">
        <v>1008</v>
      </c>
      <c r="T277" s="796" t="s">
        <v>1019</v>
      </c>
      <c r="U277" s="773"/>
      <c r="V277" s="773" t="s">
        <v>2177</v>
      </c>
      <c r="W277" s="773" t="s">
        <v>3068</v>
      </c>
      <c r="X277" s="1310">
        <v>0</v>
      </c>
      <c r="Y277" s="819" t="s">
        <v>1020</v>
      </c>
      <c r="Z277" s="790"/>
      <c r="AA277" s="785"/>
      <c r="AB277" s="785"/>
      <c r="AC277" s="785"/>
      <c r="AD277" s="785"/>
      <c r="AE277" s="785"/>
      <c r="AF277" s="799"/>
      <c r="AG277" s="800"/>
      <c r="AH277" s="800"/>
      <c r="AI277" s="800"/>
      <c r="AJ277" s="800"/>
      <c r="AK277" s="800"/>
      <c r="AL277" s="800"/>
      <c r="AM277" s="800"/>
      <c r="AN277" s="800"/>
      <c r="AO277" s="800"/>
      <c r="AP277" s="800"/>
      <c r="AQ277" s="808">
        <v>0</v>
      </c>
      <c r="AR277" s="800">
        <v>0</v>
      </c>
      <c r="AS277" s="800">
        <v>0</v>
      </c>
      <c r="AT277" s="800">
        <v>0</v>
      </c>
      <c r="AU277" s="805">
        <v>0</v>
      </c>
      <c r="AV277" s="808"/>
      <c r="AW277" s="800"/>
      <c r="AX277" s="800"/>
      <c r="AY277" s="800"/>
      <c r="AZ277" s="800"/>
      <c r="BA277" s="800"/>
      <c r="BB277" s="800"/>
      <c r="BC277" s="800"/>
      <c r="BD277" s="800"/>
      <c r="BE277" s="800"/>
      <c r="BF277" s="800"/>
      <c r="BG277" s="800"/>
      <c r="BH277" s="800"/>
      <c r="BI277" s="800"/>
      <c r="BJ277" s="800"/>
      <c r="BK277" s="805"/>
      <c r="BL277" s="789"/>
      <c r="BM277" s="785"/>
      <c r="BN277" s="785"/>
      <c r="BO277" s="785"/>
      <c r="BP277" s="796" t="s">
        <v>168</v>
      </c>
      <c r="BQ277" s="808" t="s">
        <v>1942</v>
      </c>
      <c r="BR277" s="800" t="s">
        <v>1942</v>
      </c>
      <c r="BS277" s="800" t="s">
        <v>1942</v>
      </c>
      <c r="BT277" s="800" t="s">
        <v>1942</v>
      </c>
      <c r="BU277" s="805" t="s">
        <v>1942</v>
      </c>
      <c r="BV277" s="808" t="s">
        <v>1942</v>
      </c>
      <c r="BW277" s="800" t="s">
        <v>1942</v>
      </c>
      <c r="BX277" s="800" t="s">
        <v>1942</v>
      </c>
      <c r="BY277" s="800" t="s">
        <v>1942</v>
      </c>
      <c r="BZ277" s="800" t="s">
        <v>1942</v>
      </c>
      <c r="CA277" s="808" t="s">
        <v>1942</v>
      </c>
      <c r="CB277" s="800" t="s">
        <v>1942</v>
      </c>
      <c r="CC277" s="800" t="s">
        <v>1942</v>
      </c>
      <c r="CD277" s="800" t="s">
        <v>1942</v>
      </c>
      <c r="CE277" s="805" t="s">
        <v>1942</v>
      </c>
      <c r="CF277" s="800" t="s">
        <v>1942</v>
      </c>
      <c r="CG277" s="800" t="s">
        <v>1942</v>
      </c>
      <c r="CH277" s="800" t="s">
        <v>1942</v>
      </c>
      <c r="CI277" s="800" t="s">
        <v>1942</v>
      </c>
      <c r="CJ277" s="805" t="s">
        <v>1942</v>
      </c>
      <c r="CK277" s="808" t="s">
        <v>1942</v>
      </c>
      <c r="CL277" s="800" t="s">
        <v>1942</v>
      </c>
      <c r="CM277" s="800" t="s">
        <v>1942</v>
      </c>
      <c r="CN277" s="800" t="s">
        <v>1942</v>
      </c>
      <c r="CO277" s="805" t="s">
        <v>1942</v>
      </c>
      <c r="CP277" s="808" t="s">
        <v>1942</v>
      </c>
      <c r="CQ277" s="800" t="s">
        <v>1942</v>
      </c>
      <c r="CR277" s="800" t="s">
        <v>1942</v>
      </c>
      <c r="CS277" s="800" t="s">
        <v>1942</v>
      </c>
      <c r="CT277" s="805" t="s">
        <v>1942</v>
      </c>
      <c r="CU277" s="1284">
        <v>-4.1300000000000003E-2</v>
      </c>
      <c r="CV277" s="1283" t="s">
        <v>1942</v>
      </c>
      <c r="CW277" s="1283" t="s">
        <v>1942</v>
      </c>
      <c r="CX277" s="1285" t="s">
        <v>1942</v>
      </c>
      <c r="CY277" s="1283">
        <v>0.1492</v>
      </c>
      <c r="CZ277" s="1283" t="s">
        <v>1942</v>
      </c>
      <c r="DA277" s="1283" t="s">
        <v>1942</v>
      </c>
      <c r="DB277" s="1285" t="s">
        <v>1942</v>
      </c>
      <c r="DC277" s="785"/>
      <c r="DD277" s="813"/>
      <c r="DE277" s="814"/>
    </row>
    <row r="278" spans="1:109" ht="39.4">
      <c r="A278" s="772" t="s">
        <v>1038</v>
      </c>
      <c r="B278" s="773">
        <v>272</v>
      </c>
      <c r="C278" s="789" t="s">
        <v>3069</v>
      </c>
      <c r="D278" s="773" t="s">
        <v>3070</v>
      </c>
      <c r="E278" s="773" t="s">
        <v>1889</v>
      </c>
      <c r="F278" s="785" t="s">
        <v>3071</v>
      </c>
      <c r="G278" s="790" t="s">
        <v>130</v>
      </c>
      <c r="H278" s="791" t="s">
        <v>3072</v>
      </c>
      <c r="I278" s="792"/>
      <c r="J278" s="793">
        <v>1</v>
      </c>
      <c r="K278" s="793"/>
      <c r="L278" s="793"/>
      <c r="M278" s="793"/>
      <c r="N278" s="793"/>
      <c r="O278" s="793"/>
      <c r="P278" s="794"/>
      <c r="Q278" s="795">
        <f t="shared" si="4"/>
        <v>1</v>
      </c>
      <c r="R278" s="789" t="s">
        <v>1026</v>
      </c>
      <c r="S278" s="773" t="s">
        <v>1008</v>
      </c>
      <c r="T278" s="861" t="s">
        <v>1009</v>
      </c>
      <c r="U278" s="773" t="s">
        <v>3073</v>
      </c>
      <c r="V278" s="773" t="s">
        <v>1081</v>
      </c>
      <c r="W278" s="773" t="s">
        <v>3074</v>
      </c>
      <c r="X278" s="829">
        <v>2</v>
      </c>
      <c r="Y278" s="819" t="s">
        <v>1020</v>
      </c>
      <c r="Z278" s="790" t="s">
        <v>130</v>
      </c>
      <c r="AA278" s="785"/>
      <c r="AB278" s="785"/>
      <c r="AC278" s="785"/>
      <c r="AD278" s="785"/>
      <c r="AE278" s="785"/>
      <c r="AF278" s="799"/>
      <c r="AG278" s="800"/>
      <c r="AH278" s="800"/>
      <c r="AI278" s="800"/>
      <c r="AJ278" s="800"/>
      <c r="AK278" s="800"/>
      <c r="AL278" s="800"/>
      <c r="AM278" s="800"/>
      <c r="AN278" s="800"/>
      <c r="AO278" s="800"/>
      <c r="AP278" s="800"/>
      <c r="AQ278" s="1420"/>
      <c r="AR278" s="1368"/>
      <c r="AS278" s="1368"/>
      <c r="AT278" s="1368"/>
      <c r="AU278" s="1369"/>
      <c r="AV278" s="808"/>
      <c r="AW278" s="800"/>
      <c r="AX278" s="800"/>
      <c r="AY278" s="800"/>
      <c r="AZ278" s="800"/>
      <c r="BA278" s="800"/>
      <c r="BB278" s="800"/>
      <c r="BC278" s="800"/>
      <c r="BD278" s="800"/>
      <c r="BE278" s="800"/>
      <c r="BF278" s="800"/>
      <c r="BG278" s="800"/>
      <c r="BH278" s="800"/>
      <c r="BI278" s="800"/>
      <c r="BJ278" s="800"/>
      <c r="BK278" s="805"/>
      <c r="BL278" s="1376"/>
      <c r="BM278" s="1377"/>
      <c r="BN278" s="1377"/>
      <c r="BO278" s="1377"/>
      <c r="BP278" s="1440"/>
      <c r="BQ278" s="1420"/>
      <c r="BR278" s="1368"/>
      <c r="BS278" s="1368"/>
      <c r="BT278" s="1368"/>
      <c r="BU278" s="1369"/>
      <c r="BV278" s="1420"/>
      <c r="BW278" s="1368"/>
      <c r="BX278" s="1368"/>
      <c r="BY278" s="1368"/>
      <c r="BZ278" s="1368"/>
      <c r="CA278" s="1420"/>
      <c r="CB278" s="1368"/>
      <c r="CC278" s="1368"/>
      <c r="CD278" s="1368"/>
      <c r="CE278" s="1369"/>
      <c r="CF278" s="1368"/>
      <c r="CG278" s="1368"/>
      <c r="CH278" s="1368"/>
      <c r="CI278" s="1368"/>
      <c r="CJ278" s="1369"/>
      <c r="CK278" s="1420"/>
      <c r="CL278" s="1368"/>
      <c r="CM278" s="1368"/>
      <c r="CN278" s="1368"/>
      <c r="CO278" s="1369"/>
      <c r="CP278" s="1420"/>
      <c r="CQ278" s="1368"/>
      <c r="CR278" s="1368"/>
      <c r="CS278" s="1368"/>
      <c r="CT278" s="1369"/>
      <c r="CU278" s="1528"/>
      <c r="CV278" s="1519"/>
      <c r="CW278" s="1519"/>
      <c r="CX278" s="1728"/>
      <c r="CY278" s="1519"/>
      <c r="CZ278" s="1519"/>
      <c r="DA278" s="1519"/>
      <c r="DB278" s="1728"/>
      <c r="DC278" s="1377"/>
      <c r="DD278" s="1729"/>
      <c r="DE278" s="1734"/>
    </row>
    <row r="279" spans="1:109" ht="39.4">
      <c r="A279" s="772" t="s">
        <v>1038</v>
      </c>
      <c r="B279" s="773">
        <v>273</v>
      </c>
      <c r="C279" s="789" t="s">
        <v>3075</v>
      </c>
      <c r="D279" s="773" t="s">
        <v>3076</v>
      </c>
      <c r="E279" s="773" t="s">
        <v>3077</v>
      </c>
      <c r="F279" s="785" t="s">
        <v>3078</v>
      </c>
      <c r="G279" s="790" t="s">
        <v>669</v>
      </c>
      <c r="H279" s="791" t="s">
        <v>3079</v>
      </c>
      <c r="I279" s="792"/>
      <c r="J279" s="793">
        <v>1</v>
      </c>
      <c r="K279" s="793"/>
      <c r="L279" s="793"/>
      <c r="M279" s="793"/>
      <c r="N279" s="793"/>
      <c r="O279" s="793"/>
      <c r="P279" s="794"/>
      <c r="Q279" s="795">
        <f t="shared" si="4"/>
        <v>1</v>
      </c>
      <c r="R279" s="789" t="s">
        <v>1030</v>
      </c>
      <c r="S279" s="773" t="s">
        <v>1008</v>
      </c>
      <c r="T279" s="861" t="s">
        <v>1009</v>
      </c>
      <c r="U279" s="773" t="s">
        <v>3080</v>
      </c>
      <c r="V279" s="773" t="s">
        <v>1033</v>
      </c>
      <c r="W279" s="773" t="s">
        <v>3081</v>
      </c>
      <c r="X279" s="829">
        <v>1</v>
      </c>
      <c r="Y279" s="821" t="s">
        <v>1020</v>
      </c>
      <c r="Z279" s="790" t="s">
        <v>669</v>
      </c>
      <c r="AA279" s="785"/>
      <c r="AB279" s="785"/>
      <c r="AC279" s="785"/>
      <c r="AD279" s="785"/>
      <c r="AE279" s="785"/>
      <c r="AF279" s="799"/>
      <c r="AG279" s="800"/>
      <c r="AH279" s="807"/>
      <c r="AI279" s="807"/>
      <c r="AJ279" s="807"/>
      <c r="AK279" s="807"/>
      <c r="AL279" s="807"/>
      <c r="AM279" s="807"/>
      <c r="AN279" s="807"/>
      <c r="AO279" s="807"/>
      <c r="AP279" s="807"/>
      <c r="AQ279" s="1421"/>
      <c r="AR279" s="1373"/>
      <c r="AS279" s="1373"/>
      <c r="AT279" s="1373"/>
      <c r="AU279" s="1374"/>
      <c r="AV279" s="806"/>
      <c r="AW279" s="807"/>
      <c r="AX279" s="807"/>
      <c r="AY279" s="807"/>
      <c r="AZ279" s="807"/>
      <c r="BA279" s="807"/>
      <c r="BB279" s="807"/>
      <c r="BC279" s="807"/>
      <c r="BD279" s="807"/>
      <c r="BE279" s="807"/>
      <c r="BF279" s="807"/>
      <c r="BG279" s="807"/>
      <c r="BH279" s="807"/>
      <c r="BI279" s="807"/>
      <c r="BJ279" s="807"/>
      <c r="BK279" s="820"/>
      <c r="BL279" s="1376"/>
      <c r="BM279" s="1377"/>
      <c r="BN279" s="1377"/>
      <c r="BO279" s="1377"/>
      <c r="BP279" s="1440"/>
      <c r="BQ279" s="1420"/>
      <c r="BR279" s="1368"/>
      <c r="BS279" s="1368"/>
      <c r="BT279" s="1368"/>
      <c r="BU279" s="1369"/>
      <c r="BV279" s="1421"/>
      <c r="BW279" s="1373"/>
      <c r="BX279" s="1373"/>
      <c r="BY279" s="1373"/>
      <c r="BZ279" s="1373"/>
      <c r="CA279" s="1757"/>
      <c r="CB279" s="1758"/>
      <c r="CC279" s="1758"/>
      <c r="CD279" s="1758"/>
      <c r="CE279" s="1759"/>
      <c r="CF279" s="1758"/>
      <c r="CG279" s="1758"/>
      <c r="CH279" s="1758"/>
      <c r="CI279" s="1758"/>
      <c r="CJ279" s="1759"/>
      <c r="CK279" s="1421"/>
      <c r="CL279" s="1373"/>
      <c r="CM279" s="1373"/>
      <c r="CN279" s="1373"/>
      <c r="CO279" s="1374"/>
      <c r="CP279" s="1420"/>
      <c r="CQ279" s="1368"/>
      <c r="CR279" s="1368"/>
      <c r="CS279" s="1368"/>
      <c r="CT279" s="1369"/>
      <c r="CU279" s="1528"/>
      <c r="CV279" s="1519"/>
      <c r="CW279" s="1519"/>
      <c r="CX279" s="1728"/>
      <c r="CY279" s="1519"/>
      <c r="CZ279" s="1519"/>
      <c r="DA279" s="1519"/>
      <c r="DB279" s="1728"/>
      <c r="DC279" s="1377"/>
      <c r="DD279" s="1729"/>
      <c r="DE279" s="1734"/>
    </row>
    <row r="280" spans="1:109" ht="91.9">
      <c r="A280" s="772" t="s">
        <v>1038</v>
      </c>
      <c r="B280" s="773">
        <v>274</v>
      </c>
      <c r="C280" s="789" t="s">
        <v>3082</v>
      </c>
      <c r="D280" s="773" t="s">
        <v>3083</v>
      </c>
      <c r="E280" s="773" t="s">
        <v>3077</v>
      </c>
      <c r="F280" s="785" t="s">
        <v>3084</v>
      </c>
      <c r="G280" s="790" t="s">
        <v>1902</v>
      </c>
      <c r="H280" s="791" t="s">
        <v>3085</v>
      </c>
      <c r="I280" s="792">
        <v>1</v>
      </c>
      <c r="J280" s="793"/>
      <c r="K280" s="793"/>
      <c r="L280" s="793"/>
      <c r="M280" s="793"/>
      <c r="N280" s="793"/>
      <c r="O280" s="793"/>
      <c r="P280" s="794"/>
      <c r="Q280" s="795">
        <f t="shared" si="4"/>
        <v>1</v>
      </c>
      <c r="R280" s="789" t="s">
        <v>1030</v>
      </c>
      <c r="S280" s="773" t="s">
        <v>1008</v>
      </c>
      <c r="T280" s="1440" t="s">
        <v>1019</v>
      </c>
      <c r="U280" s="773" t="s">
        <v>3086</v>
      </c>
      <c r="V280" s="773" t="s">
        <v>1033</v>
      </c>
      <c r="W280" s="773" t="s">
        <v>3087</v>
      </c>
      <c r="X280" s="1274">
        <v>1</v>
      </c>
      <c r="Y280" s="821" t="s">
        <v>1020</v>
      </c>
      <c r="Z280" s="790" t="s">
        <v>1902</v>
      </c>
      <c r="AA280" s="785"/>
      <c r="AB280" s="785"/>
      <c r="AC280" s="785"/>
      <c r="AD280" s="785"/>
      <c r="AE280" s="785"/>
      <c r="AF280" s="799"/>
      <c r="AG280" s="816"/>
      <c r="AH280" s="816"/>
      <c r="AI280" s="816"/>
      <c r="AJ280" s="816"/>
      <c r="AK280" s="816"/>
      <c r="AL280" s="816"/>
      <c r="AM280" s="816"/>
      <c r="AN280" s="816"/>
      <c r="AO280" s="816"/>
      <c r="AP280" s="816"/>
      <c r="AQ280" s="1420"/>
      <c r="AR280" s="1368"/>
      <c r="AS280" s="1368"/>
      <c r="AT280" s="1368"/>
      <c r="AU280" s="1369"/>
      <c r="AV280" s="817"/>
      <c r="AW280" s="816"/>
      <c r="AX280" s="816"/>
      <c r="AY280" s="816"/>
      <c r="AZ280" s="816"/>
      <c r="BA280" s="816"/>
      <c r="BB280" s="816"/>
      <c r="BC280" s="816"/>
      <c r="BD280" s="816"/>
      <c r="BE280" s="816"/>
      <c r="BF280" s="816"/>
      <c r="BG280" s="816"/>
      <c r="BH280" s="816"/>
      <c r="BI280" s="816"/>
      <c r="BJ280" s="816"/>
      <c r="BK280" s="818"/>
      <c r="BL280" s="1376"/>
      <c r="BM280" s="1377"/>
      <c r="BN280" s="1377"/>
      <c r="BO280" s="1377"/>
      <c r="BP280" s="1440"/>
      <c r="BQ280" s="1420"/>
      <c r="BR280" s="1368"/>
      <c r="BS280" s="1368"/>
      <c r="BT280" s="1368"/>
      <c r="BU280" s="1369"/>
      <c r="BV280" s="1420"/>
      <c r="BW280" s="1368"/>
      <c r="BX280" s="1368"/>
      <c r="BY280" s="1368"/>
      <c r="BZ280" s="1368"/>
      <c r="CA280" s="1420"/>
      <c r="CB280" s="1368"/>
      <c r="CC280" s="1368"/>
      <c r="CD280" s="1368"/>
      <c r="CE280" s="1369"/>
      <c r="CF280" s="1368"/>
      <c r="CG280" s="1368"/>
      <c r="CH280" s="1368"/>
      <c r="CI280" s="1368"/>
      <c r="CJ280" s="1369"/>
      <c r="CK280" s="1421"/>
      <c r="CL280" s="1373"/>
      <c r="CM280" s="1373"/>
      <c r="CN280" s="1373"/>
      <c r="CO280" s="1374"/>
      <c r="CP280" s="1421"/>
      <c r="CQ280" s="1373"/>
      <c r="CR280" s="1373"/>
      <c r="CS280" s="1373"/>
      <c r="CT280" s="1374"/>
      <c r="CU280" s="1528"/>
      <c r="CV280" s="1519"/>
      <c r="CW280" s="1519"/>
      <c r="CX280" s="1728"/>
      <c r="CY280" s="1519"/>
      <c r="CZ280" s="1519"/>
      <c r="DA280" s="1519"/>
      <c r="DB280" s="1728"/>
      <c r="DC280" s="1377"/>
      <c r="DD280" s="1729"/>
      <c r="DE280" s="1734"/>
    </row>
    <row r="281" spans="1:109" ht="26.25">
      <c r="A281" s="772" t="s">
        <v>1038</v>
      </c>
      <c r="B281" s="773">
        <v>275</v>
      </c>
      <c r="C281" s="789" t="s">
        <v>3088</v>
      </c>
      <c r="D281" s="773" t="s">
        <v>3076</v>
      </c>
      <c r="E281" s="773" t="s">
        <v>3077</v>
      </c>
      <c r="F281" s="785" t="s">
        <v>3089</v>
      </c>
      <c r="G281" s="790" t="s">
        <v>3090</v>
      </c>
      <c r="H281" s="791" t="s">
        <v>3091</v>
      </c>
      <c r="I281" s="792"/>
      <c r="J281" s="793">
        <v>1</v>
      </c>
      <c r="K281" s="793"/>
      <c r="L281" s="793"/>
      <c r="M281" s="793"/>
      <c r="N281" s="793"/>
      <c r="O281" s="793"/>
      <c r="P281" s="794"/>
      <c r="Q281" s="795">
        <f t="shared" si="4"/>
        <v>1</v>
      </c>
      <c r="R281" s="789" t="s">
        <v>1030</v>
      </c>
      <c r="S281" s="773" t="s">
        <v>1008</v>
      </c>
      <c r="T281" s="861" t="s">
        <v>1009</v>
      </c>
      <c r="U281" s="773" t="s">
        <v>3092</v>
      </c>
      <c r="V281" s="773" t="s">
        <v>1033</v>
      </c>
      <c r="W281" s="773" t="s">
        <v>3093</v>
      </c>
      <c r="X281" s="829">
        <v>2</v>
      </c>
      <c r="Y281" s="821" t="s">
        <v>1020</v>
      </c>
      <c r="Z281" s="790" t="s">
        <v>2002</v>
      </c>
      <c r="AA281" s="785"/>
      <c r="AB281" s="785"/>
      <c r="AC281" s="785"/>
      <c r="AD281" s="785"/>
      <c r="AE281" s="785"/>
      <c r="AF281" s="799"/>
      <c r="AG281" s="807"/>
      <c r="AH281" s="807"/>
      <c r="AI281" s="807"/>
      <c r="AJ281" s="807"/>
      <c r="AK281" s="807"/>
      <c r="AL281" s="807"/>
      <c r="AM281" s="807"/>
      <c r="AN281" s="807"/>
      <c r="AO281" s="807"/>
      <c r="AP281" s="807"/>
      <c r="AQ281" s="806">
        <v>0.83</v>
      </c>
      <c r="AR281" s="807">
        <v>0.74</v>
      </c>
      <c r="AS281" s="807">
        <v>0.65</v>
      </c>
      <c r="AT281" s="807">
        <v>0.55000000000000004</v>
      </c>
      <c r="AU281" s="820">
        <v>0.46</v>
      </c>
      <c r="AV281" s="806"/>
      <c r="AW281" s="807"/>
      <c r="AX281" s="807"/>
      <c r="AY281" s="807"/>
      <c r="AZ281" s="807"/>
      <c r="BA281" s="807"/>
      <c r="BB281" s="807"/>
      <c r="BC281" s="807"/>
      <c r="BD281" s="807"/>
      <c r="BE281" s="807"/>
      <c r="BF281" s="807"/>
      <c r="BG281" s="807"/>
      <c r="BH281" s="807"/>
      <c r="BI281" s="807"/>
      <c r="BJ281" s="807"/>
      <c r="BK281" s="820"/>
      <c r="BL281" s="789" t="s">
        <v>168</v>
      </c>
      <c r="BM281" s="785" t="s">
        <v>168</v>
      </c>
      <c r="BN281" s="785" t="s">
        <v>168</v>
      </c>
      <c r="BO281" s="785" t="s">
        <v>168</v>
      </c>
      <c r="BP281" s="796" t="s">
        <v>168</v>
      </c>
      <c r="BQ281" s="808" t="s">
        <v>1942</v>
      </c>
      <c r="BR281" s="800" t="s">
        <v>1942</v>
      </c>
      <c r="BS281" s="800" t="s">
        <v>1942</v>
      </c>
      <c r="BT281" s="800" t="s">
        <v>1942</v>
      </c>
      <c r="BU281" s="805" t="s">
        <v>1942</v>
      </c>
      <c r="BV281" s="808" t="s">
        <v>1942</v>
      </c>
      <c r="BW281" s="800" t="s">
        <v>1942</v>
      </c>
      <c r="BX281" s="800" t="s">
        <v>1942</v>
      </c>
      <c r="BY281" s="800" t="s">
        <v>1942</v>
      </c>
      <c r="BZ281" s="800" t="s">
        <v>1942</v>
      </c>
      <c r="CA281" s="808" t="s">
        <v>1942</v>
      </c>
      <c r="CB281" s="800" t="s">
        <v>1942</v>
      </c>
      <c r="CC281" s="800" t="s">
        <v>1942</v>
      </c>
      <c r="CD281" s="800" t="s">
        <v>1942</v>
      </c>
      <c r="CE281" s="805" t="s">
        <v>1942</v>
      </c>
      <c r="CF281" s="800" t="s">
        <v>1942</v>
      </c>
      <c r="CG281" s="800" t="s">
        <v>1942</v>
      </c>
      <c r="CH281" s="800" t="s">
        <v>1942</v>
      </c>
      <c r="CI281" s="800" t="s">
        <v>1942</v>
      </c>
      <c r="CJ281" s="805" t="s">
        <v>1942</v>
      </c>
      <c r="CK281" s="808" t="s">
        <v>1942</v>
      </c>
      <c r="CL281" s="800" t="s">
        <v>1942</v>
      </c>
      <c r="CM281" s="800" t="s">
        <v>1942</v>
      </c>
      <c r="CN281" s="800" t="s">
        <v>1942</v>
      </c>
      <c r="CO281" s="805" t="s">
        <v>1942</v>
      </c>
      <c r="CP281" s="808" t="s">
        <v>1942</v>
      </c>
      <c r="CQ281" s="800" t="s">
        <v>1942</v>
      </c>
      <c r="CR281" s="800" t="s">
        <v>1942</v>
      </c>
      <c r="CS281" s="800" t="s">
        <v>1942</v>
      </c>
      <c r="CT281" s="805" t="s">
        <v>1942</v>
      </c>
      <c r="CU281" s="1284">
        <v>-4.62</v>
      </c>
      <c r="CV281" s="1283" t="s">
        <v>1942</v>
      </c>
      <c r="CW281" s="1283" t="s">
        <v>1942</v>
      </c>
      <c r="CX281" s="1285" t="s">
        <v>1942</v>
      </c>
      <c r="CY281" s="1283">
        <v>3.85</v>
      </c>
      <c r="CZ281" s="1283" t="s">
        <v>1942</v>
      </c>
      <c r="DA281" s="1283" t="s">
        <v>1942</v>
      </c>
      <c r="DB281" s="1285" t="s">
        <v>1942</v>
      </c>
      <c r="DC281" s="785"/>
      <c r="DD281" s="813">
        <v>1</v>
      </c>
      <c r="DE281" s="814"/>
    </row>
    <row r="282" spans="1:109" ht="26.25">
      <c r="A282" s="772" t="s">
        <v>1038</v>
      </c>
      <c r="B282" s="773">
        <v>276</v>
      </c>
      <c r="C282" s="789" t="s">
        <v>3094</v>
      </c>
      <c r="D282" s="773" t="s">
        <v>3076</v>
      </c>
      <c r="E282" s="773" t="s">
        <v>3095</v>
      </c>
      <c r="F282" s="785" t="s">
        <v>3096</v>
      </c>
      <c r="G282" s="790" t="s">
        <v>3097</v>
      </c>
      <c r="H282" s="791" t="s">
        <v>3098</v>
      </c>
      <c r="I282" s="792"/>
      <c r="J282" s="793">
        <v>1</v>
      </c>
      <c r="K282" s="793"/>
      <c r="L282" s="793"/>
      <c r="M282" s="793"/>
      <c r="N282" s="793"/>
      <c r="O282" s="793"/>
      <c r="P282" s="794"/>
      <c r="Q282" s="795">
        <f t="shared" si="4"/>
        <v>1</v>
      </c>
      <c r="R282" s="789" t="s">
        <v>1030</v>
      </c>
      <c r="S282" s="773" t="s">
        <v>1008</v>
      </c>
      <c r="T282" s="861" t="s">
        <v>1009</v>
      </c>
      <c r="U282" s="773" t="s">
        <v>3092</v>
      </c>
      <c r="V282" s="773" t="s">
        <v>1033</v>
      </c>
      <c r="W282" s="773" t="s">
        <v>3093</v>
      </c>
      <c r="X282" s="829">
        <v>2</v>
      </c>
      <c r="Y282" s="821" t="s">
        <v>1020</v>
      </c>
      <c r="Z282" s="790" t="s">
        <v>2002</v>
      </c>
      <c r="AA282" s="785"/>
      <c r="AB282" s="785"/>
      <c r="AC282" s="785"/>
      <c r="AD282" s="785"/>
      <c r="AE282" s="785"/>
      <c r="AF282" s="799"/>
      <c r="AG282" s="807"/>
      <c r="AH282" s="807"/>
      <c r="AI282" s="807"/>
      <c r="AJ282" s="807"/>
      <c r="AK282" s="807"/>
      <c r="AL282" s="807"/>
      <c r="AM282" s="807"/>
      <c r="AN282" s="807"/>
      <c r="AO282" s="807"/>
      <c r="AP282" s="807"/>
      <c r="AQ282" s="806">
        <v>0.24</v>
      </c>
      <c r="AR282" s="807">
        <v>0.23</v>
      </c>
      <c r="AS282" s="807">
        <v>0.23</v>
      </c>
      <c r="AT282" s="807">
        <v>0.22</v>
      </c>
      <c r="AU282" s="820">
        <v>0.21</v>
      </c>
      <c r="AV282" s="806"/>
      <c r="AW282" s="807"/>
      <c r="AX282" s="807"/>
      <c r="AY282" s="807"/>
      <c r="AZ282" s="807"/>
      <c r="BA282" s="807"/>
      <c r="BB282" s="807"/>
      <c r="BC282" s="807"/>
      <c r="BD282" s="807"/>
      <c r="BE282" s="807"/>
      <c r="BF282" s="807"/>
      <c r="BG282" s="807"/>
      <c r="BH282" s="807"/>
      <c r="BI282" s="807"/>
      <c r="BJ282" s="807"/>
      <c r="BK282" s="820"/>
      <c r="BL282" s="789" t="s">
        <v>168</v>
      </c>
      <c r="BM282" s="785" t="s">
        <v>168</v>
      </c>
      <c r="BN282" s="785" t="s">
        <v>168</v>
      </c>
      <c r="BO282" s="785" t="s">
        <v>168</v>
      </c>
      <c r="BP282" s="796" t="s">
        <v>168</v>
      </c>
      <c r="BQ282" s="808" t="s">
        <v>1942</v>
      </c>
      <c r="BR282" s="800" t="s">
        <v>1942</v>
      </c>
      <c r="BS282" s="800" t="s">
        <v>1942</v>
      </c>
      <c r="BT282" s="800" t="s">
        <v>1942</v>
      </c>
      <c r="BU282" s="805" t="s">
        <v>1942</v>
      </c>
      <c r="BV282" s="808" t="s">
        <v>1942</v>
      </c>
      <c r="BW282" s="800" t="s">
        <v>1942</v>
      </c>
      <c r="BX282" s="800" t="s">
        <v>1942</v>
      </c>
      <c r="BY282" s="800" t="s">
        <v>1942</v>
      </c>
      <c r="BZ282" s="800" t="s">
        <v>1942</v>
      </c>
      <c r="CA282" s="808" t="s">
        <v>1942</v>
      </c>
      <c r="CB282" s="800" t="s">
        <v>1942</v>
      </c>
      <c r="CC282" s="800" t="s">
        <v>1942</v>
      </c>
      <c r="CD282" s="800" t="s">
        <v>1942</v>
      </c>
      <c r="CE282" s="805" t="s">
        <v>1942</v>
      </c>
      <c r="CF282" s="800" t="s">
        <v>1942</v>
      </c>
      <c r="CG282" s="800" t="s">
        <v>1942</v>
      </c>
      <c r="CH282" s="800" t="s">
        <v>1942</v>
      </c>
      <c r="CI282" s="800" t="s">
        <v>1942</v>
      </c>
      <c r="CJ282" s="805" t="s">
        <v>1942</v>
      </c>
      <c r="CK282" s="808">
        <v>0.17</v>
      </c>
      <c r="CL282" s="800">
        <v>0.17</v>
      </c>
      <c r="CM282" s="800">
        <v>0.16</v>
      </c>
      <c r="CN282" s="800">
        <v>0.16</v>
      </c>
      <c r="CO282" s="805">
        <v>0.15</v>
      </c>
      <c r="CP282" s="808" t="s">
        <v>1942</v>
      </c>
      <c r="CQ282" s="800" t="s">
        <v>1942</v>
      </c>
      <c r="CR282" s="800" t="s">
        <v>1942</v>
      </c>
      <c r="CS282" s="800" t="s">
        <v>1942</v>
      </c>
      <c r="CT282" s="805" t="s">
        <v>1942</v>
      </c>
      <c r="CU282" s="1284">
        <v>-4.62</v>
      </c>
      <c r="CV282" s="1283" t="s">
        <v>1942</v>
      </c>
      <c r="CW282" s="1283" t="s">
        <v>1942</v>
      </c>
      <c r="CX282" s="1285" t="s">
        <v>1942</v>
      </c>
      <c r="CY282" s="1283">
        <v>3.85</v>
      </c>
      <c r="CZ282" s="1283" t="s">
        <v>1942</v>
      </c>
      <c r="DA282" s="1283" t="s">
        <v>1942</v>
      </c>
      <c r="DB282" s="1285" t="s">
        <v>1942</v>
      </c>
      <c r="DC282" s="785"/>
      <c r="DD282" s="813">
        <v>1</v>
      </c>
      <c r="DE282" s="814"/>
    </row>
    <row r="283" spans="1:109" ht="78.75">
      <c r="A283" s="772" t="s">
        <v>1038</v>
      </c>
      <c r="B283" s="773">
        <v>277</v>
      </c>
      <c r="C283" s="789" t="s">
        <v>3099</v>
      </c>
      <c r="D283" s="773" t="s">
        <v>3100</v>
      </c>
      <c r="E283" s="773" t="s">
        <v>3095</v>
      </c>
      <c r="F283" s="785" t="s">
        <v>3101</v>
      </c>
      <c r="G283" s="790" t="s">
        <v>3102</v>
      </c>
      <c r="H283" s="791" t="s">
        <v>3103</v>
      </c>
      <c r="I283" s="792"/>
      <c r="J283" s="793"/>
      <c r="K283" s="793">
        <v>1</v>
      </c>
      <c r="L283" s="793"/>
      <c r="M283" s="793"/>
      <c r="N283" s="793"/>
      <c r="O283" s="793"/>
      <c r="P283" s="794"/>
      <c r="Q283" s="795">
        <f t="shared" si="4"/>
        <v>1</v>
      </c>
      <c r="R283" s="789" t="s">
        <v>1017</v>
      </c>
      <c r="S283" s="773" t="s">
        <v>1008</v>
      </c>
      <c r="T283" s="861" t="s">
        <v>1009</v>
      </c>
      <c r="U283" s="773" t="s">
        <v>3104</v>
      </c>
      <c r="V283" s="773" t="s">
        <v>1033</v>
      </c>
      <c r="W283" s="773" t="s">
        <v>3105</v>
      </c>
      <c r="X283" s="829">
        <v>0</v>
      </c>
      <c r="Y283" s="821" t="s">
        <v>1010</v>
      </c>
      <c r="Z283" s="790"/>
      <c r="AA283" s="785"/>
      <c r="AB283" s="785"/>
      <c r="AC283" s="785"/>
      <c r="AD283" s="785"/>
      <c r="AE283" s="785"/>
      <c r="AF283" s="799"/>
      <c r="AG283" s="800"/>
      <c r="AH283" s="800"/>
      <c r="AI283" s="800"/>
      <c r="AJ283" s="800"/>
      <c r="AK283" s="800"/>
      <c r="AL283" s="800"/>
      <c r="AM283" s="800"/>
      <c r="AN283" s="800"/>
      <c r="AO283" s="800"/>
      <c r="AP283" s="800"/>
      <c r="AQ283" s="808">
        <v>0</v>
      </c>
      <c r="AR283" s="800">
        <v>0</v>
      </c>
      <c r="AS283" s="800">
        <v>0</v>
      </c>
      <c r="AT283" s="800">
        <v>0</v>
      </c>
      <c r="AU283" s="805">
        <v>0</v>
      </c>
      <c r="AV283" s="808"/>
      <c r="AW283" s="800"/>
      <c r="AX283" s="800"/>
      <c r="AY283" s="800"/>
      <c r="AZ283" s="800"/>
      <c r="BA283" s="800"/>
      <c r="BB283" s="800"/>
      <c r="BC283" s="800"/>
      <c r="BD283" s="800"/>
      <c r="BE283" s="800"/>
      <c r="BF283" s="800"/>
      <c r="BG283" s="800"/>
      <c r="BH283" s="800"/>
      <c r="BI283" s="800"/>
      <c r="BJ283" s="800"/>
      <c r="BK283" s="805"/>
      <c r="BL283" s="789" t="s">
        <v>168</v>
      </c>
      <c r="BM283" s="785" t="s">
        <v>168</v>
      </c>
      <c r="BN283" s="785" t="s">
        <v>168</v>
      </c>
      <c r="BO283" s="785" t="s">
        <v>168</v>
      </c>
      <c r="BP283" s="796" t="s">
        <v>168</v>
      </c>
      <c r="BQ283" s="808" t="s">
        <v>1942</v>
      </c>
      <c r="BR283" s="800" t="s">
        <v>1942</v>
      </c>
      <c r="BS283" s="800" t="s">
        <v>1942</v>
      </c>
      <c r="BT283" s="800" t="s">
        <v>1942</v>
      </c>
      <c r="BU283" s="805" t="s">
        <v>1942</v>
      </c>
      <c r="BV283" s="808" t="s">
        <v>1942</v>
      </c>
      <c r="BW283" s="800" t="s">
        <v>1942</v>
      </c>
      <c r="BX283" s="800" t="s">
        <v>1942</v>
      </c>
      <c r="BY283" s="800" t="s">
        <v>1942</v>
      </c>
      <c r="BZ283" s="800" t="s">
        <v>1942</v>
      </c>
      <c r="CA283" s="808" t="s">
        <v>1942</v>
      </c>
      <c r="CB283" s="800" t="s">
        <v>1942</v>
      </c>
      <c r="CC283" s="800" t="s">
        <v>1942</v>
      </c>
      <c r="CD283" s="800" t="s">
        <v>1942</v>
      </c>
      <c r="CE283" s="805" t="s">
        <v>1942</v>
      </c>
      <c r="CF283" s="800">
        <v>0</v>
      </c>
      <c r="CG283" s="800">
        <v>0</v>
      </c>
      <c r="CH283" s="800">
        <v>0</v>
      </c>
      <c r="CI283" s="800">
        <v>0</v>
      </c>
      <c r="CJ283" s="800">
        <v>0</v>
      </c>
      <c r="CK283" s="808">
        <v>5070</v>
      </c>
      <c r="CL283" s="800">
        <v>5070</v>
      </c>
      <c r="CM283" s="800">
        <v>5070</v>
      </c>
      <c r="CN283" s="800">
        <v>5070</v>
      </c>
      <c r="CO283" s="805">
        <v>5070</v>
      </c>
      <c r="CP283" s="808" t="s">
        <v>1942</v>
      </c>
      <c r="CQ283" s="800" t="s">
        <v>1942</v>
      </c>
      <c r="CR283" s="800" t="s">
        <v>1942</v>
      </c>
      <c r="CS283" s="800" t="s">
        <v>1942</v>
      </c>
      <c r="CT283" s="805" t="s">
        <v>1942</v>
      </c>
      <c r="CU283" s="1284" t="s">
        <v>1942</v>
      </c>
      <c r="CV283" s="1283" t="s">
        <v>1942</v>
      </c>
      <c r="CW283" s="1283" t="s">
        <v>1942</v>
      </c>
      <c r="CX283" s="1285" t="s">
        <v>1942</v>
      </c>
      <c r="CY283" s="1283">
        <v>3.2899999999999998E-6</v>
      </c>
      <c r="CZ283" s="1283" t="s">
        <v>1942</v>
      </c>
      <c r="DA283" s="1283" t="s">
        <v>1942</v>
      </c>
      <c r="DB283" s="1285" t="s">
        <v>1942</v>
      </c>
      <c r="DC283" s="785"/>
      <c r="DD283" s="813">
        <v>1</v>
      </c>
      <c r="DE283" s="814"/>
    </row>
    <row r="284" spans="1:109" ht="26.25">
      <c r="A284" s="772" t="s">
        <v>1038</v>
      </c>
      <c r="B284" s="773">
        <v>278</v>
      </c>
      <c r="C284" s="789" t="s">
        <v>3106</v>
      </c>
      <c r="D284" s="773" t="s">
        <v>3100</v>
      </c>
      <c r="E284" s="773" t="s">
        <v>3077</v>
      </c>
      <c r="F284" s="785" t="s">
        <v>3107</v>
      </c>
      <c r="G284" s="790" t="s">
        <v>3108</v>
      </c>
      <c r="H284" s="791" t="s">
        <v>3109</v>
      </c>
      <c r="I284" s="792"/>
      <c r="J284" s="793">
        <v>0.03</v>
      </c>
      <c r="K284" s="793"/>
      <c r="L284" s="793">
        <v>0.97</v>
      </c>
      <c r="M284" s="793"/>
      <c r="N284" s="793"/>
      <c r="O284" s="793"/>
      <c r="P284" s="794"/>
      <c r="Q284" s="795">
        <f t="shared" si="4"/>
        <v>1</v>
      </c>
      <c r="R284" s="789" t="s">
        <v>1030</v>
      </c>
      <c r="S284" s="773" t="s">
        <v>1008</v>
      </c>
      <c r="T284" s="861" t="s">
        <v>1009</v>
      </c>
      <c r="U284" s="773" t="s">
        <v>3110</v>
      </c>
      <c r="V284" s="773" t="s">
        <v>278</v>
      </c>
      <c r="W284" s="773" t="s">
        <v>3111</v>
      </c>
      <c r="X284" s="829">
        <v>2</v>
      </c>
      <c r="Y284" s="821" t="s">
        <v>1010</v>
      </c>
      <c r="Z284" s="790"/>
      <c r="AA284" s="785"/>
      <c r="AB284" s="785"/>
      <c r="AC284" s="785"/>
      <c r="AD284" s="785"/>
      <c r="AE284" s="785"/>
      <c r="AF284" s="799"/>
      <c r="AG284" s="800"/>
      <c r="AH284" s="800"/>
      <c r="AI284" s="800"/>
      <c r="AJ284" s="800"/>
      <c r="AK284" s="800"/>
      <c r="AL284" s="800"/>
      <c r="AM284" s="800"/>
      <c r="AN284" s="800"/>
      <c r="AO284" s="800"/>
      <c r="AP284" s="800"/>
      <c r="AQ284" s="806">
        <v>21.2</v>
      </c>
      <c r="AR284" s="807">
        <v>21.3</v>
      </c>
      <c r="AS284" s="807">
        <v>24</v>
      </c>
      <c r="AT284" s="807">
        <v>24</v>
      </c>
      <c r="AU284" s="820">
        <v>24</v>
      </c>
      <c r="AV284" s="808"/>
      <c r="AW284" s="800"/>
      <c r="AX284" s="800"/>
      <c r="AY284" s="800"/>
      <c r="AZ284" s="800"/>
      <c r="BA284" s="800"/>
      <c r="BB284" s="800"/>
      <c r="BC284" s="800"/>
      <c r="BD284" s="800"/>
      <c r="BE284" s="800"/>
      <c r="BF284" s="800"/>
      <c r="BG284" s="800"/>
      <c r="BH284" s="800"/>
      <c r="BI284" s="800"/>
      <c r="BJ284" s="800"/>
      <c r="BK284" s="805"/>
      <c r="BL284" s="789" t="s">
        <v>168</v>
      </c>
      <c r="BM284" s="785" t="s">
        <v>168</v>
      </c>
      <c r="BN284" s="785" t="s">
        <v>168</v>
      </c>
      <c r="BO284" s="785" t="s">
        <v>168</v>
      </c>
      <c r="BP284" s="796" t="s">
        <v>168</v>
      </c>
      <c r="BQ284" s="808" t="s">
        <v>1942</v>
      </c>
      <c r="BR284" s="800" t="s">
        <v>1942</v>
      </c>
      <c r="BS284" s="800" t="s">
        <v>1942</v>
      </c>
      <c r="BT284" s="800" t="s">
        <v>1942</v>
      </c>
      <c r="BU284" s="805" t="s">
        <v>1942</v>
      </c>
      <c r="BV284" s="808">
        <v>18.2</v>
      </c>
      <c r="BW284" s="800">
        <v>18.3</v>
      </c>
      <c r="BX284" s="800">
        <v>21</v>
      </c>
      <c r="BY284" s="800">
        <v>21</v>
      </c>
      <c r="BZ284" s="800">
        <v>21</v>
      </c>
      <c r="CA284" s="808" t="s">
        <v>1942</v>
      </c>
      <c r="CB284" s="800" t="s">
        <v>1942</v>
      </c>
      <c r="CC284" s="800" t="s">
        <v>1942</v>
      </c>
      <c r="CD284" s="800" t="s">
        <v>1942</v>
      </c>
      <c r="CE284" s="805" t="s">
        <v>1942</v>
      </c>
      <c r="CF284" s="800" t="s">
        <v>1942</v>
      </c>
      <c r="CG284" s="800" t="s">
        <v>1942</v>
      </c>
      <c r="CH284" s="800" t="s">
        <v>1942</v>
      </c>
      <c r="CI284" s="800" t="s">
        <v>1942</v>
      </c>
      <c r="CJ284" s="805" t="s">
        <v>1942</v>
      </c>
      <c r="CK284" s="808">
        <v>24.2</v>
      </c>
      <c r="CL284" s="800">
        <v>24.3</v>
      </c>
      <c r="CM284" s="800">
        <v>27</v>
      </c>
      <c r="CN284" s="800">
        <v>27</v>
      </c>
      <c r="CO284" s="805">
        <v>27</v>
      </c>
      <c r="CP284" s="808" t="s">
        <v>1942</v>
      </c>
      <c r="CQ284" s="800" t="s">
        <v>1942</v>
      </c>
      <c r="CR284" s="800" t="s">
        <v>1942</v>
      </c>
      <c r="CS284" s="800" t="s">
        <v>1942</v>
      </c>
      <c r="CT284" s="805" t="s">
        <v>1942</v>
      </c>
      <c r="CU284" s="1284">
        <v>-0.442</v>
      </c>
      <c r="CV284" s="1283" t="s">
        <v>1942</v>
      </c>
      <c r="CW284" s="1283" t="s">
        <v>1942</v>
      </c>
      <c r="CX284" s="1285" t="s">
        <v>1942</v>
      </c>
      <c r="CY284" s="1283">
        <v>0.221</v>
      </c>
      <c r="CZ284" s="1283" t="s">
        <v>1942</v>
      </c>
      <c r="DA284" s="1283" t="s">
        <v>1942</v>
      </c>
      <c r="DB284" s="1285" t="s">
        <v>1942</v>
      </c>
      <c r="DC284" s="785"/>
      <c r="DD284" s="813">
        <v>1</v>
      </c>
      <c r="DE284" s="814"/>
    </row>
    <row r="285" spans="1:109" ht="39.4">
      <c r="A285" s="772" t="s">
        <v>1038</v>
      </c>
      <c r="B285" s="773">
        <v>279</v>
      </c>
      <c r="C285" s="789" t="s">
        <v>3112</v>
      </c>
      <c r="D285" s="773" t="s">
        <v>3100</v>
      </c>
      <c r="E285" s="773" t="s">
        <v>3095</v>
      </c>
      <c r="F285" s="785" t="s">
        <v>3113</v>
      </c>
      <c r="G285" s="790" t="s">
        <v>3114</v>
      </c>
      <c r="H285" s="791" t="s">
        <v>3115</v>
      </c>
      <c r="I285" s="792"/>
      <c r="J285" s="793"/>
      <c r="K285" s="793"/>
      <c r="L285" s="793">
        <v>1</v>
      </c>
      <c r="M285" s="793"/>
      <c r="N285" s="793"/>
      <c r="O285" s="793"/>
      <c r="P285" s="794"/>
      <c r="Q285" s="795">
        <f t="shared" si="4"/>
        <v>1</v>
      </c>
      <c r="R285" s="789" t="s">
        <v>1026</v>
      </c>
      <c r="S285" s="773" t="s">
        <v>1008</v>
      </c>
      <c r="T285" s="861" t="s">
        <v>1009</v>
      </c>
      <c r="U285" s="773" t="s">
        <v>3116</v>
      </c>
      <c r="V285" s="773" t="s">
        <v>278</v>
      </c>
      <c r="W285" s="773" t="s">
        <v>3117</v>
      </c>
      <c r="X285" s="829">
        <v>2</v>
      </c>
      <c r="Y285" s="821" t="s">
        <v>1010</v>
      </c>
      <c r="Z285" s="790"/>
      <c r="AA285" s="785"/>
      <c r="AB285" s="785"/>
      <c r="AC285" s="785"/>
      <c r="AD285" s="785"/>
      <c r="AE285" s="785"/>
      <c r="AF285" s="799"/>
      <c r="AG285" s="800"/>
      <c r="AH285" s="800"/>
      <c r="AI285" s="800"/>
      <c r="AJ285" s="800"/>
      <c r="AK285" s="800"/>
      <c r="AL285" s="800"/>
      <c r="AM285" s="800"/>
      <c r="AN285" s="800"/>
      <c r="AO285" s="800"/>
      <c r="AP285" s="800"/>
      <c r="AQ285" s="806">
        <v>100</v>
      </c>
      <c r="AR285" s="807">
        <v>100</v>
      </c>
      <c r="AS285" s="807">
        <v>100</v>
      </c>
      <c r="AT285" s="807">
        <v>100</v>
      </c>
      <c r="AU285" s="820">
        <v>100</v>
      </c>
      <c r="AV285" s="808"/>
      <c r="AW285" s="800"/>
      <c r="AX285" s="800"/>
      <c r="AY285" s="800"/>
      <c r="AZ285" s="800"/>
      <c r="BA285" s="800"/>
      <c r="BB285" s="800"/>
      <c r="BC285" s="800"/>
      <c r="BD285" s="800"/>
      <c r="BE285" s="800"/>
      <c r="BF285" s="800"/>
      <c r="BG285" s="800"/>
      <c r="BH285" s="800"/>
      <c r="BI285" s="800"/>
      <c r="BJ285" s="800"/>
      <c r="BK285" s="805"/>
      <c r="BL285" s="789" t="s">
        <v>168</v>
      </c>
      <c r="BM285" s="785" t="s">
        <v>168</v>
      </c>
      <c r="BN285" s="785" t="s">
        <v>168</v>
      </c>
      <c r="BO285" s="785" t="s">
        <v>168</v>
      </c>
      <c r="BP285" s="796" t="s">
        <v>168</v>
      </c>
      <c r="BQ285" s="808" t="s">
        <v>1942</v>
      </c>
      <c r="BR285" s="800" t="s">
        <v>1942</v>
      </c>
      <c r="BS285" s="800" t="s">
        <v>1942</v>
      </c>
      <c r="BT285" s="800" t="s">
        <v>1942</v>
      </c>
      <c r="BU285" s="805" t="s">
        <v>1942</v>
      </c>
      <c r="BV285" s="808" t="s">
        <v>1942</v>
      </c>
      <c r="BW285" s="800" t="s">
        <v>1942</v>
      </c>
      <c r="BX285" s="800" t="s">
        <v>1942</v>
      </c>
      <c r="BY285" s="800" t="s">
        <v>1942</v>
      </c>
      <c r="BZ285" s="800" t="s">
        <v>1942</v>
      </c>
      <c r="CA285" s="808" t="s">
        <v>1942</v>
      </c>
      <c r="CB285" s="800" t="s">
        <v>1942</v>
      </c>
      <c r="CC285" s="800" t="s">
        <v>1942</v>
      </c>
      <c r="CD285" s="800" t="s">
        <v>1942</v>
      </c>
      <c r="CE285" s="805" t="s">
        <v>1942</v>
      </c>
      <c r="CF285" s="800" t="s">
        <v>1942</v>
      </c>
      <c r="CG285" s="800" t="s">
        <v>1942</v>
      </c>
      <c r="CH285" s="800" t="s">
        <v>1942</v>
      </c>
      <c r="CI285" s="800" t="s">
        <v>1942</v>
      </c>
      <c r="CJ285" s="805" t="s">
        <v>1942</v>
      </c>
      <c r="CK285" s="808" t="s">
        <v>1942</v>
      </c>
      <c r="CL285" s="800" t="s">
        <v>1942</v>
      </c>
      <c r="CM285" s="800" t="s">
        <v>1942</v>
      </c>
      <c r="CN285" s="800" t="s">
        <v>1942</v>
      </c>
      <c r="CO285" s="805" t="s">
        <v>1942</v>
      </c>
      <c r="CP285" s="808" t="s">
        <v>1942</v>
      </c>
      <c r="CQ285" s="800" t="s">
        <v>1942</v>
      </c>
      <c r="CR285" s="800" t="s">
        <v>1942</v>
      </c>
      <c r="CS285" s="800" t="s">
        <v>1942</v>
      </c>
      <c r="CT285" s="805" t="s">
        <v>1942</v>
      </c>
      <c r="CU285" s="1284">
        <v>-0.41699999999999998</v>
      </c>
      <c r="CV285" s="1283" t="s">
        <v>1942</v>
      </c>
      <c r="CW285" s="1283" t="s">
        <v>1942</v>
      </c>
      <c r="CX285" s="1285" t="s">
        <v>1942</v>
      </c>
      <c r="CY285" s="1283" t="s">
        <v>1942</v>
      </c>
      <c r="CZ285" s="1283" t="s">
        <v>1942</v>
      </c>
      <c r="DA285" s="1283" t="s">
        <v>1942</v>
      </c>
      <c r="DB285" s="1285" t="s">
        <v>1942</v>
      </c>
      <c r="DC285" s="785"/>
      <c r="DD285" s="813">
        <v>1</v>
      </c>
      <c r="DE285" s="814"/>
    </row>
    <row r="286" spans="1:109" ht="65.650000000000006">
      <c r="A286" s="772" t="s">
        <v>1038</v>
      </c>
      <c r="B286" s="773">
        <v>280</v>
      </c>
      <c r="C286" s="789" t="s">
        <v>3118</v>
      </c>
      <c r="D286" s="773" t="s">
        <v>3119</v>
      </c>
      <c r="E286" s="773" t="s">
        <v>3095</v>
      </c>
      <c r="F286" s="785" t="s">
        <v>3120</v>
      </c>
      <c r="G286" s="790" t="s">
        <v>3121</v>
      </c>
      <c r="H286" s="791" t="s">
        <v>3122</v>
      </c>
      <c r="I286" s="792"/>
      <c r="J286" s="793"/>
      <c r="K286" s="793">
        <v>1</v>
      </c>
      <c r="L286" s="793"/>
      <c r="M286" s="793"/>
      <c r="N286" s="793"/>
      <c r="O286" s="793"/>
      <c r="P286" s="794"/>
      <c r="Q286" s="795">
        <f t="shared" si="4"/>
        <v>1</v>
      </c>
      <c r="R286" s="789" t="s">
        <v>1026</v>
      </c>
      <c r="S286" s="773" t="s">
        <v>1008</v>
      </c>
      <c r="T286" s="861" t="s">
        <v>1009</v>
      </c>
      <c r="U286" s="773" t="s">
        <v>3104</v>
      </c>
      <c r="V286" s="773" t="s">
        <v>1033</v>
      </c>
      <c r="W286" s="773" t="s">
        <v>3123</v>
      </c>
      <c r="X286" s="1274">
        <v>2</v>
      </c>
      <c r="Y286" s="821" t="s">
        <v>1010</v>
      </c>
      <c r="Z286" s="790"/>
      <c r="AA286" s="785"/>
      <c r="AB286" s="785"/>
      <c r="AC286" s="785"/>
      <c r="AD286" s="785"/>
      <c r="AE286" s="785"/>
      <c r="AF286" s="799"/>
      <c r="AG286" s="800"/>
      <c r="AH286" s="800"/>
      <c r="AI286" s="824"/>
      <c r="AJ286" s="824"/>
      <c r="AK286" s="824"/>
      <c r="AL286" s="824"/>
      <c r="AM286" s="824"/>
      <c r="AN286" s="824"/>
      <c r="AO286" s="824"/>
      <c r="AP286" s="824"/>
      <c r="AQ286" s="806">
        <v>0</v>
      </c>
      <c r="AR286" s="807">
        <v>82.5</v>
      </c>
      <c r="AS286" s="807">
        <v>102.7</v>
      </c>
      <c r="AT286" s="807">
        <v>102.7</v>
      </c>
      <c r="AU286" s="820">
        <v>182.3</v>
      </c>
      <c r="AV286" s="823"/>
      <c r="AW286" s="824"/>
      <c r="AX286" s="824"/>
      <c r="AY286" s="824"/>
      <c r="AZ286" s="824"/>
      <c r="BA286" s="824"/>
      <c r="BB286" s="824"/>
      <c r="BC286" s="824"/>
      <c r="BD286" s="824"/>
      <c r="BE286" s="824"/>
      <c r="BF286" s="824"/>
      <c r="BG286" s="824"/>
      <c r="BH286" s="824"/>
      <c r="BI286" s="824"/>
      <c r="BJ286" s="824"/>
      <c r="BK286" s="805"/>
      <c r="BL286" s="1962" t="s">
        <v>168</v>
      </c>
      <c r="BM286" s="1963" t="s">
        <v>168</v>
      </c>
      <c r="BN286" s="1963" t="s">
        <v>168</v>
      </c>
      <c r="BO286" s="1963" t="s">
        <v>168</v>
      </c>
      <c r="BP286" s="872" t="s">
        <v>168</v>
      </c>
      <c r="BQ286" s="806" t="s">
        <v>1942</v>
      </c>
      <c r="BR286" s="807" t="s">
        <v>1942</v>
      </c>
      <c r="BS286" s="807" t="s">
        <v>1942</v>
      </c>
      <c r="BT286" s="807" t="s">
        <v>1942</v>
      </c>
      <c r="BU286" s="820" t="s">
        <v>1942</v>
      </c>
      <c r="BV286" s="808" t="s">
        <v>1942</v>
      </c>
      <c r="BW286" s="800" t="s">
        <v>1942</v>
      </c>
      <c r="BX286" s="800" t="s">
        <v>1942</v>
      </c>
      <c r="BY286" s="800" t="s">
        <v>1942</v>
      </c>
      <c r="BZ286" s="800" t="s">
        <v>1942</v>
      </c>
      <c r="CA286" s="806" t="s">
        <v>1942</v>
      </c>
      <c r="CB286" s="807" t="s">
        <v>1942</v>
      </c>
      <c r="CC286" s="807" t="s">
        <v>1942</v>
      </c>
      <c r="CD286" s="807" t="s">
        <v>1942</v>
      </c>
      <c r="CE286" s="820" t="s">
        <v>1942</v>
      </c>
      <c r="CF286" s="807" t="s">
        <v>1942</v>
      </c>
      <c r="CG286" s="807" t="s">
        <v>1942</v>
      </c>
      <c r="CH286" s="807" t="s">
        <v>1942</v>
      </c>
      <c r="CI286" s="807" t="s">
        <v>1942</v>
      </c>
      <c r="CJ286" s="820" t="s">
        <v>1942</v>
      </c>
      <c r="CK286" s="806" t="s">
        <v>1942</v>
      </c>
      <c r="CL286" s="807" t="s">
        <v>1942</v>
      </c>
      <c r="CM286" s="807" t="s">
        <v>1942</v>
      </c>
      <c r="CN286" s="807" t="s">
        <v>1942</v>
      </c>
      <c r="CO286" s="820" t="s">
        <v>1942</v>
      </c>
      <c r="CP286" s="806" t="s">
        <v>1942</v>
      </c>
      <c r="CQ286" s="807" t="s">
        <v>1942</v>
      </c>
      <c r="CR286" s="807" t="s">
        <v>1942</v>
      </c>
      <c r="CS286" s="807" t="s">
        <v>1942</v>
      </c>
      <c r="CT286" s="820" t="s">
        <v>1942</v>
      </c>
      <c r="CU286" s="1284">
        <v>-0.248</v>
      </c>
      <c r="CV286" s="1283" t="s">
        <v>1942</v>
      </c>
      <c r="CW286" s="1283" t="s">
        <v>1942</v>
      </c>
      <c r="CX286" s="1285" t="s">
        <v>1942</v>
      </c>
      <c r="CY286" s="1283" t="s">
        <v>1942</v>
      </c>
      <c r="CZ286" s="1283" t="s">
        <v>1942</v>
      </c>
      <c r="DA286" s="1283" t="s">
        <v>1942</v>
      </c>
      <c r="DB286" s="1285" t="s">
        <v>1942</v>
      </c>
      <c r="DC286" s="785" t="s">
        <v>1969</v>
      </c>
      <c r="DD286" s="813">
        <v>1</v>
      </c>
      <c r="DE286" s="814"/>
    </row>
    <row r="287" spans="1:109" ht="52.5">
      <c r="A287" s="772" t="s">
        <v>1038</v>
      </c>
      <c r="B287" s="773">
        <v>281</v>
      </c>
      <c r="C287" s="789" t="s">
        <v>3124</v>
      </c>
      <c r="D287" s="773" t="s">
        <v>3119</v>
      </c>
      <c r="E287" s="773" t="s">
        <v>3077</v>
      </c>
      <c r="F287" s="785" t="s">
        <v>3125</v>
      </c>
      <c r="G287" s="790" t="s">
        <v>2110</v>
      </c>
      <c r="H287" s="791" t="s">
        <v>3126</v>
      </c>
      <c r="I287" s="792">
        <v>1</v>
      </c>
      <c r="J287" s="793"/>
      <c r="K287" s="793"/>
      <c r="L287" s="793"/>
      <c r="M287" s="793"/>
      <c r="N287" s="793"/>
      <c r="O287" s="793"/>
      <c r="P287" s="794"/>
      <c r="Q287" s="795">
        <f t="shared" si="4"/>
        <v>1</v>
      </c>
      <c r="R287" s="789" t="s">
        <v>1030</v>
      </c>
      <c r="S287" s="773" t="s">
        <v>1008</v>
      </c>
      <c r="T287" s="861" t="s">
        <v>1009</v>
      </c>
      <c r="U287" s="773" t="s">
        <v>3127</v>
      </c>
      <c r="V287" s="773" t="s">
        <v>1033</v>
      </c>
      <c r="W287" s="773" t="s">
        <v>3128</v>
      </c>
      <c r="X287" s="829">
        <v>0</v>
      </c>
      <c r="Y287" s="821" t="s">
        <v>1020</v>
      </c>
      <c r="Z287" s="790"/>
      <c r="AA287" s="785"/>
      <c r="AB287" s="785"/>
      <c r="AC287" s="785"/>
      <c r="AD287" s="785"/>
      <c r="AE287" s="785"/>
      <c r="AF287" s="799"/>
      <c r="AG287" s="800"/>
      <c r="AH287" s="800"/>
      <c r="AI287" s="800"/>
      <c r="AJ287" s="800"/>
      <c r="AK287" s="800"/>
      <c r="AL287" s="800"/>
      <c r="AM287" s="800"/>
      <c r="AN287" s="800"/>
      <c r="AO287" s="800"/>
      <c r="AP287" s="800"/>
      <c r="AQ287" s="808">
        <v>-15</v>
      </c>
      <c r="AR287" s="800">
        <v>-15</v>
      </c>
      <c r="AS287" s="800">
        <v>-15</v>
      </c>
      <c r="AT287" s="800">
        <v>-15</v>
      </c>
      <c r="AU287" s="805">
        <v>-15</v>
      </c>
      <c r="AV287" s="808"/>
      <c r="AW287" s="800"/>
      <c r="AX287" s="800"/>
      <c r="AY287" s="800"/>
      <c r="AZ287" s="800"/>
      <c r="BA287" s="800"/>
      <c r="BB287" s="800"/>
      <c r="BC287" s="800"/>
      <c r="BD287" s="800"/>
      <c r="BE287" s="800"/>
      <c r="BF287" s="800"/>
      <c r="BG287" s="800"/>
      <c r="BH287" s="800"/>
      <c r="BI287" s="800"/>
      <c r="BJ287" s="800"/>
      <c r="BK287" s="805"/>
      <c r="BL287" s="789" t="s">
        <v>168</v>
      </c>
      <c r="BM287" s="785" t="s">
        <v>168</v>
      </c>
      <c r="BN287" s="785" t="s">
        <v>168</v>
      </c>
      <c r="BO287" s="785" t="s">
        <v>168</v>
      </c>
      <c r="BP287" s="796" t="s">
        <v>168</v>
      </c>
      <c r="BQ287" s="808" t="s">
        <v>1942</v>
      </c>
      <c r="BR287" s="800" t="s">
        <v>1942</v>
      </c>
      <c r="BS287" s="800" t="s">
        <v>1942</v>
      </c>
      <c r="BT287" s="800" t="s">
        <v>1942</v>
      </c>
      <c r="BU287" s="830" t="s">
        <v>1942</v>
      </c>
      <c r="BV287" s="808">
        <v>-14</v>
      </c>
      <c r="BW287" s="800">
        <v>-14</v>
      </c>
      <c r="BX287" s="800">
        <v>-14</v>
      </c>
      <c r="BY287" s="800">
        <v>-14</v>
      </c>
      <c r="BZ287" s="800">
        <v>-14</v>
      </c>
      <c r="CA287" s="808" t="s">
        <v>1942</v>
      </c>
      <c r="CB287" s="800" t="s">
        <v>1942</v>
      </c>
      <c r="CC287" s="800" t="s">
        <v>1942</v>
      </c>
      <c r="CD287" s="800" t="s">
        <v>1942</v>
      </c>
      <c r="CE287" s="805" t="s">
        <v>1942</v>
      </c>
      <c r="CF287" s="800" t="s">
        <v>1942</v>
      </c>
      <c r="CG287" s="800" t="s">
        <v>1942</v>
      </c>
      <c r="CH287" s="800" t="s">
        <v>1942</v>
      </c>
      <c r="CI287" s="800" t="s">
        <v>1942</v>
      </c>
      <c r="CJ287" s="805" t="s">
        <v>1942</v>
      </c>
      <c r="CK287" s="828">
        <v>-16</v>
      </c>
      <c r="CL287" s="829">
        <v>-16</v>
      </c>
      <c r="CM287" s="829">
        <v>-16</v>
      </c>
      <c r="CN287" s="829">
        <v>-16</v>
      </c>
      <c r="CO287" s="830">
        <v>-16</v>
      </c>
      <c r="CP287" s="808" t="s">
        <v>1942</v>
      </c>
      <c r="CQ287" s="800" t="s">
        <v>1942</v>
      </c>
      <c r="CR287" s="800" t="s">
        <v>1942</v>
      </c>
      <c r="CS287" s="800" t="s">
        <v>1942</v>
      </c>
      <c r="CT287" s="805" t="s">
        <v>1942</v>
      </c>
      <c r="CU287" s="1284">
        <v>-0.63400000000000001</v>
      </c>
      <c r="CV287" s="1283" t="s">
        <v>1942</v>
      </c>
      <c r="CW287" s="1283" t="s">
        <v>1942</v>
      </c>
      <c r="CX287" s="1285" t="s">
        <v>1942</v>
      </c>
      <c r="CY287" s="1283">
        <v>0.51100000000000001</v>
      </c>
      <c r="CZ287" s="1283" t="s">
        <v>1942</v>
      </c>
      <c r="DA287" s="1283" t="s">
        <v>1942</v>
      </c>
      <c r="DB287" s="1285" t="s">
        <v>1942</v>
      </c>
      <c r="DC287" s="785"/>
      <c r="DD287" s="813">
        <v>1</v>
      </c>
      <c r="DE287" s="814"/>
    </row>
    <row r="288" spans="1:109" ht="65.650000000000006">
      <c r="A288" s="772" t="s">
        <v>1038</v>
      </c>
      <c r="B288" s="773">
        <v>282</v>
      </c>
      <c r="C288" s="789" t="s">
        <v>3129</v>
      </c>
      <c r="D288" s="773" t="s">
        <v>3119</v>
      </c>
      <c r="E288" s="773" t="s">
        <v>3077</v>
      </c>
      <c r="F288" s="785" t="s">
        <v>3130</v>
      </c>
      <c r="G288" s="790" t="s">
        <v>3131</v>
      </c>
      <c r="H288" s="791" t="s">
        <v>3132</v>
      </c>
      <c r="I288" s="792"/>
      <c r="J288" s="793"/>
      <c r="K288" s="793">
        <v>1</v>
      </c>
      <c r="L288" s="793"/>
      <c r="M288" s="793"/>
      <c r="N288" s="793"/>
      <c r="O288" s="793"/>
      <c r="P288" s="794"/>
      <c r="Q288" s="795">
        <f t="shared" si="4"/>
        <v>1</v>
      </c>
      <c r="R288" s="789" t="s">
        <v>1026</v>
      </c>
      <c r="S288" s="773" t="s">
        <v>1008</v>
      </c>
      <c r="T288" s="861" t="s">
        <v>1009</v>
      </c>
      <c r="U288" s="773" t="s">
        <v>3104</v>
      </c>
      <c r="V288" s="773" t="s">
        <v>1033</v>
      </c>
      <c r="W288" s="773" t="s">
        <v>3133</v>
      </c>
      <c r="X288" s="829">
        <v>0</v>
      </c>
      <c r="Y288" s="821" t="s">
        <v>1010</v>
      </c>
      <c r="Z288" s="790"/>
      <c r="AA288" s="785"/>
      <c r="AB288" s="785"/>
      <c r="AC288" s="785"/>
      <c r="AD288" s="785"/>
      <c r="AE288" s="785"/>
      <c r="AF288" s="799"/>
      <c r="AG288" s="800"/>
      <c r="AH288" s="800"/>
      <c r="AI288" s="800"/>
      <c r="AJ288" s="800"/>
      <c r="AK288" s="800"/>
      <c r="AL288" s="800"/>
      <c r="AM288" s="800"/>
      <c r="AN288" s="800"/>
      <c r="AO288" s="800"/>
      <c r="AP288" s="800"/>
      <c r="AQ288" s="808">
        <v>57</v>
      </c>
      <c r="AR288" s="800">
        <v>57</v>
      </c>
      <c r="AS288" s="800">
        <v>57</v>
      </c>
      <c r="AT288" s="800">
        <v>57</v>
      </c>
      <c r="AU288" s="805">
        <v>57</v>
      </c>
      <c r="AV288" s="808"/>
      <c r="AW288" s="800"/>
      <c r="AX288" s="800"/>
      <c r="AY288" s="800"/>
      <c r="AZ288" s="800"/>
      <c r="BA288" s="800"/>
      <c r="BB288" s="800"/>
      <c r="BC288" s="800"/>
      <c r="BD288" s="800"/>
      <c r="BE288" s="800"/>
      <c r="BF288" s="800"/>
      <c r="BG288" s="800"/>
      <c r="BH288" s="800"/>
      <c r="BI288" s="800"/>
      <c r="BJ288" s="800"/>
      <c r="BK288" s="805"/>
      <c r="BL288" s="789" t="s">
        <v>168</v>
      </c>
      <c r="BM288" s="785" t="s">
        <v>168</v>
      </c>
      <c r="BN288" s="785" t="s">
        <v>168</v>
      </c>
      <c r="BO288" s="785" t="s">
        <v>168</v>
      </c>
      <c r="BP288" s="796" t="s">
        <v>168</v>
      </c>
      <c r="BQ288" s="808" t="s">
        <v>1942</v>
      </c>
      <c r="BR288" s="800" t="s">
        <v>1942</v>
      </c>
      <c r="BS288" s="800" t="s">
        <v>1942</v>
      </c>
      <c r="BT288" s="800" t="s">
        <v>1942</v>
      </c>
      <c r="BU288" s="830" t="s">
        <v>1942</v>
      </c>
      <c r="BV288" s="808" t="s">
        <v>1942</v>
      </c>
      <c r="BW288" s="800" t="s">
        <v>1942</v>
      </c>
      <c r="BX288" s="800" t="s">
        <v>1942</v>
      </c>
      <c r="BY288" s="800" t="s">
        <v>1942</v>
      </c>
      <c r="BZ288" s="800" t="s">
        <v>1942</v>
      </c>
      <c r="CA288" s="808" t="s">
        <v>1942</v>
      </c>
      <c r="CB288" s="800" t="s">
        <v>1942</v>
      </c>
      <c r="CC288" s="800" t="s">
        <v>1942</v>
      </c>
      <c r="CD288" s="800" t="s">
        <v>1942</v>
      </c>
      <c r="CE288" s="805" t="s">
        <v>1942</v>
      </c>
      <c r="CF288" s="800" t="s">
        <v>1942</v>
      </c>
      <c r="CG288" s="800" t="s">
        <v>1942</v>
      </c>
      <c r="CH288" s="800" t="s">
        <v>1942</v>
      </c>
      <c r="CI288" s="800" t="s">
        <v>1942</v>
      </c>
      <c r="CJ288" s="805" t="s">
        <v>1942</v>
      </c>
      <c r="CK288" s="808" t="s">
        <v>1942</v>
      </c>
      <c r="CL288" s="800" t="s">
        <v>1942</v>
      </c>
      <c r="CM288" s="800" t="s">
        <v>1942</v>
      </c>
      <c r="CN288" s="800" t="s">
        <v>1942</v>
      </c>
      <c r="CO288" s="805" t="s">
        <v>1942</v>
      </c>
      <c r="CP288" s="808" t="s">
        <v>1942</v>
      </c>
      <c r="CQ288" s="800" t="s">
        <v>1942</v>
      </c>
      <c r="CR288" s="800" t="s">
        <v>1942</v>
      </c>
      <c r="CS288" s="800" t="s">
        <v>1942</v>
      </c>
      <c r="CT288" s="805" t="s">
        <v>1942</v>
      </c>
      <c r="CU288" s="1284">
        <v>-0.45</v>
      </c>
      <c r="CV288" s="1283" t="s">
        <v>1942</v>
      </c>
      <c r="CW288" s="1283" t="s">
        <v>1942</v>
      </c>
      <c r="CX288" s="1285" t="s">
        <v>1942</v>
      </c>
      <c r="CY288" s="1283" t="s">
        <v>1942</v>
      </c>
      <c r="CZ288" s="1283" t="s">
        <v>1942</v>
      </c>
      <c r="DA288" s="1283" t="s">
        <v>1942</v>
      </c>
      <c r="DB288" s="1285" t="s">
        <v>1942</v>
      </c>
      <c r="DC288" s="785"/>
      <c r="DD288" s="813">
        <v>1</v>
      </c>
      <c r="DE288" s="814"/>
    </row>
    <row r="289" spans="1:109" ht="26.25">
      <c r="A289" s="772" t="s">
        <v>1038</v>
      </c>
      <c r="B289" s="773">
        <v>283</v>
      </c>
      <c r="C289" s="789" t="s">
        <v>3134</v>
      </c>
      <c r="D289" s="773" t="s">
        <v>3119</v>
      </c>
      <c r="E289" s="773" t="s">
        <v>3077</v>
      </c>
      <c r="F289" s="785" t="s">
        <v>3135</v>
      </c>
      <c r="G289" s="790" t="s">
        <v>3136</v>
      </c>
      <c r="H289" s="791" t="s">
        <v>3137</v>
      </c>
      <c r="I289" s="792"/>
      <c r="J289" s="793"/>
      <c r="K289" s="793">
        <v>1</v>
      </c>
      <c r="L289" s="793"/>
      <c r="M289" s="793"/>
      <c r="N289" s="793"/>
      <c r="O289" s="793"/>
      <c r="P289" s="794"/>
      <c r="Q289" s="795">
        <f t="shared" si="4"/>
        <v>1</v>
      </c>
      <c r="R289" s="789" t="s">
        <v>1030</v>
      </c>
      <c r="S289" s="773" t="s">
        <v>1008</v>
      </c>
      <c r="T289" s="861" t="s">
        <v>1009</v>
      </c>
      <c r="U289" s="773" t="s">
        <v>3104</v>
      </c>
      <c r="V289" s="773" t="s">
        <v>1033</v>
      </c>
      <c r="W289" s="773" t="s">
        <v>3138</v>
      </c>
      <c r="X289" s="829">
        <v>0</v>
      </c>
      <c r="Y289" s="819" t="s">
        <v>1010</v>
      </c>
      <c r="Z289" s="790"/>
      <c r="AA289" s="785"/>
      <c r="AB289" s="785"/>
      <c r="AC289" s="785"/>
      <c r="AD289" s="785"/>
      <c r="AE289" s="785"/>
      <c r="AF289" s="799"/>
      <c r="AG289" s="800"/>
      <c r="AH289" s="800"/>
      <c r="AI289" s="800"/>
      <c r="AJ289" s="800"/>
      <c r="AK289" s="800"/>
      <c r="AL289" s="800"/>
      <c r="AM289" s="800"/>
      <c r="AN289" s="800"/>
      <c r="AO289" s="800"/>
      <c r="AP289" s="800"/>
      <c r="AQ289" s="808">
        <v>0</v>
      </c>
      <c r="AR289" s="800">
        <v>0</v>
      </c>
      <c r="AS289" s="800">
        <v>0</v>
      </c>
      <c r="AT289" s="800">
        <v>2</v>
      </c>
      <c r="AU289" s="805">
        <v>5</v>
      </c>
      <c r="AV289" s="808"/>
      <c r="AW289" s="800"/>
      <c r="AX289" s="800"/>
      <c r="AY289" s="800"/>
      <c r="AZ289" s="800"/>
      <c r="BA289" s="800"/>
      <c r="BB289" s="800"/>
      <c r="BC289" s="800"/>
      <c r="BD289" s="800"/>
      <c r="BE289" s="800"/>
      <c r="BF289" s="800"/>
      <c r="BG289" s="800"/>
      <c r="BH289" s="800"/>
      <c r="BI289" s="800"/>
      <c r="BJ289" s="800"/>
      <c r="BK289" s="805"/>
      <c r="BL289" s="789"/>
      <c r="BM289" s="785"/>
      <c r="BN289" s="785"/>
      <c r="BO289" s="785"/>
      <c r="BP289" s="796" t="s">
        <v>168</v>
      </c>
      <c r="BQ289" s="808" t="s">
        <v>1942</v>
      </c>
      <c r="BR289" s="800" t="s">
        <v>1942</v>
      </c>
      <c r="BS289" s="800" t="s">
        <v>1942</v>
      </c>
      <c r="BT289" s="800" t="s">
        <v>1942</v>
      </c>
      <c r="BU289" s="805" t="s">
        <v>1942</v>
      </c>
      <c r="BV289" s="808" t="s">
        <v>1942</v>
      </c>
      <c r="BW289" s="800" t="s">
        <v>1942</v>
      </c>
      <c r="BX289" s="800" t="s">
        <v>1942</v>
      </c>
      <c r="BY289" s="800" t="s">
        <v>1942</v>
      </c>
      <c r="BZ289" s="800" t="s">
        <v>1942</v>
      </c>
      <c r="CA289" s="808" t="s">
        <v>1942</v>
      </c>
      <c r="CB289" s="800" t="s">
        <v>1942</v>
      </c>
      <c r="CC289" s="800" t="s">
        <v>1942</v>
      </c>
      <c r="CD289" s="800" t="s">
        <v>1942</v>
      </c>
      <c r="CE289" s="805" t="s">
        <v>1942</v>
      </c>
      <c r="CF289" s="800" t="s">
        <v>1942</v>
      </c>
      <c r="CG289" s="800" t="s">
        <v>1942</v>
      </c>
      <c r="CH289" s="800" t="s">
        <v>1942</v>
      </c>
      <c r="CI289" s="800" t="s">
        <v>1942</v>
      </c>
      <c r="CJ289" s="805" t="s">
        <v>1942</v>
      </c>
      <c r="CK289" s="808" t="s">
        <v>1942</v>
      </c>
      <c r="CL289" s="800" t="s">
        <v>1942</v>
      </c>
      <c r="CM289" s="800" t="s">
        <v>1942</v>
      </c>
      <c r="CN289" s="800" t="s">
        <v>1942</v>
      </c>
      <c r="CO289" s="805" t="s">
        <v>1942</v>
      </c>
      <c r="CP289" s="808" t="s">
        <v>1942</v>
      </c>
      <c r="CQ289" s="800" t="s">
        <v>1942</v>
      </c>
      <c r="CR289" s="800" t="s">
        <v>1942</v>
      </c>
      <c r="CS289" s="800" t="s">
        <v>1942</v>
      </c>
      <c r="CT289" s="805" t="s">
        <v>1942</v>
      </c>
      <c r="CU289" s="1284">
        <v>-1.8520000000000001</v>
      </c>
      <c r="CV289" s="1283" t="s">
        <v>1942</v>
      </c>
      <c r="CW289" s="1283" t="s">
        <v>1942</v>
      </c>
      <c r="CX289" s="1285" t="s">
        <v>1942</v>
      </c>
      <c r="CY289" s="1283">
        <v>1.1910000000000001</v>
      </c>
      <c r="CZ289" s="1283" t="s">
        <v>1942</v>
      </c>
      <c r="DA289" s="1283" t="s">
        <v>1942</v>
      </c>
      <c r="DB289" s="1285" t="s">
        <v>1942</v>
      </c>
      <c r="DC289" s="785" t="s">
        <v>1969</v>
      </c>
      <c r="DD289" s="813">
        <v>1</v>
      </c>
      <c r="DE289" s="814"/>
    </row>
    <row r="290" spans="1:109" ht="39.4">
      <c r="A290" s="772" t="s">
        <v>1038</v>
      </c>
      <c r="B290" s="773">
        <v>284</v>
      </c>
      <c r="C290" s="789" t="s">
        <v>3139</v>
      </c>
      <c r="D290" s="773" t="s">
        <v>3083</v>
      </c>
      <c r="E290" s="773" t="s">
        <v>3095</v>
      </c>
      <c r="F290" s="785" t="s">
        <v>3140</v>
      </c>
      <c r="G290" s="790" t="s">
        <v>3141</v>
      </c>
      <c r="H290" s="791" t="s">
        <v>3142</v>
      </c>
      <c r="I290" s="792"/>
      <c r="J290" s="793">
        <v>1</v>
      </c>
      <c r="K290" s="793"/>
      <c r="L290" s="793"/>
      <c r="M290" s="793"/>
      <c r="N290" s="793"/>
      <c r="O290" s="793"/>
      <c r="P290" s="794"/>
      <c r="Q290" s="795">
        <f t="shared" si="4"/>
        <v>1</v>
      </c>
      <c r="R290" s="789" t="s">
        <v>1007</v>
      </c>
      <c r="S290" s="773"/>
      <c r="T290" s="861"/>
      <c r="U290" s="773" t="s">
        <v>3086</v>
      </c>
      <c r="V290" s="773" t="s">
        <v>278</v>
      </c>
      <c r="W290" s="773" t="s">
        <v>3143</v>
      </c>
      <c r="X290" s="829">
        <v>0</v>
      </c>
      <c r="Y290" s="819" t="s">
        <v>1010</v>
      </c>
      <c r="Z290" s="790"/>
      <c r="AA290" s="785"/>
      <c r="AB290" s="785"/>
      <c r="AC290" s="785"/>
      <c r="AD290" s="785"/>
      <c r="AE290" s="785"/>
      <c r="AF290" s="799"/>
      <c r="AG290" s="873"/>
      <c r="AH290" s="800"/>
      <c r="AI290" s="800"/>
      <c r="AJ290" s="800"/>
      <c r="AK290" s="800"/>
      <c r="AL290" s="800"/>
      <c r="AM290" s="800"/>
      <c r="AN290" s="800"/>
      <c r="AO290" s="807"/>
      <c r="AP290" s="807"/>
      <c r="AQ290" s="806">
        <v>49</v>
      </c>
      <c r="AR290" s="807">
        <v>51</v>
      </c>
      <c r="AS290" s="807">
        <v>53</v>
      </c>
      <c r="AT290" s="807">
        <v>54</v>
      </c>
      <c r="AU290" s="820">
        <v>55</v>
      </c>
      <c r="AV290" s="806"/>
      <c r="AW290" s="807"/>
      <c r="AX290" s="807"/>
      <c r="AY290" s="807"/>
      <c r="AZ290" s="807"/>
      <c r="BA290" s="807"/>
      <c r="BB290" s="807"/>
      <c r="BC290" s="807"/>
      <c r="BD290" s="807"/>
      <c r="BE290" s="807"/>
      <c r="BF290" s="807"/>
      <c r="BG290" s="807"/>
      <c r="BH290" s="807"/>
      <c r="BI290" s="807"/>
      <c r="BJ290" s="807"/>
      <c r="BK290" s="820"/>
      <c r="BL290" s="834"/>
      <c r="BM290" s="835"/>
      <c r="BN290" s="835"/>
      <c r="BO290" s="835"/>
      <c r="BP290" s="836"/>
      <c r="BQ290" s="808" t="s">
        <v>1942</v>
      </c>
      <c r="BR290" s="800" t="s">
        <v>1942</v>
      </c>
      <c r="BS290" s="800" t="s">
        <v>1942</v>
      </c>
      <c r="BT290" s="800" t="s">
        <v>1942</v>
      </c>
      <c r="BU290" s="830" t="s">
        <v>1942</v>
      </c>
      <c r="BV290" s="828" t="s">
        <v>1942</v>
      </c>
      <c r="BW290" s="829" t="s">
        <v>1942</v>
      </c>
      <c r="BX290" s="829" t="s">
        <v>1942</v>
      </c>
      <c r="BY290" s="829" t="s">
        <v>1942</v>
      </c>
      <c r="BZ290" s="829" t="s">
        <v>1942</v>
      </c>
      <c r="CA290" s="808" t="s">
        <v>1942</v>
      </c>
      <c r="CB290" s="800" t="s">
        <v>1942</v>
      </c>
      <c r="CC290" s="800" t="s">
        <v>1942</v>
      </c>
      <c r="CD290" s="800" t="s">
        <v>1942</v>
      </c>
      <c r="CE290" s="805" t="s">
        <v>1942</v>
      </c>
      <c r="CF290" s="800" t="s">
        <v>1942</v>
      </c>
      <c r="CG290" s="800" t="s">
        <v>1942</v>
      </c>
      <c r="CH290" s="800" t="s">
        <v>1942</v>
      </c>
      <c r="CI290" s="800" t="s">
        <v>1942</v>
      </c>
      <c r="CJ290" s="805" t="s">
        <v>1942</v>
      </c>
      <c r="CK290" s="808" t="s">
        <v>1942</v>
      </c>
      <c r="CL290" s="800" t="s">
        <v>1942</v>
      </c>
      <c r="CM290" s="800" t="s">
        <v>1942</v>
      </c>
      <c r="CN290" s="800" t="s">
        <v>1942</v>
      </c>
      <c r="CO290" s="805" t="s">
        <v>1942</v>
      </c>
      <c r="CP290" s="808" t="s">
        <v>1942</v>
      </c>
      <c r="CQ290" s="800" t="s">
        <v>1942</v>
      </c>
      <c r="CR290" s="800" t="s">
        <v>1942</v>
      </c>
      <c r="CS290" s="800" t="s">
        <v>1942</v>
      </c>
      <c r="CT290" s="805" t="s">
        <v>1942</v>
      </c>
      <c r="CU290" s="1284" t="s">
        <v>1942</v>
      </c>
      <c r="CV290" s="1283" t="s">
        <v>1942</v>
      </c>
      <c r="CW290" s="1283" t="s">
        <v>1942</v>
      </c>
      <c r="CX290" s="1285" t="s">
        <v>1942</v>
      </c>
      <c r="CY290" s="1283" t="s">
        <v>1942</v>
      </c>
      <c r="CZ290" s="1283" t="s">
        <v>1942</v>
      </c>
      <c r="DA290" s="1283" t="s">
        <v>1942</v>
      </c>
      <c r="DB290" s="1285" t="s">
        <v>1942</v>
      </c>
      <c r="DC290" s="785"/>
      <c r="DD290" s="813">
        <v>1</v>
      </c>
      <c r="DE290" s="814"/>
    </row>
    <row r="291" spans="1:109" ht="39.4">
      <c r="A291" s="772" t="s">
        <v>1038</v>
      </c>
      <c r="B291" s="773">
        <v>285</v>
      </c>
      <c r="C291" s="789" t="s">
        <v>3144</v>
      </c>
      <c r="D291" s="773" t="s">
        <v>3083</v>
      </c>
      <c r="E291" s="773" t="s">
        <v>3095</v>
      </c>
      <c r="F291" s="785" t="s">
        <v>3145</v>
      </c>
      <c r="G291" s="790" t="s">
        <v>3146</v>
      </c>
      <c r="H291" s="791" t="s">
        <v>3147</v>
      </c>
      <c r="I291" s="792"/>
      <c r="J291" s="793">
        <v>1</v>
      </c>
      <c r="K291" s="793"/>
      <c r="L291" s="793"/>
      <c r="M291" s="793"/>
      <c r="N291" s="793"/>
      <c r="O291" s="793"/>
      <c r="P291" s="794"/>
      <c r="Q291" s="795">
        <f t="shared" si="4"/>
        <v>1</v>
      </c>
      <c r="R291" s="789" t="s">
        <v>1007</v>
      </c>
      <c r="S291" s="773"/>
      <c r="T291" s="861"/>
      <c r="U291" s="773" t="s">
        <v>3086</v>
      </c>
      <c r="V291" s="773" t="s">
        <v>1033</v>
      </c>
      <c r="W291" s="773" t="s">
        <v>3148</v>
      </c>
      <c r="X291" s="829">
        <v>0</v>
      </c>
      <c r="Y291" s="826" t="s">
        <v>1010</v>
      </c>
      <c r="Z291" s="790"/>
      <c r="AA291" s="785"/>
      <c r="AB291" s="785"/>
      <c r="AC291" s="785"/>
      <c r="AD291" s="785"/>
      <c r="AE291" s="785"/>
      <c r="AF291" s="799"/>
      <c r="AG291" s="800"/>
      <c r="AH291" s="800"/>
      <c r="AI291" s="800"/>
      <c r="AJ291" s="800"/>
      <c r="AK291" s="800"/>
      <c r="AL291" s="800"/>
      <c r="AM291" s="800"/>
      <c r="AN291" s="800"/>
      <c r="AO291" s="800"/>
      <c r="AP291" s="829"/>
      <c r="AQ291" s="828">
        <v>500</v>
      </c>
      <c r="AR291" s="829">
        <v>1000</v>
      </c>
      <c r="AS291" s="829">
        <v>1500</v>
      </c>
      <c r="AT291" s="829">
        <v>2000</v>
      </c>
      <c r="AU291" s="830">
        <v>2500</v>
      </c>
      <c r="AV291" s="828"/>
      <c r="AW291" s="829"/>
      <c r="AX291" s="829"/>
      <c r="AY291" s="829"/>
      <c r="AZ291" s="829"/>
      <c r="BA291" s="829"/>
      <c r="BB291" s="829"/>
      <c r="BC291" s="829"/>
      <c r="BD291" s="829"/>
      <c r="BE291" s="829"/>
      <c r="BF291" s="829"/>
      <c r="BG291" s="829"/>
      <c r="BH291" s="829"/>
      <c r="BI291" s="829"/>
      <c r="BJ291" s="829"/>
      <c r="BK291" s="830"/>
      <c r="BL291" s="789"/>
      <c r="BM291" s="785"/>
      <c r="BN291" s="785"/>
      <c r="BO291" s="785"/>
      <c r="BP291" s="796"/>
      <c r="BQ291" s="808" t="s">
        <v>1942</v>
      </c>
      <c r="BR291" s="800" t="s">
        <v>1942</v>
      </c>
      <c r="BS291" s="800" t="s">
        <v>1942</v>
      </c>
      <c r="BT291" s="800" t="s">
        <v>1942</v>
      </c>
      <c r="BU291" s="805" t="s">
        <v>1942</v>
      </c>
      <c r="BV291" s="828" t="s">
        <v>1942</v>
      </c>
      <c r="BW291" s="829" t="s">
        <v>1942</v>
      </c>
      <c r="BX291" s="829" t="s">
        <v>1942</v>
      </c>
      <c r="BY291" s="829" t="s">
        <v>1942</v>
      </c>
      <c r="BZ291" s="829" t="s">
        <v>1942</v>
      </c>
      <c r="CA291" s="828" t="s">
        <v>1942</v>
      </c>
      <c r="CB291" s="829" t="s">
        <v>1942</v>
      </c>
      <c r="CC291" s="829" t="s">
        <v>1942</v>
      </c>
      <c r="CD291" s="829" t="s">
        <v>1942</v>
      </c>
      <c r="CE291" s="830" t="s">
        <v>1942</v>
      </c>
      <c r="CF291" s="829" t="s">
        <v>1942</v>
      </c>
      <c r="CG291" s="829" t="s">
        <v>1942</v>
      </c>
      <c r="CH291" s="829" t="s">
        <v>1942</v>
      </c>
      <c r="CI291" s="829" t="s">
        <v>1942</v>
      </c>
      <c r="CJ291" s="830" t="s">
        <v>1942</v>
      </c>
      <c r="CK291" s="828" t="s">
        <v>1942</v>
      </c>
      <c r="CL291" s="829" t="s">
        <v>1942</v>
      </c>
      <c r="CM291" s="829" t="s">
        <v>1942</v>
      </c>
      <c r="CN291" s="829" t="s">
        <v>1942</v>
      </c>
      <c r="CO291" s="830" t="s">
        <v>1942</v>
      </c>
      <c r="CP291" s="808" t="s">
        <v>1942</v>
      </c>
      <c r="CQ291" s="800" t="s">
        <v>1942</v>
      </c>
      <c r="CR291" s="800" t="s">
        <v>1942</v>
      </c>
      <c r="CS291" s="800" t="s">
        <v>1942</v>
      </c>
      <c r="CT291" s="805" t="s">
        <v>1942</v>
      </c>
      <c r="CU291" s="1284" t="s">
        <v>1942</v>
      </c>
      <c r="CV291" s="1283" t="s">
        <v>1942</v>
      </c>
      <c r="CW291" s="1283" t="s">
        <v>1942</v>
      </c>
      <c r="CX291" s="1285" t="s">
        <v>1942</v>
      </c>
      <c r="CY291" s="1283" t="s">
        <v>1942</v>
      </c>
      <c r="CZ291" s="1283" t="s">
        <v>1942</v>
      </c>
      <c r="DA291" s="1283" t="s">
        <v>1942</v>
      </c>
      <c r="DB291" s="1285" t="s">
        <v>1942</v>
      </c>
      <c r="DC291" s="785"/>
      <c r="DD291" s="813">
        <v>1</v>
      </c>
      <c r="DE291" s="814"/>
    </row>
    <row r="292" spans="1:109" ht="26.25">
      <c r="A292" s="772" t="s">
        <v>1038</v>
      </c>
      <c r="B292" s="773">
        <v>286</v>
      </c>
      <c r="C292" s="789" t="s">
        <v>3149</v>
      </c>
      <c r="D292" s="773" t="s">
        <v>3083</v>
      </c>
      <c r="E292" s="773" t="s">
        <v>3095</v>
      </c>
      <c r="F292" s="785" t="s">
        <v>3150</v>
      </c>
      <c r="G292" s="790" t="s">
        <v>3151</v>
      </c>
      <c r="H292" s="791" t="s">
        <v>3152</v>
      </c>
      <c r="I292" s="792"/>
      <c r="J292" s="793">
        <v>1</v>
      </c>
      <c r="K292" s="793"/>
      <c r="L292" s="793"/>
      <c r="M292" s="793"/>
      <c r="N292" s="793"/>
      <c r="O292" s="793"/>
      <c r="P292" s="794"/>
      <c r="Q292" s="795">
        <f t="shared" si="4"/>
        <v>1</v>
      </c>
      <c r="R292" s="789" t="s">
        <v>1017</v>
      </c>
      <c r="S292" s="773" t="s">
        <v>1008</v>
      </c>
      <c r="T292" s="861" t="s">
        <v>1009</v>
      </c>
      <c r="U292" s="773" t="s">
        <v>3086</v>
      </c>
      <c r="V292" s="773" t="s">
        <v>1033</v>
      </c>
      <c r="W292" s="773" t="s">
        <v>3153</v>
      </c>
      <c r="X292" s="829">
        <v>0</v>
      </c>
      <c r="Y292" s="821" t="s">
        <v>1010</v>
      </c>
      <c r="Z292" s="790"/>
      <c r="AA292" s="785"/>
      <c r="AB292" s="785"/>
      <c r="AC292" s="785"/>
      <c r="AD292" s="785"/>
      <c r="AE292" s="785"/>
      <c r="AF292" s="799"/>
      <c r="AG292" s="800"/>
      <c r="AH292" s="800"/>
      <c r="AI292" s="800"/>
      <c r="AJ292" s="800"/>
      <c r="AK292" s="800"/>
      <c r="AL292" s="800"/>
      <c r="AM292" s="800"/>
      <c r="AN292" s="807"/>
      <c r="AO292" s="807"/>
      <c r="AP292" s="807"/>
      <c r="AQ292" s="806">
        <v>3529</v>
      </c>
      <c r="AR292" s="807">
        <v>3529</v>
      </c>
      <c r="AS292" s="807">
        <v>3529</v>
      </c>
      <c r="AT292" s="807">
        <v>3529</v>
      </c>
      <c r="AU292" s="820">
        <v>3529</v>
      </c>
      <c r="AV292" s="806"/>
      <c r="AW292" s="807"/>
      <c r="AX292" s="807"/>
      <c r="AY292" s="807"/>
      <c r="AZ292" s="807"/>
      <c r="BA292" s="807"/>
      <c r="BB292" s="807"/>
      <c r="BC292" s="807"/>
      <c r="BD292" s="807"/>
      <c r="BE292" s="807"/>
      <c r="BF292" s="807"/>
      <c r="BG292" s="807"/>
      <c r="BH292" s="807"/>
      <c r="BI292" s="807"/>
      <c r="BJ292" s="807"/>
      <c r="BK292" s="820"/>
      <c r="BL292" s="789" t="s">
        <v>168</v>
      </c>
      <c r="BM292" s="785" t="s">
        <v>168</v>
      </c>
      <c r="BN292" s="785" t="s">
        <v>168</v>
      </c>
      <c r="BO292" s="785" t="s">
        <v>168</v>
      </c>
      <c r="BP292" s="796" t="s">
        <v>168</v>
      </c>
      <c r="BQ292" s="808" t="s">
        <v>1942</v>
      </c>
      <c r="BR292" s="800" t="s">
        <v>1942</v>
      </c>
      <c r="BS292" s="800" t="s">
        <v>1942</v>
      </c>
      <c r="BT292" s="800" t="s">
        <v>1942</v>
      </c>
      <c r="BU292" s="805" t="s">
        <v>1942</v>
      </c>
      <c r="BV292" s="808" t="s">
        <v>1942</v>
      </c>
      <c r="BW292" s="800" t="s">
        <v>1942</v>
      </c>
      <c r="BX292" s="800" t="s">
        <v>1942</v>
      </c>
      <c r="BY292" s="800" t="s">
        <v>1942</v>
      </c>
      <c r="BZ292" s="800" t="s">
        <v>1942</v>
      </c>
      <c r="CA292" s="806" t="s">
        <v>1942</v>
      </c>
      <c r="CB292" s="807" t="s">
        <v>1942</v>
      </c>
      <c r="CC292" s="807" t="s">
        <v>1942</v>
      </c>
      <c r="CD292" s="807" t="s">
        <v>1942</v>
      </c>
      <c r="CE292" s="820" t="s">
        <v>1942</v>
      </c>
      <c r="CF292" s="800">
        <v>0</v>
      </c>
      <c r="CG292" s="800">
        <v>0</v>
      </c>
      <c r="CH292" s="800">
        <v>0</v>
      </c>
      <c r="CI292" s="800">
        <v>0</v>
      </c>
      <c r="CJ292" s="805">
        <v>0</v>
      </c>
      <c r="CK292" s="808">
        <v>17644</v>
      </c>
      <c r="CL292" s="800">
        <v>17644</v>
      </c>
      <c r="CM292" s="800">
        <v>17644</v>
      </c>
      <c r="CN292" s="800">
        <v>17644</v>
      </c>
      <c r="CO292" s="805">
        <v>17644</v>
      </c>
      <c r="CP292" s="808" t="s">
        <v>1942</v>
      </c>
      <c r="CQ292" s="800" t="s">
        <v>1942</v>
      </c>
      <c r="CR292" s="800" t="s">
        <v>1942</v>
      </c>
      <c r="CS292" s="800" t="s">
        <v>1942</v>
      </c>
      <c r="CT292" s="805" t="s">
        <v>1942</v>
      </c>
      <c r="CU292" s="1283" t="s">
        <v>1942</v>
      </c>
      <c r="CV292" s="1283" t="s">
        <v>1942</v>
      </c>
      <c r="CW292" s="1283" t="s">
        <v>1942</v>
      </c>
      <c r="CX292" s="1285" t="s">
        <v>1942</v>
      </c>
      <c r="CY292" s="1283">
        <v>3.63E-6</v>
      </c>
      <c r="CZ292" s="1283" t="s">
        <v>1942</v>
      </c>
      <c r="DA292" s="1283" t="s">
        <v>1942</v>
      </c>
      <c r="DB292" s="1285" t="s">
        <v>1942</v>
      </c>
      <c r="DC292" s="785"/>
      <c r="DD292" s="813">
        <v>1</v>
      </c>
      <c r="DE292" s="814"/>
    </row>
    <row r="293" spans="1:109" ht="26.25">
      <c r="A293" s="772" t="s">
        <v>1038</v>
      </c>
      <c r="B293" s="773">
        <v>287</v>
      </c>
      <c r="C293" s="789" t="s">
        <v>3154</v>
      </c>
      <c r="D293" s="773" t="s">
        <v>3155</v>
      </c>
      <c r="E293" s="773" t="s">
        <v>3095</v>
      </c>
      <c r="F293" s="785" t="s">
        <v>3156</v>
      </c>
      <c r="G293" s="790" t="s">
        <v>1935</v>
      </c>
      <c r="H293" s="791" t="s">
        <v>3157</v>
      </c>
      <c r="I293" s="792"/>
      <c r="J293" s="793">
        <v>0.433</v>
      </c>
      <c r="K293" s="793">
        <v>0.56699999999999995</v>
      </c>
      <c r="L293" s="793"/>
      <c r="M293" s="793"/>
      <c r="N293" s="793"/>
      <c r="O293" s="793"/>
      <c r="P293" s="794"/>
      <c r="Q293" s="795">
        <f t="shared" si="4"/>
        <v>1</v>
      </c>
      <c r="R293" s="789" t="s">
        <v>1030</v>
      </c>
      <c r="S293" s="773" t="s">
        <v>1008</v>
      </c>
      <c r="T293" s="861" t="s">
        <v>1009</v>
      </c>
      <c r="U293" s="773" t="s">
        <v>3158</v>
      </c>
      <c r="V293" s="773" t="s">
        <v>1081</v>
      </c>
      <c r="W293" s="773" t="s">
        <v>3159</v>
      </c>
      <c r="X293" s="1274">
        <v>2</v>
      </c>
      <c r="Y293" s="821" t="s">
        <v>1010</v>
      </c>
      <c r="Z293" s="790" t="s">
        <v>1935</v>
      </c>
      <c r="AA293" s="785"/>
      <c r="AB293" s="785"/>
      <c r="AC293" s="785"/>
      <c r="AD293" s="785"/>
      <c r="AE293" s="785"/>
      <c r="AF293" s="799"/>
      <c r="AG293" s="800"/>
      <c r="AH293" s="800"/>
      <c r="AI293" s="800"/>
      <c r="AJ293" s="800"/>
      <c r="AK293" s="800"/>
      <c r="AL293" s="800"/>
      <c r="AM293" s="800"/>
      <c r="AN293" s="800"/>
      <c r="AO293" s="800"/>
      <c r="AP293" s="800"/>
      <c r="AQ293" s="1420"/>
      <c r="AR293" s="1368"/>
      <c r="AS293" s="1368"/>
      <c r="AT293" s="1368"/>
      <c r="AU293" s="1369"/>
      <c r="AV293" s="808"/>
      <c r="AW293" s="800"/>
      <c r="AX293" s="800"/>
      <c r="AY293" s="800"/>
      <c r="AZ293" s="800"/>
      <c r="BA293" s="800"/>
      <c r="BB293" s="800"/>
      <c r="BC293" s="800"/>
      <c r="BD293" s="800"/>
      <c r="BE293" s="800"/>
      <c r="BF293" s="800"/>
      <c r="BG293" s="800"/>
      <c r="BH293" s="800"/>
      <c r="BI293" s="800"/>
      <c r="BJ293" s="800"/>
      <c r="BK293" s="805"/>
      <c r="BL293" s="1376"/>
      <c r="BM293" s="1377"/>
      <c r="BN293" s="1377"/>
      <c r="BO293" s="1377"/>
      <c r="BP293" s="1440"/>
      <c r="BQ293" s="1420"/>
      <c r="BR293" s="1368"/>
      <c r="BS293" s="1368"/>
      <c r="BT293" s="1368"/>
      <c r="BU293" s="1756"/>
      <c r="BV293" s="1421"/>
      <c r="BW293" s="1373"/>
      <c r="BX293" s="1373"/>
      <c r="BY293" s="1373"/>
      <c r="BZ293" s="1373"/>
      <c r="CA293" s="1421"/>
      <c r="CB293" s="1373"/>
      <c r="CC293" s="1373"/>
      <c r="CD293" s="1373"/>
      <c r="CE293" s="1374"/>
      <c r="CF293" s="1373"/>
      <c r="CG293" s="1373"/>
      <c r="CH293" s="1373"/>
      <c r="CI293" s="1373"/>
      <c r="CJ293" s="1374"/>
      <c r="CK293" s="1421"/>
      <c r="CL293" s="1373"/>
      <c r="CM293" s="1373"/>
      <c r="CN293" s="1373"/>
      <c r="CO293" s="1374"/>
      <c r="CP293" s="1421"/>
      <c r="CQ293" s="1373"/>
      <c r="CR293" s="1373"/>
      <c r="CS293" s="1373"/>
      <c r="CT293" s="1374"/>
      <c r="CU293" s="1528"/>
      <c r="CV293" s="1519"/>
      <c r="CW293" s="1519"/>
      <c r="CX293" s="1728"/>
      <c r="CY293" s="1519"/>
      <c r="CZ293" s="1519"/>
      <c r="DA293" s="1519"/>
      <c r="DB293" s="1728"/>
      <c r="DC293" s="1377"/>
      <c r="DD293" s="1729"/>
      <c r="DE293" s="1734"/>
    </row>
    <row r="294" spans="1:109" ht="26.25">
      <c r="A294" s="772" t="s">
        <v>1038</v>
      </c>
      <c r="B294" s="773">
        <v>288</v>
      </c>
      <c r="C294" s="789" t="s">
        <v>3160</v>
      </c>
      <c r="D294" s="773" t="s">
        <v>3155</v>
      </c>
      <c r="E294" s="773" t="s">
        <v>3095</v>
      </c>
      <c r="F294" s="785" t="s">
        <v>3161</v>
      </c>
      <c r="G294" s="790" t="s">
        <v>3162</v>
      </c>
      <c r="H294" s="791" t="s">
        <v>3163</v>
      </c>
      <c r="I294" s="792"/>
      <c r="J294" s="793"/>
      <c r="K294" s="793">
        <v>1</v>
      </c>
      <c r="L294" s="793"/>
      <c r="M294" s="793"/>
      <c r="N294" s="793"/>
      <c r="O294" s="793"/>
      <c r="P294" s="794"/>
      <c r="Q294" s="795">
        <f t="shared" si="4"/>
        <v>1</v>
      </c>
      <c r="R294" s="789" t="s">
        <v>1030</v>
      </c>
      <c r="S294" s="773" t="s">
        <v>1008</v>
      </c>
      <c r="T294" s="861" t="s">
        <v>1009</v>
      </c>
      <c r="U294" s="773" t="s">
        <v>3104</v>
      </c>
      <c r="V294" s="773" t="s">
        <v>1033</v>
      </c>
      <c r="W294" s="773" t="s">
        <v>3164</v>
      </c>
      <c r="X294" s="829">
        <v>0</v>
      </c>
      <c r="Y294" s="821" t="s">
        <v>1010</v>
      </c>
      <c r="Z294" s="790"/>
      <c r="AA294" s="785"/>
      <c r="AB294" s="785"/>
      <c r="AC294" s="785"/>
      <c r="AD294" s="785"/>
      <c r="AE294" s="785"/>
      <c r="AF294" s="799"/>
      <c r="AG294" s="800"/>
      <c r="AH294" s="800"/>
      <c r="AI294" s="807"/>
      <c r="AJ294" s="807"/>
      <c r="AK294" s="807"/>
      <c r="AL294" s="807"/>
      <c r="AM294" s="807"/>
      <c r="AN294" s="807"/>
      <c r="AO294" s="807"/>
      <c r="AP294" s="807"/>
      <c r="AQ294" s="806">
        <v>0</v>
      </c>
      <c r="AR294" s="807">
        <v>0</v>
      </c>
      <c r="AS294" s="807">
        <v>0</v>
      </c>
      <c r="AT294" s="807">
        <v>1</v>
      </c>
      <c r="AU294" s="820">
        <v>2</v>
      </c>
      <c r="AV294" s="806"/>
      <c r="AW294" s="807"/>
      <c r="AX294" s="807"/>
      <c r="AY294" s="807"/>
      <c r="AZ294" s="807"/>
      <c r="BA294" s="807"/>
      <c r="BB294" s="807"/>
      <c r="BC294" s="807"/>
      <c r="BD294" s="807"/>
      <c r="BE294" s="807"/>
      <c r="BF294" s="807"/>
      <c r="BG294" s="807"/>
      <c r="BH294" s="807"/>
      <c r="BI294" s="807"/>
      <c r="BJ294" s="807"/>
      <c r="BK294" s="820"/>
      <c r="BL294" s="789"/>
      <c r="BM294" s="785"/>
      <c r="BN294" s="785"/>
      <c r="BO294" s="785"/>
      <c r="BP294" s="796" t="s">
        <v>168</v>
      </c>
      <c r="BQ294" s="808" t="s">
        <v>1942</v>
      </c>
      <c r="BR294" s="800" t="s">
        <v>1942</v>
      </c>
      <c r="BS294" s="800" t="s">
        <v>1942</v>
      </c>
      <c r="BT294" s="800" t="s">
        <v>1942</v>
      </c>
      <c r="BU294" s="805" t="s">
        <v>1942</v>
      </c>
      <c r="BV294" s="808" t="s">
        <v>1942</v>
      </c>
      <c r="BW294" s="800" t="s">
        <v>1942</v>
      </c>
      <c r="BX294" s="800" t="s">
        <v>1942</v>
      </c>
      <c r="BY294" s="800" t="s">
        <v>1942</v>
      </c>
      <c r="BZ294" s="800" t="s">
        <v>1942</v>
      </c>
      <c r="CA294" s="806" t="s">
        <v>1942</v>
      </c>
      <c r="CB294" s="807" t="s">
        <v>1942</v>
      </c>
      <c r="CC294" s="807" t="s">
        <v>1942</v>
      </c>
      <c r="CD294" s="807" t="s">
        <v>1942</v>
      </c>
      <c r="CE294" s="820" t="s">
        <v>1942</v>
      </c>
      <c r="CF294" s="800" t="s">
        <v>1942</v>
      </c>
      <c r="CG294" s="800" t="s">
        <v>1942</v>
      </c>
      <c r="CH294" s="800" t="s">
        <v>1942</v>
      </c>
      <c r="CI294" s="800" t="s">
        <v>1942</v>
      </c>
      <c r="CJ294" s="805" t="s">
        <v>1942</v>
      </c>
      <c r="CK294" s="808" t="s">
        <v>1942</v>
      </c>
      <c r="CL294" s="800" t="s">
        <v>1942</v>
      </c>
      <c r="CM294" s="800" t="s">
        <v>1942</v>
      </c>
      <c r="CN294" s="800" t="s">
        <v>1942</v>
      </c>
      <c r="CO294" s="805" t="s">
        <v>1942</v>
      </c>
      <c r="CP294" s="808" t="s">
        <v>1942</v>
      </c>
      <c r="CQ294" s="800" t="s">
        <v>1942</v>
      </c>
      <c r="CR294" s="800" t="s">
        <v>1942</v>
      </c>
      <c r="CS294" s="800" t="s">
        <v>1942</v>
      </c>
      <c r="CT294" s="805" t="s">
        <v>1942</v>
      </c>
      <c r="CU294" s="1284">
        <v>-1.7</v>
      </c>
      <c r="CV294" s="1283" t="s">
        <v>1942</v>
      </c>
      <c r="CW294" s="1283" t="s">
        <v>1942</v>
      </c>
      <c r="CX294" s="1285" t="s">
        <v>1942</v>
      </c>
      <c r="CY294" s="1283">
        <v>1.1910000000000001</v>
      </c>
      <c r="CZ294" s="1283" t="s">
        <v>1942</v>
      </c>
      <c r="DA294" s="1283" t="s">
        <v>1942</v>
      </c>
      <c r="DB294" s="1285" t="s">
        <v>1942</v>
      </c>
      <c r="DC294" s="785"/>
      <c r="DD294" s="813">
        <v>1</v>
      </c>
      <c r="DE294" s="814"/>
    </row>
    <row r="295" spans="1:109" ht="26.25">
      <c r="A295" s="772" t="s">
        <v>1038</v>
      </c>
      <c r="B295" s="773">
        <v>289</v>
      </c>
      <c r="C295" s="789" t="s">
        <v>3165</v>
      </c>
      <c r="D295" s="773" t="s">
        <v>3166</v>
      </c>
      <c r="E295" s="773" t="s">
        <v>3095</v>
      </c>
      <c r="F295" s="785" t="s">
        <v>3167</v>
      </c>
      <c r="G295" s="790" t="s">
        <v>1931</v>
      </c>
      <c r="H295" s="791" t="s">
        <v>3168</v>
      </c>
      <c r="I295" s="792"/>
      <c r="J295" s="793"/>
      <c r="K295" s="793"/>
      <c r="L295" s="793"/>
      <c r="M295" s="793">
        <v>1</v>
      </c>
      <c r="N295" s="793"/>
      <c r="O295" s="793"/>
      <c r="P295" s="794"/>
      <c r="Q295" s="795">
        <f t="shared" si="4"/>
        <v>1</v>
      </c>
      <c r="R295" s="789" t="s">
        <v>1030</v>
      </c>
      <c r="S295" s="773" t="s">
        <v>1008</v>
      </c>
      <c r="T295" s="861" t="s">
        <v>1009</v>
      </c>
      <c r="U295" s="773" t="s">
        <v>3169</v>
      </c>
      <c r="V295" s="773" t="s">
        <v>1081</v>
      </c>
      <c r="W295" s="773" t="s">
        <v>3170</v>
      </c>
      <c r="X295" s="1274">
        <v>2</v>
      </c>
      <c r="Y295" s="821" t="s">
        <v>1010</v>
      </c>
      <c r="Z295" s="790" t="s">
        <v>1931</v>
      </c>
      <c r="AA295" s="785"/>
      <c r="AB295" s="785"/>
      <c r="AC295" s="785"/>
      <c r="AD295" s="785"/>
      <c r="AE295" s="785"/>
      <c r="AF295" s="799"/>
      <c r="AG295" s="800"/>
      <c r="AH295" s="800"/>
      <c r="AI295" s="800"/>
      <c r="AJ295" s="800"/>
      <c r="AK295" s="800"/>
      <c r="AL295" s="800"/>
      <c r="AM295" s="800"/>
      <c r="AN295" s="800"/>
      <c r="AO295" s="800"/>
      <c r="AP295" s="800"/>
      <c r="AQ295" s="1420"/>
      <c r="AR295" s="1368"/>
      <c r="AS295" s="1368"/>
      <c r="AT295" s="1368"/>
      <c r="AU295" s="1369"/>
      <c r="AV295" s="808"/>
      <c r="AW295" s="800"/>
      <c r="AX295" s="800"/>
      <c r="AY295" s="800"/>
      <c r="AZ295" s="800"/>
      <c r="BA295" s="800"/>
      <c r="BB295" s="800"/>
      <c r="BC295" s="800"/>
      <c r="BD295" s="800"/>
      <c r="BE295" s="800"/>
      <c r="BF295" s="800"/>
      <c r="BG295" s="800"/>
      <c r="BH295" s="800"/>
      <c r="BI295" s="800"/>
      <c r="BJ295" s="800"/>
      <c r="BK295" s="805"/>
      <c r="BL295" s="1376"/>
      <c r="BM295" s="1377"/>
      <c r="BN295" s="1377"/>
      <c r="BO295" s="1377"/>
      <c r="BP295" s="1440"/>
      <c r="BQ295" s="1420"/>
      <c r="BR295" s="1368"/>
      <c r="BS295" s="1368"/>
      <c r="BT295" s="1368"/>
      <c r="BU295" s="1369"/>
      <c r="BV295" s="1420"/>
      <c r="BW295" s="1368"/>
      <c r="BX295" s="1368"/>
      <c r="BY295" s="1368"/>
      <c r="BZ295" s="1368"/>
      <c r="CA295" s="1420"/>
      <c r="CB295" s="1368"/>
      <c r="CC295" s="1368"/>
      <c r="CD295" s="1368"/>
      <c r="CE295" s="1369"/>
      <c r="CF295" s="1368"/>
      <c r="CG295" s="1368"/>
      <c r="CH295" s="1368"/>
      <c r="CI295" s="1368"/>
      <c r="CJ295" s="1368"/>
      <c r="CK295" s="1420"/>
      <c r="CL295" s="1368"/>
      <c r="CM295" s="1368"/>
      <c r="CN295" s="1368"/>
      <c r="CO295" s="1369"/>
      <c r="CP295" s="1420"/>
      <c r="CQ295" s="1368"/>
      <c r="CR295" s="1368"/>
      <c r="CS295" s="1368"/>
      <c r="CT295" s="1369"/>
      <c r="CU295" s="1528"/>
      <c r="CV295" s="1519"/>
      <c r="CW295" s="1519"/>
      <c r="CX295" s="1728"/>
      <c r="CY295" s="1519"/>
      <c r="CZ295" s="1519"/>
      <c r="DA295" s="1519"/>
      <c r="DB295" s="1728"/>
      <c r="DC295" s="1377"/>
      <c r="DD295" s="1729"/>
      <c r="DE295" s="1734"/>
    </row>
    <row r="296" spans="1:109" ht="26.25">
      <c r="A296" s="772" t="s">
        <v>1038</v>
      </c>
      <c r="B296" s="773">
        <v>290</v>
      </c>
      <c r="C296" s="789" t="s">
        <v>3171</v>
      </c>
      <c r="D296" s="773" t="s">
        <v>3172</v>
      </c>
      <c r="E296" s="773" t="s">
        <v>3095</v>
      </c>
      <c r="F296" s="785" t="s">
        <v>3173</v>
      </c>
      <c r="G296" s="790" t="s">
        <v>2263</v>
      </c>
      <c r="H296" s="791" t="s">
        <v>3174</v>
      </c>
      <c r="I296" s="792"/>
      <c r="J296" s="793"/>
      <c r="K296" s="793"/>
      <c r="L296" s="793"/>
      <c r="M296" s="793">
        <v>1</v>
      </c>
      <c r="N296" s="793"/>
      <c r="O296" s="793"/>
      <c r="P296" s="794"/>
      <c r="Q296" s="795">
        <f t="shared" si="4"/>
        <v>1</v>
      </c>
      <c r="R296" s="789" t="s">
        <v>1030</v>
      </c>
      <c r="S296" s="773" t="s">
        <v>1008</v>
      </c>
      <c r="T296" s="861" t="s">
        <v>1009</v>
      </c>
      <c r="U296" s="773" t="s">
        <v>3175</v>
      </c>
      <c r="V296" s="773" t="s">
        <v>278</v>
      </c>
      <c r="W296" s="773" t="s">
        <v>3176</v>
      </c>
      <c r="X296" s="829">
        <v>2</v>
      </c>
      <c r="Y296" s="821" t="s">
        <v>1020</v>
      </c>
      <c r="Z296" s="790"/>
      <c r="AA296" s="785"/>
      <c r="AB296" s="785"/>
      <c r="AC296" s="785"/>
      <c r="AD296" s="785"/>
      <c r="AE296" s="785"/>
      <c r="AF296" s="799"/>
      <c r="AG296" s="800"/>
      <c r="AH296" s="800"/>
      <c r="AI296" s="800"/>
      <c r="AJ296" s="800"/>
      <c r="AK296" s="800"/>
      <c r="AL296" s="800"/>
      <c r="AM296" s="800"/>
      <c r="AN296" s="800"/>
      <c r="AO296" s="800"/>
      <c r="AP296" s="800"/>
      <c r="AQ296" s="808">
        <v>2.38</v>
      </c>
      <c r="AR296" s="800">
        <v>2.2799999999999998</v>
      </c>
      <c r="AS296" s="800">
        <v>2.1800000000000002</v>
      </c>
      <c r="AT296" s="800">
        <v>2.12</v>
      </c>
      <c r="AU296" s="805">
        <v>2.06</v>
      </c>
      <c r="AV296" s="808"/>
      <c r="AW296" s="800"/>
      <c r="AX296" s="800"/>
      <c r="AY296" s="800"/>
      <c r="AZ296" s="800"/>
      <c r="BA296" s="800"/>
      <c r="BB296" s="800"/>
      <c r="BC296" s="800"/>
      <c r="BD296" s="800"/>
      <c r="BE296" s="800"/>
      <c r="BF296" s="800"/>
      <c r="BG296" s="800"/>
      <c r="BH296" s="800"/>
      <c r="BI296" s="800"/>
      <c r="BJ296" s="800"/>
      <c r="BK296" s="805"/>
      <c r="BL296" s="789" t="s">
        <v>168</v>
      </c>
      <c r="BM296" s="785" t="s">
        <v>168</v>
      </c>
      <c r="BN296" s="785" t="s">
        <v>168</v>
      </c>
      <c r="BO296" s="785" t="s">
        <v>168</v>
      </c>
      <c r="BP296" s="796" t="s">
        <v>168</v>
      </c>
      <c r="BQ296" s="808" t="s">
        <v>1942</v>
      </c>
      <c r="BR296" s="800" t="s">
        <v>1942</v>
      </c>
      <c r="BS296" s="800" t="s">
        <v>1942</v>
      </c>
      <c r="BT296" s="800" t="s">
        <v>1942</v>
      </c>
      <c r="BU296" s="805" t="s">
        <v>1942</v>
      </c>
      <c r="BV296" s="806">
        <v>2.88</v>
      </c>
      <c r="BW296" s="807">
        <v>2.78</v>
      </c>
      <c r="BX296" s="807">
        <v>2.68</v>
      </c>
      <c r="BY296" s="807">
        <v>2.62</v>
      </c>
      <c r="BZ296" s="807">
        <v>2.56</v>
      </c>
      <c r="CA296" s="808" t="s">
        <v>1942</v>
      </c>
      <c r="CB296" s="800" t="s">
        <v>1942</v>
      </c>
      <c r="CC296" s="800" t="s">
        <v>1942</v>
      </c>
      <c r="CD296" s="800" t="s">
        <v>1942</v>
      </c>
      <c r="CE296" s="805" t="s">
        <v>1942</v>
      </c>
      <c r="CF296" s="810" t="s">
        <v>1942</v>
      </c>
      <c r="CG296" s="810" t="s">
        <v>1942</v>
      </c>
      <c r="CH296" s="810" t="s">
        <v>1942</v>
      </c>
      <c r="CI296" s="810" t="s">
        <v>1942</v>
      </c>
      <c r="CJ296" s="811" t="s">
        <v>1942</v>
      </c>
      <c r="CK296" s="808">
        <v>1.88</v>
      </c>
      <c r="CL296" s="800">
        <v>1.78</v>
      </c>
      <c r="CM296" s="800">
        <v>1.68</v>
      </c>
      <c r="CN296" s="800">
        <v>1.62</v>
      </c>
      <c r="CO296" s="805">
        <v>1.56</v>
      </c>
      <c r="CP296" s="808" t="s">
        <v>1942</v>
      </c>
      <c r="CQ296" s="800" t="s">
        <v>1942</v>
      </c>
      <c r="CR296" s="800" t="s">
        <v>1942</v>
      </c>
      <c r="CS296" s="800" t="s">
        <v>1942</v>
      </c>
      <c r="CT296" s="805" t="s">
        <v>1942</v>
      </c>
      <c r="CU296" s="1284">
        <v>-1.2</v>
      </c>
      <c r="CV296" s="1283" t="s">
        <v>1942</v>
      </c>
      <c r="CW296" s="1283" t="s">
        <v>1942</v>
      </c>
      <c r="CX296" s="1285" t="s">
        <v>1942</v>
      </c>
      <c r="CY296" s="1283">
        <v>1.2</v>
      </c>
      <c r="CZ296" s="1283" t="s">
        <v>1942</v>
      </c>
      <c r="DA296" s="1283" t="s">
        <v>1942</v>
      </c>
      <c r="DB296" s="1285" t="s">
        <v>1942</v>
      </c>
      <c r="DC296" s="785"/>
      <c r="DD296" s="813">
        <v>1</v>
      </c>
      <c r="DE296" s="814"/>
    </row>
    <row r="297" spans="1:109" ht="26.25">
      <c r="A297" s="772" t="s">
        <v>1038</v>
      </c>
      <c r="B297" s="773">
        <v>291</v>
      </c>
      <c r="C297" s="789" t="s">
        <v>3177</v>
      </c>
      <c r="D297" s="773" t="s">
        <v>3172</v>
      </c>
      <c r="E297" s="773" t="s">
        <v>3095</v>
      </c>
      <c r="F297" s="785" t="s">
        <v>3178</v>
      </c>
      <c r="G297" s="790" t="s">
        <v>3179</v>
      </c>
      <c r="H297" s="791" t="s">
        <v>3180</v>
      </c>
      <c r="I297" s="792"/>
      <c r="J297" s="793"/>
      <c r="K297" s="793"/>
      <c r="L297" s="793"/>
      <c r="M297" s="793">
        <v>1</v>
      </c>
      <c r="N297" s="793"/>
      <c r="O297" s="793"/>
      <c r="P297" s="794"/>
      <c r="Q297" s="795">
        <f t="shared" si="4"/>
        <v>1</v>
      </c>
      <c r="R297" s="789" t="s">
        <v>1007</v>
      </c>
      <c r="S297" s="773"/>
      <c r="T297" s="861"/>
      <c r="U297" s="773" t="s">
        <v>3181</v>
      </c>
      <c r="V297" s="773" t="s">
        <v>278</v>
      </c>
      <c r="W297" s="773" t="s">
        <v>3182</v>
      </c>
      <c r="X297" s="829">
        <v>0</v>
      </c>
      <c r="Y297" s="821" t="s">
        <v>1010</v>
      </c>
      <c r="Z297" s="790"/>
      <c r="AA297" s="785"/>
      <c r="AB297" s="785"/>
      <c r="AC297" s="785"/>
      <c r="AD297" s="785"/>
      <c r="AE297" s="785"/>
      <c r="AF297" s="799"/>
      <c r="AG297" s="800"/>
      <c r="AH297" s="800"/>
      <c r="AI297" s="800"/>
      <c r="AJ297" s="800"/>
      <c r="AK297" s="800"/>
      <c r="AL297" s="800"/>
      <c r="AM297" s="800"/>
      <c r="AN297" s="800"/>
      <c r="AO297" s="800"/>
      <c r="AP297" s="800"/>
      <c r="AQ297" s="808">
        <v>70</v>
      </c>
      <c r="AR297" s="800">
        <v>75</v>
      </c>
      <c r="AS297" s="800">
        <v>80</v>
      </c>
      <c r="AT297" s="800">
        <v>85</v>
      </c>
      <c r="AU297" s="805">
        <v>90</v>
      </c>
      <c r="AV297" s="808"/>
      <c r="AW297" s="800"/>
      <c r="AX297" s="800"/>
      <c r="AY297" s="800"/>
      <c r="AZ297" s="800"/>
      <c r="BA297" s="800"/>
      <c r="BB297" s="800"/>
      <c r="BC297" s="800"/>
      <c r="BD297" s="800"/>
      <c r="BE297" s="800"/>
      <c r="BF297" s="800"/>
      <c r="BG297" s="800"/>
      <c r="BH297" s="800"/>
      <c r="BI297" s="800"/>
      <c r="BJ297" s="800"/>
      <c r="BK297" s="805"/>
      <c r="BL297" s="789"/>
      <c r="BM297" s="785"/>
      <c r="BN297" s="785"/>
      <c r="BO297" s="785"/>
      <c r="BP297" s="796"/>
      <c r="BQ297" s="808" t="s">
        <v>1942</v>
      </c>
      <c r="BR297" s="800" t="s">
        <v>1942</v>
      </c>
      <c r="BS297" s="800" t="s">
        <v>1942</v>
      </c>
      <c r="BT297" s="800" t="s">
        <v>1942</v>
      </c>
      <c r="BU297" s="805" t="s">
        <v>1942</v>
      </c>
      <c r="BV297" s="808" t="s">
        <v>1942</v>
      </c>
      <c r="BW297" s="800" t="s">
        <v>1942</v>
      </c>
      <c r="BX297" s="800" t="s">
        <v>1942</v>
      </c>
      <c r="BY297" s="800" t="s">
        <v>1942</v>
      </c>
      <c r="BZ297" s="800" t="s">
        <v>1942</v>
      </c>
      <c r="CA297" s="808" t="s">
        <v>1942</v>
      </c>
      <c r="CB297" s="800" t="s">
        <v>1942</v>
      </c>
      <c r="CC297" s="800" t="s">
        <v>1942</v>
      </c>
      <c r="CD297" s="800" t="s">
        <v>1942</v>
      </c>
      <c r="CE297" s="805" t="s">
        <v>1942</v>
      </c>
      <c r="CF297" s="800" t="s">
        <v>1942</v>
      </c>
      <c r="CG297" s="800" t="s">
        <v>1942</v>
      </c>
      <c r="CH297" s="800" t="s">
        <v>1942</v>
      </c>
      <c r="CI297" s="800" t="s">
        <v>1942</v>
      </c>
      <c r="CJ297" s="805" t="s">
        <v>1942</v>
      </c>
      <c r="CK297" s="808" t="s">
        <v>1942</v>
      </c>
      <c r="CL297" s="800" t="s">
        <v>1942</v>
      </c>
      <c r="CM297" s="800" t="s">
        <v>1942</v>
      </c>
      <c r="CN297" s="800" t="s">
        <v>1942</v>
      </c>
      <c r="CO297" s="805" t="s">
        <v>1942</v>
      </c>
      <c r="CP297" s="808" t="s">
        <v>1942</v>
      </c>
      <c r="CQ297" s="800" t="s">
        <v>1942</v>
      </c>
      <c r="CR297" s="800" t="s">
        <v>1942</v>
      </c>
      <c r="CS297" s="800" t="s">
        <v>1942</v>
      </c>
      <c r="CT297" s="805" t="s">
        <v>1942</v>
      </c>
      <c r="CU297" s="1284" t="s">
        <v>1942</v>
      </c>
      <c r="CV297" s="1283" t="s">
        <v>1942</v>
      </c>
      <c r="CW297" s="1283" t="s">
        <v>1942</v>
      </c>
      <c r="CX297" s="1285" t="s">
        <v>1942</v>
      </c>
      <c r="CY297" s="1283" t="s">
        <v>1942</v>
      </c>
      <c r="CZ297" s="1283" t="s">
        <v>1942</v>
      </c>
      <c r="DA297" s="1283" t="s">
        <v>1942</v>
      </c>
      <c r="DB297" s="1285" t="s">
        <v>1942</v>
      </c>
      <c r="DC297" s="785"/>
      <c r="DD297" s="813">
        <v>1</v>
      </c>
      <c r="DE297" s="814"/>
    </row>
    <row r="298" spans="1:109" ht="39.4">
      <c r="A298" s="772" t="s">
        <v>1038</v>
      </c>
      <c r="B298" s="773">
        <v>292</v>
      </c>
      <c r="C298" s="789" t="s">
        <v>3183</v>
      </c>
      <c r="D298" s="773" t="s">
        <v>3184</v>
      </c>
      <c r="E298" s="773" t="s">
        <v>3095</v>
      </c>
      <c r="F298" s="785" t="s">
        <v>3185</v>
      </c>
      <c r="G298" s="790" t="s">
        <v>3186</v>
      </c>
      <c r="H298" s="791" t="s">
        <v>3187</v>
      </c>
      <c r="I298" s="792"/>
      <c r="J298" s="793"/>
      <c r="K298" s="793"/>
      <c r="L298" s="793"/>
      <c r="M298" s="793">
        <v>1</v>
      </c>
      <c r="N298" s="793"/>
      <c r="O298" s="793"/>
      <c r="P298" s="794"/>
      <c r="Q298" s="795">
        <f t="shared" si="4"/>
        <v>1</v>
      </c>
      <c r="R298" s="789" t="s">
        <v>1007</v>
      </c>
      <c r="S298" s="773"/>
      <c r="T298" s="861"/>
      <c r="U298" s="773" t="s">
        <v>3181</v>
      </c>
      <c r="V298" s="773" t="s">
        <v>278</v>
      </c>
      <c r="W298" s="773" t="s">
        <v>3188</v>
      </c>
      <c r="X298" s="829">
        <v>0</v>
      </c>
      <c r="Y298" s="821" t="s">
        <v>1010</v>
      </c>
      <c r="Z298" s="790"/>
      <c r="AA298" s="785"/>
      <c r="AB298" s="785"/>
      <c r="AC298" s="785"/>
      <c r="AD298" s="785"/>
      <c r="AE298" s="785"/>
      <c r="AF298" s="799"/>
      <c r="AG298" s="800"/>
      <c r="AH298" s="800"/>
      <c r="AI298" s="800"/>
      <c r="AJ298" s="800"/>
      <c r="AK298" s="800"/>
      <c r="AL298" s="873"/>
      <c r="AM298" s="873"/>
      <c r="AN298" s="873"/>
      <c r="AO298" s="873"/>
      <c r="AP298" s="873"/>
      <c r="AQ298" s="808">
        <v>77</v>
      </c>
      <c r="AR298" s="800">
        <v>81</v>
      </c>
      <c r="AS298" s="800">
        <v>84</v>
      </c>
      <c r="AT298" s="800">
        <v>87</v>
      </c>
      <c r="AU298" s="805">
        <v>90</v>
      </c>
      <c r="AV298" s="864"/>
      <c r="AW298" s="863"/>
      <c r="AX298" s="863"/>
      <c r="AY298" s="863"/>
      <c r="AZ298" s="863"/>
      <c r="BA298" s="863"/>
      <c r="BB298" s="863"/>
      <c r="BC298" s="863"/>
      <c r="BD298" s="863"/>
      <c r="BE298" s="863"/>
      <c r="BF298" s="863"/>
      <c r="BG298" s="863"/>
      <c r="BH298" s="863"/>
      <c r="BI298" s="863"/>
      <c r="BJ298" s="863"/>
      <c r="BK298" s="865"/>
      <c r="BL298" s="789"/>
      <c r="BM298" s="785"/>
      <c r="BN298" s="785"/>
      <c r="BO298" s="785"/>
      <c r="BP298" s="796"/>
      <c r="BQ298" s="808" t="s">
        <v>1942</v>
      </c>
      <c r="BR298" s="800" t="s">
        <v>1942</v>
      </c>
      <c r="BS298" s="800" t="s">
        <v>1942</v>
      </c>
      <c r="BT298" s="800" t="s">
        <v>1942</v>
      </c>
      <c r="BU298" s="805" t="s">
        <v>1942</v>
      </c>
      <c r="BV298" s="808" t="s">
        <v>1942</v>
      </c>
      <c r="BW298" s="800" t="s">
        <v>1942</v>
      </c>
      <c r="BX298" s="800" t="s">
        <v>1942</v>
      </c>
      <c r="BY298" s="800" t="s">
        <v>1942</v>
      </c>
      <c r="BZ298" s="800" t="s">
        <v>1942</v>
      </c>
      <c r="CA298" s="808" t="s">
        <v>1942</v>
      </c>
      <c r="CB298" s="800" t="s">
        <v>1942</v>
      </c>
      <c r="CC298" s="800" t="s">
        <v>1942</v>
      </c>
      <c r="CD298" s="800" t="s">
        <v>1942</v>
      </c>
      <c r="CE298" s="805" t="s">
        <v>1942</v>
      </c>
      <c r="CF298" s="800" t="s">
        <v>1942</v>
      </c>
      <c r="CG298" s="800" t="s">
        <v>1942</v>
      </c>
      <c r="CH298" s="800" t="s">
        <v>1942</v>
      </c>
      <c r="CI298" s="800" t="s">
        <v>1942</v>
      </c>
      <c r="CJ298" s="805" t="s">
        <v>1942</v>
      </c>
      <c r="CK298" s="808" t="s">
        <v>1942</v>
      </c>
      <c r="CL298" s="800" t="s">
        <v>1942</v>
      </c>
      <c r="CM298" s="800" t="s">
        <v>1942</v>
      </c>
      <c r="CN298" s="800" t="s">
        <v>1942</v>
      </c>
      <c r="CO298" s="805" t="s">
        <v>1942</v>
      </c>
      <c r="CP298" s="808" t="s">
        <v>1942</v>
      </c>
      <c r="CQ298" s="800" t="s">
        <v>1942</v>
      </c>
      <c r="CR298" s="800" t="s">
        <v>1942</v>
      </c>
      <c r="CS298" s="800" t="s">
        <v>1942</v>
      </c>
      <c r="CT298" s="805" t="s">
        <v>1942</v>
      </c>
      <c r="CU298" s="1284" t="s">
        <v>1942</v>
      </c>
      <c r="CV298" s="1283" t="s">
        <v>1942</v>
      </c>
      <c r="CW298" s="1283" t="s">
        <v>1942</v>
      </c>
      <c r="CX298" s="1285" t="s">
        <v>1942</v>
      </c>
      <c r="CY298" s="1283" t="s">
        <v>1942</v>
      </c>
      <c r="CZ298" s="1283" t="s">
        <v>1942</v>
      </c>
      <c r="DA298" s="1283" t="s">
        <v>1942</v>
      </c>
      <c r="DB298" s="1285" t="s">
        <v>1942</v>
      </c>
      <c r="DC298" s="785"/>
      <c r="DD298" s="813">
        <v>1</v>
      </c>
      <c r="DE298" s="814"/>
    </row>
    <row r="299" spans="1:109" ht="65.650000000000006">
      <c r="A299" s="772" t="s">
        <v>1038</v>
      </c>
      <c r="B299" s="773">
        <v>293</v>
      </c>
      <c r="C299" s="789" t="s">
        <v>3189</v>
      </c>
      <c r="D299" s="773" t="s">
        <v>3076</v>
      </c>
      <c r="E299" s="773" t="s">
        <v>3095</v>
      </c>
      <c r="F299" s="785" t="s">
        <v>3190</v>
      </c>
      <c r="G299" s="790" t="s">
        <v>3191</v>
      </c>
      <c r="H299" s="791" t="s">
        <v>3192</v>
      </c>
      <c r="I299" s="792"/>
      <c r="J299" s="793">
        <v>1</v>
      </c>
      <c r="K299" s="793"/>
      <c r="L299" s="793"/>
      <c r="M299" s="793"/>
      <c r="N299" s="793"/>
      <c r="O299" s="793"/>
      <c r="P299" s="794"/>
      <c r="Q299" s="795">
        <f t="shared" si="4"/>
        <v>1</v>
      </c>
      <c r="R299" s="789" t="s">
        <v>1017</v>
      </c>
      <c r="S299" s="773" t="s">
        <v>1008</v>
      </c>
      <c r="T299" s="861" t="s">
        <v>1009</v>
      </c>
      <c r="U299" s="773" t="s">
        <v>3193</v>
      </c>
      <c r="V299" s="773" t="s">
        <v>1033</v>
      </c>
      <c r="W299" s="773" t="s">
        <v>3194</v>
      </c>
      <c r="X299" s="829">
        <v>0</v>
      </c>
      <c r="Y299" s="821" t="s">
        <v>1010</v>
      </c>
      <c r="Z299" s="790"/>
      <c r="AA299" s="785"/>
      <c r="AB299" s="785"/>
      <c r="AC299" s="785"/>
      <c r="AD299" s="785"/>
      <c r="AE299" s="785"/>
      <c r="AF299" s="799"/>
      <c r="AG299" s="800"/>
      <c r="AH299" s="800"/>
      <c r="AI299" s="800"/>
      <c r="AJ299" s="800"/>
      <c r="AK299" s="800"/>
      <c r="AL299" s="800"/>
      <c r="AM299" s="800"/>
      <c r="AN299" s="800"/>
      <c r="AO299" s="800"/>
      <c r="AP299" s="800"/>
      <c r="AQ299" s="808">
        <v>43</v>
      </c>
      <c r="AR299" s="800">
        <v>43</v>
      </c>
      <c r="AS299" s="800">
        <v>43</v>
      </c>
      <c r="AT299" s="800">
        <v>43</v>
      </c>
      <c r="AU299" s="805">
        <v>43</v>
      </c>
      <c r="AV299" s="808"/>
      <c r="AW299" s="800"/>
      <c r="AX299" s="800"/>
      <c r="AY299" s="800"/>
      <c r="AZ299" s="800"/>
      <c r="BA299" s="800"/>
      <c r="BB299" s="800"/>
      <c r="BC299" s="800"/>
      <c r="BD299" s="800"/>
      <c r="BE299" s="800"/>
      <c r="BF299" s="800"/>
      <c r="BG299" s="800"/>
      <c r="BH299" s="800"/>
      <c r="BI299" s="800"/>
      <c r="BJ299" s="800"/>
      <c r="BK299" s="805"/>
      <c r="BL299" s="789" t="s">
        <v>168</v>
      </c>
      <c r="BM299" s="785" t="s">
        <v>168</v>
      </c>
      <c r="BN299" s="785" t="s">
        <v>168</v>
      </c>
      <c r="BO299" s="785" t="s">
        <v>168</v>
      </c>
      <c r="BP299" s="796" t="s">
        <v>168</v>
      </c>
      <c r="BQ299" s="808" t="s">
        <v>1942</v>
      </c>
      <c r="BR299" s="800" t="s">
        <v>1942</v>
      </c>
      <c r="BS299" s="800" t="s">
        <v>1942</v>
      </c>
      <c r="BT299" s="800" t="s">
        <v>1942</v>
      </c>
      <c r="BU299" s="805" t="s">
        <v>1942</v>
      </c>
      <c r="BV299" s="808" t="s">
        <v>1942</v>
      </c>
      <c r="BW299" s="800" t="s">
        <v>1942</v>
      </c>
      <c r="BX299" s="800" t="s">
        <v>1942</v>
      </c>
      <c r="BY299" s="800" t="s">
        <v>1942</v>
      </c>
      <c r="BZ299" s="800" t="s">
        <v>1942</v>
      </c>
      <c r="CA299" s="808" t="s">
        <v>1942</v>
      </c>
      <c r="CB299" s="800" t="s">
        <v>1942</v>
      </c>
      <c r="CC299" s="800" t="s">
        <v>1942</v>
      </c>
      <c r="CD299" s="800" t="s">
        <v>1942</v>
      </c>
      <c r="CE299" s="805" t="s">
        <v>1942</v>
      </c>
      <c r="CF299" s="800" t="s">
        <v>1942</v>
      </c>
      <c r="CG299" s="800" t="s">
        <v>1942</v>
      </c>
      <c r="CH299" s="800" t="s">
        <v>1942</v>
      </c>
      <c r="CI299" s="800" t="s">
        <v>1942</v>
      </c>
      <c r="CJ299" s="805" t="s">
        <v>1942</v>
      </c>
      <c r="CK299" s="808">
        <v>2158</v>
      </c>
      <c r="CL299" s="800">
        <v>2158</v>
      </c>
      <c r="CM299" s="800">
        <v>2158</v>
      </c>
      <c r="CN299" s="800">
        <v>2158</v>
      </c>
      <c r="CO299" s="805">
        <v>2158</v>
      </c>
      <c r="CP299" s="808" t="s">
        <v>1942</v>
      </c>
      <c r="CQ299" s="800" t="s">
        <v>1942</v>
      </c>
      <c r="CR299" s="800" t="s">
        <v>1942</v>
      </c>
      <c r="CS299" s="800" t="s">
        <v>1942</v>
      </c>
      <c r="CT299" s="805" t="s">
        <v>1942</v>
      </c>
      <c r="CU299" s="1284" t="s">
        <v>1942</v>
      </c>
      <c r="CV299" s="1283" t="s">
        <v>1942</v>
      </c>
      <c r="CW299" s="1283" t="s">
        <v>1942</v>
      </c>
      <c r="CX299" s="1285" t="s">
        <v>1942</v>
      </c>
      <c r="CY299" s="1283">
        <v>2.5000000000000001E-5</v>
      </c>
      <c r="CZ299" s="1283" t="s">
        <v>1942</v>
      </c>
      <c r="DA299" s="1283" t="s">
        <v>1942</v>
      </c>
      <c r="DB299" s="1285" t="s">
        <v>1942</v>
      </c>
      <c r="DC299" s="785"/>
      <c r="DD299" s="813">
        <v>1</v>
      </c>
      <c r="DE299" s="814"/>
    </row>
    <row r="300" spans="1:109" ht="52.5">
      <c r="A300" s="772" t="s">
        <v>1038</v>
      </c>
      <c r="B300" s="773">
        <v>294</v>
      </c>
      <c r="C300" s="789" t="s">
        <v>3195</v>
      </c>
      <c r="D300" s="773" t="s">
        <v>3196</v>
      </c>
      <c r="E300" s="773" t="s">
        <v>3095</v>
      </c>
      <c r="F300" s="785" t="s">
        <v>3197</v>
      </c>
      <c r="G300" s="790" t="s">
        <v>3198</v>
      </c>
      <c r="H300" s="791" t="s">
        <v>3199</v>
      </c>
      <c r="I300" s="792"/>
      <c r="J300" s="793"/>
      <c r="K300" s="793">
        <v>1</v>
      </c>
      <c r="L300" s="793"/>
      <c r="M300" s="793"/>
      <c r="N300" s="793"/>
      <c r="O300" s="793"/>
      <c r="P300" s="794"/>
      <c r="Q300" s="795">
        <f t="shared" si="4"/>
        <v>1</v>
      </c>
      <c r="R300" s="789" t="s">
        <v>1030</v>
      </c>
      <c r="S300" s="773" t="s">
        <v>1008</v>
      </c>
      <c r="T300" s="861" t="s">
        <v>1009</v>
      </c>
      <c r="U300" s="773" t="s">
        <v>3200</v>
      </c>
      <c r="V300" s="773" t="s">
        <v>1046</v>
      </c>
      <c r="W300" s="773" t="s">
        <v>3201</v>
      </c>
      <c r="X300" s="829">
        <v>0</v>
      </c>
      <c r="Y300" s="821" t="s">
        <v>1010</v>
      </c>
      <c r="Z300" s="790"/>
      <c r="AA300" s="785"/>
      <c r="AB300" s="785"/>
      <c r="AC300" s="785"/>
      <c r="AD300" s="785"/>
      <c r="AE300" s="785"/>
      <c r="AF300" s="799"/>
      <c r="AG300" s="800"/>
      <c r="AH300" s="800"/>
      <c r="AI300" s="800"/>
      <c r="AJ300" s="800"/>
      <c r="AK300" s="800"/>
      <c r="AL300" s="800"/>
      <c r="AM300" s="800"/>
      <c r="AN300" s="800"/>
      <c r="AO300" s="800"/>
      <c r="AP300" s="800"/>
      <c r="AQ300" s="808">
        <v>23080</v>
      </c>
      <c r="AR300" s="800">
        <v>39730</v>
      </c>
      <c r="AS300" s="800">
        <v>39730</v>
      </c>
      <c r="AT300" s="800">
        <v>39730</v>
      </c>
      <c r="AU300" s="805">
        <v>39730</v>
      </c>
      <c r="AV300" s="808"/>
      <c r="AW300" s="800"/>
      <c r="AX300" s="800"/>
      <c r="AY300" s="800"/>
      <c r="AZ300" s="800"/>
      <c r="BA300" s="800"/>
      <c r="BB300" s="800"/>
      <c r="BC300" s="800"/>
      <c r="BD300" s="800"/>
      <c r="BE300" s="800"/>
      <c r="BF300" s="800"/>
      <c r="BG300" s="800"/>
      <c r="BH300" s="800"/>
      <c r="BI300" s="800"/>
      <c r="BJ300" s="800"/>
      <c r="BK300" s="805"/>
      <c r="BL300" s="789" t="s">
        <v>168</v>
      </c>
      <c r="BM300" s="785" t="s">
        <v>168</v>
      </c>
      <c r="BN300" s="785" t="s">
        <v>168</v>
      </c>
      <c r="BO300" s="785" t="s">
        <v>168</v>
      </c>
      <c r="BP300" s="796" t="s">
        <v>168</v>
      </c>
      <c r="BQ300" s="808" t="s">
        <v>1942</v>
      </c>
      <c r="BR300" s="800" t="s">
        <v>1942</v>
      </c>
      <c r="BS300" s="800" t="s">
        <v>1942</v>
      </c>
      <c r="BT300" s="800" t="s">
        <v>1942</v>
      </c>
      <c r="BU300" s="805" t="s">
        <v>1942</v>
      </c>
      <c r="BV300" s="843">
        <v>8496</v>
      </c>
      <c r="BW300" s="800">
        <v>14625</v>
      </c>
      <c r="BX300" s="800">
        <v>14625</v>
      </c>
      <c r="BY300" s="800">
        <v>14625</v>
      </c>
      <c r="BZ300" s="800">
        <v>14625</v>
      </c>
      <c r="CA300" s="808" t="s">
        <v>1942</v>
      </c>
      <c r="CB300" s="800" t="s">
        <v>1942</v>
      </c>
      <c r="CC300" s="800" t="s">
        <v>1942</v>
      </c>
      <c r="CD300" s="800" t="s">
        <v>1942</v>
      </c>
      <c r="CE300" s="805" t="s">
        <v>1942</v>
      </c>
      <c r="CF300" s="800" t="s">
        <v>1942</v>
      </c>
      <c r="CG300" s="800" t="s">
        <v>1942</v>
      </c>
      <c r="CH300" s="800" t="s">
        <v>1942</v>
      </c>
      <c r="CI300" s="800" t="s">
        <v>1942</v>
      </c>
      <c r="CJ300" s="805" t="s">
        <v>1942</v>
      </c>
      <c r="CK300" s="843">
        <v>37664</v>
      </c>
      <c r="CL300" s="800">
        <v>64835</v>
      </c>
      <c r="CM300" s="800">
        <v>64835</v>
      </c>
      <c r="CN300" s="800">
        <v>64835</v>
      </c>
      <c r="CO300" s="805">
        <v>64835</v>
      </c>
      <c r="CP300" s="808" t="s">
        <v>1942</v>
      </c>
      <c r="CQ300" s="800" t="s">
        <v>1942</v>
      </c>
      <c r="CR300" s="800" t="s">
        <v>1942</v>
      </c>
      <c r="CS300" s="800" t="s">
        <v>1942</v>
      </c>
      <c r="CT300" s="805" t="s">
        <v>1942</v>
      </c>
      <c r="CU300" s="1284">
        <v>-2.08E-6</v>
      </c>
      <c r="CV300" s="1283" t="s">
        <v>1942</v>
      </c>
      <c r="CW300" s="1283" t="s">
        <v>1942</v>
      </c>
      <c r="CX300" s="1285" t="s">
        <v>1942</v>
      </c>
      <c r="CY300" s="1283">
        <v>2.08E-6</v>
      </c>
      <c r="CZ300" s="1283" t="s">
        <v>1942</v>
      </c>
      <c r="DA300" s="1283" t="s">
        <v>1942</v>
      </c>
      <c r="DB300" s="1285" t="s">
        <v>1942</v>
      </c>
      <c r="DC300" s="785"/>
      <c r="DD300" s="813">
        <v>1</v>
      </c>
      <c r="DE300" s="814"/>
    </row>
    <row r="301" spans="1:109" ht="78.75">
      <c r="A301" s="772" t="s">
        <v>1038</v>
      </c>
      <c r="B301" s="773">
        <v>295</v>
      </c>
      <c r="C301" s="789" t="s">
        <v>3202</v>
      </c>
      <c r="D301" s="773" t="s">
        <v>3196</v>
      </c>
      <c r="E301" s="773" t="s">
        <v>3095</v>
      </c>
      <c r="F301" s="785" t="s">
        <v>3203</v>
      </c>
      <c r="G301" s="790" t="s">
        <v>3204</v>
      </c>
      <c r="H301" s="791" t="s">
        <v>3205</v>
      </c>
      <c r="I301" s="792"/>
      <c r="J301" s="793">
        <v>0.5</v>
      </c>
      <c r="K301" s="793">
        <v>0.5</v>
      </c>
      <c r="L301" s="793"/>
      <c r="M301" s="793"/>
      <c r="N301" s="793"/>
      <c r="O301" s="793"/>
      <c r="P301" s="794"/>
      <c r="Q301" s="795">
        <f t="shared" si="4"/>
        <v>1</v>
      </c>
      <c r="R301" s="789" t="s">
        <v>1007</v>
      </c>
      <c r="S301" s="773"/>
      <c r="T301" s="861"/>
      <c r="U301" s="773" t="s">
        <v>3206</v>
      </c>
      <c r="V301" s="773" t="s">
        <v>1086</v>
      </c>
      <c r="W301" s="773" t="s">
        <v>3207</v>
      </c>
      <c r="X301" s="829">
        <v>0</v>
      </c>
      <c r="Y301" s="821" t="s">
        <v>1010</v>
      </c>
      <c r="Z301" s="790"/>
      <c r="AA301" s="785"/>
      <c r="AB301" s="785"/>
      <c r="AC301" s="785"/>
      <c r="AD301" s="785"/>
      <c r="AE301" s="785"/>
      <c r="AF301" s="799"/>
      <c r="AG301" s="800"/>
      <c r="AH301" s="800"/>
      <c r="AI301" s="800"/>
      <c r="AJ301" s="800"/>
      <c r="AK301" s="800"/>
      <c r="AL301" s="800"/>
      <c r="AM301" s="800"/>
      <c r="AN301" s="800"/>
      <c r="AO301" s="800"/>
      <c r="AP301" s="800"/>
      <c r="AQ301" s="808">
        <v>75</v>
      </c>
      <c r="AR301" s="829">
        <v>75</v>
      </c>
      <c r="AS301" s="829">
        <v>75</v>
      </c>
      <c r="AT301" s="829">
        <v>75</v>
      </c>
      <c r="AU301" s="830">
        <v>75</v>
      </c>
      <c r="AV301" s="808"/>
      <c r="AW301" s="800"/>
      <c r="AX301" s="800"/>
      <c r="AY301" s="800"/>
      <c r="AZ301" s="800"/>
      <c r="BA301" s="800"/>
      <c r="BB301" s="800"/>
      <c r="BC301" s="800"/>
      <c r="BD301" s="800"/>
      <c r="BE301" s="800"/>
      <c r="BF301" s="800"/>
      <c r="BG301" s="800"/>
      <c r="BH301" s="800"/>
      <c r="BI301" s="800"/>
      <c r="BJ301" s="800"/>
      <c r="BK301" s="805"/>
      <c r="BL301" s="789"/>
      <c r="BM301" s="785"/>
      <c r="BN301" s="785"/>
      <c r="BO301" s="785"/>
      <c r="BP301" s="796"/>
      <c r="BQ301" s="808" t="s">
        <v>1942</v>
      </c>
      <c r="BR301" s="800" t="s">
        <v>1942</v>
      </c>
      <c r="BS301" s="800" t="s">
        <v>1942</v>
      </c>
      <c r="BT301" s="800" t="s">
        <v>1942</v>
      </c>
      <c r="BU301" s="805" t="s">
        <v>1942</v>
      </c>
      <c r="BV301" s="808" t="s">
        <v>1942</v>
      </c>
      <c r="BW301" s="800" t="s">
        <v>1942</v>
      </c>
      <c r="BX301" s="800" t="s">
        <v>1942</v>
      </c>
      <c r="BY301" s="800" t="s">
        <v>1942</v>
      </c>
      <c r="BZ301" s="800" t="s">
        <v>1942</v>
      </c>
      <c r="CA301" s="808" t="s">
        <v>1942</v>
      </c>
      <c r="CB301" s="800" t="s">
        <v>1942</v>
      </c>
      <c r="CC301" s="800" t="s">
        <v>1942</v>
      </c>
      <c r="CD301" s="800" t="s">
        <v>1942</v>
      </c>
      <c r="CE301" s="805" t="s">
        <v>1942</v>
      </c>
      <c r="CF301" s="800" t="s">
        <v>1942</v>
      </c>
      <c r="CG301" s="800" t="s">
        <v>1942</v>
      </c>
      <c r="CH301" s="800" t="s">
        <v>1942</v>
      </c>
      <c r="CI301" s="800" t="s">
        <v>1942</v>
      </c>
      <c r="CJ301" s="805" t="s">
        <v>1942</v>
      </c>
      <c r="CK301" s="808" t="s">
        <v>1942</v>
      </c>
      <c r="CL301" s="800" t="s">
        <v>1942</v>
      </c>
      <c r="CM301" s="800" t="s">
        <v>1942</v>
      </c>
      <c r="CN301" s="800" t="s">
        <v>1942</v>
      </c>
      <c r="CO301" s="805" t="s">
        <v>1942</v>
      </c>
      <c r="CP301" s="808" t="s">
        <v>1942</v>
      </c>
      <c r="CQ301" s="800" t="s">
        <v>1942</v>
      </c>
      <c r="CR301" s="800" t="s">
        <v>1942</v>
      </c>
      <c r="CS301" s="800" t="s">
        <v>1942</v>
      </c>
      <c r="CT301" s="805" t="s">
        <v>1942</v>
      </c>
      <c r="CU301" s="1284" t="s">
        <v>1942</v>
      </c>
      <c r="CV301" s="1283" t="s">
        <v>1942</v>
      </c>
      <c r="CW301" s="1283" t="s">
        <v>1942</v>
      </c>
      <c r="CX301" s="1285" t="s">
        <v>1942</v>
      </c>
      <c r="CY301" s="1283" t="s">
        <v>1942</v>
      </c>
      <c r="CZ301" s="1283" t="s">
        <v>1942</v>
      </c>
      <c r="DA301" s="1283" t="s">
        <v>1942</v>
      </c>
      <c r="DB301" s="1285" t="s">
        <v>1942</v>
      </c>
      <c r="DC301" s="785"/>
      <c r="DD301" s="813">
        <v>1</v>
      </c>
      <c r="DE301" s="814"/>
    </row>
    <row r="302" spans="1:109" ht="26.25">
      <c r="A302" s="772" t="s">
        <v>1038</v>
      </c>
      <c r="B302" s="773">
        <v>296</v>
      </c>
      <c r="C302" s="789" t="s">
        <v>3208</v>
      </c>
      <c r="D302" s="773" t="s">
        <v>3196</v>
      </c>
      <c r="E302" s="773" t="s">
        <v>3095</v>
      </c>
      <c r="F302" s="785" t="s">
        <v>3209</v>
      </c>
      <c r="G302" s="790" t="s">
        <v>3210</v>
      </c>
      <c r="H302" s="791" t="s">
        <v>3211</v>
      </c>
      <c r="I302" s="792"/>
      <c r="J302" s="793">
        <v>0.5</v>
      </c>
      <c r="K302" s="793">
        <v>0.5</v>
      </c>
      <c r="L302" s="793"/>
      <c r="M302" s="793"/>
      <c r="N302" s="793"/>
      <c r="O302" s="793"/>
      <c r="P302" s="794"/>
      <c r="Q302" s="795">
        <f t="shared" si="4"/>
        <v>1</v>
      </c>
      <c r="R302" s="789" t="s">
        <v>1007</v>
      </c>
      <c r="S302" s="773"/>
      <c r="T302" s="861"/>
      <c r="U302" s="773" t="s">
        <v>2306</v>
      </c>
      <c r="V302" s="773" t="s">
        <v>278</v>
      </c>
      <c r="W302" s="773" t="s">
        <v>3212</v>
      </c>
      <c r="X302" s="829">
        <v>0</v>
      </c>
      <c r="Y302" s="821" t="s">
        <v>1010</v>
      </c>
      <c r="Z302" s="790"/>
      <c r="AA302" s="785"/>
      <c r="AB302" s="785"/>
      <c r="AC302" s="785"/>
      <c r="AD302" s="785"/>
      <c r="AE302" s="785"/>
      <c r="AF302" s="799"/>
      <c r="AG302" s="800"/>
      <c r="AH302" s="800"/>
      <c r="AI302" s="800"/>
      <c r="AJ302" s="800"/>
      <c r="AK302" s="800"/>
      <c r="AL302" s="800"/>
      <c r="AM302" s="800"/>
      <c r="AN302" s="800"/>
      <c r="AO302" s="800"/>
      <c r="AP302" s="800"/>
      <c r="AQ302" s="828">
        <v>1</v>
      </c>
      <c r="AR302" s="829">
        <v>1</v>
      </c>
      <c r="AS302" s="829">
        <v>1</v>
      </c>
      <c r="AT302" s="829">
        <v>1</v>
      </c>
      <c r="AU302" s="830">
        <v>1</v>
      </c>
      <c r="AV302" s="808"/>
      <c r="AW302" s="800"/>
      <c r="AX302" s="800"/>
      <c r="AY302" s="800"/>
      <c r="AZ302" s="800"/>
      <c r="BA302" s="800"/>
      <c r="BB302" s="800"/>
      <c r="BC302" s="800"/>
      <c r="BD302" s="800"/>
      <c r="BE302" s="800"/>
      <c r="BF302" s="800"/>
      <c r="BG302" s="800"/>
      <c r="BH302" s="800"/>
      <c r="BI302" s="800"/>
      <c r="BJ302" s="800"/>
      <c r="BK302" s="805"/>
      <c r="BL302" s="789"/>
      <c r="BM302" s="785"/>
      <c r="BN302" s="785"/>
      <c r="BO302" s="785"/>
      <c r="BP302" s="796"/>
      <c r="BQ302" s="808" t="s">
        <v>1942</v>
      </c>
      <c r="BR302" s="800" t="s">
        <v>1942</v>
      </c>
      <c r="BS302" s="800" t="s">
        <v>1942</v>
      </c>
      <c r="BT302" s="800" t="s">
        <v>1942</v>
      </c>
      <c r="BU302" s="805" t="s">
        <v>1942</v>
      </c>
      <c r="BV302" s="808" t="s">
        <v>1942</v>
      </c>
      <c r="BW302" s="800" t="s">
        <v>1942</v>
      </c>
      <c r="BX302" s="800" t="s">
        <v>1942</v>
      </c>
      <c r="BY302" s="800" t="s">
        <v>1942</v>
      </c>
      <c r="BZ302" s="800" t="s">
        <v>1942</v>
      </c>
      <c r="CA302" s="808" t="s">
        <v>1942</v>
      </c>
      <c r="CB302" s="800" t="s">
        <v>1942</v>
      </c>
      <c r="CC302" s="800" t="s">
        <v>1942</v>
      </c>
      <c r="CD302" s="800" t="s">
        <v>1942</v>
      </c>
      <c r="CE302" s="805" t="s">
        <v>1942</v>
      </c>
      <c r="CF302" s="800" t="s">
        <v>1942</v>
      </c>
      <c r="CG302" s="800" t="s">
        <v>1942</v>
      </c>
      <c r="CH302" s="800" t="s">
        <v>1942</v>
      </c>
      <c r="CI302" s="800" t="s">
        <v>1942</v>
      </c>
      <c r="CJ302" s="805" t="s">
        <v>1942</v>
      </c>
      <c r="CK302" s="808" t="s">
        <v>1942</v>
      </c>
      <c r="CL302" s="800" t="s">
        <v>1942</v>
      </c>
      <c r="CM302" s="800" t="s">
        <v>1942</v>
      </c>
      <c r="CN302" s="800" t="s">
        <v>1942</v>
      </c>
      <c r="CO302" s="805" t="s">
        <v>1942</v>
      </c>
      <c r="CP302" s="808" t="s">
        <v>1942</v>
      </c>
      <c r="CQ302" s="800" t="s">
        <v>1942</v>
      </c>
      <c r="CR302" s="800" t="s">
        <v>1942</v>
      </c>
      <c r="CS302" s="800" t="s">
        <v>1942</v>
      </c>
      <c r="CT302" s="805" t="s">
        <v>1942</v>
      </c>
      <c r="CU302" s="1284" t="s">
        <v>1942</v>
      </c>
      <c r="CV302" s="1283" t="s">
        <v>1942</v>
      </c>
      <c r="CW302" s="1283" t="s">
        <v>1942</v>
      </c>
      <c r="CX302" s="1285" t="s">
        <v>1942</v>
      </c>
      <c r="CY302" s="1283" t="s">
        <v>1942</v>
      </c>
      <c r="CZ302" s="1283" t="s">
        <v>1942</v>
      </c>
      <c r="DA302" s="1283" t="s">
        <v>1942</v>
      </c>
      <c r="DB302" s="1285" t="s">
        <v>1942</v>
      </c>
      <c r="DC302" s="785"/>
      <c r="DD302" s="813">
        <v>1</v>
      </c>
      <c r="DE302" s="814"/>
    </row>
    <row r="303" spans="1:109" ht="39.4">
      <c r="A303" s="772" t="s">
        <v>1038</v>
      </c>
      <c r="B303" s="773">
        <v>297</v>
      </c>
      <c r="C303" s="789" t="s">
        <v>3213</v>
      </c>
      <c r="D303" s="773" t="s">
        <v>3214</v>
      </c>
      <c r="E303" s="773" t="s">
        <v>3077</v>
      </c>
      <c r="F303" s="785" t="s">
        <v>3215</v>
      </c>
      <c r="G303" s="790" t="s">
        <v>137</v>
      </c>
      <c r="H303" s="791" t="s">
        <v>3216</v>
      </c>
      <c r="I303" s="792"/>
      <c r="J303" s="793">
        <v>1</v>
      </c>
      <c r="K303" s="793"/>
      <c r="L303" s="793"/>
      <c r="M303" s="793"/>
      <c r="N303" s="793"/>
      <c r="O303" s="793"/>
      <c r="P303" s="794"/>
      <c r="Q303" s="795">
        <f t="shared" si="4"/>
        <v>1</v>
      </c>
      <c r="R303" s="789" t="s">
        <v>1030</v>
      </c>
      <c r="S303" s="773" t="s">
        <v>1008</v>
      </c>
      <c r="T303" s="861" t="s">
        <v>1009</v>
      </c>
      <c r="U303" s="773" t="s">
        <v>3217</v>
      </c>
      <c r="V303" s="773" t="s">
        <v>1029</v>
      </c>
      <c r="W303" s="773" t="s">
        <v>3218</v>
      </c>
      <c r="X303" s="1274">
        <v>0</v>
      </c>
      <c r="Y303" s="819" t="s">
        <v>1020</v>
      </c>
      <c r="Z303" s="790" t="s">
        <v>137</v>
      </c>
      <c r="AA303" s="785"/>
      <c r="AB303" s="785"/>
      <c r="AC303" s="785"/>
      <c r="AD303" s="785"/>
      <c r="AE303" s="785"/>
      <c r="AF303" s="799"/>
      <c r="AG303" s="800"/>
      <c r="AH303" s="800"/>
      <c r="AI303" s="800"/>
      <c r="AJ303" s="800"/>
      <c r="AK303" s="800"/>
      <c r="AL303" s="800"/>
      <c r="AM303" s="845"/>
      <c r="AN303" s="845"/>
      <c r="AO303" s="845"/>
      <c r="AP303" s="845"/>
      <c r="AQ303" s="1370"/>
      <c r="AR303" s="1371"/>
      <c r="AS303" s="1371"/>
      <c r="AT303" s="1371"/>
      <c r="AU303" s="1372"/>
      <c r="AV303" s="828"/>
      <c r="AW303" s="829"/>
      <c r="AX303" s="829"/>
      <c r="AY303" s="829"/>
      <c r="AZ303" s="829"/>
      <c r="BA303" s="829"/>
      <c r="BB303" s="829"/>
      <c r="BC303" s="829"/>
      <c r="BD303" s="829"/>
      <c r="BE303" s="829"/>
      <c r="BF303" s="829"/>
      <c r="BG303" s="829"/>
      <c r="BH303" s="829"/>
      <c r="BI303" s="829"/>
      <c r="BJ303" s="829"/>
      <c r="BK303" s="830"/>
      <c r="BL303" s="1376"/>
      <c r="BM303" s="1377"/>
      <c r="BN303" s="1377"/>
      <c r="BO303" s="1377"/>
      <c r="BP303" s="1440"/>
      <c r="BQ303" s="1420"/>
      <c r="BR303" s="1368"/>
      <c r="BS303" s="1368"/>
      <c r="BT303" s="1368"/>
      <c r="BU303" s="1369"/>
      <c r="BV303" s="1370"/>
      <c r="BW303" s="1371"/>
      <c r="BX303" s="1371"/>
      <c r="BY303" s="1371"/>
      <c r="BZ303" s="1371"/>
      <c r="CA303" s="1370"/>
      <c r="CB303" s="1371"/>
      <c r="CC303" s="1371"/>
      <c r="CD303" s="1371"/>
      <c r="CE303" s="1372"/>
      <c r="CF303" s="1371"/>
      <c r="CG303" s="1371"/>
      <c r="CH303" s="1371"/>
      <c r="CI303" s="1371"/>
      <c r="CJ303" s="1372"/>
      <c r="CK303" s="1370"/>
      <c r="CL303" s="1371"/>
      <c r="CM303" s="1371"/>
      <c r="CN303" s="1371"/>
      <c r="CO303" s="1372"/>
      <c r="CP303" s="1420"/>
      <c r="CQ303" s="1368"/>
      <c r="CR303" s="1368"/>
      <c r="CS303" s="1368"/>
      <c r="CT303" s="1369"/>
      <c r="CU303" s="1528"/>
      <c r="CV303" s="1519"/>
      <c r="CW303" s="1519"/>
      <c r="CX303" s="1728"/>
      <c r="CY303" s="1519"/>
      <c r="CZ303" s="1519"/>
      <c r="DA303" s="1519"/>
      <c r="DB303" s="1728"/>
      <c r="DC303" s="1377"/>
      <c r="DD303" s="1729"/>
      <c r="DE303" s="1734"/>
    </row>
    <row r="304" spans="1:109" ht="39.4">
      <c r="A304" s="772" t="s">
        <v>1038</v>
      </c>
      <c r="B304" s="773">
        <v>298</v>
      </c>
      <c r="C304" s="789" t="s">
        <v>3219</v>
      </c>
      <c r="D304" s="773" t="s">
        <v>3214</v>
      </c>
      <c r="E304" s="773" t="s">
        <v>3077</v>
      </c>
      <c r="F304" s="785" t="s">
        <v>3220</v>
      </c>
      <c r="G304" s="790" t="s">
        <v>732</v>
      </c>
      <c r="H304" s="791" t="s">
        <v>3221</v>
      </c>
      <c r="I304" s="792"/>
      <c r="J304" s="793"/>
      <c r="K304" s="793">
        <v>1</v>
      </c>
      <c r="L304" s="793"/>
      <c r="M304" s="793"/>
      <c r="N304" s="793"/>
      <c r="O304" s="793"/>
      <c r="P304" s="794"/>
      <c r="Q304" s="795">
        <f t="shared" si="4"/>
        <v>1</v>
      </c>
      <c r="R304" s="789" t="s">
        <v>1030</v>
      </c>
      <c r="S304" s="773" t="s">
        <v>1008</v>
      </c>
      <c r="T304" s="796" t="s">
        <v>1009</v>
      </c>
      <c r="U304" s="773" t="s">
        <v>3200</v>
      </c>
      <c r="V304" s="773" t="s">
        <v>1033</v>
      </c>
      <c r="W304" s="773" t="s">
        <v>3222</v>
      </c>
      <c r="X304" s="829">
        <v>2</v>
      </c>
      <c r="Y304" s="798" t="s">
        <v>1020</v>
      </c>
      <c r="Z304" s="790" t="s">
        <v>732</v>
      </c>
      <c r="AA304" s="785"/>
      <c r="AB304" s="785"/>
      <c r="AC304" s="785"/>
      <c r="AD304" s="785"/>
      <c r="AE304" s="785"/>
      <c r="AF304" s="799"/>
      <c r="AG304" s="807"/>
      <c r="AH304" s="807"/>
      <c r="AI304" s="807"/>
      <c r="AJ304" s="807"/>
      <c r="AK304" s="807"/>
      <c r="AL304" s="807"/>
      <c r="AM304" s="807"/>
      <c r="AN304" s="807"/>
      <c r="AO304" s="807"/>
      <c r="AP304" s="807"/>
      <c r="AQ304" s="1421"/>
      <c r="AR304" s="1373"/>
      <c r="AS304" s="1373"/>
      <c r="AT304" s="1373"/>
      <c r="AU304" s="1374"/>
      <c r="AV304" s="806"/>
      <c r="AW304" s="807"/>
      <c r="AX304" s="807"/>
      <c r="AY304" s="807"/>
      <c r="AZ304" s="807"/>
      <c r="BA304" s="807"/>
      <c r="BB304" s="807"/>
      <c r="BC304" s="807"/>
      <c r="BD304" s="807"/>
      <c r="BE304" s="807"/>
      <c r="BF304" s="807"/>
      <c r="BG304" s="807"/>
      <c r="BH304" s="807"/>
      <c r="BI304" s="807"/>
      <c r="BJ304" s="807"/>
      <c r="BK304" s="820"/>
      <c r="BL304" s="1376"/>
      <c r="BM304" s="1377"/>
      <c r="BN304" s="1377"/>
      <c r="BO304" s="1377"/>
      <c r="BP304" s="1440"/>
      <c r="BQ304" s="1420"/>
      <c r="BR304" s="1368"/>
      <c r="BS304" s="1368"/>
      <c r="BT304" s="1368"/>
      <c r="BU304" s="1369"/>
      <c r="BV304" s="1421"/>
      <c r="BW304" s="1373"/>
      <c r="BX304" s="1373"/>
      <c r="BY304" s="1373"/>
      <c r="BZ304" s="1373"/>
      <c r="CA304" s="1420"/>
      <c r="CB304" s="1368"/>
      <c r="CC304" s="1368"/>
      <c r="CD304" s="1368"/>
      <c r="CE304" s="1369"/>
      <c r="CF304" s="1368"/>
      <c r="CG304" s="1368"/>
      <c r="CH304" s="1368"/>
      <c r="CI304" s="1368"/>
      <c r="CJ304" s="1369"/>
      <c r="CK304" s="1421"/>
      <c r="CL304" s="1373"/>
      <c r="CM304" s="1373"/>
      <c r="CN304" s="1373"/>
      <c r="CO304" s="1374"/>
      <c r="CP304" s="1420"/>
      <c r="CQ304" s="1368"/>
      <c r="CR304" s="1368"/>
      <c r="CS304" s="1368"/>
      <c r="CT304" s="1369"/>
      <c r="CU304" s="1528"/>
      <c r="CV304" s="1519"/>
      <c r="CW304" s="1519"/>
      <c r="CX304" s="1728"/>
      <c r="CY304" s="1519"/>
      <c r="CZ304" s="1519"/>
      <c r="DA304" s="1519"/>
      <c r="DB304" s="1728"/>
      <c r="DC304" s="1377"/>
      <c r="DD304" s="1729"/>
      <c r="DE304" s="1734"/>
    </row>
    <row r="305" spans="1:109" ht="26.25">
      <c r="A305" s="772" t="s">
        <v>1038</v>
      </c>
      <c r="B305" s="773">
        <v>299</v>
      </c>
      <c r="C305" s="789" t="s">
        <v>3223</v>
      </c>
      <c r="D305" s="773" t="s">
        <v>3214</v>
      </c>
      <c r="E305" s="773" t="s">
        <v>3077</v>
      </c>
      <c r="F305" s="785" t="s">
        <v>3224</v>
      </c>
      <c r="G305" s="790" t="s">
        <v>736</v>
      </c>
      <c r="H305" s="791" t="s">
        <v>3225</v>
      </c>
      <c r="I305" s="792"/>
      <c r="J305" s="793"/>
      <c r="K305" s="793">
        <v>1</v>
      </c>
      <c r="L305" s="793"/>
      <c r="M305" s="793"/>
      <c r="N305" s="793"/>
      <c r="O305" s="793"/>
      <c r="P305" s="794"/>
      <c r="Q305" s="795">
        <f t="shared" si="4"/>
        <v>1</v>
      </c>
      <c r="R305" s="789" t="s">
        <v>1030</v>
      </c>
      <c r="S305" s="773" t="s">
        <v>1008</v>
      </c>
      <c r="T305" s="796" t="s">
        <v>1009</v>
      </c>
      <c r="U305" s="773" t="s">
        <v>3226</v>
      </c>
      <c r="V305" s="773" t="s">
        <v>1033</v>
      </c>
      <c r="W305" s="773" t="s">
        <v>3227</v>
      </c>
      <c r="X305" s="1274">
        <v>2</v>
      </c>
      <c r="Y305" s="798" t="s">
        <v>1020</v>
      </c>
      <c r="Z305" s="790" t="s">
        <v>736</v>
      </c>
      <c r="AA305" s="785"/>
      <c r="AB305" s="785"/>
      <c r="AC305" s="785"/>
      <c r="AD305" s="785"/>
      <c r="AE305" s="785"/>
      <c r="AF305" s="799"/>
      <c r="AG305" s="810"/>
      <c r="AH305" s="810"/>
      <c r="AI305" s="810"/>
      <c r="AJ305" s="810"/>
      <c r="AK305" s="810"/>
      <c r="AL305" s="810"/>
      <c r="AM305" s="810"/>
      <c r="AN305" s="810"/>
      <c r="AO305" s="810"/>
      <c r="AP305" s="810"/>
      <c r="AQ305" s="1421"/>
      <c r="AR305" s="1373"/>
      <c r="AS305" s="1373"/>
      <c r="AT305" s="1373"/>
      <c r="AU305" s="1374"/>
      <c r="AV305" s="809"/>
      <c r="AW305" s="810"/>
      <c r="AX305" s="810"/>
      <c r="AY305" s="810"/>
      <c r="AZ305" s="810"/>
      <c r="BA305" s="810"/>
      <c r="BB305" s="810"/>
      <c r="BC305" s="810"/>
      <c r="BD305" s="810"/>
      <c r="BE305" s="810"/>
      <c r="BF305" s="810"/>
      <c r="BG305" s="810"/>
      <c r="BH305" s="810"/>
      <c r="BI305" s="810"/>
      <c r="BJ305" s="810"/>
      <c r="BK305" s="811"/>
      <c r="BL305" s="1376"/>
      <c r="BM305" s="1377"/>
      <c r="BN305" s="1377"/>
      <c r="BO305" s="1377"/>
      <c r="BP305" s="1440"/>
      <c r="BQ305" s="1724"/>
      <c r="BR305" s="1368"/>
      <c r="BS305" s="1368"/>
      <c r="BT305" s="1368"/>
      <c r="BU305" s="1369"/>
      <c r="BV305" s="1421"/>
      <c r="BW305" s="1373"/>
      <c r="BX305" s="1373"/>
      <c r="BY305" s="1373"/>
      <c r="BZ305" s="1373"/>
      <c r="CA305" s="1420"/>
      <c r="CB305" s="1368"/>
      <c r="CC305" s="1368"/>
      <c r="CD305" s="1368"/>
      <c r="CE305" s="1369"/>
      <c r="CF305" s="1368"/>
      <c r="CG305" s="1368"/>
      <c r="CH305" s="1368"/>
      <c r="CI305" s="1368"/>
      <c r="CJ305" s="1369"/>
      <c r="CK305" s="1420"/>
      <c r="CL305" s="1368"/>
      <c r="CM305" s="1368"/>
      <c r="CN305" s="1368"/>
      <c r="CO305" s="1369"/>
      <c r="CP305" s="1420"/>
      <c r="CQ305" s="1368"/>
      <c r="CR305" s="1368"/>
      <c r="CS305" s="1368"/>
      <c r="CT305" s="1369"/>
      <c r="CU305" s="1528"/>
      <c r="CV305" s="1519"/>
      <c r="CW305" s="1519"/>
      <c r="CX305" s="1728"/>
      <c r="CY305" s="1519"/>
      <c r="CZ305" s="1519"/>
      <c r="DA305" s="1519"/>
      <c r="DB305" s="1728"/>
      <c r="DC305" s="1377"/>
      <c r="DD305" s="1729"/>
      <c r="DE305" s="1734"/>
    </row>
    <row r="306" spans="1:109" ht="39.4">
      <c r="A306" s="772" t="s">
        <v>1038</v>
      </c>
      <c r="B306" s="773">
        <v>300</v>
      </c>
      <c r="C306" s="789" t="s">
        <v>3228</v>
      </c>
      <c r="D306" s="773" t="s">
        <v>3214</v>
      </c>
      <c r="E306" s="773" t="s">
        <v>3095</v>
      </c>
      <c r="F306" s="785" t="s">
        <v>3229</v>
      </c>
      <c r="G306" s="790" t="s">
        <v>535</v>
      </c>
      <c r="H306" s="791" t="s">
        <v>3230</v>
      </c>
      <c r="I306" s="792">
        <v>1</v>
      </c>
      <c r="J306" s="793"/>
      <c r="K306" s="793"/>
      <c r="L306" s="793"/>
      <c r="M306" s="793"/>
      <c r="N306" s="793"/>
      <c r="O306" s="793"/>
      <c r="P306" s="794"/>
      <c r="Q306" s="795">
        <f t="shared" si="4"/>
        <v>1</v>
      </c>
      <c r="R306" s="789" t="s">
        <v>1007</v>
      </c>
      <c r="S306" s="773"/>
      <c r="T306" s="796"/>
      <c r="U306" s="773" t="s">
        <v>3231</v>
      </c>
      <c r="V306" s="773" t="s">
        <v>278</v>
      </c>
      <c r="W306" s="773" t="s">
        <v>3232</v>
      </c>
      <c r="X306" s="1274">
        <v>1</v>
      </c>
      <c r="Y306" s="798" t="s">
        <v>1020</v>
      </c>
      <c r="Z306" s="790" t="s">
        <v>535</v>
      </c>
      <c r="AA306" s="785"/>
      <c r="AB306" s="785"/>
      <c r="AC306" s="785"/>
      <c r="AD306" s="785"/>
      <c r="AE306" s="785"/>
      <c r="AF306" s="799"/>
      <c r="AG306" s="800"/>
      <c r="AH306" s="800"/>
      <c r="AI306" s="800"/>
      <c r="AJ306" s="800"/>
      <c r="AK306" s="800"/>
      <c r="AL306" s="800"/>
      <c r="AM306" s="800"/>
      <c r="AN306" s="800"/>
      <c r="AO306" s="800"/>
      <c r="AP306" s="800"/>
      <c r="AQ306" s="1521"/>
      <c r="AR306" s="1730"/>
      <c r="AS306" s="1730"/>
      <c r="AT306" s="1730"/>
      <c r="AU306" s="1527"/>
      <c r="AV306" s="817"/>
      <c r="AW306" s="816"/>
      <c r="AX306" s="816"/>
      <c r="AY306" s="816"/>
      <c r="AZ306" s="816"/>
      <c r="BA306" s="816"/>
      <c r="BB306" s="816"/>
      <c r="BC306" s="816"/>
      <c r="BD306" s="816"/>
      <c r="BE306" s="816"/>
      <c r="BF306" s="816"/>
      <c r="BG306" s="816"/>
      <c r="BH306" s="816"/>
      <c r="BI306" s="816"/>
      <c r="BJ306" s="816"/>
      <c r="BK306" s="818"/>
      <c r="BL306" s="1376"/>
      <c r="BM306" s="1377"/>
      <c r="BN306" s="1377"/>
      <c r="BO306" s="1377"/>
      <c r="BP306" s="1440"/>
      <c r="BQ306" s="1420"/>
      <c r="BR306" s="1368"/>
      <c r="BS306" s="1368"/>
      <c r="BT306" s="1368"/>
      <c r="BU306" s="1369"/>
      <c r="BV306" s="1420"/>
      <c r="BW306" s="1368"/>
      <c r="BX306" s="1368"/>
      <c r="BY306" s="1368"/>
      <c r="BZ306" s="1368"/>
      <c r="CA306" s="1420"/>
      <c r="CB306" s="1368"/>
      <c r="CC306" s="1368"/>
      <c r="CD306" s="1368"/>
      <c r="CE306" s="1369"/>
      <c r="CF306" s="1368"/>
      <c r="CG306" s="1368"/>
      <c r="CH306" s="1368"/>
      <c r="CI306" s="1368"/>
      <c r="CJ306" s="1369"/>
      <c r="CK306" s="1420"/>
      <c r="CL306" s="1368"/>
      <c r="CM306" s="1368"/>
      <c r="CN306" s="1368"/>
      <c r="CO306" s="1369"/>
      <c r="CP306" s="1420"/>
      <c r="CQ306" s="1368"/>
      <c r="CR306" s="1368"/>
      <c r="CS306" s="1368"/>
      <c r="CT306" s="1369"/>
      <c r="CU306" s="1528"/>
      <c r="CV306" s="1519"/>
      <c r="CW306" s="1519"/>
      <c r="CX306" s="1728"/>
      <c r="CY306" s="1519"/>
      <c r="CZ306" s="1519"/>
      <c r="DA306" s="1519"/>
      <c r="DB306" s="1728"/>
      <c r="DC306" s="1377"/>
      <c r="DD306" s="1729"/>
      <c r="DE306" s="1734"/>
    </row>
    <row r="307" spans="1:109" ht="39.4">
      <c r="A307" s="772" t="s">
        <v>1038</v>
      </c>
      <c r="B307" s="773">
        <v>301</v>
      </c>
      <c r="C307" s="789" t="s">
        <v>3233</v>
      </c>
      <c r="D307" s="773" t="s">
        <v>3214</v>
      </c>
      <c r="E307" s="773" t="s">
        <v>3095</v>
      </c>
      <c r="F307" s="785" t="s">
        <v>3234</v>
      </c>
      <c r="G307" s="790" t="s">
        <v>839</v>
      </c>
      <c r="H307" s="791" t="s">
        <v>3235</v>
      </c>
      <c r="I307" s="792"/>
      <c r="J307" s="793"/>
      <c r="K307" s="793">
        <v>1</v>
      </c>
      <c r="L307" s="793"/>
      <c r="M307" s="793"/>
      <c r="N307" s="793"/>
      <c r="O307" s="793"/>
      <c r="P307" s="794"/>
      <c r="Q307" s="795">
        <f t="shared" si="4"/>
        <v>1</v>
      </c>
      <c r="R307" s="789" t="s">
        <v>1007</v>
      </c>
      <c r="S307" s="773"/>
      <c r="T307" s="796"/>
      <c r="U307" s="773" t="s">
        <v>3231</v>
      </c>
      <c r="V307" s="773" t="s">
        <v>278</v>
      </c>
      <c r="W307" s="773" t="s">
        <v>3236</v>
      </c>
      <c r="X307" s="829">
        <v>2</v>
      </c>
      <c r="Y307" s="798" t="s">
        <v>1020</v>
      </c>
      <c r="Z307" s="790" t="s">
        <v>839</v>
      </c>
      <c r="AA307" s="785"/>
      <c r="AB307" s="785"/>
      <c r="AC307" s="785"/>
      <c r="AD307" s="785"/>
      <c r="AE307" s="785"/>
      <c r="AF307" s="799"/>
      <c r="AG307" s="873"/>
      <c r="AH307" s="873"/>
      <c r="AI307" s="873"/>
      <c r="AJ307" s="873"/>
      <c r="AK307" s="873"/>
      <c r="AL307" s="873"/>
      <c r="AM307" s="873"/>
      <c r="AN307" s="873"/>
      <c r="AO307" s="873"/>
      <c r="AP307" s="873"/>
      <c r="AQ307" s="1725"/>
      <c r="AR307" s="1726"/>
      <c r="AS307" s="1726"/>
      <c r="AT307" s="1726"/>
      <c r="AU307" s="1727"/>
      <c r="AV307" s="874"/>
      <c r="AW307" s="873"/>
      <c r="AX307" s="873"/>
      <c r="AY307" s="873"/>
      <c r="AZ307" s="873"/>
      <c r="BA307" s="873"/>
      <c r="BB307" s="873"/>
      <c r="BC307" s="873"/>
      <c r="BD307" s="873"/>
      <c r="BE307" s="873"/>
      <c r="BF307" s="873"/>
      <c r="BG307" s="873"/>
      <c r="BH307" s="873"/>
      <c r="BI307" s="873"/>
      <c r="BJ307" s="873"/>
      <c r="BK307" s="875"/>
      <c r="BL307" s="1376"/>
      <c r="BM307" s="1377"/>
      <c r="BN307" s="1377"/>
      <c r="BO307" s="1377"/>
      <c r="BP307" s="1440"/>
      <c r="BQ307" s="1420"/>
      <c r="BR307" s="1368"/>
      <c r="BS307" s="1368"/>
      <c r="BT307" s="1368"/>
      <c r="BU307" s="1369"/>
      <c r="BV307" s="1420"/>
      <c r="BW307" s="1368"/>
      <c r="BX307" s="1368"/>
      <c r="BY307" s="1368"/>
      <c r="BZ307" s="1368"/>
      <c r="CA307" s="1420"/>
      <c r="CB307" s="1368"/>
      <c r="CC307" s="1368"/>
      <c r="CD307" s="1368"/>
      <c r="CE307" s="1369"/>
      <c r="CF307" s="1368"/>
      <c r="CG307" s="1368"/>
      <c r="CH307" s="1368"/>
      <c r="CI307" s="1368"/>
      <c r="CJ307" s="1368"/>
      <c r="CK307" s="1420"/>
      <c r="CL307" s="1368"/>
      <c r="CM307" s="1368"/>
      <c r="CN307" s="1368"/>
      <c r="CO307" s="1369"/>
      <c r="CP307" s="1420"/>
      <c r="CQ307" s="1368"/>
      <c r="CR307" s="1368"/>
      <c r="CS307" s="1368"/>
      <c r="CT307" s="1369"/>
      <c r="CU307" s="1528"/>
      <c r="CV307" s="1519"/>
      <c r="CW307" s="1519"/>
      <c r="CX307" s="1728"/>
      <c r="CY307" s="1519"/>
      <c r="CZ307" s="1519"/>
      <c r="DA307" s="1519"/>
      <c r="DB307" s="1728"/>
      <c r="DC307" s="1377"/>
      <c r="DD307" s="1729"/>
      <c r="DE307" s="1734"/>
    </row>
    <row r="308" spans="1:109" ht="39.4">
      <c r="A308" s="772" t="s">
        <v>1038</v>
      </c>
      <c r="B308" s="773">
        <v>302</v>
      </c>
      <c r="C308" s="789" t="s">
        <v>3237</v>
      </c>
      <c r="D308" s="773" t="s">
        <v>3214</v>
      </c>
      <c r="E308" s="773" t="s">
        <v>3077</v>
      </c>
      <c r="F308" s="785" t="s">
        <v>3238</v>
      </c>
      <c r="G308" s="790" t="s">
        <v>161</v>
      </c>
      <c r="H308" s="791" t="s">
        <v>3239</v>
      </c>
      <c r="I308" s="792"/>
      <c r="J308" s="793">
        <v>1</v>
      </c>
      <c r="K308" s="793"/>
      <c r="L308" s="793"/>
      <c r="M308" s="793"/>
      <c r="N308" s="793"/>
      <c r="O308" s="793"/>
      <c r="P308" s="794"/>
      <c r="Q308" s="795">
        <f t="shared" si="4"/>
        <v>1</v>
      </c>
      <c r="R308" s="789" t="s">
        <v>1030</v>
      </c>
      <c r="S308" s="773" t="s">
        <v>1008</v>
      </c>
      <c r="T308" s="796" t="s">
        <v>1009</v>
      </c>
      <c r="U308" s="773" t="s">
        <v>3240</v>
      </c>
      <c r="V308" s="773" t="s">
        <v>1033</v>
      </c>
      <c r="W308" s="773" t="s">
        <v>3241</v>
      </c>
      <c r="X308" s="1274">
        <v>1</v>
      </c>
      <c r="Y308" s="819" t="s">
        <v>1020</v>
      </c>
      <c r="Z308" s="790" t="s">
        <v>161</v>
      </c>
      <c r="AA308" s="785"/>
      <c r="AB308" s="785"/>
      <c r="AC308" s="785"/>
      <c r="AD308" s="785"/>
      <c r="AE308" s="785"/>
      <c r="AF308" s="799"/>
      <c r="AG308" s="800"/>
      <c r="AH308" s="800"/>
      <c r="AI308" s="800"/>
      <c r="AJ308" s="800"/>
      <c r="AK308" s="800"/>
      <c r="AL308" s="800"/>
      <c r="AM308" s="800"/>
      <c r="AN308" s="800"/>
      <c r="AO308" s="800"/>
      <c r="AP308" s="800"/>
      <c r="AQ308" s="1421"/>
      <c r="AR308" s="1373"/>
      <c r="AS308" s="1373"/>
      <c r="AT308" s="1373"/>
      <c r="AU308" s="1374"/>
      <c r="AV308" s="808"/>
      <c r="AW308" s="800"/>
      <c r="AX308" s="800"/>
      <c r="AY308" s="800"/>
      <c r="AZ308" s="800"/>
      <c r="BA308" s="800"/>
      <c r="BB308" s="800"/>
      <c r="BC308" s="800"/>
      <c r="BD308" s="800"/>
      <c r="BE308" s="800"/>
      <c r="BF308" s="800"/>
      <c r="BG308" s="800"/>
      <c r="BH308" s="800"/>
      <c r="BI308" s="800"/>
      <c r="BJ308" s="800"/>
      <c r="BK308" s="805"/>
      <c r="BL308" s="1376"/>
      <c r="BM308" s="1377"/>
      <c r="BN308" s="1377"/>
      <c r="BO308" s="1377"/>
      <c r="BP308" s="1440"/>
      <c r="BQ308" s="1420"/>
      <c r="BR308" s="1368"/>
      <c r="BS308" s="1368"/>
      <c r="BT308" s="1368"/>
      <c r="BU308" s="1369"/>
      <c r="BV308" s="1421"/>
      <c r="BW308" s="1373"/>
      <c r="BX308" s="1373"/>
      <c r="BY308" s="1373"/>
      <c r="BZ308" s="1373"/>
      <c r="CA308" s="1420"/>
      <c r="CB308" s="1368"/>
      <c r="CC308" s="1368"/>
      <c r="CD308" s="1368"/>
      <c r="CE308" s="1369"/>
      <c r="CF308" s="1368"/>
      <c r="CG308" s="1368"/>
      <c r="CH308" s="1368"/>
      <c r="CI308" s="1368"/>
      <c r="CJ308" s="1369"/>
      <c r="CK308" s="1420"/>
      <c r="CL308" s="1368"/>
      <c r="CM308" s="1368"/>
      <c r="CN308" s="1368"/>
      <c r="CO308" s="1369"/>
      <c r="CP308" s="1420"/>
      <c r="CQ308" s="1368"/>
      <c r="CR308" s="1368"/>
      <c r="CS308" s="1368"/>
      <c r="CT308" s="1369"/>
      <c r="CU308" s="1528"/>
      <c r="CV308" s="1519"/>
      <c r="CW308" s="1519"/>
      <c r="CX308" s="1728"/>
      <c r="CY308" s="1519"/>
      <c r="CZ308" s="1519"/>
      <c r="DA308" s="1519"/>
      <c r="DB308" s="1728"/>
      <c r="DC308" s="1377"/>
      <c r="DD308" s="1729"/>
      <c r="DE308" s="1734"/>
    </row>
    <row r="309" spans="1:109" ht="39.4">
      <c r="A309" s="772" t="s">
        <v>1038</v>
      </c>
      <c r="B309" s="773">
        <v>303</v>
      </c>
      <c r="C309" s="789" t="s">
        <v>3242</v>
      </c>
      <c r="D309" s="773" t="s">
        <v>3214</v>
      </c>
      <c r="E309" s="773" t="s">
        <v>3095</v>
      </c>
      <c r="F309" s="785" t="s">
        <v>3243</v>
      </c>
      <c r="G309" s="790" t="s">
        <v>167</v>
      </c>
      <c r="H309" s="791" t="s">
        <v>3244</v>
      </c>
      <c r="I309" s="792"/>
      <c r="J309" s="793">
        <v>1</v>
      </c>
      <c r="K309" s="793"/>
      <c r="L309" s="793"/>
      <c r="M309" s="793"/>
      <c r="N309" s="793"/>
      <c r="O309" s="793"/>
      <c r="P309" s="794"/>
      <c r="Q309" s="795">
        <f t="shared" si="4"/>
        <v>1</v>
      </c>
      <c r="R309" s="789" t="s">
        <v>1026</v>
      </c>
      <c r="S309" s="773" t="s">
        <v>1008</v>
      </c>
      <c r="T309" s="796" t="s">
        <v>1009</v>
      </c>
      <c r="U309" s="773" t="s">
        <v>3245</v>
      </c>
      <c r="V309" s="773" t="s">
        <v>278</v>
      </c>
      <c r="W309" s="773" t="s">
        <v>2118</v>
      </c>
      <c r="X309" s="1274">
        <v>2</v>
      </c>
      <c r="Y309" s="819" t="s">
        <v>1020</v>
      </c>
      <c r="Z309" s="790" t="s">
        <v>167</v>
      </c>
      <c r="AA309" s="785"/>
      <c r="AB309" s="785"/>
      <c r="AC309" s="785"/>
      <c r="AD309" s="785"/>
      <c r="AE309" s="785"/>
      <c r="AF309" s="799"/>
      <c r="AG309" s="800"/>
      <c r="AH309" s="800"/>
      <c r="AI309" s="800"/>
      <c r="AJ309" s="800"/>
      <c r="AK309" s="800"/>
      <c r="AL309" s="800"/>
      <c r="AM309" s="800"/>
      <c r="AN309" s="800"/>
      <c r="AO309" s="800"/>
      <c r="AP309" s="800"/>
      <c r="AQ309" s="1421"/>
      <c r="AR309" s="1373"/>
      <c r="AS309" s="1373"/>
      <c r="AT309" s="1373"/>
      <c r="AU309" s="1374"/>
      <c r="AV309" s="808"/>
      <c r="AW309" s="800"/>
      <c r="AX309" s="800"/>
      <c r="AY309" s="800"/>
      <c r="AZ309" s="800"/>
      <c r="BA309" s="800"/>
      <c r="BB309" s="800"/>
      <c r="BC309" s="800"/>
      <c r="BD309" s="800"/>
      <c r="BE309" s="800"/>
      <c r="BF309" s="800"/>
      <c r="BG309" s="800"/>
      <c r="BH309" s="800"/>
      <c r="BI309" s="800"/>
      <c r="BJ309" s="800"/>
      <c r="BK309" s="805"/>
      <c r="BL309" s="1376"/>
      <c r="BM309" s="1377"/>
      <c r="BN309" s="1377"/>
      <c r="BO309" s="1377"/>
      <c r="BP309" s="1440"/>
      <c r="BQ309" s="1420"/>
      <c r="BR309" s="1368"/>
      <c r="BS309" s="1368"/>
      <c r="BT309" s="1368"/>
      <c r="BU309" s="1369"/>
      <c r="BV309" s="1420"/>
      <c r="BW309" s="1368"/>
      <c r="BX309" s="1368"/>
      <c r="BY309" s="1368"/>
      <c r="BZ309" s="1368"/>
      <c r="CA309" s="1420"/>
      <c r="CB309" s="1368"/>
      <c r="CC309" s="1368"/>
      <c r="CD309" s="1368"/>
      <c r="CE309" s="1369"/>
      <c r="CF309" s="1368"/>
      <c r="CG309" s="1368"/>
      <c r="CH309" s="1368"/>
      <c r="CI309" s="1368"/>
      <c r="CJ309" s="1369"/>
      <c r="CK309" s="1420"/>
      <c r="CL309" s="1368"/>
      <c r="CM309" s="1368"/>
      <c r="CN309" s="1368"/>
      <c r="CO309" s="1369"/>
      <c r="CP309" s="1420"/>
      <c r="CQ309" s="1368"/>
      <c r="CR309" s="1368"/>
      <c r="CS309" s="1368"/>
      <c r="CT309" s="1369"/>
      <c r="CU309" s="1528"/>
      <c r="CV309" s="1519"/>
      <c r="CW309" s="1519"/>
      <c r="CX309" s="1728"/>
      <c r="CY309" s="1519"/>
      <c r="CZ309" s="1519"/>
      <c r="DA309" s="1519"/>
      <c r="DB309" s="1728"/>
      <c r="DC309" s="1377"/>
      <c r="DD309" s="1729"/>
      <c r="DE309" s="1734"/>
    </row>
    <row r="310" spans="1:109" ht="39.4">
      <c r="A310" s="772" t="s">
        <v>1038</v>
      </c>
      <c r="B310" s="773">
        <v>304</v>
      </c>
      <c r="C310" s="789" t="s">
        <v>3246</v>
      </c>
      <c r="D310" s="773" t="s">
        <v>3214</v>
      </c>
      <c r="E310" s="773" t="s">
        <v>3077</v>
      </c>
      <c r="F310" s="785" t="s">
        <v>3247</v>
      </c>
      <c r="G310" s="790" t="s">
        <v>743</v>
      </c>
      <c r="H310" s="791" t="s">
        <v>3248</v>
      </c>
      <c r="I310" s="792"/>
      <c r="J310" s="793"/>
      <c r="K310" s="793">
        <v>1</v>
      </c>
      <c r="L310" s="793"/>
      <c r="M310" s="793"/>
      <c r="N310" s="793"/>
      <c r="O310" s="793"/>
      <c r="P310" s="794"/>
      <c r="Q310" s="795">
        <f t="shared" si="4"/>
        <v>1</v>
      </c>
      <c r="R310" s="789" t="s">
        <v>1026</v>
      </c>
      <c r="S310" s="773" t="s">
        <v>1008</v>
      </c>
      <c r="T310" s="796" t="s">
        <v>1009</v>
      </c>
      <c r="U310" s="773" t="s">
        <v>3249</v>
      </c>
      <c r="V310" s="773" t="s">
        <v>1033</v>
      </c>
      <c r="W310" s="773" t="s">
        <v>3250</v>
      </c>
      <c r="X310" s="829">
        <v>2</v>
      </c>
      <c r="Y310" s="819" t="s">
        <v>1020</v>
      </c>
      <c r="Z310" s="790" t="s">
        <v>743</v>
      </c>
      <c r="AA310" s="785"/>
      <c r="AB310" s="785"/>
      <c r="AC310" s="785"/>
      <c r="AD310" s="785"/>
      <c r="AE310" s="785"/>
      <c r="AF310" s="799"/>
      <c r="AG310" s="807"/>
      <c r="AH310" s="807"/>
      <c r="AI310" s="807"/>
      <c r="AJ310" s="807"/>
      <c r="AK310" s="807"/>
      <c r="AL310" s="807"/>
      <c r="AM310" s="807"/>
      <c r="AN310" s="807"/>
      <c r="AO310" s="807"/>
      <c r="AP310" s="807"/>
      <c r="AQ310" s="1421"/>
      <c r="AR310" s="1373"/>
      <c r="AS310" s="1373"/>
      <c r="AT310" s="1373"/>
      <c r="AU310" s="1374"/>
      <c r="AV310" s="806"/>
      <c r="AW310" s="807"/>
      <c r="AX310" s="807"/>
      <c r="AY310" s="807"/>
      <c r="AZ310" s="807"/>
      <c r="BA310" s="807"/>
      <c r="BB310" s="807"/>
      <c r="BC310" s="807"/>
      <c r="BD310" s="807"/>
      <c r="BE310" s="807"/>
      <c r="BF310" s="807"/>
      <c r="BG310" s="807"/>
      <c r="BH310" s="807"/>
      <c r="BI310" s="807"/>
      <c r="BJ310" s="807"/>
      <c r="BK310" s="820"/>
      <c r="BL310" s="1376"/>
      <c r="BM310" s="1377"/>
      <c r="BN310" s="1377"/>
      <c r="BO310" s="1377"/>
      <c r="BP310" s="1440"/>
      <c r="BQ310" s="1420"/>
      <c r="BR310" s="1368"/>
      <c r="BS310" s="1368"/>
      <c r="BT310" s="1368"/>
      <c r="BU310" s="1369"/>
      <c r="BV310" s="1420"/>
      <c r="BW310" s="1368"/>
      <c r="BX310" s="1368"/>
      <c r="BY310" s="1368"/>
      <c r="BZ310" s="1368"/>
      <c r="CA310" s="1420"/>
      <c r="CB310" s="1368"/>
      <c r="CC310" s="1368"/>
      <c r="CD310" s="1368"/>
      <c r="CE310" s="1369"/>
      <c r="CF310" s="1368"/>
      <c r="CG310" s="1368"/>
      <c r="CH310" s="1368"/>
      <c r="CI310" s="1368"/>
      <c r="CJ310" s="1369"/>
      <c r="CK310" s="1420"/>
      <c r="CL310" s="1368"/>
      <c r="CM310" s="1368"/>
      <c r="CN310" s="1368"/>
      <c r="CO310" s="1369"/>
      <c r="CP310" s="1420"/>
      <c r="CQ310" s="1368"/>
      <c r="CR310" s="1368"/>
      <c r="CS310" s="1368"/>
      <c r="CT310" s="1369"/>
      <c r="CU310" s="1528"/>
      <c r="CV310" s="1519"/>
      <c r="CW310" s="1519"/>
      <c r="CX310" s="1728"/>
      <c r="CY310" s="1519"/>
      <c r="CZ310" s="1519"/>
      <c r="DA310" s="1519"/>
      <c r="DB310" s="1728"/>
      <c r="DC310" s="1377"/>
      <c r="DD310" s="1729"/>
      <c r="DE310" s="1734"/>
    </row>
    <row r="311" spans="1:109" ht="39.4">
      <c r="A311" s="772" t="s">
        <v>1038</v>
      </c>
      <c r="B311" s="773">
        <v>305</v>
      </c>
      <c r="C311" s="789" t="s">
        <v>3251</v>
      </c>
      <c r="D311" s="773" t="s">
        <v>3214</v>
      </c>
      <c r="E311" s="773" t="s">
        <v>3077</v>
      </c>
      <c r="F311" s="785" t="s">
        <v>3252</v>
      </c>
      <c r="G311" s="790" t="s">
        <v>1058</v>
      </c>
      <c r="H311" s="791" t="s">
        <v>3253</v>
      </c>
      <c r="I311" s="792"/>
      <c r="J311" s="793"/>
      <c r="K311" s="793">
        <v>1</v>
      </c>
      <c r="L311" s="793"/>
      <c r="M311" s="793"/>
      <c r="N311" s="793"/>
      <c r="O311" s="793"/>
      <c r="P311" s="794"/>
      <c r="Q311" s="795">
        <f t="shared" si="4"/>
        <v>1</v>
      </c>
      <c r="R311" s="789" t="s">
        <v>1026</v>
      </c>
      <c r="S311" s="773" t="s">
        <v>1008</v>
      </c>
      <c r="T311" s="796" t="s">
        <v>1009</v>
      </c>
      <c r="U311" s="773" t="s">
        <v>3254</v>
      </c>
      <c r="V311" s="773" t="s">
        <v>278</v>
      </c>
      <c r="W311" s="773" t="s">
        <v>3255</v>
      </c>
      <c r="X311" s="829">
        <v>2</v>
      </c>
      <c r="Y311" s="821" t="s">
        <v>1010</v>
      </c>
      <c r="Z311" s="790" t="s">
        <v>1058</v>
      </c>
      <c r="AA311" s="785"/>
      <c r="AB311" s="785"/>
      <c r="AC311" s="785"/>
      <c r="AD311" s="785"/>
      <c r="AE311" s="785"/>
      <c r="AF311" s="799"/>
      <c r="AG311" s="800"/>
      <c r="AH311" s="800"/>
      <c r="AI311" s="800"/>
      <c r="AJ311" s="800"/>
      <c r="AK311" s="800"/>
      <c r="AL311" s="800"/>
      <c r="AM311" s="800"/>
      <c r="AN311" s="800"/>
      <c r="AO311" s="800"/>
      <c r="AP311" s="800"/>
      <c r="AQ311" s="1420"/>
      <c r="AR311" s="1368"/>
      <c r="AS311" s="1368"/>
      <c r="AT311" s="1368"/>
      <c r="AU311" s="1369"/>
      <c r="AV311" s="808"/>
      <c r="AW311" s="800"/>
      <c r="AX311" s="800"/>
      <c r="AY311" s="800"/>
      <c r="AZ311" s="800"/>
      <c r="BA311" s="800"/>
      <c r="BB311" s="800"/>
      <c r="BC311" s="800"/>
      <c r="BD311" s="800"/>
      <c r="BE311" s="800"/>
      <c r="BF311" s="800"/>
      <c r="BG311" s="800"/>
      <c r="BH311" s="800"/>
      <c r="BI311" s="800"/>
      <c r="BJ311" s="800"/>
      <c r="BK311" s="805"/>
      <c r="BL311" s="1376"/>
      <c r="BM311" s="1377"/>
      <c r="BN311" s="1377"/>
      <c r="BO311" s="1377"/>
      <c r="BP311" s="1440"/>
      <c r="BQ311" s="1420"/>
      <c r="BR311" s="1368"/>
      <c r="BS311" s="1368"/>
      <c r="BT311" s="1368"/>
      <c r="BU311" s="1369"/>
      <c r="BV311" s="1420"/>
      <c r="BW311" s="1368"/>
      <c r="BX311" s="1368"/>
      <c r="BY311" s="1368"/>
      <c r="BZ311" s="1368"/>
      <c r="CA311" s="1420"/>
      <c r="CB311" s="1368"/>
      <c r="CC311" s="1368"/>
      <c r="CD311" s="1368"/>
      <c r="CE311" s="1369"/>
      <c r="CF311" s="1368"/>
      <c r="CG311" s="1368"/>
      <c r="CH311" s="1368"/>
      <c r="CI311" s="1368"/>
      <c r="CJ311" s="1369"/>
      <c r="CK311" s="1420"/>
      <c r="CL311" s="1368"/>
      <c r="CM311" s="1368"/>
      <c r="CN311" s="1368"/>
      <c r="CO311" s="1369"/>
      <c r="CP311" s="1420"/>
      <c r="CQ311" s="1368"/>
      <c r="CR311" s="1368"/>
      <c r="CS311" s="1368"/>
      <c r="CT311" s="1369"/>
      <c r="CU311" s="1528"/>
      <c r="CV311" s="1519"/>
      <c r="CW311" s="1519"/>
      <c r="CX311" s="1728"/>
      <c r="CY311" s="1519"/>
      <c r="CZ311" s="1519"/>
      <c r="DA311" s="1519"/>
      <c r="DB311" s="1728"/>
      <c r="DC311" s="1377"/>
      <c r="DD311" s="1729"/>
      <c r="DE311" s="1734"/>
    </row>
    <row r="312" spans="1:109" ht="39.4">
      <c r="A312" s="772" t="s">
        <v>1038</v>
      </c>
      <c r="B312" s="773">
        <v>306</v>
      </c>
      <c r="C312" s="789" t="s">
        <v>3256</v>
      </c>
      <c r="D312" s="773" t="s">
        <v>3214</v>
      </c>
      <c r="E312" s="773" t="s">
        <v>3095</v>
      </c>
      <c r="F312" s="785" t="s">
        <v>3257</v>
      </c>
      <c r="G312" s="790" t="s">
        <v>3258</v>
      </c>
      <c r="H312" s="791" t="s">
        <v>3259</v>
      </c>
      <c r="I312" s="792"/>
      <c r="J312" s="793">
        <v>1</v>
      </c>
      <c r="K312" s="793"/>
      <c r="L312" s="793"/>
      <c r="M312" s="793"/>
      <c r="N312" s="793"/>
      <c r="O312" s="793"/>
      <c r="P312" s="794"/>
      <c r="Q312" s="795">
        <f t="shared" si="4"/>
        <v>1</v>
      </c>
      <c r="R312" s="789" t="s">
        <v>1007</v>
      </c>
      <c r="S312" s="773"/>
      <c r="T312" s="796"/>
      <c r="U312" s="773" t="s">
        <v>3231</v>
      </c>
      <c r="V312" s="773" t="s">
        <v>1033</v>
      </c>
      <c r="W312" s="773" t="s">
        <v>3260</v>
      </c>
      <c r="X312" s="829">
        <v>0</v>
      </c>
      <c r="Y312" s="819" t="s">
        <v>1020</v>
      </c>
      <c r="Z312" s="790"/>
      <c r="AA312" s="785"/>
      <c r="AB312" s="785"/>
      <c r="AC312" s="785"/>
      <c r="AD312" s="785"/>
      <c r="AE312" s="785"/>
      <c r="AF312" s="799"/>
      <c r="AG312" s="800"/>
      <c r="AH312" s="800"/>
      <c r="AI312" s="800"/>
      <c r="AJ312" s="800"/>
      <c r="AK312" s="800"/>
      <c r="AL312" s="800"/>
      <c r="AM312" s="800"/>
      <c r="AN312" s="800"/>
      <c r="AO312" s="800"/>
      <c r="AP312" s="800"/>
      <c r="AQ312" s="827">
        <v>142987</v>
      </c>
      <c r="AR312" s="797">
        <v>142987</v>
      </c>
      <c r="AS312" s="797">
        <v>142987</v>
      </c>
      <c r="AT312" s="797">
        <v>142987</v>
      </c>
      <c r="AU312" s="841">
        <v>77622</v>
      </c>
      <c r="AV312" s="808"/>
      <c r="AW312" s="800"/>
      <c r="AX312" s="800"/>
      <c r="AY312" s="800"/>
      <c r="AZ312" s="800"/>
      <c r="BA312" s="800"/>
      <c r="BB312" s="800"/>
      <c r="BC312" s="800"/>
      <c r="BD312" s="800"/>
      <c r="BE312" s="800"/>
      <c r="BF312" s="800"/>
      <c r="BG312" s="800"/>
      <c r="BH312" s="800"/>
      <c r="BI312" s="800"/>
      <c r="BJ312" s="800"/>
      <c r="BK312" s="805"/>
      <c r="BL312" s="789"/>
      <c r="BM312" s="785"/>
      <c r="BN312" s="785"/>
      <c r="BO312" s="785"/>
      <c r="BP312" s="796"/>
      <c r="BQ312" s="808" t="s">
        <v>1942</v>
      </c>
      <c r="BR312" s="800" t="s">
        <v>1942</v>
      </c>
      <c r="BS312" s="800" t="s">
        <v>1942</v>
      </c>
      <c r="BT312" s="800" t="s">
        <v>1942</v>
      </c>
      <c r="BU312" s="805" t="s">
        <v>1942</v>
      </c>
      <c r="BV312" s="808" t="s">
        <v>1942</v>
      </c>
      <c r="BW312" s="800" t="s">
        <v>1942</v>
      </c>
      <c r="BX312" s="800" t="s">
        <v>1942</v>
      </c>
      <c r="BY312" s="800" t="s">
        <v>1942</v>
      </c>
      <c r="BZ312" s="800" t="s">
        <v>1942</v>
      </c>
      <c r="CA312" s="808" t="s">
        <v>1942</v>
      </c>
      <c r="CB312" s="800" t="s">
        <v>1942</v>
      </c>
      <c r="CC312" s="800" t="s">
        <v>1942</v>
      </c>
      <c r="CD312" s="800" t="s">
        <v>1942</v>
      </c>
      <c r="CE312" s="805" t="s">
        <v>1942</v>
      </c>
      <c r="CF312" s="800" t="s">
        <v>1942</v>
      </c>
      <c r="CG312" s="800" t="s">
        <v>1942</v>
      </c>
      <c r="CH312" s="800" t="s">
        <v>1942</v>
      </c>
      <c r="CI312" s="800" t="s">
        <v>1942</v>
      </c>
      <c r="CJ312" s="805" t="s">
        <v>1942</v>
      </c>
      <c r="CK312" s="808" t="s">
        <v>1942</v>
      </c>
      <c r="CL312" s="800" t="s">
        <v>1942</v>
      </c>
      <c r="CM312" s="800" t="s">
        <v>1942</v>
      </c>
      <c r="CN312" s="800" t="s">
        <v>1942</v>
      </c>
      <c r="CO312" s="805" t="s">
        <v>1942</v>
      </c>
      <c r="CP312" s="808" t="s">
        <v>1942</v>
      </c>
      <c r="CQ312" s="800" t="s">
        <v>1942</v>
      </c>
      <c r="CR312" s="800" t="s">
        <v>1942</v>
      </c>
      <c r="CS312" s="800" t="s">
        <v>1942</v>
      </c>
      <c r="CT312" s="805" t="s">
        <v>1942</v>
      </c>
      <c r="CU312" s="1284" t="s">
        <v>1942</v>
      </c>
      <c r="CV312" s="1283" t="s">
        <v>1942</v>
      </c>
      <c r="CW312" s="1283" t="s">
        <v>1942</v>
      </c>
      <c r="CX312" s="1285" t="s">
        <v>1942</v>
      </c>
      <c r="CY312" s="1283" t="s">
        <v>1942</v>
      </c>
      <c r="CZ312" s="1283" t="s">
        <v>1942</v>
      </c>
      <c r="DA312" s="1283" t="s">
        <v>1942</v>
      </c>
      <c r="DB312" s="1285" t="s">
        <v>1942</v>
      </c>
      <c r="DC312" s="785"/>
      <c r="DD312" s="813">
        <v>1</v>
      </c>
      <c r="DE312" s="814"/>
    </row>
    <row r="313" spans="1:109" ht="13.15">
      <c r="A313" s="772" t="s">
        <v>1038</v>
      </c>
      <c r="B313" s="773">
        <v>307</v>
      </c>
      <c r="C313" s="789" t="s">
        <v>3261</v>
      </c>
      <c r="D313" s="773" t="s">
        <v>3214</v>
      </c>
      <c r="E313" s="773" t="s">
        <v>3262</v>
      </c>
      <c r="F313" s="785" t="s">
        <v>3263</v>
      </c>
      <c r="G313" s="790" t="s">
        <v>1983</v>
      </c>
      <c r="H313" s="791" t="s">
        <v>3264</v>
      </c>
      <c r="I313" s="792"/>
      <c r="J313" s="793">
        <v>1</v>
      </c>
      <c r="K313" s="793"/>
      <c r="L313" s="793"/>
      <c r="M313" s="793"/>
      <c r="N313" s="793"/>
      <c r="O313" s="793"/>
      <c r="P313" s="794"/>
      <c r="Q313" s="795">
        <f t="shared" si="4"/>
        <v>1</v>
      </c>
      <c r="R313" s="789" t="s">
        <v>1026</v>
      </c>
      <c r="S313" s="773" t="s">
        <v>1008</v>
      </c>
      <c r="T313" s="796" t="s">
        <v>1009</v>
      </c>
      <c r="U313" s="773" t="s">
        <v>3265</v>
      </c>
      <c r="V313" s="773" t="s">
        <v>1033</v>
      </c>
      <c r="W313" s="773" t="s">
        <v>3266</v>
      </c>
      <c r="X313" s="829">
        <v>0</v>
      </c>
      <c r="Y313" s="822" t="s">
        <v>1020</v>
      </c>
      <c r="Z313" s="790" t="s">
        <v>1987</v>
      </c>
      <c r="AA313" s="785"/>
      <c r="AB313" s="785"/>
      <c r="AC313" s="785"/>
      <c r="AD313" s="785"/>
      <c r="AE313" s="785"/>
      <c r="AF313" s="799"/>
      <c r="AG313" s="797"/>
      <c r="AH313" s="797"/>
      <c r="AI313" s="797"/>
      <c r="AJ313" s="797"/>
      <c r="AK313" s="797"/>
      <c r="AL313" s="797"/>
      <c r="AM313" s="797"/>
      <c r="AN313" s="797"/>
      <c r="AO313" s="797"/>
      <c r="AP313" s="797"/>
      <c r="AQ313" s="827">
        <v>242</v>
      </c>
      <c r="AR313" s="797">
        <v>227</v>
      </c>
      <c r="AS313" s="797">
        <v>212</v>
      </c>
      <c r="AT313" s="797">
        <v>197</v>
      </c>
      <c r="AU313" s="841">
        <v>182</v>
      </c>
      <c r="AV313" s="827"/>
      <c r="AW313" s="797"/>
      <c r="AX313" s="797"/>
      <c r="AY313" s="797"/>
      <c r="AZ313" s="797"/>
      <c r="BA313" s="797"/>
      <c r="BB313" s="797"/>
      <c r="BC313" s="797"/>
      <c r="BD313" s="797"/>
      <c r="BE313" s="797"/>
      <c r="BF313" s="797"/>
      <c r="BG313" s="797"/>
      <c r="BH313" s="797"/>
      <c r="BI313" s="797"/>
      <c r="BJ313" s="797"/>
      <c r="BK313" s="841"/>
      <c r="BL313" s="789" t="s">
        <v>168</v>
      </c>
      <c r="BM313" s="785" t="s">
        <v>168</v>
      </c>
      <c r="BN313" s="785" t="s">
        <v>168</v>
      </c>
      <c r="BO313" s="785" t="s">
        <v>168</v>
      </c>
      <c r="BP313" s="796" t="s">
        <v>168</v>
      </c>
      <c r="BQ313" s="808" t="s">
        <v>1942</v>
      </c>
      <c r="BR313" s="800" t="s">
        <v>1942</v>
      </c>
      <c r="BS313" s="800" t="s">
        <v>1942</v>
      </c>
      <c r="BT313" s="800" t="s">
        <v>1942</v>
      </c>
      <c r="BU313" s="805" t="s">
        <v>1942</v>
      </c>
      <c r="BV313" s="808" t="s">
        <v>1942</v>
      </c>
      <c r="BW313" s="800" t="s">
        <v>1942</v>
      </c>
      <c r="BX313" s="800" t="s">
        <v>1942</v>
      </c>
      <c r="BY313" s="800" t="s">
        <v>1942</v>
      </c>
      <c r="BZ313" s="800" t="s">
        <v>1942</v>
      </c>
      <c r="CA313" s="808" t="s">
        <v>1942</v>
      </c>
      <c r="CB313" s="800" t="s">
        <v>1942</v>
      </c>
      <c r="CC313" s="800" t="s">
        <v>1942</v>
      </c>
      <c r="CD313" s="800" t="s">
        <v>1942</v>
      </c>
      <c r="CE313" s="805" t="s">
        <v>1942</v>
      </c>
      <c r="CF313" s="800" t="s">
        <v>1942</v>
      </c>
      <c r="CG313" s="800" t="s">
        <v>1942</v>
      </c>
      <c r="CH313" s="800" t="s">
        <v>1942</v>
      </c>
      <c r="CI313" s="800" t="s">
        <v>1942</v>
      </c>
      <c r="CJ313" s="805" t="s">
        <v>1942</v>
      </c>
      <c r="CK313" s="808" t="s">
        <v>1942</v>
      </c>
      <c r="CL313" s="800" t="s">
        <v>1942</v>
      </c>
      <c r="CM313" s="800" t="s">
        <v>1942</v>
      </c>
      <c r="CN313" s="800" t="s">
        <v>1942</v>
      </c>
      <c r="CO313" s="805" t="s">
        <v>1942</v>
      </c>
      <c r="CP313" s="808" t="s">
        <v>1942</v>
      </c>
      <c r="CQ313" s="800" t="s">
        <v>1942</v>
      </c>
      <c r="CR313" s="800" t="s">
        <v>1942</v>
      </c>
      <c r="CS313" s="800" t="s">
        <v>1942</v>
      </c>
      <c r="CT313" s="805" t="s">
        <v>1942</v>
      </c>
      <c r="CU313" s="1284">
        <v>-1.73E-3</v>
      </c>
      <c r="CV313" s="1283" t="s">
        <v>1942</v>
      </c>
      <c r="CW313" s="1283" t="s">
        <v>1942</v>
      </c>
      <c r="CX313" s="1285" t="s">
        <v>1942</v>
      </c>
      <c r="CY313" s="1283" t="s">
        <v>1942</v>
      </c>
      <c r="CZ313" s="1283" t="s">
        <v>1942</v>
      </c>
      <c r="DA313" s="1283" t="s">
        <v>1942</v>
      </c>
      <c r="DB313" s="1285" t="s">
        <v>1942</v>
      </c>
      <c r="DC313" s="785"/>
      <c r="DD313" s="813">
        <v>1</v>
      </c>
      <c r="DE313" s="814"/>
    </row>
    <row r="314" spans="1:109" ht="39.4">
      <c r="A314" s="772" t="s">
        <v>1038</v>
      </c>
      <c r="B314" s="773">
        <v>308</v>
      </c>
      <c r="C314" s="789" t="s">
        <v>3267</v>
      </c>
      <c r="D314" s="773" t="s">
        <v>3214</v>
      </c>
      <c r="E314" s="773" t="s">
        <v>3077</v>
      </c>
      <c r="F314" s="785" t="s">
        <v>3268</v>
      </c>
      <c r="G314" s="790" t="s">
        <v>2098</v>
      </c>
      <c r="H314" s="791" t="s">
        <v>3269</v>
      </c>
      <c r="I314" s="792"/>
      <c r="J314" s="793"/>
      <c r="K314" s="793">
        <v>1</v>
      </c>
      <c r="L314" s="793"/>
      <c r="M314" s="793"/>
      <c r="N314" s="793"/>
      <c r="O314" s="793"/>
      <c r="P314" s="794"/>
      <c r="Q314" s="795">
        <f t="shared" si="4"/>
        <v>1</v>
      </c>
      <c r="R314" s="789" t="s">
        <v>1030</v>
      </c>
      <c r="S314" s="773" t="s">
        <v>1008</v>
      </c>
      <c r="T314" s="796" t="s">
        <v>1009</v>
      </c>
      <c r="U314" s="773" t="s">
        <v>3200</v>
      </c>
      <c r="V314" s="773" t="s">
        <v>1033</v>
      </c>
      <c r="W314" s="773" t="s">
        <v>3270</v>
      </c>
      <c r="X314" s="829">
        <v>0</v>
      </c>
      <c r="Y314" s="826" t="s">
        <v>1020</v>
      </c>
      <c r="Z314" s="790" t="s">
        <v>2098</v>
      </c>
      <c r="AA314" s="785"/>
      <c r="AB314" s="785"/>
      <c r="AC314" s="785"/>
      <c r="AD314" s="785"/>
      <c r="AE314" s="785"/>
      <c r="AF314" s="799"/>
      <c r="AG314" s="797"/>
      <c r="AH314" s="797"/>
      <c r="AI314" s="797"/>
      <c r="AJ314" s="797"/>
      <c r="AK314" s="797"/>
      <c r="AL314" s="797"/>
      <c r="AM314" s="797"/>
      <c r="AN314" s="797"/>
      <c r="AO314" s="797"/>
      <c r="AP314" s="797"/>
      <c r="AQ314" s="827">
        <v>4412</v>
      </c>
      <c r="AR314" s="797">
        <v>4141</v>
      </c>
      <c r="AS314" s="797">
        <v>3887</v>
      </c>
      <c r="AT314" s="797">
        <v>3702</v>
      </c>
      <c r="AU314" s="841">
        <v>3525</v>
      </c>
      <c r="AV314" s="827"/>
      <c r="AW314" s="797"/>
      <c r="AX314" s="797"/>
      <c r="AY314" s="797"/>
      <c r="AZ314" s="797"/>
      <c r="BA314" s="797"/>
      <c r="BB314" s="797"/>
      <c r="BC314" s="797"/>
      <c r="BD314" s="797"/>
      <c r="BE314" s="797"/>
      <c r="BF314" s="797"/>
      <c r="BG314" s="797"/>
      <c r="BH314" s="797"/>
      <c r="BI314" s="797"/>
      <c r="BJ314" s="797"/>
      <c r="BK314" s="841"/>
      <c r="BL314" s="789" t="s">
        <v>168</v>
      </c>
      <c r="BM314" s="785" t="s">
        <v>168</v>
      </c>
      <c r="BN314" s="785" t="s">
        <v>168</v>
      </c>
      <c r="BO314" s="785" t="s">
        <v>168</v>
      </c>
      <c r="BP314" s="796" t="s">
        <v>168</v>
      </c>
      <c r="BQ314" s="808" t="s">
        <v>1942</v>
      </c>
      <c r="BR314" s="800" t="s">
        <v>1942</v>
      </c>
      <c r="BS314" s="800" t="s">
        <v>1942</v>
      </c>
      <c r="BT314" s="800" t="s">
        <v>1942</v>
      </c>
      <c r="BU314" s="805" t="s">
        <v>1942</v>
      </c>
      <c r="BV314" s="808">
        <v>6618</v>
      </c>
      <c r="BW314" s="800">
        <v>6618</v>
      </c>
      <c r="BX314" s="800">
        <v>6618</v>
      </c>
      <c r="BY314" s="800">
        <v>6618</v>
      </c>
      <c r="BZ314" s="800">
        <v>6618</v>
      </c>
      <c r="CA314" s="808" t="s">
        <v>1942</v>
      </c>
      <c r="CB314" s="800" t="s">
        <v>1942</v>
      </c>
      <c r="CC314" s="800" t="s">
        <v>1942</v>
      </c>
      <c r="CD314" s="800" t="s">
        <v>1942</v>
      </c>
      <c r="CE314" s="805" t="s">
        <v>1942</v>
      </c>
      <c r="CF314" s="800" t="s">
        <v>1942</v>
      </c>
      <c r="CG314" s="800" t="s">
        <v>1942</v>
      </c>
      <c r="CH314" s="800" t="s">
        <v>1942</v>
      </c>
      <c r="CI314" s="800" t="s">
        <v>1942</v>
      </c>
      <c r="CJ314" s="805" t="s">
        <v>1942</v>
      </c>
      <c r="CK314" s="808">
        <v>4010</v>
      </c>
      <c r="CL314" s="800">
        <v>3776</v>
      </c>
      <c r="CM314" s="800">
        <v>3533</v>
      </c>
      <c r="CN314" s="800">
        <v>3348</v>
      </c>
      <c r="CO314" s="805">
        <v>3171</v>
      </c>
      <c r="CP314" s="808" t="s">
        <v>1942</v>
      </c>
      <c r="CQ314" s="800" t="s">
        <v>1942</v>
      </c>
      <c r="CR314" s="800" t="s">
        <v>1942</v>
      </c>
      <c r="CS314" s="800" t="s">
        <v>1942</v>
      </c>
      <c r="CT314" s="805" t="s">
        <v>1942</v>
      </c>
      <c r="CU314" s="1284">
        <v>-7.2700000000000004E-3</v>
      </c>
      <c r="CV314" s="1283" t="s">
        <v>1942</v>
      </c>
      <c r="CW314" s="1283" t="s">
        <v>1942</v>
      </c>
      <c r="CX314" s="1285" t="s">
        <v>1942</v>
      </c>
      <c r="CY314" s="1283">
        <v>4.81E-3</v>
      </c>
      <c r="CZ314" s="1283" t="s">
        <v>1942</v>
      </c>
      <c r="DA314" s="1283" t="s">
        <v>1942</v>
      </c>
      <c r="DB314" s="1285" t="s">
        <v>1942</v>
      </c>
      <c r="DC314" s="785"/>
      <c r="DD314" s="813">
        <v>1</v>
      </c>
      <c r="DE314" s="814"/>
    </row>
    <row r="315" spans="1:109" ht="26.25">
      <c r="A315" s="772" t="s">
        <v>1038</v>
      </c>
      <c r="B315" s="773">
        <v>309</v>
      </c>
      <c r="C315" s="789" t="s">
        <v>3271</v>
      </c>
      <c r="D315" s="773" t="s">
        <v>3119</v>
      </c>
      <c r="E315" s="773" t="s">
        <v>3095</v>
      </c>
      <c r="F315" s="785" t="s">
        <v>3272</v>
      </c>
      <c r="G315" s="790" t="s">
        <v>3273</v>
      </c>
      <c r="H315" s="791" t="s">
        <v>3274</v>
      </c>
      <c r="I315" s="792"/>
      <c r="J315" s="793"/>
      <c r="K315" s="793">
        <v>1</v>
      </c>
      <c r="L315" s="793"/>
      <c r="M315" s="793"/>
      <c r="N315" s="793"/>
      <c r="O315" s="793"/>
      <c r="P315" s="794"/>
      <c r="Q315" s="795">
        <f t="shared" si="4"/>
        <v>1</v>
      </c>
      <c r="R315" s="789" t="s">
        <v>1007</v>
      </c>
      <c r="S315" s="773"/>
      <c r="T315" s="796"/>
      <c r="U315" s="773" t="s">
        <v>3231</v>
      </c>
      <c r="V315" s="773" t="s">
        <v>278</v>
      </c>
      <c r="W315" s="773" t="s">
        <v>3275</v>
      </c>
      <c r="X315" s="829">
        <v>2</v>
      </c>
      <c r="Y315" s="821" t="s">
        <v>1010</v>
      </c>
      <c r="Z315" s="790"/>
      <c r="AA315" s="785"/>
      <c r="AB315" s="785"/>
      <c r="AC315" s="785"/>
      <c r="AD315" s="785"/>
      <c r="AE315" s="785"/>
      <c r="AF315" s="799"/>
      <c r="AG315" s="807"/>
      <c r="AH315" s="807"/>
      <c r="AI315" s="807"/>
      <c r="AJ315" s="807"/>
      <c r="AK315" s="807"/>
      <c r="AL315" s="807"/>
      <c r="AM315" s="807"/>
      <c r="AN315" s="807"/>
      <c r="AO315" s="807"/>
      <c r="AP315" s="807"/>
      <c r="AQ315" s="806">
        <v>95</v>
      </c>
      <c r="AR315" s="807">
        <v>97</v>
      </c>
      <c r="AS315" s="807">
        <v>99</v>
      </c>
      <c r="AT315" s="807">
        <v>99.9</v>
      </c>
      <c r="AU315" s="820">
        <v>100</v>
      </c>
      <c r="AV315" s="806"/>
      <c r="AW315" s="807"/>
      <c r="AX315" s="807"/>
      <c r="AY315" s="807"/>
      <c r="AZ315" s="807"/>
      <c r="BA315" s="807"/>
      <c r="BB315" s="807"/>
      <c r="BC315" s="807"/>
      <c r="BD315" s="807"/>
      <c r="BE315" s="807"/>
      <c r="BF315" s="807"/>
      <c r="BG315" s="807"/>
      <c r="BH315" s="807"/>
      <c r="BI315" s="807"/>
      <c r="BJ315" s="807"/>
      <c r="BK315" s="820"/>
      <c r="BL315" s="789"/>
      <c r="BM315" s="785"/>
      <c r="BN315" s="785"/>
      <c r="BO315" s="785"/>
      <c r="BP315" s="796"/>
      <c r="BQ315" s="808" t="s">
        <v>1942</v>
      </c>
      <c r="BR315" s="800" t="s">
        <v>1942</v>
      </c>
      <c r="BS315" s="800" t="s">
        <v>1942</v>
      </c>
      <c r="BT315" s="800" t="s">
        <v>1942</v>
      </c>
      <c r="BU315" s="805" t="s">
        <v>1942</v>
      </c>
      <c r="BV315" s="808" t="s">
        <v>1942</v>
      </c>
      <c r="BW315" s="800" t="s">
        <v>1942</v>
      </c>
      <c r="BX315" s="800" t="s">
        <v>1942</v>
      </c>
      <c r="BY315" s="800" t="s">
        <v>1942</v>
      </c>
      <c r="BZ315" s="800" t="s">
        <v>1942</v>
      </c>
      <c r="CA315" s="808" t="s">
        <v>1942</v>
      </c>
      <c r="CB315" s="800" t="s">
        <v>1942</v>
      </c>
      <c r="CC315" s="800" t="s">
        <v>1942</v>
      </c>
      <c r="CD315" s="800" t="s">
        <v>1942</v>
      </c>
      <c r="CE315" s="805" t="s">
        <v>1942</v>
      </c>
      <c r="CF315" s="800" t="s">
        <v>1942</v>
      </c>
      <c r="CG315" s="800" t="s">
        <v>1942</v>
      </c>
      <c r="CH315" s="800" t="s">
        <v>1942</v>
      </c>
      <c r="CI315" s="800" t="s">
        <v>1942</v>
      </c>
      <c r="CJ315" s="805" t="s">
        <v>1942</v>
      </c>
      <c r="CK315" s="808" t="s">
        <v>1942</v>
      </c>
      <c r="CL315" s="800" t="s">
        <v>1942</v>
      </c>
      <c r="CM315" s="800" t="s">
        <v>1942</v>
      </c>
      <c r="CN315" s="800" t="s">
        <v>1942</v>
      </c>
      <c r="CO315" s="805" t="s">
        <v>1942</v>
      </c>
      <c r="CP315" s="808" t="s">
        <v>1942</v>
      </c>
      <c r="CQ315" s="800" t="s">
        <v>1942</v>
      </c>
      <c r="CR315" s="800" t="s">
        <v>1942</v>
      </c>
      <c r="CS315" s="800" t="s">
        <v>1942</v>
      </c>
      <c r="CT315" s="805" t="s">
        <v>1942</v>
      </c>
      <c r="CU315" s="1284" t="s">
        <v>1942</v>
      </c>
      <c r="CV315" s="1283" t="s">
        <v>1942</v>
      </c>
      <c r="CW315" s="1283" t="s">
        <v>1942</v>
      </c>
      <c r="CX315" s="1285" t="s">
        <v>1942</v>
      </c>
      <c r="CY315" s="1283" t="s">
        <v>1942</v>
      </c>
      <c r="CZ315" s="1283" t="s">
        <v>1942</v>
      </c>
      <c r="DA315" s="1283" t="s">
        <v>1942</v>
      </c>
      <c r="DB315" s="1285" t="s">
        <v>1942</v>
      </c>
      <c r="DC315" s="785"/>
      <c r="DD315" s="813">
        <v>1</v>
      </c>
      <c r="DE315" s="814"/>
    </row>
    <row r="316" spans="1:109" ht="78.75">
      <c r="A316" s="772" t="s">
        <v>1038</v>
      </c>
      <c r="B316" s="773">
        <v>310</v>
      </c>
      <c r="C316" s="789" t="s">
        <v>3276</v>
      </c>
      <c r="D316" s="773" t="s">
        <v>3119</v>
      </c>
      <c r="E316" s="773" t="s">
        <v>3095</v>
      </c>
      <c r="F316" s="785" t="s">
        <v>3277</v>
      </c>
      <c r="G316" s="790" t="s">
        <v>3278</v>
      </c>
      <c r="H316" s="791" t="s">
        <v>3279</v>
      </c>
      <c r="I316" s="792"/>
      <c r="J316" s="793">
        <v>0.5</v>
      </c>
      <c r="K316" s="793">
        <v>0.5</v>
      </c>
      <c r="L316" s="793"/>
      <c r="M316" s="793"/>
      <c r="N316" s="793"/>
      <c r="O316" s="793"/>
      <c r="P316" s="794"/>
      <c r="Q316" s="795">
        <f t="shared" si="4"/>
        <v>1</v>
      </c>
      <c r="R316" s="789" t="s">
        <v>1007</v>
      </c>
      <c r="S316" s="773"/>
      <c r="T316" s="796"/>
      <c r="U316" s="773" t="s">
        <v>3104</v>
      </c>
      <c r="V316" s="773" t="s">
        <v>1033</v>
      </c>
      <c r="W316" s="773" t="s">
        <v>3280</v>
      </c>
      <c r="X316" s="829">
        <v>0</v>
      </c>
      <c r="Y316" s="826" t="s">
        <v>1010</v>
      </c>
      <c r="Z316" s="790"/>
      <c r="AA316" s="785"/>
      <c r="AB316" s="785"/>
      <c r="AC316" s="785"/>
      <c r="AD316" s="785"/>
      <c r="AE316" s="785"/>
      <c r="AF316" s="799"/>
      <c r="AG316" s="800"/>
      <c r="AH316" s="800"/>
      <c r="AI316" s="800"/>
      <c r="AJ316" s="800"/>
      <c r="AK316" s="800"/>
      <c r="AL316" s="800"/>
      <c r="AM316" s="800"/>
      <c r="AN316" s="800"/>
      <c r="AO316" s="800"/>
      <c r="AP316" s="800"/>
      <c r="AQ316" s="808">
        <v>0</v>
      </c>
      <c r="AR316" s="800">
        <v>0</v>
      </c>
      <c r="AS316" s="800">
        <v>1</v>
      </c>
      <c r="AT316" s="800">
        <v>1</v>
      </c>
      <c r="AU316" s="805">
        <v>3</v>
      </c>
      <c r="AV316" s="808"/>
      <c r="AW316" s="800"/>
      <c r="AX316" s="800"/>
      <c r="AY316" s="800"/>
      <c r="AZ316" s="800"/>
      <c r="BA316" s="800"/>
      <c r="BB316" s="800"/>
      <c r="BC316" s="800"/>
      <c r="BD316" s="800"/>
      <c r="BE316" s="800"/>
      <c r="BF316" s="800"/>
      <c r="BG316" s="800"/>
      <c r="BH316" s="800"/>
      <c r="BI316" s="800"/>
      <c r="BJ316" s="800"/>
      <c r="BK316" s="805"/>
      <c r="BL316" s="789"/>
      <c r="BM316" s="785"/>
      <c r="BN316" s="785"/>
      <c r="BO316" s="785"/>
      <c r="BP316" s="796"/>
      <c r="BQ316" s="808" t="s">
        <v>1942</v>
      </c>
      <c r="BR316" s="800" t="s">
        <v>1942</v>
      </c>
      <c r="BS316" s="800" t="s">
        <v>1942</v>
      </c>
      <c r="BT316" s="800" t="s">
        <v>1942</v>
      </c>
      <c r="BU316" s="805" t="s">
        <v>1942</v>
      </c>
      <c r="BV316" s="808" t="s">
        <v>1942</v>
      </c>
      <c r="BW316" s="800" t="s">
        <v>1942</v>
      </c>
      <c r="BX316" s="800" t="s">
        <v>1942</v>
      </c>
      <c r="BY316" s="800" t="s">
        <v>1942</v>
      </c>
      <c r="BZ316" s="800" t="s">
        <v>1942</v>
      </c>
      <c r="CA316" s="808" t="s">
        <v>1942</v>
      </c>
      <c r="CB316" s="800" t="s">
        <v>1942</v>
      </c>
      <c r="CC316" s="800" t="s">
        <v>1942</v>
      </c>
      <c r="CD316" s="800" t="s">
        <v>1942</v>
      </c>
      <c r="CE316" s="805" t="s">
        <v>1942</v>
      </c>
      <c r="CF316" s="800" t="s">
        <v>1942</v>
      </c>
      <c r="CG316" s="800" t="s">
        <v>1942</v>
      </c>
      <c r="CH316" s="800" t="s">
        <v>1942</v>
      </c>
      <c r="CI316" s="800" t="s">
        <v>1942</v>
      </c>
      <c r="CJ316" s="805" t="s">
        <v>1942</v>
      </c>
      <c r="CK316" s="808" t="s">
        <v>1942</v>
      </c>
      <c r="CL316" s="800" t="s">
        <v>1942</v>
      </c>
      <c r="CM316" s="800" t="s">
        <v>1942</v>
      </c>
      <c r="CN316" s="800" t="s">
        <v>1942</v>
      </c>
      <c r="CO316" s="805" t="s">
        <v>1942</v>
      </c>
      <c r="CP316" s="808" t="s">
        <v>1942</v>
      </c>
      <c r="CQ316" s="800" t="s">
        <v>1942</v>
      </c>
      <c r="CR316" s="800" t="s">
        <v>1942</v>
      </c>
      <c r="CS316" s="800" t="s">
        <v>1942</v>
      </c>
      <c r="CT316" s="805" t="s">
        <v>1942</v>
      </c>
      <c r="CU316" s="1284" t="s">
        <v>1942</v>
      </c>
      <c r="CV316" s="1283" t="s">
        <v>1942</v>
      </c>
      <c r="CW316" s="1283" t="s">
        <v>1942</v>
      </c>
      <c r="CX316" s="1285" t="s">
        <v>1942</v>
      </c>
      <c r="CY316" s="1283" t="s">
        <v>1942</v>
      </c>
      <c r="CZ316" s="1283" t="s">
        <v>1942</v>
      </c>
      <c r="DA316" s="1283" t="s">
        <v>1942</v>
      </c>
      <c r="DB316" s="1285" t="s">
        <v>1942</v>
      </c>
      <c r="DC316" s="785"/>
      <c r="DD316" s="813">
        <v>1</v>
      </c>
      <c r="DE316" s="814"/>
    </row>
    <row r="317" spans="1:109" ht="13.15">
      <c r="A317" s="772" t="s">
        <v>1038</v>
      </c>
      <c r="B317" s="773">
        <v>311</v>
      </c>
      <c r="C317" s="789" t="s">
        <v>3281</v>
      </c>
      <c r="D317" s="773" t="s">
        <v>3282</v>
      </c>
      <c r="E317" s="773" t="s">
        <v>3095</v>
      </c>
      <c r="F317" s="785" t="s">
        <v>3283</v>
      </c>
      <c r="G317" s="790" t="s">
        <v>3284</v>
      </c>
      <c r="H317" s="791" t="s">
        <v>3285</v>
      </c>
      <c r="I317" s="792"/>
      <c r="J317" s="793"/>
      <c r="K317" s="793"/>
      <c r="L317" s="793"/>
      <c r="M317" s="793">
        <v>1</v>
      </c>
      <c r="N317" s="793"/>
      <c r="O317" s="793"/>
      <c r="P317" s="794"/>
      <c r="Q317" s="795">
        <f t="shared" si="4"/>
        <v>1</v>
      </c>
      <c r="R317" s="789" t="s">
        <v>1007</v>
      </c>
      <c r="S317" s="773"/>
      <c r="T317" s="796"/>
      <c r="U317" s="773" t="s">
        <v>3175</v>
      </c>
      <c r="V317" s="773" t="s">
        <v>1033</v>
      </c>
      <c r="W317" s="773" t="s">
        <v>3286</v>
      </c>
      <c r="X317" s="829">
        <v>0</v>
      </c>
      <c r="Y317" s="826" t="s">
        <v>1010</v>
      </c>
      <c r="Z317" s="790"/>
      <c r="AA317" s="785"/>
      <c r="AB317" s="785"/>
      <c r="AC317" s="785"/>
      <c r="AD317" s="785"/>
      <c r="AE317" s="785"/>
      <c r="AF317" s="799"/>
      <c r="AG317" s="800"/>
      <c r="AH317" s="800"/>
      <c r="AI317" s="800"/>
      <c r="AJ317" s="800"/>
      <c r="AK317" s="800"/>
      <c r="AL317" s="800"/>
      <c r="AM317" s="800"/>
      <c r="AN317" s="800"/>
      <c r="AO317" s="800"/>
      <c r="AP317" s="800"/>
      <c r="AQ317" s="808">
        <v>65</v>
      </c>
      <c r="AR317" s="800">
        <v>65</v>
      </c>
      <c r="AS317" s="800">
        <v>65</v>
      </c>
      <c r="AT317" s="800">
        <v>65</v>
      </c>
      <c r="AU317" s="805">
        <v>65</v>
      </c>
      <c r="AV317" s="808"/>
      <c r="AW317" s="800"/>
      <c r="AX317" s="800"/>
      <c r="AY317" s="800"/>
      <c r="AZ317" s="800"/>
      <c r="BA317" s="800"/>
      <c r="BB317" s="800"/>
      <c r="BC317" s="800"/>
      <c r="BD317" s="800"/>
      <c r="BE317" s="800"/>
      <c r="BF317" s="800"/>
      <c r="BG317" s="800"/>
      <c r="BH317" s="800"/>
      <c r="BI317" s="800"/>
      <c r="BJ317" s="800"/>
      <c r="BK317" s="805"/>
      <c r="BL317" s="789"/>
      <c r="BM317" s="785"/>
      <c r="BN317" s="785"/>
      <c r="BO317" s="785"/>
      <c r="BP317" s="796"/>
      <c r="BQ317" s="808" t="s">
        <v>1942</v>
      </c>
      <c r="BR317" s="800" t="s">
        <v>1942</v>
      </c>
      <c r="BS317" s="800" t="s">
        <v>1942</v>
      </c>
      <c r="BT317" s="800" t="s">
        <v>1942</v>
      </c>
      <c r="BU317" s="805" t="s">
        <v>1942</v>
      </c>
      <c r="BV317" s="808" t="s">
        <v>1942</v>
      </c>
      <c r="BW317" s="800" t="s">
        <v>1942</v>
      </c>
      <c r="BX317" s="800" t="s">
        <v>1942</v>
      </c>
      <c r="BY317" s="800" t="s">
        <v>1942</v>
      </c>
      <c r="BZ317" s="800" t="s">
        <v>1942</v>
      </c>
      <c r="CA317" s="808" t="s">
        <v>1942</v>
      </c>
      <c r="CB317" s="800" t="s">
        <v>1942</v>
      </c>
      <c r="CC317" s="800" t="s">
        <v>1942</v>
      </c>
      <c r="CD317" s="800" t="s">
        <v>1942</v>
      </c>
      <c r="CE317" s="805" t="s">
        <v>1942</v>
      </c>
      <c r="CF317" s="800" t="s">
        <v>1942</v>
      </c>
      <c r="CG317" s="800" t="s">
        <v>1942</v>
      </c>
      <c r="CH317" s="800" t="s">
        <v>1942</v>
      </c>
      <c r="CI317" s="800" t="s">
        <v>1942</v>
      </c>
      <c r="CJ317" s="800" t="s">
        <v>1942</v>
      </c>
      <c r="CK317" s="808" t="s">
        <v>1942</v>
      </c>
      <c r="CL317" s="800" t="s">
        <v>1942</v>
      </c>
      <c r="CM317" s="800" t="s">
        <v>1942</v>
      </c>
      <c r="CN317" s="800" t="s">
        <v>1942</v>
      </c>
      <c r="CO317" s="805" t="s">
        <v>1942</v>
      </c>
      <c r="CP317" s="808" t="s">
        <v>1942</v>
      </c>
      <c r="CQ317" s="800" t="s">
        <v>1942</v>
      </c>
      <c r="CR317" s="800" t="s">
        <v>1942</v>
      </c>
      <c r="CS317" s="800" t="s">
        <v>1942</v>
      </c>
      <c r="CT317" s="805" t="s">
        <v>1942</v>
      </c>
      <c r="CU317" s="1284" t="s">
        <v>1942</v>
      </c>
      <c r="CV317" s="1283" t="s">
        <v>1942</v>
      </c>
      <c r="CW317" s="1283" t="s">
        <v>1942</v>
      </c>
      <c r="CX317" s="1285" t="s">
        <v>1942</v>
      </c>
      <c r="CY317" s="1283" t="s">
        <v>1942</v>
      </c>
      <c r="CZ317" s="1283" t="s">
        <v>1942</v>
      </c>
      <c r="DA317" s="1283" t="s">
        <v>1942</v>
      </c>
      <c r="DB317" s="1285" t="s">
        <v>1942</v>
      </c>
      <c r="DC317" s="785"/>
      <c r="DD317" s="813">
        <v>1</v>
      </c>
      <c r="DE317" s="814"/>
    </row>
    <row r="318" spans="1:109" ht="78.75">
      <c r="A318" s="772" t="s">
        <v>1038</v>
      </c>
      <c r="B318" s="773">
        <v>312</v>
      </c>
      <c r="C318" s="789" t="s">
        <v>3287</v>
      </c>
      <c r="D318" s="773" t="s">
        <v>3119</v>
      </c>
      <c r="E318" s="773" t="s">
        <v>3095</v>
      </c>
      <c r="F318" s="785" t="s">
        <v>3288</v>
      </c>
      <c r="G318" s="790" t="s">
        <v>3289</v>
      </c>
      <c r="H318" s="791" t="s">
        <v>3290</v>
      </c>
      <c r="I318" s="792"/>
      <c r="J318" s="793"/>
      <c r="K318" s="793">
        <v>1</v>
      </c>
      <c r="L318" s="793"/>
      <c r="M318" s="793"/>
      <c r="N318" s="793"/>
      <c r="O318" s="793"/>
      <c r="P318" s="794"/>
      <c r="Q318" s="795">
        <f t="shared" si="4"/>
        <v>1</v>
      </c>
      <c r="R318" s="789" t="s">
        <v>1026</v>
      </c>
      <c r="S318" s="773" t="s">
        <v>1008</v>
      </c>
      <c r="T318" s="796" t="s">
        <v>1019</v>
      </c>
      <c r="U318" s="773" t="s">
        <v>3231</v>
      </c>
      <c r="V318" s="773" t="s">
        <v>2702</v>
      </c>
      <c r="W318" s="773"/>
      <c r="X318" s="829">
        <v>0</v>
      </c>
      <c r="Y318" s="826" t="s">
        <v>1010</v>
      </c>
      <c r="Z318" s="790"/>
      <c r="AA318" s="785"/>
      <c r="AB318" s="785"/>
      <c r="AC318" s="785"/>
      <c r="AD318" s="785"/>
      <c r="AE318" s="785"/>
      <c r="AF318" s="799"/>
      <c r="AG318" s="800"/>
      <c r="AH318" s="800"/>
      <c r="AI318" s="800"/>
      <c r="AJ318" s="800"/>
      <c r="AK318" s="800"/>
      <c r="AL318" s="800"/>
      <c r="AM318" s="800"/>
      <c r="AN318" s="800"/>
      <c r="AO318" s="800"/>
      <c r="AP318" s="800"/>
      <c r="AQ318" s="808">
        <v>0</v>
      </c>
      <c r="AR318" s="800">
        <v>0</v>
      </c>
      <c r="AS318" s="800">
        <v>0</v>
      </c>
      <c r="AT318" s="800">
        <v>0</v>
      </c>
      <c r="AU318" s="805">
        <v>0</v>
      </c>
      <c r="AV318" s="808"/>
      <c r="AW318" s="800"/>
      <c r="AX318" s="800"/>
      <c r="AY318" s="800"/>
      <c r="AZ318" s="800"/>
      <c r="BA318" s="800"/>
      <c r="BB318" s="800"/>
      <c r="BC318" s="800"/>
      <c r="BD318" s="800"/>
      <c r="BE318" s="800"/>
      <c r="BF318" s="800"/>
      <c r="BG318" s="800"/>
      <c r="BH318" s="800"/>
      <c r="BI318" s="800"/>
      <c r="BJ318" s="800"/>
      <c r="BK318" s="805"/>
      <c r="BL318" s="1955" t="s">
        <v>168</v>
      </c>
      <c r="BM318" s="1956" t="s">
        <v>168</v>
      </c>
      <c r="BN318" s="1956" t="s">
        <v>168</v>
      </c>
      <c r="BO318" s="1956" t="s">
        <v>168</v>
      </c>
      <c r="BP318" s="796" t="s">
        <v>168</v>
      </c>
      <c r="BQ318" s="808" t="s">
        <v>1942</v>
      </c>
      <c r="BR318" s="800" t="s">
        <v>1942</v>
      </c>
      <c r="BS318" s="800" t="s">
        <v>1942</v>
      </c>
      <c r="BT318" s="800" t="s">
        <v>1942</v>
      </c>
      <c r="BU318" s="805" t="s">
        <v>1942</v>
      </c>
      <c r="BV318" s="808" t="s">
        <v>1942</v>
      </c>
      <c r="BW318" s="800" t="s">
        <v>1942</v>
      </c>
      <c r="BX318" s="800" t="s">
        <v>1942</v>
      </c>
      <c r="BY318" s="800" t="s">
        <v>1942</v>
      </c>
      <c r="BZ318" s="800" t="s">
        <v>1942</v>
      </c>
      <c r="CA318" s="808" t="s">
        <v>1942</v>
      </c>
      <c r="CB318" s="800" t="s">
        <v>1942</v>
      </c>
      <c r="CC318" s="800" t="s">
        <v>1942</v>
      </c>
      <c r="CD318" s="800" t="s">
        <v>1942</v>
      </c>
      <c r="CE318" s="805" t="s">
        <v>1942</v>
      </c>
      <c r="CF318" s="800" t="s">
        <v>1942</v>
      </c>
      <c r="CG318" s="800" t="s">
        <v>1942</v>
      </c>
      <c r="CH318" s="800" t="s">
        <v>1942</v>
      </c>
      <c r="CI318" s="800" t="s">
        <v>1942</v>
      </c>
      <c r="CJ318" s="805" t="s">
        <v>1942</v>
      </c>
      <c r="CK318" s="808" t="s">
        <v>1942</v>
      </c>
      <c r="CL318" s="800" t="s">
        <v>1942</v>
      </c>
      <c r="CM318" s="800" t="s">
        <v>1942</v>
      </c>
      <c r="CN318" s="800" t="s">
        <v>1942</v>
      </c>
      <c r="CO318" s="805" t="s">
        <v>1942</v>
      </c>
      <c r="CP318" s="808" t="s">
        <v>1942</v>
      </c>
      <c r="CQ318" s="800" t="s">
        <v>1942</v>
      </c>
      <c r="CR318" s="800" t="s">
        <v>1942</v>
      </c>
      <c r="CS318" s="800" t="s">
        <v>1942</v>
      </c>
      <c r="CT318" s="805" t="s">
        <v>1942</v>
      </c>
      <c r="CU318" s="1284">
        <v>-0.1807</v>
      </c>
      <c r="CV318" s="1283" t="s">
        <v>1942</v>
      </c>
      <c r="CW318" s="1283" t="s">
        <v>1942</v>
      </c>
      <c r="CX318" s="1285" t="s">
        <v>1942</v>
      </c>
      <c r="CY318" s="1283" t="s">
        <v>1942</v>
      </c>
      <c r="CZ318" s="1283" t="s">
        <v>1942</v>
      </c>
      <c r="DA318" s="1283" t="s">
        <v>1942</v>
      </c>
      <c r="DB318" s="1285" t="s">
        <v>1942</v>
      </c>
      <c r="DC318" s="785"/>
      <c r="DD318" s="813">
        <v>1</v>
      </c>
      <c r="DE318" s="814"/>
    </row>
    <row r="319" spans="1:109" ht="26.25">
      <c r="A319" s="772" t="s">
        <v>1038</v>
      </c>
      <c r="B319" s="773">
        <v>313</v>
      </c>
      <c r="C319" s="789" t="s">
        <v>3291</v>
      </c>
      <c r="D319" s="773" t="s">
        <v>3119</v>
      </c>
      <c r="E319" s="773" t="s">
        <v>3262</v>
      </c>
      <c r="F319" s="785" t="s">
        <v>3292</v>
      </c>
      <c r="G319" s="790" t="s">
        <v>3293</v>
      </c>
      <c r="H319" s="791" t="s">
        <v>3294</v>
      </c>
      <c r="I319" s="792">
        <v>1</v>
      </c>
      <c r="J319" s="793"/>
      <c r="K319" s="793"/>
      <c r="L319" s="793"/>
      <c r="M319" s="793"/>
      <c r="N319" s="793"/>
      <c r="O319" s="793"/>
      <c r="P319" s="794"/>
      <c r="Q319" s="795">
        <f t="shared" si="4"/>
        <v>1</v>
      </c>
      <c r="R319" s="789" t="s">
        <v>1007</v>
      </c>
      <c r="S319" s="773"/>
      <c r="T319" s="796"/>
      <c r="U319" s="773" t="s">
        <v>2106</v>
      </c>
      <c r="V319" s="773" t="s">
        <v>1033</v>
      </c>
      <c r="W319" s="773" t="s">
        <v>3081</v>
      </c>
      <c r="X319" s="829">
        <v>0</v>
      </c>
      <c r="Y319" s="819" t="s">
        <v>1020</v>
      </c>
      <c r="Z319" s="790"/>
      <c r="AA319" s="785"/>
      <c r="AB319" s="785"/>
      <c r="AC319" s="785"/>
      <c r="AD319" s="785"/>
      <c r="AE319" s="785"/>
      <c r="AF319" s="799"/>
      <c r="AG319" s="807"/>
      <c r="AH319" s="807"/>
      <c r="AI319" s="807"/>
      <c r="AJ319" s="807"/>
      <c r="AK319" s="807"/>
      <c r="AL319" s="807"/>
      <c r="AM319" s="807"/>
      <c r="AN319" s="807"/>
      <c r="AO319" s="807"/>
      <c r="AP319" s="807"/>
      <c r="AQ319" s="806">
        <v>525</v>
      </c>
      <c r="AR319" s="807">
        <v>520</v>
      </c>
      <c r="AS319" s="807">
        <v>516</v>
      </c>
      <c r="AT319" s="807">
        <v>510</v>
      </c>
      <c r="AU319" s="820">
        <v>506</v>
      </c>
      <c r="AV319" s="806"/>
      <c r="AW319" s="807"/>
      <c r="AX319" s="807"/>
      <c r="AY319" s="807"/>
      <c r="AZ319" s="807"/>
      <c r="BA319" s="807"/>
      <c r="BB319" s="807"/>
      <c r="BC319" s="807"/>
      <c r="BD319" s="807"/>
      <c r="BE319" s="807"/>
      <c r="BF319" s="807"/>
      <c r="BG319" s="807"/>
      <c r="BH319" s="807"/>
      <c r="BI319" s="807"/>
      <c r="BJ319" s="807"/>
      <c r="BK319" s="820"/>
      <c r="BL319" s="789"/>
      <c r="BM319" s="785"/>
      <c r="BN319" s="785"/>
      <c r="BO319" s="785"/>
      <c r="BP319" s="796"/>
      <c r="BQ319" s="808" t="s">
        <v>1942</v>
      </c>
      <c r="BR319" s="800" t="s">
        <v>1942</v>
      </c>
      <c r="BS319" s="800" t="s">
        <v>1942</v>
      </c>
      <c r="BT319" s="800" t="s">
        <v>1942</v>
      </c>
      <c r="BU319" s="805" t="s">
        <v>1942</v>
      </c>
      <c r="BV319" s="846" t="s">
        <v>1942</v>
      </c>
      <c r="BW319" s="845" t="s">
        <v>1942</v>
      </c>
      <c r="BX319" s="845" t="s">
        <v>1942</v>
      </c>
      <c r="BY319" s="845" t="s">
        <v>1942</v>
      </c>
      <c r="BZ319" s="845" t="s">
        <v>1942</v>
      </c>
      <c r="CA319" s="808" t="s">
        <v>1942</v>
      </c>
      <c r="CB319" s="800" t="s">
        <v>1942</v>
      </c>
      <c r="CC319" s="800" t="s">
        <v>1942</v>
      </c>
      <c r="CD319" s="800" t="s">
        <v>1942</v>
      </c>
      <c r="CE319" s="805" t="s">
        <v>1942</v>
      </c>
      <c r="CF319" s="800" t="s">
        <v>1942</v>
      </c>
      <c r="CG319" s="800" t="s">
        <v>1942</v>
      </c>
      <c r="CH319" s="800" t="s">
        <v>1942</v>
      </c>
      <c r="CI319" s="800" t="s">
        <v>1942</v>
      </c>
      <c r="CJ319" s="805" t="s">
        <v>1942</v>
      </c>
      <c r="CK319" s="808" t="s">
        <v>1942</v>
      </c>
      <c r="CL319" s="800" t="s">
        <v>1942</v>
      </c>
      <c r="CM319" s="800" t="s">
        <v>1942</v>
      </c>
      <c r="CN319" s="800" t="s">
        <v>1942</v>
      </c>
      <c r="CO319" s="805" t="s">
        <v>1942</v>
      </c>
      <c r="CP319" s="808" t="s">
        <v>1942</v>
      </c>
      <c r="CQ319" s="800" t="s">
        <v>1942</v>
      </c>
      <c r="CR319" s="800" t="s">
        <v>1942</v>
      </c>
      <c r="CS319" s="800" t="s">
        <v>1942</v>
      </c>
      <c r="CT319" s="805" t="s">
        <v>1942</v>
      </c>
      <c r="CU319" s="1284" t="s">
        <v>1942</v>
      </c>
      <c r="CV319" s="1283" t="s">
        <v>1942</v>
      </c>
      <c r="CW319" s="1283" t="s">
        <v>1942</v>
      </c>
      <c r="CX319" s="1285" t="s">
        <v>1942</v>
      </c>
      <c r="CY319" s="1283" t="s">
        <v>1942</v>
      </c>
      <c r="CZ319" s="1283" t="s">
        <v>1942</v>
      </c>
      <c r="DA319" s="1283" t="s">
        <v>1942</v>
      </c>
      <c r="DB319" s="1285" t="s">
        <v>1942</v>
      </c>
      <c r="DC319" s="785"/>
      <c r="DD319" s="813">
        <v>1</v>
      </c>
      <c r="DE319" s="814"/>
    </row>
    <row r="320" spans="1:109" ht="39.4">
      <c r="A320" s="772" t="s">
        <v>1038</v>
      </c>
      <c r="B320" s="773">
        <v>314</v>
      </c>
      <c r="C320" s="789" t="s">
        <v>3295</v>
      </c>
      <c r="D320" s="773" t="s">
        <v>3282</v>
      </c>
      <c r="E320" s="773" t="s">
        <v>3262</v>
      </c>
      <c r="F320" s="785" t="s">
        <v>3296</v>
      </c>
      <c r="G320" s="790" t="s">
        <v>2171</v>
      </c>
      <c r="H320" s="791" t="s">
        <v>3297</v>
      </c>
      <c r="I320" s="792"/>
      <c r="J320" s="793"/>
      <c r="K320" s="793"/>
      <c r="L320" s="793"/>
      <c r="M320" s="793">
        <v>1</v>
      </c>
      <c r="N320" s="793"/>
      <c r="O320" s="793"/>
      <c r="P320" s="794"/>
      <c r="Q320" s="795">
        <f t="shared" si="4"/>
        <v>1</v>
      </c>
      <c r="R320" s="789" t="s">
        <v>1007</v>
      </c>
      <c r="S320" s="773"/>
      <c r="T320" s="796"/>
      <c r="U320" s="773" t="s">
        <v>2400</v>
      </c>
      <c r="V320" s="773" t="s">
        <v>278</v>
      </c>
      <c r="W320" s="773" t="s">
        <v>3298</v>
      </c>
      <c r="X320" s="829">
        <v>0</v>
      </c>
      <c r="Y320" s="826" t="s">
        <v>1010</v>
      </c>
      <c r="Z320" s="790"/>
      <c r="AA320" s="785"/>
      <c r="AB320" s="785"/>
      <c r="AC320" s="785"/>
      <c r="AD320" s="785"/>
      <c r="AE320" s="785"/>
      <c r="AF320" s="799"/>
      <c r="AG320" s="800"/>
      <c r="AH320" s="800"/>
      <c r="AI320" s="800"/>
      <c r="AJ320" s="800"/>
      <c r="AK320" s="800"/>
      <c r="AL320" s="800"/>
      <c r="AM320" s="800"/>
      <c r="AN320" s="800"/>
      <c r="AO320" s="800"/>
      <c r="AP320" s="800"/>
      <c r="AQ320" s="808">
        <v>75</v>
      </c>
      <c r="AR320" s="800">
        <v>76</v>
      </c>
      <c r="AS320" s="800">
        <v>77</v>
      </c>
      <c r="AT320" s="800">
        <v>78</v>
      </c>
      <c r="AU320" s="805">
        <v>80</v>
      </c>
      <c r="AV320" s="808"/>
      <c r="AW320" s="800"/>
      <c r="AX320" s="800"/>
      <c r="AY320" s="800"/>
      <c r="AZ320" s="800"/>
      <c r="BA320" s="800"/>
      <c r="BB320" s="800"/>
      <c r="BC320" s="800"/>
      <c r="BD320" s="800"/>
      <c r="BE320" s="800"/>
      <c r="BF320" s="800"/>
      <c r="BG320" s="800"/>
      <c r="BH320" s="800"/>
      <c r="BI320" s="800"/>
      <c r="BJ320" s="800"/>
      <c r="BK320" s="805"/>
      <c r="BL320" s="789"/>
      <c r="BM320" s="785"/>
      <c r="BN320" s="785"/>
      <c r="BO320" s="785"/>
      <c r="BP320" s="796"/>
      <c r="BQ320" s="808" t="s">
        <v>1942</v>
      </c>
      <c r="BR320" s="800" t="s">
        <v>1942</v>
      </c>
      <c r="BS320" s="800" t="s">
        <v>1942</v>
      </c>
      <c r="BT320" s="800" t="s">
        <v>1942</v>
      </c>
      <c r="BU320" s="805" t="s">
        <v>1942</v>
      </c>
      <c r="BV320" s="808" t="s">
        <v>1942</v>
      </c>
      <c r="BW320" s="800" t="s">
        <v>1942</v>
      </c>
      <c r="BX320" s="800" t="s">
        <v>1942</v>
      </c>
      <c r="BY320" s="800" t="s">
        <v>1942</v>
      </c>
      <c r="BZ320" s="800" t="s">
        <v>1942</v>
      </c>
      <c r="CA320" s="808" t="s">
        <v>1942</v>
      </c>
      <c r="CB320" s="800" t="s">
        <v>1942</v>
      </c>
      <c r="CC320" s="800" t="s">
        <v>1942</v>
      </c>
      <c r="CD320" s="800" t="s">
        <v>1942</v>
      </c>
      <c r="CE320" s="805" t="s">
        <v>1942</v>
      </c>
      <c r="CF320" s="800" t="s">
        <v>1942</v>
      </c>
      <c r="CG320" s="800" t="s">
        <v>1942</v>
      </c>
      <c r="CH320" s="800" t="s">
        <v>1942</v>
      </c>
      <c r="CI320" s="800" t="s">
        <v>1942</v>
      </c>
      <c r="CJ320" s="805" t="s">
        <v>1942</v>
      </c>
      <c r="CK320" s="808" t="s">
        <v>1942</v>
      </c>
      <c r="CL320" s="800" t="s">
        <v>1942</v>
      </c>
      <c r="CM320" s="800" t="s">
        <v>1942</v>
      </c>
      <c r="CN320" s="800" t="s">
        <v>1942</v>
      </c>
      <c r="CO320" s="805" t="s">
        <v>1942</v>
      </c>
      <c r="CP320" s="808" t="s">
        <v>1942</v>
      </c>
      <c r="CQ320" s="800" t="s">
        <v>1942</v>
      </c>
      <c r="CR320" s="800" t="s">
        <v>1942</v>
      </c>
      <c r="CS320" s="800" t="s">
        <v>1942</v>
      </c>
      <c r="CT320" s="805" t="s">
        <v>1942</v>
      </c>
      <c r="CU320" s="1284" t="s">
        <v>1942</v>
      </c>
      <c r="CV320" s="1283" t="s">
        <v>1942</v>
      </c>
      <c r="CW320" s="1283" t="s">
        <v>1942</v>
      </c>
      <c r="CX320" s="1285" t="s">
        <v>1942</v>
      </c>
      <c r="CY320" s="1283" t="s">
        <v>1942</v>
      </c>
      <c r="CZ320" s="1283" t="s">
        <v>1942</v>
      </c>
      <c r="DA320" s="1283" t="s">
        <v>1942</v>
      </c>
      <c r="DB320" s="1285" t="s">
        <v>1942</v>
      </c>
      <c r="DC320" s="785"/>
      <c r="DD320" s="813">
        <v>1</v>
      </c>
      <c r="DE320" s="814"/>
    </row>
    <row r="321" spans="1:109" ht="26.25">
      <c r="A321" s="772" t="s">
        <v>1038</v>
      </c>
      <c r="B321" s="773">
        <v>315</v>
      </c>
      <c r="C321" s="789" t="s">
        <v>3299</v>
      </c>
      <c r="D321" s="773" t="s">
        <v>3184</v>
      </c>
      <c r="E321" s="773" t="s">
        <v>3095</v>
      </c>
      <c r="F321" s="785" t="s">
        <v>3300</v>
      </c>
      <c r="G321" s="790" t="s">
        <v>703</v>
      </c>
      <c r="H321" s="791" t="s">
        <v>3301</v>
      </c>
      <c r="I321" s="792"/>
      <c r="J321" s="793"/>
      <c r="K321" s="793"/>
      <c r="L321" s="793"/>
      <c r="M321" s="793">
        <v>1</v>
      </c>
      <c r="N321" s="793"/>
      <c r="O321" s="793"/>
      <c r="P321" s="794"/>
      <c r="Q321" s="795">
        <f t="shared" si="4"/>
        <v>1</v>
      </c>
      <c r="R321" s="789" t="s">
        <v>1007</v>
      </c>
      <c r="S321" s="773"/>
      <c r="T321" s="796"/>
      <c r="U321" s="773" t="s">
        <v>1947</v>
      </c>
      <c r="V321" s="773" t="s">
        <v>278</v>
      </c>
      <c r="W321" s="773" t="s">
        <v>3302</v>
      </c>
      <c r="X321" s="1315">
        <v>1</v>
      </c>
      <c r="Y321" s="826" t="s">
        <v>1010</v>
      </c>
      <c r="Z321" s="790" t="s">
        <v>703</v>
      </c>
      <c r="AA321" s="785"/>
      <c r="AB321" s="785"/>
      <c r="AC321" s="785"/>
      <c r="AD321" s="785"/>
      <c r="AE321" s="785"/>
      <c r="AF321" s="799"/>
      <c r="AG321" s="800"/>
      <c r="AH321" s="800"/>
      <c r="AI321" s="800"/>
      <c r="AJ321" s="800"/>
      <c r="AK321" s="800"/>
      <c r="AL321" s="800"/>
      <c r="AM321" s="800"/>
      <c r="AN321" s="800"/>
      <c r="AO321" s="800"/>
      <c r="AP321" s="800"/>
      <c r="AQ321" s="1420"/>
      <c r="AR321" s="1368"/>
      <c r="AS321" s="1368"/>
      <c r="AT321" s="1368"/>
      <c r="AU321" s="1369"/>
      <c r="AV321" s="808"/>
      <c r="AW321" s="800"/>
      <c r="AX321" s="800"/>
      <c r="AY321" s="800"/>
      <c r="AZ321" s="800"/>
      <c r="BA321" s="800"/>
      <c r="BB321" s="800"/>
      <c r="BC321" s="800"/>
      <c r="BD321" s="800"/>
      <c r="BE321" s="800"/>
      <c r="BF321" s="800"/>
      <c r="BG321" s="800"/>
      <c r="BH321" s="800"/>
      <c r="BI321" s="800"/>
      <c r="BJ321" s="800"/>
      <c r="BK321" s="805"/>
      <c r="BL321" s="1376"/>
      <c r="BM321" s="1377"/>
      <c r="BN321" s="1377"/>
      <c r="BO321" s="1377"/>
      <c r="BP321" s="1440"/>
      <c r="BQ321" s="1420"/>
      <c r="BR321" s="1368"/>
      <c r="BS321" s="1368"/>
      <c r="BT321" s="1368"/>
      <c r="BU321" s="1369"/>
      <c r="BV321" s="1420"/>
      <c r="BW321" s="1368"/>
      <c r="BX321" s="1368"/>
      <c r="BY321" s="1368"/>
      <c r="BZ321" s="1368"/>
      <c r="CA321" s="1420"/>
      <c r="CB321" s="1368"/>
      <c r="CC321" s="1368"/>
      <c r="CD321" s="1368"/>
      <c r="CE321" s="1369"/>
      <c r="CF321" s="1368"/>
      <c r="CG321" s="1368"/>
      <c r="CH321" s="1368"/>
      <c r="CI321" s="1368"/>
      <c r="CJ321" s="1369"/>
      <c r="CK321" s="1420"/>
      <c r="CL321" s="1368"/>
      <c r="CM321" s="1368"/>
      <c r="CN321" s="1368"/>
      <c r="CO321" s="1369"/>
      <c r="CP321" s="1420"/>
      <c r="CQ321" s="1368"/>
      <c r="CR321" s="1368"/>
      <c r="CS321" s="1368"/>
      <c r="CT321" s="1369"/>
      <c r="CU321" s="1528"/>
      <c r="CV321" s="1519"/>
      <c r="CW321" s="1519"/>
      <c r="CX321" s="1728"/>
      <c r="CY321" s="1519"/>
      <c r="CZ321" s="1519"/>
      <c r="DA321" s="1519"/>
      <c r="DB321" s="1728"/>
      <c r="DC321" s="1377"/>
      <c r="DD321" s="1729"/>
      <c r="DE321" s="1734"/>
    </row>
    <row r="322" spans="1:109" ht="52.5">
      <c r="A322" s="772" t="s">
        <v>1038</v>
      </c>
      <c r="B322" s="773">
        <v>316</v>
      </c>
      <c r="C322" s="789" t="s">
        <v>3303</v>
      </c>
      <c r="D322" s="773" t="s">
        <v>3155</v>
      </c>
      <c r="E322" s="773" t="s">
        <v>3095</v>
      </c>
      <c r="F322" s="785" t="s">
        <v>3304</v>
      </c>
      <c r="G322" s="790" t="s">
        <v>3305</v>
      </c>
      <c r="H322" s="791" t="s">
        <v>3306</v>
      </c>
      <c r="I322" s="792"/>
      <c r="J322" s="793">
        <v>1</v>
      </c>
      <c r="K322" s="793"/>
      <c r="L322" s="793"/>
      <c r="M322" s="793"/>
      <c r="N322" s="793"/>
      <c r="O322" s="793"/>
      <c r="P322" s="794"/>
      <c r="Q322" s="795">
        <f t="shared" si="4"/>
        <v>1</v>
      </c>
      <c r="R322" s="789" t="s">
        <v>1026</v>
      </c>
      <c r="S322" s="773" t="s">
        <v>1008</v>
      </c>
      <c r="T322" s="796" t="s">
        <v>1019</v>
      </c>
      <c r="U322" s="773" t="s">
        <v>1910</v>
      </c>
      <c r="V322" s="773" t="s">
        <v>2702</v>
      </c>
      <c r="W322" s="773" t="s">
        <v>2320</v>
      </c>
      <c r="X322" s="829">
        <v>0</v>
      </c>
      <c r="Y322" s="826" t="s">
        <v>1020</v>
      </c>
      <c r="Z322" s="790"/>
      <c r="AA322" s="785"/>
      <c r="AB322" s="785"/>
      <c r="AC322" s="785"/>
      <c r="AD322" s="785"/>
      <c r="AE322" s="785"/>
      <c r="AF322" s="799"/>
      <c r="AG322" s="800"/>
      <c r="AH322" s="800"/>
      <c r="AI322" s="800"/>
      <c r="AJ322" s="800"/>
      <c r="AK322" s="800"/>
      <c r="AL322" s="800"/>
      <c r="AM322" s="800"/>
      <c r="AN322" s="800"/>
      <c r="AO322" s="800"/>
      <c r="AP322" s="800"/>
      <c r="AQ322" s="808">
        <v>0</v>
      </c>
      <c r="AR322" s="800">
        <v>0</v>
      </c>
      <c r="AS322" s="800">
        <v>0</v>
      </c>
      <c r="AT322" s="800">
        <v>0</v>
      </c>
      <c r="AU322" s="805">
        <v>0</v>
      </c>
      <c r="AV322" s="808"/>
      <c r="AW322" s="800"/>
      <c r="AX322" s="800"/>
      <c r="AY322" s="800"/>
      <c r="AZ322" s="800"/>
      <c r="BA322" s="800"/>
      <c r="BB322" s="800"/>
      <c r="BC322" s="800"/>
      <c r="BD322" s="800"/>
      <c r="BE322" s="800"/>
      <c r="BF322" s="800"/>
      <c r="BG322" s="800"/>
      <c r="BH322" s="800"/>
      <c r="BI322" s="800"/>
      <c r="BJ322" s="800"/>
      <c r="BK322" s="805"/>
      <c r="BL322" s="789"/>
      <c r="BM322" s="785"/>
      <c r="BN322" s="785"/>
      <c r="BO322" s="785"/>
      <c r="BP322" s="796" t="s">
        <v>168</v>
      </c>
      <c r="BQ322" s="808" t="s">
        <v>1942</v>
      </c>
      <c r="BR322" s="800" t="s">
        <v>1942</v>
      </c>
      <c r="BS322" s="800" t="s">
        <v>1942</v>
      </c>
      <c r="BT322" s="800" t="s">
        <v>1942</v>
      </c>
      <c r="BU322" s="805" t="s">
        <v>1942</v>
      </c>
      <c r="BV322" s="808" t="s">
        <v>1942</v>
      </c>
      <c r="BW322" s="800" t="s">
        <v>1942</v>
      </c>
      <c r="BX322" s="800" t="s">
        <v>1942</v>
      </c>
      <c r="BY322" s="800" t="s">
        <v>1942</v>
      </c>
      <c r="BZ322" s="800" t="s">
        <v>1942</v>
      </c>
      <c r="CA322" s="808" t="s">
        <v>1942</v>
      </c>
      <c r="CB322" s="800" t="s">
        <v>1942</v>
      </c>
      <c r="CC322" s="800" t="s">
        <v>1942</v>
      </c>
      <c r="CD322" s="800" t="s">
        <v>1942</v>
      </c>
      <c r="CE322" s="805" t="s">
        <v>1942</v>
      </c>
      <c r="CF322" s="800" t="s">
        <v>1942</v>
      </c>
      <c r="CG322" s="800" t="s">
        <v>1942</v>
      </c>
      <c r="CH322" s="800" t="s">
        <v>1942</v>
      </c>
      <c r="CI322" s="800" t="s">
        <v>1942</v>
      </c>
      <c r="CJ322" s="805" t="s">
        <v>1942</v>
      </c>
      <c r="CK322" s="808" t="s">
        <v>1942</v>
      </c>
      <c r="CL322" s="800" t="s">
        <v>1942</v>
      </c>
      <c r="CM322" s="800" t="s">
        <v>1942</v>
      </c>
      <c r="CN322" s="800" t="s">
        <v>1942</v>
      </c>
      <c r="CO322" s="805" t="s">
        <v>1942</v>
      </c>
      <c r="CP322" s="808" t="s">
        <v>1942</v>
      </c>
      <c r="CQ322" s="800" t="s">
        <v>1942</v>
      </c>
      <c r="CR322" s="800" t="s">
        <v>1942</v>
      </c>
      <c r="CS322" s="800" t="s">
        <v>1942</v>
      </c>
      <c r="CT322" s="805" t="s">
        <v>1942</v>
      </c>
      <c r="CU322" s="1284">
        <v>-0.70430000000000004</v>
      </c>
      <c r="CV322" s="1283" t="s">
        <v>1942</v>
      </c>
      <c r="CW322" s="1283" t="s">
        <v>1942</v>
      </c>
      <c r="CX322" s="1285" t="s">
        <v>1942</v>
      </c>
      <c r="CY322" s="1283" t="s">
        <v>1942</v>
      </c>
      <c r="CZ322" s="1283" t="s">
        <v>1942</v>
      </c>
      <c r="DA322" s="1283" t="s">
        <v>1942</v>
      </c>
      <c r="DB322" s="1285" t="s">
        <v>1942</v>
      </c>
      <c r="DC322" s="785"/>
      <c r="DD322" s="813">
        <v>1</v>
      </c>
      <c r="DE322" s="814"/>
    </row>
    <row r="323" spans="1:109" ht="13.15">
      <c r="A323" s="772" t="s">
        <v>1038</v>
      </c>
      <c r="B323" s="773">
        <v>317</v>
      </c>
      <c r="C323" s="789" t="s">
        <v>3307</v>
      </c>
      <c r="D323" s="773"/>
      <c r="E323" s="773"/>
      <c r="F323" s="785" t="s">
        <v>3308</v>
      </c>
      <c r="G323" s="790" t="s">
        <v>3309</v>
      </c>
      <c r="H323" s="791"/>
      <c r="I323" s="792">
        <v>1</v>
      </c>
      <c r="J323" s="793"/>
      <c r="K323" s="793"/>
      <c r="L323" s="793"/>
      <c r="M323" s="793"/>
      <c r="N323" s="793"/>
      <c r="O323" s="793"/>
      <c r="P323" s="794"/>
      <c r="Q323" s="795">
        <f t="shared" si="4"/>
        <v>1</v>
      </c>
      <c r="R323" s="789" t="s">
        <v>1026</v>
      </c>
      <c r="S323" s="773" t="s">
        <v>1008</v>
      </c>
      <c r="T323" s="796" t="s">
        <v>1009</v>
      </c>
      <c r="U323" s="773"/>
      <c r="V323" s="773" t="s">
        <v>278</v>
      </c>
      <c r="W323" s="773" t="s">
        <v>3310</v>
      </c>
      <c r="X323" s="829">
        <v>1</v>
      </c>
      <c r="Y323" s="826" t="s">
        <v>1010</v>
      </c>
      <c r="Z323" s="790"/>
      <c r="AA323" s="785"/>
      <c r="AB323" s="785"/>
      <c r="AC323" s="785"/>
      <c r="AD323" s="785"/>
      <c r="AE323" s="785"/>
      <c r="AF323" s="799"/>
      <c r="AG323" s="800"/>
      <c r="AH323" s="800"/>
      <c r="AI323" s="800"/>
      <c r="AJ323" s="800"/>
      <c r="AK323" s="800"/>
      <c r="AL323" s="800"/>
      <c r="AM323" s="800"/>
      <c r="AN323" s="800"/>
      <c r="AO323" s="800"/>
      <c r="AP323" s="800"/>
      <c r="AQ323" s="808">
        <v>0</v>
      </c>
      <c r="AR323" s="800">
        <v>0</v>
      </c>
      <c r="AS323" s="800">
        <v>48.8</v>
      </c>
      <c r="AT323" s="800">
        <v>48.8</v>
      </c>
      <c r="AU323" s="805">
        <v>100</v>
      </c>
      <c r="AV323" s="808"/>
      <c r="AW323" s="800"/>
      <c r="AX323" s="800"/>
      <c r="AY323" s="800"/>
      <c r="AZ323" s="800"/>
      <c r="BA323" s="800"/>
      <c r="BB323" s="800"/>
      <c r="BC323" s="800"/>
      <c r="BD323" s="800"/>
      <c r="BE323" s="800"/>
      <c r="BF323" s="800"/>
      <c r="BG323" s="800"/>
      <c r="BH323" s="800"/>
      <c r="BI323" s="800"/>
      <c r="BJ323" s="800"/>
      <c r="BK323" s="805"/>
      <c r="BL323" s="789"/>
      <c r="BM323" s="785"/>
      <c r="BN323" s="785"/>
      <c r="BO323" s="785"/>
      <c r="BP323" s="796" t="s">
        <v>168</v>
      </c>
      <c r="BQ323" s="808" t="s">
        <v>1942</v>
      </c>
      <c r="BR323" s="800" t="s">
        <v>1942</v>
      </c>
      <c r="BS323" s="800" t="s">
        <v>1942</v>
      </c>
      <c r="BT323" s="800" t="s">
        <v>1942</v>
      </c>
      <c r="BU323" s="805" t="s">
        <v>1942</v>
      </c>
      <c r="BV323" s="808" t="s">
        <v>1942</v>
      </c>
      <c r="BW323" s="800" t="s">
        <v>1942</v>
      </c>
      <c r="BX323" s="800" t="s">
        <v>1942</v>
      </c>
      <c r="BY323" s="800" t="s">
        <v>1942</v>
      </c>
      <c r="BZ323" s="800" t="s">
        <v>1942</v>
      </c>
      <c r="CA323" s="808" t="s">
        <v>1942</v>
      </c>
      <c r="CB323" s="800" t="s">
        <v>1942</v>
      </c>
      <c r="CC323" s="800" t="s">
        <v>1942</v>
      </c>
      <c r="CD323" s="800" t="s">
        <v>1942</v>
      </c>
      <c r="CE323" s="805" t="s">
        <v>1942</v>
      </c>
      <c r="CF323" s="800" t="s">
        <v>1942</v>
      </c>
      <c r="CG323" s="800" t="s">
        <v>1942</v>
      </c>
      <c r="CH323" s="800" t="s">
        <v>1942</v>
      </c>
      <c r="CI323" s="800" t="s">
        <v>1942</v>
      </c>
      <c r="CJ323" s="805" t="s">
        <v>1942</v>
      </c>
      <c r="CK323" s="808" t="s">
        <v>1942</v>
      </c>
      <c r="CL323" s="800" t="s">
        <v>1942</v>
      </c>
      <c r="CM323" s="800" t="s">
        <v>1942</v>
      </c>
      <c r="CN323" s="800" t="s">
        <v>1942</v>
      </c>
      <c r="CO323" s="805" t="s">
        <v>1942</v>
      </c>
      <c r="CP323" s="808" t="s">
        <v>1942</v>
      </c>
      <c r="CQ323" s="800" t="s">
        <v>1942</v>
      </c>
      <c r="CR323" s="800" t="s">
        <v>1942</v>
      </c>
      <c r="CS323" s="800" t="s">
        <v>1942</v>
      </c>
      <c r="CT323" s="805" t="s">
        <v>1942</v>
      </c>
      <c r="CU323" s="1284">
        <v>-6.6299999999999996E-3</v>
      </c>
      <c r="CV323" s="1283" t="s">
        <v>1942</v>
      </c>
      <c r="CW323" s="1283" t="s">
        <v>1942</v>
      </c>
      <c r="CX323" s="1285" t="s">
        <v>1942</v>
      </c>
      <c r="CY323" s="1283" t="s">
        <v>1942</v>
      </c>
      <c r="CZ323" s="1283" t="s">
        <v>1942</v>
      </c>
      <c r="DA323" s="1283" t="s">
        <v>1942</v>
      </c>
      <c r="DB323" s="1285" t="s">
        <v>1942</v>
      </c>
      <c r="DC323" s="785"/>
      <c r="DD323" s="813">
        <v>1</v>
      </c>
      <c r="DE323" s="814"/>
    </row>
    <row r="324" spans="1:109" ht="13.15">
      <c r="A324" s="772" t="s">
        <v>1038</v>
      </c>
      <c r="B324" s="773">
        <v>318</v>
      </c>
      <c r="C324" s="789" t="s">
        <v>3311</v>
      </c>
      <c r="D324" s="773"/>
      <c r="E324" s="773"/>
      <c r="F324" s="785" t="s">
        <v>2032</v>
      </c>
      <c r="G324" s="790" t="s">
        <v>2033</v>
      </c>
      <c r="H324" s="791"/>
      <c r="I324" s="792"/>
      <c r="J324" s="793"/>
      <c r="K324" s="793"/>
      <c r="L324" s="793"/>
      <c r="M324" s="793"/>
      <c r="N324" s="793"/>
      <c r="O324" s="793"/>
      <c r="P324" s="794"/>
      <c r="Q324" s="795">
        <f t="shared" si="4"/>
        <v>0</v>
      </c>
      <c r="R324" s="789" t="s">
        <v>1007</v>
      </c>
      <c r="S324" s="773"/>
      <c r="T324" s="796"/>
      <c r="U324" s="773"/>
      <c r="V324" s="773" t="s">
        <v>1072</v>
      </c>
      <c r="W324" s="773" t="s">
        <v>2034</v>
      </c>
      <c r="X324" s="1277">
        <v>0</v>
      </c>
      <c r="Y324" s="819"/>
      <c r="Z324" s="790"/>
      <c r="AA324" s="785"/>
      <c r="AB324" s="785"/>
      <c r="AC324" s="785"/>
      <c r="AD324" s="785"/>
      <c r="AE324" s="785"/>
      <c r="AF324" s="799"/>
      <c r="AG324" s="800"/>
      <c r="AH324" s="800"/>
      <c r="AI324" s="800"/>
      <c r="AJ324" s="800"/>
      <c r="AK324" s="800"/>
      <c r="AL324" s="800"/>
      <c r="AM324" s="800"/>
      <c r="AN324" s="800"/>
      <c r="AO324" s="800"/>
      <c r="AP324" s="800"/>
      <c r="AQ324" s="808" t="s">
        <v>591</v>
      </c>
      <c r="AR324" s="800" t="s">
        <v>591</v>
      </c>
      <c r="AS324" s="800" t="s">
        <v>591</v>
      </c>
      <c r="AT324" s="800" t="s">
        <v>591</v>
      </c>
      <c r="AU324" s="805" t="s">
        <v>591</v>
      </c>
      <c r="AV324" s="808"/>
      <c r="AW324" s="800"/>
      <c r="AX324" s="800"/>
      <c r="AY324" s="800"/>
      <c r="AZ324" s="800"/>
      <c r="BA324" s="800"/>
      <c r="BB324" s="800"/>
      <c r="BC324" s="800"/>
      <c r="BD324" s="800"/>
      <c r="BE324" s="800"/>
      <c r="BF324" s="800"/>
      <c r="BG324" s="800"/>
      <c r="BH324" s="800"/>
      <c r="BI324" s="800"/>
      <c r="BJ324" s="800"/>
      <c r="BK324" s="805"/>
      <c r="BL324" s="789"/>
      <c r="BM324" s="785"/>
      <c r="BN324" s="785"/>
      <c r="BO324" s="785"/>
      <c r="BP324" s="796"/>
      <c r="BQ324" s="808" t="s">
        <v>1942</v>
      </c>
      <c r="BR324" s="800" t="s">
        <v>1942</v>
      </c>
      <c r="BS324" s="800" t="s">
        <v>1942</v>
      </c>
      <c r="BT324" s="800" t="s">
        <v>1942</v>
      </c>
      <c r="BU324" s="805" t="s">
        <v>1942</v>
      </c>
      <c r="BV324" s="808" t="s">
        <v>1942</v>
      </c>
      <c r="BW324" s="800" t="s">
        <v>1942</v>
      </c>
      <c r="BX324" s="800" t="s">
        <v>1942</v>
      </c>
      <c r="BY324" s="800" t="s">
        <v>1942</v>
      </c>
      <c r="BZ324" s="800" t="s">
        <v>1942</v>
      </c>
      <c r="CA324" s="808" t="s">
        <v>1942</v>
      </c>
      <c r="CB324" s="800" t="s">
        <v>1942</v>
      </c>
      <c r="CC324" s="800" t="s">
        <v>1942</v>
      </c>
      <c r="CD324" s="800" t="s">
        <v>1942</v>
      </c>
      <c r="CE324" s="805" t="s">
        <v>1942</v>
      </c>
      <c r="CF324" s="800" t="s">
        <v>1942</v>
      </c>
      <c r="CG324" s="800" t="s">
        <v>1942</v>
      </c>
      <c r="CH324" s="800" t="s">
        <v>1942</v>
      </c>
      <c r="CI324" s="800" t="s">
        <v>1942</v>
      </c>
      <c r="CJ324" s="805" t="s">
        <v>1942</v>
      </c>
      <c r="CK324" s="808" t="s">
        <v>1942</v>
      </c>
      <c r="CL324" s="800" t="s">
        <v>1942</v>
      </c>
      <c r="CM324" s="800" t="s">
        <v>1942</v>
      </c>
      <c r="CN324" s="800" t="s">
        <v>1942</v>
      </c>
      <c r="CO324" s="805" t="s">
        <v>1942</v>
      </c>
      <c r="CP324" s="808" t="s">
        <v>1942</v>
      </c>
      <c r="CQ324" s="800" t="s">
        <v>1942</v>
      </c>
      <c r="CR324" s="800" t="s">
        <v>1942</v>
      </c>
      <c r="CS324" s="800" t="s">
        <v>1942</v>
      </c>
      <c r="CT324" s="805" t="s">
        <v>1942</v>
      </c>
      <c r="CU324" s="1284" t="s">
        <v>1942</v>
      </c>
      <c r="CV324" s="1283" t="s">
        <v>1942</v>
      </c>
      <c r="CW324" s="1283" t="s">
        <v>1942</v>
      </c>
      <c r="CX324" s="1285" t="s">
        <v>1942</v>
      </c>
      <c r="CY324" s="1283" t="s">
        <v>1942</v>
      </c>
      <c r="CZ324" s="1283" t="s">
        <v>1942</v>
      </c>
      <c r="DA324" s="1283" t="s">
        <v>1942</v>
      </c>
      <c r="DB324" s="1285" t="s">
        <v>1942</v>
      </c>
      <c r="DC324" s="785"/>
      <c r="DD324" s="813"/>
      <c r="DE324" s="814"/>
    </row>
    <row r="325" spans="1:109" ht="13.15" hidden="1">
      <c r="A325" s="772" t="s">
        <v>1078</v>
      </c>
      <c r="B325" s="773">
        <v>319</v>
      </c>
      <c r="C325" s="789" t="s">
        <v>3312</v>
      </c>
      <c r="D325" s="773" t="s">
        <v>3313</v>
      </c>
      <c r="E325" s="773" t="s">
        <v>1907</v>
      </c>
      <c r="F325" s="785" t="s">
        <v>2333</v>
      </c>
      <c r="G325" s="790" t="s">
        <v>1931</v>
      </c>
      <c r="H325" s="791" t="s">
        <v>3314</v>
      </c>
      <c r="I325" s="792">
        <v>0</v>
      </c>
      <c r="J325" s="793">
        <v>0</v>
      </c>
      <c r="K325" s="793"/>
      <c r="L325" s="793"/>
      <c r="M325" s="793">
        <v>1</v>
      </c>
      <c r="N325" s="793"/>
      <c r="O325" s="793"/>
      <c r="P325" s="794"/>
      <c r="Q325" s="795">
        <f t="shared" si="4"/>
        <v>1</v>
      </c>
      <c r="R325" s="789" t="s">
        <v>1030</v>
      </c>
      <c r="S325" s="773" t="s">
        <v>1008</v>
      </c>
      <c r="T325" s="796" t="s">
        <v>1009</v>
      </c>
      <c r="U325" s="773" t="s">
        <v>1069</v>
      </c>
      <c r="V325" s="773" t="s">
        <v>1081</v>
      </c>
      <c r="W325" s="773" t="s">
        <v>3315</v>
      </c>
      <c r="X325" s="1311">
        <v>2</v>
      </c>
      <c r="Y325" s="821" t="s">
        <v>1010</v>
      </c>
      <c r="Z325" s="790" t="s">
        <v>1931</v>
      </c>
      <c r="AA325" s="785"/>
      <c r="AB325" s="785"/>
      <c r="AC325" s="785"/>
      <c r="AD325" s="785"/>
      <c r="AE325" s="785"/>
      <c r="AF325" s="799"/>
      <c r="AG325" s="800"/>
      <c r="AH325" s="800"/>
      <c r="AI325" s="800"/>
      <c r="AJ325" s="800"/>
      <c r="AK325" s="800"/>
      <c r="AL325" s="800"/>
      <c r="AM325" s="800"/>
      <c r="AN325" s="800"/>
      <c r="AO325" s="800"/>
      <c r="AP325" s="800"/>
      <c r="AQ325" s="1420"/>
      <c r="AR325" s="1368"/>
      <c r="AS325" s="1368"/>
      <c r="AT325" s="1368"/>
      <c r="AU325" s="1369"/>
      <c r="AV325" s="808"/>
      <c r="AW325" s="800"/>
      <c r="AX325" s="800"/>
      <c r="AY325" s="800"/>
      <c r="AZ325" s="800"/>
      <c r="BA325" s="800"/>
      <c r="BB325" s="800"/>
      <c r="BC325" s="800"/>
      <c r="BD325" s="800"/>
      <c r="BE325" s="800"/>
      <c r="BF325" s="800"/>
      <c r="BG325" s="800"/>
      <c r="BH325" s="800"/>
      <c r="BI325" s="800"/>
      <c r="BJ325" s="800"/>
      <c r="BK325" s="805"/>
      <c r="BL325" s="1376"/>
      <c r="BM325" s="1377"/>
      <c r="BN325" s="1377"/>
      <c r="BO325" s="1377"/>
      <c r="BP325" s="1440"/>
      <c r="BQ325" s="1420"/>
      <c r="BR325" s="1368"/>
      <c r="BS325" s="1368"/>
      <c r="BT325" s="1368"/>
      <c r="BU325" s="1369"/>
      <c r="BV325" s="1420"/>
      <c r="BW325" s="1368"/>
      <c r="BX325" s="1368"/>
      <c r="BY325" s="1368"/>
      <c r="BZ325" s="1368"/>
      <c r="CA325" s="1420"/>
      <c r="CB325" s="1368"/>
      <c r="CC325" s="1368"/>
      <c r="CD325" s="1368"/>
      <c r="CE325" s="1369"/>
      <c r="CF325" s="1368"/>
      <c r="CG325" s="1368"/>
      <c r="CH325" s="1368"/>
      <c r="CI325" s="1368"/>
      <c r="CJ325" s="1369"/>
      <c r="CK325" s="1420"/>
      <c r="CL325" s="1368"/>
      <c r="CM325" s="1368"/>
      <c r="CN325" s="1368"/>
      <c r="CO325" s="1369"/>
      <c r="CP325" s="1420"/>
      <c r="CQ325" s="1368"/>
      <c r="CR325" s="1368"/>
      <c r="CS325" s="1368"/>
      <c r="CT325" s="1369"/>
      <c r="CU325" s="1528"/>
      <c r="CV325" s="1519"/>
      <c r="CW325" s="1519"/>
      <c r="CX325" s="1728"/>
      <c r="CY325" s="1519"/>
      <c r="CZ325" s="1519"/>
      <c r="DA325" s="1519"/>
      <c r="DB325" s="1728"/>
      <c r="DC325" s="1377"/>
      <c r="DD325" s="1729"/>
      <c r="DE325" s="1734"/>
    </row>
    <row r="326" spans="1:109" ht="13.15" hidden="1">
      <c r="A326" s="772" t="s">
        <v>1078</v>
      </c>
      <c r="B326" s="773">
        <v>320</v>
      </c>
      <c r="C326" s="789" t="s">
        <v>3316</v>
      </c>
      <c r="D326" s="773" t="s">
        <v>3313</v>
      </c>
      <c r="E326" s="773" t="s">
        <v>1907</v>
      </c>
      <c r="F326" s="785" t="s">
        <v>2337</v>
      </c>
      <c r="G326" s="790" t="s">
        <v>1935</v>
      </c>
      <c r="H326" s="791" t="s">
        <v>3317</v>
      </c>
      <c r="I326" s="792">
        <v>0</v>
      </c>
      <c r="J326" s="793">
        <v>1</v>
      </c>
      <c r="K326" s="793"/>
      <c r="L326" s="793"/>
      <c r="M326" s="793">
        <v>0</v>
      </c>
      <c r="N326" s="793"/>
      <c r="O326" s="793"/>
      <c r="P326" s="794"/>
      <c r="Q326" s="795">
        <f t="shared" si="4"/>
        <v>1</v>
      </c>
      <c r="R326" s="789" t="s">
        <v>1030</v>
      </c>
      <c r="S326" s="773" t="s">
        <v>1008</v>
      </c>
      <c r="T326" s="796" t="s">
        <v>1009</v>
      </c>
      <c r="U326" s="773" t="s">
        <v>1073</v>
      </c>
      <c r="V326" s="773" t="s">
        <v>1081</v>
      </c>
      <c r="W326" s="773" t="s">
        <v>3318</v>
      </c>
      <c r="X326" s="1311">
        <v>2</v>
      </c>
      <c r="Y326" s="821" t="s">
        <v>1010</v>
      </c>
      <c r="Z326" s="790" t="s">
        <v>1935</v>
      </c>
      <c r="AA326" s="785"/>
      <c r="AB326" s="785"/>
      <c r="AC326" s="785"/>
      <c r="AD326" s="785"/>
      <c r="AE326" s="785"/>
      <c r="AF326" s="799"/>
      <c r="AG326" s="800"/>
      <c r="AH326" s="800"/>
      <c r="AI326" s="800"/>
      <c r="AJ326" s="800"/>
      <c r="AK326" s="800"/>
      <c r="AL326" s="800"/>
      <c r="AM326" s="800"/>
      <c r="AN326" s="800"/>
      <c r="AO326" s="800"/>
      <c r="AP326" s="800"/>
      <c r="AQ326" s="1420"/>
      <c r="AR326" s="1368"/>
      <c r="AS326" s="1368"/>
      <c r="AT326" s="1368"/>
      <c r="AU326" s="1369"/>
      <c r="AV326" s="808"/>
      <c r="AW326" s="800"/>
      <c r="AX326" s="800"/>
      <c r="AY326" s="800"/>
      <c r="AZ326" s="800"/>
      <c r="BA326" s="800"/>
      <c r="BB326" s="800"/>
      <c r="BC326" s="800"/>
      <c r="BD326" s="800"/>
      <c r="BE326" s="800"/>
      <c r="BF326" s="800"/>
      <c r="BG326" s="800"/>
      <c r="BH326" s="800"/>
      <c r="BI326" s="800"/>
      <c r="BJ326" s="800"/>
      <c r="BK326" s="805"/>
      <c r="BL326" s="1376"/>
      <c r="BM326" s="1377"/>
      <c r="BN326" s="1377"/>
      <c r="BO326" s="1377"/>
      <c r="BP326" s="1440"/>
      <c r="BQ326" s="1420"/>
      <c r="BR326" s="1368"/>
      <c r="BS326" s="1368"/>
      <c r="BT326" s="1368"/>
      <c r="BU326" s="1369"/>
      <c r="BV326" s="1420"/>
      <c r="BW326" s="1368"/>
      <c r="BX326" s="1368"/>
      <c r="BY326" s="1368"/>
      <c r="BZ326" s="1368"/>
      <c r="CA326" s="1420"/>
      <c r="CB326" s="1368"/>
      <c r="CC326" s="1368"/>
      <c r="CD326" s="1368"/>
      <c r="CE326" s="1369"/>
      <c r="CF326" s="1368"/>
      <c r="CG326" s="1368"/>
      <c r="CH326" s="1368"/>
      <c r="CI326" s="1368"/>
      <c r="CJ326" s="1369"/>
      <c r="CK326" s="1420"/>
      <c r="CL326" s="1368"/>
      <c r="CM326" s="1368"/>
      <c r="CN326" s="1368"/>
      <c r="CO326" s="1369"/>
      <c r="CP326" s="1420"/>
      <c r="CQ326" s="1368"/>
      <c r="CR326" s="1368"/>
      <c r="CS326" s="1368"/>
      <c r="CT326" s="1369"/>
      <c r="CU326" s="1528"/>
      <c r="CV326" s="1519"/>
      <c r="CW326" s="1519"/>
      <c r="CX326" s="1728"/>
      <c r="CY326" s="1519"/>
      <c r="CZ326" s="1519"/>
      <c r="DA326" s="1519"/>
      <c r="DB326" s="1728"/>
      <c r="DC326" s="1377"/>
      <c r="DD326" s="1729"/>
      <c r="DE326" s="1734"/>
    </row>
    <row r="327" spans="1:109" ht="39.4" hidden="1">
      <c r="A327" s="772" t="s">
        <v>1078</v>
      </c>
      <c r="B327" s="773">
        <v>321</v>
      </c>
      <c r="C327" s="789" t="s">
        <v>3319</v>
      </c>
      <c r="D327" s="773" t="s">
        <v>3313</v>
      </c>
      <c r="E327" s="773" t="s">
        <v>1907</v>
      </c>
      <c r="F327" s="785" t="s">
        <v>2342</v>
      </c>
      <c r="G327" s="790" t="s">
        <v>3320</v>
      </c>
      <c r="H327" s="791" t="s">
        <v>3321</v>
      </c>
      <c r="I327" s="792">
        <v>0</v>
      </c>
      <c r="J327" s="793">
        <v>1</v>
      </c>
      <c r="K327" s="793"/>
      <c r="L327" s="793"/>
      <c r="M327" s="793">
        <v>0</v>
      </c>
      <c r="N327" s="793"/>
      <c r="O327" s="793"/>
      <c r="P327" s="794"/>
      <c r="Q327" s="795">
        <f t="shared" si="4"/>
        <v>1</v>
      </c>
      <c r="R327" s="789" t="s">
        <v>1007</v>
      </c>
      <c r="S327" s="773"/>
      <c r="T327" s="796"/>
      <c r="U327" s="773" t="s">
        <v>2345</v>
      </c>
      <c r="V327" s="773" t="s">
        <v>278</v>
      </c>
      <c r="W327" s="773" t="s">
        <v>1146</v>
      </c>
      <c r="X327" s="1310">
        <v>1</v>
      </c>
      <c r="Y327" s="821" t="s">
        <v>1010</v>
      </c>
      <c r="Z327" s="790"/>
      <c r="AA327" s="785"/>
      <c r="AB327" s="785"/>
      <c r="AC327" s="785"/>
      <c r="AD327" s="785"/>
      <c r="AE327" s="785"/>
      <c r="AF327" s="799"/>
      <c r="AG327" s="800"/>
      <c r="AH327" s="800"/>
      <c r="AI327" s="800"/>
      <c r="AJ327" s="800"/>
      <c r="AK327" s="800"/>
      <c r="AL327" s="800"/>
      <c r="AM327" s="800"/>
      <c r="AN327" s="800"/>
      <c r="AO327" s="800"/>
      <c r="AP327" s="800"/>
      <c r="AQ327" s="808">
        <v>93.3</v>
      </c>
      <c r="AR327" s="800">
        <v>93.3</v>
      </c>
      <c r="AS327" s="800">
        <v>93.3</v>
      </c>
      <c r="AT327" s="800">
        <v>93.3</v>
      </c>
      <c r="AU327" s="805">
        <v>93.3</v>
      </c>
      <c r="AV327" s="808"/>
      <c r="AW327" s="800"/>
      <c r="AX327" s="800"/>
      <c r="AY327" s="800"/>
      <c r="AZ327" s="800"/>
      <c r="BA327" s="800"/>
      <c r="BB327" s="800"/>
      <c r="BC327" s="800"/>
      <c r="BD327" s="800"/>
      <c r="BE327" s="800"/>
      <c r="BF327" s="800"/>
      <c r="BG327" s="800"/>
      <c r="BH327" s="800"/>
      <c r="BI327" s="800"/>
      <c r="BJ327" s="800"/>
      <c r="BK327" s="805"/>
      <c r="BL327" s="789"/>
      <c r="BM327" s="785"/>
      <c r="BN327" s="785"/>
      <c r="BO327" s="785"/>
      <c r="BP327" s="796"/>
      <c r="BQ327" s="808" t="s">
        <v>1942</v>
      </c>
      <c r="BR327" s="800" t="s">
        <v>1942</v>
      </c>
      <c r="BS327" s="800" t="s">
        <v>1942</v>
      </c>
      <c r="BT327" s="800" t="s">
        <v>1942</v>
      </c>
      <c r="BU327" s="805" t="s">
        <v>1942</v>
      </c>
      <c r="BV327" s="808" t="s">
        <v>1942</v>
      </c>
      <c r="BW327" s="800" t="s">
        <v>1942</v>
      </c>
      <c r="BX327" s="800" t="s">
        <v>1942</v>
      </c>
      <c r="BY327" s="800" t="s">
        <v>1942</v>
      </c>
      <c r="BZ327" s="800" t="s">
        <v>1942</v>
      </c>
      <c r="CA327" s="808" t="s">
        <v>1942</v>
      </c>
      <c r="CB327" s="800" t="s">
        <v>1942</v>
      </c>
      <c r="CC327" s="800" t="s">
        <v>1942</v>
      </c>
      <c r="CD327" s="800" t="s">
        <v>1942</v>
      </c>
      <c r="CE327" s="805" t="s">
        <v>1942</v>
      </c>
      <c r="CF327" s="800" t="s">
        <v>1942</v>
      </c>
      <c r="CG327" s="800" t="s">
        <v>1942</v>
      </c>
      <c r="CH327" s="800" t="s">
        <v>1942</v>
      </c>
      <c r="CI327" s="800" t="s">
        <v>1942</v>
      </c>
      <c r="CJ327" s="800" t="s">
        <v>1942</v>
      </c>
      <c r="CK327" s="808" t="s">
        <v>1942</v>
      </c>
      <c r="CL327" s="800" t="s">
        <v>1942</v>
      </c>
      <c r="CM327" s="800" t="s">
        <v>1942</v>
      </c>
      <c r="CN327" s="800" t="s">
        <v>1942</v>
      </c>
      <c r="CO327" s="805" t="s">
        <v>1942</v>
      </c>
      <c r="CP327" s="808" t="s">
        <v>1942</v>
      </c>
      <c r="CQ327" s="800" t="s">
        <v>1942</v>
      </c>
      <c r="CR327" s="800" t="s">
        <v>1942</v>
      </c>
      <c r="CS327" s="800" t="s">
        <v>1942</v>
      </c>
      <c r="CT327" s="805" t="s">
        <v>1942</v>
      </c>
      <c r="CU327" s="1284" t="s">
        <v>1942</v>
      </c>
      <c r="CV327" s="1283" t="s">
        <v>1942</v>
      </c>
      <c r="CW327" s="1283" t="s">
        <v>1942</v>
      </c>
      <c r="CX327" s="1285" t="s">
        <v>1942</v>
      </c>
      <c r="CY327" s="1283" t="s">
        <v>1942</v>
      </c>
      <c r="CZ327" s="1283" t="s">
        <v>1942</v>
      </c>
      <c r="DA327" s="1283" t="s">
        <v>1942</v>
      </c>
      <c r="DB327" s="1285" t="s">
        <v>1942</v>
      </c>
      <c r="DC327" s="785"/>
      <c r="DD327" s="813">
        <v>1</v>
      </c>
      <c r="DE327" s="814"/>
    </row>
    <row r="328" spans="1:109" ht="39.4" hidden="1">
      <c r="A328" s="772" t="s">
        <v>1078</v>
      </c>
      <c r="B328" s="773">
        <v>322</v>
      </c>
      <c r="C328" s="789" t="s">
        <v>3322</v>
      </c>
      <c r="D328" s="773" t="s">
        <v>3323</v>
      </c>
      <c r="E328" s="773" t="s">
        <v>1896</v>
      </c>
      <c r="F328" s="785" t="s">
        <v>2349</v>
      </c>
      <c r="G328" s="790" t="s">
        <v>3324</v>
      </c>
      <c r="H328" s="791" t="s">
        <v>3325</v>
      </c>
      <c r="I328" s="792">
        <v>0</v>
      </c>
      <c r="J328" s="793">
        <v>0</v>
      </c>
      <c r="K328" s="793"/>
      <c r="L328" s="793"/>
      <c r="M328" s="793">
        <v>1</v>
      </c>
      <c r="N328" s="793"/>
      <c r="O328" s="793"/>
      <c r="P328" s="794"/>
      <c r="Q328" s="795">
        <f t="shared" si="4"/>
        <v>1</v>
      </c>
      <c r="R328" s="789" t="s">
        <v>1026</v>
      </c>
      <c r="S328" s="773" t="s">
        <v>1008</v>
      </c>
      <c r="T328" s="796" t="s">
        <v>1009</v>
      </c>
      <c r="U328" s="773" t="s">
        <v>2029</v>
      </c>
      <c r="V328" s="773" t="s">
        <v>1033</v>
      </c>
      <c r="W328" s="773" t="s">
        <v>3326</v>
      </c>
      <c r="X328" s="1310">
        <v>0</v>
      </c>
      <c r="Y328" s="821" t="s">
        <v>1010</v>
      </c>
      <c r="Z328" s="790"/>
      <c r="AA328" s="785"/>
      <c r="AB328" s="785"/>
      <c r="AC328" s="785"/>
      <c r="AD328" s="785"/>
      <c r="AE328" s="785"/>
      <c r="AF328" s="799"/>
      <c r="AG328" s="800"/>
      <c r="AH328" s="800"/>
      <c r="AI328" s="800"/>
      <c r="AJ328" s="800"/>
      <c r="AK328" s="800"/>
      <c r="AL328" s="797"/>
      <c r="AM328" s="797"/>
      <c r="AN328" s="797"/>
      <c r="AO328" s="797"/>
      <c r="AP328" s="797"/>
      <c r="AQ328" s="827">
        <v>32000</v>
      </c>
      <c r="AR328" s="797">
        <v>34000</v>
      </c>
      <c r="AS328" s="797">
        <v>36000</v>
      </c>
      <c r="AT328" s="797">
        <v>38000</v>
      </c>
      <c r="AU328" s="841">
        <v>40000</v>
      </c>
      <c r="AV328" s="827"/>
      <c r="AW328" s="797"/>
      <c r="AX328" s="797"/>
      <c r="AY328" s="797"/>
      <c r="AZ328" s="797"/>
      <c r="BA328" s="797"/>
      <c r="BB328" s="797"/>
      <c r="BC328" s="797"/>
      <c r="BD328" s="797"/>
      <c r="BE328" s="797"/>
      <c r="BF328" s="797"/>
      <c r="BG328" s="797"/>
      <c r="BH328" s="797"/>
      <c r="BI328" s="797"/>
      <c r="BJ328" s="797"/>
      <c r="BK328" s="841"/>
      <c r="BL328" s="789" t="s">
        <v>168</v>
      </c>
      <c r="BM328" s="785" t="s">
        <v>168</v>
      </c>
      <c r="BN328" s="785" t="s">
        <v>168</v>
      </c>
      <c r="BO328" s="785" t="s">
        <v>168</v>
      </c>
      <c r="BP328" s="796" t="s">
        <v>168</v>
      </c>
      <c r="BQ328" s="808" t="s">
        <v>1942</v>
      </c>
      <c r="BR328" s="800" t="s">
        <v>1942</v>
      </c>
      <c r="BS328" s="800" t="s">
        <v>1942</v>
      </c>
      <c r="BT328" s="800" t="s">
        <v>1942</v>
      </c>
      <c r="BU328" s="805" t="s">
        <v>1942</v>
      </c>
      <c r="BV328" s="808" t="s">
        <v>1942</v>
      </c>
      <c r="BW328" s="800" t="s">
        <v>1942</v>
      </c>
      <c r="BX328" s="800" t="s">
        <v>1942</v>
      </c>
      <c r="BY328" s="800" t="s">
        <v>1942</v>
      </c>
      <c r="BZ328" s="800" t="s">
        <v>1942</v>
      </c>
      <c r="CA328" s="808" t="s">
        <v>1942</v>
      </c>
      <c r="CB328" s="800" t="s">
        <v>1942</v>
      </c>
      <c r="CC328" s="800" t="s">
        <v>1942</v>
      </c>
      <c r="CD328" s="800" t="s">
        <v>1942</v>
      </c>
      <c r="CE328" s="805" t="s">
        <v>1942</v>
      </c>
      <c r="CF328" s="800" t="s">
        <v>1942</v>
      </c>
      <c r="CG328" s="800" t="s">
        <v>1942</v>
      </c>
      <c r="CH328" s="800" t="s">
        <v>1942</v>
      </c>
      <c r="CI328" s="800" t="s">
        <v>1942</v>
      </c>
      <c r="CJ328" s="805" t="s">
        <v>1942</v>
      </c>
      <c r="CK328" s="808" t="s">
        <v>1942</v>
      </c>
      <c r="CL328" s="800" t="s">
        <v>1942</v>
      </c>
      <c r="CM328" s="800" t="s">
        <v>1942</v>
      </c>
      <c r="CN328" s="800" t="s">
        <v>1942</v>
      </c>
      <c r="CO328" s="805" t="s">
        <v>1942</v>
      </c>
      <c r="CP328" s="808" t="s">
        <v>1942</v>
      </c>
      <c r="CQ328" s="800" t="s">
        <v>1942</v>
      </c>
      <c r="CR328" s="800" t="s">
        <v>1942</v>
      </c>
      <c r="CS328" s="800" t="s">
        <v>1942</v>
      </c>
      <c r="CT328" s="805" t="s">
        <v>1942</v>
      </c>
      <c r="CU328" s="1284">
        <v>-6.0000000000000002E-6</v>
      </c>
      <c r="CV328" s="1283" t="s">
        <v>1942</v>
      </c>
      <c r="CW328" s="1283" t="s">
        <v>1942</v>
      </c>
      <c r="CX328" s="1285" t="s">
        <v>1942</v>
      </c>
      <c r="CY328" s="1283" t="s">
        <v>1942</v>
      </c>
      <c r="CZ328" s="1283" t="s">
        <v>1942</v>
      </c>
      <c r="DA328" s="1283" t="s">
        <v>1942</v>
      </c>
      <c r="DB328" s="1285" t="s">
        <v>1942</v>
      </c>
      <c r="DC328" s="785"/>
      <c r="DD328" s="813">
        <v>1</v>
      </c>
      <c r="DE328" s="814"/>
    </row>
    <row r="329" spans="1:109" ht="65.650000000000006" hidden="1">
      <c r="A329" s="772" t="s">
        <v>1078</v>
      </c>
      <c r="B329" s="773">
        <v>323</v>
      </c>
      <c r="C329" s="789" t="s">
        <v>3327</v>
      </c>
      <c r="D329" s="773" t="s">
        <v>3323</v>
      </c>
      <c r="E329" s="773" t="s">
        <v>1907</v>
      </c>
      <c r="F329" s="785" t="s">
        <v>2353</v>
      </c>
      <c r="G329" s="790" t="s">
        <v>3328</v>
      </c>
      <c r="H329" s="791" t="s">
        <v>3329</v>
      </c>
      <c r="I329" s="792">
        <v>0</v>
      </c>
      <c r="J329" s="793">
        <v>0</v>
      </c>
      <c r="K329" s="793"/>
      <c r="L329" s="793"/>
      <c r="M329" s="793">
        <v>1</v>
      </c>
      <c r="N329" s="793"/>
      <c r="O329" s="793"/>
      <c r="P329" s="794"/>
      <c r="Q329" s="795">
        <f t="shared" ref="Q329:Q392" si="5">SUM(I329:P329)</f>
        <v>1</v>
      </c>
      <c r="R329" s="789" t="s">
        <v>1026</v>
      </c>
      <c r="S329" s="773" t="s">
        <v>1008</v>
      </c>
      <c r="T329" s="796" t="s">
        <v>1009</v>
      </c>
      <c r="U329" s="773" t="s">
        <v>2029</v>
      </c>
      <c r="V329" s="773" t="s">
        <v>278</v>
      </c>
      <c r="W329" s="773" t="s">
        <v>1146</v>
      </c>
      <c r="X329" s="1310">
        <v>1</v>
      </c>
      <c r="Y329" s="821" t="s">
        <v>1010</v>
      </c>
      <c r="Z329" s="790"/>
      <c r="AA329" s="785"/>
      <c r="AB329" s="785"/>
      <c r="AC329" s="785"/>
      <c r="AD329" s="785"/>
      <c r="AE329" s="785"/>
      <c r="AF329" s="799"/>
      <c r="AG329" s="800"/>
      <c r="AH329" s="800"/>
      <c r="AI329" s="800"/>
      <c r="AJ329" s="800"/>
      <c r="AK329" s="800"/>
      <c r="AL329" s="800"/>
      <c r="AM329" s="800"/>
      <c r="AN329" s="800"/>
      <c r="AO329" s="800"/>
      <c r="AP329" s="800"/>
      <c r="AQ329" s="808">
        <v>5</v>
      </c>
      <c r="AR329" s="800">
        <v>5</v>
      </c>
      <c r="AS329" s="800">
        <v>5</v>
      </c>
      <c r="AT329" s="800">
        <v>5</v>
      </c>
      <c r="AU329" s="805">
        <v>5</v>
      </c>
      <c r="AV329" s="808"/>
      <c r="AW329" s="800"/>
      <c r="AX329" s="800"/>
      <c r="AY329" s="800"/>
      <c r="AZ329" s="800"/>
      <c r="BA329" s="800"/>
      <c r="BB329" s="800"/>
      <c r="BC329" s="800"/>
      <c r="BD329" s="800"/>
      <c r="BE329" s="800"/>
      <c r="BF329" s="800"/>
      <c r="BG329" s="800"/>
      <c r="BH329" s="800"/>
      <c r="BI329" s="800"/>
      <c r="BJ329" s="800"/>
      <c r="BK329" s="805"/>
      <c r="BL329" s="789" t="s">
        <v>168</v>
      </c>
      <c r="BM329" s="785" t="s">
        <v>168</v>
      </c>
      <c r="BN329" s="785" t="s">
        <v>168</v>
      </c>
      <c r="BO329" s="785" t="s">
        <v>168</v>
      </c>
      <c r="BP329" s="796" t="s">
        <v>168</v>
      </c>
      <c r="BQ329" s="808" t="s">
        <v>1942</v>
      </c>
      <c r="BR329" s="800" t="s">
        <v>1942</v>
      </c>
      <c r="BS329" s="800" t="s">
        <v>1942</v>
      </c>
      <c r="BT329" s="800" t="s">
        <v>1942</v>
      </c>
      <c r="BU329" s="805" t="s">
        <v>1942</v>
      </c>
      <c r="BV329" s="808" t="s">
        <v>1942</v>
      </c>
      <c r="BW329" s="800" t="s">
        <v>1942</v>
      </c>
      <c r="BX329" s="800" t="s">
        <v>1942</v>
      </c>
      <c r="BY329" s="800" t="s">
        <v>1942</v>
      </c>
      <c r="BZ329" s="800" t="s">
        <v>1942</v>
      </c>
      <c r="CA329" s="808" t="s">
        <v>1942</v>
      </c>
      <c r="CB329" s="800" t="s">
        <v>1942</v>
      </c>
      <c r="CC329" s="800" t="s">
        <v>1942</v>
      </c>
      <c r="CD329" s="800" t="s">
        <v>1942</v>
      </c>
      <c r="CE329" s="805" t="s">
        <v>1942</v>
      </c>
      <c r="CF329" s="800" t="s">
        <v>1942</v>
      </c>
      <c r="CG329" s="800" t="s">
        <v>1942</v>
      </c>
      <c r="CH329" s="800" t="s">
        <v>1942</v>
      </c>
      <c r="CI329" s="800" t="s">
        <v>1942</v>
      </c>
      <c r="CJ329" s="805" t="s">
        <v>1942</v>
      </c>
      <c r="CK329" s="808" t="s">
        <v>1942</v>
      </c>
      <c r="CL329" s="800" t="s">
        <v>1942</v>
      </c>
      <c r="CM329" s="800" t="s">
        <v>1942</v>
      </c>
      <c r="CN329" s="800" t="s">
        <v>1942</v>
      </c>
      <c r="CO329" s="805" t="s">
        <v>1942</v>
      </c>
      <c r="CP329" s="808" t="s">
        <v>1942</v>
      </c>
      <c r="CQ329" s="800" t="s">
        <v>1942</v>
      </c>
      <c r="CR329" s="800" t="s">
        <v>1942</v>
      </c>
      <c r="CS329" s="800" t="s">
        <v>1942</v>
      </c>
      <c r="CT329" s="805" t="s">
        <v>1942</v>
      </c>
      <c r="CU329" s="1284">
        <v>-3.2231999999999997E-2</v>
      </c>
      <c r="CV329" s="1283" t="s">
        <v>1942</v>
      </c>
      <c r="CW329" s="1283" t="s">
        <v>1942</v>
      </c>
      <c r="CX329" s="1285" t="s">
        <v>1942</v>
      </c>
      <c r="CY329" s="1283" t="s">
        <v>1942</v>
      </c>
      <c r="CZ329" s="1283" t="s">
        <v>1942</v>
      </c>
      <c r="DA329" s="1283" t="s">
        <v>1942</v>
      </c>
      <c r="DB329" s="1285" t="s">
        <v>1942</v>
      </c>
      <c r="DC329" s="785"/>
      <c r="DD329" s="813">
        <v>1</v>
      </c>
      <c r="DE329" s="814"/>
    </row>
    <row r="330" spans="1:109" ht="13.15" hidden="1">
      <c r="A330" s="772" t="s">
        <v>1078</v>
      </c>
      <c r="B330" s="773">
        <v>324</v>
      </c>
      <c r="C330" s="789" t="s">
        <v>3330</v>
      </c>
      <c r="D330" s="773" t="s">
        <v>3323</v>
      </c>
      <c r="E330" s="773" t="s">
        <v>1889</v>
      </c>
      <c r="F330" s="785" t="s">
        <v>2356</v>
      </c>
      <c r="G330" s="790" t="s">
        <v>3331</v>
      </c>
      <c r="H330" s="791" t="s">
        <v>3332</v>
      </c>
      <c r="I330" s="792">
        <v>8.1000000000000003E-2</v>
      </c>
      <c r="J330" s="793">
        <v>0.91900000000000004</v>
      </c>
      <c r="K330" s="793"/>
      <c r="L330" s="793"/>
      <c r="M330" s="793">
        <v>0</v>
      </c>
      <c r="N330" s="793"/>
      <c r="O330" s="793"/>
      <c r="P330" s="794"/>
      <c r="Q330" s="795">
        <f t="shared" si="5"/>
        <v>1</v>
      </c>
      <c r="R330" s="789" t="s">
        <v>1030</v>
      </c>
      <c r="S330" s="773" t="s">
        <v>1008</v>
      </c>
      <c r="T330" s="796" t="s">
        <v>1009</v>
      </c>
      <c r="U330" s="773" t="s">
        <v>2400</v>
      </c>
      <c r="V330" s="773" t="s">
        <v>1033</v>
      </c>
      <c r="W330" s="773" t="s">
        <v>2401</v>
      </c>
      <c r="X330" s="1310">
        <v>0</v>
      </c>
      <c r="Y330" s="821" t="s">
        <v>1010</v>
      </c>
      <c r="Z330" s="790"/>
      <c r="AA330" s="785"/>
      <c r="AB330" s="785"/>
      <c r="AC330" s="785"/>
      <c r="AD330" s="785"/>
      <c r="AE330" s="785"/>
      <c r="AF330" s="799"/>
      <c r="AG330" s="800"/>
      <c r="AH330" s="800"/>
      <c r="AI330" s="800"/>
      <c r="AJ330" s="800"/>
      <c r="AK330" s="800"/>
      <c r="AL330" s="800"/>
      <c r="AM330" s="800"/>
      <c r="AN330" s="800"/>
      <c r="AO330" s="800"/>
      <c r="AP330" s="800"/>
      <c r="AQ330" s="808">
        <v>6000</v>
      </c>
      <c r="AR330" s="800">
        <v>6000</v>
      </c>
      <c r="AS330" s="800">
        <v>6000</v>
      </c>
      <c r="AT330" s="800">
        <v>6000</v>
      </c>
      <c r="AU330" s="805">
        <v>6000</v>
      </c>
      <c r="AV330" s="808"/>
      <c r="AW330" s="800"/>
      <c r="AX330" s="800"/>
      <c r="AY330" s="800"/>
      <c r="AZ330" s="800"/>
      <c r="BA330" s="800"/>
      <c r="BB330" s="800"/>
      <c r="BC330" s="800"/>
      <c r="BD330" s="800"/>
      <c r="BE330" s="800"/>
      <c r="BF330" s="800"/>
      <c r="BG330" s="800"/>
      <c r="BH330" s="800"/>
      <c r="BI330" s="800"/>
      <c r="BJ330" s="800"/>
      <c r="BK330" s="805"/>
      <c r="BL330" s="789" t="s">
        <v>168</v>
      </c>
      <c r="BM330" s="785" t="s">
        <v>168</v>
      </c>
      <c r="BN330" s="785" t="s">
        <v>168</v>
      </c>
      <c r="BO330" s="785" t="s">
        <v>168</v>
      </c>
      <c r="BP330" s="796" t="s">
        <v>168</v>
      </c>
      <c r="BQ330" s="808" t="s">
        <v>1942</v>
      </c>
      <c r="BR330" s="800" t="s">
        <v>1942</v>
      </c>
      <c r="BS330" s="800" t="s">
        <v>1942</v>
      </c>
      <c r="BT330" s="800" t="s">
        <v>1942</v>
      </c>
      <c r="BU330" s="805" t="s">
        <v>1942</v>
      </c>
      <c r="BV330" s="808" t="s">
        <v>1942</v>
      </c>
      <c r="BW330" s="800" t="s">
        <v>1942</v>
      </c>
      <c r="BX330" s="800" t="s">
        <v>1942</v>
      </c>
      <c r="BY330" s="800" t="s">
        <v>1942</v>
      </c>
      <c r="BZ330" s="800" t="s">
        <v>1942</v>
      </c>
      <c r="CA330" s="808" t="s">
        <v>1942</v>
      </c>
      <c r="CB330" s="800" t="s">
        <v>1942</v>
      </c>
      <c r="CC330" s="800" t="s">
        <v>1942</v>
      </c>
      <c r="CD330" s="800" t="s">
        <v>1942</v>
      </c>
      <c r="CE330" s="805" t="s">
        <v>1942</v>
      </c>
      <c r="CF330" s="800" t="s">
        <v>1942</v>
      </c>
      <c r="CG330" s="800" t="s">
        <v>1942</v>
      </c>
      <c r="CH330" s="800" t="s">
        <v>1942</v>
      </c>
      <c r="CI330" s="800" t="s">
        <v>1942</v>
      </c>
      <c r="CJ330" s="805" t="s">
        <v>1942</v>
      </c>
      <c r="CK330" s="808">
        <v>7000</v>
      </c>
      <c r="CL330" s="800">
        <v>7000</v>
      </c>
      <c r="CM330" s="800">
        <v>7000</v>
      </c>
      <c r="CN330" s="800">
        <v>7000</v>
      </c>
      <c r="CO330" s="805">
        <v>7000</v>
      </c>
      <c r="CP330" s="808" t="s">
        <v>1942</v>
      </c>
      <c r="CQ330" s="800" t="s">
        <v>1942</v>
      </c>
      <c r="CR330" s="800" t="s">
        <v>1942</v>
      </c>
      <c r="CS330" s="800" t="s">
        <v>1942</v>
      </c>
      <c r="CT330" s="805" t="s">
        <v>1942</v>
      </c>
      <c r="CU330" s="1284">
        <v>-1.5E-5</v>
      </c>
      <c r="CV330" s="1283" t="s">
        <v>1942</v>
      </c>
      <c r="CW330" s="1283" t="s">
        <v>1942</v>
      </c>
      <c r="CX330" s="1285" t="s">
        <v>1942</v>
      </c>
      <c r="CY330" s="1283">
        <v>7.9999999999999996E-6</v>
      </c>
      <c r="CZ330" s="1283" t="s">
        <v>1942</v>
      </c>
      <c r="DA330" s="1283" t="s">
        <v>1942</v>
      </c>
      <c r="DB330" s="1285" t="s">
        <v>1942</v>
      </c>
      <c r="DC330" s="785"/>
      <c r="DD330" s="813">
        <v>1</v>
      </c>
      <c r="DE330" s="814"/>
    </row>
    <row r="331" spans="1:109" ht="13.15" hidden="1">
      <c r="A331" s="772" t="s">
        <v>1078</v>
      </c>
      <c r="B331" s="773">
        <v>325</v>
      </c>
      <c r="C331" s="789" t="s">
        <v>3333</v>
      </c>
      <c r="D331" s="773" t="s">
        <v>3323</v>
      </c>
      <c r="E331" s="773" t="s">
        <v>1907</v>
      </c>
      <c r="F331" s="785" t="s">
        <v>2360</v>
      </c>
      <c r="G331" s="790" t="s">
        <v>703</v>
      </c>
      <c r="H331" s="791" t="s">
        <v>3334</v>
      </c>
      <c r="I331" s="792">
        <v>0</v>
      </c>
      <c r="J331" s="793">
        <v>0</v>
      </c>
      <c r="K331" s="793"/>
      <c r="L331" s="793"/>
      <c r="M331" s="793">
        <v>1</v>
      </c>
      <c r="N331" s="793"/>
      <c r="O331" s="793"/>
      <c r="P331" s="794"/>
      <c r="Q331" s="795">
        <f t="shared" si="5"/>
        <v>1</v>
      </c>
      <c r="R331" s="789" t="s">
        <v>1007</v>
      </c>
      <c r="S331" s="773"/>
      <c r="T331" s="796"/>
      <c r="U331" s="773" t="s">
        <v>2029</v>
      </c>
      <c r="V331" s="773" t="s">
        <v>278</v>
      </c>
      <c r="W331" s="773" t="s">
        <v>3335</v>
      </c>
      <c r="X331" s="1310">
        <v>1</v>
      </c>
      <c r="Y331" s="821" t="s">
        <v>1010</v>
      </c>
      <c r="Z331" s="790" t="s">
        <v>703</v>
      </c>
      <c r="AA331" s="785"/>
      <c r="AB331" s="785"/>
      <c r="AC331" s="785"/>
      <c r="AD331" s="785"/>
      <c r="AE331" s="785"/>
      <c r="AF331" s="799"/>
      <c r="AG331" s="800"/>
      <c r="AH331" s="800"/>
      <c r="AI331" s="800"/>
      <c r="AJ331" s="800"/>
      <c r="AK331" s="800"/>
      <c r="AL331" s="800"/>
      <c r="AM331" s="800"/>
      <c r="AN331" s="800"/>
      <c r="AO331" s="800"/>
      <c r="AP331" s="800"/>
      <c r="AQ331" s="1420"/>
      <c r="AR331" s="1368"/>
      <c r="AS331" s="1368"/>
      <c r="AT331" s="1368"/>
      <c r="AU331" s="1369"/>
      <c r="AV331" s="808"/>
      <c r="AW331" s="800"/>
      <c r="AX331" s="800"/>
      <c r="AY331" s="800"/>
      <c r="AZ331" s="800"/>
      <c r="BA331" s="800"/>
      <c r="BB331" s="800"/>
      <c r="BC331" s="800"/>
      <c r="BD331" s="800"/>
      <c r="BE331" s="800"/>
      <c r="BF331" s="800"/>
      <c r="BG331" s="800"/>
      <c r="BH331" s="800"/>
      <c r="BI331" s="800"/>
      <c r="BJ331" s="800"/>
      <c r="BK331" s="805"/>
      <c r="BL331" s="1376"/>
      <c r="BM331" s="1377"/>
      <c r="BN331" s="1377"/>
      <c r="BO331" s="1377"/>
      <c r="BP331" s="1440"/>
      <c r="BQ331" s="1420"/>
      <c r="BR331" s="1368"/>
      <c r="BS331" s="1368"/>
      <c r="BT331" s="1368"/>
      <c r="BU331" s="1369"/>
      <c r="BV331" s="1420"/>
      <c r="BW331" s="1368"/>
      <c r="BX331" s="1368"/>
      <c r="BY331" s="1368"/>
      <c r="BZ331" s="1368"/>
      <c r="CA331" s="1420"/>
      <c r="CB331" s="1368"/>
      <c r="CC331" s="1368"/>
      <c r="CD331" s="1368"/>
      <c r="CE331" s="1369"/>
      <c r="CF331" s="1368"/>
      <c r="CG331" s="1368"/>
      <c r="CH331" s="1368"/>
      <c r="CI331" s="1368"/>
      <c r="CJ331" s="1369"/>
      <c r="CK331" s="1420"/>
      <c r="CL331" s="1368"/>
      <c r="CM331" s="1368"/>
      <c r="CN331" s="1368"/>
      <c r="CO331" s="1369"/>
      <c r="CP331" s="1420"/>
      <c r="CQ331" s="1368"/>
      <c r="CR331" s="1368"/>
      <c r="CS331" s="1368"/>
      <c r="CT331" s="1369"/>
      <c r="CU331" s="1528"/>
      <c r="CV331" s="1519"/>
      <c r="CW331" s="1519"/>
      <c r="CX331" s="1728"/>
      <c r="CY331" s="1519"/>
      <c r="CZ331" s="1519"/>
      <c r="DA331" s="1519"/>
      <c r="DB331" s="1728"/>
      <c r="DC331" s="1377"/>
      <c r="DD331" s="1729"/>
      <c r="DE331" s="1734"/>
    </row>
    <row r="332" spans="1:109" ht="13.15" hidden="1">
      <c r="A332" s="772" t="s">
        <v>1078</v>
      </c>
      <c r="B332" s="773">
        <v>326</v>
      </c>
      <c r="C332" s="789" t="s">
        <v>3336</v>
      </c>
      <c r="D332" s="773" t="s">
        <v>3337</v>
      </c>
      <c r="E332" s="773" t="s">
        <v>1896</v>
      </c>
      <c r="F332" s="785" t="s">
        <v>2377</v>
      </c>
      <c r="G332" s="790" t="s">
        <v>3338</v>
      </c>
      <c r="H332" s="791" t="s">
        <v>3339</v>
      </c>
      <c r="I332" s="792">
        <v>0</v>
      </c>
      <c r="J332" s="793">
        <v>1</v>
      </c>
      <c r="K332" s="793"/>
      <c r="L332" s="793"/>
      <c r="M332" s="793">
        <v>0</v>
      </c>
      <c r="N332" s="793"/>
      <c r="O332" s="793"/>
      <c r="P332" s="794"/>
      <c r="Q332" s="795">
        <f t="shared" si="5"/>
        <v>1</v>
      </c>
      <c r="R332" s="789" t="s">
        <v>1030</v>
      </c>
      <c r="S332" s="773" t="s">
        <v>1008</v>
      </c>
      <c r="T332" s="796" t="s">
        <v>1009</v>
      </c>
      <c r="U332" s="773" t="s">
        <v>669</v>
      </c>
      <c r="V332" s="773" t="s">
        <v>1033</v>
      </c>
      <c r="W332" s="773" t="s">
        <v>3340</v>
      </c>
      <c r="X332" s="1310">
        <v>1</v>
      </c>
      <c r="Y332" s="821" t="s">
        <v>1020</v>
      </c>
      <c r="Z332" s="790" t="s">
        <v>669</v>
      </c>
      <c r="AA332" s="785"/>
      <c r="AB332" s="785"/>
      <c r="AC332" s="785"/>
      <c r="AD332" s="785"/>
      <c r="AE332" s="785"/>
      <c r="AF332" s="799"/>
      <c r="AG332" s="800"/>
      <c r="AH332" s="800"/>
      <c r="AI332" s="800"/>
      <c r="AJ332" s="800"/>
      <c r="AK332" s="800"/>
      <c r="AL332" s="800"/>
      <c r="AM332" s="800"/>
      <c r="AN332" s="800"/>
      <c r="AO332" s="800"/>
      <c r="AP332" s="842"/>
      <c r="AQ332" s="1421"/>
      <c r="AR332" s="1373"/>
      <c r="AS332" s="1373"/>
      <c r="AT332" s="1373"/>
      <c r="AU332" s="1374"/>
      <c r="AV332" s="808"/>
      <c r="AW332" s="800"/>
      <c r="AX332" s="800"/>
      <c r="AY332" s="800"/>
      <c r="AZ332" s="800"/>
      <c r="BA332" s="800"/>
      <c r="BB332" s="800"/>
      <c r="BC332" s="800"/>
      <c r="BD332" s="800"/>
      <c r="BE332" s="800"/>
      <c r="BF332" s="800"/>
      <c r="BG332" s="800"/>
      <c r="BH332" s="800"/>
      <c r="BI332" s="800"/>
      <c r="BJ332" s="800"/>
      <c r="BK332" s="805"/>
      <c r="BL332" s="1376"/>
      <c r="BM332" s="1377"/>
      <c r="BN332" s="1377"/>
      <c r="BO332" s="1377"/>
      <c r="BP332" s="1440"/>
      <c r="BQ332" s="1420"/>
      <c r="BR332" s="1368"/>
      <c r="BS332" s="1368"/>
      <c r="BT332" s="1368"/>
      <c r="BU332" s="1369"/>
      <c r="BV332" s="1421"/>
      <c r="BW332" s="1373"/>
      <c r="BX332" s="1373"/>
      <c r="BY332" s="1373"/>
      <c r="BZ332" s="1373"/>
      <c r="CA332" s="1420"/>
      <c r="CB332" s="1368"/>
      <c r="CC332" s="1368"/>
      <c r="CD332" s="1368"/>
      <c r="CE332" s="1369"/>
      <c r="CF332" s="1368"/>
      <c r="CG332" s="1368"/>
      <c r="CH332" s="1368"/>
      <c r="CI332" s="1368"/>
      <c r="CJ332" s="1369"/>
      <c r="CK332" s="1420"/>
      <c r="CL332" s="1368"/>
      <c r="CM332" s="1368"/>
      <c r="CN332" s="1368"/>
      <c r="CO332" s="1369"/>
      <c r="CP332" s="1420"/>
      <c r="CQ332" s="1368"/>
      <c r="CR332" s="1368"/>
      <c r="CS332" s="1368"/>
      <c r="CT332" s="1369"/>
      <c r="CU332" s="1528"/>
      <c r="CV332" s="1519"/>
      <c r="CW332" s="1519"/>
      <c r="CX332" s="1728"/>
      <c r="CY332" s="1519"/>
      <c r="CZ332" s="1519"/>
      <c r="DA332" s="1519"/>
      <c r="DB332" s="1728"/>
      <c r="DC332" s="1377"/>
      <c r="DD332" s="1729"/>
      <c r="DE332" s="1734"/>
    </row>
    <row r="333" spans="1:109" ht="13.15" hidden="1">
      <c r="A333" s="772" t="s">
        <v>1078</v>
      </c>
      <c r="B333" s="773">
        <v>327</v>
      </c>
      <c r="C333" s="789" t="s">
        <v>3341</v>
      </c>
      <c r="D333" s="773" t="s">
        <v>3337</v>
      </c>
      <c r="E333" s="773" t="s">
        <v>1896</v>
      </c>
      <c r="F333" s="785" t="s">
        <v>2382</v>
      </c>
      <c r="G333" s="790" t="s">
        <v>3342</v>
      </c>
      <c r="H333" s="791" t="s">
        <v>3343</v>
      </c>
      <c r="I333" s="792">
        <v>0</v>
      </c>
      <c r="J333" s="793">
        <v>1</v>
      </c>
      <c r="K333" s="793"/>
      <c r="L333" s="793"/>
      <c r="M333" s="793">
        <v>0</v>
      </c>
      <c r="N333" s="793"/>
      <c r="O333" s="793"/>
      <c r="P333" s="794"/>
      <c r="Q333" s="795">
        <f t="shared" si="5"/>
        <v>1</v>
      </c>
      <c r="R333" s="789" t="s">
        <v>1030</v>
      </c>
      <c r="S333" s="773" t="s">
        <v>1008</v>
      </c>
      <c r="T333" s="796" t="s">
        <v>1009</v>
      </c>
      <c r="U333" s="773" t="s">
        <v>669</v>
      </c>
      <c r="V333" s="773" t="s">
        <v>1033</v>
      </c>
      <c r="W333" s="773" t="s">
        <v>3340</v>
      </c>
      <c r="X333" s="1310">
        <v>1</v>
      </c>
      <c r="Y333" s="798" t="s">
        <v>1020</v>
      </c>
      <c r="Z333" s="790" t="s">
        <v>669</v>
      </c>
      <c r="AA333" s="785"/>
      <c r="AB333" s="785"/>
      <c r="AC333" s="785"/>
      <c r="AD333" s="785"/>
      <c r="AE333" s="785"/>
      <c r="AF333" s="799"/>
      <c r="AG333" s="800"/>
      <c r="AH333" s="800"/>
      <c r="AI333" s="800"/>
      <c r="AJ333" s="800"/>
      <c r="AK333" s="797"/>
      <c r="AL333" s="797"/>
      <c r="AM333" s="797"/>
      <c r="AN333" s="797"/>
      <c r="AO333" s="797"/>
      <c r="AP333" s="797"/>
      <c r="AQ333" s="1421"/>
      <c r="AR333" s="1373"/>
      <c r="AS333" s="1373"/>
      <c r="AT333" s="1373"/>
      <c r="AU333" s="1374"/>
      <c r="AV333" s="827"/>
      <c r="AW333" s="797"/>
      <c r="AX333" s="797"/>
      <c r="AY333" s="797"/>
      <c r="AZ333" s="797"/>
      <c r="BA333" s="797"/>
      <c r="BB333" s="797"/>
      <c r="BC333" s="797"/>
      <c r="BD333" s="797"/>
      <c r="BE333" s="797"/>
      <c r="BF333" s="797"/>
      <c r="BG333" s="797"/>
      <c r="BH333" s="797"/>
      <c r="BI333" s="797"/>
      <c r="BJ333" s="797"/>
      <c r="BK333" s="841"/>
      <c r="BL333" s="1376"/>
      <c r="BM333" s="1377"/>
      <c r="BN333" s="1377"/>
      <c r="BO333" s="1377"/>
      <c r="BP333" s="1440"/>
      <c r="BQ333" s="1420"/>
      <c r="BR333" s="1368"/>
      <c r="BS333" s="1368"/>
      <c r="BT333" s="1368"/>
      <c r="BU333" s="1369"/>
      <c r="BV333" s="1421"/>
      <c r="BW333" s="1373"/>
      <c r="BX333" s="1373"/>
      <c r="BY333" s="1373"/>
      <c r="BZ333" s="1373"/>
      <c r="CA333" s="1420"/>
      <c r="CB333" s="1368"/>
      <c r="CC333" s="1368"/>
      <c r="CD333" s="1368"/>
      <c r="CE333" s="1369"/>
      <c r="CF333" s="1368"/>
      <c r="CG333" s="1368"/>
      <c r="CH333" s="1368"/>
      <c r="CI333" s="1368"/>
      <c r="CJ333" s="1369"/>
      <c r="CK333" s="1420"/>
      <c r="CL333" s="1368"/>
      <c r="CM333" s="1368"/>
      <c r="CN333" s="1368"/>
      <c r="CO333" s="1369"/>
      <c r="CP333" s="1420"/>
      <c r="CQ333" s="1368"/>
      <c r="CR333" s="1368"/>
      <c r="CS333" s="1368"/>
      <c r="CT333" s="1369"/>
      <c r="CU333" s="1528"/>
      <c r="CV333" s="1519"/>
      <c r="CW333" s="1519"/>
      <c r="CX333" s="1728"/>
      <c r="CY333" s="1519"/>
      <c r="CZ333" s="1519"/>
      <c r="DA333" s="1519"/>
      <c r="DB333" s="1728"/>
      <c r="DC333" s="1377"/>
      <c r="DD333" s="1729"/>
      <c r="DE333" s="1734"/>
    </row>
    <row r="334" spans="1:109" ht="26.25" hidden="1">
      <c r="A334" s="772" t="s">
        <v>1078</v>
      </c>
      <c r="B334" s="773">
        <v>328</v>
      </c>
      <c r="C334" s="789" t="s">
        <v>3344</v>
      </c>
      <c r="D334" s="773" t="s">
        <v>3337</v>
      </c>
      <c r="E334" s="773" t="s">
        <v>1896</v>
      </c>
      <c r="F334" s="785" t="s">
        <v>2387</v>
      </c>
      <c r="G334" s="790" t="s">
        <v>3345</v>
      </c>
      <c r="H334" s="791" t="s">
        <v>3346</v>
      </c>
      <c r="I334" s="792">
        <v>0</v>
      </c>
      <c r="J334" s="793">
        <v>1</v>
      </c>
      <c r="K334" s="793"/>
      <c r="L334" s="793"/>
      <c r="M334" s="793">
        <v>0</v>
      </c>
      <c r="N334" s="793"/>
      <c r="O334" s="793"/>
      <c r="P334" s="794"/>
      <c r="Q334" s="795">
        <f t="shared" si="5"/>
        <v>1</v>
      </c>
      <c r="R334" s="789" t="s">
        <v>1030</v>
      </c>
      <c r="S334" s="773" t="s">
        <v>1008</v>
      </c>
      <c r="T334" s="1440" t="s">
        <v>1019</v>
      </c>
      <c r="U334" s="773" t="s">
        <v>2054</v>
      </c>
      <c r="V334" s="773" t="s">
        <v>1033</v>
      </c>
      <c r="W334" s="773" t="s">
        <v>3347</v>
      </c>
      <c r="X334" s="1311">
        <v>1</v>
      </c>
      <c r="Y334" s="798" t="s">
        <v>1020</v>
      </c>
      <c r="Z334" s="790" t="s">
        <v>1902</v>
      </c>
      <c r="AA334" s="785"/>
      <c r="AB334" s="785"/>
      <c r="AC334" s="785"/>
      <c r="AD334" s="785"/>
      <c r="AE334" s="785"/>
      <c r="AF334" s="799"/>
      <c r="AG334" s="800"/>
      <c r="AH334" s="800"/>
      <c r="AI334" s="800"/>
      <c r="AJ334" s="800"/>
      <c r="AK334" s="800"/>
      <c r="AL334" s="800"/>
      <c r="AM334" s="800"/>
      <c r="AN334" s="800"/>
      <c r="AO334" s="800"/>
      <c r="AP334" s="800"/>
      <c r="AQ334" s="1420"/>
      <c r="AR334" s="1368"/>
      <c r="AS334" s="1368"/>
      <c r="AT334" s="1368"/>
      <c r="AU334" s="1369"/>
      <c r="AV334" s="808"/>
      <c r="AW334" s="800"/>
      <c r="AX334" s="800"/>
      <c r="AY334" s="800"/>
      <c r="AZ334" s="800"/>
      <c r="BA334" s="800"/>
      <c r="BB334" s="800"/>
      <c r="BC334" s="800"/>
      <c r="BD334" s="800"/>
      <c r="BE334" s="800"/>
      <c r="BF334" s="800"/>
      <c r="BG334" s="800"/>
      <c r="BH334" s="800"/>
      <c r="BI334" s="800"/>
      <c r="BJ334" s="800"/>
      <c r="BK334" s="805"/>
      <c r="BL334" s="1376"/>
      <c r="BM334" s="1377"/>
      <c r="BN334" s="1377"/>
      <c r="BO334" s="1377"/>
      <c r="BP334" s="1440"/>
      <c r="BQ334" s="1724"/>
      <c r="BR334" s="1368"/>
      <c r="BS334" s="1368"/>
      <c r="BT334" s="1368"/>
      <c r="BU334" s="1369"/>
      <c r="BV334" s="1724"/>
      <c r="BW334" s="1368"/>
      <c r="BX334" s="1368"/>
      <c r="BY334" s="1368"/>
      <c r="BZ334" s="1368"/>
      <c r="CA334" s="1420"/>
      <c r="CB334" s="1368"/>
      <c r="CC334" s="1368"/>
      <c r="CD334" s="1368"/>
      <c r="CE334" s="1369"/>
      <c r="CF334" s="1368"/>
      <c r="CG334" s="1368"/>
      <c r="CH334" s="1368"/>
      <c r="CI334" s="1368"/>
      <c r="CJ334" s="1369"/>
      <c r="CK334" s="1420"/>
      <c r="CL334" s="1368"/>
      <c r="CM334" s="1368"/>
      <c r="CN334" s="1368"/>
      <c r="CO334" s="1369"/>
      <c r="CP334" s="1420"/>
      <c r="CQ334" s="1368"/>
      <c r="CR334" s="1368"/>
      <c r="CS334" s="1368"/>
      <c r="CT334" s="1369"/>
      <c r="CU334" s="1528"/>
      <c r="CV334" s="1519"/>
      <c r="CW334" s="1519"/>
      <c r="CX334" s="1728"/>
      <c r="CY334" s="1519"/>
      <c r="CZ334" s="1519"/>
      <c r="DA334" s="1519"/>
      <c r="DB334" s="1728"/>
      <c r="DC334" s="1377"/>
      <c r="DD334" s="1729"/>
      <c r="DE334" s="1734"/>
    </row>
    <row r="335" spans="1:109" ht="13.15" hidden="1">
      <c r="A335" s="772" t="s">
        <v>1078</v>
      </c>
      <c r="B335" s="773">
        <v>329</v>
      </c>
      <c r="C335" s="789" t="s">
        <v>3348</v>
      </c>
      <c r="D335" s="773" t="s">
        <v>3337</v>
      </c>
      <c r="E335" s="773" t="s">
        <v>1896</v>
      </c>
      <c r="F335" s="785" t="s">
        <v>2392</v>
      </c>
      <c r="G335" s="790" t="s">
        <v>3349</v>
      </c>
      <c r="H335" s="791" t="s">
        <v>3350</v>
      </c>
      <c r="I335" s="792">
        <v>0</v>
      </c>
      <c r="J335" s="793">
        <v>1</v>
      </c>
      <c r="K335" s="793"/>
      <c r="L335" s="793"/>
      <c r="M335" s="793">
        <v>0</v>
      </c>
      <c r="N335" s="793"/>
      <c r="O335" s="793"/>
      <c r="P335" s="794"/>
      <c r="Q335" s="795">
        <f t="shared" si="5"/>
        <v>1</v>
      </c>
      <c r="R335" s="789" t="s">
        <v>1030</v>
      </c>
      <c r="S335" s="773" t="s">
        <v>1008</v>
      </c>
      <c r="T335" s="1440" t="s">
        <v>1019</v>
      </c>
      <c r="U335" s="773" t="s">
        <v>2054</v>
      </c>
      <c r="V335" s="773" t="s">
        <v>1033</v>
      </c>
      <c r="W335" s="773" t="s">
        <v>3347</v>
      </c>
      <c r="X335" s="1311">
        <v>1</v>
      </c>
      <c r="Y335" s="798" t="s">
        <v>1020</v>
      </c>
      <c r="Z335" s="790" t="s">
        <v>1902</v>
      </c>
      <c r="AA335" s="785"/>
      <c r="AB335" s="785"/>
      <c r="AC335" s="785"/>
      <c r="AD335" s="785"/>
      <c r="AE335" s="785"/>
      <c r="AF335" s="799"/>
      <c r="AG335" s="800"/>
      <c r="AH335" s="800"/>
      <c r="AI335" s="800"/>
      <c r="AJ335" s="800"/>
      <c r="AK335" s="800"/>
      <c r="AL335" s="800"/>
      <c r="AM335" s="800"/>
      <c r="AN335" s="800"/>
      <c r="AO335" s="800"/>
      <c r="AP335" s="800"/>
      <c r="AQ335" s="1420"/>
      <c r="AR335" s="1368"/>
      <c r="AS335" s="1368"/>
      <c r="AT335" s="1368"/>
      <c r="AU335" s="1369"/>
      <c r="AV335" s="827"/>
      <c r="AW335" s="800"/>
      <c r="AX335" s="800"/>
      <c r="AY335" s="800"/>
      <c r="AZ335" s="800"/>
      <c r="BA335" s="800"/>
      <c r="BB335" s="800"/>
      <c r="BC335" s="800"/>
      <c r="BD335" s="800"/>
      <c r="BE335" s="800"/>
      <c r="BF335" s="800"/>
      <c r="BG335" s="800"/>
      <c r="BH335" s="800"/>
      <c r="BI335" s="800"/>
      <c r="BJ335" s="800"/>
      <c r="BK335" s="805"/>
      <c r="BL335" s="1376"/>
      <c r="BM335" s="1377"/>
      <c r="BN335" s="1377"/>
      <c r="BO335" s="1377"/>
      <c r="BP335" s="1440"/>
      <c r="BQ335" s="1420"/>
      <c r="BR335" s="1368"/>
      <c r="BS335" s="1368"/>
      <c r="BT335" s="1368"/>
      <c r="BU335" s="1369"/>
      <c r="BV335" s="1420"/>
      <c r="BW335" s="1368"/>
      <c r="BX335" s="1368"/>
      <c r="BY335" s="1368"/>
      <c r="BZ335" s="1368"/>
      <c r="CA335" s="1420"/>
      <c r="CB335" s="1368"/>
      <c r="CC335" s="1368"/>
      <c r="CD335" s="1368"/>
      <c r="CE335" s="1369"/>
      <c r="CF335" s="1368"/>
      <c r="CG335" s="1368"/>
      <c r="CH335" s="1368"/>
      <c r="CI335" s="1368"/>
      <c r="CJ335" s="1369"/>
      <c r="CK335" s="1420"/>
      <c r="CL335" s="1368"/>
      <c r="CM335" s="1368"/>
      <c r="CN335" s="1368"/>
      <c r="CO335" s="1369"/>
      <c r="CP335" s="1420"/>
      <c r="CQ335" s="1368"/>
      <c r="CR335" s="1368"/>
      <c r="CS335" s="1368"/>
      <c r="CT335" s="1369"/>
      <c r="CU335" s="1528"/>
      <c r="CV335" s="1519"/>
      <c r="CW335" s="1519"/>
      <c r="CX335" s="1728"/>
      <c r="CY335" s="1519"/>
      <c r="CZ335" s="1519"/>
      <c r="DA335" s="1519"/>
      <c r="DB335" s="1728"/>
      <c r="DC335" s="1377"/>
      <c r="DD335" s="1729"/>
      <c r="DE335" s="1734"/>
    </row>
    <row r="336" spans="1:109" ht="26.25" hidden="1">
      <c r="A336" s="772" t="s">
        <v>1078</v>
      </c>
      <c r="B336" s="773">
        <v>330</v>
      </c>
      <c r="C336" s="928" t="s">
        <v>3351</v>
      </c>
      <c r="D336" s="773" t="s">
        <v>3337</v>
      </c>
      <c r="E336" s="773" t="s">
        <v>1907</v>
      </c>
      <c r="F336" s="785" t="s">
        <v>3352</v>
      </c>
      <c r="G336" s="790" t="s">
        <v>3353</v>
      </c>
      <c r="H336" s="791" t="s">
        <v>3354</v>
      </c>
      <c r="I336" s="792">
        <v>1</v>
      </c>
      <c r="J336" s="793">
        <v>0</v>
      </c>
      <c r="K336" s="793"/>
      <c r="L336" s="793"/>
      <c r="M336" s="793">
        <v>0</v>
      </c>
      <c r="N336" s="793"/>
      <c r="O336" s="793"/>
      <c r="P336" s="794"/>
      <c r="Q336" s="795">
        <f t="shared" si="5"/>
        <v>1</v>
      </c>
      <c r="R336" s="789" t="s">
        <v>1030</v>
      </c>
      <c r="S336" s="773" t="s">
        <v>1008</v>
      </c>
      <c r="T336" s="796" t="s">
        <v>1009</v>
      </c>
      <c r="U336" s="773" t="s">
        <v>1979</v>
      </c>
      <c r="V336" s="856" t="s">
        <v>2177</v>
      </c>
      <c r="W336" s="773" t="s">
        <v>3355</v>
      </c>
      <c r="X336" s="1310">
        <v>2</v>
      </c>
      <c r="Y336" s="1926" t="s">
        <v>1020</v>
      </c>
      <c r="Z336" s="790"/>
      <c r="AA336" s="785"/>
      <c r="AB336" s="785"/>
      <c r="AC336" s="785"/>
      <c r="AD336" s="785"/>
      <c r="AE336" s="785"/>
      <c r="AF336" s="799"/>
      <c r="AG336" s="800"/>
      <c r="AH336" s="800"/>
      <c r="AI336" s="800"/>
      <c r="AJ336" s="800"/>
      <c r="AK336" s="800"/>
      <c r="AL336" s="800"/>
      <c r="AM336" s="800"/>
      <c r="AN336" s="800"/>
      <c r="AO336" s="807"/>
      <c r="AP336" s="807"/>
      <c r="AQ336" s="806">
        <v>0</v>
      </c>
      <c r="AR336" s="807">
        <v>0</v>
      </c>
      <c r="AS336" s="807">
        <v>0</v>
      </c>
      <c r="AT336" s="807">
        <v>0</v>
      </c>
      <c r="AU336" s="820">
        <v>0</v>
      </c>
      <c r="AV336" s="806"/>
      <c r="AW336" s="807"/>
      <c r="AX336" s="807"/>
      <c r="AY336" s="807"/>
      <c r="AZ336" s="807"/>
      <c r="BA336" s="807"/>
      <c r="BB336" s="807"/>
      <c r="BC336" s="807"/>
      <c r="BD336" s="807"/>
      <c r="BE336" s="807"/>
      <c r="BF336" s="807"/>
      <c r="BG336" s="807"/>
      <c r="BH336" s="807"/>
      <c r="BI336" s="807"/>
      <c r="BJ336" s="807"/>
      <c r="BK336" s="820"/>
      <c r="BL336" s="789" t="s">
        <v>168</v>
      </c>
      <c r="BM336" s="785" t="s">
        <v>168</v>
      </c>
      <c r="BN336" s="785" t="s">
        <v>168</v>
      </c>
      <c r="BO336" s="785" t="s">
        <v>168</v>
      </c>
      <c r="BP336" s="796" t="s">
        <v>168</v>
      </c>
      <c r="BQ336" s="808" t="s">
        <v>1942</v>
      </c>
      <c r="BR336" s="800" t="s">
        <v>1942</v>
      </c>
      <c r="BS336" s="800" t="s">
        <v>1942</v>
      </c>
      <c r="BT336" s="800" t="s">
        <v>1942</v>
      </c>
      <c r="BU336" s="805" t="s">
        <v>1942</v>
      </c>
      <c r="BV336" s="808" t="s">
        <v>1942</v>
      </c>
      <c r="BW336" s="800" t="s">
        <v>1942</v>
      </c>
      <c r="BX336" s="800" t="s">
        <v>1942</v>
      </c>
      <c r="BY336" s="800" t="s">
        <v>1942</v>
      </c>
      <c r="BZ336" s="800" t="s">
        <v>1942</v>
      </c>
      <c r="CA336" s="808" t="s">
        <v>1942</v>
      </c>
      <c r="CB336" s="800" t="s">
        <v>1942</v>
      </c>
      <c r="CC336" s="800" t="s">
        <v>1942</v>
      </c>
      <c r="CD336" s="800" t="s">
        <v>1942</v>
      </c>
      <c r="CE336" s="805" t="s">
        <v>1942</v>
      </c>
      <c r="CF336" s="800" t="s">
        <v>1942</v>
      </c>
      <c r="CG336" s="800" t="s">
        <v>1942</v>
      </c>
      <c r="CH336" s="800" t="s">
        <v>1942</v>
      </c>
      <c r="CI336" s="800" t="s">
        <v>1942</v>
      </c>
      <c r="CJ336" s="800" t="s">
        <v>1942</v>
      </c>
      <c r="CK336" s="808" t="s">
        <v>1942</v>
      </c>
      <c r="CL336" s="800" t="s">
        <v>1942</v>
      </c>
      <c r="CM336" s="800" t="s">
        <v>1942</v>
      </c>
      <c r="CN336" s="800" t="s">
        <v>1942</v>
      </c>
      <c r="CO336" s="805" t="s">
        <v>1942</v>
      </c>
      <c r="CP336" s="808" t="s">
        <v>1942</v>
      </c>
      <c r="CQ336" s="800" t="s">
        <v>1942</v>
      </c>
      <c r="CR336" s="800" t="s">
        <v>1942</v>
      </c>
      <c r="CS336" s="800" t="s">
        <v>1942</v>
      </c>
      <c r="CT336" s="805" t="s">
        <v>1942</v>
      </c>
      <c r="CU336" s="1284">
        <v>-9.8199999999999996E-2</v>
      </c>
      <c r="CV336" s="1283" t="s">
        <v>1942</v>
      </c>
      <c r="CW336" s="1283" t="s">
        <v>1942</v>
      </c>
      <c r="CX336" s="1285" t="s">
        <v>1942</v>
      </c>
      <c r="CY336" s="1283">
        <v>4.9099999999999998E-2</v>
      </c>
      <c r="CZ336" s="1283" t="s">
        <v>1942</v>
      </c>
      <c r="DA336" s="1283" t="s">
        <v>1942</v>
      </c>
      <c r="DB336" s="1285" t="s">
        <v>1942</v>
      </c>
      <c r="DC336" s="785" t="s">
        <v>131</v>
      </c>
      <c r="DD336" s="813">
        <v>1</v>
      </c>
      <c r="DE336" s="814"/>
    </row>
    <row r="337" spans="1:109" ht="39.4" hidden="1">
      <c r="A337" s="876" t="s">
        <v>1078</v>
      </c>
      <c r="B337" s="773">
        <v>331</v>
      </c>
      <c r="C337" s="789" t="s">
        <v>3356</v>
      </c>
      <c r="D337" s="773" t="s">
        <v>3337</v>
      </c>
      <c r="E337" s="773" t="s">
        <v>1907</v>
      </c>
      <c r="F337" s="785" t="s">
        <v>3357</v>
      </c>
      <c r="G337" s="790" t="s">
        <v>3358</v>
      </c>
      <c r="H337" s="791" t="s">
        <v>3359</v>
      </c>
      <c r="I337" s="792">
        <v>0</v>
      </c>
      <c r="J337" s="793">
        <v>1</v>
      </c>
      <c r="K337" s="793"/>
      <c r="L337" s="793"/>
      <c r="M337" s="793">
        <v>0</v>
      </c>
      <c r="N337" s="793"/>
      <c r="O337" s="793"/>
      <c r="P337" s="794"/>
      <c r="Q337" s="795">
        <f t="shared" si="5"/>
        <v>1</v>
      </c>
      <c r="R337" s="789" t="s">
        <v>1007</v>
      </c>
      <c r="S337" s="773"/>
      <c r="T337" s="796"/>
      <c r="U337" s="773" t="s">
        <v>2054</v>
      </c>
      <c r="V337" s="773" t="s">
        <v>1033</v>
      </c>
      <c r="W337" s="773" t="s">
        <v>3360</v>
      </c>
      <c r="X337" s="1310">
        <v>1</v>
      </c>
      <c r="Y337" s="798" t="s">
        <v>1010</v>
      </c>
      <c r="Z337" s="790"/>
      <c r="AA337" s="785"/>
      <c r="AB337" s="785"/>
      <c r="AC337" s="785"/>
      <c r="AD337" s="785"/>
      <c r="AE337" s="785"/>
      <c r="AF337" s="799"/>
      <c r="AG337" s="800"/>
      <c r="AH337" s="800"/>
      <c r="AI337" s="800"/>
      <c r="AJ337" s="800"/>
      <c r="AK337" s="800"/>
      <c r="AL337" s="800"/>
      <c r="AM337" s="800"/>
      <c r="AN337" s="800"/>
      <c r="AO337" s="800"/>
      <c r="AP337" s="800"/>
      <c r="AQ337" s="843">
        <v>1.9</v>
      </c>
      <c r="AR337" s="842">
        <v>3.8</v>
      </c>
      <c r="AS337" s="842">
        <v>7.7</v>
      </c>
      <c r="AT337" s="842">
        <v>15.3</v>
      </c>
      <c r="AU337" s="844">
        <v>30.6</v>
      </c>
      <c r="AV337" s="808"/>
      <c r="AW337" s="800"/>
      <c r="AX337" s="800"/>
      <c r="AY337" s="800"/>
      <c r="AZ337" s="800"/>
      <c r="BA337" s="800"/>
      <c r="BB337" s="800"/>
      <c r="BC337" s="800"/>
      <c r="BD337" s="800"/>
      <c r="BE337" s="800"/>
      <c r="BF337" s="800"/>
      <c r="BG337" s="800"/>
      <c r="BH337" s="800"/>
      <c r="BI337" s="800"/>
      <c r="BJ337" s="800"/>
      <c r="BK337" s="805"/>
      <c r="BL337" s="789"/>
      <c r="BM337" s="785"/>
      <c r="BN337" s="785"/>
      <c r="BO337" s="785"/>
      <c r="BP337" s="796"/>
      <c r="BQ337" s="808" t="s">
        <v>1942</v>
      </c>
      <c r="BR337" s="800" t="s">
        <v>1942</v>
      </c>
      <c r="BS337" s="800" t="s">
        <v>1942</v>
      </c>
      <c r="BT337" s="800" t="s">
        <v>1942</v>
      </c>
      <c r="BU337" s="805" t="s">
        <v>1942</v>
      </c>
      <c r="BV337" s="808" t="s">
        <v>1942</v>
      </c>
      <c r="BW337" s="800" t="s">
        <v>1942</v>
      </c>
      <c r="BX337" s="800" t="s">
        <v>1942</v>
      </c>
      <c r="BY337" s="800" t="s">
        <v>1942</v>
      </c>
      <c r="BZ337" s="800" t="s">
        <v>1942</v>
      </c>
      <c r="CA337" s="808" t="s">
        <v>1942</v>
      </c>
      <c r="CB337" s="800" t="s">
        <v>1942</v>
      </c>
      <c r="CC337" s="800" t="s">
        <v>1942</v>
      </c>
      <c r="CD337" s="800" t="s">
        <v>1942</v>
      </c>
      <c r="CE337" s="805" t="s">
        <v>1942</v>
      </c>
      <c r="CF337" s="800" t="s">
        <v>1942</v>
      </c>
      <c r="CG337" s="800" t="s">
        <v>1942</v>
      </c>
      <c r="CH337" s="800" t="s">
        <v>1942</v>
      </c>
      <c r="CI337" s="800" t="s">
        <v>1942</v>
      </c>
      <c r="CJ337" s="800" t="s">
        <v>1942</v>
      </c>
      <c r="CK337" s="808" t="s">
        <v>1942</v>
      </c>
      <c r="CL337" s="800" t="s">
        <v>1942</v>
      </c>
      <c r="CM337" s="800" t="s">
        <v>1942</v>
      </c>
      <c r="CN337" s="800" t="s">
        <v>1942</v>
      </c>
      <c r="CO337" s="805" t="s">
        <v>1942</v>
      </c>
      <c r="CP337" s="808" t="s">
        <v>1942</v>
      </c>
      <c r="CQ337" s="800" t="s">
        <v>1942</v>
      </c>
      <c r="CR337" s="800" t="s">
        <v>1942</v>
      </c>
      <c r="CS337" s="800" t="s">
        <v>1942</v>
      </c>
      <c r="CT337" s="805" t="s">
        <v>1942</v>
      </c>
      <c r="CU337" s="1284" t="s">
        <v>1942</v>
      </c>
      <c r="CV337" s="1283" t="s">
        <v>1942</v>
      </c>
      <c r="CW337" s="1283" t="s">
        <v>1942</v>
      </c>
      <c r="CX337" s="1285" t="s">
        <v>1942</v>
      </c>
      <c r="CY337" s="1283" t="s">
        <v>1942</v>
      </c>
      <c r="CZ337" s="1283" t="s">
        <v>1942</v>
      </c>
      <c r="DA337" s="1283" t="s">
        <v>1942</v>
      </c>
      <c r="DB337" s="1285" t="s">
        <v>1942</v>
      </c>
      <c r="DC337" s="785"/>
      <c r="DD337" s="813">
        <v>1</v>
      </c>
      <c r="DE337" s="814"/>
    </row>
    <row r="338" spans="1:109" ht="26.25" hidden="1">
      <c r="A338" s="772" t="s">
        <v>1078</v>
      </c>
      <c r="B338" s="773">
        <v>332</v>
      </c>
      <c r="C338" s="789" t="s">
        <v>3361</v>
      </c>
      <c r="D338" s="773" t="s">
        <v>3337</v>
      </c>
      <c r="E338" s="773" t="s">
        <v>1889</v>
      </c>
      <c r="F338" s="785" t="s">
        <v>3362</v>
      </c>
      <c r="G338" s="790" t="s">
        <v>3363</v>
      </c>
      <c r="H338" s="791" t="s">
        <v>3364</v>
      </c>
      <c r="I338" s="792">
        <v>0.5</v>
      </c>
      <c r="J338" s="793">
        <v>0.5</v>
      </c>
      <c r="K338" s="793"/>
      <c r="L338" s="793"/>
      <c r="M338" s="793">
        <v>0</v>
      </c>
      <c r="N338" s="793"/>
      <c r="O338" s="793"/>
      <c r="P338" s="794"/>
      <c r="Q338" s="795">
        <f t="shared" si="5"/>
        <v>1</v>
      </c>
      <c r="R338" s="789" t="s">
        <v>1030</v>
      </c>
      <c r="S338" s="773" t="s">
        <v>1008</v>
      </c>
      <c r="T338" s="796" t="s">
        <v>1009</v>
      </c>
      <c r="U338" s="773" t="s">
        <v>2289</v>
      </c>
      <c r="V338" s="773" t="s">
        <v>1033</v>
      </c>
      <c r="W338" s="773" t="s">
        <v>3365</v>
      </c>
      <c r="X338" s="1310">
        <v>1</v>
      </c>
      <c r="Y338" s="819" t="s">
        <v>1010</v>
      </c>
      <c r="Z338" s="790"/>
      <c r="AA338" s="785"/>
      <c r="AB338" s="785"/>
      <c r="AC338" s="785"/>
      <c r="AD338" s="785"/>
      <c r="AE338" s="785"/>
      <c r="AF338" s="799"/>
      <c r="AG338" s="807"/>
      <c r="AH338" s="800"/>
      <c r="AI338" s="800"/>
      <c r="AJ338" s="800"/>
      <c r="AK338" s="800"/>
      <c r="AL338" s="800"/>
      <c r="AM338" s="800"/>
      <c r="AN338" s="800"/>
      <c r="AO338" s="800"/>
      <c r="AP338" s="800"/>
      <c r="AQ338" s="808">
        <v>194</v>
      </c>
      <c r="AR338" s="800">
        <v>320</v>
      </c>
      <c r="AS338" s="800">
        <v>451</v>
      </c>
      <c r="AT338" s="800">
        <v>592</v>
      </c>
      <c r="AU338" s="805">
        <v>690</v>
      </c>
      <c r="AV338" s="808"/>
      <c r="AW338" s="800"/>
      <c r="AX338" s="800"/>
      <c r="AY338" s="800"/>
      <c r="AZ338" s="800"/>
      <c r="BA338" s="800"/>
      <c r="BB338" s="800"/>
      <c r="BC338" s="800"/>
      <c r="BD338" s="800"/>
      <c r="BE338" s="800"/>
      <c r="BF338" s="800"/>
      <c r="BG338" s="800"/>
      <c r="BH338" s="800"/>
      <c r="BI338" s="800"/>
      <c r="BJ338" s="800"/>
      <c r="BK338" s="805"/>
      <c r="BL338" s="789" t="s">
        <v>168</v>
      </c>
      <c r="BM338" s="785" t="s">
        <v>168</v>
      </c>
      <c r="BN338" s="785" t="s">
        <v>168</v>
      </c>
      <c r="BO338" s="785" t="s">
        <v>168</v>
      </c>
      <c r="BP338" s="796" t="s">
        <v>168</v>
      </c>
      <c r="BQ338" s="808" t="s">
        <v>1942</v>
      </c>
      <c r="BR338" s="800" t="s">
        <v>1942</v>
      </c>
      <c r="BS338" s="800" t="s">
        <v>1942</v>
      </c>
      <c r="BT338" s="800" t="s">
        <v>1942</v>
      </c>
      <c r="BU338" s="805" t="s">
        <v>1942</v>
      </c>
      <c r="BV338" s="808" t="s">
        <v>1942</v>
      </c>
      <c r="BW338" s="800" t="s">
        <v>1942</v>
      </c>
      <c r="BX338" s="800" t="s">
        <v>1942</v>
      </c>
      <c r="BY338" s="800" t="s">
        <v>1942</v>
      </c>
      <c r="BZ338" s="800" t="s">
        <v>1942</v>
      </c>
      <c r="CA338" s="808" t="s">
        <v>1942</v>
      </c>
      <c r="CB338" s="800" t="s">
        <v>1942</v>
      </c>
      <c r="CC338" s="800" t="s">
        <v>1942</v>
      </c>
      <c r="CD338" s="800" t="s">
        <v>1942</v>
      </c>
      <c r="CE338" s="805" t="s">
        <v>1942</v>
      </c>
      <c r="CF338" s="800" t="s">
        <v>1942</v>
      </c>
      <c r="CG338" s="800" t="s">
        <v>1942</v>
      </c>
      <c r="CH338" s="800" t="s">
        <v>1942</v>
      </c>
      <c r="CI338" s="800" t="s">
        <v>1942</v>
      </c>
      <c r="CJ338" s="805" t="s">
        <v>1942</v>
      </c>
      <c r="CK338" s="808">
        <v>229</v>
      </c>
      <c r="CL338" s="800">
        <v>355</v>
      </c>
      <c r="CM338" s="800">
        <v>486</v>
      </c>
      <c r="CN338" s="800">
        <v>627</v>
      </c>
      <c r="CO338" s="805">
        <v>725</v>
      </c>
      <c r="CP338" s="808" t="s">
        <v>1942</v>
      </c>
      <c r="CQ338" s="800" t="s">
        <v>1942</v>
      </c>
      <c r="CR338" s="800" t="s">
        <v>1942</v>
      </c>
      <c r="CS338" s="800" t="s">
        <v>1942</v>
      </c>
      <c r="CT338" s="805" t="s">
        <v>1942</v>
      </c>
      <c r="CU338" s="1284">
        <v>-2.5000000000000001E-3</v>
      </c>
      <c r="CV338" s="1283" t="s">
        <v>1942</v>
      </c>
      <c r="CW338" s="1283" t="s">
        <v>1942</v>
      </c>
      <c r="CX338" s="1285" t="s">
        <v>1942</v>
      </c>
      <c r="CY338" s="1283">
        <v>1.25E-3</v>
      </c>
      <c r="CZ338" s="1283" t="s">
        <v>1942</v>
      </c>
      <c r="DA338" s="1283" t="s">
        <v>1942</v>
      </c>
      <c r="DB338" s="1285" t="s">
        <v>1942</v>
      </c>
      <c r="DC338" s="785"/>
      <c r="DD338" s="813">
        <v>1</v>
      </c>
      <c r="DE338" s="814"/>
    </row>
    <row r="339" spans="1:109" ht="26.25" hidden="1">
      <c r="A339" s="772" t="s">
        <v>1078</v>
      </c>
      <c r="B339" s="773">
        <v>333</v>
      </c>
      <c r="C339" s="831" t="s">
        <v>3366</v>
      </c>
      <c r="D339" s="773" t="s">
        <v>3337</v>
      </c>
      <c r="E339" s="773" t="s">
        <v>1889</v>
      </c>
      <c r="F339" s="785" t="s">
        <v>3367</v>
      </c>
      <c r="G339" s="790" t="s">
        <v>3368</v>
      </c>
      <c r="H339" s="791" t="s">
        <v>3369</v>
      </c>
      <c r="I339" s="792">
        <v>0.16200000000000001</v>
      </c>
      <c r="J339" s="793">
        <v>0.83799999999999997</v>
      </c>
      <c r="K339" s="793"/>
      <c r="L339" s="793"/>
      <c r="M339" s="793">
        <v>0</v>
      </c>
      <c r="N339" s="793"/>
      <c r="O339" s="793"/>
      <c r="P339" s="794"/>
      <c r="Q339" s="795">
        <f t="shared" si="5"/>
        <v>1</v>
      </c>
      <c r="R339" s="789" t="s">
        <v>1007</v>
      </c>
      <c r="S339" s="773"/>
      <c r="T339" s="796"/>
      <c r="U339" s="773" t="s">
        <v>2132</v>
      </c>
      <c r="V339" s="773" t="s">
        <v>1033</v>
      </c>
      <c r="W339" s="773" t="s">
        <v>3370</v>
      </c>
      <c r="X339" s="1310">
        <v>1</v>
      </c>
      <c r="Y339" s="819" t="s">
        <v>1020</v>
      </c>
      <c r="Z339" s="790"/>
      <c r="AA339" s="785"/>
      <c r="AB339" s="785"/>
      <c r="AC339" s="785"/>
      <c r="AD339" s="785"/>
      <c r="AE339" s="785"/>
      <c r="AF339" s="799"/>
      <c r="AG339" s="800"/>
      <c r="AH339" s="800"/>
      <c r="AI339" s="800"/>
      <c r="AJ339" s="800"/>
      <c r="AK339" s="800"/>
      <c r="AL339" s="800"/>
      <c r="AM339" s="800"/>
      <c r="AN339" s="800"/>
      <c r="AO339" s="800"/>
      <c r="AP339" s="800"/>
      <c r="AQ339" s="808">
        <v>68</v>
      </c>
      <c r="AR339" s="800">
        <v>68</v>
      </c>
      <c r="AS339" s="800">
        <v>66</v>
      </c>
      <c r="AT339" s="800">
        <v>64</v>
      </c>
      <c r="AU339" s="841">
        <v>61</v>
      </c>
      <c r="AV339" s="808"/>
      <c r="AW339" s="800"/>
      <c r="AX339" s="800"/>
      <c r="AY339" s="800"/>
      <c r="AZ339" s="800"/>
      <c r="BA339" s="800"/>
      <c r="BB339" s="800"/>
      <c r="BC339" s="800"/>
      <c r="BD339" s="800"/>
      <c r="BE339" s="800"/>
      <c r="BF339" s="800"/>
      <c r="BG339" s="800"/>
      <c r="BH339" s="800"/>
      <c r="BI339" s="800"/>
      <c r="BJ339" s="800"/>
      <c r="BK339" s="805"/>
      <c r="BL339" s="789"/>
      <c r="BM339" s="785"/>
      <c r="BN339" s="785"/>
      <c r="BO339" s="785"/>
      <c r="BP339" s="796"/>
      <c r="BQ339" s="808" t="s">
        <v>1942</v>
      </c>
      <c r="BR339" s="800" t="s">
        <v>1942</v>
      </c>
      <c r="BS339" s="800" t="s">
        <v>1942</v>
      </c>
      <c r="BT339" s="800" t="s">
        <v>1942</v>
      </c>
      <c r="BU339" s="805" t="s">
        <v>1942</v>
      </c>
      <c r="BV339" s="808" t="s">
        <v>1942</v>
      </c>
      <c r="BW339" s="800" t="s">
        <v>1942</v>
      </c>
      <c r="BX339" s="800" t="s">
        <v>1942</v>
      </c>
      <c r="BY339" s="800" t="s">
        <v>1942</v>
      </c>
      <c r="BZ339" s="800" t="s">
        <v>1942</v>
      </c>
      <c r="CA339" s="808" t="s">
        <v>1942</v>
      </c>
      <c r="CB339" s="800" t="s">
        <v>1942</v>
      </c>
      <c r="CC339" s="800" t="s">
        <v>1942</v>
      </c>
      <c r="CD339" s="800" t="s">
        <v>1942</v>
      </c>
      <c r="CE339" s="805" t="s">
        <v>1942</v>
      </c>
      <c r="CF339" s="800" t="s">
        <v>1942</v>
      </c>
      <c r="CG339" s="800" t="s">
        <v>1942</v>
      </c>
      <c r="CH339" s="800" t="s">
        <v>1942</v>
      </c>
      <c r="CI339" s="800" t="s">
        <v>1942</v>
      </c>
      <c r="CJ339" s="805" t="s">
        <v>1942</v>
      </c>
      <c r="CK339" s="808" t="s">
        <v>1942</v>
      </c>
      <c r="CL339" s="800" t="s">
        <v>1942</v>
      </c>
      <c r="CM339" s="800" t="s">
        <v>1942</v>
      </c>
      <c r="CN339" s="800" t="s">
        <v>1942</v>
      </c>
      <c r="CO339" s="805" t="s">
        <v>1942</v>
      </c>
      <c r="CP339" s="808" t="s">
        <v>1942</v>
      </c>
      <c r="CQ339" s="800" t="s">
        <v>1942</v>
      </c>
      <c r="CR339" s="800" t="s">
        <v>1942</v>
      </c>
      <c r="CS339" s="800" t="s">
        <v>1942</v>
      </c>
      <c r="CT339" s="805" t="s">
        <v>1942</v>
      </c>
      <c r="CU339" s="1284" t="s">
        <v>1942</v>
      </c>
      <c r="CV339" s="1283" t="s">
        <v>1942</v>
      </c>
      <c r="CW339" s="1283" t="s">
        <v>1942</v>
      </c>
      <c r="CX339" s="1285" t="s">
        <v>1942</v>
      </c>
      <c r="CY339" s="1283" t="s">
        <v>1942</v>
      </c>
      <c r="CZ339" s="1283" t="s">
        <v>1942</v>
      </c>
      <c r="DA339" s="1283" t="s">
        <v>1942</v>
      </c>
      <c r="DB339" s="1285" t="s">
        <v>1942</v>
      </c>
      <c r="DC339" s="785"/>
      <c r="DD339" s="813">
        <v>1</v>
      </c>
      <c r="DE339" s="814"/>
    </row>
    <row r="340" spans="1:109" ht="26.25" hidden="1">
      <c r="A340" s="772" t="s">
        <v>1078</v>
      </c>
      <c r="B340" s="773">
        <v>334</v>
      </c>
      <c r="C340" s="789" t="s">
        <v>3371</v>
      </c>
      <c r="D340" s="773" t="s">
        <v>3372</v>
      </c>
      <c r="E340" s="773" t="s">
        <v>1907</v>
      </c>
      <c r="F340" s="785" t="s">
        <v>2397</v>
      </c>
      <c r="G340" s="790" t="s">
        <v>130</v>
      </c>
      <c r="H340" s="791" t="s">
        <v>3373</v>
      </c>
      <c r="I340" s="792">
        <v>0</v>
      </c>
      <c r="J340" s="793">
        <v>1</v>
      </c>
      <c r="K340" s="793"/>
      <c r="L340" s="793"/>
      <c r="M340" s="793">
        <v>0</v>
      </c>
      <c r="N340" s="793"/>
      <c r="O340" s="793"/>
      <c r="P340" s="794"/>
      <c r="Q340" s="795">
        <f t="shared" si="5"/>
        <v>1</v>
      </c>
      <c r="R340" s="789" t="s">
        <v>1026</v>
      </c>
      <c r="S340" s="773" t="s">
        <v>1008</v>
      </c>
      <c r="T340" s="796" t="s">
        <v>1009</v>
      </c>
      <c r="U340" s="773" t="s">
        <v>1926</v>
      </c>
      <c r="V340" s="773" t="s">
        <v>1081</v>
      </c>
      <c r="W340" s="773" t="s">
        <v>3374</v>
      </c>
      <c r="X340" s="1310">
        <v>2</v>
      </c>
      <c r="Y340" s="819" t="s">
        <v>1020</v>
      </c>
      <c r="Z340" s="790" t="s">
        <v>130</v>
      </c>
      <c r="AA340" s="785"/>
      <c r="AB340" s="785"/>
      <c r="AC340" s="785"/>
      <c r="AD340" s="785"/>
      <c r="AE340" s="785"/>
      <c r="AF340" s="799"/>
      <c r="AG340" s="800"/>
      <c r="AH340" s="800"/>
      <c r="AI340" s="800"/>
      <c r="AJ340" s="800"/>
      <c r="AK340" s="800"/>
      <c r="AL340" s="800"/>
      <c r="AM340" s="800"/>
      <c r="AN340" s="800"/>
      <c r="AO340" s="800"/>
      <c r="AP340" s="800"/>
      <c r="AQ340" s="1521"/>
      <c r="AR340" s="1760"/>
      <c r="AS340" s="1730"/>
      <c r="AT340" s="1730"/>
      <c r="AU340" s="1527"/>
      <c r="AV340" s="808"/>
      <c r="AW340" s="800"/>
      <c r="AX340" s="800"/>
      <c r="AY340" s="800"/>
      <c r="AZ340" s="800"/>
      <c r="BA340" s="800"/>
      <c r="BB340" s="800"/>
      <c r="BC340" s="800"/>
      <c r="BD340" s="800"/>
      <c r="BE340" s="800"/>
      <c r="BF340" s="800"/>
      <c r="BG340" s="800"/>
      <c r="BH340" s="800"/>
      <c r="BI340" s="800"/>
      <c r="BJ340" s="800"/>
      <c r="BK340" s="805"/>
      <c r="BL340" s="1376"/>
      <c r="BM340" s="1377"/>
      <c r="BN340" s="1377"/>
      <c r="BO340" s="1377"/>
      <c r="BP340" s="1440"/>
      <c r="BQ340" s="1420"/>
      <c r="BR340" s="1368"/>
      <c r="BS340" s="1368"/>
      <c r="BT340" s="1368"/>
      <c r="BU340" s="1369"/>
      <c r="BV340" s="1420"/>
      <c r="BW340" s="1368"/>
      <c r="BX340" s="1368"/>
      <c r="BY340" s="1368"/>
      <c r="BZ340" s="1368"/>
      <c r="CA340" s="1420"/>
      <c r="CB340" s="1368"/>
      <c r="CC340" s="1368"/>
      <c r="CD340" s="1368"/>
      <c r="CE340" s="1369"/>
      <c r="CF340" s="1368"/>
      <c r="CG340" s="1368"/>
      <c r="CH340" s="1368"/>
      <c r="CI340" s="1368"/>
      <c r="CJ340" s="1369"/>
      <c r="CK340" s="1420"/>
      <c r="CL340" s="1368"/>
      <c r="CM340" s="1368"/>
      <c r="CN340" s="1368"/>
      <c r="CO340" s="1369"/>
      <c r="CP340" s="1420"/>
      <c r="CQ340" s="1368"/>
      <c r="CR340" s="1368"/>
      <c r="CS340" s="1368"/>
      <c r="CT340" s="1369"/>
      <c r="CU340" s="1528"/>
      <c r="CV340" s="1519"/>
      <c r="CW340" s="1519"/>
      <c r="CX340" s="1728"/>
      <c r="CY340" s="1519"/>
      <c r="CZ340" s="1519"/>
      <c r="DA340" s="1519"/>
      <c r="DB340" s="1728"/>
      <c r="DC340" s="1377"/>
      <c r="DD340" s="1729"/>
      <c r="DE340" s="1734"/>
    </row>
    <row r="341" spans="1:109" ht="26.25" hidden="1">
      <c r="A341" s="772" t="s">
        <v>1078</v>
      </c>
      <c r="B341" s="773">
        <v>335</v>
      </c>
      <c r="C341" s="789" t="s">
        <v>3375</v>
      </c>
      <c r="D341" s="773" t="s">
        <v>3372</v>
      </c>
      <c r="E341" s="773" t="s">
        <v>1896</v>
      </c>
      <c r="F341" s="785" t="s">
        <v>3376</v>
      </c>
      <c r="G341" s="790" t="s">
        <v>137</v>
      </c>
      <c r="H341" s="791" t="s">
        <v>3377</v>
      </c>
      <c r="I341" s="792">
        <v>0</v>
      </c>
      <c r="J341" s="793">
        <v>1</v>
      </c>
      <c r="K341" s="793"/>
      <c r="L341" s="793"/>
      <c r="M341" s="793">
        <v>0</v>
      </c>
      <c r="N341" s="793"/>
      <c r="O341" s="793"/>
      <c r="P341" s="794"/>
      <c r="Q341" s="795">
        <f t="shared" si="5"/>
        <v>1</v>
      </c>
      <c r="R341" s="789" t="s">
        <v>1030</v>
      </c>
      <c r="S341" s="773" t="s">
        <v>1008</v>
      </c>
      <c r="T341" s="796" t="s">
        <v>1009</v>
      </c>
      <c r="U341" s="773" t="s">
        <v>1892</v>
      </c>
      <c r="V341" s="773" t="s">
        <v>1029</v>
      </c>
      <c r="W341" s="773" t="s">
        <v>3378</v>
      </c>
      <c r="X341" s="1311">
        <v>0</v>
      </c>
      <c r="Y341" s="821" t="s">
        <v>1020</v>
      </c>
      <c r="Z341" s="790" t="s">
        <v>137</v>
      </c>
      <c r="AA341" s="785"/>
      <c r="AB341" s="785"/>
      <c r="AC341" s="785"/>
      <c r="AD341" s="785"/>
      <c r="AE341" s="785"/>
      <c r="AF341" s="799"/>
      <c r="AG341" s="845"/>
      <c r="AH341" s="845"/>
      <c r="AI341" s="845"/>
      <c r="AJ341" s="845"/>
      <c r="AK341" s="845"/>
      <c r="AL341" s="845"/>
      <c r="AM341" s="845"/>
      <c r="AN341" s="845"/>
      <c r="AO341" s="845"/>
      <c r="AP341" s="845"/>
      <c r="AQ341" s="1370"/>
      <c r="AR341" s="1371"/>
      <c r="AS341" s="1371"/>
      <c r="AT341" s="1371"/>
      <c r="AU341" s="1372"/>
      <c r="AV341" s="846"/>
      <c r="AW341" s="845"/>
      <c r="AX341" s="845"/>
      <c r="AY341" s="845"/>
      <c r="AZ341" s="845"/>
      <c r="BA341" s="845"/>
      <c r="BB341" s="845"/>
      <c r="BC341" s="845"/>
      <c r="BD341" s="845"/>
      <c r="BE341" s="845"/>
      <c r="BF341" s="845"/>
      <c r="BG341" s="845"/>
      <c r="BH341" s="845"/>
      <c r="BI341" s="845"/>
      <c r="BJ341" s="845"/>
      <c r="BK341" s="847"/>
      <c r="BL341" s="1376"/>
      <c r="BM341" s="1377"/>
      <c r="BN341" s="1377"/>
      <c r="BO341" s="1377"/>
      <c r="BP341" s="1440"/>
      <c r="BQ341" s="1420"/>
      <c r="BR341" s="1368"/>
      <c r="BS341" s="1368"/>
      <c r="BT341" s="1368"/>
      <c r="BU341" s="1369"/>
      <c r="BV341" s="1370"/>
      <c r="BW341" s="1371"/>
      <c r="BX341" s="1371"/>
      <c r="BY341" s="1371"/>
      <c r="BZ341" s="1371"/>
      <c r="CA341" s="1370"/>
      <c r="CB341" s="1371"/>
      <c r="CC341" s="1371"/>
      <c r="CD341" s="1371"/>
      <c r="CE341" s="1372"/>
      <c r="CF341" s="1371"/>
      <c r="CG341" s="1371"/>
      <c r="CH341" s="1371"/>
      <c r="CI341" s="1371"/>
      <c r="CJ341" s="1372"/>
      <c r="CK341" s="1370"/>
      <c r="CL341" s="1371"/>
      <c r="CM341" s="1371"/>
      <c r="CN341" s="1371"/>
      <c r="CO341" s="1372"/>
      <c r="CP341" s="1420"/>
      <c r="CQ341" s="1368"/>
      <c r="CR341" s="1368"/>
      <c r="CS341" s="1368"/>
      <c r="CT341" s="1369"/>
      <c r="CU341" s="1528"/>
      <c r="CV341" s="1519"/>
      <c r="CW341" s="1519"/>
      <c r="CX341" s="1728"/>
      <c r="CY341" s="1519"/>
      <c r="CZ341" s="1519"/>
      <c r="DA341" s="1519"/>
      <c r="DB341" s="1728"/>
      <c r="DC341" s="1377"/>
      <c r="DD341" s="1729"/>
      <c r="DE341" s="1734"/>
    </row>
    <row r="342" spans="1:109" ht="26.25" hidden="1">
      <c r="A342" s="772" t="s">
        <v>1078</v>
      </c>
      <c r="B342" s="773">
        <v>336</v>
      </c>
      <c r="C342" s="789" t="s">
        <v>3379</v>
      </c>
      <c r="D342" s="773" t="s">
        <v>3372</v>
      </c>
      <c r="E342" s="773" t="s">
        <v>1907</v>
      </c>
      <c r="F342" s="785" t="s">
        <v>3380</v>
      </c>
      <c r="G342" s="790" t="s">
        <v>535</v>
      </c>
      <c r="H342" s="791" t="s">
        <v>3381</v>
      </c>
      <c r="I342" s="792">
        <v>1</v>
      </c>
      <c r="J342" s="793">
        <v>0</v>
      </c>
      <c r="K342" s="793"/>
      <c r="L342" s="793"/>
      <c r="M342" s="793">
        <v>0</v>
      </c>
      <c r="N342" s="793"/>
      <c r="O342" s="793"/>
      <c r="P342" s="794"/>
      <c r="Q342" s="795">
        <f t="shared" si="5"/>
        <v>1</v>
      </c>
      <c r="R342" s="789" t="s">
        <v>1007</v>
      </c>
      <c r="S342" s="773"/>
      <c r="T342" s="796"/>
      <c r="U342" s="773" t="s">
        <v>2944</v>
      </c>
      <c r="V342" s="773" t="s">
        <v>278</v>
      </c>
      <c r="W342" s="773" t="s">
        <v>1146</v>
      </c>
      <c r="X342" s="1311">
        <v>1</v>
      </c>
      <c r="Y342" s="819" t="s">
        <v>1020</v>
      </c>
      <c r="Z342" s="790" t="s">
        <v>535</v>
      </c>
      <c r="AA342" s="785"/>
      <c r="AB342" s="785"/>
      <c r="AC342" s="785"/>
      <c r="AD342" s="785"/>
      <c r="AE342" s="785"/>
      <c r="AF342" s="799"/>
      <c r="AG342" s="800"/>
      <c r="AH342" s="800"/>
      <c r="AI342" s="800"/>
      <c r="AJ342" s="810"/>
      <c r="AK342" s="810"/>
      <c r="AL342" s="810"/>
      <c r="AM342" s="810"/>
      <c r="AN342" s="810"/>
      <c r="AO342" s="816"/>
      <c r="AP342" s="816"/>
      <c r="AQ342" s="1521"/>
      <c r="AR342" s="1730"/>
      <c r="AS342" s="1730"/>
      <c r="AT342" s="1730"/>
      <c r="AU342" s="1527"/>
      <c r="AV342" s="817"/>
      <c r="AW342" s="816"/>
      <c r="AX342" s="816"/>
      <c r="AY342" s="816"/>
      <c r="AZ342" s="816"/>
      <c r="BA342" s="816"/>
      <c r="BB342" s="816"/>
      <c r="BC342" s="816"/>
      <c r="BD342" s="816"/>
      <c r="BE342" s="816"/>
      <c r="BF342" s="816"/>
      <c r="BG342" s="816"/>
      <c r="BH342" s="816"/>
      <c r="BI342" s="816"/>
      <c r="BJ342" s="816"/>
      <c r="BK342" s="818"/>
      <c r="BL342" s="1376"/>
      <c r="BM342" s="1377"/>
      <c r="BN342" s="1377"/>
      <c r="BO342" s="1377"/>
      <c r="BP342" s="1440"/>
      <c r="BQ342" s="1420"/>
      <c r="BR342" s="1368"/>
      <c r="BS342" s="1368"/>
      <c r="BT342" s="1368"/>
      <c r="BU342" s="1369"/>
      <c r="BV342" s="1420"/>
      <c r="BW342" s="1368"/>
      <c r="BX342" s="1368"/>
      <c r="BY342" s="1368"/>
      <c r="BZ342" s="1368"/>
      <c r="CA342" s="1420"/>
      <c r="CB342" s="1368"/>
      <c r="CC342" s="1368"/>
      <c r="CD342" s="1368"/>
      <c r="CE342" s="1369"/>
      <c r="CF342" s="1368"/>
      <c r="CG342" s="1368"/>
      <c r="CH342" s="1368"/>
      <c r="CI342" s="1368"/>
      <c r="CJ342" s="1369"/>
      <c r="CK342" s="1420"/>
      <c r="CL342" s="1368"/>
      <c r="CM342" s="1368"/>
      <c r="CN342" s="1368"/>
      <c r="CO342" s="1369"/>
      <c r="CP342" s="1420"/>
      <c r="CQ342" s="1368"/>
      <c r="CR342" s="1368"/>
      <c r="CS342" s="1368"/>
      <c r="CT342" s="1369"/>
      <c r="CU342" s="1528"/>
      <c r="CV342" s="1519"/>
      <c r="CW342" s="1519"/>
      <c r="CX342" s="1728"/>
      <c r="CY342" s="1519"/>
      <c r="CZ342" s="1519"/>
      <c r="DA342" s="1519"/>
      <c r="DB342" s="1728"/>
      <c r="DC342" s="1377"/>
      <c r="DD342" s="1729"/>
      <c r="DE342" s="1734"/>
    </row>
    <row r="343" spans="1:109" ht="13.15" hidden="1">
      <c r="A343" s="772" t="s">
        <v>1078</v>
      </c>
      <c r="B343" s="773">
        <v>337</v>
      </c>
      <c r="C343" s="789" t="s">
        <v>3382</v>
      </c>
      <c r="D343" s="773" t="s">
        <v>3372</v>
      </c>
      <c r="E343" s="773" t="s">
        <v>1907</v>
      </c>
      <c r="F343" s="785" t="s">
        <v>3383</v>
      </c>
      <c r="G343" s="790" t="s">
        <v>161</v>
      </c>
      <c r="H343" s="791" t="s">
        <v>3384</v>
      </c>
      <c r="I343" s="792">
        <v>0</v>
      </c>
      <c r="J343" s="793">
        <v>1</v>
      </c>
      <c r="K343" s="793"/>
      <c r="L343" s="793"/>
      <c r="M343" s="793">
        <v>0</v>
      </c>
      <c r="N343" s="793"/>
      <c r="O343" s="793"/>
      <c r="P343" s="794"/>
      <c r="Q343" s="795">
        <f t="shared" si="5"/>
        <v>1</v>
      </c>
      <c r="R343" s="789" t="s">
        <v>1030</v>
      </c>
      <c r="S343" s="773" t="s">
        <v>1008</v>
      </c>
      <c r="T343" s="796" t="s">
        <v>1009</v>
      </c>
      <c r="U343" s="773" t="s">
        <v>1920</v>
      </c>
      <c r="V343" s="773" t="s">
        <v>1033</v>
      </c>
      <c r="W343" s="773" t="s">
        <v>3385</v>
      </c>
      <c r="X343" s="1310">
        <v>1</v>
      </c>
      <c r="Y343" s="822" t="s">
        <v>1020</v>
      </c>
      <c r="Z343" s="790" t="s">
        <v>161</v>
      </c>
      <c r="AA343" s="785"/>
      <c r="AB343" s="785"/>
      <c r="AC343" s="785"/>
      <c r="AD343" s="785"/>
      <c r="AE343" s="785"/>
      <c r="AF343" s="799"/>
      <c r="AG343" s="800"/>
      <c r="AH343" s="800"/>
      <c r="AI343" s="800"/>
      <c r="AJ343" s="800"/>
      <c r="AK343" s="800"/>
      <c r="AL343" s="800"/>
      <c r="AM343" s="800"/>
      <c r="AN343" s="800"/>
      <c r="AO343" s="800"/>
      <c r="AP343" s="800"/>
      <c r="AQ343" s="1421"/>
      <c r="AR343" s="1373"/>
      <c r="AS343" s="1373"/>
      <c r="AT343" s="1373"/>
      <c r="AU343" s="1374"/>
      <c r="AV343" s="843"/>
      <c r="AW343" s="842"/>
      <c r="AX343" s="842"/>
      <c r="AY343" s="842"/>
      <c r="AZ343" s="842"/>
      <c r="BA343" s="842"/>
      <c r="BB343" s="842"/>
      <c r="BC343" s="842"/>
      <c r="BD343" s="842"/>
      <c r="BE343" s="842"/>
      <c r="BF343" s="842"/>
      <c r="BG343" s="842"/>
      <c r="BH343" s="842"/>
      <c r="BI343" s="842"/>
      <c r="BJ343" s="842"/>
      <c r="BK343" s="844"/>
      <c r="BL343" s="1376"/>
      <c r="BM343" s="1377"/>
      <c r="BN343" s="1377"/>
      <c r="BO343" s="1377"/>
      <c r="BP343" s="1440"/>
      <c r="BQ343" s="1420"/>
      <c r="BR343" s="1368"/>
      <c r="BS343" s="1368"/>
      <c r="BT343" s="1368"/>
      <c r="BU343" s="1369"/>
      <c r="BV343" s="1421"/>
      <c r="BW343" s="1373"/>
      <c r="BX343" s="1373"/>
      <c r="BY343" s="1373"/>
      <c r="BZ343" s="1373"/>
      <c r="CA343" s="1420"/>
      <c r="CB343" s="1368"/>
      <c r="CC343" s="1368"/>
      <c r="CD343" s="1368"/>
      <c r="CE343" s="1369"/>
      <c r="CF343" s="1368"/>
      <c r="CG343" s="1368"/>
      <c r="CH343" s="1368"/>
      <c r="CI343" s="1368"/>
      <c r="CJ343" s="1369"/>
      <c r="CK343" s="1420"/>
      <c r="CL343" s="1368"/>
      <c r="CM343" s="1368"/>
      <c r="CN343" s="1368"/>
      <c r="CO343" s="1369"/>
      <c r="CP343" s="1420"/>
      <c r="CQ343" s="1368"/>
      <c r="CR343" s="1368"/>
      <c r="CS343" s="1368"/>
      <c r="CT343" s="1369"/>
      <c r="CU343" s="1528"/>
      <c r="CV343" s="1519"/>
      <c r="CW343" s="1519"/>
      <c r="CX343" s="1728"/>
      <c r="CY343" s="1519"/>
      <c r="CZ343" s="1519"/>
      <c r="DA343" s="1519"/>
      <c r="DB343" s="1728"/>
      <c r="DC343" s="1377"/>
      <c r="DD343" s="1729"/>
      <c r="DE343" s="1734"/>
    </row>
    <row r="344" spans="1:109" ht="13.15" hidden="1">
      <c r="A344" s="772" t="s">
        <v>1078</v>
      </c>
      <c r="B344" s="773">
        <v>338</v>
      </c>
      <c r="C344" s="789" t="s">
        <v>3386</v>
      </c>
      <c r="D344" s="773" t="s">
        <v>3372</v>
      </c>
      <c r="E344" s="773" t="s">
        <v>1907</v>
      </c>
      <c r="F344" s="785" t="s">
        <v>3387</v>
      </c>
      <c r="G344" s="790" t="s">
        <v>167</v>
      </c>
      <c r="H344" s="791" t="s">
        <v>3388</v>
      </c>
      <c r="I344" s="792">
        <v>0.10100000000000001</v>
      </c>
      <c r="J344" s="793">
        <v>0.89900000000000002</v>
      </c>
      <c r="K344" s="793"/>
      <c r="L344" s="793"/>
      <c r="M344" s="793">
        <v>0</v>
      </c>
      <c r="N344" s="793"/>
      <c r="O344" s="793"/>
      <c r="P344" s="794"/>
      <c r="Q344" s="795">
        <f t="shared" si="5"/>
        <v>1</v>
      </c>
      <c r="R344" s="789" t="s">
        <v>1030</v>
      </c>
      <c r="S344" s="773" t="s">
        <v>1008</v>
      </c>
      <c r="T344" s="796" t="s">
        <v>1009</v>
      </c>
      <c r="U344" s="773" t="s">
        <v>1920</v>
      </c>
      <c r="V344" s="773" t="s">
        <v>278</v>
      </c>
      <c r="W344" s="773" t="s">
        <v>1146</v>
      </c>
      <c r="X344" s="1310">
        <v>2</v>
      </c>
      <c r="Y344" s="826" t="s">
        <v>1020</v>
      </c>
      <c r="Z344" s="790" t="s">
        <v>167</v>
      </c>
      <c r="AA344" s="785"/>
      <c r="AB344" s="785"/>
      <c r="AC344" s="785"/>
      <c r="AD344" s="785"/>
      <c r="AE344" s="785"/>
      <c r="AF344" s="799"/>
      <c r="AG344" s="800"/>
      <c r="AH344" s="800"/>
      <c r="AI344" s="800"/>
      <c r="AJ344" s="800"/>
      <c r="AK344" s="800"/>
      <c r="AL344" s="800"/>
      <c r="AM344" s="800"/>
      <c r="AN344" s="800"/>
      <c r="AO344" s="800"/>
      <c r="AP344" s="800"/>
      <c r="AQ344" s="1421"/>
      <c r="AR344" s="1373"/>
      <c r="AS344" s="1373"/>
      <c r="AT344" s="1373"/>
      <c r="AU344" s="1374"/>
      <c r="AV344" s="843"/>
      <c r="AW344" s="842"/>
      <c r="AX344" s="842"/>
      <c r="AY344" s="842"/>
      <c r="AZ344" s="842"/>
      <c r="BA344" s="842"/>
      <c r="BB344" s="842"/>
      <c r="BC344" s="842"/>
      <c r="BD344" s="842"/>
      <c r="BE344" s="842"/>
      <c r="BF344" s="842"/>
      <c r="BG344" s="842"/>
      <c r="BH344" s="842"/>
      <c r="BI344" s="842"/>
      <c r="BJ344" s="842"/>
      <c r="BK344" s="844"/>
      <c r="BL344" s="1376"/>
      <c r="BM344" s="1377"/>
      <c r="BN344" s="1377"/>
      <c r="BO344" s="1377"/>
      <c r="BP344" s="1440"/>
      <c r="BQ344" s="1420"/>
      <c r="BR344" s="1368"/>
      <c r="BS344" s="1368"/>
      <c r="BT344" s="1368"/>
      <c r="BU344" s="1369"/>
      <c r="BV344" s="1420"/>
      <c r="BW344" s="1368"/>
      <c r="BX344" s="1368"/>
      <c r="BY344" s="1368"/>
      <c r="BZ344" s="1368"/>
      <c r="CA344" s="1420"/>
      <c r="CB344" s="1368"/>
      <c r="CC344" s="1368"/>
      <c r="CD344" s="1368"/>
      <c r="CE344" s="1369"/>
      <c r="CF344" s="1368"/>
      <c r="CG344" s="1368"/>
      <c r="CH344" s="1368"/>
      <c r="CI344" s="1368"/>
      <c r="CJ344" s="1369"/>
      <c r="CK344" s="1420"/>
      <c r="CL344" s="1368"/>
      <c r="CM344" s="1368"/>
      <c r="CN344" s="1368"/>
      <c r="CO344" s="1369"/>
      <c r="CP344" s="1420"/>
      <c r="CQ344" s="1368"/>
      <c r="CR344" s="1368"/>
      <c r="CS344" s="1368"/>
      <c r="CT344" s="1369"/>
      <c r="CU344" s="1528"/>
      <c r="CV344" s="1519"/>
      <c r="CW344" s="1519"/>
      <c r="CX344" s="1728"/>
      <c r="CY344" s="1519"/>
      <c r="CZ344" s="1519"/>
      <c r="DA344" s="1519"/>
      <c r="DB344" s="1728"/>
      <c r="DC344" s="1377"/>
      <c r="DD344" s="1729"/>
      <c r="DE344" s="1734"/>
    </row>
    <row r="345" spans="1:109" ht="26.25" hidden="1">
      <c r="A345" s="772" t="s">
        <v>1078</v>
      </c>
      <c r="B345" s="773">
        <v>339</v>
      </c>
      <c r="C345" s="789" t="s">
        <v>3389</v>
      </c>
      <c r="D345" s="773" t="s">
        <v>3372</v>
      </c>
      <c r="E345" s="773" t="s">
        <v>1896</v>
      </c>
      <c r="F345" s="785" t="s">
        <v>3390</v>
      </c>
      <c r="G345" s="790" t="s">
        <v>3391</v>
      </c>
      <c r="H345" s="791" t="s">
        <v>3392</v>
      </c>
      <c r="I345" s="792">
        <v>0</v>
      </c>
      <c r="J345" s="793">
        <v>1</v>
      </c>
      <c r="K345" s="793"/>
      <c r="L345" s="793"/>
      <c r="M345" s="793">
        <v>0</v>
      </c>
      <c r="N345" s="793"/>
      <c r="O345" s="793"/>
      <c r="P345" s="794"/>
      <c r="Q345" s="795">
        <f t="shared" si="5"/>
        <v>1</v>
      </c>
      <c r="R345" s="789" t="s">
        <v>1030</v>
      </c>
      <c r="S345" s="773" t="s">
        <v>1008</v>
      </c>
      <c r="T345" s="796" t="s">
        <v>1009</v>
      </c>
      <c r="U345" s="773" t="s">
        <v>2149</v>
      </c>
      <c r="V345" s="773" t="s">
        <v>1033</v>
      </c>
      <c r="W345" s="773" t="s">
        <v>3393</v>
      </c>
      <c r="X345" s="1310">
        <v>2</v>
      </c>
      <c r="Y345" s="821" t="s">
        <v>1020</v>
      </c>
      <c r="Z345" s="790" t="s">
        <v>2002</v>
      </c>
      <c r="AA345" s="785"/>
      <c r="AB345" s="785"/>
      <c r="AC345" s="785"/>
      <c r="AD345" s="785"/>
      <c r="AE345" s="785"/>
      <c r="AF345" s="799"/>
      <c r="AG345" s="800"/>
      <c r="AH345" s="800"/>
      <c r="AI345" s="800"/>
      <c r="AJ345" s="800"/>
      <c r="AK345" s="800"/>
      <c r="AL345" s="800"/>
      <c r="AM345" s="800"/>
      <c r="AN345" s="800"/>
      <c r="AO345" s="800"/>
      <c r="AP345" s="800"/>
      <c r="AQ345" s="808">
        <v>1.1399999999999999</v>
      </c>
      <c r="AR345" s="800">
        <v>1.1100000000000001</v>
      </c>
      <c r="AS345" s="800">
        <v>1.08</v>
      </c>
      <c r="AT345" s="800">
        <v>0.95</v>
      </c>
      <c r="AU345" s="805">
        <v>0.76</v>
      </c>
      <c r="AV345" s="808"/>
      <c r="AW345" s="800"/>
      <c r="AX345" s="800"/>
      <c r="AY345" s="800"/>
      <c r="AZ345" s="800"/>
      <c r="BA345" s="800"/>
      <c r="BB345" s="800"/>
      <c r="BC345" s="800"/>
      <c r="BD345" s="800"/>
      <c r="BE345" s="800"/>
      <c r="BF345" s="800"/>
      <c r="BG345" s="800"/>
      <c r="BH345" s="800"/>
      <c r="BI345" s="800"/>
      <c r="BJ345" s="800"/>
      <c r="BK345" s="805"/>
      <c r="BL345" s="789" t="s">
        <v>168</v>
      </c>
      <c r="BM345" s="785" t="s">
        <v>168</v>
      </c>
      <c r="BN345" s="785" t="s">
        <v>168</v>
      </c>
      <c r="BO345" s="785" t="s">
        <v>168</v>
      </c>
      <c r="BP345" s="796" t="s">
        <v>168</v>
      </c>
      <c r="BQ345" s="808" t="s">
        <v>1942</v>
      </c>
      <c r="BR345" s="800" t="s">
        <v>1942</v>
      </c>
      <c r="BS345" s="800" t="s">
        <v>1942</v>
      </c>
      <c r="BT345" s="800" t="s">
        <v>1942</v>
      </c>
      <c r="BU345" s="805" t="s">
        <v>1942</v>
      </c>
      <c r="BV345" s="808" t="s">
        <v>1942</v>
      </c>
      <c r="BW345" s="800" t="s">
        <v>1942</v>
      </c>
      <c r="BX345" s="800" t="s">
        <v>1942</v>
      </c>
      <c r="BY345" s="800" t="s">
        <v>1942</v>
      </c>
      <c r="BZ345" s="800" t="s">
        <v>1942</v>
      </c>
      <c r="CA345" s="808" t="s">
        <v>1942</v>
      </c>
      <c r="CB345" s="800" t="s">
        <v>1942</v>
      </c>
      <c r="CC345" s="800" t="s">
        <v>1942</v>
      </c>
      <c r="CD345" s="800" t="s">
        <v>1942</v>
      </c>
      <c r="CE345" s="805" t="s">
        <v>1942</v>
      </c>
      <c r="CF345" s="800" t="s">
        <v>1942</v>
      </c>
      <c r="CG345" s="800" t="s">
        <v>1942</v>
      </c>
      <c r="CH345" s="800" t="s">
        <v>1942</v>
      </c>
      <c r="CI345" s="800" t="s">
        <v>1942</v>
      </c>
      <c r="CJ345" s="805" t="s">
        <v>1942</v>
      </c>
      <c r="CK345" s="808" t="s">
        <v>1942</v>
      </c>
      <c r="CL345" s="800" t="s">
        <v>1942</v>
      </c>
      <c r="CM345" s="800" t="s">
        <v>1942</v>
      </c>
      <c r="CN345" s="800" t="s">
        <v>1942</v>
      </c>
      <c r="CO345" s="805" t="s">
        <v>1942</v>
      </c>
      <c r="CP345" s="808" t="s">
        <v>1942</v>
      </c>
      <c r="CQ345" s="800" t="s">
        <v>1942</v>
      </c>
      <c r="CR345" s="800" t="s">
        <v>1942</v>
      </c>
      <c r="CS345" s="800" t="s">
        <v>1942</v>
      </c>
      <c r="CT345" s="805" t="s">
        <v>1942</v>
      </c>
      <c r="CU345" s="1284">
        <v>-1.083</v>
      </c>
      <c r="CV345" s="1283" t="s">
        <v>1942</v>
      </c>
      <c r="CW345" s="1283" t="s">
        <v>1942</v>
      </c>
      <c r="CX345" s="1285" t="s">
        <v>1942</v>
      </c>
      <c r="CY345" s="1283">
        <v>0.90200000000000002</v>
      </c>
      <c r="CZ345" s="1283" t="s">
        <v>1942</v>
      </c>
      <c r="DA345" s="1283" t="s">
        <v>1942</v>
      </c>
      <c r="DB345" s="1285" t="s">
        <v>1942</v>
      </c>
      <c r="DC345" s="785"/>
      <c r="DD345" s="813">
        <v>1</v>
      </c>
      <c r="DE345" s="814"/>
    </row>
    <row r="346" spans="1:109" ht="26.25" hidden="1">
      <c r="A346" s="772" t="s">
        <v>1078</v>
      </c>
      <c r="B346" s="773">
        <v>340</v>
      </c>
      <c r="C346" s="789" t="s">
        <v>3394</v>
      </c>
      <c r="D346" s="773" t="s">
        <v>3372</v>
      </c>
      <c r="E346" s="773" t="s">
        <v>1907</v>
      </c>
      <c r="F346" s="785" t="s">
        <v>3395</v>
      </c>
      <c r="G346" s="790" t="s">
        <v>2557</v>
      </c>
      <c r="H346" s="791" t="s">
        <v>3396</v>
      </c>
      <c r="I346" s="792">
        <v>0</v>
      </c>
      <c r="J346" s="793">
        <v>1</v>
      </c>
      <c r="K346" s="793"/>
      <c r="L346" s="793"/>
      <c r="M346" s="793">
        <v>0</v>
      </c>
      <c r="N346" s="793"/>
      <c r="O346" s="793"/>
      <c r="P346" s="794"/>
      <c r="Q346" s="795">
        <f t="shared" si="5"/>
        <v>1</v>
      </c>
      <c r="R346" s="789" t="s">
        <v>1030</v>
      </c>
      <c r="S346" s="773" t="s">
        <v>1008</v>
      </c>
      <c r="T346" s="796" t="s">
        <v>1009</v>
      </c>
      <c r="U346" s="773" t="s">
        <v>2237</v>
      </c>
      <c r="V346" s="773" t="s">
        <v>1072</v>
      </c>
      <c r="W346" s="773" t="s">
        <v>3397</v>
      </c>
      <c r="X346" s="1310">
        <v>0</v>
      </c>
      <c r="Y346" s="826" t="s">
        <v>1020</v>
      </c>
      <c r="Z346" s="790"/>
      <c r="AA346" s="785"/>
      <c r="AB346" s="785"/>
      <c r="AC346" s="785"/>
      <c r="AD346" s="785"/>
      <c r="AE346" s="785"/>
      <c r="AF346" s="799"/>
      <c r="AG346" s="800"/>
      <c r="AH346" s="800"/>
      <c r="AI346" s="800"/>
      <c r="AJ346" s="800"/>
      <c r="AK346" s="800"/>
      <c r="AL346" s="800"/>
      <c r="AM346" s="800"/>
      <c r="AN346" s="800"/>
      <c r="AO346" s="800"/>
      <c r="AP346" s="800"/>
      <c r="AQ346" s="808">
        <v>6</v>
      </c>
      <c r="AR346" s="800">
        <v>5</v>
      </c>
      <c r="AS346" s="800">
        <v>4</v>
      </c>
      <c r="AT346" s="800">
        <v>4</v>
      </c>
      <c r="AU346" s="841">
        <v>4</v>
      </c>
      <c r="AV346" s="827"/>
      <c r="AW346" s="800"/>
      <c r="AX346" s="800"/>
      <c r="AY346" s="800"/>
      <c r="AZ346" s="800"/>
      <c r="BA346" s="800"/>
      <c r="BB346" s="800"/>
      <c r="BC346" s="800"/>
      <c r="BD346" s="800"/>
      <c r="BE346" s="800"/>
      <c r="BF346" s="800"/>
      <c r="BG346" s="800"/>
      <c r="BH346" s="800"/>
      <c r="BI346" s="800"/>
      <c r="BJ346" s="800"/>
      <c r="BK346" s="805"/>
      <c r="BL346" s="789" t="s">
        <v>168</v>
      </c>
      <c r="BM346" s="785" t="s">
        <v>168</v>
      </c>
      <c r="BN346" s="785" t="s">
        <v>168</v>
      </c>
      <c r="BO346" s="785" t="s">
        <v>168</v>
      </c>
      <c r="BP346" s="796" t="s">
        <v>168</v>
      </c>
      <c r="BQ346" s="808" t="s">
        <v>1942</v>
      </c>
      <c r="BR346" s="800" t="s">
        <v>1942</v>
      </c>
      <c r="BS346" s="800" t="s">
        <v>1942</v>
      </c>
      <c r="BT346" s="800" t="s">
        <v>1942</v>
      </c>
      <c r="BU346" s="805" t="s">
        <v>1942</v>
      </c>
      <c r="BV346" s="808" t="s">
        <v>1942</v>
      </c>
      <c r="BW346" s="800" t="s">
        <v>1942</v>
      </c>
      <c r="BX346" s="800" t="s">
        <v>1942</v>
      </c>
      <c r="BY346" s="800" t="s">
        <v>1942</v>
      </c>
      <c r="BZ346" s="800" t="s">
        <v>1942</v>
      </c>
      <c r="CA346" s="808" t="s">
        <v>1942</v>
      </c>
      <c r="CB346" s="800" t="s">
        <v>1942</v>
      </c>
      <c r="CC346" s="800" t="s">
        <v>1942</v>
      </c>
      <c r="CD346" s="800" t="s">
        <v>1942</v>
      </c>
      <c r="CE346" s="805" t="s">
        <v>1942</v>
      </c>
      <c r="CF346" s="800" t="s">
        <v>1942</v>
      </c>
      <c r="CG346" s="800" t="s">
        <v>1942</v>
      </c>
      <c r="CH346" s="800" t="s">
        <v>1942</v>
      </c>
      <c r="CI346" s="800" t="s">
        <v>1942</v>
      </c>
      <c r="CJ346" s="805" t="s">
        <v>1942</v>
      </c>
      <c r="CK346" s="808" t="s">
        <v>1942</v>
      </c>
      <c r="CL346" s="800" t="s">
        <v>1942</v>
      </c>
      <c r="CM346" s="800" t="s">
        <v>1942</v>
      </c>
      <c r="CN346" s="800" t="s">
        <v>1942</v>
      </c>
      <c r="CO346" s="805" t="s">
        <v>1942</v>
      </c>
      <c r="CP346" s="808" t="s">
        <v>1942</v>
      </c>
      <c r="CQ346" s="800" t="s">
        <v>1942</v>
      </c>
      <c r="CR346" s="800" t="s">
        <v>1942</v>
      </c>
      <c r="CS346" s="800" t="s">
        <v>1942</v>
      </c>
      <c r="CT346" s="805" t="s">
        <v>1942</v>
      </c>
      <c r="CU346" s="1284">
        <v>-0.129</v>
      </c>
      <c r="CV346" s="1283" t="s">
        <v>1942</v>
      </c>
      <c r="CW346" s="1283" t="s">
        <v>1942</v>
      </c>
      <c r="CX346" s="1285" t="s">
        <v>1942</v>
      </c>
      <c r="CY346" s="1283">
        <v>6.8000000000000005E-2</v>
      </c>
      <c r="CZ346" s="1283" t="s">
        <v>1942</v>
      </c>
      <c r="DA346" s="1283" t="s">
        <v>1942</v>
      </c>
      <c r="DB346" s="1285" t="s">
        <v>1942</v>
      </c>
      <c r="DC346" s="785"/>
      <c r="DD346" s="813">
        <v>1</v>
      </c>
      <c r="DE346" s="814"/>
    </row>
    <row r="347" spans="1:109" ht="39.4" hidden="1">
      <c r="A347" s="772" t="s">
        <v>1078</v>
      </c>
      <c r="B347" s="773">
        <v>341</v>
      </c>
      <c r="C347" s="928" t="s">
        <v>3398</v>
      </c>
      <c r="D347" s="773" t="s">
        <v>3372</v>
      </c>
      <c r="E347" s="773" t="s">
        <v>1907</v>
      </c>
      <c r="F347" s="785" t="s">
        <v>3399</v>
      </c>
      <c r="G347" s="790" t="s">
        <v>3400</v>
      </c>
      <c r="H347" s="791" t="s">
        <v>3401</v>
      </c>
      <c r="I347" s="792">
        <v>0</v>
      </c>
      <c r="J347" s="793">
        <v>1</v>
      </c>
      <c r="K347" s="793"/>
      <c r="L347" s="793"/>
      <c r="M347" s="793">
        <v>0</v>
      </c>
      <c r="N347" s="793"/>
      <c r="O347" s="793"/>
      <c r="P347" s="794"/>
      <c r="Q347" s="795">
        <f t="shared" si="5"/>
        <v>1</v>
      </c>
      <c r="R347" s="789" t="s">
        <v>1026</v>
      </c>
      <c r="S347" s="773" t="s">
        <v>1008</v>
      </c>
      <c r="T347" s="796" t="s">
        <v>1009</v>
      </c>
      <c r="U347" s="773" t="s">
        <v>2085</v>
      </c>
      <c r="V347" s="773" t="s">
        <v>278</v>
      </c>
      <c r="W347" s="773" t="s">
        <v>3402</v>
      </c>
      <c r="X347" s="1310">
        <v>1</v>
      </c>
      <c r="Y347" s="819" t="s">
        <v>1010</v>
      </c>
      <c r="Z347" s="790"/>
      <c r="AA347" s="785"/>
      <c r="AB347" s="785"/>
      <c r="AC347" s="785"/>
      <c r="AD347" s="785"/>
      <c r="AE347" s="785"/>
      <c r="AF347" s="799"/>
      <c r="AG347" s="807"/>
      <c r="AH347" s="807"/>
      <c r="AI347" s="807"/>
      <c r="AJ347" s="807"/>
      <c r="AK347" s="807"/>
      <c r="AL347" s="807"/>
      <c r="AM347" s="807"/>
      <c r="AN347" s="807"/>
      <c r="AO347" s="878"/>
      <c r="AP347" s="807"/>
      <c r="AQ347" s="806">
        <v>0</v>
      </c>
      <c r="AR347" s="807">
        <v>0</v>
      </c>
      <c r="AS347" s="2002">
        <v>55.1</v>
      </c>
      <c r="AT347" s="1991">
        <v>55.1</v>
      </c>
      <c r="AU347" s="820">
        <v>100</v>
      </c>
      <c r="AV347" s="808"/>
      <c r="AW347" s="800"/>
      <c r="AX347" s="800"/>
      <c r="AY347" s="800"/>
      <c r="AZ347" s="800"/>
      <c r="BA347" s="800"/>
      <c r="BB347" s="800"/>
      <c r="BC347" s="800"/>
      <c r="BD347" s="800"/>
      <c r="BE347" s="800"/>
      <c r="BF347" s="800"/>
      <c r="BG347" s="800"/>
      <c r="BH347" s="800"/>
      <c r="BI347" s="800"/>
      <c r="BJ347" s="800"/>
      <c r="BK347" s="805"/>
      <c r="BL347" s="1955" t="s">
        <v>168</v>
      </c>
      <c r="BM347" s="1956" t="s">
        <v>168</v>
      </c>
      <c r="BN347" s="1956" t="s">
        <v>168</v>
      </c>
      <c r="BO347" s="1956" t="s">
        <v>168</v>
      </c>
      <c r="BP347" s="796" t="s">
        <v>168</v>
      </c>
      <c r="BQ347" s="808" t="s">
        <v>1942</v>
      </c>
      <c r="BR347" s="800" t="s">
        <v>1942</v>
      </c>
      <c r="BS347" s="800" t="s">
        <v>1942</v>
      </c>
      <c r="BT347" s="800" t="s">
        <v>1942</v>
      </c>
      <c r="BU347" s="805" t="s">
        <v>1942</v>
      </c>
      <c r="BV347" s="808" t="s">
        <v>1942</v>
      </c>
      <c r="BW347" s="800" t="s">
        <v>1942</v>
      </c>
      <c r="BX347" s="800" t="s">
        <v>1942</v>
      </c>
      <c r="BY347" s="800" t="s">
        <v>1942</v>
      </c>
      <c r="BZ347" s="800" t="s">
        <v>1942</v>
      </c>
      <c r="CA347" s="808" t="s">
        <v>1942</v>
      </c>
      <c r="CB347" s="800" t="s">
        <v>1942</v>
      </c>
      <c r="CC347" s="800" t="s">
        <v>1942</v>
      </c>
      <c r="CD347" s="800" t="s">
        <v>1942</v>
      </c>
      <c r="CE347" s="805" t="s">
        <v>1942</v>
      </c>
      <c r="CF347" s="800" t="s">
        <v>1942</v>
      </c>
      <c r="CG347" s="800" t="s">
        <v>1942</v>
      </c>
      <c r="CH347" s="800" t="s">
        <v>1942</v>
      </c>
      <c r="CI347" s="800" t="s">
        <v>1942</v>
      </c>
      <c r="CJ347" s="800" t="s">
        <v>1942</v>
      </c>
      <c r="CK347" s="808" t="s">
        <v>1942</v>
      </c>
      <c r="CL347" s="800" t="s">
        <v>1942</v>
      </c>
      <c r="CM347" s="800" t="s">
        <v>1942</v>
      </c>
      <c r="CN347" s="800" t="s">
        <v>1942</v>
      </c>
      <c r="CO347" s="805" t="s">
        <v>1942</v>
      </c>
      <c r="CP347" s="808" t="s">
        <v>1942</v>
      </c>
      <c r="CQ347" s="800" t="s">
        <v>1942</v>
      </c>
      <c r="CR347" s="800" t="s">
        <v>1942</v>
      </c>
      <c r="CS347" s="800" t="s">
        <v>1942</v>
      </c>
      <c r="CT347" s="805" t="s">
        <v>1942</v>
      </c>
      <c r="CU347" s="1284">
        <v>-5.8200000000000002E-2</v>
      </c>
      <c r="CV347" s="1283" t="s">
        <v>1942</v>
      </c>
      <c r="CW347" s="1283" t="s">
        <v>1942</v>
      </c>
      <c r="CX347" s="1285" t="s">
        <v>1942</v>
      </c>
      <c r="CY347" s="1283" t="s">
        <v>1942</v>
      </c>
      <c r="CZ347" s="1283" t="s">
        <v>1942</v>
      </c>
      <c r="DA347" s="1283" t="s">
        <v>1942</v>
      </c>
      <c r="DB347" s="1285" t="s">
        <v>1942</v>
      </c>
      <c r="DC347" s="785" t="s">
        <v>131</v>
      </c>
      <c r="DD347" s="813">
        <v>1</v>
      </c>
      <c r="DE347" s="814"/>
    </row>
    <row r="348" spans="1:109" ht="26.25" hidden="1">
      <c r="A348" s="772" t="s">
        <v>1078</v>
      </c>
      <c r="B348" s="773">
        <v>342</v>
      </c>
      <c r="C348" s="789" t="s">
        <v>3403</v>
      </c>
      <c r="D348" s="773" t="s">
        <v>3404</v>
      </c>
      <c r="E348" s="773" t="s">
        <v>1907</v>
      </c>
      <c r="F348" s="785" t="s">
        <v>2404</v>
      </c>
      <c r="G348" s="790" t="s">
        <v>3405</v>
      </c>
      <c r="H348" s="791" t="s">
        <v>3406</v>
      </c>
      <c r="I348" s="792">
        <v>0</v>
      </c>
      <c r="J348" s="793">
        <v>0</v>
      </c>
      <c r="K348" s="793"/>
      <c r="L348" s="793"/>
      <c r="M348" s="793">
        <v>1</v>
      </c>
      <c r="N348" s="793"/>
      <c r="O348" s="793"/>
      <c r="P348" s="794"/>
      <c r="Q348" s="795">
        <f t="shared" si="5"/>
        <v>1</v>
      </c>
      <c r="R348" s="789" t="s">
        <v>1007</v>
      </c>
      <c r="S348" s="773"/>
      <c r="T348" s="796"/>
      <c r="U348" s="773" t="s">
        <v>2677</v>
      </c>
      <c r="V348" s="773" t="s">
        <v>278</v>
      </c>
      <c r="W348" s="773" t="s">
        <v>1146</v>
      </c>
      <c r="X348" s="1310">
        <v>2</v>
      </c>
      <c r="Y348" s="819" t="s">
        <v>1020</v>
      </c>
      <c r="Z348" s="790"/>
      <c r="AA348" s="785"/>
      <c r="AB348" s="785"/>
      <c r="AC348" s="785"/>
      <c r="AD348" s="785"/>
      <c r="AE348" s="785"/>
      <c r="AF348" s="799"/>
      <c r="AG348" s="829"/>
      <c r="AH348" s="829"/>
      <c r="AI348" s="829"/>
      <c r="AJ348" s="829"/>
      <c r="AK348" s="829"/>
      <c r="AL348" s="829"/>
      <c r="AM348" s="829"/>
      <c r="AN348" s="829"/>
      <c r="AO348" s="829"/>
      <c r="AP348" s="829"/>
      <c r="AQ348" s="828">
        <v>3.01</v>
      </c>
      <c r="AR348" s="829">
        <v>2.86</v>
      </c>
      <c r="AS348" s="829">
        <v>2.79</v>
      </c>
      <c r="AT348" s="829">
        <v>2.76</v>
      </c>
      <c r="AU348" s="830">
        <v>2.75</v>
      </c>
      <c r="AV348" s="808"/>
      <c r="AW348" s="800"/>
      <c r="AX348" s="800"/>
      <c r="AY348" s="800"/>
      <c r="AZ348" s="800"/>
      <c r="BA348" s="800"/>
      <c r="BB348" s="800"/>
      <c r="BC348" s="800"/>
      <c r="BD348" s="800"/>
      <c r="BE348" s="800"/>
      <c r="BF348" s="800"/>
      <c r="BG348" s="800"/>
      <c r="BH348" s="800"/>
      <c r="BI348" s="800"/>
      <c r="BJ348" s="800"/>
      <c r="BK348" s="805"/>
      <c r="BL348" s="789"/>
      <c r="BM348" s="785"/>
      <c r="BN348" s="785"/>
      <c r="BO348" s="785"/>
      <c r="BP348" s="796"/>
      <c r="BQ348" s="808" t="s">
        <v>1942</v>
      </c>
      <c r="BR348" s="800" t="s">
        <v>1942</v>
      </c>
      <c r="BS348" s="800" t="s">
        <v>1942</v>
      </c>
      <c r="BT348" s="800" t="s">
        <v>1942</v>
      </c>
      <c r="BU348" s="805" t="s">
        <v>1942</v>
      </c>
      <c r="BV348" s="808" t="s">
        <v>1942</v>
      </c>
      <c r="BW348" s="800" t="s">
        <v>1942</v>
      </c>
      <c r="BX348" s="800" t="s">
        <v>1942</v>
      </c>
      <c r="BY348" s="800" t="s">
        <v>1942</v>
      </c>
      <c r="BZ348" s="800" t="s">
        <v>1942</v>
      </c>
      <c r="CA348" s="808" t="s">
        <v>1942</v>
      </c>
      <c r="CB348" s="800" t="s">
        <v>1942</v>
      </c>
      <c r="CC348" s="800" t="s">
        <v>1942</v>
      </c>
      <c r="CD348" s="800" t="s">
        <v>1942</v>
      </c>
      <c r="CE348" s="805" t="s">
        <v>1942</v>
      </c>
      <c r="CF348" s="800" t="s">
        <v>1942</v>
      </c>
      <c r="CG348" s="800" t="s">
        <v>1942</v>
      </c>
      <c r="CH348" s="800" t="s">
        <v>1942</v>
      </c>
      <c r="CI348" s="800" t="s">
        <v>1942</v>
      </c>
      <c r="CJ348" s="805" t="s">
        <v>1942</v>
      </c>
      <c r="CK348" s="808" t="s">
        <v>1942</v>
      </c>
      <c r="CL348" s="800" t="s">
        <v>1942</v>
      </c>
      <c r="CM348" s="800" t="s">
        <v>1942</v>
      </c>
      <c r="CN348" s="800" t="s">
        <v>1942</v>
      </c>
      <c r="CO348" s="805" t="s">
        <v>1942</v>
      </c>
      <c r="CP348" s="808" t="s">
        <v>1942</v>
      </c>
      <c r="CQ348" s="800" t="s">
        <v>1942</v>
      </c>
      <c r="CR348" s="800" t="s">
        <v>1942</v>
      </c>
      <c r="CS348" s="800" t="s">
        <v>1942</v>
      </c>
      <c r="CT348" s="805" t="s">
        <v>1942</v>
      </c>
      <c r="CU348" s="1284" t="s">
        <v>1942</v>
      </c>
      <c r="CV348" s="1283" t="s">
        <v>1942</v>
      </c>
      <c r="CW348" s="1283" t="s">
        <v>1942</v>
      </c>
      <c r="CX348" s="1285" t="s">
        <v>1942</v>
      </c>
      <c r="CY348" s="1283" t="s">
        <v>1942</v>
      </c>
      <c r="CZ348" s="1283" t="s">
        <v>1942</v>
      </c>
      <c r="DA348" s="1283" t="s">
        <v>1942</v>
      </c>
      <c r="DB348" s="1285" t="s">
        <v>1942</v>
      </c>
      <c r="DC348" s="785"/>
      <c r="DD348" s="813">
        <v>1</v>
      </c>
      <c r="DE348" s="814"/>
    </row>
    <row r="349" spans="1:109" ht="26.25" hidden="1">
      <c r="A349" s="772" t="s">
        <v>1078</v>
      </c>
      <c r="B349" s="773">
        <v>343</v>
      </c>
      <c r="C349" s="789" t="s">
        <v>3407</v>
      </c>
      <c r="D349" s="773" t="s">
        <v>3404</v>
      </c>
      <c r="E349" s="773" t="s">
        <v>1907</v>
      </c>
      <c r="F349" s="785" t="s">
        <v>2408</v>
      </c>
      <c r="G349" s="790" t="s">
        <v>3408</v>
      </c>
      <c r="H349" s="791" t="s">
        <v>3409</v>
      </c>
      <c r="I349" s="792">
        <v>0</v>
      </c>
      <c r="J349" s="793">
        <v>0</v>
      </c>
      <c r="K349" s="793"/>
      <c r="L349" s="793"/>
      <c r="M349" s="793">
        <v>1</v>
      </c>
      <c r="N349" s="793"/>
      <c r="O349" s="793"/>
      <c r="P349" s="794"/>
      <c r="Q349" s="795">
        <f t="shared" si="5"/>
        <v>1</v>
      </c>
      <c r="R349" s="789" t="s">
        <v>1026</v>
      </c>
      <c r="S349" s="773" t="s">
        <v>1008</v>
      </c>
      <c r="T349" s="796" t="s">
        <v>1009</v>
      </c>
      <c r="U349" s="773" t="s">
        <v>2763</v>
      </c>
      <c r="V349" s="773" t="s">
        <v>278</v>
      </c>
      <c r="W349" s="773" t="s">
        <v>1146</v>
      </c>
      <c r="X349" s="1310">
        <v>0</v>
      </c>
      <c r="Y349" s="819" t="s">
        <v>1010</v>
      </c>
      <c r="Z349" s="790"/>
      <c r="AA349" s="785"/>
      <c r="AB349" s="785"/>
      <c r="AC349" s="785"/>
      <c r="AD349" s="785"/>
      <c r="AE349" s="785"/>
      <c r="AF349" s="799"/>
      <c r="AG349" s="807"/>
      <c r="AH349" s="807"/>
      <c r="AI349" s="807"/>
      <c r="AJ349" s="807"/>
      <c r="AK349" s="807"/>
      <c r="AL349" s="807"/>
      <c r="AM349" s="807"/>
      <c r="AN349" s="807"/>
      <c r="AO349" s="807"/>
      <c r="AP349" s="807"/>
      <c r="AQ349" s="806">
        <v>100</v>
      </c>
      <c r="AR349" s="807">
        <v>100</v>
      </c>
      <c r="AS349" s="807">
        <v>100</v>
      </c>
      <c r="AT349" s="807">
        <v>100</v>
      </c>
      <c r="AU349" s="820">
        <v>100</v>
      </c>
      <c r="AV349" s="806"/>
      <c r="AW349" s="807"/>
      <c r="AX349" s="807"/>
      <c r="AY349" s="807"/>
      <c r="AZ349" s="807"/>
      <c r="BA349" s="807"/>
      <c r="BB349" s="807"/>
      <c r="BC349" s="807"/>
      <c r="BD349" s="807"/>
      <c r="BE349" s="807"/>
      <c r="BF349" s="807"/>
      <c r="BG349" s="807"/>
      <c r="BH349" s="807"/>
      <c r="BI349" s="807"/>
      <c r="BJ349" s="807"/>
      <c r="BK349" s="820"/>
      <c r="BL349" s="789" t="s">
        <v>168</v>
      </c>
      <c r="BM349" s="785" t="s">
        <v>168</v>
      </c>
      <c r="BN349" s="785" t="s">
        <v>168</v>
      </c>
      <c r="BO349" s="785" t="s">
        <v>168</v>
      </c>
      <c r="BP349" s="796" t="s">
        <v>168</v>
      </c>
      <c r="BQ349" s="808" t="s">
        <v>1942</v>
      </c>
      <c r="BR349" s="800" t="s">
        <v>1942</v>
      </c>
      <c r="BS349" s="800" t="s">
        <v>1942</v>
      </c>
      <c r="BT349" s="800" t="s">
        <v>1942</v>
      </c>
      <c r="BU349" s="805" t="s">
        <v>1942</v>
      </c>
      <c r="BV349" s="806" t="s">
        <v>1942</v>
      </c>
      <c r="BW349" s="807" t="s">
        <v>1942</v>
      </c>
      <c r="BX349" s="807" t="s">
        <v>1942</v>
      </c>
      <c r="BY349" s="807" t="s">
        <v>1942</v>
      </c>
      <c r="BZ349" s="807" t="s">
        <v>1942</v>
      </c>
      <c r="CA349" s="808" t="s">
        <v>1942</v>
      </c>
      <c r="CB349" s="800" t="s">
        <v>1942</v>
      </c>
      <c r="CC349" s="800" t="s">
        <v>1942</v>
      </c>
      <c r="CD349" s="800" t="s">
        <v>1942</v>
      </c>
      <c r="CE349" s="805" t="s">
        <v>1942</v>
      </c>
      <c r="CF349" s="800" t="s">
        <v>1942</v>
      </c>
      <c r="CG349" s="800" t="s">
        <v>1942</v>
      </c>
      <c r="CH349" s="800" t="s">
        <v>1942</v>
      </c>
      <c r="CI349" s="800" t="s">
        <v>1942</v>
      </c>
      <c r="CJ349" s="805" t="s">
        <v>1942</v>
      </c>
      <c r="CK349" s="808" t="s">
        <v>1942</v>
      </c>
      <c r="CL349" s="800" t="s">
        <v>1942</v>
      </c>
      <c r="CM349" s="800" t="s">
        <v>1942</v>
      </c>
      <c r="CN349" s="800" t="s">
        <v>1942</v>
      </c>
      <c r="CO349" s="805" t="s">
        <v>1942</v>
      </c>
      <c r="CP349" s="808" t="s">
        <v>1942</v>
      </c>
      <c r="CQ349" s="800" t="s">
        <v>1942</v>
      </c>
      <c r="CR349" s="800" t="s">
        <v>1942</v>
      </c>
      <c r="CS349" s="800" t="s">
        <v>1942</v>
      </c>
      <c r="CT349" s="805" t="s">
        <v>1942</v>
      </c>
      <c r="CU349" s="1284">
        <v>-6.7450000000000001E-3</v>
      </c>
      <c r="CV349" s="1283" t="s">
        <v>1942</v>
      </c>
      <c r="CW349" s="1283" t="s">
        <v>1942</v>
      </c>
      <c r="CX349" s="1285" t="s">
        <v>1942</v>
      </c>
      <c r="CY349" s="1283" t="s">
        <v>1942</v>
      </c>
      <c r="CZ349" s="1283" t="s">
        <v>1942</v>
      </c>
      <c r="DA349" s="1283" t="s">
        <v>1942</v>
      </c>
      <c r="DB349" s="1285" t="s">
        <v>1942</v>
      </c>
      <c r="DC349" s="785"/>
      <c r="DD349" s="813">
        <v>1</v>
      </c>
      <c r="DE349" s="814"/>
    </row>
    <row r="350" spans="1:109" ht="13.15" hidden="1">
      <c r="A350" s="772" t="s">
        <v>1078</v>
      </c>
      <c r="B350" s="773">
        <v>344</v>
      </c>
      <c r="C350" s="789" t="s">
        <v>3410</v>
      </c>
      <c r="D350" s="773" t="s">
        <v>3404</v>
      </c>
      <c r="E350" s="773" t="s">
        <v>1907</v>
      </c>
      <c r="F350" s="785" t="s">
        <v>2412</v>
      </c>
      <c r="G350" s="790" t="s">
        <v>3411</v>
      </c>
      <c r="H350" s="791" t="s">
        <v>3412</v>
      </c>
      <c r="I350" s="792">
        <v>8.1000000000000003E-2</v>
      </c>
      <c r="J350" s="793">
        <v>0.91900000000000004</v>
      </c>
      <c r="K350" s="793"/>
      <c r="L350" s="793"/>
      <c r="M350" s="793">
        <v>0</v>
      </c>
      <c r="N350" s="793"/>
      <c r="O350" s="793"/>
      <c r="P350" s="794"/>
      <c r="Q350" s="795">
        <f t="shared" si="5"/>
        <v>1</v>
      </c>
      <c r="R350" s="789" t="s">
        <v>1007</v>
      </c>
      <c r="S350" s="773"/>
      <c r="T350" s="796"/>
      <c r="U350" s="773" t="s">
        <v>3413</v>
      </c>
      <c r="V350" s="773" t="s">
        <v>1081</v>
      </c>
      <c r="W350" s="773" t="s">
        <v>3414</v>
      </c>
      <c r="X350" s="1310">
        <v>0</v>
      </c>
      <c r="Y350" s="819" t="s">
        <v>1010</v>
      </c>
      <c r="Z350" s="790"/>
      <c r="AA350" s="785"/>
      <c r="AB350" s="785"/>
      <c r="AC350" s="785"/>
      <c r="AD350" s="785"/>
      <c r="AE350" s="785"/>
      <c r="AF350" s="799"/>
      <c r="AG350" s="800"/>
      <c r="AH350" s="800"/>
      <c r="AI350" s="800"/>
      <c r="AJ350" s="800"/>
      <c r="AK350" s="800"/>
      <c r="AL350" s="800"/>
      <c r="AM350" s="800"/>
      <c r="AN350" s="800"/>
      <c r="AO350" s="800"/>
      <c r="AP350" s="800"/>
      <c r="AQ350" s="808" t="s">
        <v>591</v>
      </c>
      <c r="AR350" s="800" t="s">
        <v>591</v>
      </c>
      <c r="AS350" s="800" t="s">
        <v>591</v>
      </c>
      <c r="AT350" s="800" t="s">
        <v>591</v>
      </c>
      <c r="AU350" s="805" t="s">
        <v>591</v>
      </c>
      <c r="AV350" s="809"/>
      <c r="AW350" s="810"/>
      <c r="AX350" s="810"/>
      <c r="AY350" s="810"/>
      <c r="AZ350" s="810"/>
      <c r="BA350" s="810"/>
      <c r="BB350" s="810"/>
      <c r="BC350" s="810"/>
      <c r="BD350" s="810"/>
      <c r="BE350" s="810"/>
      <c r="BF350" s="810"/>
      <c r="BG350" s="810"/>
      <c r="BH350" s="810"/>
      <c r="BI350" s="810"/>
      <c r="BJ350" s="810"/>
      <c r="BK350" s="811"/>
      <c r="BL350" s="789"/>
      <c r="BM350" s="785"/>
      <c r="BN350" s="785"/>
      <c r="BO350" s="785"/>
      <c r="BP350" s="796"/>
      <c r="BQ350" s="808" t="s">
        <v>1942</v>
      </c>
      <c r="BR350" s="800" t="s">
        <v>1942</v>
      </c>
      <c r="BS350" s="800" t="s">
        <v>1942</v>
      </c>
      <c r="BT350" s="800" t="s">
        <v>1942</v>
      </c>
      <c r="BU350" s="805" t="s">
        <v>1942</v>
      </c>
      <c r="BV350" s="808" t="s">
        <v>1942</v>
      </c>
      <c r="BW350" s="800" t="s">
        <v>1942</v>
      </c>
      <c r="BX350" s="800" t="s">
        <v>1942</v>
      </c>
      <c r="BY350" s="800" t="s">
        <v>1942</v>
      </c>
      <c r="BZ350" s="800" t="s">
        <v>1942</v>
      </c>
      <c r="CA350" s="808" t="s">
        <v>1942</v>
      </c>
      <c r="CB350" s="800" t="s">
        <v>1942</v>
      </c>
      <c r="CC350" s="800" t="s">
        <v>1942</v>
      </c>
      <c r="CD350" s="800" t="s">
        <v>1942</v>
      </c>
      <c r="CE350" s="805" t="s">
        <v>1942</v>
      </c>
      <c r="CF350" s="800" t="s">
        <v>1942</v>
      </c>
      <c r="CG350" s="800" t="s">
        <v>1942</v>
      </c>
      <c r="CH350" s="800" t="s">
        <v>1942</v>
      </c>
      <c r="CI350" s="800" t="s">
        <v>1942</v>
      </c>
      <c r="CJ350" s="805" t="s">
        <v>1942</v>
      </c>
      <c r="CK350" s="808" t="s">
        <v>1942</v>
      </c>
      <c r="CL350" s="800" t="s">
        <v>1942</v>
      </c>
      <c r="CM350" s="800" t="s">
        <v>1942</v>
      </c>
      <c r="CN350" s="800" t="s">
        <v>1942</v>
      </c>
      <c r="CO350" s="805" t="s">
        <v>1942</v>
      </c>
      <c r="CP350" s="808" t="s">
        <v>1942</v>
      </c>
      <c r="CQ350" s="800" t="s">
        <v>1942</v>
      </c>
      <c r="CR350" s="800" t="s">
        <v>1942</v>
      </c>
      <c r="CS350" s="800" t="s">
        <v>1942</v>
      </c>
      <c r="CT350" s="805" t="s">
        <v>1942</v>
      </c>
      <c r="CU350" s="1284" t="s">
        <v>1942</v>
      </c>
      <c r="CV350" s="1283" t="s">
        <v>1942</v>
      </c>
      <c r="CW350" s="1283" t="s">
        <v>1942</v>
      </c>
      <c r="CX350" s="1285" t="s">
        <v>1942</v>
      </c>
      <c r="CY350" s="1283" t="s">
        <v>1942</v>
      </c>
      <c r="CZ350" s="1283" t="s">
        <v>1942</v>
      </c>
      <c r="DA350" s="1283" t="s">
        <v>1942</v>
      </c>
      <c r="DB350" s="1285" t="s">
        <v>1942</v>
      </c>
      <c r="DC350" s="785"/>
      <c r="DD350" s="813">
        <v>1</v>
      </c>
      <c r="DE350" s="814"/>
    </row>
    <row r="351" spans="1:109" ht="39.4" hidden="1">
      <c r="A351" s="772" t="s">
        <v>1078</v>
      </c>
      <c r="B351" s="773">
        <v>345</v>
      </c>
      <c r="C351" s="789" t="s">
        <v>3415</v>
      </c>
      <c r="D351" s="773" t="s">
        <v>3404</v>
      </c>
      <c r="E351" s="773" t="s">
        <v>1907</v>
      </c>
      <c r="F351" s="785" t="s">
        <v>2418</v>
      </c>
      <c r="G351" s="790" t="s">
        <v>3416</v>
      </c>
      <c r="H351" s="791" t="s">
        <v>3417</v>
      </c>
      <c r="I351" s="792">
        <v>0.10100000000000001</v>
      </c>
      <c r="J351" s="793">
        <v>0.89900000000000002</v>
      </c>
      <c r="K351" s="793"/>
      <c r="L351" s="793"/>
      <c r="M351" s="793">
        <v>0</v>
      </c>
      <c r="N351" s="793"/>
      <c r="O351" s="793"/>
      <c r="P351" s="794"/>
      <c r="Q351" s="795">
        <f t="shared" si="5"/>
        <v>1</v>
      </c>
      <c r="R351" s="789" t="s">
        <v>1007</v>
      </c>
      <c r="S351" s="773"/>
      <c r="T351" s="796"/>
      <c r="U351" s="773" t="s">
        <v>3418</v>
      </c>
      <c r="V351" s="773" t="s">
        <v>278</v>
      </c>
      <c r="W351" s="773" t="s">
        <v>1146</v>
      </c>
      <c r="X351" s="1310">
        <v>0</v>
      </c>
      <c r="Y351" s="819" t="s">
        <v>1010</v>
      </c>
      <c r="Z351" s="790"/>
      <c r="AA351" s="785"/>
      <c r="AB351" s="785"/>
      <c r="AC351" s="785"/>
      <c r="AD351" s="785"/>
      <c r="AE351" s="785"/>
      <c r="AF351" s="799"/>
      <c r="AG351" s="797"/>
      <c r="AH351" s="797"/>
      <c r="AI351" s="797"/>
      <c r="AJ351" s="797"/>
      <c r="AK351" s="797"/>
      <c r="AL351" s="797"/>
      <c r="AM351" s="797"/>
      <c r="AN351" s="797"/>
      <c r="AO351" s="880"/>
      <c r="AP351" s="797"/>
      <c r="AQ351" s="881">
        <v>100</v>
      </c>
      <c r="AR351" s="882">
        <v>100</v>
      </c>
      <c r="AS351" s="882">
        <v>100</v>
      </c>
      <c r="AT351" s="882">
        <v>100</v>
      </c>
      <c r="AU351" s="883">
        <v>100</v>
      </c>
      <c r="AV351" s="808"/>
      <c r="AW351" s="800"/>
      <c r="AX351" s="800"/>
      <c r="AY351" s="800"/>
      <c r="AZ351" s="800"/>
      <c r="BA351" s="800"/>
      <c r="BB351" s="800"/>
      <c r="BC351" s="800"/>
      <c r="BD351" s="800"/>
      <c r="BE351" s="800"/>
      <c r="BF351" s="800"/>
      <c r="BG351" s="800"/>
      <c r="BH351" s="800"/>
      <c r="BI351" s="800"/>
      <c r="BJ351" s="800"/>
      <c r="BK351" s="805"/>
      <c r="BL351" s="789"/>
      <c r="BM351" s="785"/>
      <c r="BN351" s="785"/>
      <c r="BO351" s="785"/>
      <c r="BP351" s="796"/>
      <c r="BQ351" s="808" t="s">
        <v>1942</v>
      </c>
      <c r="BR351" s="800" t="s">
        <v>1942</v>
      </c>
      <c r="BS351" s="800" t="s">
        <v>1942</v>
      </c>
      <c r="BT351" s="800" t="s">
        <v>1942</v>
      </c>
      <c r="BU351" s="805" t="s">
        <v>1942</v>
      </c>
      <c r="BV351" s="808" t="s">
        <v>1942</v>
      </c>
      <c r="BW351" s="800" t="s">
        <v>1942</v>
      </c>
      <c r="BX351" s="800" t="s">
        <v>1942</v>
      </c>
      <c r="BY351" s="800" t="s">
        <v>1942</v>
      </c>
      <c r="BZ351" s="800" t="s">
        <v>1942</v>
      </c>
      <c r="CA351" s="808" t="s">
        <v>1942</v>
      </c>
      <c r="CB351" s="800" t="s">
        <v>1942</v>
      </c>
      <c r="CC351" s="800" t="s">
        <v>1942</v>
      </c>
      <c r="CD351" s="800" t="s">
        <v>1942</v>
      </c>
      <c r="CE351" s="805" t="s">
        <v>1942</v>
      </c>
      <c r="CF351" s="800" t="s">
        <v>1942</v>
      </c>
      <c r="CG351" s="800" t="s">
        <v>1942</v>
      </c>
      <c r="CH351" s="800" t="s">
        <v>1942</v>
      </c>
      <c r="CI351" s="800" t="s">
        <v>1942</v>
      </c>
      <c r="CJ351" s="805" t="s">
        <v>1942</v>
      </c>
      <c r="CK351" s="808" t="s">
        <v>1942</v>
      </c>
      <c r="CL351" s="800" t="s">
        <v>1942</v>
      </c>
      <c r="CM351" s="800" t="s">
        <v>1942</v>
      </c>
      <c r="CN351" s="800" t="s">
        <v>1942</v>
      </c>
      <c r="CO351" s="805" t="s">
        <v>1942</v>
      </c>
      <c r="CP351" s="808" t="s">
        <v>1942</v>
      </c>
      <c r="CQ351" s="800" t="s">
        <v>1942</v>
      </c>
      <c r="CR351" s="800" t="s">
        <v>1942</v>
      </c>
      <c r="CS351" s="800" t="s">
        <v>1942</v>
      </c>
      <c r="CT351" s="805" t="s">
        <v>1942</v>
      </c>
      <c r="CU351" s="1284" t="s">
        <v>1942</v>
      </c>
      <c r="CV351" s="1283" t="s">
        <v>1942</v>
      </c>
      <c r="CW351" s="1283" t="s">
        <v>1942</v>
      </c>
      <c r="CX351" s="1285" t="s">
        <v>1942</v>
      </c>
      <c r="CY351" s="1283" t="s">
        <v>1942</v>
      </c>
      <c r="CZ351" s="1283" t="s">
        <v>1942</v>
      </c>
      <c r="DA351" s="1283" t="s">
        <v>1942</v>
      </c>
      <c r="DB351" s="1285" t="s">
        <v>1942</v>
      </c>
      <c r="DC351" s="785"/>
      <c r="DD351" s="813">
        <v>1</v>
      </c>
      <c r="DE351" s="814"/>
    </row>
    <row r="352" spans="1:109" ht="26.25" hidden="1">
      <c r="A352" s="772" t="s">
        <v>1078</v>
      </c>
      <c r="B352" s="773">
        <v>346</v>
      </c>
      <c r="C352" s="789" t="s">
        <v>3419</v>
      </c>
      <c r="D352" s="773" t="s">
        <v>3420</v>
      </c>
      <c r="E352" s="773" t="s">
        <v>1907</v>
      </c>
      <c r="F352" s="785" t="s">
        <v>2427</v>
      </c>
      <c r="G352" s="790" t="s">
        <v>3421</v>
      </c>
      <c r="H352" s="791" t="s">
        <v>3422</v>
      </c>
      <c r="I352" s="792">
        <v>0</v>
      </c>
      <c r="J352" s="793">
        <v>0</v>
      </c>
      <c r="K352" s="793"/>
      <c r="L352" s="793"/>
      <c r="M352" s="793">
        <v>1</v>
      </c>
      <c r="N352" s="793"/>
      <c r="O352" s="793"/>
      <c r="P352" s="794"/>
      <c r="Q352" s="795">
        <f t="shared" si="5"/>
        <v>1</v>
      </c>
      <c r="R352" s="789" t="s">
        <v>1007</v>
      </c>
      <c r="S352" s="773"/>
      <c r="T352" s="796"/>
      <c r="U352" s="773" t="s">
        <v>1947</v>
      </c>
      <c r="V352" s="773" t="s">
        <v>1033</v>
      </c>
      <c r="W352" s="773" t="s">
        <v>3423</v>
      </c>
      <c r="X352" s="1310">
        <v>2</v>
      </c>
      <c r="Y352" s="821" t="s">
        <v>1010</v>
      </c>
      <c r="Z352" s="790"/>
      <c r="AA352" s="785"/>
      <c r="AB352" s="785"/>
      <c r="AC352" s="785"/>
      <c r="AD352" s="785"/>
      <c r="AE352" s="785"/>
      <c r="AF352" s="799"/>
      <c r="AG352" s="797"/>
      <c r="AH352" s="797"/>
      <c r="AI352" s="797"/>
      <c r="AJ352" s="797"/>
      <c r="AK352" s="797"/>
      <c r="AL352" s="797"/>
      <c r="AM352" s="797"/>
      <c r="AN352" s="797"/>
      <c r="AO352" s="797"/>
      <c r="AP352" s="797"/>
      <c r="AQ352" s="827">
        <v>8.1</v>
      </c>
      <c r="AR352" s="797">
        <v>8.15</v>
      </c>
      <c r="AS352" s="797">
        <v>8.1999999999999993</v>
      </c>
      <c r="AT352" s="797">
        <v>8.25</v>
      </c>
      <c r="AU352" s="841">
        <v>8.3000000000000007</v>
      </c>
      <c r="AV352" s="827"/>
      <c r="AW352" s="797"/>
      <c r="AX352" s="797"/>
      <c r="AY352" s="797"/>
      <c r="AZ352" s="797"/>
      <c r="BA352" s="797"/>
      <c r="BB352" s="797"/>
      <c r="BC352" s="797"/>
      <c r="BD352" s="797"/>
      <c r="BE352" s="797"/>
      <c r="BF352" s="797"/>
      <c r="BG352" s="797"/>
      <c r="BH352" s="797"/>
      <c r="BI352" s="797"/>
      <c r="BJ352" s="797"/>
      <c r="BK352" s="841"/>
      <c r="BL352" s="789"/>
      <c r="BM352" s="785"/>
      <c r="BN352" s="785"/>
      <c r="BO352" s="785"/>
      <c r="BP352" s="796"/>
      <c r="BQ352" s="808" t="s">
        <v>1942</v>
      </c>
      <c r="BR352" s="800" t="s">
        <v>1942</v>
      </c>
      <c r="BS352" s="800" t="s">
        <v>1942</v>
      </c>
      <c r="BT352" s="800" t="s">
        <v>1942</v>
      </c>
      <c r="BU352" s="805" t="s">
        <v>1942</v>
      </c>
      <c r="BV352" s="808" t="s">
        <v>1942</v>
      </c>
      <c r="BW352" s="800" t="s">
        <v>1942</v>
      </c>
      <c r="BX352" s="800" t="s">
        <v>1942</v>
      </c>
      <c r="BY352" s="800" t="s">
        <v>1942</v>
      </c>
      <c r="BZ352" s="800" t="s">
        <v>1942</v>
      </c>
      <c r="CA352" s="808" t="s">
        <v>1942</v>
      </c>
      <c r="CB352" s="800" t="s">
        <v>1942</v>
      </c>
      <c r="CC352" s="800" t="s">
        <v>1942</v>
      </c>
      <c r="CD352" s="800" t="s">
        <v>1942</v>
      </c>
      <c r="CE352" s="805" t="s">
        <v>1942</v>
      </c>
      <c r="CF352" s="800" t="s">
        <v>1942</v>
      </c>
      <c r="CG352" s="800" t="s">
        <v>1942</v>
      </c>
      <c r="CH352" s="800" t="s">
        <v>1942</v>
      </c>
      <c r="CI352" s="800" t="s">
        <v>1942</v>
      </c>
      <c r="CJ352" s="805" t="s">
        <v>1942</v>
      </c>
      <c r="CK352" s="808" t="s">
        <v>1942</v>
      </c>
      <c r="CL352" s="800" t="s">
        <v>1942</v>
      </c>
      <c r="CM352" s="800" t="s">
        <v>1942</v>
      </c>
      <c r="CN352" s="800" t="s">
        <v>1942</v>
      </c>
      <c r="CO352" s="805" t="s">
        <v>1942</v>
      </c>
      <c r="CP352" s="808" t="s">
        <v>1942</v>
      </c>
      <c r="CQ352" s="800" t="s">
        <v>1942</v>
      </c>
      <c r="CR352" s="800" t="s">
        <v>1942</v>
      </c>
      <c r="CS352" s="800" t="s">
        <v>1942</v>
      </c>
      <c r="CT352" s="805" t="s">
        <v>1942</v>
      </c>
      <c r="CU352" s="1284" t="s">
        <v>1942</v>
      </c>
      <c r="CV352" s="1283" t="s">
        <v>1942</v>
      </c>
      <c r="CW352" s="1283" t="s">
        <v>1942</v>
      </c>
      <c r="CX352" s="1285" t="s">
        <v>1942</v>
      </c>
      <c r="CY352" s="1283" t="s">
        <v>1942</v>
      </c>
      <c r="CZ352" s="1283" t="s">
        <v>1942</v>
      </c>
      <c r="DA352" s="1283" t="s">
        <v>1942</v>
      </c>
      <c r="DB352" s="1285" t="s">
        <v>1942</v>
      </c>
      <c r="DC352" s="785"/>
      <c r="DD352" s="813">
        <v>1</v>
      </c>
      <c r="DE352" s="814"/>
    </row>
    <row r="353" spans="1:109" ht="26.25" hidden="1">
      <c r="A353" s="772" t="s">
        <v>1078</v>
      </c>
      <c r="B353" s="773">
        <v>347</v>
      </c>
      <c r="C353" s="789" t="s">
        <v>3424</v>
      </c>
      <c r="D353" s="773" t="s">
        <v>3420</v>
      </c>
      <c r="E353" s="773" t="s">
        <v>1889</v>
      </c>
      <c r="F353" s="785" t="s">
        <v>3425</v>
      </c>
      <c r="G353" s="790" t="s">
        <v>2253</v>
      </c>
      <c r="H353" s="791" t="s">
        <v>3426</v>
      </c>
      <c r="I353" s="792">
        <v>0</v>
      </c>
      <c r="J353" s="793">
        <v>0</v>
      </c>
      <c r="K353" s="793"/>
      <c r="L353" s="793"/>
      <c r="M353" s="793">
        <v>1</v>
      </c>
      <c r="N353" s="793"/>
      <c r="O353" s="793"/>
      <c r="P353" s="794"/>
      <c r="Q353" s="795">
        <f t="shared" si="5"/>
        <v>1</v>
      </c>
      <c r="R353" s="789" t="s">
        <v>1007</v>
      </c>
      <c r="S353" s="773"/>
      <c r="T353" s="796"/>
      <c r="U353" s="773" t="s">
        <v>2677</v>
      </c>
      <c r="V353" s="773" t="s">
        <v>278</v>
      </c>
      <c r="W353" s="773" t="s">
        <v>1146</v>
      </c>
      <c r="X353" s="1310">
        <v>0</v>
      </c>
      <c r="Y353" s="821" t="s">
        <v>1010</v>
      </c>
      <c r="Z353" s="790"/>
      <c r="AA353" s="785"/>
      <c r="AB353" s="785"/>
      <c r="AC353" s="785"/>
      <c r="AD353" s="785"/>
      <c r="AE353" s="785"/>
      <c r="AF353" s="799"/>
      <c r="AG353" s="800"/>
      <c r="AH353" s="800"/>
      <c r="AI353" s="800"/>
      <c r="AJ353" s="800"/>
      <c r="AK353" s="800"/>
      <c r="AL353" s="797"/>
      <c r="AM353" s="797"/>
      <c r="AN353" s="797"/>
      <c r="AO353" s="797"/>
      <c r="AP353" s="797"/>
      <c r="AQ353" s="827">
        <v>78</v>
      </c>
      <c r="AR353" s="797">
        <v>79</v>
      </c>
      <c r="AS353" s="797">
        <v>81</v>
      </c>
      <c r="AT353" s="797">
        <v>83</v>
      </c>
      <c r="AU353" s="841">
        <v>85</v>
      </c>
      <c r="AV353" s="808"/>
      <c r="AW353" s="800"/>
      <c r="AX353" s="800"/>
      <c r="AY353" s="800"/>
      <c r="AZ353" s="800"/>
      <c r="BA353" s="800"/>
      <c r="BB353" s="800"/>
      <c r="BC353" s="800"/>
      <c r="BD353" s="800"/>
      <c r="BE353" s="800"/>
      <c r="BF353" s="800"/>
      <c r="BG353" s="800"/>
      <c r="BH353" s="800"/>
      <c r="BI353" s="800"/>
      <c r="BJ353" s="800"/>
      <c r="BK353" s="805"/>
      <c r="BL353" s="789"/>
      <c r="BM353" s="785"/>
      <c r="BN353" s="785"/>
      <c r="BO353" s="785"/>
      <c r="BP353" s="796"/>
      <c r="BQ353" s="808" t="s">
        <v>1942</v>
      </c>
      <c r="BR353" s="800" t="s">
        <v>1942</v>
      </c>
      <c r="BS353" s="800" t="s">
        <v>1942</v>
      </c>
      <c r="BT353" s="800" t="s">
        <v>1942</v>
      </c>
      <c r="BU353" s="805" t="s">
        <v>1942</v>
      </c>
      <c r="BV353" s="808" t="s">
        <v>1942</v>
      </c>
      <c r="BW353" s="800" t="s">
        <v>1942</v>
      </c>
      <c r="BX353" s="800" t="s">
        <v>1942</v>
      </c>
      <c r="BY353" s="800" t="s">
        <v>1942</v>
      </c>
      <c r="BZ353" s="800" t="s">
        <v>1942</v>
      </c>
      <c r="CA353" s="808" t="s">
        <v>1942</v>
      </c>
      <c r="CB353" s="800" t="s">
        <v>1942</v>
      </c>
      <c r="CC353" s="800" t="s">
        <v>1942</v>
      </c>
      <c r="CD353" s="800" t="s">
        <v>1942</v>
      </c>
      <c r="CE353" s="805" t="s">
        <v>1942</v>
      </c>
      <c r="CF353" s="800" t="s">
        <v>1942</v>
      </c>
      <c r="CG353" s="800" t="s">
        <v>1942</v>
      </c>
      <c r="CH353" s="800" t="s">
        <v>1942</v>
      </c>
      <c r="CI353" s="800" t="s">
        <v>1942</v>
      </c>
      <c r="CJ353" s="805" t="s">
        <v>1942</v>
      </c>
      <c r="CK353" s="808" t="s">
        <v>1942</v>
      </c>
      <c r="CL353" s="800" t="s">
        <v>1942</v>
      </c>
      <c r="CM353" s="800" t="s">
        <v>1942</v>
      </c>
      <c r="CN353" s="800" t="s">
        <v>1942</v>
      </c>
      <c r="CO353" s="805" t="s">
        <v>1942</v>
      </c>
      <c r="CP353" s="808" t="s">
        <v>1942</v>
      </c>
      <c r="CQ353" s="800" t="s">
        <v>1942</v>
      </c>
      <c r="CR353" s="800" t="s">
        <v>1942</v>
      </c>
      <c r="CS353" s="800" t="s">
        <v>1942</v>
      </c>
      <c r="CT353" s="805" t="s">
        <v>1942</v>
      </c>
      <c r="CU353" s="1284" t="s">
        <v>1942</v>
      </c>
      <c r="CV353" s="1283" t="s">
        <v>1942</v>
      </c>
      <c r="CW353" s="1283" t="s">
        <v>1942</v>
      </c>
      <c r="CX353" s="1285" t="s">
        <v>1942</v>
      </c>
      <c r="CY353" s="1283" t="s">
        <v>1942</v>
      </c>
      <c r="CZ353" s="1283" t="s">
        <v>1942</v>
      </c>
      <c r="DA353" s="1283" t="s">
        <v>1942</v>
      </c>
      <c r="DB353" s="1285" t="s">
        <v>1942</v>
      </c>
      <c r="DC353" s="785"/>
      <c r="DD353" s="813">
        <v>1</v>
      </c>
      <c r="DE353" s="814"/>
    </row>
    <row r="354" spans="1:109" ht="13.15" hidden="1">
      <c r="A354" s="772" t="s">
        <v>1078</v>
      </c>
      <c r="B354" s="773">
        <v>348</v>
      </c>
      <c r="C354" s="789" t="s">
        <v>3427</v>
      </c>
      <c r="D354" s="773"/>
      <c r="E354" s="773"/>
      <c r="F354" s="785" t="s">
        <v>2032</v>
      </c>
      <c r="G354" s="790" t="s">
        <v>2033</v>
      </c>
      <c r="H354" s="791"/>
      <c r="I354" s="792"/>
      <c r="J354" s="793"/>
      <c r="K354" s="793"/>
      <c r="L354" s="793"/>
      <c r="M354" s="793"/>
      <c r="N354" s="793"/>
      <c r="O354" s="793"/>
      <c r="P354" s="794"/>
      <c r="Q354" s="795">
        <f t="shared" si="5"/>
        <v>0</v>
      </c>
      <c r="R354" s="789" t="s">
        <v>1007</v>
      </c>
      <c r="S354" s="773"/>
      <c r="T354" s="796"/>
      <c r="U354" s="773"/>
      <c r="V354" s="1247" t="s">
        <v>1072</v>
      </c>
      <c r="W354" s="773" t="s">
        <v>2034</v>
      </c>
      <c r="X354" s="1310">
        <v>0</v>
      </c>
      <c r="Y354" s="819"/>
      <c r="Z354" s="790"/>
      <c r="AA354" s="785"/>
      <c r="AB354" s="785"/>
      <c r="AC354" s="785"/>
      <c r="AD354" s="785"/>
      <c r="AE354" s="785"/>
      <c r="AF354" s="799"/>
      <c r="AG354" s="800"/>
      <c r="AH354" s="800"/>
      <c r="AI354" s="800"/>
      <c r="AJ354" s="800"/>
      <c r="AK354" s="800"/>
      <c r="AL354" s="800"/>
      <c r="AM354" s="800"/>
      <c r="AN354" s="800"/>
      <c r="AO354" s="800"/>
      <c r="AP354" s="800"/>
      <c r="AQ354" s="808" t="s">
        <v>591</v>
      </c>
      <c r="AR354" s="800" t="s">
        <v>591</v>
      </c>
      <c r="AS354" s="800" t="s">
        <v>591</v>
      </c>
      <c r="AT354" s="800" t="s">
        <v>591</v>
      </c>
      <c r="AU354" s="805" t="s">
        <v>591</v>
      </c>
      <c r="AV354" s="808"/>
      <c r="AW354" s="800"/>
      <c r="AX354" s="800"/>
      <c r="AY354" s="800"/>
      <c r="AZ354" s="800"/>
      <c r="BA354" s="800"/>
      <c r="BB354" s="800"/>
      <c r="BC354" s="800"/>
      <c r="BD354" s="800"/>
      <c r="BE354" s="800"/>
      <c r="BF354" s="800"/>
      <c r="BG354" s="800"/>
      <c r="BH354" s="800"/>
      <c r="BI354" s="800"/>
      <c r="BJ354" s="800"/>
      <c r="BK354" s="805"/>
      <c r="BL354" s="789"/>
      <c r="BM354" s="785"/>
      <c r="BN354" s="785"/>
      <c r="BO354" s="785"/>
      <c r="BP354" s="796"/>
      <c r="BQ354" s="808" t="s">
        <v>1942</v>
      </c>
      <c r="BR354" s="800" t="s">
        <v>1942</v>
      </c>
      <c r="BS354" s="800" t="s">
        <v>1942</v>
      </c>
      <c r="BT354" s="800" t="s">
        <v>1942</v>
      </c>
      <c r="BU354" s="805" t="s">
        <v>1942</v>
      </c>
      <c r="BV354" s="808" t="s">
        <v>1942</v>
      </c>
      <c r="BW354" s="800" t="s">
        <v>1942</v>
      </c>
      <c r="BX354" s="800" t="s">
        <v>1942</v>
      </c>
      <c r="BY354" s="800" t="s">
        <v>1942</v>
      </c>
      <c r="BZ354" s="800" t="s">
        <v>1942</v>
      </c>
      <c r="CA354" s="808" t="s">
        <v>1942</v>
      </c>
      <c r="CB354" s="800" t="s">
        <v>1942</v>
      </c>
      <c r="CC354" s="800" t="s">
        <v>1942</v>
      </c>
      <c r="CD354" s="800" t="s">
        <v>1942</v>
      </c>
      <c r="CE354" s="805" t="s">
        <v>1942</v>
      </c>
      <c r="CF354" s="800" t="s">
        <v>1942</v>
      </c>
      <c r="CG354" s="800" t="s">
        <v>1942</v>
      </c>
      <c r="CH354" s="800" t="s">
        <v>1942</v>
      </c>
      <c r="CI354" s="800" t="s">
        <v>1942</v>
      </c>
      <c r="CJ354" s="805" t="s">
        <v>1942</v>
      </c>
      <c r="CK354" s="808" t="s">
        <v>1942</v>
      </c>
      <c r="CL354" s="800" t="s">
        <v>1942</v>
      </c>
      <c r="CM354" s="800" t="s">
        <v>1942</v>
      </c>
      <c r="CN354" s="800" t="s">
        <v>1942</v>
      </c>
      <c r="CO354" s="805" t="s">
        <v>1942</v>
      </c>
      <c r="CP354" s="808" t="s">
        <v>1942</v>
      </c>
      <c r="CQ354" s="800" t="s">
        <v>1942</v>
      </c>
      <c r="CR354" s="800" t="s">
        <v>1942</v>
      </c>
      <c r="CS354" s="800" t="s">
        <v>1942</v>
      </c>
      <c r="CT354" s="805" t="s">
        <v>1942</v>
      </c>
      <c r="CU354" s="1284" t="s">
        <v>1942</v>
      </c>
      <c r="CV354" s="1283" t="s">
        <v>1942</v>
      </c>
      <c r="CW354" s="1283" t="s">
        <v>1942</v>
      </c>
      <c r="CX354" s="1285" t="s">
        <v>1942</v>
      </c>
      <c r="CY354" s="1283" t="s">
        <v>1942</v>
      </c>
      <c r="CZ354" s="1283" t="s">
        <v>1942</v>
      </c>
      <c r="DA354" s="1283" t="s">
        <v>1942</v>
      </c>
      <c r="DB354" s="1285" t="s">
        <v>1942</v>
      </c>
      <c r="DC354" s="785"/>
      <c r="DD354" s="813"/>
      <c r="DE354" s="814"/>
    </row>
    <row r="355" spans="1:109" ht="13.15" hidden="1">
      <c r="A355" s="772" t="s">
        <v>1036</v>
      </c>
      <c r="B355" s="773">
        <v>349</v>
      </c>
      <c r="C355" s="789" t="s">
        <v>3428</v>
      </c>
      <c r="D355" s="773" t="s">
        <v>2426</v>
      </c>
      <c r="E355" s="773" t="s">
        <v>1907</v>
      </c>
      <c r="F355" s="785" t="s">
        <v>3429</v>
      </c>
      <c r="G355" s="790" t="s">
        <v>3430</v>
      </c>
      <c r="H355" s="791" t="s">
        <v>3431</v>
      </c>
      <c r="I355" s="792"/>
      <c r="J355" s="793"/>
      <c r="K355" s="793"/>
      <c r="L355" s="793"/>
      <c r="M355" s="793">
        <v>1</v>
      </c>
      <c r="N355" s="793"/>
      <c r="O355" s="793"/>
      <c r="P355" s="794"/>
      <c r="Q355" s="795">
        <f t="shared" si="5"/>
        <v>1</v>
      </c>
      <c r="R355" s="789" t="s">
        <v>1017</v>
      </c>
      <c r="S355" s="773" t="s">
        <v>1008</v>
      </c>
      <c r="T355" s="796" t="s">
        <v>1009</v>
      </c>
      <c r="U355" s="773" t="s">
        <v>2677</v>
      </c>
      <c r="V355" s="773" t="s">
        <v>1033</v>
      </c>
      <c r="W355" s="773" t="s">
        <v>3432</v>
      </c>
      <c r="X355" s="1310">
        <v>0</v>
      </c>
      <c r="Y355" s="821" t="s">
        <v>1020</v>
      </c>
      <c r="Z355" s="790"/>
      <c r="AA355" s="785"/>
      <c r="AB355" s="785"/>
      <c r="AC355" s="785"/>
      <c r="AD355" s="785"/>
      <c r="AE355" s="785"/>
      <c r="AF355" s="799"/>
      <c r="AG355" s="800"/>
      <c r="AH355" s="800"/>
      <c r="AI355" s="800"/>
      <c r="AJ355" s="800"/>
      <c r="AK355" s="800"/>
      <c r="AL355" s="800"/>
      <c r="AM355" s="800"/>
      <c r="AN355" s="800"/>
      <c r="AO355" s="800"/>
      <c r="AP355" s="800"/>
      <c r="AQ355" s="808">
        <v>168053</v>
      </c>
      <c r="AR355" s="800">
        <v>167885</v>
      </c>
      <c r="AS355" s="800">
        <v>167716</v>
      </c>
      <c r="AT355" s="800">
        <v>167548</v>
      </c>
      <c r="AU355" s="811">
        <v>167380</v>
      </c>
      <c r="AV355" s="808"/>
      <c r="AW355" s="800"/>
      <c r="AX355" s="800"/>
      <c r="AY355" s="800"/>
      <c r="AZ355" s="800"/>
      <c r="BA355" s="800"/>
      <c r="BB355" s="800"/>
      <c r="BC355" s="800"/>
      <c r="BD355" s="800"/>
      <c r="BE355" s="800"/>
      <c r="BF355" s="800"/>
      <c r="BG355" s="800"/>
      <c r="BH355" s="800"/>
      <c r="BI355" s="800"/>
      <c r="BJ355" s="800"/>
      <c r="BK355" s="805"/>
      <c r="BL355" s="789" t="s">
        <v>168</v>
      </c>
      <c r="BM355" s="785" t="s">
        <v>168</v>
      </c>
      <c r="BN355" s="785" t="s">
        <v>168</v>
      </c>
      <c r="BO355" s="785" t="s">
        <v>168</v>
      </c>
      <c r="BP355" s="796" t="s">
        <v>168</v>
      </c>
      <c r="BQ355" s="808" t="s">
        <v>1942</v>
      </c>
      <c r="BR355" s="800" t="s">
        <v>1942</v>
      </c>
      <c r="BS355" s="800" t="s">
        <v>1942</v>
      </c>
      <c r="BT355" s="800" t="s">
        <v>1942</v>
      </c>
      <c r="BU355" s="805" t="s">
        <v>1942</v>
      </c>
      <c r="BV355" s="806" t="s">
        <v>1942</v>
      </c>
      <c r="BW355" s="807" t="s">
        <v>1942</v>
      </c>
      <c r="BX355" s="807" t="s">
        <v>1942</v>
      </c>
      <c r="BY355" s="807" t="s">
        <v>1942</v>
      </c>
      <c r="BZ355" s="807" t="s">
        <v>1942</v>
      </c>
      <c r="CA355" s="808" t="s">
        <v>1942</v>
      </c>
      <c r="CB355" s="800" t="s">
        <v>1942</v>
      </c>
      <c r="CC355" s="800" t="s">
        <v>1942</v>
      </c>
      <c r="CD355" s="800" t="s">
        <v>1942</v>
      </c>
      <c r="CE355" s="805" t="s">
        <v>1942</v>
      </c>
      <c r="CF355" s="800" t="s">
        <v>1942</v>
      </c>
      <c r="CG355" s="800" t="s">
        <v>1942</v>
      </c>
      <c r="CH355" s="800" t="s">
        <v>1942</v>
      </c>
      <c r="CI355" s="800" t="s">
        <v>1942</v>
      </c>
      <c r="CJ355" s="805" t="s">
        <v>1942</v>
      </c>
      <c r="CK355" s="808" t="s">
        <v>1942</v>
      </c>
      <c r="CL355" s="800" t="s">
        <v>1942</v>
      </c>
      <c r="CM355" s="800" t="s">
        <v>1942</v>
      </c>
      <c r="CN355" s="800" t="s">
        <v>1942</v>
      </c>
      <c r="CO355" s="805" t="s">
        <v>1942</v>
      </c>
      <c r="CP355" s="808" t="s">
        <v>1942</v>
      </c>
      <c r="CQ355" s="800" t="s">
        <v>1942</v>
      </c>
      <c r="CR355" s="800" t="s">
        <v>1942</v>
      </c>
      <c r="CS355" s="800" t="s">
        <v>1942</v>
      </c>
      <c r="CT355" s="805" t="s">
        <v>1942</v>
      </c>
      <c r="CU355" s="1284" t="s">
        <v>1942</v>
      </c>
      <c r="CV355" s="1283" t="s">
        <v>1942</v>
      </c>
      <c r="CW355" s="1283" t="s">
        <v>1942</v>
      </c>
      <c r="CX355" s="1285" t="s">
        <v>1942</v>
      </c>
      <c r="CY355" s="1283">
        <v>1.5899999999999999E-4</v>
      </c>
      <c r="CZ355" s="1283" t="s">
        <v>1942</v>
      </c>
      <c r="DA355" s="1283" t="s">
        <v>1942</v>
      </c>
      <c r="DB355" s="1285" t="s">
        <v>1942</v>
      </c>
      <c r="DC355" s="785"/>
      <c r="DD355" s="813">
        <v>1</v>
      </c>
      <c r="DE355" s="814"/>
    </row>
    <row r="356" spans="1:109" ht="13.15" hidden="1">
      <c r="A356" s="772" t="s">
        <v>1036</v>
      </c>
      <c r="B356" s="773">
        <v>350</v>
      </c>
      <c r="C356" s="789" t="s">
        <v>3433</v>
      </c>
      <c r="D356" s="773" t="s">
        <v>2426</v>
      </c>
      <c r="E356" s="773" t="s">
        <v>1907</v>
      </c>
      <c r="F356" s="785" t="s">
        <v>3434</v>
      </c>
      <c r="G356" s="790" t="s">
        <v>3435</v>
      </c>
      <c r="H356" s="791" t="s">
        <v>3436</v>
      </c>
      <c r="I356" s="792"/>
      <c r="J356" s="793"/>
      <c r="K356" s="793"/>
      <c r="L356" s="793"/>
      <c r="M356" s="793">
        <v>1</v>
      </c>
      <c r="N356" s="793"/>
      <c r="O356" s="793"/>
      <c r="P356" s="794"/>
      <c r="Q356" s="795">
        <f t="shared" si="5"/>
        <v>1</v>
      </c>
      <c r="R356" s="789" t="s">
        <v>1007</v>
      </c>
      <c r="S356" s="773"/>
      <c r="T356" s="796"/>
      <c r="U356" s="773" t="s">
        <v>2677</v>
      </c>
      <c r="V356" s="773" t="s">
        <v>1033</v>
      </c>
      <c r="W356" s="773" t="s">
        <v>3437</v>
      </c>
      <c r="X356" s="1310">
        <v>0</v>
      </c>
      <c r="Y356" s="821" t="s">
        <v>1010</v>
      </c>
      <c r="Z356" s="790"/>
      <c r="AA356" s="785"/>
      <c r="AB356" s="785"/>
      <c r="AC356" s="785"/>
      <c r="AD356" s="785"/>
      <c r="AE356" s="785"/>
      <c r="AF356" s="799"/>
      <c r="AG356" s="800"/>
      <c r="AH356" s="800"/>
      <c r="AI356" s="800"/>
      <c r="AJ356" s="800"/>
      <c r="AK356" s="800"/>
      <c r="AL356" s="800"/>
      <c r="AM356" s="800"/>
      <c r="AN356" s="800"/>
      <c r="AO356" s="800"/>
      <c r="AP356" s="800"/>
      <c r="AQ356" s="808">
        <v>688</v>
      </c>
      <c r="AR356" s="800">
        <v>688</v>
      </c>
      <c r="AS356" s="800">
        <v>688</v>
      </c>
      <c r="AT356" s="800">
        <v>688</v>
      </c>
      <c r="AU356" s="841">
        <v>688</v>
      </c>
      <c r="AV356" s="808"/>
      <c r="AW356" s="800"/>
      <c r="AX356" s="800"/>
      <c r="AY356" s="800"/>
      <c r="AZ356" s="800"/>
      <c r="BA356" s="800"/>
      <c r="BB356" s="800"/>
      <c r="BC356" s="800"/>
      <c r="BD356" s="800"/>
      <c r="BE356" s="800"/>
      <c r="BF356" s="800"/>
      <c r="BG356" s="800"/>
      <c r="BH356" s="800"/>
      <c r="BI356" s="800"/>
      <c r="BJ356" s="800"/>
      <c r="BK356" s="805"/>
      <c r="BL356" s="789"/>
      <c r="BM356" s="785"/>
      <c r="BN356" s="785"/>
      <c r="BO356" s="785"/>
      <c r="BP356" s="796"/>
      <c r="BQ356" s="808" t="s">
        <v>1942</v>
      </c>
      <c r="BR356" s="800" t="s">
        <v>1942</v>
      </c>
      <c r="BS356" s="800" t="s">
        <v>1942</v>
      </c>
      <c r="BT356" s="800" t="s">
        <v>1942</v>
      </c>
      <c r="BU356" s="805" t="s">
        <v>1942</v>
      </c>
      <c r="BV356" s="806" t="s">
        <v>1942</v>
      </c>
      <c r="BW356" s="807" t="s">
        <v>1942</v>
      </c>
      <c r="BX356" s="807" t="s">
        <v>1942</v>
      </c>
      <c r="BY356" s="807" t="s">
        <v>1942</v>
      </c>
      <c r="BZ356" s="807" t="s">
        <v>1942</v>
      </c>
      <c r="CA356" s="808" t="s">
        <v>1942</v>
      </c>
      <c r="CB356" s="800" t="s">
        <v>1942</v>
      </c>
      <c r="CC356" s="800" t="s">
        <v>1942</v>
      </c>
      <c r="CD356" s="800" t="s">
        <v>1942</v>
      </c>
      <c r="CE356" s="805" t="s">
        <v>1942</v>
      </c>
      <c r="CF356" s="800" t="s">
        <v>1942</v>
      </c>
      <c r="CG356" s="800" t="s">
        <v>1942</v>
      </c>
      <c r="CH356" s="800" t="s">
        <v>1942</v>
      </c>
      <c r="CI356" s="800" t="s">
        <v>1942</v>
      </c>
      <c r="CJ356" s="805" t="s">
        <v>1942</v>
      </c>
      <c r="CK356" s="808" t="s">
        <v>1942</v>
      </c>
      <c r="CL356" s="800" t="s">
        <v>1942</v>
      </c>
      <c r="CM356" s="800" t="s">
        <v>1942</v>
      </c>
      <c r="CN356" s="800" t="s">
        <v>1942</v>
      </c>
      <c r="CO356" s="805" t="s">
        <v>1942</v>
      </c>
      <c r="CP356" s="808" t="s">
        <v>1942</v>
      </c>
      <c r="CQ356" s="800" t="s">
        <v>1942</v>
      </c>
      <c r="CR356" s="800" t="s">
        <v>1942</v>
      </c>
      <c r="CS356" s="800" t="s">
        <v>1942</v>
      </c>
      <c r="CT356" s="805" t="s">
        <v>1942</v>
      </c>
      <c r="CU356" s="1284" t="s">
        <v>1942</v>
      </c>
      <c r="CV356" s="1283" t="s">
        <v>1942</v>
      </c>
      <c r="CW356" s="1283" t="s">
        <v>1942</v>
      </c>
      <c r="CX356" s="1285" t="s">
        <v>1942</v>
      </c>
      <c r="CY356" s="1283" t="s">
        <v>1942</v>
      </c>
      <c r="CZ356" s="1283" t="s">
        <v>1942</v>
      </c>
      <c r="DA356" s="1283" t="s">
        <v>1942</v>
      </c>
      <c r="DB356" s="1285" t="s">
        <v>1942</v>
      </c>
      <c r="DC356" s="785"/>
      <c r="DD356" s="813">
        <v>1</v>
      </c>
      <c r="DE356" s="814"/>
    </row>
    <row r="357" spans="1:109" ht="13.15" hidden="1">
      <c r="A357" s="772" t="s">
        <v>1036</v>
      </c>
      <c r="B357" s="773">
        <v>351</v>
      </c>
      <c r="C357" s="789" t="s">
        <v>3438</v>
      </c>
      <c r="D357" s="773" t="s">
        <v>2426</v>
      </c>
      <c r="E357" s="773" t="s">
        <v>1907</v>
      </c>
      <c r="F357" s="785" t="s">
        <v>3439</v>
      </c>
      <c r="G357" s="790" t="s">
        <v>3440</v>
      </c>
      <c r="H357" s="791" t="s">
        <v>3441</v>
      </c>
      <c r="I357" s="792"/>
      <c r="J357" s="793">
        <v>0.5</v>
      </c>
      <c r="K357" s="793">
        <v>0.5</v>
      </c>
      <c r="L357" s="793"/>
      <c r="M357" s="793"/>
      <c r="N357" s="793"/>
      <c r="O357" s="793"/>
      <c r="P357" s="794"/>
      <c r="Q357" s="795">
        <f t="shared" si="5"/>
        <v>1</v>
      </c>
      <c r="R357" s="789" t="s">
        <v>1017</v>
      </c>
      <c r="S357" s="773" t="s">
        <v>1008</v>
      </c>
      <c r="T357" s="796" t="s">
        <v>1009</v>
      </c>
      <c r="U357" s="773" t="s">
        <v>2677</v>
      </c>
      <c r="V357" s="773" t="s">
        <v>1033</v>
      </c>
      <c r="W357" s="773" t="s">
        <v>3442</v>
      </c>
      <c r="X357" s="1310">
        <v>0</v>
      </c>
      <c r="Y357" s="821" t="s">
        <v>1010</v>
      </c>
      <c r="Z357" s="790"/>
      <c r="AA357" s="785"/>
      <c r="AB357" s="785"/>
      <c r="AC357" s="785"/>
      <c r="AD357" s="785"/>
      <c r="AE357" s="785"/>
      <c r="AF357" s="799"/>
      <c r="AG357" s="800"/>
      <c r="AH357" s="800"/>
      <c r="AI357" s="800"/>
      <c r="AJ357" s="824"/>
      <c r="AK357" s="824"/>
      <c r="AL357" s="824"/>
      <c r="AM357" s="824"/>
      <c r="AN357" s="824"/>
      <c r="AO357" s="824"/>
      <c r="AP357" s="824"/>
      <c r="AQ357" s="806">
        <v>50</v>
      </c>
      <c r="AR357" s="807">
        <v>50</v>
      </c>
      <c r="AS357" s="807">
        <v>50</v>
      </c>
      <c r="AT357" s="807">
        <v>50</v>
      </c>
      <c r="AU357" s="820">
        <v>50</v>
      </c>
      <c r="AV357" s="823"/>
      <c r="AW357" s="824"/>
      <c r="AX357" s="824"/>
      <c r="AY357" s="824"/>
      <c r="AZ357" s="824"/>
      <c r="BA357" s="824"/>
      <c r="BB357" s="824"/>
      <c r="BC357" s="824"/>
      <c r="BD357" s="824"/>
      <c r="BE357" s="824"/>
      <c r="BF357" s="824"/>
      <c r="BG357" s="824"/>
      <c r="BH357" s="824"/>
      <c r="BI357" s="824"/>
      <c r="BJ357" s="824"/>
      <c r="BK357" s="825"/>
      <c r="BL357" s="789" t="s">
        <v>168</v>
      </c>
      <c r="BM357" s="785" t="s">
        <v>168</v>
      </c>
      <c r="BN357" s="785" t="s">
        <v>168</v>
      </c>
      <c r="BO357" s="785" t="s">
        <v>168</v>
      </c>
      <c r="BP357" s="796" t="s">
        <v>168</v>
      </c>
      <c r="BQ357" s="808" t="s">
        <v>1942</v>
      </c>
      <c r="BR357" s="800" t="s">
        <v>1942</v>
      </c>
      <c r="BS357" s="800" t="s">
        <v>1942</v>
      </c>
      <c r="BT357" s="800" t="s">
        <v>1942</v>
      </c>
      <c r="BU357" s="805" t="s">
        <v>1942</v>
      </c>
      <c r="BV357" s="806" t="s">
        <v>1942</v>
      </c>
      <c r="BW357" s="807" t="s">
        <v>1942</v>
      </c>
      <c r="BX357" s="807" t="s">
        <v>1942</v>
      </c>
      <c r="BY357" s="807" t="s">
        <v>1942</v>
      </c>
      <c r="BZ357" s="807" t="s">
        <v>1942</v>
      </c>
      <c r="CA357" s="808" t="s">
        <v>1942</v>
      </c>
      <c r="CB357" s="800" t="s">
        <v>1942</v>
      </c>
      <c r="CC357" s="800" t="s">
        <v>1942</v>
      </c>
      <c r="CD357" s="800" t="s">
        <v>1942</v>
      </c>
      <c r="CE357" s="805" t="s">
        <v>1942</v>
      </c>
      <c r="CF357" s="800" t="s">
        <v>1942</v>
      </c>
      <c r="CG357" s="800" t="s">
        <v>1942</v>
      </c>
      <c r="CH357" s="800" t="s">
        <v>1942</v>
      </c>
      <c r="CI357" s="800" t="s">
        <v>1942</v>
      </c>
      <c r="CJ357" s="800" t="s">
        <v>1942</v>
      </c>
      <c r="CK357" s="808" t="s">
        <v>1942</v>
      </c>
      <c r="CL357" s="800" t="s">
        <v>1942</v>
      </c>
      <c r="CM357" s="800" t="s">
        <v>1942</v>
      </c>
      <c r="CN357" s="800" t="s">
        <v>1942</v>
      </c>
      <c r="CO357" s="805" t="s">
        <v>1942</v>
      </c>
      <c r="CP357" s="808" t="s">
        <v>1942</v>
      </c>
      <c r="CQ357" s="800" t="s">
        <v>1942</v>
      </c>
      <c r="CR357" s="800" t="s">
        <v>1942</v>
      </c>
      <c r="CS357" s="800" t="s">
        <v>1942</v>
      </c>
      <c r="CT357" s="805" t="s">
        <v>1942</v>
      </c>
      <c r="CU357" s="1284" t="s">
        <v>1942</v>
      </c>
      <c r="CV357" s="1283" t="s">
        <v>1942</v>
      </c>
      <c r="CW357" s="1283" t="s">
        <v>1942</v>
      </c>
      <c r="CX357" s="1285" t="s">
        <v>1942</v>
      </c>
      <c r="CY357" s="1283">
        <v>2.1000000000000001E-4</v>
      </c>
      <c r="CZ357" s="1283" t="s">
        <v>1942</v>
      </c>
      <c r="DA357" s="1283" t="s">
        <v>1942</v>
      </c>
      <c r="DB357" s="1285" t="s">
        <v>1942</v>
      </c>
      <c r="DC357" s="785"/>
      <c r="DD357" s="813">
        <v>1</v>
      </c>
      <c r="DE357" s="814"/>
    </row>
    <row r="358" spans="1:109" ht="39.4" hidden="1">
      <c r="A358" s="772" t="s">
        <v>1036</v>
      </c>
      <c r="B358" s="773">
        <v>352</v>
      </c>
      <c r="C358" s="789" t="s">
        <v>3443</v>
      </c>
      <c r="D358" s="773" t="s">
        <v>2426</v>
      </c>
      <c r="E358" s="773" t="s">
        <v>1889</v>
      </c>
      <c r="F358" s="785" t="s">
        <v>3444</v>
      </c>
      <c r="G358" s="790" t="s">
        <v>2171</v>
      </c>
      <c r="H358" s="791" t="s">
        <v>3445</v>
      </c>
      <c r="I358" s="792"/>
      <c r="J358" s="793"/>
      <c r="K358" s="793"/>
      <c r="L358" s="793"/>
      <c r="M358" s="793">
        <v>1</v>
      </c>
      <c r="N358" s="793"/>
      <c r="O358" s="793"/>
      <c r="P358" s="794"/>
      <c r="Q358" s="795">
        <f t="shared" si="5"/>
        <v>1</v>
      </c>
      <c r="R358" s="789" t="s">
        <v>1007</v>
      </c>
      <c r="S358" s="773"/>
      <c r="T358" s="796"/>
      <c r="U358" s="773" t="s">
        <v>2677</v>
      </c>
      <c r="V358" s="773" t="s">
        <v>278</v>
      </c>
      <c r="W358" s="773" t="s">
        <v>3446</v>
      </c>
      <c r="X358" s="1310">
        <v>1</v>
      </c>
      <c r="Y358" s="821" t="s">
        <v>1010</v>
      </c>
      <c r="Z358" s="790"/>
      <c r="AA358" s="785"/>
      <c r="AB358" s="785"/>
      <c r="AC358" s="785"/>
      <c r="AD358" s="785"/>
      <c r="AE358" s="785"/>
      <c r="AF358" s="799"/>
      <c r="AG358" s="800"/>
      <c r="AH358" s="800"/>
      <c r="AI358" s="800"/>
      <c r="AJ358" s="800"/>
      <c r="AK358" s="800"/>
      <c r="AL358" s="800"/>
      <c r="AM358" s="800"/>
      <c r="AN358" s="800"/>
      <c r="AO358" s="800"/>
      <c r="AP358" s="800"/>
      <c r="AQ358" s="806">
        <v>62.5</v>
      </c>
      <c r="AR358" s="807">
        <v>63</v>
      </c>
      <c r="AS358" s="807">
        <v>63.5</v>
      </c>
      <c r="AT358" s="807">
        <v>64</v>
      </c>
      <c r="AU358" s="884">
        <v>64.5</v>
      </c>
      <c r="AV358" s="808"/>
      <c r="AW358" s="800"/>
      <c r="AX358" s="800"/>
      <c r="AY358" s="800"/>
      <c r="AZ358" s="863"/>
      <c r="BA358" s="800"/>
      <c r="BB358" s="800"/>
      <c r="BC358" s="800"/>
      <c r="BD358" s="800"/>
      <c r="BE358" s="863"/>
      <c r="BF358" s="800"/>
      <c r="BG358" s="800"/>
      <c r="BH358" s="800"/>
      <c r="BI358" s="800"/>
      <c r="BJ358" s="863"/>
      <c r="BK358" s="865"/>
      <c r="BL358" s="789"/>
      <c r="BM358" s="785"/>
      <c r="BN358" s="785"/>
      <c r="BO358" s="785"/>
      <c r="BP358" s="796"/>
      <c r="BQ358" s="808" t="s">
        <v>1942</v>
      </c>
      <c r="BR358" s="800" t="s">
        <v>1942</v>
      </c>
      <c r="BS358" s="800" t="s">
        <v>1942</v>
      </c>
      <c r="BT358" s="800" t="s">
        <v>1942</v>
      </c>
      <c r="BU358" s="805" t="s">
        <v>1942</v>
      </c>
      <c r="BV358" s="806" t="s">
        <v>1942</v>
      </c>
      <c r="BW358" s="807" t="s">
        <v>1942</v>
      </c>
      <c r="BX358" s="807" t="s">
        <v>1942</v>
      </c>
      <c r="BY358" s="807" t="s">
        <v>1942</v>
      </c>
      <c r="BZ358" s="807" t="s">
        <v>1942</v>
      </c>
      <c r="CA358" s="808" t="s">
        <v>1942</v>
      </c>
      <c r="CB358" s="800" t="s">
        <v>1942</v>
      </c>
      <c r="CC358" s="800" t="s">
        <v>1942</v>
      </c>
      <c r="CD358" s="800" t="s">
        <v>1942</v>
      </c>
      <c r="CE358" s="805" t="s">
        <v>1942</v>
      </c>
      <c r="CF358" s="800" t="s">
        <v>1942</v>
      </c>
      <c r="CG358" s="800" t="s">
        <v>1942</v>
      </c>
      <c r="CH358" s="800" t="s">
        <v>1942</v>
      </c>
      <c r="CI358" s="800" t="s">
        <v>1942</v>
      </c>
      <c r="CJ358" s="805" t="s">
        <v>1942</v>
      </c>
      <c r="CK358" s="808" t="s">
        <v>1942</v>
      </c>
      <c r="CL358" s="800" t="s">
        <v>1942</v>
      </c>
      <c r="CM358" s="800" t="s">
        <v>1942</v>
      </c>
      <c r="CN358" s="800" t="s">
        <v>1942</v>
      </c>
      <c r="CO358" s="805" t="s">
        <v>1942</v>
      </c>
      <c r="CP358" s="808" t="s">
        <v>1942</v>
      </c>
      <c r="CQ358" s="800" t="s">
        <v>1942</v>
      </c>
      <c r="CR358" s="800" t="s">
        <v>1942</v>
      </c>
      <c r="CS358" s="800" t="s">
        <v>1942</v>
      </c>
      <c r="CT358" s="805" t="s">
        <v>1942</v>
      </c>
      <c r="CU358" s="1284" t="s">
        <v>1942</v>
      </c>
      <c r="CV358" s="1283" t="s">
        <v>1942</v>
      </c>
      <c r="CW358" s="1283" t="s">
        <v>1942</v>
      </c>
      <c r="CX358" s="1285" t="s">
        <v>1942</v>
      </c>
      <c r="CY358" s="1283" t="s">
        <v>1942</v>
      </c>
      <c r="CZ358" s="1283" t="s">
        <v>1942</v>
      </c>
      <c r="DA358" s="1283" t="s">
        <v>1942</v>
      </c>
      <c r="DB358" s="1285" t="s">
        <v>1942</v>
      </c>
      <c r="DC358" s="785"/>
      <c r="DD358" s="813">
        <v>1</v>
      </c>
      <c r="DE358" s="814"/>
    </row>
    <row r="359" spans="1:109" ht="26.25" hidden="1">
      <c r="A359" s="772" t="s">
        <v>1036</v>
      </c>
      <c r="B359" s="773">
        <v>353</v>
      </c>
      <c r="C359" s="789" t="s">
        <v>3447</v>
      </c>
      <c r="D359" s="773" t="s">
        <v>3448</v>
      </c>
      <c r="E359" s="773" t="s">
        <v>1889</v>
      </c>
      <c r="F359" s="785" t="s">
        <v>3449</v>
      </c>
      <c r="G359" s="790" t="s">
        <v>2398</v>
      </c>
      <c r="H359" s="791" t="s">
        <v>3450</v>
      </c>
      <c r="I359" s="792"/>
      <c r="J359" s="793">
        <v>0.5</v>
      </c>
      <c r="K359" s="793">
        <v>0.5</v>
      </c>
      <c r="L359" s="793"/>
      <c r="M359" s="793"/>
      <c r="N359" s="793"/>
      <c r="O359" s="793"/>
      <c r="P359" s="794"/>
      <c r="Q359" s="795">
        <f t="shared" si="5"/>
        <v>1</v>
      </c>
      <c r="R359" s="789" t="s">
        <v>1030</v>
      </c>
      <c r="S359" s="773" t="s">
        <v>1008</v>
      </c>
      <c r="T359" s="796" t="s">
        <v>1009</v>
      </c>
      <c r="U359" s="773" t="s">
        <v>2400</v>
      </c>
      <c r="V359" s="773" t="s">
        <v>1033</v>
      </c>
      <c r="W359" s="773" t="s">
        <v>2401</v>
      </c>
      <c r="X359" s="1310">
        <v>0</v>
      </c>
      <c r="Y359" s="821" t="s">
        <v>1010</v>
      </c>
      <c r="Z359" s="790"/>
      <c r="AA359" s="785"/>
      <c r="AB359" s="785"/>
      <c r="AC359" s="785"/>
      <c r="AD359" s="785"/>
      <c r="AE359" s="785"/>
      <c r="AF359" s="799"/>
      <c r="AG359" s="800"/>
      <c r="AH359" s="800"/>
      <c r="AI359" s="816"/>
      <c r="AJ359" s="816"/>
      <c r="AK359" s="816"/>
      <c r="AL359" s="816"/>
      <c r="AM359" s="816"/>
      <c r="AN359" s="816"/>
      <c r="AO359" s="816"/>
      <c r="AP359" s="816"/>
      <c r="AQ359" s="885">
        <v>31050</v>
      </c>
      <c r="AR359" s="886">
        <v>31050</v>
      </c>
      <c r="AS359" s="886">
        <v>31050</v>
      </c>
      <c r="AT359" s="886">
        <v>31050</v>
      </c>
      <c r="AU359" s="887">
        <v>31050</v>
      </c>
      <c r="AV359" s="817"/>
      <c r="AW359" s="816"/>
      <c r="AX359" s="816"/>
      <c r="AY359" s="816"/>
      <c r="AZ359" s="888"/>
      <c r="BA359" s="816"/>
      <c r="BB359" s="816"/>
      <c r="BC359" s="816"/>
      <c r="BD359" s="816"/>
      <c r="BE359" s="816"/>
      <c r="BF359" s="816"/>
      <c r="BG359" s="816"/>
      <c r="BH359" s="816"/>
      <c r="BI359" s="816"/>
      <c r="BJ359" s="816"/>
      <c r="BK359" s="818"/>
      <c r="BL359" s="789" t="s">
        <v>168</v>
      </c>
      <c r="BM359" s="785" t="s">
        <v>168</v>
      </c>
      <c r="BN359" s="785" t="s">
        <v>168</v>
      </c>
      <c r="BO359" s="785" t="s">
        <v>168</v>
      </c>
      <c r="BP359" s="796" t="s">
        <v>168</v>
      </c>
      <c r="BQ359" s="808" t="s">
        <v>1942</v>
      </c>
      <c r="BR359" s="800" t="s">
        <v>1942</v>
      </c>
      <c r="BS359" s="800" t="s">
        <v>1942</v>
      </c>
      <c r="BT359" s="800" t="s">
        <v>1942</v>
      </c>
      <c r="BU359" s="805" t="s">
        <v>1942</v>
      </c>
      <c r="BV359" s="806" t="s">
        <v>1942</v>
      </c>
      <c r="BW359" s="807" t="s">
        <v>1942</v>
      </c>
      <c r="BX359" s="807" t="s">
        <v>1942</v>
      </c>
      <c r="BY359" s="807" t="s">
        <v>1942</v>
      </c>
      <c r="BZ359" s="807" t="s">
        <v>1942</v>
      </c>
      <c r="CA359" s="808" t="s">
        <v>1942</v>
      </c>
      <c r="CB359" s="800" t="s">
        <v>1942</v>
      </c>
      <c r="CC359" s="800" t="s">
        <v>1942</v>
      </c>
      <c r="CD359" s="800" t="s">
        <v>1942</v>
      </c>
      <c r="CE359" s="805" t="s">
        <v>1942</v>
      </c>
      <c r="CF359" s="800" t="s">
        <v>1942</v>
      </c>
      <c r="CG359" s="800" t="s">
        <v>1942</v>
      </c>
      <c r="CH359" s="800" t="s">
        <v>1942</v>
      </c>
      <c r="CI359" s="800" t="s">
        <v>1942</v>
      </c>
      <c r="CJ359" s="805" t="s">
        <v>1942</v>
      </c>
      <c r="CK359" s="808" t="s">
        <v>1942</v>
      </c>
      <c r="CL359" s="800" t="s">
        <v>1942</v>
      </c>
      <c r="CM359" s="800" t="s">
        <v>1942</v>
      </c>
      <c r="CN359" s="800" t="s">
        <v>1942</v>
      </c>
      <c r="CO359" s="805" t="s">
        <v>1942</v>
      </c>
      <c r="CP359" s="808" t="s">
        <v>1942</v>
      </c>
      <c r="CQ359" s="800" t="s">
        <v>1942</v>
      </c>
      <c r="CR359" s="800" t="s">
        <v>1942</v>
      </c>
      <c r="CS359" s="800" t="s">
        <v>1942</v>
      </c>
      <c r="CT359" s="805" t="s">
        <v>1942</v>
      </c>
      <c r="CU359" s="1284">
        <v>-7.4100000000000002E-6</v>
      </c>
      <c r="CV359" s="1283" t="s">
        <v>1942</v>
      </c>
      <c r="CW359" s="1283" t="s">
        <v>1942</v>
      </c>
      <c r="CX359" s="1285" t="s">
        <v>1942</v>
      </c>
      <c r="CY359" s="1283">
        <v>7.4100000000000002E-6</v>
      </c>
      <c r="CZ359" s="1283" t="s">
        <v>1942</v>
      </c>
      <c r="DA359" s="1283" t="s">
        <v>1942</v>
      </c>
      <c r="DB359" s="1285" t="s">
        <v>1942</v>
      </c>
      <c r="DC359" s="785"/>
      <c r="DD359" s="813">
        <v>1</v>
      </c>
      <c r="DE359" s="814"/>
    </row>
    <row r="360" spans="1:109" ht="39.4" hidden="1">
      <c r="A360" s="772" t="s">
        <v>1036</v>
      </c>
      <c r="B360" s="773">
        <v>354</v>
      </c>
      <c r="C360" s="789" t="s">
        <v>3451</v>
      </c>
      <c r="D360" s="773" t="s">
        <v>2376</v>
      </c>
      <c r="E360" s="773" t="s">
        <v>1907</v>
      </c>
      <c r="F360" s="785" t="s">
        <v>3452</v>
      </c>
      <c r="G360" s="790" t="s">
        <v>1058</v>
      </c>
      <c r="H360" s="791" t="s">
        <v>2393</v>
      </c>
      <c r="I360" s="792"/>
      <c r="J360" s="793">
        <v>0.1</v>
      </c>
      <c r="K360" s="793">
        <v>0.9</v>
      </c>
      <c r="L360" s="793"/>
      <c r="M360" s="793"/>
      <c r="N360" s="793"/>
      <c r="O360" s="793"/>
      <c r="P360" s="794"/>
      <c r="Q360" s="795">
        <f t="shared" si="5"/>
        <v>1</v>
      </c>
      <c r="R360" s="789" t="s">
        <v>1026</v>
      </c>
      <c r="S360" s="773" t="s">
        <v>1008</v>
      </c>
      <c r="T360" s="796" t="s">
        <v>1009</v>
      </c>
      <c r="U360" s="773" t="s">
        <v>2106</v>
      </c>
      <c r="V360" s="773" t="s">
        <v>278</v>
      </c>
      <c r="W360" s="773" t="s">
        <v>3453</v>
      </c>
      <c r="X360" s="1310">
        <v>2</v>
      </c>
      <c r="Y360" s="821" t="s">
        <v>1010</v>
      </c>
      <c r="Z360" s="790" t="s">
        <v>1058</v>
      </c>
      <c r="AA360" s="785"/>
      <c r="AB360" s="785"/>
      <c r="AC360" s="785"/>
      <c r="AD360" s="785"/>
      <c r="AE360" s="785"/>
      <c r="AF360" s="799"/>
      <c r="AG360" s="810"/>
      <c r="AH360" s="800"/>
      <c r="AI360" s="800"/>
      <c r="AJ360" s="800"/>
      <c r="AK360" s="800"/>
      <c r="AL360" s="800"/>
      <c r="AM360" s="800"/>
      <c r="AN360" s="800"/>
      <c r="AO360" s="889"/>
      <c r="AP360" s="800"/>
      <c r="AQ360" s="1420"/>
      <c r="AR360" s="1368"/>
      <c r="AS360" s="1373"/>
      <c r="AT360" s="1368"/>
      <c r="AU360" s="1369"/>
      <c r="AV360" s="808"/>
      <c r="AW360" s="800"/>
      <c r="AX360" s="800"/>
      <c r="AY360" s="800"/>
      <c r="AZ360" s="800"/>
      <c r="BA360" s="800"/>
      <c r="BB360" s="800"/>
      <c r="BC360" s="800"/>
      <c r="BD360" s="800"/>
      <c r="BE360" s="800"/>
      <c r="BF360" s="800"/>
      <c r="BG360" s="800"/>
      <c r="BH360" s="800"/>
      <c r="BI360" s="800"/>
      <c r="BJ360" s="800"/>
      <c r="BK360" s="805"/>
      <c r="BL360" s="1376"/>
      <c r="BM360" s="1377"/>
      <c r="BN360" s="1377"/>
      <c r="BO360" s="1377"/>
      <c r="BP360" s="1440"/>
      <c r="BQ360" s="1420"/>
      <c r="BR360" s="1368"/>
      <c r="BS360" s="1368"/>
      <c r="BT360" s="1368"/>
      <c r="BU360" s="1369"/>
      <c r="BV360" s="1421"/>
      <c r="BW360" s="1373"/>
      <c r="BX360" s="1373"/>
      <c r="BY360" s="1373"/>
      <c r="BZ360" s="1373"/>
      <c r="CA360" s="1420"/>
      <c r="CB360" s="1368"/>
      <c r="CC360" s="1368"/>
      <c r="CD360" s="1368"/>
      <c r="CE360" s="1369"/>
      <c r="CF360" s="1368"/>
      <c r="CG360" s="1368"/>
      <c r="CH360" s="1368"/>
      <c r="CI360" s="1368"/>
      <c r="CJ360" s="1369"/>
      <c r="CK360" s="1420"/>
      <c r="CL360" s="1368"/>
      <c r="CM360" s="1368"/>
      <c r="CN360" s="1368"/>
      <c r="CO360" s="1369"/>
      <c r="CP360" s="1420"/>
      <c r="CQ360" s="1368"/>
      <c r="CR360" s="1368"/>
      <c r="CS360" s="1368"/>
      <c r="CT360" s="1369"/>
      <c r="CU360" s="1528"/>
      <c r="CV360" s="1519"/>
      <c r="CW360" s="1519"/>
      <c r="CX360" s="1728"/>
      <c r="CY360" s="1519"/>
      <c r="CZ360" s="1519"/>
      <c r="DA360" s="1519"/>
      <c r="DB360" s="1728"/>
      <c r="DC360" s="1377"/>
      <c r="DD360" s="1729"/>
      <c r="DE360" s="1734"/>
    </row>
    <row r="361" spans="1:109" ht="39.4" hidden="1">
      <c r="A361" s="772" t="s">
        <v>1036</v>
      </c>
      <c r="B361" s="773">
        <v>355</v>
      </c>
      <c r="C361" s="789" t="s">
        <v>3454</v>
      </c>
      <c r="D361" s="773" t="s">
        <v>2376</v>
      </c>
      <c r="E361" s="773" t="s">
        <v>1889</v>
      </c>
      <c r="F361" s="785" t="s">
        <v>3455</v>
      </c>
      <c r="G361" s="790" t="s">
        <v>3456</v>
      </c>
      <c r="H361" s="791" t="s">
        <v>3457</v>
      </c>
      <c r="I361" s="792">
        <v>0.1</v>
      </c>
      <c r="J361" s="793"/>
      <c r="K361" s="793">
        <v>0.9</v>
      </c>
      <c r="L361" s="793"/>
      <c r="M361" s="793"/>
      <c r="N361" s="793"/>
      <c r="O361" s="793"/>
      <c r="P361" s="794"/>
      <c r="Q361" s="795">
        <f t="shared" si="5"/>
        <v>1</v>
      </c>
      <c r="R361" s="789" t="s">
        <v>1030</v>
      </c>
      <c r="S361" s="773" t="s">
        <v>1008</v>
      </c>
      <c r="T361" s="796" t="s">
        <v>1019</v>
      </c>
      <c r="U361" s="773" t="s">
        <v>2106</v>
      </c>
      <c r="V361" s="773" t="s">
        <v>1033</v>
      </c>
      <c r="W361" s="773" t="s">
        <v>3458</v>
      </c>
      <c r="X361" s="1310">
        <v>0</v>
      </c>
      <c r="Y361" s="821" t="s">
        <v>1010</v>
      </c>
      <c r="Z361" s="790"/>
      <c r="AA361" s="785"/>
      <c r="AB361" s="785"/>
      <c r="AC361" s="785"/>
      <c r="AD361" s="785"/>
      <c r="AE361" s="785"/>
      <c r="AF361" s="799"/>
      <c r="AG361" s="800"/>
      <c r="AH361" s="800"/>
      <c r="AI361" s="800"/>
      <c r="AJ361" s="800"/>
      <c r="AK361" s="800"/>
      <c r="AL361" s="800"/>
      <c r="AM361" s="800"/>
      <c r="AN361" s="877"/>
      <c r="AO361" s="877"/>
      <c r="AP361" s="816"/>
      <c r="AQ361" s="808" t="s">
        <v>1942</v>
      </c>
      <c r="AR361" s="800" t="s">
        <v>1942</v>
      </c>
      <c r="AS361" s="800" t="s">
        <v>1942</v>
      </c>
      <c r="AT361" s="800" t="s">
        <v>1942</v>
      </c>
      <c r="AU361" s="805">
        <v>211</v>
      </c>
      <c r="AV361" s="808"/>
      <c r="AW361" s="800"/>
      <c r="AX361" s="800"/>
      <c r="AY361" s="800"/>
      <c r="AZ361" s="800"/>
      <c r="BA361" s="800"/>
      <c r="BB361" s="800"/>
      <c r="BC361" s="800"/>
      <c r="BD361" s="800"/>
      <c r="BE361" s="800"/>
      <c r="BF361" s="800"/>
      <c r="BG361" s="800"/>
      <c r="BH361" s="800"/>
      <c r="BI361" s="800"/>
      <c r="BJ361" s="800"/>
      <c r="BK361" s="805"/>
      <c r="BL361" s="789"/>
      <c r="BM361" s="785"/>
      <c r="BN361" s="785"/>
      <c r="BO361" s="785"/>
      <c r="BP361" s="796" t="s">
        <v>168</v>
      </c>
      <c r="BQ361" s="808" t="s">
        <v>1942</v>
      </c>
      <c r="BR361" s="800" t="s">
        <v>1942</v>
      </c>
      <c r="BS361" s="800" t="s">
        <v>1942</v>
      </c>
      <c r="BT361" s="800" t="s">
        <v>1942</v>
      </c>
      <c r="BU361" s="805" t="s">
        <v>1942</v>
      </c>
      <c r="BV361" s="806" t="s">
        <v>1942</v>
      </c>
      <c r="BW361" s="807" t="s">
        <v>1942</v>
      </c>
      <c r="BX361" s="807" t="s">
        <v>1942</v>
      </c>
      <c r="BY361" s="807" t="s">
        <v>1942</v>
      </c>
      <c r="BZ361" s="807" t="s">
        <v>1942</v>
      </c>
      <c r="CA361" s="808" t="s">
        <v>1942</v>
      </c>
      <c r="CB361" s="800" t="s">
        <v>1942</v>
      </c>
      <c r="CC361" s="800" t="s">
        <v>1942</v>
      </c>
      <c r="CD361" s="800" t="s">
        <v>1942</v>
      </c>
      <c r="CE361" s="805" t="s">
        <v>1942</v>
      </c>
      <c r="CF361" s="800" t="s">
        <v>1942</v>
      </c>
      <c r="CG361" s="800" t="s">
        <v>1942</v>
      </c>
      <c r="CH361" s="800" t="s">
        <v>1942</v>
      </c>
      <c r="CI361" s="800" t="s">
        <v>1942</v>
      </c>
      <c r="CJ361" s="805" t="s">
        <v>1942</v>
      </c>
      <c r="CK361" s="808" t="s">
        <v>1942</v>
      </c>
      <c r="CL361" s="800" t="s">
        <v>1942</v>
      </c>
      <c r="CM361" s="800" t="s">
        <v>1942</v>
      </c>
      <c r="CN361" s="800" t="s">
        <v>1942</v>
      </c>
      <c r="CO361" s="805" t="s">
        <v>1942</v>
      </c>
      <c r="CP361" s="808" t="s">
        <v>1942</v>
      </c>
      <c r="CQ361" s="800" t="s">
        <v>1942</v>
      </c>
      <c r="CR361" s="800" t="s">
        <v>1942</v>
      </c>
      <c r="CS361" s="800" t="s">
        <v>1942</v>
      </c>
      <c r="CT361" s="805" t="s">
        <v>1942</v>
      </c>
      <c r="CU361" s="1284">
        <v>-0.81499999999999995</v>
      </c>
      <c r="CV361" s="1283" t="s">
        <v>1942</v>
      </c>
      <c r="CW361" s="1283" t="s">
        <v>1942</v>
      </c>
      <c r="CX361" s="1285" t="s">
        <v>1942</v>
      </c>
      <c r="CY361" s="1283">
        <v>0.81499999999999995</v>
      </c>
      <c r="CZ361" s="1283" t="s">
        <v>1942</v>
      </c>
      <c r="DA361" s="1283" t="s">
        <v>1942</v>
      </c>
      <c r="DB361" s="1285" t="s">
        <v>1942</v>
      </c>
      <c r="DC361" s="785"/>
      <c r="DD361" s="813">
        <v>1</v>
      </c>
      <c r="DE361" s="814"/>
    </row>
    <row r="362" spans="1:109" ht="39.4" hidden="1">
      <c r="A362" s="772" t="s">
        <v>1036</v>
      </c>
      <c r="B362" s="773">
        <v>356</v>
      </c>
      <c r="C362" s="789" t="s">
        <v>3459</v>
      </c>
      <c r="D362" s="773" t="s">
        <v>2376</v>
      </c>
      <c r="E362" s="773" t="s">
        <v>1889</v>
      </c>
      <c r="F362" s="785" t="s">
        <v>3460</v>
      </c>
      <c r="G362" s="790" t="s">
        <v>3461</v>
      </c>
      <c r="H362" s="791" t="s">
        <v>3462</v>
      </c>
      <c r="I362" s="792">
        <v>1</v>
      </c>
      <c r="J362" s="793"/>
      <c r="K362" s="793"/>
      <c r="L362" s="793"/>
      <c r="M362" s="793"/>
      <c r="N362" s="793"/>
      <c r="O362" s="793"/>
      <c r="P362" s="794"/>
      <c r="Q362" s="795">
        <f t="shared" si="5"/>
        <v>1</v>
      </c>
      <c r="R362" s="789" t="s">
        <v>1030</v>
      </c>
      <c r="S362" s="773" t="s">
        <v>1008</v>
      </c>
      <c r="T362" s="796" t="s">
        <v>1009</v>
      </c>
      <c r="U362" s="773" t="s">
        <v>2289</v>
      </c>
      <c r="V362" s="773" t="s">
        <v>1033</v>
      </c>
      <c r="W362" s="773" t="s">
        <v>3365</v>
      </c>
      <c r="X362" s="1310">
        <v>1</v>
      </c>
      <c r="Y362" s="821" t="s">
        <v>1010</v>
      </c>
      <c r="Z362" s="790"/>
      <c r="AA362" s="785"/>
      <c r="AB362" s="785"/>
      <c r="AC362" s="785"/>
      <c r="AD362" s="785"/>
      <c r="AE362" s="785"/>
      <c r="AF362" s="799"/>
      <c r="AG362" s="800"/>
      <c r="AH362" s="800"/>
      <c r="AI362" s="800"/>
      <c r="AJ362" s="800"/>
      <c r="AK362" s="800"/>
      <c r="AL362" s="800"/>
      <c r="AM362" s="800"/>
      <c r="AN362" s="800"/>
      <c r="AO362" s="800"/>
      <c r="AP362" s="890"/>
      <c r="AQ362" s="891">
        <v>190.5</v>
      </c>
      <c r="AR362" s="890">
        <v>381</v>
      </c>
      <c r="AS362" s="890">
        <v>571.6</v>
      </c>
      <c r="AT362" s="890">
        <v>762.1</v>
      </c>
      <c r="AU362" s="892">
        <v>952.6</v>
      </c>
      <c r="AV362" s="891"/>
      <c r="AW362" s="890"/>
      <c r="AX362" s="890"/>
      <c r="AY362" s="890"/>
      <c r="AZ362" s="890"/>
      <c r="BA362" s="890"/>
      <c r="BB362" s="890"/>
      <c r="BC362" s="890"/>
      <c r="BD362" s="890"/>
      <c r="BE362" s="890"/>
      <c r="BF362" s="890"/>
      <c r="BG362" s="890"/>
      <c r="BH362" s="890"/>
      <c r="BI362" s="890"/>
      <c r="BJ362" s="890"/>
      <c r="BK362" s="892"/>
      <c r="BL362" s="789" t="s">
        <v>168</v>
      </c>
      <c r="BM362" s="785" t="s">
        <v>168</v>
      </c>
      <c r="BN362" s="785" t="s">
        <v>168</v>
      </c>
      <c r="BO362" s="785" t="s">
        <v>168</v>
      </c>
      <c r="BP362" s="796" t="s">
        <v>168</v>
      </c>
      <c r="BQ362" s="808" t="s">
        <v>1942</v>
      </c>
      <c r="BR362" s="800" t="s">
        <v>1942</v>
      </c>
      <c r="BS362" s="800" t="s">
        <v>1942</v>
      </c>
      <c r="BT362" s="800" t="s">
        <v>1942</v>
      </c>
      <c r="BU362" s="805" t="s">
        <v>1942</v>
      </c>
      <c r="BV362" s="806" t="s">
        <v>1942</v>
      </c>
      <c r="BW362" s="807" t="s">
        <v>1942</v>
      </c>
      <c r="BX362" s="807" t="s">
        <v>1942</v>
      </c>
      <c r="BY362" s="807" t="s">
        <v>1942</v>
      </c>
      <c r="BZ362" s="807" t="s">
        <v>1942</v>
      </c>
      <c r="CA362" s="808" t="s">
        <v>1942</v>
      </c>
      <c r="CB362" s="800" t="s">
        <v>1942</v>
      </c>
      <c r="CC362" s="800" t="s">
        <v>1942</v>
      </c>
      <c r="CD362" s="800" t="s">
        <v>1942</v>
      </c>
      <c r="CE362" s="805" t="s">
        <v>1942</v>
      </c>
      <c r="CF362" s="800" t="s">
        <v>1942</v>
      </c>
      <c r="CG362" s="800" t="s">
        <v>1942</v>
      </c>
      <c r="CH362" s="800" t="s">
        <v>1942</v>
      </c>
      <c r="CI362" s="800" t="s">
        <v>1942</v>
      </c>
      <c r="CJ362" s="805" t="s">
        <v>1942</v>
      </c>
      <c r="CK362" s="808" t="s">
        <v>1942</v>
      </c>
      <c r="CL362" s="800" t="s">
        <v>1942</v>
      </c>
      <c r="CM362" s="800" t="s">
        <v>1942</v>
      </c>
      <c r="CN362" s="800" t="s">
        <v>1942</v>
      </c>
      <c r="CO362" s="805" t="s">
        <v>1942</v>
      </c>
      <c r="CP362" s="808" t="s">
        <v>1942</v>
      </c>
      <c r="CQ362" s="800" t="s">
        <v>1942</v>
      </c>
      <c r="CR362" s="800" t="s">
        <v>1942</v>
      </c>
      <c r="CS362" s="800" t="s">
        <v>1942</v>
      </c>
      <c r="CT362" s="805" t="s">
        <v>1942</v>
      </c>
      <c r="CU362" s="1284">
        <v>-3.63E-3</v>
      </c>
      <c r="CV362" s="1283" t="s">
        <v>1942</v>
      </c>
      <c r="CW362" s="1283" t="s">
        <v>1942</v>
      </c>
      <c r="CX362" s="1285" t="s">
        <v>1942</v>
      </c>
      <c r="CY362" s="1283">
        <v>3.63E-3</v>
      </c>
      <c r="CZ362" s="1283" t="s">
        <v>1942</v>
      </c>
      <c r="DA362" s="1283" t="s">
        <v>1942</v>
      </c>
      <c r="DB362" s="1285" t="s">
        <v>1942</v>
      </c>
      <c r="DC362" s="785"/>
      <c r="DD362" s="813">
        <v>1</v>
      </c>
      <c r="DE362" s="814"/>
    </row>
    <row r="363" spans="1:109" ht="39.4" hidden="1">
      <c r="A363" s="772" t="s">
        <v>1036</v>
      </c>
      <c r="B363" s="773">
        <v>357</v>
      </c>
      <c r="C363" s="789" t="s">
        <v>3463</v>
      </c>
      <c r="D363" s="773" t="s">
        <v>2376</v>
      </c>
      <c r="E363" s="773" t="s">
        <v>1889</v>
      </c>
      <c r="F363" s="785" t="s">
        <v>3464</v>
      </c>
      <c r="G363" s="790" t="s">
        <v>3465</v>
      </c>
      <c r="H363" s="791" t="s">
        <v>3462</v>
      </c>
      <c r="I363" s="792"/>
      <c r="J363" s="793"/>
      <c r="K363" s="793">
        <v>1</v>
      </c>
      <c r="L363" s="793"/>
      <c r="M363" s="793"/>
      <c r="N363" s="793"/>
      <c r="O363" s="793"/>
      <c r="P363" s="794"/>
      <c r="Q363" s="795">
        <f t="shared" si="5"/>
        <v>1</v>
      </c>
      <c r="R363" s="789" t="s">
        <v>1030</v>
      </c>
      <c r="S363" s="773" t="s">
        <v>1008</v>
      </c>
      <c r="T363" s="796" t="s">
        <v>1009</v>
      </c>
      <c r="U363" s="773" t="s">
        <v>2289</v>
      </c>
      <c r="V363" s="773" t="s">
        <v>1033</v>
      </c>
      <c r="W363" s="773" t="s">
        <v>3365</v>
      </c>
      <c r="X363" s="1310">
        <v>1</v>
      </c>
      <c r="Y363" s="819" t="s">
        <v>1010</v>
      </c>
      <c r="Z363" s="790"/>
      <c r="AA363" s="785"/>
      <c r="AB363" s="785"/>
      <c r="AC363" s="785"/>
      <c r="AD363" s="785"/>
      <c r="AE363" s="785"/>
      <c r="AF363" s="799"/>
      <c r="AG363" s="800"/>
      <c r="AH363" s="800"/>
      <c r="AI363" s="800"/>
      <c r="AJ363" s="800"/>
      <c r="AK363" s="800"/>
      <c r="AL363" s="800"/>
      <c r="AM363" s="800"/>
      <c r="AN363" s="800"/>
      <c r="AO363" s="800"/>
      <c r="AP363" s="807"/>
      <c r="AQ363" s="806">
        <v>0</v>
      </c>
      <c r="AR363" s="807">
        <v>0</v>
      </c>
      <c r="AS363" s="807">
        <v>11</v>
      </c>
      <c r="AT363" s="807">
        <v>69</v>
      </c>
      <c r="AU363" s="820">
        <v>137.80000000000001</v>
      </c>
      <c r="AV363" s="808"/>
      <c r="AW363" s="800"/>
      <c r="AX363" s="800"/>
      <c r="AY363" s="800"/>
      <c r="AZ363" s="800"/>
      <c r="BA363" s="800"/>
      <c r="BB363" s="800"/>
      <c r="BC363" s="800"/>
      <c r="BD363" s="800"/>
      <c r="BE363" s="800"/>
      <c r="BF363" s="800"/>
      <c r="BG363" s="800"/>
      <c r="BH363" s="800"/>
      <c r="BI363" s="800"/>
      <c r="BJ363" s="800"/>
      <c r="BK363" s="865"/>
      <c r="BL363" s="789" t="s">
        <v>168</v>
      </c>
      <c r="BM363" s="785" t="s">
        <v>168</v>
      </c>
      <c r="BN363" s="785" t="s">
        <v>168</v>
      </c>
      <c r="BO363" s="785" t="s">
        <v>168</v>
      </c>
      <c r="BP363" s="796" t="s">
        <v>168</v>
      </c>
      <c r="BQ363" s="808" t="s">
        <v>1942</v>
      </c>
      <c r="BR363" s="800" t="s">
        <v>1942</v>
      </c>
      <c r="BS363" s="800" t="s">
        <v>1942</v>
      </c>
      <c r="BT363" s="800" t="s">
        <v>1942</v>
      </c>
      <c r="BU363" s="805" t="s">
        <v>1942</v>
      </c>
      <c r="BV363" s="806" t="s">
        <v>1942</v>
      </c>
      <c r="BW363" s="807" t="s">
        <v>1942</v>
      </c>
      <c r="BX363" s="807" t="s">
        <v>1942</v>
      </c>
      <c r="BY363" s="807" t="s">
        <v>1942</v>
      </c>
      <c r="BZ363" s="807" t="s">
        <v>1942</v>
      </c>
      <c r="CA363" s="808" t="s">
        <v>1942</v>
      </c>
      <c r="CB363" s="800" t="s">
        <v>1942</v>
      </c>
      <c r="CC363" s="800" t="s">
        <v>1942</v>
      </c>
      <c r="CD363" s="800" t="s">
        <v>1942</v>
      </c>
      <c r="CE363" s="805" t="s">
        <v>1942</v>
      </c>
      <c r="CF363" s="800" t="s">
        <v>1942</v>
      </c>
      <c r="CG363" s="800" t="s">
        <v>1942</v>
      </c>
      <c r="CH363" s="800" t="s">
        <v>1942</v>
      </c>
      <c r="CI363" s="800" t="s">
        <v>1942</v>
      </c>
      <c r="CJ363" s="805" t="s">
        <v>1942</v>
      </c>
      <c r="CK363" s="808" t="s">
        <v>1942</v>
      </c>
      <c r="CL363" s="800" t="s">
        <v>1942</v>
      </c>
      <c r="CM363" s="800" t="s">
        <v>1942</v>
      </c>
      <c r="CN363" s="800" t="s">
        <v>1942</v>
      </c>
      <c r="CO363" s="805" t="s">
        <v>1942</v>
      </c>
      <c r="CP363" s="808" t="s">
        <v>1942</v>
      </c>
      <c r="CQ363" s="800" t="s">
        <v>1942</v>
      </c>
      <c r="CR363" s="800" t="s">
        <v>1942</v>
      </c>
      <c r="CS363" s="800" t="s">
        <v>1942</v>
      </c>
      <c r="CT363" s="805" t="s">
        <v>1942</v>
      </c>
      <c r="CU363" s="1284">
        <v>-3.63E-3</v>
      </c>
      <c r="CV363" s="1283" t="s">
        <v>1942</v>
      </c>
      <c r="CW363" s="1283" t="s">
        <v>1942</v>
      </c>
      <c r="CX363" s="1285" t="s">
        <v>1942</v>
      </c>
      <c r="CY363" s="1283">
        <v>3.63E-3</v>
      </c>
      <c r="CZ363" s="1283" t="s">
        <v>1942</v>
      </c>
      <c r="DA363" s="1283" t="s">
        <v>1942</v>
      </c>
      <c r="DB363" s="1285" t="s">
        <v>1942</v>
      </c>
      <c r="DC363" s="785"/>
      <c r="DD363" s="813">
        <v>1</v>
      </c>
      <c r="DE363" s="814"/>
    </row>
    <row r="364" spans="1:109" ht="26.25" hidden="1">
      <c r="A364" s="772" t="s">
        <v>1036</v>
      </c>
      <c r="B364" s="773">
        <v>358</v>
      </c>
      <c r="C364" s="789" t="s">
        <v>3466</v>
      </c>
      <c r="D364" s="773" t="s">
        <v>2376</v>
      </c>
      <c r="E364" s="773" t="s">
        <v>1907</v>
      </c>
      <c r="F364" s="785" t="s">
        <v>3467</v>
      </c>
      <c r="G364" s="790" t="s">
        <v>3468</v>
      </c>
      <c r="H364" s="791" t="s">
        <v>3469</v>
      </c>
      <c r="I364" s="792"/>
      <c r="J364" s="793"/>
      <c r="K364" s="793"/>
      <c r="L364" s="793">
        <v>1</v>
      </c>
      <c r="M364" s="793"/>
      <c r="N364" s="793"/>
      <c r="O364" s="793"/>
      <c r="P364" s="794"/>
      <c r="Q364" s="795">
        <f t="shared" si="5"/>
        <v>1</v>
      </c>
      <c r="R364" s="789" t="s">
        <v>1026</v>
      </c>
      <c r="S364" s="773" t="s">
        <v>1008</v>
      </c>
      <c r="T364" s="796" t="s">
        <v>1009</v>
      </c>
      <c r="U364" s="773" t="s">
        <v>763</v>
      </c>
      <c r="V364" s="773" t="s">
        <v>278</v>
      </c>
      <c r="W364" s="773" t="s">
        <v>3470</v>
      </c>
      <c r="X364" s="1310">
        <v>2</v>
      </c>
      <c r="Y364" s="819" t="s">
        <v>1010</v>
      </c>
      <c r="Z364" s="790"/>
      <c r="AA364" s="785"/>
      <c r="AB364" s="785"/>
      <c r="AC364" s="785"/>
      <c r="AD364" s="785"/>
      <c r="AE364" s="785"/>
      <c r="AF364" s="799"/>
      <c r="AG364" s="800"/>
      <c r="AH364" s="800"/>
      <c r="AI364" s="800"/>
      <c r="AJ364" s="800"/>
      <c r="AK364" s="800"/>
      <c r="AL364" s="800"/>
      <c r="AM364" s="800"/>
      <c r="AN364" s="797"/>
      <c r="AO364" s="797"/>
      <c r="AP364" s="797"/>
      <c r="AQ364" s="864">
        <v>100</v>
      </c>
      <c r="AR364" s="863">
        <v>100</v>
      </c>
      <c r="AS364" s="863">
        <v>100</v>
      </c>
      <c r="AT364" s="863">
        <v>100</v>
      </c>
      <c r="AU364" s="893">
        <v>100</v>
      </c>
      <c r="AV364" s="808"/>
      <c r="AW364" s="800"/>
      <c r="AX364" s="800"/>
      <c r="AY364" s="800"/>
      <c r="AZ364" s="797"/>
      <c r="BA364" s="800"/>
      <c r="BB364" s="800"/>
      <c r="BC364" s="800"/>
      <c r="BD364" s="800"/>
      <c r="BE364" s="800"/>
      <c r="BF364" s="800"/>
      <c r="BG364" s="800"/>
      <c r="BH364" s="800"/>
      <c r="BI364" s="800"/>
      <c r="BJ364" s="800"/>
      <c r="BK364" s="805"/>
      <c r="BL364" s="789" t="s">
        <v>168</v>
      </c>
      <c r="BM364" s="785" t="s">
        <v>168</v>
      </c>
      <c r="BN364" s="785" t="s">
        <v>168</v>
      </c>
      <c r="BO364" s="785" t="s">
        <v>168</v>
      </c>
      <c r="BP364" s="796" t="s">
        <v>168</v>
      </c>
      <c r="BQ364" s="808" t="s">
        <v>1942</v>
      </c>
      <c r="BR364" s="800" t="s">
        <v>1942</v>
      </c>
      <c r="BS364" s="800" t="s">
        <v>1942</v>
      </c>
      <c r="BT364" s="800" t="s">
        <v>1942</v>
      </c>
      <c r="BU364" s="805" t="s">
        <v>1942</v>
      </c>
      <c r="BV364" s="806" t="s">
        <v>1942</v>
      </c>
      <c r="BW364" s="807" t="s">
        <v>1942</v>
      </c>
      <c r="BX364" s="807" t="s">
        <v>1942</v>
      </c>
      <c r="BY364" s="807" t="s">
        <v>1942</v>
      </c>
      <c r="BZ364" s="807" t="s">
        <v>1942</v>
      </c>
      <c r="CA364" s="808" t="s">
        <v>1942</v>
      </c>
      <c r="CB364" s="800" t="s">
        <v>1942</v>
      </c>
      <c r="CC364" s="800" t="s">
        <v>1942</v>
      </c>
      <c r="CD364" s="800" t="s">
        <v>1942</v>
      </c>
      <c r="CE364" s="805" t="s">
        <v>1942</v>
      </c>
      <c r="CF364" s="800" t="s">
        <v>1942</v>
      </c>
      <c r="CG364" s="800" t="s">
        <v>1942</v>
      </c>
      <c r="CH364" s="800" t="s">
        <v>1942</v>
      </c>
      <c r="CI364" s="800" t="s">
        <v>1942</v>
      </c>
      <c r="CJ364" s="805" t="s">
        <v>1942</v>
      </c>
      <c r="CK364" s="808" t="s">
        <v>1942</v>
      </c>
      <c r="CL364" s="800" t="s">
        <v>1942</v>
      </c>
      <c r="CM364" s="800" t="s">
        <v>1942</v>
      </c>
      <c r="CN364" s="800" t="s">
        <v>1942</v>
      </c>
      <c r="CO364" s="805" t="s">
        <v>1942</v>
      </c>
      <c r="CP364" s="808" t="s">
        <v>1942</v>
      </c>
      <c r="CQ364" s="800" t="s">
        <v>1942</v>
      </c>
      <c r="CR364" s="800" t="s">
        <v>1942</v>
      </c>
      <c r="CS364" s="800" t="s">
        <v>1942</v>
      </c>
      <c r="CT364" s="805" t="s">
        <v>1942</v>
      </c>
      <c r="CU364" s="1284">
        <v>-0.157</v>
      </c>
      <c r="CV364" s="1283" t="s">
        <v>1942</v>
      </c>
      <c r="CW364" s="1283" t="s">
        <v>1942</v>
      </c>
      <c r="CX364" s="1285" t="s">
        <v>1942</v>
      </c>
      <c r="CY364" s="1283" t="s">
        <v>1942</v>
      </c>
      <c r="CZ364" s="1283" t="s">
        <v>1942</v>
      </c>
      <c r="DA364" s="1283" t="s">
        <v>1942</v>
      </c>
      <c r="DB364" s="1285" t="s">
        <v>1942</v>
      </c>
      <c r="DC364" s="785"/>
      <c r="DD364" s="813">
        <v>1</v>
      </c>
      <c r="DE364" s="814"/>
    </row>
    <row r="365" spans="1:109" ht="65.650000000000006" hidden="1">
      <c r="A365" s="772" t="s">
        <v>1036</v>
      </c>
      <c r="B365" s="773">
        <v>359</v>
      </c>
      <c r="C365" s="789" t="s">
        <v>3471</v>
      </c>
      <c r="D365" s="773" t="s">
        <v>3472</v>
      </c>
      <c r="E365" s="773" t="s">
        <v>1907</v>
      </c>
      <c r="F365" s="785" t="s">
        <v>3473</v>
      </c>
      <c r="G365" s="790" t="s">
        <v>1931</v>
      </c>
      <c r="H365" s="791" t="s">
        <v>2434</v>
      </c>
      <c r="I365" s="792"/>
      <c r="J365" s="793"/>
      <c r="K365" s="793"/>
      <c r="L365" s="793"/>
      <c r="M365" s="793">
        <v>1</v>
      </c>
      <c r="N365" s="793"/>
      <c r="O365" s="793"/>
      <c r="P365" s="794"/>
      <c r="Q365" s="795">
        <f t="shared" si="5"/>
        <v>1</v>
      </c>
      <c r="R365" s="789" t="s">
        <v>1030</v>
      </c>
      <c r="S365" s="773" t="s">
        <v>1008</v>
      </c>
      <c r="T365" s="796" t="s">
        <v>1009</v>
      </c>
      <c r="U365" s="773" t="s">
        <v>1069</v>
      </c>
      <c r="V365" s="773" t="s">
        <v>1081</v>
      </c>
      <c r="W365" s="773" t="s">
        <v>2038</v>
      </c>
      <c r="X365" s="1311">
        <v>2</v>
      </c>
      <c r="Y365" s="826" t="s">
        <v>1010</v>
      </c>
      <c r="Z365" s="790" t="s">
        <v>1931</v>
      </c>
      <c r="AA365" s="785"/>
      <c r="AB365" s="785"/>
      <c r="AC365" s="785"/>
      <c r="AD365" s="785"/>
      <c r="AE365" s="785"/>
      <c r="AF365" s="799"/>
      <c r="AG365" s="800"/>
      <c r="AH365" s="800"/>
      <c r="AI365" s="800"/>
      <c r="AJ365" s="800"/>
      <c r="AK365" s="800"/>
      <c r="AL365" s="800"/>
      <c r="AM365" s="800"/>
      <c r="AN365" s="800"/>
      <c r="AO365" s="800"/>
      <c r="AP365" s="800"/>
      <c r="AQ365" s="1740"/>
      <c r="AR365" s="1741"/>
      <c r="AS365" s="1741"/>
      <c r="AT365" s="1741"/>
      <c r="AU365" s="1749"/>
      <c r="AV365" s="808"/>
      <c r="AW365" s="800"/>
      <c r="AX365" s="800"/>
      <c r="AY365" s="800"/>
      <c r="AZ365" s="800"/>
      <c r="BA365" s="800"/>
      <c r="BB365" s="800"/>
      <c r="BC365" s="800"/>
      <c r="BD365" s="800"/>
      <c r="BE365" s="800"/>
      <c r="BF365" s="800"/>
      <c r="BG365" s="800"/>
      <c r="BH365" s="800"/>
      <c r="BI365" s="800"/>
      <c r="BJ365" s="800"/>
      <c r="BK365" s="805"/>
      <c r="BL365" s="1737"/>
      <c r="BM365" s="1738"/>
      <c r="BN365" s="1738"/>
      <c r="BO365" s="1738"/>
      <c r="BP365" s="1739"/>
      <c r="BQ365" s="1420"/>
      <c r="BR365" s="1368"/>
      <c r="BS365" s="1368"/>
      <c r="BT365" s="1368"/>
      <c r="BU365" s="1369"/>
      <c r="BV365" s="1421"/>
      <c r="BW365" s="1373"/>
      <c r="BX365" s="1373"/>
      <c r="BY365" s="1373"/>
      <c r="BZ365" s="1373"/>
      <c r="CA365" s="1420"/>
      <c r="CB365" s="1368"/>
      <c r="CC365" s="1368"/>
      <c r="CD365" s="1368"/>
      <c r="CE365" s="1369"/>
      <c r="CF365" s="1368"/>
      <c r="CG365" s="1368"/>
      <c r="CH365" s="1368"/>
      <c r="CI365" s="1368"/>
      <c r="CJ365" s="1369"/>
      <c r="CK365" s="1420"/>
      <c r="CL365" s="1368"/>
      <c r="CM365" s="1368"/>
      <c r="CN365" s="1368"/>
      <c r="CO365" s="1369"/>
      <c r="CP365" s="1420"/>
      <c r="CQ365" s="1368"/>
      <c r="CR365" s="1368"/>
      <c r="CS365" s="1368"/>
      <c r="CT365" s="1369"/>
      <c r="CU365" s="1528"/>
      <c r="CV365" s="1519"/>
      <c r="CW365" s="1519"/>
      <c r="CX365" s="1728"/>
      <c r="CY365" s="1519"/>
      <c r="CZ365" s="1519"/>
      <c r="DA365" s="1519"/>
      <c r="DB365" s="1728"/>
      <c r="DC365" s="1377"/>
      <c r="DD365" s="1729"/>
      <c r="DE365" s="1734"/>
    </row>
    <row r="366" spans="1:109" ht="52.5" hidden="1">
      <c r="A366" s="772" t="s">
        <v>1036</v>
      </c>
      <c r="B366" s="773">
        <v>360</v>
      </c>
      <c r="C366" s="789" t="s">
        <v>3474</v>
      </c>
      <c r="D366" s="773" t="s">
        <v>3472</v>
      </c>
      <c r="E366" s="773" t="s">
        <v>1907</v>
      </c>
      <c r="F366" s="785" t="s">
        <v>3475</v>
      </c>
      <c r="G366" s="790" t="s">
        <v>1935</v>
      </c>
      <c r="H366" s="791" t="s">
        <v>2438</v>
      </c>
      <c r="I366" s="792"/>
      <c r="J366" s="793">
        <v>0.5</v>
      </c>
      <c r="K366" s="793">
        <v>0.5</v>
      </c>
      <c r="L366" s="793"/>
      <c r="M366" s="793"/>
      <c r="N366" s="793"/>
      <c r="O366" s="793"/>
      <c r="P366" s="794"/>
      <c r="Q366" s="795">
        <f t="shared" si="5"/>
        <v>1</v>
      </c>
      <c r="R366" s="789" t="s">
        <v>1030</v>
      </c>
      <c r="S366" s="773" t="s">
        <v>1008</v>
      </c>
      <c r="T366" s="796" t="s">
        <v>1009</v>
      </c>
      <c r="U366" s="773" t="s">
        <v>1073</v>
      </c>
      <c r="V366" s="773" t="s">
        <v>1081</v>
      </c>
      <c r="W366" s="773" t="s">
        <v>427</v>
      </c>
      <c r="X366" s="1311">
        <v>2</v>
      </c>
      <c r="Y366" s="821" t="s">
        <v>1010</v>
      </c>
      <c r="Z366" s="790" t="s">
        <v>1935</v>
      </c>
      <c r="AA366" s="785"/>
      <c r="AB366" s="785"/>
      <c r="AC366" s="785"/>
      <c r="AD366" s="785"/>
      <c r="AE366" s="785"/>
      <c r="AF366" s="799"/>
      <c r="AG366" s="800"/>
      <c r="AH366" s="800"/>
      <c r="AI366" s="800"/>
      <c r="AJ366" s="800"/>
      <c r="AK366" s="800"/>
      <c r="AL366" s="800"/>
      <c r="AM366" s="800"/>
      <c r="AN366" s="800"/>
      <c r="AO366" s="800"/>
      <c r="AP366" s="842"/>
      <c r="AQ366" s="1420"/>
      <c r="AR366" s="1368"/>
      <c r="AS366" s="1368"/>
      <c r="AT366" s="1368"/>
      <c r="AU366" s="1527"/>
      <c r="AV366" s="808"/>
      <c r="AW366" s="800"/>
      <c r="AX366" s="800"/>
      <c r="AY366" s="800"/>
      <c r="AZ366" s="816"/>
      <c r="BA366" s="800"/>
      <c r="BB366" s="800"/>
      <c r="BC366" s="800"/>
      <c r="BD366" s="800"/>
      <c r="BE366" s="816"/>
      <c r="BF366" s="800"/>
      <c r="BG366" s="800"/>
      <c r="BH366" s="800"/>
      <c r="BI366" s="800"/>
      <c r="BJ366" s="800"/>
      <c r="BK366" s="818"/>
      <c r="BL366" s="1376"/>
      <c r="BM366" s="1377"/>
      <c r="BN366" s="1377"/>
      <c r="BO366" s="1377"/>
      <c r="BP366" s="1440"/>
      <c r="BQ366" s="1420"/>
      <c r="BR366" s="1368"/>
      <c r="BS366" s="1368"/>
      <c r="BT366" s="1368"/>
      <c r="BU366" s="1369"/>
      <c r="BV366" s="1421"/>
      <c r="BW366" s="1373"/>
      <c r="BX366" s="1373"/>
      <c r="BY366" s="1373"/>
      <c r="BZ366" s="1373"/>
      <c r="CA366" s="1420"/>
      <c r="CB366" s="1368"/>
      <c r="CC366" s="1368"/>
      <c r="CD366" s="1368"/>
      <c r="CE366" s="1369"/>
      <c r="CF366" s="1368"/>
      <c r="CG366" s="1368"/>
      <c r="CH366" s="1368"/>
      <c r="CI366" s="1368"/>
      <c r="CJ366" s="1369"/>
      <c r="CK366" s="1420"/>
      <c r="CL366" s="1368"/>
      <c r="CM366" s="1368"/>
      <c r="CN366" s="1368"/>
      <c r="CO366" s="1369"/>
      <c r="CP366" s="1420"/>
      <c r="CQ366" s="1368"/>
      <c r="CR366" s="1368"/>
      <c r="CS366" s="1368"/>
      <c r="CT366" s="1369"/>
      <c r="CU366" s="1528"/>
      <c r="CV366" s="1519"/>
      <c r="CW366" s="1519"/>
      <c r="CX366" s="1728"/>
      <c r="CY366" s="1519"/>
      <c r="CZ366" s="1519"/>
      <c r="DA366" s="1519"/>
      <c r="DB366" s="1728"/>
      <c r="DC366" s="1377"/>
      <c r="DD366" s="1729"/>
      <c r="DE366" s="1734"/>
    </row>
    <row r="367" spans="1:109" ht="13.15" hidden="1">
      <c r="A367" s="772" t="s">
        <v>1036</v>
      </c>
      <c r="B367" s="773">
        <v>361</v>
      </c>
      <c r="C367" s="789" t="s">
        <v>3476</v>
      </c>
      <c r="D367" s="773" t="s">
        <v>2451</v>
      </c>
      <c r="E367" s="773" t="s">
        <v>1889</v>
      </c>
      <c r="F367" s="785" t="s">
        <v>3477</v>
      </c>
      <c r="G367" s="790" t="s">
        <v>2457</v>
      </c>
      <c r="H367" s="791" t="s">
        <v>3478</v>
      </c>
      <c r="I367" s="792"/>
      <c r="J367" s="793"/>
      <c r="K367" s="793"/>
      <c r="L367" s="793"/>
      <c r="M367" s="793">
        <v>1</v>
      </c>
      <c r="N367" s="793"/>
      <c r="O367" s="793"/>
      <c r="P367" s="794"/>
      <c r="Q367" s="795">
        <f t="shared" si="5"/>
        <v>1</v>
      </c>
      <c r="R367" s="789" t="s">
        <v>1007</v>
      </c>
      <c r="S367" s="773"/>
      <c r="T367" s="796"/>
      <c r="U367" s="773" t="s">
        <v>2117</v>
      </c>
      <c r="V367" s="773" t="s">
        <v>278</v>
      </c>
      <c r="W367" s="773" t="s">
        <v>2459</v>
      </c>
      <c r="X367" s="1310">
        <v>0</v>
      </c>
      <c r="Y367" s="821" t="s">
        <v>1010</v>
      </c>
      <c r="Z367" s="790"/>
      <c r="AA367" s="785"/>
      <c r="AB367" s="785"/>
      <c r="AC367" s="785"/>
      <c r="AD367" s="785"/>
      <c r="AE367" s="785"/>
      <c r="AF367" s="799"/>
      <c r="AG367" s="800"/>
      <c r="AH367" s="800"/>
      <c r="AI367" s="800"/>
      <c r="AJ367" s="800"/>
      <c r="AK367" s="800"/>
      <c r="AL367" s="800"/>
      <c r="AM367" s="800"/>
      <c r="AN367" s="800"/>
      <c r="AO367" s="800"/>
      <c r="AP367" s="800"/>
      <c r="AQ367" s="817">
        <v>34</v>
      </c>
      <c r="AR367" s="816">
        <v>42</v>
      </c>
      <c r="AS367" s="816">
        <v>42</v>
      </c>
      <c r="AT367" s="816">
        <v>42</v>
      </c>
      <c r="AU367" s="818">
        <v>43</v>
      </c>
      <c r="AV367" s="808"/>
      <c r="AW367" s="800"/>
      <c r="AX367" s="800"/>
      <c r="AY367" s="800"/>
      <c r="AZ367" s="816"/>
      <c r="BA367" s="800"/>
      <c r="BB367" s="800"/>
      <c r="BC367" s="800"/>
      <c r="BD367" s="800"/>
      <c r="BE367" s="816"/>
      <c r="BF367" s="800"/>
      <c r="BG367" s="800"/>
      <c r="BH367" s="800"/>
      <c r="BI367" s="800"/>
      <c r="BJ367" s="816"/>
      <c r="BK367" s="818"/>
      <c r="BL367" s="789"/>
      <c r="BM367" s="785"/>
      <c r="BN367" s="785"/>
      <c r="BO367" s="785"/>
      <c r="BP367" s="796"/>
      <c r="BQ367" s="808" t="s">
        <v>1942</v>
      </c>
      <c r="BR367" s="800" t="s">
        <v>1942</v>
      </c>
      <c r="BS367" s="800" t="s">
        <v>1942</v>
      </c>
      <c r="BT367" s="800" t="s">
        <v>1942</v>
      </c>
      <c r="BU367" s="805" t="s">
        <v>1942</v>
      </c>
      <c r="BV367" s="806" t="s">
        <v>1942</v>
      </c>
      <c r="BW367" s="807" t="s">
        <v>1942</v>
      </c>
      <c r="BX367" s="807" t="s">
        <v>1942</v>
      </c>
      <c r="BY367" s="807" t="s">
        <v>1942</v>
      </c>
      <c r="BZ367" s="807" t="s">
        <v>1942</v>
      </c>
      <c r="CA367" s="808" t="s">
        <v>1942</v>
      </c>
      <c r="CB367" s="800" t="s">
        <v>1942</v>
      </c>
      <c r="CC367" s="800" t="s">
        <v>1942</v>
      </c>
      <c r="CD367" s="800" t="s">
        <v>1942</v>
      </c>
      <c r="CE367" s="805" t="s">
        <v>1942</v>
      </c>
      <c r="CF367" s="800" t="s">
        <v>1942</v>
      </c>
      <c r="CG367" s="800" t="s">
        <v>1942</v>
      </c>
      <c r="CH367" s="800" t="s">
        <v>1942</v>
      </c>
      <c r="CI367" s="800" t="s">
        <v>1942</v>
      </c>
      <c r="CJ367" s="805" t="s">
        <v>1942</v>
      </c>
      <c r="CK367" s="808" t="s">
        <v>1942</v>
      </c>
      <c r="CL367" s="800" t="s">
        <v>1942</v>
      </c>
      <c r="CM367" s="800" t="s">
        <v>1942</v>
      </c>
      <c r="CN367" s="800" t="s">
        <v>1942</v>
      </c>
      <c r="CO367" s="805" t="s">
        <v>1942</v>
      </c>
      <c r="CP367" s="808" t="s">
        <v>1942</v>
      </c>
      <c r="CQ367" s="800" t="s">
        <v>1942</v>
      </c>
      <c r="CR367" s="800" t="s">
        <v>1942</v>
      </c>
      <c r="CS367" s="800" t="s">
        <v>1942</v>
      </c>
      <c r="CT367" s="805" t="s">
        <v>1942</v>
      </c>
      <c r="CU367" s="1284" t="s">
        <v>1942</v>
      </c>
      <c r="CV367" s="1283" t="s">
        <v>1942</v>
      </c>
      <c r="CW367" s="1283" t="s">
        <v>1942</v>
      </c>
      <c r="CX367" s="1285" t="s">
        <v>1942</v>
      </c>
      <c r="CY367" s="1283" t="s">
        <v>1942</v>
      </c>
      <c r="CZ367" s="1283" t="s">
        <v>1942</v>
      </c>
      <c r="DA367" s="1283" t="s">
        <v>1942</v>
      </c>
      <c r="DB367" s="1285" t="s">
        <v>1942</v>
      </c>
      <c r="DC367" s="785"/>
      <c r="DD367" s="813">
        <v>1</v>
      </c>
      <c r="DE367" s="814"/>
    </row>
    <row r="368" spans="1:109" ht="26.25" hidden="1">
      <c r="A368" s="772" t="s">
        <v>1036</v>
      </c>
      <c r="B368" s="773">
        <v>362</v>
      </c>
      <c r="C368" s="789" t="s">
        <v>3479</v>
      </c>
      <c r="D368" s="773" t="s">
        <v>2451</v>
      </c>
      <c r="E368" s="773" t="s">
        <v>1907</v>
      </c>
      <c r="F368" s="785" t="s">
        <v>3480</v>
      </c>
      <c r="G368" s="790" t="s">
        <v>703</v>
      </c>
      <c r="H368" s="791" t="s">
        <v>3481</v>
      </c>
      <c r="I368" s="792"/>
      <c r="J368" s="793"/>
      <c r="K368" s="793"/>
      <c r="L368" s="793"/>
      <c r="M368" s="793">
        <v>1</v>
      </c>
      <c r="N368" s="793"/>
      <c r="O368" s="793"/>
      <c r="P368" s="794"/>
      <c r="Q368" s="795">
        <f t="shared" si="5"/>
        <v>1</v>
      </c>
      <c r="R368" s="789" t="s">
        <v>1007</v>
      </c>
      <c r="S368" s="773"/>
      <c r="T368" s="796"/>
      <c r="U368" s="773" t="s">
        <v>2117</v>
      </c>
      <c r="V368" s="773" t="s">
        <v>278</v>
      </c>
      <c r="W368" s="773" t="s">
        <v>3446</v>
      </c>
      <c r="X368" s="1310">
        <v>1</v>
      </c>
      <c r="Y368" s="821" t="s">
        <v>1010</v>
      </c>
      <c r="Z368" s="790" t="s">
        <v>703</v>
      </c>
      <c r="AA368" s="785"/>
      <c r="AB368" s="785"/>
      <c r="AC368" s="785"/>
      <c r="AD368" s="785"/>
      <c r="AE368" s="785"/>
      <c r="AF368" s="799"/>
      <c r="AG368" s="800"/>
      <c r="AH368" s="800"/>
      <c r="AI368" s="800"/>
      <c r="AJ368" s="800"/>
      <c r="AK368" s="800"/>
      <c r="AL368" s="800"/>
      <c r="AM368" s="800"/>
      <c r="AN368" s="800"/>
      <c r="AO368" s="800"/>
      <c r="AP368" s="797"/>
      <c r="AQ368" s="1420"/>
      <c r="AR368" s="1368"/>
      <c r="AS368" s="1368"/>
      <c r="AT368" s="1368"/>
      <c r="AU368" s="1369"/>
      <c r="AV368" s="891"/>
      <c r="AW368" s="800"/>
      <c r="AX368" s="800"/>
      <c r="AY368" s="800"/>
      <c r="AZ368" s="800"/>
      <c r="BA368" s="800"/>
      <c r="BB368" s="800"/>
      <c r="BC368" s="800"/>
      <c r="BD368" s="800"/>
      <c r="BE368" s="800"/>
      <c r="BF368" s="800"/>
      <c r="BG368" s="800"/>
      <c r="BH368" s="800"/>
      <c r="BI368" s="800"/>
      <c r="BJ368" s="800"/>
      <c r="BK368" s="805"/>
      <c r="BL368" s="1376"/>
      <c r="BM368" s="1377"/>
      <c r="BN368" s="1377"/>
      <c r="BO368" s="1377"/>
      <c r="BP368" s="1440"/>
      <c r="BQ368" s="1420"/>
      <c r="BR368" s="1368"/>
      <c r="BS368" s="1368"/>
      <c r="BT368" s="1368"/>
      <c r="BU368" s="1369"/>
      <c r="BV368" s="1421"/>
      <c r="BW368" s="1373"/>
      <c r="BX368" s="1373"/>
      <c r="BY368" s="1373"/>
      <c r="BZ368" s="1373"/>
      <c r="CA368" s="1420"/>
      <c r="CB368" s="1368"/>
      <c r="CC368" s="1368"/>
      <c r="CD368" s="1368"/>
      <c r="CE368" s="1369"/>
      <c r="CF368" s="1368"/>
      <c r="CG368" s="1368"/>
      <c r="CH368" s="1368"/>
      <c r="CI368" s="1368"/>
      <c r="CJ368" s="1369"/>
      <c r="CK368" s="1420"/>
      <c r="CL368" s="1368"/>
      <c r="CM368" s="1368"/>
      <c r="CN368" s="1368"/>
      <c r="CO368" s="1369"/>
      <c r="CP368" s="1420"/>
      <c r="CQ368" s="1368"/>
      <c r="CR368" s="1368"/>
      <c r="CS368" s="1368"/>
      <c r="CT368" s="1369"/>
      <c r="CU368" s="1528"/>
      <c r="CV368" s="1519"/>
      <c r="CW368" s="1519"/>
      <c r="CX368" s="1728"/>
      <c r="CY368" s="1519"/>
      <c r="CZ368" s="1519"/>
      <c r="DA368" s="1519"/>
      <c r="DB368" s="1728"/>
      <c r="DC368" s="1377"/>
      <c r="DD368" s="1729"/>
      <c r="DE368" s="1734"/>
    </row>
    <row r="369" spans="1:109" ht="26.25" hidden="1">
      <c r="A369" s="772" t="s">
        <v>1036</v>
      </c>
      <c r="B369" s="773">
        <v>363</v>
      </c>
      <c r="C369" s="789" t="s">
        <v>3482</v>
      </c>
      <c r="D369" s="773" t="s">
        <v>2403</v>
      </c>
      <c r="E369" s="773" t="s">
        <v>1889</v>
      </c>
      <c r="F369" s="785" t="s">
        <v>3483</v>
      </c>
      <c r="G369" s="790" t="s">
        <v>732</v>
      </c>
      <c r="H369" s="791" t="s">
        <v>2405</v>
      </c>
      <c r="I369" s="792"/>
      <c r="J369" s="793"/>
      <c r="K369" s="793">
        <v>1</v>
      </c>
      <c r="L369" s="793"/>
      <c r="M369" s="793"/>
      <c r="N369" s="793"/>
      <c r="O369" s="793"/>
      <c r="P369" s="794"/>
      <c r="Q369" s="795">
        <f t="shared" si="5"/>
        <v>1</v>
      </c>
      <c r="R369" s="789" t="s">
        <v>1030</v>
      </c>
      <c r="S369" s="773" t="s">
        <v>1008</v>
      </c>
      <c r="T369" s="796" t="s">
        <v>1009</v>
      </c>
      <c r="U369" s="773" t="s">
        <v>2058</v>
      </c>
      <c r="V369" s="773" t="s">
        <v>1033</v>
      </c>
      <c r="W369" s="773" t="s">
        <v>3484</v>
      </c>
      <c r="X369" s="1310">
        <v>2</v>
      </c>
      <c r="Y369" s="821" t="s">
        <v>1020</v>
      </c>
      <c r="Z369" s="790" t="s">
        <v>732</v>
      </c>
      <c r="AA369" s="785"/>
      <c r="AB369" s="785"/>
      <c r="AC369" s="785"/>
      <c r="AD369" s="785"/>
      <c r="AE369" s="785"/>
      <c r="AF369" s="799"/>
      <c r="AG369" s="800"/>
      <c r="AH369" s="797"/>
      <c r="AI369" s="797"/>
      <c r="AJ369" s="797"/>
      <c r="AK369" s="797"/>
      <c r="AL369" s="797"/>
      <c r="AM369" s="797"/>
      <c r="AN369" s="797"/>
      <c r="AO369" s="797"/>
      <c r="AP369" s="797"/>
      <c r="AQ369" s="1420"/>
      <c r="AR369" s="1368"/>
      <c r="AS369" s="1368"/>
      <c r="AT369" s="1368"/>
      <c r="AU369" s="1369"/>
      <c r="AV369" s="827"/>
      <c r="AW369" s="797"/>
      <c r="AX369" s="797"/>
      <c r="AY369" s="797"/>
      <c r="AZ369" s="797"/>
      <c r="BA369" s="800"/>
      <c r="BB369" s="800"/>
      <c r="BC369" s="800"/>
      <c r="BD369" s="800"/>
      <c r="BE369" s="800"/>
      <c r="BF369" s="800"/>
      <c r="BG369" s="800"/>
      <c r="BH369" s="800"/>
      <c r="BI369" s="800"/>
      <c r="BJ369" s="800"/>
      <c r="BK369" s="805"/>
      <c r="BL369" s="1376"/>
      <c r="BM369" s="1377"/>
      <c r="BN369" s="1377"/>
      <c r="BO369" s="1377"/>
      <c r="BP369" s="1440"/>
      <c r="BQ369" s="1421"/>
      <c r="BR369" s="1373"/>
      <c r="BS369" s="1373"/>
      <c r="BT369" s="1373"/>
      <c r="BU369" s="1374"/>
      <c r="BV369" s="1373"/>
      <c r="BW369" s="1373"/>
      <c r="BX369" s="1373"/>
      <c r="BY369" s="1373"/>
      <c r="BZ369" s="1373"/>
      <c r="CA369" s="1420"/>
      <c r="CB369" s="1368"/>
      <c r="CC369" s="1368"/>
      <c r="CD369" s="1368"/>
      <c r="CE369" s="1369"/>
      <c r="CF369" s="1368"/>
      <c r="CG369" s="1368"/>
      <c r="CH369" s="1368"/>
      <c r="CI369" s="1368"/>
      <c r="CJ369" s="1369"/>
      <c r="CK369" s="1421"/>
      <c r="CL369" s="1373"/>
      <c r="CM369" s="1373"/>
      <c r="CN369" s="1373"/>
      <c r="CO369" s="1374"/>
      <c r="CP369" s="1421"/>
      <c r="CQ369" s="1373"/>
      <c r="CR369" s="1373"/>
      <c r="CS369" s="1373"/>
      <c r="CT369" s="1374"/>
      <c r="CU369" s="1528"/>
      <c r="CV369" s="1519"/>
      <c r="CW369" s="1519"/>
      <c r="CX369" s="1728"/>
      <c r="CY369" s="1519"/>
      <c r="CZ369" s="1519"/>
      <c r="DA369" s="1519"/>
      <c r="DB369" s="1728"/>
      <c r="DC369" s="1377"/>
      <c r="DD369" s="1729"/>
      <c r="DE369" s="1734"/>
    </row>
    <row r="370" spans="1:109" ht="26.25" hidden="1">
      <c r="A370" s="772" t="s">
        <v>1036</v>
      </c>
      <c r="B370" s="773">
        <v>364</v>
      </c>
      <c r="C370" s="789" t="s">
        <v>3485</v>
      </c>
      <c r="D370" s="773" t="s">
        <v>2403</v>
      </c>
      <c r="E370" s="773" t="s">
        <v>1889</v>
      </c>
      <c r="F370" s="785" t="s">
        <v>3486</v>
      </c>
      <c r="G370" s="790" t="s">
        <v>736</v>
      </c>
      <c r="H370" s="791" t="s">
        <v>2409</v>
      </c>
      <c r="I370" s="792"/>
      <c r="J370" s="793"/>
      <c r="K370" s="793">
        <v>1</v>
      </c>
      <c r="L370" s="793"/>
      <c r="M370" s="793"/>
      <c r="N370" s="793"/>
      <c r="O370" s="793"/>
      <c r="P370" s="794"/>
      <c r="Q370" s="795">
        <f t="shared" si="5"/>
        <v>1</v>
      </c>
      <c r="R370" s="789" t="s">
        <v>1030</v>
      </c>
      <c r="S370" s="773" t="s">
        <v>1008</v>
      </c>
      <c r="T370" s="796" t="s">
        <v>1009</v>
      </c>
      <c r="U370" s="773" t="s">
        <v>736</v>
      </c>
      <c r="V370" s="773" t="s">
        <v>1033</v>
      </c>
      <c r="W370" s="773" t="s">
        <v>3487</v>
      </c>
      <c r="X370" s="1310">
        <v>2</v>
      </c>
      <c r="Y370" s="821" t="s">
        <v>1020</v>
      </c>
      <c r="Z370" s="790" t="s">
        <v>736</v>
      </c>
      <c r="AA370" s="785"/>
      <c r="AB370" s="785"/>
      <c r="AC370" s="785"/>
      <c r="AD370" s="785"/>
      <c r="AE370" s="785"/>
      <c r="AF370" s="799"/>
      <c r="AG370" s="800"/>
      <c r="AH370" s="800"/>
      <c r="AI370" s="800"/>
      <c r="AJ370" s="800"/>
      <c r="AK370" s="807"/>
      <c r="AL370" s="807"/>
      <c r="AM370" s="807"/>
      <c r="AN370" s="800"/>
      <c r="AO370" s="807"/>
      <c r="AP370" s="807"/>
      <c r="AQ370" s="1421"/>
      <c r="AR370" s="1373"/>
      <c r="AS370" s="1373"/>
      <c r="AT370" s="1373"/>
      <c r="AU370" s="1374"/>
      <c r="AV370" s="806"/>
      <c r="AW370" s="807"/>
      <c r="AX370" s="807"/>
      <c r="AY370" s="807"/>
      <c r="AZ370" s="807"/>
      <c r="BA370" s="807"/>
      <c r="BB370" s="807"/>
      <c r="BC370" s="807"/>
      <c r="BD370" s="807"/>
      <c r="BE370" s="807"/>
      <c r="BF370" s="807"/>
      <c r="BG370" s="807"/>
      <c r="BH370" s="807"/>
      <c r="BI370" s="807"/>
      <c r="BJ370" s="807"/>
      <c r="BK370" s="820"/>
      <c r="BL370" s="1761"/>
      <c r="BM370" s="1762"/>
      <c r="BN370" s="1762"/>
      <c r="BO370" s="1762"/>
      <c r="BP370" s="1763"/>
      <c r="BQ370" s="1420"/>
      <c r="BR370" s="1368"/>
      <c r="BS370" s="1368"/>
      <c r="BT370" s="1368"/>
      <c r="BU370" s="1369"/>
      <c r="BV370" s="1421"/>
      <c r="BW370" s="1373"/>
      <c r="BX370" s="1373"/>
      <c r="BY370" s="1373"/>
      <c r="BZ370" s="1373"/>
      <c r="CA370" s="1420"/>
      <c r="CB370" s="1368"/>
      <c r="CC370" s="1368"/>
      <c r="CD370" s="1368"/>
      <c r="CE370" s="1369"/>
      <c r="CF370" s="1368"/>
      <c r="CG370" s="1368"/>
      <c r="CH370" s="1368"/>
      <c r="CI370" s="1368"/>
      <c r="CJ370" s="1369"/>
      <c r="CK370" s="1420"/>
      <c r="CL370" s="1368"/>
      <c r="CM370" s="1368"/>
      <c r="CN370" s="1368"/>
      <c r="CO370" s="1369"/>
      <c r="CP370" s="1420"/>
      <c r="CQ370" s="1368"/>
      <c r="CR370" s="1368"/>
      <c r="CS370" s="1368"/>
      <c r="CT370" s="1369"/>
      <c r="CU370" s="1528"/>
      <c r="CV370" s="1519"/>
      <c r="CW370" s="1519"/>
      <c r="CX370" s="1728"/>
      <c r="CY370" s="1519"/>
      <c r="CZ370" s="1519"/>
      <c r="DA370" s="1519"/>
      <c r="DB370" s="1728"/>
      <c r="DC370" s="1377"/>
      <c r="DD370" s="1729"/>
      <c r="DE370" s="1734"/>
    </row>
    <row r="371" spans="1:109" ht="26.25" hidden="1">
      <c r="A371" s="772" t="s">
        <v>1036</v>
      </c>
      <c r="B371" s="773">
        <v>365</v>
      </c>
      <c r="C371" s="789" t="s">
        <v>3488</v>
      </c>
      <c r="D371" s="773" t="s">
        <v>2403</v>
      </c>
      <c r="E371" s="773" t="s">
        <v>1907</v>
      </c>
      <c r="F371" s="785" t="s">
        <v>3489</v>
      </c>
      <c r="G371" s="790" t="s">
        <v>743</v>
      </c>
      <c r="H371" s="791" t="s">
        <v>2423</v>
      </c>
      <c r="I371" s="792"/>
      <c r="J371" s="793"/>
      <c r="K371" s="793">
        <v>1</v>
      </c>
      <c r="L371" s="793"/>
      <c r="M371" s="793"/>
      <c r="N371" s="793"/>
      <c r="O371" s="793"/>
      <c r="P371" s="794"/>
      <c r="Q371" s="795">
        <f t="shared" si="5"/>
        <v>1</v>
      </c>
      <c r="R371" s="789" t="s">
        <v>1030</v>
      </c>
      <c r="S371" s="773" t="s">
        <v>1008</v>
      </c>
      <c r="T371" s="796" t="s">
        <v>1009</v>
      </c>
      <c r="U371" s="773" t="s">
        <v>1920</v>
      </c>
      <c r="V371" s="773" t="s">
        <v>1033</v>
      </c>
      <c r="W371" s="773" t="s">
        <v>3490</v>
      </c>
      <c r="X371" s="1310">
        <v>2</v>
      </c>
      <c r="Y371" s="821" t="s">
        <v>1020</v>
      </c>
      <c r="Z371" s="790" t="s">
        <v>743</v>
      </c>
      <c r="AA371" s="785"/>
      <c r="AB371" s="785"/>
      <c r="AC371" s="785"/>
      <c r="AD371" s="785"/>
      <c r="AE371" s="785"/>
      <c r="AF371" s="799"/>
      <c r="AG371" s="800"/>
      <c r="AH371" s="797"/>
      <c r="AI371" s="797"/>
      <c r="AJ371" s="797"/>
      <c r="AK371" s="797"/>
      <c r="AL371" s="797"/>
      <c r="AM371" s="797"/>
      <c r="AN371" s="797"/>
      <c r="AO371" s="797"/>
      <c r="AP371" s="797"/>
      <c r="AQ371" s="1740"/>
      <c r="AR371" s="1741"/>
      <c r="AS371" s="1741"/>
      <c r="AT371" s="1741"/>
      <c r="AU371" s="1749"/>
      <c r="AV371" s="827"/>
      <c r="AW371" s="797"/>
      <c r="AX371" s="797"/>
      <c r="AY371" s="797"/>
      <c r="AZ371" s="797"/>
      <c r="BA371" s="797"/>
      <c r="BB371" s="797"/>
      <c r="BC371" s="797"/>
      <c r="BD371" s="797"/>
      <c r="BE371" s="797"/>
      <c r="BF371" s="797"/>
      <c r="BG371" s="797"/>
      <c r="BH371" s="797"/>
      <c r="BI371" s="797"/>
      <c r="BJ371" s="797"/>
      <c r="BK371" s="841"/>
      <c r="BL371" s="1376"/>
      <c r="BM371" s="1377"/>
      <c r="BN371" s="1377"/>
      <c r="BO371" s="1377"/>
      <c r="BP371" s="1440"/>
      <c r="BQ371" s="1420"/>
      <c r="BR371" s="1368"/>
      <c r="BS371" s="1368"/>
      <c r="BT371" s="1368"/>
      <c r="BU371" s="1369"/>
      <c r="BV371" s="1421"/>
      <c r="BW371" s="1373"/>
      <c r="BX371" s="1373"/>
      <c r="BY371" s="1373"/>
      <c r="BZ371" s="1373"/>
      <c r="CA371" s="1420"/>
      <c r="CB371" s="1368"/>
      <c r="CC371" s="1368"/>
      <c r="CD371" s="1368"/>
      <c r="CE371" s="1369"/>
      <c r="CF371" s="1368"/>
      <c r="CG371" s="1368"/>
      <c r="CH371" s="1368"/>
      <c r="CI371" s="1368"/>
      <c r="CJ371" s="1369"/>
      <c r="CK371" s="1420"/>
      <c r="CL371" s="1368"/>
      <c r="CM371" s="1368"/>
      <c r="CN371" s="1368"/>
      <c r="CO371" s="1369"/>
      <c r="CP371" s="1420"/>
      <c r="CQ371" s="1368"/>
      <c r="CR371" s="1368"/>
      <c r="CS371" s="1368"/>
      <c r="CT371" s="1369"/>
      <c r="CU371" s="1528"/>
      <c r="CV371" s="1519"/>
      <c r="CW371" s="1519"/>
      <c r="CX371" s="1728"/>
      <c r="CY371" s="1519"/>
      <c r="CZ371" s="1519"/>
      <c r="DA371" s="1519"/>
      <c r="DB371" s="1728"/>
      <c r="DC371" s="1377"/>
      <c r="DD371" s="1729"/>
      <c r="DE371" s="1734"/>
    </row>
    <row r="372" spans="1:109" ht="39.4" hidden="1">
      <c r="A372" s="772" t="s">
        <v>1036</v>
      </c>
      <c r="B372" s="773">
        <v>366</v>
      </c>
      <c r="C372" s="789" t="s">
        <v>3491</v>
      </c>
      <c r="D372" s="773" t="s">
        <v>2403</v>
      </c>
      <c r="E372" s="773" t="s">
        <v>1907</v>
      </c>
      <c r="F372" s="785" t="s">
        <v>3492</v>
      </c>
      <c r="G372" s="790" t="s">
        <v>839</v>
      </c>
      <c r="H372" s="791" t="s">
        <v>2419</v>
      </c>
      <c r="I372" s="792"/>
      <c r="J372" s="793"/>
      <c r="K372" s="793">
        <v>1</v>
      </c>
      <c r="L372" s="793"/>
      <c r="M372" s="793"/>
      <c r="N372" s="793"/>
      <c r="O372" s="793"/>
      <c r="P372" s="794"/>
      <c r="Q372" s="795">
        <f t="shared" si="5"/>
        <v>1</v>
      </c>
      <c r="R372" s="789" t="s">
        <v>1007</v>
      </c>
      <c r="S372" s="773"/>
      <c r="T372" s="796"/>
      <c r="U372" s="773" t="s">
        <v>1910</v>
      </c>
      <c r="V372" s="773" t="s">
        <v>278</v>
      </c>
      <c r="W372" s="773" t="s">
        <v>3493</v>
      </c>
      <c r="X372" s="1310">
        <v>2</v>
      </c>
      <c r="Y372" s="821" t="s">
        <v>1020</v>
      </c>
      <c r="Z372" s="790" t="s">
        <v>839</v>
      </c>
      <c r="AA372" s="785"/>
      <c r="AB372" s="785"/>
      <c r="AC372" s="785"/>
      <c r="AD372" s="785"/>
      <c r="AE372" s="785"/>
      <c r="AF372" s="799"/>
      <c r="AG372" s="800"/>
      <c r="AH372" s="800"/>
      <c r="AI372" s="800"/>
      <c r="AJ372" s="800"/>
      <c r="AK372" s="800"/>
      <c r="AL372" s="800"/>
      <c r="AM372" s="800"/>
      <c r="AN372" s="800"/>
      <c r="AO372" s="800"/>
      <c r="AP372" s="800"/>
      <c r="AQ372" s="1420"/>
      <c r="AR372" s="1368"/>
      <c r="AS372" s="1368"/>
      <c r="AT372" s="1368"/>
      <c r="AU372" s="1749"/>
      <c r="AV372" s="808"/>
      <c r="AW372" s="800"/>
      <c r="AX372" s="800"/>
      <c r="AY372" s="800"/>
      <c r="AZ372" s="800"/>
      <c r="BA372" s="800"/>
      <c r="BB372" s="800"/>
      <c r="BC372" s="800"/>
      <c r="BD372" s="800"/>
      <c r="BE372" s="800"/>
      <c r="BF372" s="800"/>
      <c r="BG372" s="800"/>
      <c r="BH372" s="800"/>
      <c r="BI372" s="800"/>
      <c r="BJ372" s="800"/>
      <c r="BK372" s="805"/>
      <c r="BL372" s="1376"/>
      <c r="BM372" s="1377"/>
      <c r="BN372" s="1377"/>
      <c r="BO372" s="1377"/>
      <c r="BP372" s="1440"/>
      <c r="BQ372" s="1420"/>
      <c r="BR372" s="1368"/>
      <c r="BS372" s="1368"/>
      <c r="BT372" s="1368"/>
      <c r="BU372" s="1369"/>
      <c r="BV372" s="1421"/>
      <c r="BW372" s="1373"/>
      <c r="BX372" s="1373"/>
      <c r="BY372" s="1373"/>
      <c r="BZ372" s="1373"/>
      <c r="CA372" s="1420"/>
      <c r="CB372" s="1368"/>
      <c r="CC372" s="1368"/>
      <c r="CD372" s="1368"/>
      <c r="CE372" s="1369"/>
      <c r="CF372" s="1368"/>
      <c r="CG372" s="1368"/>
      <c r="CH372" s="1368"/>
      <c r="CI372" s="1368"/>
      <c r="CJ372" s="1369"/>
      <c r="CK372" s="1420"/>
      <c r="CL372" s="1368"/>
      <c r="CM372" s="1368"/>
      <c r="CN372" s="1368"/>
      <c r="CO372" s="1369"/>
      <c r="CP372" s="1420"/>
      <c r="CQ372" s="1368"/>
      <c r="CR372" s="1368"/>
      <c r="CS372" s="1368"/>
      <c r="CT372" s="1369"/>
      <c r="CU372" s="1528"/>
      <c r="CV372" s="1519"/>
      <c r="CW372" s="1519"/>
      <c r="CX372" s="1728"/>
      <c r="CY372" s="1519"/>
      <c r="CZ372" s="1519"/>
      <c r="DA372" s="1519"/>
      <c r="DB372" s="1728"/>
      <c r="DC372" s="1377"/>
      <c r="DD372" s="1729"/>
      <c r="DE372" s="1734"/>
    </row>
    <row r="373" spans="1:109" ht="13.15" hidden="1">
      <c r="A373" s="772" t="s">
        <v>1036</v>
      </c>
      <c r="B373" s="773">
        <v>367</v>
      </c>
      <c r="C373" s="789" t="s">
        <v>3494</v>
      </c>
      <c r="D373" s="773" t="s">
        <v>2403</v>
      </c>
      <c r="E373" s="773" t="s">
        <v>1889</v>
      </c>
      <c r="F373" s="785" t="s">
        <v>3495</v>
      </c>
      <c r="G373" s="790" t="s">
        <v>2098</v>
      </c>
      <c r="H373" s="791" t="s">
        <v>3496</v>
      </c>
      <c r="I373" s="792"/>
      <c r="J373" s="793"/>
      <c r="K373" s="793">
        <v>1</v>
      </c>
      <c r="L373" s="793"/>
      <c r="M373" s="793"/>
      <c r="N373" s="793"/>
      <c r="O373" s="793"/>
      <c r="P373" s="794"/>
      <c r="Q373" s="795">
        <f t="shared" si="5"/>
        <v>1</v>
      </c>
      <c r="R373" s="789" t="s">
        <v>1030</v>
      </c>
      <c r="S373" s="773" t="s">
        <v>1008</v>
      </c>
      <c r="T373" s="796" t="s">
        <v>1009</v>
      </c>
      <c r="U373" s="773" t="s">
        <v>2058</v>
      </c>
      <c r="V373" s="773" t="s">
        <v>1033</v>
      </c>
      <c r="W373" s="773" t="s">
        <v>3497</v>
      </c>
      <c r="X373" s="1310">
        <v>0</v>
      </c>
      <c r="Y373" s="821" t="s">
        <v>1020</v>
      </c>
      <c r="Z373" s="790" t="s">
        <v>2098</v>
      </c>
      <c r="AA373" s="785"/>
      <c r="AB373" s="785"/>
      <c r="AC373" s="785"/>
      <c r="AD373" s="785"/>
      <c r="AE373" s="785"/>
      <c r="AF373" s="799"/>
      <c r="AG373" s="800"/>
      <c r="AH373" s="800"/>
      <c r="AI373" s="800"/>
      <c r="AJ373" s="800"/>
      <c r="AK373" s="800"/>
      <c r="AL373" s="800"/>
      <c r="AM373" s="800"/>
      <c r="AN373" s="800"/>
      <c r="AO373" s="800"/>
      <c r="AP373" s="800"/>
      <c r="AQ373" s="808">
        <v>3633</v>
      </c>
      <c r="AR373" s="800">
        <v>3574</v>
      </c>
      <c r="AS373" s="800">
        <v>3515</v>
      </c>
      <c r="AT373" s="800">
        <v>3456</v>
      </c>
      <c r="AU373" s="805">
        <v>3397</v>
      </c>
      <c r="AV373" s="808"/>
      <c r="AW373" s="800"/>
      <c r="AX373" s="800"/>
      <c r="AY373" s="800"/>
      <c r="AZ373" s="797"/>
      <c r="BA373" s="800"/>
      <c r="BB373" s="800"/>
      <c r="BC373" s="800"/>
      <c r="BD373" s="800"/>
      <c r="BE373" s="797"/>
      <c r="BF373" s="800"/>
      <c r="BG373" s="800"/>
      <c r="BH373" s="800"/>
      <c r="BI373" s="800"/>
      <c r="BJ373" s="800"/>
      <c r="BK373" s="805"/>
      <c r="BL373" s="789" t="s">
        <v>168</v>
      </c>
      <c r="BM373" s="785" t="s">
        <v>168</v>
      </c>
      <c r="BN373" s="785" t="s">
        <v>168</v>
      </c>
      <c r="BO373" s="785" t="s">
        <v>168</v>
      </c>
      <c r="BP373" s="796" t="s">
        <v>168</v>
      </c>
      <c r="BQ373" s="808" t="s">
        <v>1942</v>
      </c>
      <c r="BR373" s="800" t="s">
        <v>1942</v>
      </c>
      <c r="BS373" s="800" t="s">
        <v>1942</v>
      </c>
      <c r="BT373" s="800" t="s">
        <v>1942</v>
      </c>
      <c r="BU373" s="805" t="s">
        <v>1942</v>
      </c>
      <c r="BV373" s="806">
        <v>7661</v>
      </c>
      <c r="BW373" s="807">
        <v>7661</v>
      </c>
      <c r="BX373" s="807">
        <v>7661</v>
      </c>
      <c r="BY373" s="807">
        <v>7661</v>
      </c>
      <c r="BZ373" s="807">
        <v>7661</v>
      </c>
      <c r="CA373" s="808" t="s">
        <v>1942</v>
      </c>
      <c r="CB373" s="800" t="s">
        <v>1942</v>
      </c>
      <c r="CC373" s="800" t="s">
        <v>1942</v>
      </c>
      <c r="CD373" s="800" t="s">
        <v>1942</v>
      </c>
      <c r="CE373" s="805" t="s">
        <v>1942</v>
      </c>
      <c r="CF373" s="800" t="s">
        <v>1942</v>
      </c>
      <c r="CG373" s="800" t="s">
        <v>1942</v>
      </c>
      <c r="CH373" s="800" t="s">
        <v>1942</v>
      </c>
      <c r="CI373" s="800" t="s">
        <v>1942</v>
      </c>
      <c r="CJ373" s="805" t="s">
        <v>1942</v>
      </c>
      <c r="CK373" s="808">
        <v>2139</v>
      </c>
      <c r="CL373" s="800">
        <v>2104</v>
      </c>
      <c r="CM373" s="800">
        <v>2069</v>
      </c>
      <c r="CN373" s="800">
        <v>2035</v>
      </c>
      <c r="CO373" s="805">
        <v>2000</v>
      </c>
      <c r="CP373" s="808" t="s">
        <v>1942</v>
      </c>
      <c r="CQ373" s="800" t="s">
        <v>1942</v>
      </c>
      <c r="CR373" s="800" t="s">
        <v>1942</v>
      </c>
      <c r="CS373" s="800" t="s">
        <v>1942</v>
      </c>
      <c r="CT373" s="805" t="s">
        <v>1942</v>
      </c>
      <c r="CU373" s="1284">
        <v>-2.4199999999999999E-2</v>
      </c>
      <c r="CV373" s="1283" t="s">
        <v>1942</v>
      </c>
      <c r="CW373" s="1283" t="s">
        <v>1942</v>
      </c>
      <c r="CX373" s="1285" t="s">
        <v>1942</v>
      </c>
      <c r="CY373" s="1283">
        <v>0.01</v>
      </c>
      <c r="CZ373" s="1283" t="s">
        <v>1942</v>
      </c>
      <c r="DA373" s="1283" t="s">
        <v>1942</v>
      </c>
      <c r="DB373" s="1285" t="s">
        <v>1942</v>
      </c>
      <c r="DC373" s="785"/>
      <c r="DD373" s="813">
        <v>1</v>
      </c>
      <c r="DE373" s="814"/>
    </row>
    <row r="374" spans="1:109" ht="26.25" hidden="1">
      <c r="A374" s="772" t="s">
        <v>1036</v>
      </c>
      <c r="B374" s="773">
        <v>368</v>
      </c>
      <c r="C374" s="789" t="s">
        <v>3498</v>
      </c>
      <c r="D374" s="773" t="s">
        <v>2403</v>
      </c>
      <c r="E374" s="773" t="s">
        <v>1896</v>
      </c>
      <c r="F374" s="785" t="s">
        <v>3499</v>
      </c>
      <c r="G374" s="790" t="s">
        <v>2416</v>
      </c>
      <c r="H374" s="773" t="s">
        <v>3500</v>
      </c>
      <c r="I374" s="792"/>
      <c r="J374" s="793"/>
      <c r="K374" s="793">
        <v>1</v>
      </c>
      <c r="L374" s="793"/>
      <c r="M374" s="793"/>
      <c r="N374" s="793"/>
      <c r="O374" s="793"/>
      <c r="P374" s="794"/>
      <c r="Q374" s="795">
        <f t="shared" si="5"/>
        <v>1</v>
      </c>
      <c r="R374" s="789" t="s">
        <v>1030</v>
      </c>
      <c r="S374" s="773" t="s">
        <v>1008</v>
      </c>
      <c r="T374" s="796" t="s">
        <v>1009</v>
      </c>
      <c r="U374" s="773" t="s">
        <v>2106</v>
      </c>
      <c r="V374" s="773" t="s">
        <v>1033</v>
      </c>
      <c r="W374" s="773" t="s">
        <v>3497</v>
      </c>
      <c r="X374" s="1310">
        <v>0</v>
      </c>
      <c r="Y374" s="844" t="s">
        <v>1020</v>
      </c>
      <c r="Z374" s="790" t="s">
        <v>2416</v>
      </c>
      <c r="AA374" s="785"/>
      <c r="AB374" s="785"/>
      <c r="AC374" s="785"/>
      <c r="AD374" s="785"/>
      <c r="AE374" s="785"/>
      <c r="AF374" s="799"/>
      <c r="AG374" s="797"/>
      <c r="AH374" s="882"/>
      <c r="AI374" s="882"/>
      <c r="AJ374" s="882"/>
      <c r="AK374" s="882"/>
      <c r="AL374" s="797"/>
      <c r="AM374" s="797"/>
      <c r="AN374" s="797"/>
      <c r="AO374" s="797"/>
      <c r="AP374" s="797"/>
      <c r="AQ374" s="827">
        <v>43000</v>
      </c>
      <c r="AR374" s="797">
        <v>42000</v>
      </c>
      <c r="AS374" s="797">
        <v>41500</v>
      </c>
      <c r="AT374" s="797">
        <v>41000</v>
      </c>
      <c r="AU374" s="841">
        <v>41000</v>
      </c>
      <c r="AV374" s="827"/>
      <c r="AW374" s="797"/>
      <c r="AX374" s="797"/>
      <c r="AY374" s="797"/>
      <c r="AZ374" s="797"/>
      <c r="BA374" s="797"/>
      <c r="BB374" s="797"/>
      <c r="BC374" s="797"/>
      <c r="BD374" s="797"/>
      <c r="BE374" s="797"/>
      <c r="BF374" s="797"/>
      <c r="BG374" s="797"/>
      <c r="BH374" s="797"/>
      <c r="BI374" s="797"/>
      <c r="BJ374" s="797"/>
      <c r="BK374" s="841"/>
      <c r="BL374" s="789" t="s">
        <v>168</v>
      </c>
      <c r="BM374" s="785" t="s">
        <v>168</v>
      </c>
      <c r="BN374" s="785" t="s">
        <v>168</v>
      </c>
      <c r="BO374" s="785" t="s">
        <v>168</v>
      </c>
      <c r="BP374" s="796" t="s">
        <v>168</v>
      </c>
      <c r="BQ374" s="894" t="s">
        <v>1942</v>
      </c>
      <c r="BR374" s="895" t="s">
        <v>1942</v>
      </c>
      <c r="BS374" s="895" t="s">
        <v>1942</v>
      </c>
      <c r="BT374" s="895" t="s">
        <v>1942</v>
      </c>
      <c r="BU374" s="896" t="s">
        <v>1942</v>
      </c>
      <c r="BV374" s="806" t="s">
        <v>1942</v>
      </c>
      <c r="BW374" s="807" t="s">
        <v>1942</v>
      </c>
      <c r="BX374" s="807" t="s">
        <v>1942</v>
      </c>
      <c r="BY374" s="807" t="s">
        <v>1942</v>
      </c>
      <c r="BZ374" s="807" t="s">
        <v>1942</v>
      </c>
      <c r="CA374" s="808" t="s">
        <v>1942</v>
      </c>
      <c r="CB374" s="800" t="s">
        <v>1942</v>
      </c>
      <c r="CC374" s="807" t="s">
        <v>1942</v>
      </c>
      <c r="CD374" s="800" t="s">
        <v>1942</v>
      </c>
      <c r="CE374" s="805" t="s">
        <v>1942</v>
      </c>
      <c r="CF374" s="842" t="s">
        <v>1942</v>
      </c>
      <c r="CG374" s="842" t="s">
        <v>1942</v>
      </c>
      <c r="CH374" s="842" t="s">
        <v>1942</v>
      </c>
      <c r="CI374" s="842" t="s">
        <v>1942</v>
      </c>
      <c r="CJ374" s="844" t="s">
        <v>1942</v>
      </c>
      <c r="CK374" s="808" t="s">
        <v>1942</v>
      </c>
      <c r="CL374" s="800" t="s">
        <v>1942</v>
      </c>
      <c r="CM374" s="800" t="s">
        <v>1942</v>
      </c>
      <c r="CN374" s="800" t="s">
        <v>1942</v>
      </c>
      <c r="CO374" s="805" t="s">
        <v>1942</v>
      </c>
      <c r="CP374" s="843" t="s">
        <v>1942</v>
      </c>
      <c r="CQ374" s="842" t="s">
        <v>1942</v>
      </c>
      <c r="CR374" s="842" t="s">
        <v>1942</v>
      </c>
      <c r="CS374" s="842" t="s">
        <v>1942</v>
      </c>
      <c r="CT374" s="844" t="s">
        <v>1942</v>
      </c>
      <c r="CU374" s="1284">
        <v>-1.12E-2</v>
      </c>
      <c r="CV374" s="1283" t="s">
        <v>1942</v>
      </c>
      <c r="CW374" s="1283" t="s">
        <v>1942</v>
      </c>
      <c r="CX374" s="1285" t="s">
        <v>1942</v>
      </c>
      <c r="CY374" s="1283">
        <v>3.7000000000000002E-3</v>
      </c>
      <c r="CZ374" s="1283" t="s">
        <v>1942</v>
      </c>
      <c r="DA374" s="1283" t="s">
        <v>1942</v>
      </c>
      <c r="DB374" s="1285" t="s">
        <v>1942</v>
      </c>
      <c r="DC374" s="785"/>
      <c r="DD374" s="813">
        <v>1</v>
      </c>
      <c r="DE374" s="814"/>
    </row>
    <row r="375" spans="1:109" ht="26.25" hidden="1">
      <c r="A375" s="772" t="s">
        <v>1036</v>
      </c>
      <c r="B375" s="773">
        <v>369</v>
      </c>
      <c r="C375" s="789" t="s">
        <v>3501</v>
      </c>
      <c r="D375" s="773" t="s">
        <v>2403</v>
      </c>
      <c r="E375" s="773" t="s">
        <v>1907</v>
      </c>
      <c r="F375" s="785" t="s">
        <v>3502</v>
      </c>
      <c r="G375" s="790" t="s">
        <v>3503</v>
      </c>
      <c r="H375" s="773" t="s">
        <v>3504</v>
      </c>
      <c r="I375" s="792"/>
      <c r="J375" s="793"/>
      <c r="K375" s="793">
        <v>1</v>
      </c>
      <c r="L375" s="793"/>
      <c r="M375" s="793"/>
      <c r="N375" s="793"/>
      <c r="O375" s="793"/>
      <c r="P375" s="794"/>
      <c r="Q375" s="795">
        <f t="shared" si="5"/>
        <v>1</v>
      </c>
      <c r="R375" s="789" t="s">
        <v>1030</v>
      </c>
      <c r="S375" s="773" t="s">
        <v>1008</v>
      </c>
      <c r="T375" s="796" t="s">
        <v>1009</v>
      </c>
      <c r="U375" s="773" t="s">
        <v>2058</v>
      </c>
      <c r="V375" s="773" t="s">
        <v>1033</v>
      </c>
      <c r="W375" s="773" t="s">
        <v>3497</v>
      </c>
      <c r="X375" s="1310">
        <v>0</v>
      </c>
      <c r="Y375" s="844" t="s">
        <v>1020</v>
      </c>
      <c r="Z375" s="790"/>
      <c r="AA375" s="785"/>
      <c r="AB375" s="785"/>
      <c r="AC375" s="785"/>
      <c r="AD375" s="785"/>
      <c r="AE375" s="785"/>
      <c r="AF375" s="799"/>
      <c r="AG375" s="797"/>
      <c r="AH375" s="886"/>
      <c r="AI375" s="886"/>
      <c r="AJ375" s="886"/>
      <c r="AK375" s="886"/>
      <c r="AL375" s="886"/>
      <c r="AM375" s="824"/>
      <c r="AN375" s="824"/>
      <c r="AO375" s="824"/>
      <c r="AP375" s="824"/>
      <c r="AQ375" s="823">
        <v>2005</v>
      </c>
      <c r="AR375" s="824">
        <v>1975</v>
      </c>
      <c r="AS375" s="824">
        <v>1945</v>
      </c>
      <c r="AT375" s="824">
        <v>1915</v>
      </c>
      <c r="AU375" s="825">
        <v>1884</v>
      </c>
      <c r="AV375" s="823"/>
      <c r="AW375" s="824"/>
      <c r="AX375" s="824"/>
      <c r="AY375" s="824"/>
      <c r="AZ375" s="824"/>
      <c r="BA375" s="824"/>
      <c r="BB375" s="824"/>
      <c r="BC375" s="824"/>
      <c r="BD375" s="824"/>
      <c r="BE375" s="824"/>
      <c r="BF375" s="824"/>
      <c r="BG375" s="824"/>
      <c r="BH375" s="824"/>
      <c r="BI375" s="824"/>
      <c r="BJ375" s="824"/>
      <c r="BK375" s="825"/>
      <c r="BL375" s="789" t="s">
        <v>168</v>
      </c>
      <c r="BM375" s="785" t="s">
        <v>168</v>
      </c>
      <c r="BN375" s="785" t="s">
        <v>168</v>
      </c>
      <c r="BO375" s="785" t="s">
        <v>168</v>
      </c>
      <c r="BP375" s="796" t="s">
        <v>168</v>
      </c>
      <c r="BQ375" s="808" t="s">
        <v>1942</v>
      </c>
      <c r="BR375" s="800" t="s">
        <v>1942</v>
      </c>
      <c r="BS375" s="800" t="s">
        <v>1942</v>
      </c>
      <c r="BT375" s="800" t="s">
        <v>1942</v>
      </c>
      <c r="BU375" s="805" t="s">
        <v>1942</v>
      </c>
      <c r="BV375" s="806">
        <v>2554</v>
      </c>
      <c r="BW375" s="807">
        <v>2515</v>
      </c>
      <c r="BX375" s="807">
        <v>2477</v>
      </c>
      <c r="BY375" s="807">
        <v>2438</v>
      </c>
      <c r="BZ375" s="807">
        <v>2400</v>
      </c>
      <c r="CA375" s="823" t="s">
        <v>1942</v>
      </c>
      <c r="CB375" s="824" t="s">
        <v>1942</v>
      </c>
      <c r="CC375" s="824" t="s">
        <v>1942</v>
      </c>
      <c r="CD375" s="824" t="s">
        <v>1942</v>
      </c>
      <c r="CE375" s="825" t="s">
        <v>1942</v>
      </c>
      <c r="CF375" s="824" t="s">
        <v>1942</v>
      </c>
      <c r="CG375" s="824" t="s">
        <v>1942</v>
      </c>
      <c r="CH375" s="824" t="s">
        <v>1942</v>
      </c>
      <c r="CI375" s="824" t="s">
        <v>1942</v>
      </c>
      <c r="CJ375" s="824" t="s">
        <v>1942</v>
      </c>
      <c r="CK375" s="808">
        <v>1456</v>
      </c>
      <c r="CL375" s="800">
        <v>1434</v>
      </c>
      <c r="CM375" s="800">
        <v>1412</v>
      </c>
      <c r="CN375" s="800">
        <v>1391</v>
      </c>
      <c r="CO375" s="805">
        <v>1369</v>
      </c>
      <c r="CP375" s="808" t="s">
        <v>1942</v>
      </c>
      <c r="CQ375" s="800" t="s">
        <v>1942</v>
      </c>
      <c r="CR375" s="800" t="s">
        <v>1942</v>
      </c>
      <c r="CS375" s="800" t="s">
        <v>1942</v>
      </c>
      <c r="CT375" s="805" t="s">
        <v>1942</v>
      </c>
      <c r="CU375" s="1284">
        <v>-2.4500000000000001E-2</v>
      </c>
      <c r="CV375" s="1283" t="s">
        <v>1942</v>
      </c>
      <c r="CW375" s="1283" t="s">
        <v>1942</v>
      </c>
      <c r="CX375" s="1285" t="s">
        <v>1942</v>
      </c>
      <c r="CY375" s="1283">
        <v>1.23E-2</v>
      </c>
      <c r="CZ375" s="1283" t="s">
        <v>1942</v>
      </c>
      <c r="DA375" s="1283" t="s">
        <v>1942</v>
      </c>
      <c r="DB375" s="1285" t="s">
        <v>1942</v>
      </c>
      <c r="DC375" s="785"/>
      <c r="DD375" s="813">
        <v>1</v>
      </c>
      <c r="DE375" s="814"/>
    </row>
    <row r="376" spans="1:109" ht="26.25" hidden="1">
      <c r="A376" s="772" t="s">
        <v>1036</v>
      </c>
      <c r="B376" s="773">
        <v>370</v>
      </c>
      <c r="C376" s="789" t="s">
        <v>3505</v>
      </c>
      <c r="D376" s="773" t="s">
        <v>2403</v>
      </c>
      <c r="E376" s="773" t="s">
        <v>1907</v>
      </c>
      <c r="F376" s="785" t="s">
        <v>3506</v>
      </c>
      <c r="G376" s="790" t="s">
        <v>3507</v>
      </c>
      <c r="H376" s="773" t="s">
        <v>3508</v>
      </c>
      <c r="I376" s="792"/>
      <c r="J376" s="793"/>
      <c r="K376" s="793">
        <v>1</v>
      </c>
      <c r="L376" s="793"/>
      <c r="M376" s="793"/>
      <c r="N376" s="793"/>
      <c r="O376" s="793"/>
      <c r="P376" s="794"/>
      <c r="Q376" s="795">
        <f t="shared" si="5"/>
        <v>1</v>
      </c>
      <c r="R376" s="789" t="s">
        <v>1030</v>
      </c>
      <c r="S376" s="773" t="s">
        <v>1008</v>
      </c>
      <c r="T376" s="796" t="s">
        <v>1009</v>
      </c>
      <c r="U376" s="773" t="s">
        <v>2058</v>
      </c>
      <c r="V376" s="773" t="s">
        <v>123</v>
      </c>
      <c r="W376" s="773" t="s">
        <v>3509</v>
      </c>
      <c r="X376" s="1310">
        <v>3</v>
      </c>
      <c r="Y376" s="844" t="s">
        <v>1010</v>
      </c>
      <c r="Z376" s="790"/>
      <c r="AA376" s="785"/>
      <c r="AB376" s="785"/>
      <c r="AC376" s="785"/>
      <c r="AD376" s="785"/>
      <c r="AE376" s="785"/>
      <c r="AF376" s="799"/>
      <c r="AG376" s="797"/>
      <c r="AH376" s="797"/>
      <c r="AI376" s="797"/>
      <c r="AJ376" s="797"/>
      <c r="AK376" s="797"/>
      <c r="AL376" s="797"/>
      <c r="AM376" s="797"/>
      <c r="AN376" s="797"/>
      <c r="AO376" s="797"/>
      <c r="AP376" s="797"/>
      <c r="AQ376" s="897">
        <v>0.12</v>
      </c>
      <c r="AR376" s="898">
        <v>0.12</v>
      </c>
      <c r="AS376" s="898">
        <v>0.12</v>
      </c>
      <c r="AT376" s="898">
        <v>0.12</v>
      </c>
      <c r="AU376" s="899">
        <v>0.12</v>
      </c>
      <c r="AV376" s="897"/>
      <c r="AW376" s="898"/>
      <c r="AX376" s="898"/>
      <c r="AY376" s="898"/>
      <c r="AZ376" s="898"/>
      <c r="BA376" s="898"/>
      <c r="BB376" s="898"/>
      <c r="BC376" s="898"/>
      <c r="BD376" s="898"/>
      <c r="BE376" s="898"/>
      <c r="BF376" s="898"/>
      <c r="BG376" s="898"/>
      <c r="BH376" s="898"/>
      <c r="BI376" s="898"/>
      <c r="BJ376" s="898"/>
      <c r="BK376" s="899"/>
      <c r="BL376" s="789" t="s">
        <v>168</v>
      </c>
      <c r="BM376" s="785" t="s">
        <v>168</v>
      </c>
      <c r="BN376" s="785" t="s">
        <v>168</v>
      </c>
      <c r="BO376" s="785" t="s">
        <v>168</v>
      </c>
      <c r="BP376" s="796" t="s">
        <v>168</v>
      </c>
      <c r="BQ376" s="808" t="s">
        <v>1942</v>
      </c>
      <c r="BR376" s="800" t="s">
        <v>1942</v>
      </c>
      <c r="BS376" s="800" t="s">
        <v>1942</v>
      </c>
      <c r="BT376" s="800" t="s">
        <v>1942</v>
      </c>
      <c r="BU376" s="805" t="s">
        <v>1942</v>
      </c>
      <c r="BV376" s="806" t="s">
        <v>1942</v>
      </c>
      <c r="BW376" s="807" t="s">
        <v>1942</v>
      </c>
      <c r="BX376" s="807" t="s">
        <v>1942</v>
      </c>
      <c r="BY376" s="807" t="s">
        <v>1942</v>
      </c>
      <c r="BZ376" s="807" t="s">
        <v>1942</v>
      </c>
      <c r="CA376" s="897" t="s">
        <v>1942</v>
      </c>
      <c r="CB376" s="898" t="s">
        <v>1942</v>
      </c>
      <c r="CC376" s="898" t="s">
        <v>1942</v>
      </c>
      <c r="CD376" s="898" t="s">
        <v>1942</v>
      </c>
      <c r="CE376" s="899" t="s">
        <v>1942</v>
      </c>
      <c r="CF376" s="898" t="s">
        <v>1942</v>
      </c>
      <c r="CG376" s="898" t="s">
        <v>1942</v>
      </c>
      <c r="CH376" s="898" t="s">
        <v>1942</v>
      </c>
      <c r="CI376" s="898" t="s">
        <v>1942</v>
      </c>
      <c r="CJ376" s="898" t="s">
        <v>1942</v>
      </c>
      <c r="CK376" s="808" t="s">
        <v>1942</v>
      </c>
      <c r="CL376" s="800" t="s">
        <v>1942</v>
      </c>
      <c r="CM376" s="800" t="s">
        <v>1942</v>
      </c>
      <c r="CN376" s="800" t="s">
        <v>1942</v>
      </c>
      <c r="CO376" s="805" t="s">
        <v>1942</v>
      </c>
      <c r="CP376" s="808" t="s">
        <v>1942</v>
      </c>
      <c r="CQ376" s="800" t="s">
        <v>1942</v>
      </c>
      <c r="CR376" s="800" t="s">
        <v>1942</v>
      </c>
      <c r="CS376" s="800" t="s">
        <v>1942</v>
      </c>
      <c r="CT376" s="805" t="s">
        <v>1942</v>
      </c>
      <c r="CU376" s="1284">
        <v>-0.5</v>
      </c>
      <c r="CV376" s="1283" t="s">
        <v>1942</v>
      </c>
      <c r="CW376" s="1283" t="s">
        <v>1942</v>
      </c>
      <c r="CX376" s="1285" t="s">
        <v>1942</v>
      </c>
      <c r="CY376" s="1283">
        <v>0.5</v>
      </c>
      <c r="CZ376" s="1283" t="s">
        <v>1942</v>
      </c>
      <c r="DA376" s="1283" t="s">
        <v>1942</v>
      </c>
      <c r="DB376" s="1285" t="s">
        <v>1942</v>
      </c>
      <c r="DC376" s="785"/>
      <c r="DD376" s="813">
        <v>1</v>
      </c>
      <c r="DE376" s="814"/>
    </row>
    <row r="377" spans="1:109" ht="39.4" hidden="1">
      <c r="A377" s="772" t="s">
        <v>1036</v>
      </c>
      <c r="B377" s="773">
        <v>371</v>
      </c>
      <c r="C377" s="789" t="s">
        <v>3510</v>
      </c>
      <c r="D377" s="773" t="s">
        <v>2403</v>
      </c>
      <c r="E377" s="773" t="s">
        <v>1889</v>
      </c>
      <c r="F377" s="785" t="s">
        <v>3511</v>
      </c>
      <c r="G377" s="790" t="s">
        <v>3512</v>
      </c>
      <c r="H377" s="773" t="s">
        <v>3513</v>
      </c>
      <c r="I377" s="792"/>
      <c r="J377" s="793"/>
      <c r="K377" s="793">
        <v>1</v>
      </c>
      <c r="L377" s="793"/>
      <c r="M377" s="793"/>
      <c r="N377" s="793"/>
      <c r="O377" s="793"/>
      <c r="P377" s="794"/>
      <c r="Q377" s="795">
        <f t="shared" si="5"/>
        <v>1</v>
      </c>
      <c r="R377" s="789" t="s">
        <v>1030</v>
      </c>
      <c r="S377" s="773" t="s">
        <v>1008</v>
      </c>
      <c r="T377" s="796" t="s">
        <v>1019</v>
      </c>
      <c r="U377" s="773" t="s">
        <v>2058</v>
      </c>
      <c r="V377" s="773" t="s">
        <v>1033</v>
      </c>
      <c r="W377" s="773" t="s">
        <v>3514</v>
      </c>
      <c r="X377" s="1310">
        <v>0</v>
      </c>
      <c r="Y377" s="844" t="s">
        <v>1010</v>
      </c>
      <c r="Z377" s="790"/>
      <c r="AA377" s="785"/>
      <c r="AB377" s="785"/>
      <c r="AC377" s="785"/>
      <c r="AD377" s="785"/>
      <c r="AE377" s="785"/>
      <c r="AF377" s="799"/>
      <c r="AG377" s="886"/>
      <c r="AH377" s="886"/>
      <c r="AI377" s="886"/>
      <c r="AJ377" s="886"/>
      <c r="AK377" s="886"/>
      <c r="AL377" s="886"/>
      <c r="AM377" s="886"/>
      <c r="AN377" s="807"/>
      <c r="AO377" s="807"/>
      <c r="AP377" s="807"/>
      <c r="AQ377" s="806" t="s">
        <v>1942</v>
      </c>
      <c r="AR377" s="807" t="s">
        <v>1942</v>
      </c>
      <c r="AS377" s="807" t="s">
        <v>1942</v>
      </c>
      <c r="AT377" s="807" t="s">
        <v>1942</v>
      </c>
      <c r="AU377" s="820">
        <v>360</v>
      </c>
      <c r="AV377" s="806"/>
      <c r="AW377" s="807"/>
      <c r="AX377" s="807"/>
      <c r="AY377" s="807"/>
      <c r="AZ377" s="807"/>
      <c r="BA377" s="807"/>
      <c r="BB377" s="807"/>
      <c r="BC377" s="807"/>
      <c r="BD377" s="807"/>
      <c r="BE377" s="807"/>
      <c r="BF377" s="807"/>
      <c r="BG377" s="807"/>
      <c r="BH377" s="807"/>
      <c r="BI377" s="807"/>
      <c r="BJ377" s="807"/>
      <c r="BK377" s="820"/>
      <c r="BL377" s="789"/>
      <c r="BM377" s="785"/>
      <c r="BN377" s="785"/>
      <c r="BO377" s="785"/>
      <c r="BP377" s="796" t="s">
        <v>168</v>
      </c>
      <c r="BQ377" s="808" t="s">
        <v>1942</v>
      </c>
      <c r="BR377" s="800" t="s">
        <v>1942</v>
      </c>
      <c r="BS377" s="800" t="s">
        <v>1942</v>
      </c>
      <c r="BT377" s="800" t="s">
        <v>1942</v>
      </c>
      <c r="BU377" s="805" t="s">
        <v>1942</v>
      </c>
      <c r="BV377" s="806" t="s">
        <v>1942</v>
      </c>
      <c r="BW377" s="807" t="s">
        <v>1942</v>
      </c>
      <c r="BX377" s="807" t="s">
        <v>1942</v>
      </c>
      <c r="BY377" s="807" t="s">
        <v>1942</v>
      </c>
      <c r="BZ377" s="807" t="s">
        <v>1942</v>
      </c>
      <c r="CA377" s="808" t="s">
        <v>1942</v>
      </c>
      <c r="CB377" s="800" t="s">
        <v>1942</v>
      </c>
      <c r="CC377" s="800" t="s">
        <v>1942</v>
      </c>
      <c r="CD377" s="800" t="s">
        <v>1942</v>
      </c>
      <c r="CE377" s="805" t="s">
        <v>1942</v>
      </c>
      <c r="CF377" s="800" t="s">
        <v>1942</v>
      </c>
      <c r="CG377" s="800" t="s">
        <v>1942</v>
      </c>
      <c r="CH377" s="800" t="s">
        <v>1942</v>
      </c>
      <c r="CI377" s="800" t="s">
        <v>1942</v>
      </c>
      <c r="CJ377" s="800" t="s">
        <v>1942</v>
      </c>
      <c r="CK377" s="808" t="s">
        <v>1942</v>
      </c>
      <c r="CL377" s="800" t="s">
        <v>1942</v>
      </c>
      <c r="CM377" s="800" t="s">
        <v>1942</v>
      </c>
      <c r="CN377" s="800" t="s">
        <v>1942</v>
      </c>
      <c r="CO377" s="805" t="s">
        <v>1942</v>
      </c>
      <c r="CP377" s="808" t="s">
        <v>1942</v>
      </c>
      <c r="CQ377" s="800" t="s">
        <v>1942</v>
      </c>
      <c r="CR377" s="800" t="s">
        <v>1942</v>
      </c>
      <c r="CS377" s="800" t="s">
        <v>1942</v>
      </c>
      <c r="CT377" s="805" t="s">
        <v>1942</v>
      </c>
      <c r="CU377" s="1284">
        <v>-3.44E-2</v>
      </c>
      <c r="CV377" s="1283" t="s">
        <v>1942</v>
      </c>
      <c r="CW377" s="1283" t="s">
        <v>1942</v>
      </c>
      <c r="CX377" s="1285" t="s">
        <v>1942</v>
      </c>
      <c r="CY377" s="1283">
        <v>3.44E-2</v>
      </c>
      <c r="CZ377" s="1283" t="s">
        <v>1942</v>
      </c>
      <c r="DA377" s="1283" t="s">
        <v>1942</v>
      </c>
      <c r="DB377" s="1285" t="s">
        <v>1942</v>
      </c>
      <c r="DC377" s="785"/>
      <c r="DD377" s="813">
        <v>1</v>
      </c>
      <c r="DE377" s="814"/>
    </row>
    <row r="378" spans="1:109" ht="13.15" hidden="1">
      <c r="A378" s="772" t="s">
        <v>1036</v>
      </c>
      <c r="B378" s="773">
        <v>372</v>
      </c>
      <c r="C378" s="789" t="s">
        <v>3515</v>
      </c>
      <c r="D378" s="773" t="s">
        <v>2348</v>
      </c>
      <c r="E378" s="773" t="s">
        <v>1889</v>
      </c>
      <c r="F378" s="785" t="s">
        <v>3516</v>
      </c>
      <c r="G378" s="790" t="s">
        <v>137</v>
      </c>
      <c r="H378" s="773" t="s">
        <v>2350</v>
      </c>
      <c r="I378" s="792"/>
      <c r="J378" s="793">
        <v>1</v>
      </c>
      <c r="K378" s="793"/>
      <c r="L378" s="793"/>
      <c r="M378" s="793"/>
      <c r="N378" s="793"/>
      <c r="O378" s="793"/>
      <c r="P378" s="794"/>
      <c r="Q378" s="795">
        <f t="shared" si="5"/>
        <v>1</v>
      </c>
      <c r="R378" s="789" t="s">
        <v>1030</v>
      </c>
      <c r="S378" s="773" t="s">
        <v>1008</v>
      </c>
      <c r="T378" s="796" t="s">
        <v>1009</v>
      </c>
      <c r="U378" s="773" t="s">
        <v>1892</v>
      </c>
      <c r="V378" s="773" t="s">
        <v>1029</v>
      </c>
      <c r="W378" s="773" t="s">
        <v>2351</v>
      </c>
      <c r="X378" s="1310">
        <v>0</v>
      </c>
      <c r="Y378" s="805" t="s">
        <v>1020</v>
      </c>
      <c r="Z378" s="790" t="s">
        <v>137</v>
      </c>
      <c r="AA378" s="785"/>
      <c r="AB378" s="785"/>
      <c r="AC378" s="785"/>
      <c r="AD378" s="785"/>
      <c r="AE378" s="785"/>
      <c r="AF378" s="799"/>
      <c r="AG378" s="807"/>
      <c r="AH378" s="807"/>
      <c r="AI378" s="807"/>
      <c r="AJ378" s="845"/>
      <c r="AK378" s="845"/>
      <c r="AL378" s="845"/>
      <c r="AM378" s="845"/>
      <c r="AN378" s="845"/>
      <c r="AO378" s="845"/>
      <c r="AP378" s="845"/>
      <c r="AQ378" s="1370"/>
      <c r="AR378" s="1371"/>
      <c r="AS378" s="1371"/>
      <c r="AT378" s="1371"/>
      <c r="AU378" s="1372"/>
      <c r="AV378" s="806"/>
      <c r="AW378" s="800"/>
      <c r="AX378" s="800"/>
      <c r="AY378" s="800"/>
      <c r="AZ378" s="807"/>
      <c r="BA378" s="800"/>
      <c r="BB378" s="800"/>
      <c r="BC378" s="800"/>
      <c r="BD378" s="800"/>
      <c r="BE378" s="800"/>
      <c r="BF378" s="800"/>
      <c r="BG378" s="800"/>
      <c r="BH378" s="800"/>
      <c r="BI378" s="807"/>
      <c r="BJ378" s="800"/>
      <c r="BK378" s="805"/>
      <c r="BL378" s="1376"/>
      <c r="BM378" s="1377"/>
      <c r="BN378" s="1377"/>
      <c r="BO378" s="1377"/>
      <c r="BP378" s="1440"/>
      <c r="BQ378" s="1420"/>
      <c r="BR378" s="1368"/>
      <c r="BS378" s="1368"/>
      <c r="BT378" s="1368"/>
      <c r="BU378" s="1369"/>
      <c r="BV378" s="1370"/>
      <c r="BW378" s="1371"/>
      <c r="BX378" s="1371"/>
      <c r="BY378" s="1371"/>
      <c r="BZ378" s="1371"/>
      <c r="CA378" s="1370"/>
      <c r="CB378" s="1371"/>
      <c r="CC378" s="1371"/>
      <c r="CD378" s="1371"/>
      <c r="CE378" s="1372"/>
      <c r="CF378" s="1371"/>
      <c r="CG378" s="1371"/>
      <c r="CH378" s="1371"/>
      <c r="CI378" s="1371"/>
      <c r="CJ378" s="1372"/>
      <c r="CK378" s="1370"/>
      <c r="CL378" s="1371"/>
      <c r="CM378" s="1371"/>
      <c r="CN378" s="1371"/>
      <c r="CO378" s="1372"/>
      <c r="CP378" s="1420"/>
      <c r="CQ378" s="1368"/>
      <c r="CR378" s="1368"/>
      <c r="CS378" s="1368"/>
      <c r="CT378" s="1369"/>
      <c r="CU378" s="1528"/>
      <c r="CV378" s="1519"/>
      <c r="CW378" s="1519"/>
      <c r="CX378" s="1728"/>
      <c r="CY378" s="1519"/>
      <c r="CZ378" s="1519"/>
      <c r="DA378" s="1519"/>
      <c r="DB378" s="1728"/>
      <c r="DC378" s="1377"/>
      <c r="DD378" s="1729"/>
      <c r="DE378" s="1734"/>
    </row>
    <row r="379" spans="1:109" ht="39.4" hidden="1">
      <c r="A379" s="772" t="s">
        <v>1036</v>
      </c>
      <c r="B379" s="773">
        <v>373</v>
      </c>
      <c r="C379" s="789" t="s">
        <v>3517</v>
      </c>
      <c r="D379" s="773" t="s">
        <v>2348</v>
      </c>
      <c r="E379" s="773" t="s">
        <v>1889</v>
      </c>
      <c r="F379" s="785" t="s">
        <v>3518</v>
      </c>
      <c r="G379" s="790" t="s">
        <v>669</v>
      </c>
      <c r="H379" s="773" t="s">
        <v>2354</v>
      </c>
      <c r="I379" s="792"/>
      <c r="J379" s="793">
        <v>1</v>
      </c>
      <c r="K379" s="793"/>
      <c r="L379" s="793"/>
      <c r="M379" s="793"/>
      <c r="N379" s="793"/>
      <c r="O379" s="793"/>
      <c r="P379" s="794"/>
      <c r="Q379" s="795">
        <f t="shared" si="5"/>
        <v>1</v>
      </c>
      <c r="R379" s="789" t="s">
        <v>1030</v>
      </c>
      <c r="S379" s="773" t="s">
        <v>1008</v>
      </c>
      <c r="T379" s="796" t="s">
        <v>1009</v>
      </c>
      <c r="U379" s="773" t="s">
        <v>669</v>
      </c>
      <c r="V379" s="773" t="s">
        <v>1033</v>
      </c>
      <c r="W379" s="773" t="s">
        <v>2270</v>
      </c>
      <c r="X379" s="1311">
        <v>1</v>
      </c>
      <c r="Y379" s="805" t="s">
        <v>1020</v>
      </c>
      <c r="Z379" s="790" t="s">
        <v>669</v>
      </c>
      <c r="AA379" s="785"/>
      <c r="AB379" s="785"/>
      <c r="AC379" s="785"/>
      <c r="AD379" s="785"/>
      <c r="AE379" s="785"/>
      <c r="AF379" s="799"/>
      <c r="AG379" s="797"/>
      <c r="AH379" s="797"/>
      <c r="AI379" s="797"/>
      <c r="AJ379" s="797"/>
      <c r="AK379" s="797"/>
      <c r="AL379" s="797"/>
      <c r="AM379" s="797"/>
      <c r="AN379" s="797"/>
      <c r="AO379" s="797"/>
      <c r="AP379" s="797"/>
      <c r="AQ379" s="1421"/>
      <c r="AR379" s="1373"/>
      <c r="AS379" s="1373"/>
      <c r="AT379" s="1373"/>
      <c r="AU379" s="1374"/>
      <c r="AV379" s="827"/>
      <c r="AW379" s="797"/>
      <c r="AX379" s="797"/>
      <c r="AY379" s="797"/>
      <c r="AZ379" s="797"/>
      <c r="BA379" s="797"/>
      <c r="BB379" s="797"/>
      <c r="BC379" s="797"/>
      <c r="BD379" s="797"/>
      <c r="BE379" s="797"/>
      <c r="BF379" s="797"/>
      <c r="BG379" s="797"/>
      <c r="BH379" s="797"/>
      <c r="BI379" s="797"/>
      <c r="BJ379" s="797"/>
      <c r="BK379" s="841"/>
      <c r="BL379" s="1376"/>
      <c r="BM379" s="1377"/>
      <c r="BN379" s="1377"/>
      <c r="BO379" s="1377"/>
      <c r="BP379" s="1440"/>
      <c r="BQ379" s="1420"/>
      <c r="BR379" s="1368"/>
      <c r="BS379" s="1368"/>
      <c r="BT379" s="1368"/>
      <c r="BU379" s="1369"/>
      <c r="BV379" s="1421"/>
      <c r="BW379" s="1373"/>
      <c r="BX379" s="1373"/>
      <c r="BY379" s="1373"/>
      <c r="BZ379" s="1373"/>
      <c r="CA379" s="1420"/>
      <c r="CB379" s="1368"/>
      <c r="CC379" s="1368"/>
      <c r="CD379" s="1368"/>
      <c r="CE379" s="1369"/>
      <c r="CF379" s="1368"/>
      <c r="CG379" s="1368"/>
      <c r="CH379" s="1368"/>
      <c r="CI379" s="1368"/>
      <c r="CJ379" s="1369"/>
      <c r="CK379" s="1420"/>
      <c r="CL379" s="1368"/>
      <c r="CM379" s="1368"/>
      <c r="CN379" s="1368"/>
      <c r="CO379" s="1369"/>
      <c r="CP379" s="1420"/>
      <c r="CQ379" s="1368"/>
      <c r="CR379" s="1368"/>
      <c r="CS379" s="1368"/>
      <c r="CT379" s="1369"/>
      <c r="CU379" s="1528"/>
      <c r="CV379" s="1519"/>
      <c r="CW379" s="1519"/>
      <c r="CX379" s="1728"/>
      <c r="CY379" s="1519"/>
      <c r="CZ379" s="1519"/>
      <c r="DA379" s="1519"/>
      <c r="DB379" s="1728"/>
      <c r="DC379" s="1377"/>
      <c r="DD379" s="1729"/>
      <c r="DE379" s="1734"/>
    </row>
    <row r="380" spans="1:109" ht="26.25" hidden="1">
      <c r="A380" s="772" t="s">
        <v>1036</v>
      </c>
      <c r="B380" s="773">
        <v>374</v>
      </c>
      <c r="C380" s="789" t="s">
        <v>3519</v>
      </c>
      <c r="D380" s="773" t="s">
        <v>2348</v>
      </c>
      <c r="E380" s="773" t="s">
        <v>1907</v>
      </c>
      <c r="F380" s="785" t="s">
        <v>3520</v>
      </c>
      <c r="G380" s="790" t="s">
        <v>1902</v>
      </c>
      <c r="H380" s="773" t="s">
        <v>2357</v>
      </c>
      <c r="I380" s="792">
        <v>1</v>
      </c>
      <c r="J380" s="793"/>
      <c r="K380" s="793"/>
      <c r="L380" s="793"/>
      <c r="M380" s="793"/>
      <c r="N380" s="793"/>
      <c r="O380" s="793"/>
      <c r="P380" s="794"/>
      <c r="Q380" s="795">
        <f t="shared" si="5"/>
        <v>1</v>
      </c>
      <c r="R380" s="789" t="s">
        <v>1026</v>
      </c>
      <c r="S380" s="773" t="s">
        <v>1008</v>
      </c>
      <c r="T380" s="1440" t="s">
        <v>1019</v>
      </c>
      <c r="U380" s="773" t="s">
        <v>2054</v>
      </c>
      <c r="V380" s="773" t="s">
        <v>1033</v>
      </c>
      <c r="W380" s="773" t="s">
        <v>2274</v>
      </c>
      <c r="X380" s="1310">
        <v>1</v>
      </c>
      <c r="Y380" s="805" t="s">
        <v>1020</v>
      </c>
      <c r="Z380" s="790" t="s">
        <v>1902</v>
      </c>
      <c r="AA380" s="785"/>
      <c r="AB380" s="785"/>
      <c r="AC380" s="785"/>
      <c r="AD380" s="785"/>
      <c r="AE380" s="785"/>
      <c r="AF380" s="799"/>
      <c r="AG380" s="886"/>
      <c r="AH380" s="886"/>
      <c r="AI380" s="886"/>
      <c r="AJ380" s="886"/>
      <c r="AK380" s="886"/>
      <c r="AL380" s="886"/>
      <c r="AM380" s="829"/>
      <c r="AN380" s="829"/>
      <c r="AO380" s="829"/>
      <c r="AP380" s="816"/>
      <c r="AQ380" s="1420"/>
      <c r="AR380" s="1368"/>
      <c r="AS380" s="1368"/>
      <c r="AT380" s="1368"/>
      <c r="AU380" s="1369"/>
      <c r="AV380" s="817"/>
      <c r="AW380" s="816"/>
      <c r="AX380" s="816"/>
      <c r="AY380" s="816"/>
      <c r="AZ380" s="816"/>
      <c r="BA380" s="816"/>
      <c r="BB380" s="816"/>
      <c r="BC380" s="816"/>
      <c r="BD380" s="816"/>
      <c r="BE380" s="816"/>
      <c r="BF380" s="816"/>
      <c r="BG380" s="816"/>
      <c r="BH380" s="816"/>
      <c r="BI380" s="816"/>
      <c r="BJ380" s="816"/>
      <c r="BK380" s="818"/>
      <c r="BL380" s="1376"/>
      <c r="BM380" s="1377"/>
      <c r="BN380" s="1377"/>
      <c r="BO380" s="1377"/>
      <c r="BP380" s="1440"/>
      <c r="BQ380" s="1420"/>
      <c r="BR380" s="1368"/>
      <c r="BS380" s="1368"/>
      <c r="BT380" s="1368"/>
      <c r="BU380" s="1369"/>
      <c r="BV380" s="1421"/>
      <c r="BW380" s="1373"/>
      <c r="BX380" s="1373"/>
      <c r="BY380" s="1373"/>
      <c r="BZ380" s="1373"/>
      <c r="CA380" s="1420"/>
      <c r="CB380" s="1368"/>
      <c r="CC380" s="1368"/>
      <c r="CD380" s="1368"/>
      <c r="CE380" s="1369"/>
      <c r="CF380" s="1368"/>
      <c r="CG380" s="1368"/>
      <c r="CH380" s="1368"/>
      <c r="CI380" s="1368"/>
      <c r="CJ380" s="1369"/>
      <c r="CK380" s="1420"/>
      <c r="CL380" s="1368"/>
      <c r="CM380" s="1368"/>
      <c r="CN380" s="1368"/>
      <c r="CO380" s="1369"/>
      <c r="CP380" s="1420"/>
      <c r="CQ380" s="1368"/>
      <c r="CR380" s="1368"/>
      <c r="CS380" s="1368"/>
      <c r="CT380" s="1369"/>
      <c r="CU380" s="1528"/>
      <c r="CV380" s="1519"/>
      <c r="CW380" s="1519"/>
      <c r="CX380" s="1728"/>
      <c r="CY380" s="1519"/>
      <c r="CZ380" s="1519"/>
      <c r="DA380" s="1519"/>
      <c r="DB380" s="1728"/>
      <c r="DC380" s="1377"/>
      <c r="DD380" s="1729"/>
      <c r="DE380" s="1734"/>
    </row>
    <row r="381" spans="1:109" ht="26.25" hidden="1">
      <c r="A381" s="772" t="s">
        <v>1036</v>
      </c>
      <c r="B381" s="773">
        <v>375</v>
      </c>
      <c r="C381" s="789" t="s">
        <v>3521</v>
      </c>
      <c r="D381" s="773" t="s">
        <v>2348</v>
      </c>
      <c r="E381" s="773" t="s">
        <v>3522</v>
      </c>
      <c r="F381" s="785" t="s">
        <v>3523</v>
      </c>
      <c r="G381" s="790" t="s">
        <v>161</v>
      </c>
      <c r="H381" s="773" t="s">
        <v>2365</v>
      </c>
      <c r="I381" s="792"/>
      <c r="J381" s="793">
        <v>1</v>
      </c>
      <c r="K381" s="793"/>
      <c r="L381" s="793"/>
      <c r="M381" s="793"/>
      <c r="N381" s="793"/>
      <c r="O381" s="793"/>
      <c r="P381" s="794"/>
      <c r="Q381" s="795">
        <f t="shared" si="5"/>
        <v>1</v>
      </c>
      <c r="R381" s="789" t="s">
        <v>1030</v>
      </c>
      <c r="S381" s="773" t="s">
        <v>1008</v>
      </c>
      <c r="T381" s="796" t="s">
        <v>1009</v>
      </c>
      <c r="U381" s="773" t="s">
        <v>2074</v>
      </c>
      <c r="V381" s="773" t="s">
        <v>1033</v>
      </c>
      <c r="W381" s="773" t="s">
        <v>3524</v>
      </c>
      <c r="X381" s="1311">
        <v>1</v>
      </c>
      <c r="Y381" s="841" t="s">
        <v>1020</v>
      </c>
      <c r="Z381" s="790" t="s">
        <v>161</v>
      </c>
      <c r="AA381" s="785"/>
      <c r="AB381" s="785"/>
      <c r="AC381" s="785"/>
      <c r="AD381" s="785"/>
      <c r="AE381" s="785"/>
      <c r="AF381" s="799"/>
      <c r="AG381" s="886"/>
      <c r="AH381" s="886"/>
      <c r="AI381" s="886"/>
      <c r="AJ381" s="886"/>
      <c r="AK381" s="886"/>
      <c r="AL381" s="886"/>
      <c r="AM381" s="886"/>
      <c r="AN381" s="816"/>
      <c r="AO381" s="816"/>
      <c r="AP381" s="816"/>
      <c r="AQ381" s="1421"/>
      <c r="AR381" s="1373"/>
      <c r="AS381" s="1373"/>
      <c r="AT381" s="1373"/>
      <c r="AU381" s="1374"/>
      <c r="AV381" s="817"/>
      <c r="AW381" s="816"/>
      <c r="AX381" s="816"/>
      <c r="AY381" s="816"/>
      <c r="AZ381" s="816"/>
      <c r="BA381" s="816"/>
      <c r="BB381" s="816"/>
      <c r="BC381" s="816"/>
      <c r="BD381" s="816"/>
      <c r="BE381" s="816"/>
      <c r="BF381" s="816"/>
      <c r="BG381" s="816"/>
      <c r="BH381" s="816"/>
      <c r="BI381" s="816"/>
      <c r="BJ381" s="816"/>
      <c r="BK381" s="818"/>
      <c r="BL381" s="1376"/>
      <c r="BM381" s="1377"/>
      <c r="BN381" s="1377"/>
      <c r="BO381" s="1377"/>
      <c r="BP381" s="1440"/>
      <c r="BQ381" s="1420"/>
      <c r="BR381" s="1368"/>
      <c r="BS381" s="1368"/>
      <c r="BT381" s="1368"/>
      <c r="BU381" s="1369"/>
      <c r="BV381" s="1421"/>
      <c r="BW381" s="1373"/>
      <c r="BX381" s="1373"/>
      <c r="BY381" s="1373"/>
      <c r="BZ381" s="1373"/>
      <c r="CA381" s="1420"/>
      <c r="CB381" s="1368"/>
      <c r="CC381" s="1368"/>
      <c r="CD381" s="1368"/>
      <c r="CE381" s="1369"/>
      <c r="CF381" s="1368"/>
      <c r="CG381" s="1368"/>
      <c r="CH381" s="1368"/>
      <c r="CI381" s="1368"/>
      <c r="CJ381" s="1369"/>
      <c r="CK381" s="1420"/>
      <c r="CL381" s="1368"/>
      <c r="CM381" s="1368"/>
      <c r="CN381" s="1368"/>
      <c r="CO381" s="1369"/>
      <c r="CP381" s="1420"/>
      <c r="CQ381" s="1368"/>
      <c r="CR381" s="1368"/>
      <c r="CS381" s="1368"/>
      <c r="CT381" s="1369"/>
      <c r="CU381" s="1528"/>
      <c r="CV381" s="1519"/>
      <c r="CW381" s="1519"/>
      <c r="CX381" s="1728"/>
      <c r="CY381" s="1519"/>
      <c r="CZ381" s="1519"/>
      <c r="DA381" s="1519"/>
      <c r="DB381" s="1728"/>
      <c r="DC381" s="1377"/>
      <c r="DD381" s="1729"/>
      <c r="DE381" s="1734"/>
    </row>
    <row r="382" spans="1:109" ht="26.25" hidden="1">
      <c r="A382" s="772" t="s">
        <v>1036</v>
      </c>
      <c r="B382" s="773">
        <v>376</v>
      </c>
      <c r="C382" s="789" t="s">
        <v>3525</v>
      </c>
      <c r="D382" s="773" t="s">
        <v>2348</v>
      </c>
      <c r="E382" s="773" t="s">
        <v>1907</v>
      </c>
      <c r="F382" s="785" t="s">
        <v>3526</v>
      </c>
      <c r="G382" s="790" t="s">
        <v>167</v>
      </c>
      <c r="H382" s="773" t="s">
        <v>2369</v>
      </c>
      <c r="I382" s="792">
        <v>0.1</v>
      </c>
      <c r="J382" s="793">
        <v>0.9</v>
      </c>
      <c r="K382" s="793"/>
      <c r="L382" s="793"/>
      <c r="M382" s="793"/>
      <c r="N382" s="793"/>
      <c r="O382" s="793"/>
      <c r="P382" s="794"/>
      <c r="Q382" s="795">
        <f t="shared" si="5"/>
        <v>1</v>
      </c>
      <c r="R382" s="789" t="s">
        <v>1026</v>
      </c>
      <c r="S382" s="773" t="s">
        <v>1008</v>
      </c>
      <c r="T382" s="796" t="s">
        <v>1009</v>
      </c>
      <c r="U382" s="773" t="s">
        <v>1915</v>
      </c>
      <c r="V382" s="773" t="s">
        <v>278</v>
      </c>
      <c r="W382" s="773" t="s">
        <v>2370</v>
      </c>
      <c r="X382" s="1310">
        <v>2</v>
      </c>
      <c r="Y382" s="805" t="s">
        <v>1020</v>
      </c>
      <c r="Z382" s="790" t="s">
        <v>167</v>
      </c>
      <c r="AA382" s="785"/>
      <c r="AB382" s="785"/>
      <c r="AC382" s="785"/>
      <c r="AD382" s="785"/>
      <c r="AE382" s="785"/>
      <c r="AF382" s="799"/>
      <c r="AG382" s="886"/>
      <c r="AH382" s="886"/>
      <c r="AI382" s="886"/>
      <c r="AJ382" s="886"/>
      <c r="AK382" s="886"/>
      <c r="AL382" s="886"/>
      <c r="AM382" s="807"/>
      <c r="AN382" s="800"/>
      <c r="AO382" s="800"/>
      <c r="AP382" s="807"/>
      <c r="AQ382" s="1421"/>
      <c r="AR382" s="1373"/>
      <c r="AS382" s="1373"/>
      <c r="AT382" s="1373"/>
      <c r="AU382" s="1374"/>
      <c r="AV382" s="808"/>
      <c r="AW382" s="800"/>
      <c r="AX382" s="800"/>
      <c r="AY382" s="800"/>
      <c r="AZ382" s="800"/>
      <c r="BA382" s="800"/>
      <c r="BB382" s="807"/>
      <c r="BC382" s="800"/>
      <c r="BD382" s="800"/>
      <c r="BE382" s="800"/>
      <c r="BF382" s="800"/>
      <c r="BG382" s="800"/>
      <c r="BH382" s="800"/>
      <c r="BI382" s="800"/>
      <c r="BJ382" s="800"/>
      <c r="BK382" s="805"/>
      <c r="BL382" s="1376"/>
      <c r="BM382" s="1377"/>
      <c r="BN382" s="1377"/>
      <c r="BO382" s="1377"/>
      <c r="BP382" s="1440"/>
      <c r="BQ382" s="1420"/>
      <c r="BR382" s="1368"/>
      <c r="BS382" s="1368"/>
      <c r="BT382" s="1368"/>
      <c r="BU382" s="1369"/>
      <c r="BV382" s="1420"/>
      <c r="BW382" s="1368"/>
      <c r="BX382" s="1368"/>
      <c r="BY382" s="1368"/>
      <c r="BZ382" s="1368"/>
      <c r="CA382" s="1420"/>
      <c r="CB382" s="1368"/>
      <c r="CC382" s="1368"/>
      <c r="CD382" s="1368"/>
      <c r="CE382" s="1369"/>
      <c r="CF382" s="1368"/>
      <c r="CG382" s="1368"/>
      <c r="CH382" s="1368"/>
      <c r="CI382" s="1368"/>
      <c r="CJ382" s="1369"/>
      <c r="CK382" s="1420"/>
      <c r="CL382" s="1368"/>
      <c r="CM382" s="1368"/>
      <c r="CN382" s="1368"/>
      <c r="CO382" s="1369"/>
      <c r="CP382" s="1421"/>
      <c r="CQ382" s="1373"/>
      <c r="CR382" s="1373"/>
      <c r="CS382" s="1373"/>
      <c r="CT382" s="1374"/>
      <c r="CU382" s="1528"/>
      <c r="CV382" s="1519"/>
      <c r="CW382" s="1519"/>
      <c r="CX382" s="1728"/>
      <c r="CY382" s="1519"/>
      <c r="CZ382" s="1519"/>
      <c r="DA382" s="1519"/>
      <c r="DB382" s="1728"/>
      <c r="DC382" s="1377"/>
      <c r="DD382" s="1729"/>
      <c r="DE382" s="1734"/>
    </row>
    <row r="383" spans="1:109" ht="26.25" hidden="1">
      <c r="A383" s="772" t="s">
        <v>1036</v>
      </c>
      <c r="B383" s="773">
        <v>377</v>
      </c>
      <c r="C383" s="789" t="s">
        <v>3527</v>
      </c>
      <c r="D383" s="773" t="s">
        <v>2348</v>
      </c>
      <c r="E383" s="773" t="s">
        <v>1907</v>
      </c>
      <c r="F383" s="785" t="s">
        <v>3528</v>
      </c>
      <c r="G383" s="790" t="s">
        <v>535</v>
      </c>
      <c r="H383" s="773" t="s">
        <v>2361</v>
      </c>
      <c r="I383" s="792">
        <v>1</v>
      </c>
      <c r="J383" s="793"/>
      <c r="K383" s="793"/>
      <c r="L383" s="793"/>
      <c r="M383" s="793"/>
      <c r="N383" s="793"/>
      <c r="O383" s="793"/>
      <c r="P383" s="794"/>
      <c r="Q383" s="795">
        <f t="shared" si="5"/>
        <v>1</v>
      </c>
      <c r="R383" s="789" t="s">
        <v>1007</v>
      </c>
      <c r="S383" s="773"/>
      <c r="T383" s="796"/>
      <c r="U383" s="773" t="s">
        <v>1910</v>
      </c>
      <c r="V383" s="773" t="s">
        <v>278</v>
      </c>
      <c r="W383" s="773" t="s">
        <v>3529</v>
      </c>
      <c r="X383" s="1310">
        <v>1</v>
      </c>
      <c r="Y383" s="900" t="s">
        <v>1020</v>
      </c>
      <c r="Z383" s="790" t="s">
        <v>535</v>
      </c>
      <c r="AA383" s="785"/>
      <c r="AB383" s="785"/>
      <c r="AC383" s="785"/>
      <c r="AD383" s="785"/>
      <c r="AE383" s="785"/>
      <c r="AF383" s="799"/>
      <c r="AG383" s="898"/>
      <c r="AH383" s="898"/>
      <c r="AI383" s="898"/>
      <c r="AJ383" s="898"/>
      <c r="AK383" s="898"/>
      <c r="AL383" s="898"/>
      <c r="AM383" s="898"/>
      <c r="AN383" s="816"/>
      <c r="AO383" s="816"/>
      <c r="AP383" s="816"/>
      <c r="AQ383" s="1521"/>
      <c r="AR383" s="1730"/>
      <c r="AS383" s="1730"/>
      <c r="AT383" s="1730"/>
      <c r="AU383" s="1527"/>
      <c r="AV383" s="817"/>
      <c r="AW383" s="816"/>
      <c r="AX383" s="816"/>
      <c r="AY383" s="816"/>
      <c r="AZ383" s="816"/>
      <c r="BA383" s="816"/>
      <c r="BB383" s="816"/>
      <c r="BC383" s="816"/>
      <c r="BD383" s="816"/>
      <c r="BE383" s="816"/>
      <c r="BF383" s="816"/>
      <c r="BG383" s="816"/>
      <c r="BH383" s="816"/>
      <c r="BI383" s="816"/>
      <c r="BJ383" s="816"/>
      <c r="BK383" s="818"/>
      <c r="BL383" s="1376"/>
      <c r="BM383" s="1377"/>
      <c r="BN383" s="1377"/>
      <c r="BO383" s="1377"/>
      <c r="BP383" s="1440"/>
      <c r="BQ383" s="1420"/>
      <c r="BR383" s="1368"/>
      <c r="BS383" s="1368"/>
      <c r="BT383" s="1368"/>
      <c r="BU383" s="1369"/>
      <c r="BV383" s="1421"/>
      <c r="BW383" s="1373"/>
      <c r="BX383" s="1373"/>
      <c r="BY383" s="1373"/>
      <c r="BZ383" s="1373"/>
      <c r="CA383" s="1420"/>
      <c r="CB383" s="1368"/>
      <c r="CC383" s="1368"/>
      <c r="CD383" s="1368"/>
      <c r="CE383" s="1369"/>
      <c r="CF383" s="1368"/>
      <c r="CG383" s="1368"/>
      <c r="CH383" s="1368"/>
      <c r="CI383" s="1368"/>
      <c r="CJ383" s="1369"/>
      <c r="CK383" s="1420"/>
      <c r="CL383" s="1368"/>
      <c r="CM383" s="1368"/>
      <c r="CN383" s="1368"/>
      <c r="CO383" s="1369"/>
      <c r="CP383" s="1420"/>
      <c r="CQ383" s="1368"/>
      <c r="CR383" s="1368"/>
      <c r="CS383" s="1368"/>
      <c r="CT383" s="1369"/>
      <c r="CU383" s="1528"/>
      <c r="CV383" s="1519"/>
      <c r="CW383" s="1519"/>
      <c r="CX383" s="1728"/>
      <c r="CY383" s="1519"/>
      <c r="CZ383" s="1519"/>
      <c r="DA383" s="1519"/>
      <c r="DB383" s="1728"/>
      <c r="DC383" s="1377"/>
      <c r="DD383" s="1729"/>
      <c r="DE383" s="1734"/>
    </row>
    <row r="384" spans="1:109" ht="26.25" hidden="1">
      <c r="A384" s="772" t="s">
        <v>1036</v>
      </c>
      <c r="B384" s="773">
        <v>378</v>
      </c>
      <c r="C384" s="789" t="s">
        <v>3530</v>
      </c>
      <c r="D384" s="773" t="s">
        <v>2348</v>
      </c>
      <c r="E384" s="773" t="s">
        <v>1889</v>
      </c>
      <c r="F384" s="785" t="s">
        <v>3531</v>
      </c>
      <c r="G384" s="790" t="s">
        <v>3532</v>
      </c>
      <c r="H384" s="773" t="s">
        <v>3533</v>
      </c>
      <c r="I384" s="792"/>
      <c r="J384" s="793">
        <v>1</v>
      </c>
      <c r="K384" s="793"/>
      <c r="L384" s="793"/>
      <c r="M384" s="793"/>
      <c r="N384" s="793"/>
      <c r="O384" s="793"/>
      <c r="P384" s="794"/>
      <c r="Q384" s="795">
        <f t="shared" si="5"/>
        <v>1</v>
      </c>
      <c r="R384" s="789" t="s">
        <v>1030</v>
      </c>
      <c r="S384" s="773" t="s">
        <v>1008</v>
      </c>
      <c r="T384" s="796" t="s">
        <v>1009</v>
      </c>
      <c r="U384" s="773" t="s">
        <v>669</v>
      </c>
      <c r="V384" s="773" t="s">
        <v>1029</v>
      </c>
      <c r="W384" s="773" t="s">
        <v>3534</v>
      </c>
      <c r="X384" s="1310">
        <v>1</v>
      </c>
      <c r="Y384" s="811" t="s">
        <v>1020</v>
      </c>
      <c r="Z384" s="790"/>
      <c r="AA384" s="785"/>
      <c r="AB384" s="785"/>
      <c r="AC384" s="785"/>
      <c r="AD384" s="785"/>
      <c r="AE384" s="785"/>
      <c r="AF384" s="799"/>
      <c r="AG384" s="898"/>
      <c r="AH384" s="898"/>
      <c r="AI384" s="800"/>
      <c r="AJ384" s="800"/>
      <c r="AK384" s="800"/>
      <c r="AL384" s="800"/>
      <c r="AM384" s="800"/>
      <c r="AN384" s="800"/>
      <c r="AO384" s="800"/>
      <c r="AP384" s="800"/>
      <c r="AQ384" s="808">
        <v>6.91</v>
      </c>
      <c r="AR384" s="800">
        <v>6.14</v>
      </c>
      <c r="AS384" s="800">
        <v>5.38</v>
      </c>
      <c r="AT384" s="800">
        <v>4.6100000000000003</v>
      </c>
      <c r="AU384" s="805">
        <v>3.84</v>
      </c>
      <c r="AV384" s="806"/>
      <c r="AW384" s="807"/>
      <c r="AX384" s="807"/>
      <c r="AY384" s="807"/>
      <c r="AZ384" s="807"/>
      <c r="BA384" s="807"/>
      <c r="BB384" s="807"/>
      <c r="BC384" s="807"/>
      <c r="BD384" s="807"/>
      <c r="BE384" s="807"/>
      <c r="BF384" s="807"/>
      <c r="BG384" s="807"/>
      <c r="BH384" s="807"/>
      <c r="BI384" s="807"/>
      <c r="BJ384" s="807"/>
      <c r="BK384" s="820"/>
      <c r="BL384" s="789" t="s">
        <v>168</v>
      </c>
      <c r="BM384" s="785" t="s">
        <v>168</v>
      </c>
      <c r="BN384" s="785" t="s">
        <v>168</v>
      </c>
      <c r="BO384" s="785" t="s">
        <v>168</v>
      </c>
      <c r="BP384" s="796" t="s">
        <v>168</v>
      </c>
      <c r="BQ384" s="808">
        <v>0</v>
      </c>
      <c r="BR384" s="800">
        <v>0</v>
      </c>
      <c r="BS384" s="800">
        <v>0</v>
      </c>
      <c r="BT384" s="800">
        <v>0</v>
      </c>
      <c r="BU384" s="805">
        <v>0</v>
      </c>
      <c r="BV384" s="806" t="s">
        <v>1942</v>
      </c>
      <c r="BW384" s="807" t="s">
        <v>1942</v>
      </c>
      <c r="BX384" s="807" t="s">
        <v>1942</v>
      </c>
      <c r="BY384" s="807" t="s">
        <v>1942</v>
      </c>
      <c r="BZ384" s="807" t="s">
        <v>1942</v>
      </c>
      <c r="CA384" s="808">
        <v>0</v>
      </c>
      <c r="CB384" s="800">
        <v>0</v>
      </c>
      <c r="CC384" s="800">
        <v>0</v>
      </c>
      <c r="CD384" s="800">
        <v>0</v>
      </c>
      <c r="CE384" s="805">
        <v>0</v>
      </c>
      <c r="CF384" s="800">
        <v>0</v>
      </c>
      <c r="CG384" s="800">
        <v>0</v>
      </c>
      <c r="CH384" s="800">
        <v>0</v>
      </c>
      <c r="CI384" s="800">
        <v>0</v>
      </c>
      <c r="CJ384" s="805">
        <v>0</v>
      </c>
      <c r="CK384" s="808" t="s">
        <v>1942</v>
      </c>
      <c r="CL384" s="800" t="s">
        <v>1942</v>
      </c>
      <c r="CM384" s="800" t="s">
        <v>1942</v>
      </c>
      <c r="CN384" s="800" t="s">
        <v>1942</v>
      </c>
      <c r="CO384" s="805" t="s">
        <v>1942</v>
      </c>
      <c r="CP384" s="808">
        <v>0</v>
      </c>
      <c r="CQ384" s="800">
        <v>0</v>
      </c>
      <c r="CR384" s="800">
        <v>0</v>
      </c>
      <c r="CS384" s="800">
        <v>0</v>
      </c>
      <c r="CT384" s="805">
        <v>0</v>
      </c>
      <c r="CU384" s="1284">
        <v>-1.073</v>
      </c>
      <c r="CV384" s="1283" t="s">
        <v>1942</v>
      </c>
      <c r="CW384" s="1283" t="s">
        <v>1942</v>
      </c>
      <c r="CX384" s="1285" t="s">
        <v>1942</v>
      </c>
      <c r="CY384" s="1283">
        <v>1.073</v>
      </c>
      <c r="CZ384" s="1283" t="s">
        <v>1942</v>
      </c>
      <c r="DA384" s="1283" t="s">
        <v>1942</v>
      </c>
      <c r="DB384" s="1285" t="s">
        <v>1942</v>
      </c>
      <c r="DC384" s="785"/>
      <c r="DD384" s="813">
        <v>1</v>
      </c>
      <c r="DE384" s="814"/>
    </row>
    <row r="385" spans="1:109" ht="39.4" hidden="1">
      <c r="A385" s="772" t="s">
        <v>1036</v>
      </c>
      <c r="B385" s="773">
        <v>379</v>
      </c>
      <c r="C385" s="789" t="s">
        <v>3535</v>
      </c>
      <c r="D385" s="773" t="s">
        <v>2348</v>
      </c>
      <c r="E385" s="773" t="s">
        <v>1889</v>
      </c>
      <c r="F385" s="785" t="s">
        <v>3536</v>
      </c>
      <c r="G385" s="790" t="s">
        <v>3537</v>
      </c>
      <c r="H385" s="773" t="s">
        <v>3538</v>
      </c>
      <c r="I385" s="792"/>
      <c r="J385" s="793">
        <v>1</v>
      </c>
      <c r="K385" s="793"/>
      <c r="L385" s="793"/>
      <c r="M385" s="793"/>
      <c r="N385" s="793"/>
      <c r="O385" s="793"/>
      <c r="P385" s="794"/>
      <c r="Q385" s="795">
        <f t="shared" si="5"/>
        <v>1</v>
      </c>
      <c r="R385" s="789" t="s">
        <v>1030</v>
      </c>
      <c r="S385" s="773" t="s">
        <v>1008</v>
      </c>
      <c r="T385" s="796" t="s">
        <v>1009</v>
      </c>
      <c r="U385" s="773" t="s">
        <v>1987</v>
      </c>
      <c r="V385" s="773" t="s">
        <v>1033</v>
      </c>
      <c r="W385" s="773" t="s">
        <v>3539</v>
      </c>
      <c r="X385" s="1310">
        <v>0</v>
      </c>
      <c r="Y385" s="841" t="s">
        <v>1020</v>
      </c>
      <c r="Z385" s="790"/>
      <c r="AA385" s="785"/>
      <c r="AB385" s="785"/>
      <c r="AC385" s="785"/>
      <c r="AD385" s="785"/>
      <c r="AE385" s="785"/>
      <c r="AF385" s="799"/>
      <c r="AG385" s="898"/>
      <c r="AH385" s="898"/>
      <c r="AI385" s="898"/>
      <c r="AJ385" s="898"/>
      <c r="AK385" s="898"/>
      <c r="AL385" s="898"/>
      <c r="AM385" s="898"/>
      <c r="AN385" s="898"/>
      <c r="AO385" s="898"/>
      <c r="AP385" s="898"/>
      <c r="AQ385" s="897">
        <v>19471</v>
      </c>
      <c r="AR385" s="898">
        <v>18869</v>
      </c>
      <c r="AS385" s="898">
        <v>18266</v>
      </c>
      <c r="AT385" s="898">
        <v>17664</v>
      </c>
      <c r="AU385" s="899">
        <v>17062</v>
      </c>
      <c r="AV385" s="897"/>
      <c r="AW385" s="898"/>
      <c r="AX385" s="898"/>
      <c r="AY385" s="898"/>
      <c r="AZ385" s="898"/>
      <c r="BA385" s="898"/>
      <c r="BB385" s="898"/>
      <c r="BC385" s="898"/>
      <c r="BD385" s="898"/>
      <c r="BE385" s="898"/>
      <c r="BF385" s="898"/>
      <c r="BG385" s="898"/>
      <c r="BH385" s="898"/>
      <c r="BI385" s="898"/>
      <c r="BJ385" s="898"/>
      <c r="BK385" s="899"/>
      <c r="BL385" s="789" t="s">
        <v>168</v>
      </c>
      <c r="BM385" s="785" t="s">
        <v>168</v>
      </c>
      <c r="BN385" s="785" t="s">
        <v>168</v>
      </c>
      <c r="BO385" s="785" t="s">
        <v>168</v>
      </c>
      <c r="BP385" s="796" t="s">
        <v>168</v>
      </c>
      <c r="BQ385" s="808" t="s">
        <v>1942</v>
      </c>
      <c r="BR385" s="800" t="s">
        <v>1942</v>
      </c>
      <c r="BS385" s="800" t="s">
        <v>1942</v>
      </c>
      <c r="BT385" s="800" t="s">
        <v>1942</v>
      </c>
      <c r="BU385" s="805" t="s">
        <v>1942</v>
      </c>
      <c r="BV385" s="806" t="s">
        <v>1942</v>
      </c>
      <c r="BW385" s="807" t="s">
        <v>1942</v>
      </c>
      <c r="BX385" s="807" t="s">
        <v>1942</v>
      </c>
      <c r="BY385" s="807" t="s">
        <v>1942</v>
      </c>
      <c r="BZ385" s="807" t="s">
        <v>1942</v>
      </c>
      <c r="CA385" s="808" t="s">
        <v>1942</v>
      </c>
      <c r="CB385" s="800" t="s">
        <v>1942</v>
      </c>
      <c r="CC385" s="800" t="s">
        <v>1942</v>
      </c>
      <c r="CD385" s="800" t="s">
        <v>1942</v>
      </c>
      <c r="CE385" s="805" t="s">
        <v>1942</v>
      </c>
      <c r="CF385" s="800" t="s">
        <v>1942</v>
      </c>
      <c r="CG385" s="800" t="s">
        <v>1942</v>
      </c>
      <c r="CH385" s="800" t="s">
        <v>1942</v>
      </c>
      <c r="CI385" s="800" t="s">
        <v>1942</v>
      </c>
      <c r="CJ385" s="805" t="s">
        <v>1942</v>
      </c>
      <c r="CK385" s="808" t="s">
        <v>1942</v>
      </c>
      <c r="CL385" s="800" t="s">
        <v>1942</v>
      </c>
      <c r="CM385" s="800" t="s">
        <v>1942</v>
      </c>
      <c r="CN385" s="800" t="s">
        <v>1942</v>
      </c>
      <c r="CO385" s="805" t="s">
        <v>1942</v>
      </c>
      <c r="CP385" s="808" t="s">
        <v>1942</v>
      </c>
      <c r="CQ385" s="800" t="s">
        <v>1942</v>
      </c>
      <c r="CR385" s="800" t="s">
        <v>1942</v>
      </c>
      <c r="CS385" s="800" t="s">
        <v>1942</v>
      </c>
      <c r="CT385" s="805" t="s">
        <v>1942</v>
      </c>
      <c r="CU385" s="1284">
        <v>-4.64E-4</v>
      </c>
      <c r="CV385" s="1283" t="s">
        <v>1942</v>
      </c>
      <c r="CW385" s="1283" t="s">
        <v>1942</v>
      </c>
      <c r="CX385" s="1285" t="s">
        <v>1942</v>
      </c>
      <c r="CY385" s="1283">
        <v>4.64E-4</v>
      </c>
      <c r="CZ385" s="1283" t="s">
        <v>1942</v>
      </c>
      <c r="DA385" s="1283" t="s">
        <v>1942</v>
      </c>
      <c r="DB385" s="1285" t="s">
        <v>1942</v>
      </c>
      <c r="DC385" s="785"/>
      <c r="DD385" s="813">
        <v>1</v>
      </c>
      <c r="DE385" s="814"/>
    </row>
    <row r="386" spans="1:109" ht="26.25" hidden="1">
      <c r="A386" s="772" t="s">
        <v>1036</v>
      </c>
      <c r="B386" s="773">
        <v>380</v>
      </c>
      <c r="C386" s="789" t="s">
        <v>3540</v>
      </c>
      <c r="D386" s="773" t="s">
        <v>2348</v>
      </c>
      <c r="E386" s="773" t="s">
        <v>1907</v>
      </c>
      <c r="F386" s="785" t="s">
        <v>3541</v>
      </c>
      <c r="G386" s="790" t="s">
        <v>2310</v>
      </c>
      <c r="H386" s="773" t="s">
        <v>3542</v>
      </c>
      <c r="I386" s="792">
        <v>1</v>
      </c>
      <c r="J386" s="793"/>
      <c r="K386" s="793"/>
      <c r="L386" s="793"/>
      <c r="M386" s="793"/>
      <c r="N386" s="793"/>
      <c r="O386" s="793"/>
      <c r="P386" s="794"/>
      <c r="Q386" s="795">
        <f t="shared" si="5"/>
        <v>1</v>
      </c>
      <c r="R386" s="789" t="s">
        <v>1030</v>
      </c>
      <c r="S386" s="773" t="s">
        <v>1008</v>
      </c>
      <c r="T386" s="796" t="s">
        <v>1009</v>
      </c>
      <c r="U386" s="773" t="s">
        <v>1979</v>
      </c>
      <c r="V386" s="773" t="s">
        <v>1033</v>
      </c>
      <c r="W386" s="773" t="s">
        <v>2312</v>
      </c>
      <c r="X386" s="1310">
        <v>0</v>
      </c>
      <c r="Y386" s="811" t="s">
        <v>1020</v>
      </c>
      <c r="Z386" s="790"/>
      <c r="AA386" s="785"/>
      <c r="AB386" s="785"/>
      <c r="AC386" s="785"/>
      <c r="AD386" s="785"/>
      <c r="AE386" s="785"/>
      <c r="AF386" s="799"/>
      <c r="AG386" s="901"/>
      <c r="AH386" s="902"/>
      <c r="AI386" s="902"/>
      <c r="AJ386" s="902"/>
      <c r="AK386" s="902"/>
      <c r="AL386" s="902"/>
      <c r="AM386" s="901"/>
      <c r="AN386" s="901"/>
      <c r="AO386" s="901"/>
      <c r="AP386" s="901"/>
      <c r="AQ386" s="903">
        <v>0</v>
      </c>
      <c r="AR386" s="901">
        <v>0</v>
      </c>
      <c r="AS386" s="901">
        <v>0</v>
      </c>
      <c r="AT386" s="901">
        <v>0</v>
      </c>
      <c r="AU386" s="904">
        <v>0</v>
      </c>
      <c r="AV386" s="903"/>
      <c r="AW386" s="901"/>
      <c r="AX386" s="901"/>
      <c r="AY386" s="901"/>
      <c r="AZ386" s="901"/>
      <c r="BA386" s="901"/>
      <c r="BB386" s="901"/>
      <c r="BC386" s="901"/>
      <c r="BD386" s="901"/>
      <c r="BE386" s="901"/>
      <c r="BF386" s="901"/>
      <c r="BG386" s="901"/>
      <c r="BH386" s="901"/>
      <c r="BI386" s="901"/>
      <c r="BJ386" s="901"/>
      <c r="BK386" s="904"/>
      <c r="BL386" s="789" t="s">
        <v>168</v>
      </c>
      <c r="BM386" s="785" t="s">
        <v>168</v>
      </c>
      <c r="BN386" s="785" t="s">
        <v>168</v>
      </c>
      <c r="BO386" s="785" t="s">
        <v>168</v>
      </c>
      <c r="BP386" s="796" t="s">
        <v>168</v>
      </c>
      <c r="BQ386" s="808" t="s">
        <v>1942</v>
      </c>
      <c r="BR386" s="800" t="s">
        <v>1942</v>
      </c>
      <c r="BS386" s="800" t="s">
        <v>1942</v>
      </c>
      <c r="BT386" s="800" t="s">
        <v>1942</v>
      </c>
      <c r="BU386" s="805" t="s">
        <v>1942</v>
      </c>
      <c r="BV386" s="806" t="s">
        <v>1942</v>
      </c>
      <c r="BW386" s="807" t="s">
        <v>1942</v>
      </c>
      <c r="BX386" s="807" t="s">
        <v>1942</v>
      </c>
      <c r="BY386" s="807" t="s">
        <v>1942</v>
      </c>
      <c r="BZ386" s="807" t="s">
        <v>1942</v>
      </c>
      <c r="CA386" s="808" t="s">
        <v>1942</v>
      </c>
      <c r="CB386" s="800" t="s">
        <v>1942</v>
      </c>
      <c r="CC386" s="800" t="s">
        <v>1942</v>
      </c>
      <c r="CD386" s="800" t="s">
        <v>1942</v>
      </c>
      <c r="CE386" s="805" t="s">
        <v>1942</v>
      </c>
      <c r="CF386" s="800" t="s">
        <v>1942</v>
      </c>
      <c r="CG386" s="800" t="s">
        <v>1942</v>
      </c>
      <c r="CH386" s="800" t="s">
        <v>1942</v>
      </c>
      <c r="CI386" s="800" t="s">
        <v>1942</v>
      </c>
      <c r="CJ386" s="805" t="s">
        <v>1942</v>
      </c>
      <c r="CK386" s="808" t="s">
        <v>1942</v>
      </c>
      <c r="CL386" s="800" t="s">
        <v>1942</v>
      </c>
      <c r="CM386" s="800" t="s">
        <v>1942</v>
      </c>
      <c r="CN386" s="800" t="s">
        <v>1942</v>
      </c>
      <c r="CO386" s="805" t="s">
        <v>1942</v>
      </c>
      <c r="CP386" s="808" t="s">
        <v>1942</v>
      </c>
      <c r="CQ386" s="800" t="s">
        <v>1942</v>
      </c>
      <c r="CR386" s="800" t="s">
        <v>1942</v>
      </c>
      <c r="CS386" s="800" t="s">
        <v>1942</v>
      </c>
      <c r="CT386" s="805" t="s">
        <v>1942</v>
      </c>
      <c r="CU386" s="1284" t="s">
        <v>1942</v>
      </c>
      <c r="CV386" s="1283" t="s">
        <v>1942</v>
      </c>
      <c r="CW386" s="1283" t="s">
        <v>1942</v>
      </c>
      <c r="CX386" s="1285" t="s">
        <v>1942</v>
      </c>
      <c r="CY386" s="1283" t="s">
        <v>1942</v>
      </c>
      <c r="CZ386" s="1283" t="s">
        <v>1942</v>
      </c>
      <c r="DA386" s="1283" t="s">
        <v>1942</v>
      </c>
      <c r="DB386" s="1285" t="s">
        <v>1942</v>
      </c>
      <c r="DC386" s="785" t="s">
        <v>131</v>
      </c>
      <c r="DD386" s="813">
        <v>1</v>
      </c>
      <c r="DE386" s="814"/>
    </row>
    <row r="387" spans="1:109" ht="26.25" hidden="1">
      <c r="A387" s="772" t="s">
        <v>1036</v>
      </c>
      <c r="B387" s="773">
        <v>381</v>
      </c>
      <c r="C387" s="789" t="s">
        <v>3543</v>
      </c>
      <c r="D387" s="773" t="s">
        <v>2348</v>
      </c>
      <c r="E387" s="773" t="s">
        <v>1889</v>
      </c>
      <c r="F387" s="785" t="s">
        <v>3544</v>
      </c>
      <c r="G387" s="790" t="s">
        <v>3545</v>
      </c>
      <c r="H387" s="773" t="s">
        <v>3546</v>
      </c>
      <c r="I387" s="792"/>
      <c r="J387" s="793">
        <v>1</v>
      </c>
      <c r="K387" s="793"/>
      <c r="L387" s="793"/>
      <c r="M387" s="793"/>
      <c r="N387" s="793"/>
      <c r="O387" s="793"/>
      <c r="P387" s="794"/>
      <c r="Q387" s="795">
        <f t="shared" si="5"/>
        <v>1</v>
      </c>
      <c r="R387" s="789" t="s">
        <v>1030</v>
      </c>
      <c r="S387" s="773" t="s">
        <v>1008</v>
      </c>
      <c r="T387" s="796" t="s">
        <v>1019</v>
      </c>
      <c r="U387" s="773" t="s">
        <v>1910</v>
      </c>
      <c r="V387" s="773" t="s">
        <v>278</v>
      </c>
      <c r="W387" s="773" t="s">
        <v>3547</v>
      </c>
      <c r="X387" s="1310">
        <v>1</v>
      </c>
      <c r="Y387" s="841" t="s">
        <v>1010</v>
      </c>
      <c r="Z387" s="790"/>
      <c r="AA387" s="785"/>
      <c r="AB387" s="785"/>
      <c r="AC387" s="785"/>
      <c r="AD387" s="785"/>
      <c r="AE387" s="785"/>
      <c r="AF387" s="799"/>
      <c r="AG387" s="816"/>
      <c r="AH387" s="905"/>
      <c r="AI387" s="905"/>
      <c r="AJ387" s="905"/>
      <c r="AK387" s="905"/>
      <c r="AL387" s="905"/>
      <c r="AM387" s="905"/>
      <c r="AN387" s="816"/>
      <c r="AO387" s="816"/>
      <c r="AP387" s="816"/>
      <c r="AQ387" s="817" t="s">
        <v>1942</v>
      </c>
      <c r="AR387" s="816" t="s">
        <v>1942</v>
      </c>
      <c r="AS387" s="816" t="s">
        <v>1942</v>
      </c>
      <c r="AT387" s="816" t="s">
        <v>1942</v>
      </c>
      <c r="AU387" s="1986">
        <v>97.7</v>
      </c>
      <c r="AV387" s="817"/>
      <c r="AW387" s="816"/>
      <c r="AX387" s="816"/>
      <c r="AY387" s="816"/>
      <c r="AZ387" s="816"/>
      <c r="BA387" s="816"/>
      <c r="BB387" s="816"/>
      <c r="BC387" s="816"/>
      <c r="BD387" s="816"/>
      <c r="BE387" s="816"/>
      <c r="BF387" s="816"/>
      <c r="BG387" s="816"/>
      <c r="BH387" s="816"/>
      <c r="BI387" s="816"/>
      <c r="BJ387" s="816"/>
      <c r="BK387" s="818"/>
      <c r="BL387" s="789"/>
      <c r="BM387" s="785"/>
      <c r="BN387" s="785"/>
      <c r="BO387" s="785"/>
      <c r="BP387" s="796" t="s">
        <v>168</v>
      </c>
      <c r="BQ387" s="808" t="s">
        <v>1942</v>
      </c>
      <c r="BR387" s="800" t="s">
        <v>1942</v>
      </c>
      <c r="BS387" s="800" t="s">
        <v>1942</v>
      </c>
      <c r="BT387" s="800" t="s">
        <v>1942</v>
      </c>
      <c r="BU387" s="805" t="s">
        <v>1942</v>
      </c>
      <c r="BV387" s="806" t="s">
        <v>1942</v>
      </c>
      <c r="BW387" s="807" t="s">
        <v>1942</v>
      </c>
      <c r="BX387" s="807" t="s">
        <v>1942</v>
      </c>
      <c r="BY387" s="807" t="s">
        <v>1942</v>
      </c>
      <c r="BZ387" s="807" t="s">
        <v>1942</v>
      </c>
      <c r="CA387" s="817" t="s">
        <v>1942</v>
      </c>
      <c r="CB387" s="816" t="s">
        <v>1942</v>
      </c>
      <c r="CC387" s="816" t="s">
        <v>1942</v>
      </c>
      <c r="CD387" s="816" t="s">
        <v>1942</v>
      </c>
      <c r="CE387" s="818" t="s">
        <v>1942</v>
      </c>
      <c r="CF387" s="800" t="s">
        <v>1942</v>
      </c>
      <c r="CG387" s="800" t="s">
        <v>1942</v>
      </c>
      <c r="CH387" s="800" t="s">
        <v>1942</v>
      </c>
      <c r="CI387" s="800" t="s">
        <v>1942</v>
      </c>
      <c r="CJ387" s="800" t="s">
        <v>1942</v>
      </c>
      <c r="CK387" s="808" t="s">
        <v>1942</v>
      </c>
      <c r="CL387" s="800" t="s">
        <v>1942</v>
      </c>
      <c r="CM387" s="800" t="s">
        <v>1942</v>
      </c>
      <c r="CN387" s="800" t="s">
        <v>1942</v>
      </c>
      <c r="CO387" s="805" t="s">
        <v>1942</v>
      </c>
      <c r="CP387" s="808" t="s">
        <v>1942</v>
      </c>
      <c r="CQ387" s="800" t="s">
        <v>1942</v>
      </c>
      <c r="CR387" s="800" t="s">
        <v>1942</v>
      </c>
      <c r="CS387" s="800" t="s">
        <v>1942</v>
      </c>
      <c r="CT387" s="805" t="s">
        <v>1942</v>
      </c>
      <c r="CU387" s="1284">
        <v>-3.5019999999999998</v>
      </c>
      <c r="CV387" s="1283" t="s">
        <v>1942</v>
      </c>
      <c r="CW387" s="1283" t="s">
        <v>1942</v>
      </c>
      <c r="CX387" s="1285" t="s">
        <v>1942</v>
      </c>
      <c r="CY387" s="1283">
        <v>3.5019999999999998</v>
      </c>
      <c r="CZ387" s="1283" t="s">
        <v>1942</v>
      </c>
      <c r="DA387" s="1283" t="s">
        <v>1942</v>
      </c>
      <c r="DB387" s="1285" t="s">
        <v>1942</v>
      </c>
      <c r="DC387" s="785"/>
      <c r="DD387" s="813">
        <v>1</v>
      </c>
      <c r="DE387" s="814"/>
    </row>
    <row r="388" spans="1:109" ht="26.25" hidden="1">
      <c r="A388" s="772" t="s">
        <v>1036</v>
      </c>
      <c r="B388" s="773">
        <v>382</v>
      </c>
      <c r="C388" s="789" t="s">
        <v>3548</v>
      </c>
      <c r="D388" s="773" t="s">
        <v>2348</v>
      </c>
      <c r="E388" s="773" t="s">
        <v>1907</v>
      </c>
      <c r="F388" s="785" t="s">
        <v>3549</v>
      </c>
      <c r="G388" s="790" t="s">
        <v>3550</v>
      </c>
      <c r="H388" s="773" t="s">
        <v>3551</v>
      </c>
      <c r="I388" s="792"/>
      <c r="J388" s="793">
        <v>0.75</v>
      </c>
      <c r="K388" s="793"/>
      <c r="L388" s="793"/>
      <c r="M388" s="793">
        <v>0.25</v>
      </c>
      <c r="N388" s="793"/>
      <c r="O388" s="793"/>
      <c r="P388" s="794"/>
      <c r="Q388" s="795">
        <f t="shared" si="5"/>
        <v>1</v>
      </c>
      <c r="R388" s="789" t="s">
        <v>1030</v>
      </c>
      <c r="S388" s="773" t="s">
        <v>1008</v>
      </c>
      <c r="T388" s="796" t="s">
        <v>1009</v>
      </c>
      <c r="U388" s="773" t="s">
        <v>1987</v>
      </c>
      <c r="V388" s="773" t="s">
        <v>278</v>
      </c>
      <c r="W388" s="773" t="s">
        <v>1146</v>
      </c>
      <c r="X388" s="1310">
        <v>1</v>
      </c>
      <c r="Y388" s="805" t="s">
        <v>1010</v>
      </c>
      <c r="Z388" s="790"/>
      <c r="AA388" s="785"/>
      <c r="AB388" s="785"/>
      <c r="AC388" s="785"/>
      <c r="AD388" s="785"/>
      <c r="AE388" s="785"/>
      <c r="AF388" s="799"/>
      <c r="AG388" s="807"/>
      <c r="AH388" s="807"/>
      <c r="AI388" s="890"/>
      <c r="AJ388" s="890"/>
      <c r="AK388" s="890"/>
      <c r="AL388" s="816"/>
      <c r="AM388" s="816"/>
      <c r="AN388" s="816"/>
      <c r="AO388" s="816"/>
      <c r="AP388" s="816"/>
      <c r="AQ388" s="817">
        <v>91</v>
      </c>
      <c r="AR388" s="816">
        <v>92</v>
      </c>
      <c r="AS388" s="816">
        <v>93</v>
      </c>
      <c r="AT388" s="816">
        <v>94</v>
      </c>
      <c r="AU388" s="818">
        <v>95</v>
      </c>
      <c r="AV388" s="817"/>
      <c r="AW388" s="816"/>
      <c r="AX388" s="816"/>
      <c r="AY388" s="816"/>
      <c r="AZ388" s="816"/>
      <c r="BA388" s="816"/>
      <c r="BB388" s="816"/>
      <c r="BC388" s="816"/>
      <c r="BD388" s="816"/>
      <c r="BE388" s="816"/>
      <c r="BF388" s="816"/>
      <c r="BG388" s="816"/>
      <c r="BH388" s="816"/>
      <c r="BI388" s="816"/>
      <c r="BJ388" s="816"/>
      <c r="BK388" s="818"/>
      <c r="BL388" s="789" t="s">
        <v>168</v>
      </c>
      <c r="BM388" s="785" t="s">
        <v>168</v>
      </c>
      <c r="BN388" s="785" t="s">
        <v>168</v>
      </c>
      <c r="BO388" s="785" t="s">
        <v>168</v>
      </c>
      <c r="BP388" s="796" t="s">
        <v>168</v>
      </c>
      <c r="BQ388" s="808" t="s">
        <v>1942</v>
      </c>
      <c r="BR388" s="800" t="s">
        <v>1942</v>
      </c>
      <c r="BS388" s="800" t="s">
        <v>1942</v>
      </c>
      <c r="BT388" s="800" t="s">
        <v>1942</v>
      </c>
      <c r="BU388" s="805" t="s">
        <v>1942</v>
      </c>
      <c r="BV388" s="806" t="s">
        <v>1942</v>
      </c>
      <c r="BW388" s="807" t="s">
        <v>1942</v>
      </c>
      <c r="BX388" s="807" t="s">
        <v>1942</v>
      </c>
      <c r="BY388" s="807" t="s">
        <v>1942</v>
      </c>
      <c r="BZ388" s="807" t="s">
        <v>1942</v>
      </c>
      <c r="CA388" s="817" t="s">
        <v>1942</v>
      </c>
      <c r="CB388" s="816" t="s">
        <v>1942</v>
      </c>
      <c r="CC388" s="816" t="s">
        <v>1942</v>
      </c>
      <c r="CD388" s="816" t="s">
        <v>1942</v>
      </c>
      <c r="CE388" s="818" t="s">
        <v>1942</v>
      </c>
      <c r="CF388" s="800" t="s">
        <v>1942</v>
      </c>
      <c r="CG388" s="800" t="s">
        <v>1942</v>
      </c>
      <c r="CH388" s="800" t="s">
        <v>1942</v>
      </c>
      <c r="CI388" s="800" t="s">
        <v>1942</v>
      </c>
      <c r="CJ388" s="805" t="s">
        <v>1942</v>
      </c>
      <c r="CK388" s="808" t="s">
        <v>1942</v>
      </c>
      <c r="CL388" s="800" t="s">
        <v>1942</v>
      </c>
      <c r="CM388" s="800" t="s">
        <v>1942</v>
      </c>
      <c r="CN388" s="800" t="s">
        <v>1942</v>
      </c>
      <c r="CO388" s="805" t="s">
        <v>1942</v>
      </c>
      <c r="CP388" s="808" t="s">
        <v>1942</v>
      </c>
      <c r="CQ388" s="800" t="s">
        <v>1942</v>
      </c>
      <c r="CR388" s="800" t="s">
        <v>1942</v>
      </c>
      <c r="CS388" s="800" t="s">
        <v>1942</v>
      </c>
      <c r="CT388" s="805" t="s">
        <v>1942</v>
      </c>
      <c r="CU388" s="1284">
        <v>-7.4999999999999997E-2</v>
      </c>
      <c r="CV388" s="1283" t="s">
        <v>1942</v>
      </c>
      <c r="CW388" s="1283" t="s">
        <v>1942</v>
      </c>
      <c r="CX388" s="1285" t="s">
        <v>1942</v>
      </c>
      <c r="CY388" s="1283">
        <v>7.4999999999999997E-2</v>
      </c>
      <c r="CZ388" s="1283" t="s">
        <v>1942</v>
      </c>
      <c r="DA388" s="1283" t="s">
        <v>1942</v>
      </c>
      <c r="DB388" s="1285" t="s">
        <v>1942</v>
      </c>
      <c r="DC388" s="785"/>
      <c r="DD388" s="813">
        <v>1</v>
      </c>
      <c r="DE388" s="814"/>
    </row>
    <row r="389" spans="1:109" ht="26.25" hidden="1">
      <c r="A389" s="772" t="s">
        <v>1036</v>
      </c>
      <c r="B389" s="773">
        <v>383</v>
      </c>
      <c r="C389" s="789" t="s">
        <v>3552</v>
      </c>
      <c r="D389" s="773" t="s">
        <v>2348</v>
      </c>
      <c r="E389" s="773" t="s">
        <v>1907</v>
      </c>
      <c r="F389" s="785" t="s">
        <v>3553</v>
      </c>
      <c r="G389" s="790" t="s">
        <v>3554</v>
      </c>
      <c r="H389" s="773" t="s">
        <v>3555</v>
      </c>
      <c r="I389" s="792">
        <v>1</v>
      </c>
      <c r="J389" s="793"/>
      <c r="K389" s="793"/>
      <c r="L389" s="793"/>
      <c r="M389" s="793"/>
      <c r="N389" s="793"/>
      <c r="O389" s="793"/>
      <c r="P389" s="794"/>
      <c r="Q389" s="795">
        <f t="shared" si="5"/>
        <v>1</v>
      </c>
      <c r="R389" s="789" t="s">
        <v>1026</v>
      </c>
      <c r="S389" s="773" t="s">
        <v>1018</v>
      </c>
      <c r="T389" s="796" t="s">
        <v>1019</v>
      </c>
      <c r="U389" s="773" t="s">
        <v>2515</v>
      </c>
      <c r="V389" s="773" t="s">
        <v>1033</v>
      </c>
      <c r="W389" s="773" t="s">
        <v>2270</v>
      </c>
      <c r="X389" s="1310">
        <v>1</v>
      </c>
      <c r="Y389" s="805" t="s">
        <v>1010</v>
      </c>
      <c r="Z389" s="790"/>
      <c r="AA389" s="785"/>
      <c r="AB389" s="785"/>
      <c r="AC389" s="785"/>
      <c r="AD389" s="785"/>
      <c r="AE389" s="785"/>
      <c r="AF389" s="799"/>
      <c r="AG389" s="886"/>
      <c r="AH389" s="886"/>
      <c r="AI389" s="890"/>
      <c r="AJ389" s="890"/>
      <c r="AK389" s="890"/>
      <c r="AL389" s="890"/>
      <c r="AM389" s="890"/>
      <c r="AN389" s="816"/>
      <c r="AO389" s="816"/>
      <c r="AP389" s="816"/>
      <c r="AQ389" s="817" t="s">
        <v>1942</v>
      </c>
      <c r="AR389" s="816" t="s">
        <v>1942</v>
      </c>
      <c r="AS389" s="816" t="s">
        <v>1942</v>
      </c>
      <c r="AT389" s="816" t="s">
        <v>1942</v>
      </c>
      <c r="AU389" s="818">
        <v>68.5</v>
      </c>
      <c r="AV389" s="817"/>
      <c r="AW389" s="816"/>
      <c r="AX389" s="816"/>
      <c r="AY389" s="816"/>
      <c r="AZ389" s="816"/>
      <c r="BA389" s="816"/>
      <c r="BB389" s="816"/>
      <c r="BC389" s="816"/>
      <c r="BD389" s="816"/>
      <c r="BE389" s="816"/>
      <c r="BF389" s="816"/>
      <c r="BG389" s="816"/>
      <c r="BH389" s="816"/>
      <c r="BI389" s="816"/>
      <c r="BJ389" s="816"/>
      <c r="BK389" s="818"/>
      <c r="BL389" s="1952"/>
      <c r="BM389" s="1953"/>
      <c r="BN389" s="1953"/>
      <c r="BO389" s="1953"/>
      <c r="BP389" s="796" t="s">
        <v>168</v>
      </c>
      <c r="BQ389" s="808" t="s">
        <v>1942</v>
      </c>
      <c r="BR389" s="800" t="s">
        <v>1942</v>
      </c>
      <c r="BS389" s="800" t="s">
        <v>1942</v>
      </c>
      <c r="BT389" s="800" t="s">
        <v>1942</v>
      </c>
      <c r="BU389" s="805" t="s">
        <v>1942</v>
      </c>
      <c r="BV389" s="806" t="s">
        <v>1942</v>
      </c>
      <c r="BW389" s="807" t="s">
        <v>1942</v>
      </c>
      <c r="BX389" s="807" t="s">
        <v>1942</v>
      </c>
      <c r="BY389" s="807" t="s">
        <v>1942</v>
      </c>
      <c r="BZ389" s="807" t="s">
        <v>1942</v>
      </c>
      <c r="CA389" s="808" t="s">
        <v>1942</v>
      </c>
      <c r="CB389" s="800" t="s">
        <v>1942</v>
      </c>
      <c r="CC389" s="800" t="s">
        <v>1942</v>
      </c>
      <c r="CD389" s="800" t="s">
        <v>1942</v>
      </c>
      <c r="CE389" s="805" t="s">
        <v>1942</v>
      </c>
      <c r="CF389" s="800" t="s">
        <v>1942</v>
      </c>
      <c r="CG389" s="800" t="s">
        <v>1942</v>
      </c>
      <c r="CH389" s="800" t="s">
        <v>1942</v>
      </c>
      <c r="CI389" s="800" t="s">
        <v>1942</v>
      </c>
      <c r="CJ389" s="805" t="s">
        <v>1942</v>
      </c>
      <c r="CK389" s="808" t="s">
        <v>1942</v>
      </c>
      <c r="CL389" s="800" t="s">
        <v>1942</v>
      </c>
      <c r="CM389" s="800" t="s">
        <v>1942</v>
      </c>
      <c r="CN389" s="800" t="s">
        <v>1942</v>
      </c>
      <c r="CO389" s="805" t="s">
        <v>1942</v>
      </c>
      <c r="CP389" s="808" t="s">
        <v>1942</v>
      </c>
      <c r="CQ389" s="800" t="s">
        <v>1942</v>
      </c>
      <c r="CR389" s="800" t="s">
        <v>1942</v>
      </c>
      <c r="CS389" s="800" t="s">
        <v>1942</v>
      </c>
      <c r="CT389" s="805" t="s">
        <v>1942</v>
      </c>
      <c r="CU389" s="1284">
        <v>-0.66</v>
      </c>
      <c r="CV389" s="1283" t="s">
        <v>1942</v>
      </c>
      <c r="CW389" s="1283" t="s">
        <v>1942</v>
      </c>
      <c r="CX389" s="1285" t="s">
        <v>1942</v>
      </c>
      <c r="CY389" s="1283" t="s">
        <v>1942</v>
      </c>
      <c r="CZ389" s="1283" t="s">
        <v>1942</v>
      </c>
      <c r="DA389" s="1283" t="s">
        <v>1942</v>
      </c>
      <c r="DB389" s="1285" t="s">
        <v>1942</v>
      </c>
      <c r="DC389" s="785" t="s">
        <v>131</v>
      </c>
      <c r="DD389" s="813">
        <v>1</v>
      </c>
      <c r="DE389" s="814"/>
    </row>
    <row r="390" spans="1:109" ht="13.15" hidden="1">
      <c r="A390" s="772" t="s">
        <v>1036</v>
      </c>
      <c r="B390" s="773">
        <v>384</v>
      </c>
      <c r="C390" s="789" t="s">
        <v>3556</v>
      </c>
      <c r="D390" s="773" t="s">
        <v>2348</v>
      </c>
      <c r="E390" s="773" t="s">
        <v>1907</v>
      </c>
      <c r="F390" s="785" t="s">
        <v>3557</v>
      </c>
      <c r="G390" s="790" t="s">
        <v>3558</v>
      </c>
      <c r="H390" s="773" t="s">
        <v>3559</v>
      </c>
      <c r="I390" s="792">
        <v>1</v>
      </c>
      <c r="J390" s="793"/>
      <c r="K390" s="793"/>
      <c r="L390" s="793"/>
      <c r="M390" s="793"/>
      <c r="N390" s="793"/>
      <c r="O390" s="793"/>
      <c r="P390" s="794"/>
      <c r="Q390" s="795">
        <f t="shared" si="5"/>
        <v>1</v>
      </c>
      <c r="R390" s="789" t="s">
        <v>1030</v>
      </c>
      <c r="S390" s="773" t="s">
        <v>1008</v>
      </c>
      <c r="T390" s="796" t="s">
        <v>1009</v>
      </c>
      <c r="U390" s="773" t="s">
        <v>1961</v>
      </c>
      <c r="V390" s="773" t="s">
        <v>1033</v>
      </c>
      <c r="W390" s="773" t="s">
        <v>3560</v>
      </c>
      <c r="X390" s="1310">
        <v>0</v>
      </c>
      <c r="Y390" s="805" t="s">
        <v>1010</v>
      </c>
      <c r="Z390" s="790"/>
      <c r="AA390" s="785"/>
      <c r="AB390" s="785"/>
      <c r="AC390" s="785"/>
      <c r="AD390" s="785"/>
      <c r="AE390" s="785"/>
      <c r="AF390" s="799"/>
      <c r="AG390" s="807"/>
      <c r="AH390" s="807"/>
      <c r="AI390" s="807"/>
      <c r="AJ390" s="807"/>
      <c r="AK390" s="807"/>
      <c r="AL390" s="807"/>
      <c r="AM390" s="807"/>
      <c r="AN390" s="807"/>
      <c r="AO390" s="807"/>
      <c r="AP390" s="807"/>
      <c r="AQ390" s="806">
        <v>41131</v>
      </c>
      <c r="AR390" s="807">
        <v>56686</v>
      </c>
      <c r="AS390" s="807">
        <v>62868</v>
      </c>
      <c r="AT390" s="807">
        <v>74145</v>
      </c>
      <c r="AU390" s="820">
        <v>90169</v>
      </c>
      <c r="AV390" s="806"/>
      <c r="AW390" s="807"/>
      <c r="AX390" s="807"/>
      <c r="AY390" s="807"/>
      <c r="AZ390" s="807"/>
      <c r="BA390" s="807"/>
      <c r="BB390" s="807"/>
      <c r="BC390" s="807"/>
      <c r="BD390" s="807"/>
      <c r="BE390" s="807"/>
      <c r="BF390" s="807"/>
      <c r="BG390" s="807"/>
      <c r="BH390" s="807"/>
      <c r="BI390" s="807"/>
      <c r="BJ390" s="807"/>
      <c r="BK390" s="820"/>
      <c r="BL390" s="1955" t="s">
        <v>168</v>
      </c>
      <c r="BM390" s="1956" t="s">
        <v>168</v>
      </c>
      <c r="BN390" s="1956" t="s">
        <v>168</v>
      </c>
      <c r="BO390" s="1956" t="s">
        <v>168</v>
      </c>
      <c r="BP390" s="796" t="s">
        <v>168</v>
      </c>
      <c r="BQ390" s="808" t="s">
        <v>1942</v>
      </c>
      <c r="BR390" s="800" t="s">
        <v>1942</v>
      </c>
      <c r="BS390" s="800" t="s">
        <v>1942</v>
      </c>
      <c r="BT390" s="800" t="s">
        <v>1942</v>
      </c>
      <c r="BU390" s="805" t="s">
        <v>1942</v>
      </c>
      <c r="BV390" s="806" t="s">
        <v>1942</v>
      </c>
      <c r="BW390" s="807" t="s">
        <v>1942</v>
      </c>
      <c r="BX390" s="807" t="s">
        <v>1942</v>
      </c>
      <c r="BY390" s="807" t="s">
        <v>1942</v>
      </c>
      <c r="BZ390" s="807" t="s">
        <v>1942</v>
      </c>
      <c r="CA390" s="808" t="s">
        <v>1942</v>
      </c>
      <c r="CB390" s="800" t="s">
        <v>1942</v>
      </c>
      <c r="CC390" s="800" t="s">
        <v>1942</v>
      </c>
      <c r="CD390" s="800" t="s">
        <v>1942</v>
      </c>
      <c r="CE390" s="805" t="s">
        <v>1942</v>
      </c>
      <c r="CF390" s="800" t="s">
        <v>1942</v>
      </c>
      <c r="CG390" s="800" t="s">
        <v>1942</v>
      </c>
      <c r="CH390" s="800" t="s">
        <v>1942</v>
      </c>
      <c r="CI390" s="800" t="s">
        <v>1942</v>
      </c>
      <c r="CJ390" s="805" t="s">
        <v>1942</v>
      </c>
      <c r="CK390" s="808" t="s">
        <v>1942</v>
      </c>
      <c r="CL390" s="800" t="s">
        <v>1942</v>
      </c>
      <c r="CM390" s="800" t="s">
        <v>1942</v>
      </c>
      <c r="CN390" s="800" t="s">
        <v>1942</v>
      </c>
      <c r="CO390" s="805" t="s">
        <v>1942</v>
      </c>
      <c r="CP390" s="808" t="s">
        <v>1942</v>
      </c>
      <c r="CQ390" s="800" t="s">
        <v>1942</v>
      </c>
      <c r="CR390" s="800" t="s">
        <v>1942</v>
      </c>
      <c r="CS390" s="800" t="s">
        <v>1942</v>
      </c>
      <c r="CT390" s="805" t="s">
        <v>1942</v>
      </c>
      <c r="CU390" s="1284">
        <v>-1.03E-4</v>
      </c>
      <c r="CV390" s="1283" t="s">
        <v>1942</v>
      </c>
      <c r="CW390" s="1283" t="s">
        <v>1942</v>
      </c>
      <c r="CX390" s="1285" t="s">
        <v>1942</v>
      </c>
      <c r="CY390" s="1283">
        <v>1.03E-4</v>
      </c>
      <c r="CZ390" s="1283" t="s">
        <v>1942</v>
      </c>
      <c r="DA390" s="1283" t="s">
        <v>1942</v>
      </c>
      <c r="DB390" s="1285" t="s">
        <v>1942</v>
      </c>
      <c r="DC390" s="785"/>
      <c r="DD390" s="813">
        <v>1</v>
      </c>
      <c r="DE390" s="814"/>
    </row>
    <row r="391" spans="1:109" ht="39.4" hidden="1">
      <c r="A391" s="772" t="s">
        <v>1036</v>
      </c>
      <c r="B391" s="773">
        <v>385</v>
      </c>
      <c r="C391" s="789" t="s">
        <v>3561</v>
      </c>
      <c r="D391" s="773" t="s">
        <v>2332</v>
      </c>
      <c r="E391" s="773" t="s">
        <v>1907</v>
      </c>
      <c r="F391" s="785" t="s">
        <v>3562</v>
      </c>
      <c r="G391" s="790" t="s">
        <v>130</v>
      </c>
      <c r="H391" s="773" t="s">
        <v>2334</v>
      </c>
      <c r="I391" s="792">
        <v>0.5</v>
      </c>
      <c r="J391" s="793">
        <v>0.5</v>
      </c>
      <c r="K391" s="793"/>
      <c r="L391" s="793"/>
      <c r="M391" s="793"/>
      <c r="N391" s="793"/>
      <c r="O391" s="793"/>
      <c r="P391" s="794"/>
      <c r="Q391" s="795">
        <f t="shared" si="5"/>
        <v>1</v>
      </c>
      <c r="R391" s="789" t="s">
        <v>1026</v>
      </c>
      <c r="S391" s="773" t="s">
        <v>1008</v>
      </c>
      <c r="T391" s="796" t="s">
        <v>1009</v>
      </c>
      <c r="U391" s="773" t="s">
        <v>1926</v>
      </c>
      <c r="V391" s="773" t="s">
        <v>1081</v>
      </c>
      <c r="W391" s="773" t="s">
        <v>2335</v>
      </c>
      <c r="X391" s="1310">
        <v>2</v>
      </c>
      <c r="Y391" s="841" t="s">
        <v>1020</v>
      </c>
      <c r="Z391" s="790" t="s">
        <v>130</v>
      </c>
      <c r="AA391" s="785"/>
      <c r="AB391" s="785"/>
      <c r="AC391" s="785"/>
      <c r="AD391" s="785"/>
      <c r="AE391" s="785"/>
      <c r="AF391" s="799"/>
      <c r="AG391" s="829"/>
      <c r="AH391" s="829"/>
      <c r="AI391" s="829"/>
      <c r="AJ391" s="829"/>
      <c r="AK391" s="829"/>
      <c r="AL391" s="829"/>
      <c r="AM391" s="829"/>
      <c r="AN391" s="829"/>
      <c r="AO391" s="829"/>
      <c r="AP391" s="829"/>
      <c r="AQ391" s="1755"/>
      <c r="AR391" s="1754"/>
      <c r="AS391" s="1754"/>
      <c r="AT391" s="1754"/>
      <c r="AU391" s="1756"/>
      <c r="AV391" s="828"/>
      <c r="AW391" s="829"/>
      <c r="AX391" s="829"/>
      <c r="AY391" s="829"/>
      <c r="AZ391" s="829"/>
      <c r="BA391" s="829"/>
      <c r="BB391" s="829"/>
      <c r="BC391" s="829"/>
      <c r="BD391" s="829"/>
      <c r="BE391" s="829"/>
      <c r="BF391" s="829"/>
      <c r="BG391" s="829"/>
      <c r="BH391" s="829"/>
      <c r="BI391" s="829"/>
      <c r="BJ391" s="829"/>
      <c r="BK391" s="830"/>
      <c r="BL391" s="1376"/>
      <c r="BM391" s="1377"/>
      <c r="BN391" s="1377"/>
      <c r="BO391" s="1377"/>
      <c r="BP391" s="1440"/>
      <c r="BQ391" s="1420"/>
      <c r="BR391" s="1368"/>
      <c r="BS391" s="1368"/>
      <c r="BT391" s="1368"/>
      <c r="BU391" s="1369"/>
      <c r="BV391" s="1420"/>
      <c r="BW391" s="1368"/>
      <c r="BX391" s="1368"/>
      <c r="BY391" s="1368"/>
      <c r="BZ391" s="1368"/>
      <c r="CA391" s="1420"/>
      <c r="CB391" s="1368"/>
      <c r="CC391" s="1368"/>
      <c r="CD391" s="1368"/>
      <c r="CE391" s="1369"/>
      <c r="CF391" s="1368"/>
      <c r="CG391" s="1368"/>
      <c r="CH391" s="1368"/>
      <c r="CI391" s="1368"/>
      <c r="CJ391" s="1369"/>
      <c r="CK391" s="1420"/>
      <c r="CL391" s="1368"/>
      <c r="CM391" s="1368"/>
      <c r="CN391" s="1368"/>
      <c r="CO391" s="1369"/>
      <c r="CP391" s="1420"/>
      <c r="CQ391" s="1368"/>
      <c r="CR391" s="1368"/>
      <c r="CS391" s="1368"/>
      <c r="CT391" s="1369"/>
      <c r="CU391" s="1528"/>
      <c r="CV391" s="1519"/>
      <c r="CW391" s="1519"/>
      <c r="CX391" s="1728"/>
      <c r="CY391" s="1519"/>
      <c r="CZ391" s="1519"/>
      <c r="DA391" s="1519"/>
      <c r="DB391" s="1728"/>
      <c r="DC391" s="1377"/>
      <c r="DD391" s="1729"/>
      <c r="DE391" s="1734"/>
    </row>
    <row r="392" spans="1:109" ht="26.25" hidden="1">
      <c r="A392" s="772" t="s">
        <v>1036</v>
      </c>
      <c r="B392" s="773">
        <v>386</v>
      </c>
      <c r="C392" s="789" t="s">
        <v>3563</v>
      </c>
      <c r="D392" s="773" t="s">
        <v>2332</v>
      </c>
      <c r="E392" s="773" t="s">
        <v>1896</v>
      </c>
      <c r="F392" s="785" t="s">
        <v>3564</v>
      </c>
      <c r="G392" s="790" t="s">
        <v>3565</v>
      </c>
      <c r="H392" s="773" t="s">
        <v>3566</v>
      </c>
      <c r="I392" s="792">
        <v>0.25</v>
      </c>
      <c r="J392" s="793">
        <v>0.75</v>
      </c>
      <c r="K392" s="793"/>
      <c r="L392" s="793"/>
      <c r="M392" s="793"/>
      <c r="N392" s="793"/>
      <c r="O392" s="793"/>
      <c r="P392" s="794"/>
      <c r="Q392" s="795">
        <f t="shared" si="5"/>
        <v>1</v>
      </c>
      <c r="R392" s="789" t="s">
        <v>1030</v>
      </c>
      <c r="S392" s="773" t="s">
        <v>1008</v>
      </c>
      <c r="T392" s="796" t="s">
        <v>1009</v>
      </c>
      <c r="U392" s="773" t="s">
        <v>2149</v>
      </c>
      <c r="V392" s="773" t="s">
        <v>1033</v>
      </c>
      <c r="W392" s="773" t="s">
        <v>3567</v>
      </c>
      <c r="X392" s="1310">
        <v>0</v>
      </c>
      <c r="Y392" s="841" t="s">
        <v>1020</v>
      </c>
      <c r="Z392" s="790" t="s">
        <v>2002</v>
      </c>
      <c r="AA392" s="785"/>
      <c r="AB392" s="785"/>
      <c r="AC392" s="785"/>
      <c r="AD392" s="785"/>
      <c r="AE392" s="785"/>
      <c r="AF392" s="799"/>
      <c r="AG392" s="800"/>
      <c r="AH392" s="800"/>
      <c r="AI392" s="800"/>
      <c r="AJ392" s="800"/>
      <c r="AK392" s="800"/>
      <c r="AL392" s="800"/>
      <c r="AM392" s="800"/>
      <c r="AN392" s="816"/>
      <c r="AO392" s="816"/>
      <c r="AP392" s="816"/>
      <c r="AQ392" s="817">
        <v>9800</v>
      </c>
      <c r="AR392" s="816">
        <v>9700</v>
      </c>
      <c r="AS392" s="816">
        <v>9600</v>
      </c>
      <c r="AT392" s="816">
        <v>9500</v>
      </c>
      <c r="AU392" s="818">
        <v>9500</v>
      </c>
      <c r="AV392" s="817"/>
      <c r="AW392" s="816"/>
      <c r="AX392" s="816"/>
      <c r="AY392" s="816"/>
      <c r="AZ392" s="816"/>
      <c r="BA392" s="816"/>
      <c r="BB392" s="816"/>
      <c r="BC392" s="816"/>
      <c r="BD392" s="816"/>
      <c r="BE392" s="816"/>
      <c r="BF392" s="816"/>
      <c r="BG392" s="816"/>
      <c r="BH392" s="816"/>
      <c r="BI392" s="816"/>
      <c r="BJ392" s="816"/>
      <c r="BK392" s="818"/>
      <c r="BL392" s="789" t="s">
        <v>168</v>
      </c>
      <c r="BM392" s="785" t="s">
        <v>168</v>
      </c>
      <c r="BN392" s="785" t="s">
        <v>168</v>
      </c>
      <c r="BO392" s="785" t="s">
        <v>168</v>
      </c>
      <c r="BP392" s="796" t="s">
        <v>168</v>
      </c>
      <c r="BQ392" s="808" t="s">
        <v>1942</v>
      </c>
      <c r="BR392" s="800" t="s">
        <v>1942</v>
      </c>
      <c r="BS392" s="800" t="s">
        <v>1942</v>
      </c>
      <c r="BT392" s="800" t="s">
        <v>1942</v>
      </c>
      <c r="BU392" s="805" t="s">
        <v>1942</v>
      </c>
      <c r="BV392" s="806">
        <v>13882</v>
      </c>
      <c r="BW392" s="807">
        <v>13740</v>
      </c>
      <c r="BX392" s="807">
        <v>13599</v>
      </c>
      <c r="BY392" s="807">
        <v>13457</v>
      </c>
      <c r="BZ392" s="807">
        <v>13457</v>
      </c>
      <c r="CA392" s="808" t="s">
        <v>1942</v>
      </c>
      <c r="CB392" s="800" t="s">
        <v>1942</v>
      </c>
      <c r="CC392" s="800" t="s">
        <v>1942</v>
      </c>
      <c r="CD392" s="800" t="s">
        <v>1942</v>
      </c>
      <c r="CE392" s="805" t="s">
        <v>1942</v>
      </c>
      <c r="CF392" s="800" t="s">
        <v>1942</v>
      </c>
      <c r="CG392" s="800" t="s">
        <v>1942</v>
      </c>
      <c r="CH392" s="800" t="s">
        <v>1942</v>
      </c>
      <c r="CI392" s="800" t="s">
        <v>1942</v>
      </c>
      <c r="CJ392" s="805" t="s">
        <v>1942</v>
      </c>
      <c r="CK392" s="808">
        <v>8253</v>
      </c>
      <c r="CL392" s="800">
        <v>8168</v>
      </c>
      <c r="CM392" s="800">
        <v>8084</v>
      </c>
      <c r="CN392" s="800">
        <v>8000</v>
      </c>
      <c r="CO392" s="805">
        <v>8000</v>
      </c>
      <c r="CP392" s="808" t="s">
        <v>1942</v>
      </c>
      <c r="CQ392" s="800" t="s">
        <v>1942</v>
      </c>
      <c r="CR392" s="800" t="s">
        <v>1942</v>
      </c>
      <c r="CS392" s="800" t="s">
        <v>1942</v>
      </c>
      <c r="CT392" s="805" t="s">
        <v>1942</v>
      </c>
      <c r="CU392" s="1284">
        <v>-3.0000000000000001E-3</v>
      </c>
      <c r="CV392" s="1283" t="s">
        <v>1942</v>
      </c>
      <c r="CW392" s="1283" t="s">
        <v>1942</v>
      </c>
      <c r="CX392" s="1285" t="s">
        <v>1942</v>
      </c>
      <c r="CY392" s="1283">
        <v>3.0000000000000001E-3</v>
      </c>
      <c r="CZ392" s="1283" t="s">
        <v>1942</v>
      </c>
      <c r="DA392" s="1283" t="s">
        <v>1942</v>
      </c>
      <c r="DB392" s="1285" t="s">
        <v>1942</v>
      </c>
      <c r="DC392" s="785"/>
      <c r="DD392" s="813">
        <v>1</v>
      </c>
      <c r="DE392" s="814"/>
    </row>
    <row r="393" spans="1:109" ht="26.25" hidden="1">
      <c r="A393" s="772" t="s">
        <v>1036</v>
      </c>
      <c r="B393" s="773">
        <v>387</v>
      </c>
      <c r="C393" s="789" t="s">
        <v>3568</v>
      </c>
      <c r="D393" s="773" t="s">
        <v>2332</v>
      </c>
      <c r="E393" s="773" t="s">
        <v>1889</v>
      </c>
      <c r="F393" s="785" t="s">
        <v>3569</v>
      </c>
      <c r="G393" s="790" t="s">
        <v>3570</v>
      </c>
      <c r="H393" s="773" t="s">
        <v>3571</v>
      </c>
      <c r="I393" s="792"/>
      <c r="J393" s="793">
        <v>1</v>
      </c>
      <c r="K393" s="793"/>
      <c r="L393" s="793"/>
      <c r="M393" s="793"/>
      <c r="N393" s="793"/>
      <c r="O393" s="793"/>
      <c r="P393" s="794"/>
      <c r="Q393" s="795">
        <f t="shared" ref="Q393:Q456" si="6">SUM(I393:P393)</f>
        <v>1</v>
      </c>
      <c r="R393" s="789" t="s">
        <v>1030</v>
      </c>
      <c r="S393" s="773" t="s">
        <v>1008</v>
      </c>
      <c r="T393" s="796" t="s">
        <v>1019</v>
      </c>
      <c r="U393" s="773" t="s">
        <v>1967</v>
      </c>
      <c r="V393" s="773" t="s">
        <v>1033</v>
      </c>
      <c r="W393" s="773" t="s">
        <v>3572</v>
      </c>
      <c r="X393" s="1310">
        <v>0</v>
      </c>
      <c r="Y393" s="841" t="s">
        <v>1010</v>
      </c>
      <c r="Z393" s="790"/>
      <c r="AA393" s="785"/>
      <c r="AB393" s="785"/>
      <c r="AC393" s="785"/>
      <c r="AD393" s="785"/>
      <c r="AE393" s="785"/>
      <c r="AF393" s="799"/>
      <c r="AG393" s="800"/>
      <c r="AH393" s="800"/>
      <c r="AI393" s="800"/>
      <c r="AJ393" s="800"/>
      <c r="AK393" s="800"/>
      <c r="AL393" s="800"/>
      <c r="AM393" s="800"/>
      <c r="AN393" s="816"/>
      <c r="AO393" s="816"/>
      <c r="AP393" s="800"/>
      <c r="AQ393" s="808" t="s">
        <v>1942</v>
      </c>
      <c r="AR393" s="800" t="s">
        <v>1942</v>
      </c>
      <c r="AS393" s="800" t="s">
        <v>1942</v>
      </c>
      <c r="AT393" s="800" t="s">
        <v>1942</v>
      </c>
      <c r="AU393" s="805">
        <v>16</v>
      </c>
      <c r="AV393" s="808"/>
      <c r="AW393" s="800"/>
      <c r="AX393" s="800"/>
      <c r="AY393" s="800"/>
      <c r="AZ393" s="800"/>
      <c r="BA393" s="800"/>
      <c r="BB393" s="800"/>
      <c r="BC393" s="800"/>
      <c r="BD393" s="800"/>
      <c r="BE393" s="800"/>
      <c r="BF393" s="800"/>
      <c r="BG393" s="800"/>
      <c r="BH393" s="800"/>
      <c r="BI393" s="800"/>
      <c r="BJ393" s="800"/>
      <c r="BK393" s="805"/>
      <c r="BL393" s="789"/>
      <c r="BM393" s="785"/>
      <c r="BN393" s="785"/>
      <c r="BO393" s="785"/>
      <c r="BP393" s="796" t="s">
        <v>168</v>
      </c>
      <c r="BQ393" s="808" t="s">
        <v>1942</v>
      </c>
      <c r="BR393" s="800" t="s">
        <v>1942</v>
      </c>
      <c r="BS393" s="800" t="s">
        <v>1942</v>
      </c>
      <c r="BT393" s="800" t="s">
        <v>1942</v>
      </c>
      <c r="BU393" s="805" t="s">
        <v>1942</v>
      </c>
      <c r="BV393" s="806" t="s">
        <v>1942</v>
      </c>
      <c r="BW393" s="807" t="s">
        <v>1942</v>
      </c>
      <c r="BX393" s="807" t="s">
        <v>1942</v>
      </c>
      <c r="BY393" s="807" t="s">
        <v>1942</v>
      </c>
      <c r="BZ393" s="807" t="s">
        <v>1942</v>
      </c>
      <c r="CA393" s="808" t="s">
        <v>1942</v>
      </c>
      <c r="CB393" s="800" t="s">
        <v>1942</v>
      </c>
      <c r="CC393" s="800" t="s">
        <v>1942</v>
      </c>
      <c r="CD393" s="800" t="s">
        <v>1942</v>
      </c>
      <c r="CE393" s="805" t="s">
        <v>1942</v>
      </c>
      <c r="CF393" s="800" t="s">
        <v>1942</v>
      </c>
      <c r="CG393" s="800" t="s">
        <v>1942</v>
      </c>
      <c r="CH393" s="800" t="s">
        <v>1942</v>
      </c>
      <c r="CI393" s="800" t="s">
        <v>1942</v>
      </c>
      <c r="CJ393" s="805" t="s">
        <v>1942</v>
      </c>
      <c r="CK393" s="808" t="s">
        <v>1942</v>
      </c>
      <c r="CL393" s="800" t="s">
        <v>1942</v>
      </c>
      <c r="CM393" s="800" t="s">
        <v>1942</v>
      </c>
      <c r="CN393" s="800" t="s">
        <v>1942</v>
      </c>
      <c r="CO393" s="805" t="s">
        <v>1942</v>
      </c>
      <c r="CP393" s="808" t="s">
        <v>1942</v>
      </c>
      <c r="CQ393" s="800" t="s">
        <v>1942</v>
      </c>
      <c r="CR393" s="800" t="s">
        <v>1942</v>
      </c>
      <c r="CS393" s="800" t="s">
        <v>1942</v>
      </c>
      <c r="CT393" s="805" t="s">
        <v>1942</v>
      </c>
      <c r="CU393" s="1284">
        <v>-1.157</v>
      </c>
      <c r="CV393" s="1283" t="s">
        <v>1942</v>
      </c>
      <c r="CW393" s="1283" t="s">
        <v>1942</v>
      </c>
      <c r="CX393" s="1285" t="s">
        <v>1942</v>
      </c>
      <c r="CY393" s="1283">
        <v>1.157</v>
      </c>
      <c r="CZ393" s="1283" t="s">
        <v>1942</v>
      </c>
      <c r="DA393" s="1283" t="s">
        <v>1942</v>
      </c>
      <c r="DB393" s="1285" t="s">
        <v>1942</v>
      </c>
      <c r="DC393" s="785"/>
      <c r="DD393" s="813">
        <v>1</v>
      </c>
      <c r="DE393" s="814"/>
    </row>
    <row r="394" spans="1:109" ht="26.25" hidden="1">
      <c r="A394" s="772" t="s">
        <v>1036</v>
      </c>
      <c r="B394" s="773">
        <v>388</v>
      </c>
      <c r="C394" s="789" t="s">
        <v>3573</v>
      </c>
      <c r="D394" s="773" t="s">
        <v>2332</v>
      </c>
      <c r="E394" s="773" t="s">
        <v>1907</v>
      </c>
      <c r="F394" s="785" t="s">
        <v>3574</v>
      </c>
      <c r="G394" s="790" t="s">
        <v>3575</v>
      </c>
      <c r="H394" s="773" t="s">
        <v>3576</v>
      </c>
      <c r="I394" s="792"/>
      <c r="J394" s="793">
        <v>1</v>
      </c>
      <c r="K394" s="793"/>
      <c r="L394" s="793"/>
      <c r="M394" s="793"/>
      <c r="N394" s="793"/>
      <c r="O394" s="793"/>
      <c r="P394" s="794"/>
      <c r="Q394" s="795">
        <f t="shared" si="6"/>
        <v>1</v>
      </c>
      <c r="R394" s="789" t="s">
        <v>1030</v>
      </c>
      <c r="S394" s="773" t="s">
        <v>1008</v>
      </c>
      <c r="T394" s="796" t="s">
        <v>1019</v>
      </c>
      <c r="U394" s="773" t="s">
        <v>3193</v>
      </c>
      <c r="V394" s="773" t="s">
        <v>1033</v>
      </c>
      <c r="W394" s="773" t="s">
        <v>3577</v>
      </c>
      <c r="X394" s="1310">
        <v>0</v>
      </c>
      <c r="Y394" s="841" t="s">
        <v>1010</v>
      </c>
      <c r="Z394" s="790"/>
      <c r="AA394" s="785"/>
      <c r="AB394" s="785"/>
      <c r="AC394" s="785"/>
      <c r="AD394" s="785"/>
      <c r="AE394" s="785"/>
      <c r="AF394" s="799"/>
      <c r="AG394" s="898"/>
      <c r="AH394" s="898"/>
      <c r="AI394" s="898"/>
      <c r="AJ394" s="898"/>
      <c r="AK394" s="898"/>
      <c r="AL394" s="898"/>
      <c r="AM394" s="898"/>
      <c r="AN394" s="898"/>
      <c r="AO394" s="898"/>
      <c r="AP394" s="898"/>
      <c r="AQ394" s="808" t="s">
        <v>1942</v>
      </c>
      <c r="AR394" s="800" t="s">
        <v>1942</v>
      </c>
      <c r="AS394" s="800" t="s">
        <v>1942</v>
      </c>
      <c r="AT394" s="800" t="s">
        <v>1942</v>
      </c>
      <c r="AU394" s="805">
        <v>500</v>
      </c>
      <c r="AV394" s="808"/>
      <c r="AW394" s="800"/>
      <c r="AX394" s="800"/>
      <c r="AY394" s="800"/>
      <c r="AZ394" s="800"/>
      <c r="BA394" s="800"/>
      <c r="BB394" s="800"/>
      <c r="BC394" s="800"/>
      <c r="BD394" s="800"/>
      <c r="BE394" s="800"/>
      <c r="BF394" s="800"/>
      <c r="BG394" s="800"/>
      <c r="BH394" s="800"/>
      <c r="BI394" s="800"/>
      <c r="BJ394" s="800"/>
      <c r="BK394" s="805"/>
      <c r="BL394" s="789"/>
      <c r="BM394" s="785"/>
      <c r="BN394" s="785"/>
      <c r="BO394" s="785"/>
      <c r="BP394" s="796" t="s">
        <v>168</v>
      </c>
      <c r="BQ394" s="808" t="s">
        <v>1942</v>
      </c>
      <c r="BR394" s="800" t="s">
        <v>1942</v>
      </c>
      <c r="BS394" s="800" t="s">
        <v>1942</v>
      </c>
      <c r="BT394" s="800" t="s">
        <v>1942</v>
      </c>
      <c r="BU394" s="805" t="s">
        <v>1942</v>
      </c>
      <c r="BV394" s="806" t="s">
        <v>1942</v>
      </c>
      <c r="BW394" s="807" t="s">
        <v>1942</v>
      </c>
      <c r="BX394" s="807" t="s">
        <v>1942</v>
      </c>
      <c r="BY394" s="807" t="s">
        <v>1942</v>
      </c>
      <c r="BZ394" s="807" t="s">
        <v>1942</v>
      </c>
      <c r="CA394" s="808" t="s">
        <v>1942</v>
      </c>
      <c r="CB394" s="800" t="s">
        <v>1942</v>
      </c>
      <c r="CC394" s="800" t="s">
        <v>1942</v>
      </c>
      <c r="CD394" s="800" t="s">
        <v>1942</v>
      </c>
      <c r="CE394" s="805" t="s">
        <v>1942</v>
      </c>
      <c r="CF394" s="800" t="s">
        <v>1942</v>
      </c>
      <c r="CG394" s="800" t="s">
        <v>1942</v>
      </c>
      <c r="CH394" s="800" t="s">
        <v>1942</v>
      </c>
      <c r="CI394" s="800" t="s">
        <v>1942</v>
      </c>
      <c r="CJ394" s="805" t="s">
        <v>1942</v>
      </c>
      <c r="CK394" s="808" t="s">
        <v>1942</v>
      </c>
      <c r="CL394" s="800" t="s">
        <v>1942</v>
      </c>
      <c r="CM394" s="800" t="s">
        <v>1942</v>
      </c>
      <c r="CN394" s="800" t="s">
        <v>1942</v>
      </c>
      <c r="CO394" s="805" t="s">
        <v>1942</v>
      </c>
      <c r="CP394" s="808" t="s">
        <v>1942</v>
      </c>
      <c r="CQ394" s="800" t="s">
        <v>1942</v>
      </c>
      <c r="CR394" s="800" t="s">
        <v>1942</v>
      </c>
      <c r="CS394" s="800" t="s">
        <v>1942</v>
      </c>
      <c r="CT394" s="805" t="s">
        <v>1942</v>
      </c>
      <c r="CU394" s="1284">
        <v>-4.0000000000000001E-3</v>
      </c>
      <c r="CV394" s="1283" t="s">
        <v>1942</v>
      </c>
      <c r="CW394" s="1283" t="s">
        <v>1942</v>
      </c>
      <c r="CX394" s="1285" t="s">
        <v>1942</v>
      </c>
      <c r="CY394" s="1283">
        <v>4.0000000000000001E-3</v>
      </c>
      <c r="CZ394" s="1283" t="s">
        <v>1942</v>
      </c>
      <c r="DA394" s="1283" t="s">
        <v>1942</v>
      </c>
      <c r="DB394" s="1285" t="s">
        <v>1942</v>
      </c>
      <c r="DC394" s="785"/>
      <c r="DD394" s="813">
        <v>1</v>
      </c>
      <c r="DE394" s="814"/>
    </row>
    <row r="395" spans="1:109" ht="39.4" hidden="1">
      <c r="A395" s="772" t="s">
        <v>1041</v>
      </c>
      <c r="B395" s="773">
        <v>389</v>
      </c>
      <c r="C395" s="789" t="s">
        <v>3578</v>
      </c>
      <c r="D395" s="773" t="s">
        <v>3579</v>
      </c>
      <c r="E395" s="773" t="s">
        <v>1889</v>
      </c>
      <c r="F395" s="785" t="s">
        <v>3580</v>
      </c>
      <c r="G395" s="790" t="s">
        <v>130</v>
      </c>
      <c r="H395" s="773" t="s">
        <v>3581</v>
      </c>
      <c r="I395" s="792"/>
      <c r="J395" s="793">
        <v>1</v>
      </c>
      <c r="K395" s="793"/>
      <c r="L395" s="793"/>
      <c r="M395" s="793"/>
      <c r="N395" s="793"/>
      <c r="O395" s="793"/>
      <c r="P395" s="794"/>
      <c r="Q395" s="795">
        <f t="shared" si="6"/>
        <v>1</v>
      </c>
      <c r="R395" s="789" t="s">
        <v>1026</v>
      </c>
      <c r="S395" s="773" t="s">
        <v>1008</v>
      </c>
      <c r="T395" s="796" t="s">
        <v>1009</v>
      </c>
      <c r="U395" s="773" t="s">
        <v>1926</v>
      </c>
      <c r="V395" s="773" t="s">
        <v>1081</v>
      </c>
      <c r="W395" s="773" t="s">
        <v>2044</v>
      </c>
      <c r="X395" s="829">
        <v>2</v>
      </c>
      <c r="Y395" s="841" t="s">
        <v>1020</v>
      </c>
      <c r="Z395" s="790" t="s">
        <v>130</v>
      </c>
      <c r="AA395" s="785"/>
      <c r="AB395" s="785"/>
      <c r="AC395" s="785"/>
      <c r="AD395" s="785"/>
      <c r="AE395" s="785"/>
      <c r="AF395" s="799"/>
      <c r="AG395" s="898"/>
      <c r="AH395" s="898"/>
      <c r="AI395" s="898"/>
      <c r="AJ395" s="898"/>
      <c r="AK395" s="898"/>
      <c r="AL395" s="898"/>
      <c r="AM395" s="898"/>
      <c r="AN395" s="898"/>
      <c r="AO395" s="898"/>
      <c r="AP395" s="898"/>
      <c r="AQ395" s="1420"/>
      <c r="AR395" s="1368"/>
      <c r="AS395" s="1368"/>
      <c r="AT395" s="1368"/>
      <c r="AU395" s="1369"/>
      <c r="AV395" s="808"/>
      <c r="AW395" s="800"/>
      <c r="AX395" s="800"/>
      <c r="AY395" s="800"/>
      <c r="AZ395" s="800"/>
      <c r="BA395" s="800"/>
      <c r="BB395" s="800"/>
      <c r="BC395" s="800"/>
      <c r="BD395" s="800"/>
      <c r="BE395" s="800"/>
      <c r="BF395" s="800"/>
      <c r="BG395" s="800"/>
      <c r="BH395" s="800"/>
      <c r="BI395" s="800"/>
      <c r="BJ395" s="800"/>
      <c r="BK395" s="805"/>
      <c r="BL395" s="1376"/>
      <c r="BM395" s="1377"/>
      <c r="BN395" s="1377"/>
      <c r="BO395" s="1377"/>
      <c r="BP395" s="1440"/>
      <c r="BQ395" s="1420"/>
      <c r="BR395" s="1368"/>
      <c r="BS395" s="1368"/>
      <c r="BT395" s="1368"/>
      <c r="BU395" s="1369"/>
      <c r="BV395" s="1421"/>
      <c r="BW395" s="1373"/>
      <c r="BX395" s="1373"/>
      <c r="BY395" s="1373"/>
      <c r="BZ395" s="1373"/>
      <c r="CA395" s="1420"/>
      <c r="CB395" s="1368"/>
      <c r="CC395" s="1368"/>
      <c r="CD395" s="1368"/>
      <c r="CE395" s="1369"/>
      <c r="CF395" s="1368"/>
      <c r="CG395" s="1368"/>
      <c r="CH395" s="1368"/>
      <c r="CI395" s="1368"/>
      <c r="CJ395" s="1369"/>
      <c r="CK395" s="1420"/>
      <c r="CL395" s="1368"/>
      <c r="CM395" s="1368"/>
      <c r="CN395" s="1368"/>
      <c r="CO395" s="1369"/>
      <c r="CP395" s="1420"/>
      <c r="CQ395" s="1368"/>
      <c r="CR395" s="1368"/>
      <c r="CS395" s="1368"/>
      <c r="CT395" s="1369"/>
      <c r="CU395" s="1528"/>
      <c r="CV395" s="1519"/>
      <c r="CW395" s="1519"/>
      <c r="CX395" s="1728"/>
      <c r="CY395" s="1519"/>
      <c r="CZ395" s="1519"/>
      <c r="DA395" s="1519"/>
      <c r="DB395" s="1728"/>
      <c r="DC395" s="1377"/>
      <c r="DD395" s="1729"/>
      <c r="DE395" s="1734"/>
    </row>
    <row r="396" spans="1:109" ht="26.25" hidden="1">
      <c r="A396" s="772" t="s">
        <v>1041</v>
      </c>
      <c r="B396" s="773">
        <v>390</v>
      </c>
      <c r="C396" s="789" t="s">
        <v>3582</v>
      </c>
      <c r="D396" s="773" t="s">
        <v>3579</v>
      </c>
      <c r="E396" s="773" t="s">
        <v>1889</v>
      </c>
      <c r="F396" s="785" t="s">
        <v>3583</v>
      </c>
      <c r="G396" s="790" t="s">
        <v>137</v>
      </c>
      <c r="H396" s="773" t="s">
        <v>3584</v>
      </c>
      <c r="I396" s="792"/>
      <c r="J396" s="793">
        <v>1</v>
      </c>
      <c r="K396" s="793"/>
      <c r="L396" s="793"/>
      <c r="M396" s="793"/>
      <c r="N396" s="793"/>
      <c r="O396" s="793"/>
      <c r="P396" s="794"/>
      <c r="Q396" s="795">
        <f t="shared" si="6"/>
        <v>1</v>
      </c>
      <c r="R396" s="789" t="s">
        <v>1030</v>
      </c>
      <c r="S396" s="773" t="s">
        <v>1008</v>
      </c>
      <c r="T396" s="796" t="s">
        <v>1009</v>
      </c>
      <c r="U396" s="773" t="s">
        <v>1892</v>
      </c>
      <c r="V396" s="773" t="s">
        <v>1029</v>
      </c>
      <c r="W396" s="773" t="s">
        <v>3585</v>
      </c>
      <c r="X396" s="1274">
        <v>0</v>
      </c>
      <c r="Y396" s="841" t="s">
        <v>1020</v>
      </c>
      <c r="Z396" s="790" t="s">
        <v>137</v>
      </c>
      <c r="AA396" s="785"/>
      <c r="AB396" s="785"/>
      <c r="AC396" s="785"/>
      <c r="AD396" s="785"/>
      <c r="AE396" s="785"/>
      <c r="AF396" s="799"/>
      <c r="AG396" s="890"/>
      <c r="AH396" s="890"/>
      <c r="AI396" s="890"/>
      <c r="AJ396" s="890"/>
      <c r="AK396" s="890"/>
      <c r="AL396" s="890"/>
      <c r="AM396" s="906"/>
      <c r="AN396" s="906"/>
      <c r="AO396" s="906"/>
      <c r="AP396" s="906"/>
      <c r="AQ396" s="1370"/>
      <c r="AR396" s="1371"/>
      <c r="AS396" s="1371"/>
      <c r="AT396" s="1371"/>
      <c r="AU396" s="1372"/>
      <c r="AV396" s="891"/>
      <c r="AW396" s="890"/>
      <c r="AX396" s="890"/>
      <c r="AY396" s="890"/>
      <c r="AZ396" s="890"/>
      <c r="BA396" s="890"/>
      <c r="BB396" s="890"/>
      <c r="BC396" s="890"/>
      <c r="BD396" s="890"/>
      <c r="BE396" s="890"/>
      <c r="BF396" s="890"/>
      <c r="BG396" s="890"/>
      <c r="BH396" s="890"/>
      <c r="BI396" s="890"/>
      <c r="BJ396" s="890"/>
      <c r="BK396" s="892"/>
      <c r="BL396" s="1376"/>
      <c r="BM396" s="1377"/>
      <c r="BN396" s="1377"/>
      <c r="BO396" s="1377"/>
      <c r="BP396" s="1440"/>
      <c r="BQ396" s="1420"/>
      <c r="BR396" s="1368"/>
      <c r="BS396" s="1368"/>
      <c r="BT396" s="1368"/>
      <c r="BU396" s="1369"/>
      <c r="BV396" s="1421"/>
      <c r="BW396" s="1373"/>
      <c r="BX396" s="1373"/>
      <c r="BY396" s="1373"/>
      <c r="BZ396" s="1373"/>
      <c r="CA396" s="1420"/>
      <c r="CB396" s="1368"/>
      <c r="CC396" s="1368"/>
      <c r="CD396" s="1368"/>
      <c r="CE396" s="1369"/>
      <c r="CF396" s="1368"/>
      <c r="CG396" s="1368"/>
      <c r="CH396" s="1368"/>
      <c r="CI396" s="1368"/>
      <c r="CJ396" s="1369"/>
      <c r="CK396" s="1420"/>
      <c r="CL396" s="1368"/>
      <c r="CM396" s="1368"/>
      <c r="CN396" s="1368"/>
      <c r="CO396" s="1369"/>
      <c r="CP396" s="1420"/>
      <c r="CQ396" s="1368"/>
      <c r="CR396" s="1368"/>
      <c r="CS396" s="1368"/>
      <c r="CT396" s="1369"/>
      <c r="CU396" s="1528"/>
      <c r="CV396" s="1519"/>
      <c r="CW396" s="1519"/>
      <c r="CX396" s="1728"/>
      <c r="CY396" s="1519"/>
      <c r="CZ396" s="1519"/>
      <c r="DA396" s="1519"/>
      <c r="DB396" s="1728"/>
      <c r="DC396" s="1377"/>
      <c r="DD396" s="1729"/>
      <c r="DE396" s="1734"/>
    </row>
    <row r="397" spans="1:109" ht="39.4" hidden="1">
      <c r="A397" s="772" t="s">
        <v>1041</v>
      </c>
      <c r="B397" s="773">
        <v>391</v>
      </c>
      <c r="C397" s="789" t="s">
        <v>3586</v>
      </c>
      <c r="D397" s="773" t="s">
        <v>3579</v>
      </c>
      <c r="E397" s="773" t="s">
        <v>1889</v>
      </c>
      <c r="F397" s="785" t="s">
        <v>3587</v>
      </c>
      <c r="G397" s="790" t="s">
        <v>161</v>
      </c>
      <c r="H397" s="773" t="s">
        <v>3588</v>
      </c>
      <c r="I397" s="792"/>
      <c r="J397" s="793">
        <v>1</v>
      </c>
      <c r="K397" s="793"/>
      <c r="L397" s="793"/>
      <c r="M397" s="793"/>
      <c r="N397" s="793"/>
      <c r="O397" s="793"/>
      <c r="P397" s="794"/>
      <c r="Q397" s="795">
        <f t="shared" si="6"/>
        <v>1</v>
      </c>
      <c r="R397" s="789" t="s">
        <v>1030</v>
      </c>
      <c r="S397" s="773" t="s">
        <v>1008</v>
      </c>
      <c r="T397" s="796" t="s">
        <v>1009</v>
      </c>
      <c r="U397" s="773" t="s">
        <v>2074</v>
      </c>
      <c r="V397" s="773" t="s">
        <v>1033</v>
      </c>
      <c r="W397" s="773" t="s">
        <v>3589</v>
      </c>
      <c r="X397" s="1274">
        <v>1</v>
      </c>
      <c r="Y397" s="841" t="s">
        <v>1020</v>
      </c>
      <c r="Z397" s="790" t="s">
        <v>161</v>
      </c>
      <c r="AA397" s="785"/>
      <c r="AB397" s="785"/>
      <c r="AC397" s="785"/>
      <c r="AD397" s="785"/>
      <c r="AE397" s="785"/>
      <c r="AF397" s="799"/>
      <c r="AG397" s="890"/>
      <c r="AH397" s="890"/>
      <c r="AI397" s="890"/>
      <c r="AJ397" s="890"/>
      <c r="AK397" s="890"/>
      <c r="AL397" s="890"/>
      <c r="AM397" s="890"/>
      <c r="AN397" s="890"/>
      <c r="AO397" s="890"/>
      <c r="AP397" s="890"/>
      <c r="AQ397" s="1764"/>
      <c r="AR397" s="1765"/>
      <c r="AS397" s="1765"/>
      <c r="AT397" s="1765"/>
      <c r="AU397" s="1766"/>
      <c r="AV397" s="891"/>
      <c r="AW397" s="890"/>
      <c r="AX397" s="890"/>
      <c r="AY397" s="890"/>
      <c r="AZ397" s="890"/>
      <c r="BA397" s="890"/>
      <c r="BB397" s="890"/>
      <c r="BC397" s="890"/>
      <c r="BD397" s="890"/>
      <c r="BE397" s="890"/>
      <c r="BF397" s="890"/>
      <c r="BG397" s="890"/>
      <c r="BH397" s="890"/>
      <c r="BI397" s="890"/>
      <c r="BJ397" s="890"/>
      <c r="BK397" s="892"/>
      <c r="BL397" s="1376"/>
      <c r="BM397" s="1377"/>
      <c r="BN397" s="1377"/>
      <c r="BO397" s="1377"/>
      <c r="BP397" s="1440"/>
      <c r="BQ397" s="1420"/>
      <c r="BR397" s="1368"/>
      <c r="BS397" s="1368"/>
      <c r="BT397" s="1368"/>
      <c r="BU397" s="1369"/>
      <c r="BV397" s="1421"/>
      <c r="BW397" s="1373"/>
      <c r="BX397" s="1373"/>
      <c r="BY397" s="1373"/>
      <c r="BZ397" s="1373"/>
      <c r="CA397" s="1420"/>
      <c r="CB397" s="1368"/>
      <c r="CC397" s="1368"/>
      <c r="CD397" s="1368"/>
      <c r="CE397" s="1369"/>
      <c r="CF397" s="1368"/>
      <c r="CG397" s="1368"/>
      <c r="CH397" s="1368"/>
      <c r="CI397" s="1368"/>
      <c r="CJ397" s="1368"/>
      <c r="CK397" s="1420"/>
      <c r="CL397" s="1368"/>
      <c r="CM397" s="1368"/>
      <c r="CN397" s="1368"/>
      <c r="CO397" s="1369"/>
      <c r="CP397" s="1420"/>
      <c r="CQ397" s="1368"/>
      <c r="CR397" s="1368"/>
      <c r="CS397" s="1368"/>
      <c r="CT397" s="1369"/>
      <c r="CU397" s="1528"/>
      <c r="CV397" s="1519"/>
      <c r="CW397" s="1519"/>
      <c r="CX397" s="1728"/>
      <c r="CY397" s="1519"/>
      <c r="CZ397" s="1519"/>
      <c r="DA397" s="1519"/>
      <c r="DB397" s="1728"/>
      <c r="DC397" s="1377"/>
      <c r="DD397" s="1729"/>
      <c r="DE397" s="1734"/>
    </row>
    <row r="398" spans="1:109" ht="65.650000000000006" hidden="1">
      <c r="A398" s="772" t="s">
        <v>1041</v>
      </c>
      <c r="B398" s="773">
        <v>392</v>
      </c>
      <c r="C398" s="789" t="s">
        <v>3590</v>
      </c>
      <c r="D398" s="773" t="s">
        <v>3579</v>
      </c>
      <c r="E398" s="773" t="s">
        <v>1907</v>
      </c>
      <c r="F398" s="785" t="s">
        <v>3591</v>
      </c>
      <c r="G398" s="790" t="s">
        <v>167</v>
      </c>
      <c r="H398" s="773" t="s">
        <v>3592</v>
      </c>
      <c r="I398" s="792"/>
      <c r="J398" s="793">
        <v>1</v>
      </c>
      <c r="K398" s="793"/>
      <c r="L398" s="793"/>
      <c r="M398" s="793"/>
      <c r="N398" s="793"/>
      <c r="O398" s="793"/>
      <c r="P398" s="794"/>
      <c r="Q398" s="795">
        <f t="shared" si="6"/>
        <v>1</v>
      </c>
      <c r="R398" s="789" t="s">
        <v>1026</v>
      </c>
      <c r="S398" s="773" t="s">
        <v>1008</v>
      </c>
      <c r="T398" s="796" t="s">
        <v>1009</v>
      </c>
      <c r="U398" s="773" t="s">
        <v>1915</v>
      </c>
      <c r="V398" s="773" t="s">
        <v>278</v>
      </c>
      <c r="W398" s="773" t="s">
        <v>1146</v>
      </c>
      <c r="X398" s="829">
        <v>2</v>
      </c>
      <c r="Y398" s="841" t="s">
        <v>1020</v>
      </c>
      <c r="Z398" s="790" t="s">
        <v>167</v>
      </c>
      <c r="AA398" s="785"/>
      <c r="AB398" s="785"/>
      <c r="AC398" s="785"/>
      <c r="AD398" s="785"/>
      <c r="AE398" s="785"/>
      <c r="AF398" s="799"/>
      <c r="AG398" s="898"/>
      <c r="AH398" s="898"/>
      <c r="AI398" s="898"/>
      <c r="AJ398" s="898"/>
      <c r="AK398" s="898"/>
      <c r="AL398" s="898"/>
      <c r="AM398" s="898"/>
      <c r="AN398" s="898"/>
      <c r="AO398" s="898"/>
      <c r="AP398" s="898"/>
      <c r="AQ398" s="1421"/>
      <c r="AR398" s="1373"/>
      <c r="AS398" s="1373"/>
      <c r="AT398" s="1373"/>
      <c r="AU398" s="1374"/>
      <c r="AV398" s="808"/>
      <c r="AW398" s="800"/>
      <c r="AX398" s="800"/>
      <c r="AY398" s="800"/>
      <c r="AZ398" s="800"/>
      <c r="BA398" s="800"/>
      <c r="BB398" s="800"/>
      <c r="BC398" s="800"/>
      <c r="BD398" s="800"/>
      <c r="BE398" s="800"/>
      <c r="BF398" s="800"/>
      <c r="BG398" s="800"/>
      <c r="BH398" s="800"/>
      <c r="BI398" s="800"/>
      <c r="BJ398" s="800"/>
      <c r="BK398" s="805"/>
      <c r="BL398" s="1376"/>
      <c r="BM398" s="1377"/>
      <c r="BN398" s="1377"/>
      <c r="BO398" s="1377"/>
      <c r="BP398" s="1440"/>
      <c r="BQ398" s="1420"/>
      <c r="BR398" s="1368"/>
      <c r="BS398" s="1368"/>
      <c r="BT398" s="1368"/>
      <c r="BU398" s="1369"/>
      <c r="BV398" s="1421"/>
      <c r="BW398" s="1373"/>
      <c r="BX398" s="1373"/>
      <c r="BY398" s="1373"/>
      <c r="BZ398" s="1373"/>
      <c r="CA398" s="1420"/>
      <c r="CB398" s="1368"/>
      <c r="CC398" s="1368"/>
      <c r="CD398" s="1368"/>
      <c r="CE398" s="1369"/>
      <c r="CF398" s="1368"/>
      <c r="CG398" s="1368"/>
      <c r="CH398" s="1368"/>
      <c r="CI398" s="1368"/>
      <c r="CJ398" s="1369"/>
      <c r="CK398" s="1420"/>
      <c r="CL398" s="1368"/>
      <c r="CM398" s="1368"/>
      <c r="CN398" s="1368"/>
      <c r="CO398" s="1369"/>
      <c r="CP398" s="1420"/>
      <c r="CQ398" s="1368"/>
      <c r="CR398" s="1368"/>
      <c r="CS398" s="1368"/>
      <c r="CT398" s="1369"/>
      <c r="CU398" s="1528"/>
      <c r="CV398" s="1519"/>
      <c r="CW398" s="1519"/>
      <c r="CX398" s="1728"/>
      <c r="CY398" s="1519"/>
      <c r="CZ398" s="1519"/>
      <c r="DA398" s="1519"/>
      <c r="DB398" s="1728"/>
      <c r="DC398" s="1377"/>
      <c r="DD398" s="1729"/>
      <c r="DE398" s="1734"/>
    </row>
    <row r="399" spans="1:109" ht="39.4" hidden="1">
      <c r="A399" s="772" t="s">
        <v>1041</v>
      </c>
      <c r="B399" s="773">
        <v>393</v>
      </c>
      <c r="C399" s="789" t="s">
        <v>3593</v>
      </c>
      <c r="D399" s="773" t="s">
        <v>3579</v>
      </c>
      <c r="E399" s="773" t="s">
        <v>1889</v>
      </c>
      <c r="F399" s="785" t="s">
        <v>3594</v>
      </c>
      <c r="G399" s="790" t="s">
        <v>3595</v>
      </c>
      <c r="H399" s="773" t="s">
        <v>3596</v>
      </c>
      <c r="I399" s="792"/>
      <c r="J399" s="793">
        <v>1</v>
      </c>
      <c r="K399" s="793"/>
      <c r="L399" s="793"/>
      <c r="M399" s="793"/>
      <c r="N399" s="793"/>
      <c r="O399" s="793"/>
      <c r="P399" s="794"/>
      <c r="Q399" s="795">
        <f t="shared" si="6"/>
        <v>1</v>
      </c>
      <c r="R399" s="789" t="s">
        <v>1030</v>
      </c>
      <c r="S399" s="773" t="s">
        <v>1008</v>
      </c>
      <c r="T399" s="796" t="s">
        <v>1009</v>
      </c>
      <c r="U399" s="773" t="s">
        <v>2149</v>
      </c>
      <c r="V399" s="773" t="s">
        <v>1033</v>
      </c>
      <c r="W399" s="773" t="s">
        <v>3597</v>
      </c>
      <c r="X399" s="829">
        <v>2</v>
      </c>
      <c r="Y399" s="841" t="s">
        <v>1020</v>
      </c>
      <c r="Z399" s="790" t="s">
        <v>2002</v>
      </c>
      <c r="AA399" s="785"/>
      <c r="AB399" s="785"/>
      <c r="AC399" s="785"/>
      <c r="AD399" s="785"/>
      <c r="AE399" s="785"/>
      <c r="AF399" s="799"/>
      <c r="AG399" s="800"/>
      <c r="AH399" s="800"/>
      <c r="AI399" s="800"/>
      <c r="AJ399" s="800"/>
      <c r="AK399" s="800"/>
      <c r="AL399" s="800"/>
      <c r="AM399" s="907"/>
      <c r="AN399" s="829"/>
      <c r="AO399" s="829"/>
      <c r="AP399" s="829"/>
      <c r="AQ399" s="808">
        <v>1.68</v>
      </c>
      <c r="AR399" s="800">
        <v>1.59</v>
      </c>
      <c r="AS399" s="800">
        <v>1.51</v>
      </c>
      <c r="AT399" s="800">
        <v>1.42</v>
      </c>
      <c r="AU399" s="805">
        <v>1.33</v>
      </c>
      <c r="AV399" s="808"/>
      <c r="AW399" s="800"/>
      <c r="AX399" s="800"/>
      <c r="AY399" s="800"/>
      <c r="AZ399" s="800"/>
      <c r="BA399" s="800"/>
      <c r="BB399" s="800"/>
      <c r="BC399" s="800"/>
      <c r="BD399" s="800"/>
      <c r="BE399" s="800"/>
      <c r="BF399" s="800"/>
      <c r="BG399" s="800"/>
      <c r="BH399" s="800"/>
      <c r="BI399" s="800"/>
      <c r="BJ399" s="800"/>
      <c r="BK399" s="805"/>
      <c r="BL399" s="789" t="s">
        <v>168</v>
      </c>
      <c r="BM399" s="785" t="s">
        <v>168</v>
      </c>
      <c r="BN399" s="785" t="s">
        <v>168</v>
      </c>
      <c r="BO399" s="785" t="s">
        <v>168</v>
      </c>
      <c r="BP399" s="796" t="s">
        <v>168</v>
      </c>
      <c r="BQ399" s="808" t="s">
        <v>1942</v>
      </c>
      <c r="BR399" s="800" t="s">
        <v>1942</v>
      </c>
      <c r="BS399" s="800" t="s">
        <v>1942</v>
      </c>
      <c r="BT399" s="800" t="s">
        <v>1942</v>
      </c>
      <c r="BU399" s="805" t="s">
        <v>1942</v>
      </c>
      <c r="BV399" s="806" t="s">
        <v>1942</v>
      </c>
      <c r="BW399" s="807" t="s">
        <v>1942</v>
      </c>
      <c r="BX399" s="807" t="s">
        <v>1942</v>
      </c>
      <c r="BY399" s="807" t="s">
        <v>1942</v>
      </c>
      <c r="BZ399" s="807" t="s">
        <v>1942</v>
      </c>
      <c r="CA399" s="808" t="s">
        <v>1942</v>
      </c>
      <c r="CB399" s="800" t="s">
        <v>1942</v>
      </c>
      <c r="CC399" s="800" t="s">
        <v>1942</v>
      </c>
      <c r="CD399" s="800" t="s">
        <v>1942</v>
      </c>
      <c r="CE399" s="805" t="s">
        <v>1942</v>
      </c>
      <c r="CF399" s="800" t="s">
        <v>1942</v>
      </c>
      <c r="CG399" s="800" t="s">
        <v>1942</v>
      </c>
      <c r="CH399" s="800" t="s">
        <v>1942</v>
      </c>
      <c r="CI399" s="800" t="s">
        <v>1942</v>
      </c>
      <c r="CJ399" s="805" t="s">
        <v>1942</v>
      </c>
      <c r="CK399" s="808" t="s">
        <v>1942</v>
      </c>
      <c r="CL399" s="800" t="s">
        <v>1942</v>
      </c>
      <c r="CM399" s="800" t="s">
        <v>1942</v>
      </c>
      <c r="CN399" s="800" t="s">
        <v>1942</v>
      </c>
      <c r="CO399" s="805" t="s">
        <v>1942</v>
      </c>
      <c r="CP399" s="808" t="s">
        <v>1942</v>
      </c>
      <c r="CQ399" s="800" t="s">
        <v>1942</v>
      </c>
      <c r="CR399" s="800" t="s">
        <v>1942</v>
      </c>
      <c r="CS399" s="800" t="s">
        <v>1942</v>
      </c>
      <c r="CT399" s="805" t="s">
        <v>1942</v>
      </c>
      <c r="CU399" s="1284">
        <v>-0.51100000000000001</v>
      </c>
      <c r="CV399" s="1283" t="s">
        <v>1942</v>
      </c>
      <c r="CW399" s="1283" t="s">
        <v>1942</v>
      </c>
      <c r="CX399" s="1285" t="s">
        <v>1942</v>
      </c>
      <c r="CY399" s="1283">
        <v>0.373</v>
      </c>
      <c r="CZ399" s="1283" t="s">
        <v>1942</v>
      </c>
      <c r="DA399" s="1283" t="s">
        <v>1942</v>
      </c>
      <c r="DB399" s="1285" t="s">
        <v>1942</v>
      </c>
      <c r="DC399" s="785"/>
      <c r="DD399" s="813">
        <v>1</v>
      </c>
      <c r="DE399" s="814"/>
    </row>
    <row r="400" spans="1:109" ht="39.4" hidden="1">
      <c r="A400" s="772" t="s">
        <v>1041</v>
      </c>
      <c r="B400" s="773">
        <v>394</v>
      </c>
      <c r="C400" s="789" t="s">
        <v>3598</v>
      </c>
      <c r="D400" s="773" t="s">
        <v>3599</v>
      </c>
      <c r="E400" s="773" t="s">
        <v>1889</v>
      </c>
      <c r="F400" s="785" t="s">
        <v>3600</v>
      </c>
      <c r="G400" s="790" t="s">
        <v>3601</v>
      </c>
      <c r="H400" s="773" t="s">
        <v>3602</v>
      </c>
      <c r="I400" s="792">
        <v>0.1</v>
      </c>
      <c r="J400" s="793">
        <v>0.9</v>
      </c>
      <c r="K400" s="793"/>
      <c r="L400" s="793"/>
      <c r="M400" s="793"/>
      <c r="N400" s="793"/>
      <c r="O400" s="793"/>
      <c r="P400" s="794"/>
      <c r="Q400" s="795">
        <f t="shared" si="6"/>
        <v>1</v>
      </c>
      <c r="R400" s="789" t="s">
        <v>1026</v>
      </c>
      <c r="S400" s="773" t="s">
        <v>1018</v>
      </c>
      <c r="T400" s="796" t="s">
        <v>1019</v>
      </c>
      <c r="U400" s="773" t="s">
        <v>2944</v>
      </c>
      <c r="V400" s="773" t="s">
        <v>1033</v>
      </c>
      <c r="W400" s="773" t="s">
        <v>396</v>
      </c>
      <c r="X400" s="1274">
        <v>0</v>
      </c>
      <c r="Y400" s="841" t="s">
        <v>1020</v>
      </c>
      <c r="Z400" s="790"/>
      <c r="AA400" s="785"/>
      <c r="AB400" s="785"/>
      <c r="AC400" s="785"/>
      <c r="AD400" s="785"/>
      <c r="AE400" s="785"/>
      <c r="AF400" s="799"/>
      <c r="AG400" s="908"/>
      <c r="AH400" s="800"/>
      <c r="AI400" s="800"/>
      <c r="AJ400" s="800"/>
      <c r="AK400" s="800"/>
      <c r="AL400" s="800"/>
      <c r="AM400" s="800"/>
      <c r="AN400" s="800"/>
      <c r="AO400" s="800"/>
      <c r="AP400" s="800"/>
      <c r="AQ400" s="817">
        <v>0</v>
      </c>
      <c r="AR400" s="816">
        <v>0</v>
      </c>
      <c r="AS400" s="816">
        <v>0</v>
      </c>
      <c r="AT400" s="816">
        <v>0</v>
      </c>
      <c r="AU400" s="818">
        <v>0</v>
      </c>
      <c r="AV400" s="817"/>
      <c r="AW400" s="816"/>
      <c r="AX400" s="816"/>
      <c r="AY400" s="816"/>
      <c r="AZ400" s="816"/>
      <c r="BA400" s="816"/>
      <c r="BB400" s="816"/>
      <c r="BC400" s="816"/>
      <c r="BD400" s="816"/>
      <c r="BE400" s="816"/>
      <c r="BF400" s="816"/>
      <c r="BG400" s="816"/>
      <c r="BH400" s="816"/>
      <c r="BI400" s="816"/>
      <c r="BJ400" s="816"/>
      <c r="BK400" s="818"/>
      <c r="BL400" s="789" t="s">
        <v>168</v>
      </c>
      <c r="BM400" s="785" t="s">
        <v>168</v>
      </c>
      <c r="BN400" s="785" t="s">
        <v>168</v>
      </c>
      <c r="BO400" s="785" t="s">
        <v>168</v>
      </c>
      <c r="BP400" s="796" t="s">
        <v>168</v>
      </c>
      <c r="BQ400" s="808" t="s">
        <v>1942</v>
      </c>
      <c r="BR400" s="800" t="s">
        <v>1942</v>
      </c>
      <c r="BS400" s="800" t="s">
        <v>1942</v>
      </c>
      <c r="BT400" s="800" t="s">
        <v>1942</v>
      </c>
      <c r="BU400" s="805" t="s">
        <v>1942</v>
      </c>
      <c r="BV400" s="806" t="s">
        <v>1942</v>
      </c>
      <c r="BW400" s="807" t="s">
        <v>1942</v>
      </c>
      <c r="BX400" s="807" t="s">
        <v>1942</v>
      </c>
      <c r="BY400" s="807" t="s">
        <v>1942</v>
      </c>
      <c r="BZ400" s="807" t="s">
        <v>1942</v>
      </c>
      <c r="CA400" s="808" t="s">
        <v>1942</v>
      </c>
      <c r="CB400" s="800" t="s">
        <v>1942</v>
      </c>
      <c r="CC400" s="800" t="s">
        <v>1942</v>
      </c>
      <c r="CD400" s="800" t="s">
        <v>1942</v>
      </c>
      <c r="CE400" s="805" t="s">
        <v>1942</v>
      </c>
      <c r="CF400" s="800" t="s">
        <v>1942</v>
      </c>
      <c r="CG400" s="800" t="s">
        <v>1942</v>
      </c>
      <c r="CH400" s="800" t="s">
        <v>1942</v>
      </c>
      <c r="CI400" s="800" t="s">
        <v>1942</v>
      </c>
      <c r="CJ400" s="805" t="s">
        <v>1942</v>
      </c>
      <c r="CK400" s="808" t="s">
        <v>1942</v>
      </c>
      <c r="CL400" s="800" t="s">
        <v>1942</v>
      </c>
      <c r="CM400" s="800" t="s">
        <v>1942</v>
      </c>
      <c r="CN400" s="800" t="s">
        <v>1942</v>
      </c>
      <c r="CO400" s="805" t="s">
        <v>1942</v>
      </c>
      <c r="CP400" s="808" t="s">
        <v>1942</v>
      </c>
      <c r="CQ400" s="800" t="s">
        <v>1942</v>
      </c>
      <c r="CR400" s="800" t="s">
        <v>1942</v>
      </c>
      <c r="CS400" s="800" t="s">
        <v>1942</v>
      </c>
      <c r="CT400" s="805" t="s">
        <v>1942</v>
      </c>
      <c r="CU400" s="1284">
        <v>-0.17599999999999999</v>
      </c>
      <c r="CV400" s="1283" t="s">
        <v>1942</v>
      </c>
      <c r="CW400" s="1283" t="s">
        <v>1942</v>
      </c>
      <c r="CX400" s="1285" t="s">
        <v>1942</v>
      </c>
      <c r="CY400" s="1283" t="s">
        <v>1942</v>
      </c>
      <c r="CZ400" s="1283" t="s">
        <v>1942</v>
      </c>
      <c r="DA400" s="1283" t="s">
        <v>1942</v>
      </c>
      <c r="DB400" s="1285" t="s">
        <v>1942</v>
      </c>
      <c r="DC400" s="785" t="s">
        <v>131</v>
      </c>
      <c r="DD400" s="813">
        <v>1</v>
      </c>
      <c r="DE400" s="814"/>
    </row>
    <row r="401" spans="1:109" ht="39.4" hidden="1">
      <c r="A401" s="772" t="s">
        <v>1041</v>
      </c>
      <c r="B401" s="773">
        <v>395</v>
      </c>
      <c r="C401" s="789" t="s">
        <v>3603</v>
      </c>
      <c r="D401" s="773" t="s">
        <v>3599</v>
      </c>
      <c r="E401" s="773" t="s">
        <v>1889</v>
      </c>
      <c r="F401" s="785" t="s">
        <v>3604</v>
      </c>
      <c r="G401" s="790" t="s">
        <v>669</v>
      </c>
      <c r="H401" s="773" t="s">
        <v>3605</v>
      </c>
      <c r="I401" s="792"/>
      <c r="J401" s="793">
        <v>1</v>
      </c>
      <c r="K401" s="793"/>
      <c r="L401" s="793"/>
      <c r="M401" s="793"/>
      <c r="N401" s="793"/>
      <c r="O401" s="793"/>
      <c r="P401" s="794"/>
      <c r="Q401" s="795">
        <f t="shared" si="6"/>
        <v>1</v>
      </c>
      <c r="R401" s="789" t="s">
        <v>1030</v>
      </c>
      <c r="S401" s="773" t="s">
        <v>1008</v>
      </c>
      <c r="T401" s="796" t="s">
        <v>1009</v>
      </c>
      <c r="U401" s="773" t="s">
        <v>669</v>
      </c>
      <c r="V401" s="773" t="s">
        <v>278</v>
      </c>
      <c r="W401" s="773" t="s">
        <v>3606</v>
      </c>
      <c r="X401" s="1274">
        <v>1</v>
      </c>
      <c r="Y401" s="841" t="s">
        <v>1010</v>
      </c>
      <c r="Z401" s="790" t="s">
        <v>669</v>
      </c>
      <c r="AA401" s="785"/>
      <c r="AB401" s="785"/>
      <c r="AC401" s="785"/>
      <c r="AD401" s="785"/>
      <c r="AE401" s="785"/>
      <c r="AF401" s="799"/>
      <c r="AG401" s="908"/>
      <c r="AH401" s="800"/>
      <c r="AI401" s="800"/>
      <c r="AJ401" s="800"/>
      <c r="AK401" s="800"/>
      <c r="AL401" s="800"/>
      <c r="AM401" s="800"/>
      <c r="AN401" s="800"/>
      <c r="AO401" s="800"/>
      <c r="AP401" s="800"/>
      <c r="AQ401" s="1421"/>
      <c r="AR401" s="1373"/>
      <c r="AS401" s="1373"/>
      <c r="AT401" s="1373"/>
      <c r="AU401" s="1374"/>
      <c r="AV401" s="817"/>
      <c r="AW401" s="816"/>
      <c r="AX401" s="816"/>
      <c r="AY401" s="816"/>
      <c r="AZ401" s="816"/>
      <c r="BA401" s="816"/>
      <c r="BB401" s="816"/>
      <c r="BC401" s="816"/>
      <c r="BD401" s="816"/>
      <c r="BE401" s="816"/>
      <c r="BF401" s="816"/>
      <c r="BG401" s="816"/>
      <c r="BH401" s="816"/>
      <c r="BI401" s="816"/>
      <c r="BJ401" s="816"/>
      <c r="BK401" s="818"/>
      <c r="BL401" s="1376"/>
      <c r="BM401" s="1377"/>
      <c r="BN401" s="1377"/>
      <c r="BO401" s="1377"/>
      <c r="BP401" s="1440"/>
      <c r="BQ401" s="1521"/>
      <c r="BR401" s="1730"/>
      <c r="BS401" s="1730"/>
      <c r="BT401" s="1730"/>
      <c r="BU401" s="1527"/>
      <c r="BV401" s="1767"/>
      <c r="BW401" s="1768"/>
      <c r="BX401" s="1768"/>
      <c r="BY401" s="1768"/>
      <c r="BZ401" s="1768"/>
      <c r="CA401" s="1420"/>
      <c r="CB401" s="1368"/>
      <c r="CC401" s="1368"/>
      <c r="CD401" s="1368"/>
      <c r="CE401" s="1369"/>
      <c r="CF401" s="1368"/>
      <c r="CG401" s="1368"/>
      <c r="CH401" s="1368"/>
      <c r="CI401" s="1368"/>
      <c r="CJ401" s="1369"/>
      <c r="CK401" s="1767"/>
      <c r="CL401" s="1768"/>
      <c r="CM401" s="1768"/>
      <c r="CN401" s="1768"/>
      <c r="CO401" s="1769"/>
      <c r="CP401" s="1420"/>
      <c r="CQ401" s="1368"/>
      <c r="CR401" s="1368"/>
      <c r="CS401" s="1368"/>
      <c r="CT401" s="1369"/>
      <c r="CU401" s="1528"/>
      <c r="CV401" s="1519"/>
      <c r="CW401" s="1519"/>
      <c r="CX401" s="1728"/>
      <c r="CY401" s="1519"/>
      <c r="CZ401" s="1519"/>
      <c r="DA401" s="1519"/>
      <c r="DB401" s="1728"/>
      <c r="DC401" s="1377"/>
      <c r="DD401" s="1729"/>
      <c r="DE401" s="1734"/>
    </row>
    <row r="402" spans="1:109" ht="39.4" hidden="1">
      <c r="A402" s="772" t="s">
        <v>1041</v>
      </c>
      <c r="B402" s="773">
        <v>396</v>
      </c>
      <c r="C402" s="789" t="s">
        <v>3607</v>
      </c>
      <c r="D402" s="773" t="s">
        <v>3599</v>
      </c>
      <c r="E402" s="773" t="s">
        <v>1907</v>
      </c>
      <c r="F402" s="785" t="s">
        <v>3608</v>
      </c>
      <c r="G402" s="790" t="s">
        <v>1902</v>
      </c>
      <c r="H402" s="773" t="s">
        <v>3609</v>
      </c>
      <c r="I402" s="792"/>
      <c r="J402" s="793">
        <v>1</v>
      </c>
      <c r="K402" s="793"/>
      <c r="L402" s="793"/>
      <c r="M402" s="793"/>
      <c r="N402" s="793"/>
      <c r="O402" s="793"/>
      <c r="P402" s="794"/>
      <c r="Q402" s="795">
        <f t="shared" si="6"/>
        <v>1</v>
      </c>
      <c r="R402" s="789" t="s">
        <v>1030</v>
      </c>
      <c r="S402" s="773" t="s">
        <v>1018</v>
      </c>
      <c r="T402" s="796" t="s">
        <v>1019</v>
      </c>
      <c r="U402" s="773" t="s">
        <v>2054</v>
      </c>
      <c r="V402" s="773" t="s">
        <v>1033</v>
      </c>
      <c r="W402" s="773" t="s">
        <v>3610</v>
      </c>
      <c r="X402" s="829">
        <v>1</v>
      </c>
      <c r="Y402" s="805" t="s">
        <v>1020</v>
      </c>
      <c r="Z402" s="790" t="s">
        <v>1902</v>
      </c>
      <c r="AA402" s="785"/>
      <c r="AB402" s="785"/>
      <c r="AC402" s="785"/>
      <c r="AD402" s="785"/>
      <c r="AE402" s="785"/>
      <c r="AF402" s="799"/>
      <c r="AG402" s="908"/>
      <c r="AH402" s="800"/>
      <c r="AI402" s="800"/>
      <c r="AJ402" s="800"/>
      <c r="AK402" s="800"/>
      <c r="AL402" s="800"/>
      <c r="AM402" s="800"/>
      <c r="AN402" s="829"/>
      <c r="AO402" s="829"/>
      <c r="AP402" s="829"/>
      <c r="AQ402" s="1420"/>
      <c r="AR402" s="1368"/>
      <c r="AS402" s="1368"/>
      <c r="AT402" s="1368"/>
      <c r="AU402" s="1369"/>
      <c r="AV402" s="808"/>
      <c r="AW402" s="800"/>
      <c r="AX402" s="800"/>
      <c r="AY402" s="800"/>
      <c r="AZ402" s="800"/>
      <c r="BA402" s="800"/>
      <c r="BB402" s="800"/>
      <c r="BC402" s="800"/>
      <c r="BD402" s="800"/>
      <c r="BE402" s="800"/>
      <c r="BF402" s="800"/>
      <c r="BG402" s="800"/>
      <c r="BH402" s="800"/>
      <c r="BI402" s="800"/>
      <c r="BJ402" s="800"/>
      <c r="BK402" s="805"/>
      <c r="BL402" s="1376"/>
      <c r="BM402" s="1377"/>
      <c r="BN402" s="1377"/>
      <c r="BO402" s="1377"/>
      <c r="BP402" s="1440"/>
      <c r="BQ402" s="1420"/>
      <c r="BR402" s="1368"/>
      <c r="BS402" s="1368"/>
      <c r="BT402" s="1368"/>
      <c r="BU402" s="1369"/>
      <c r="BV402" s="1421"/>
      <c r="BW402" s="1373"/>
      <c r="BX402" s="1373"/>
      <c r="BY402" s="1373"/>
      <c r="BZ402" s="1373"/>
      <c r="CA402" s="1420"/>
      <c r="CB402" s="1368"/>
      <c r="CC402" s="1368"/>
      <c r="CD402" s="1368"/>
      <c r="CE402" s="1369"/>
      <c r="CF402" s="1368"/>
      <c r="CG402" s="1368"/>
      <c r="CH402" s="1368"/>
      <c r="CI402" s="1368"/>
      <c r="CJ402" s="1369"/>
      <c r="CK402" s="1420"/>
      <c r="CL402" s="1368"/>
      <c r="CM402" s="1368"/>
      <c r="CN402" s="1368"/>
      <c r="CO402" s="1369"/>
      <c r="CP402" s="1420"/>
      <c r="CQ402" s="1368"/>
      <c r="CR402" s="1368"/>
      <c r="CS402" s="1368"/>
      <c r="CT402" s="1369"/>
      <c r="CU402" s="1528"/>
      <c r="CV402" s="1519"/>
      <c r="CW402" s="1519"/>
      <c r="CX402" s="1728"/>
      <c r="CY402" s="1519"/>
      <c r="CZ402" s="1519"/>
      <c r="DA402" s="1519"/>
      <c r="DB402" s="1728"/>
      <c r="DC402" s="1377"/>
      <c r="DD402" s="1729"/>
      <c r="DE402" s="1734"/>
    </row>
    <row r="403" spans="1:109" ht="52.5" hidden="1">
      <c r="A403" s="772" t="s">
        <v>1041</v>
      </c>
      <c r="B403" s="773">
        <v>397</v>
      </c>
      <c r="C403" s="789" t="s">
        <v>3611</v>
      </c>
      <c r="D403" s="773" t="s">
        <v>3612</v>
      </c>
      <c r="E403" s="773" t="s">
        <v>1889</v>
      </c>
      <c r="F403" s="785" t="s">
        <v>3613</v>
      </c>
      <c r="G403" s="790" t="s">
        <v>732</v>
      </c>
      <c r="H403" s="773" t="s">
        <v>3614</v>
      </c>
      <c r="I403" s="792"/>
      <c r="J403" s="793"/>
      <c r="K403" s="793">
        <v>1</v>
      </c>
      <c r="L403" s="793"/>
      <c r="M403" s="793"/>
      <c r="N403" s="793"/>
      <c r="O403" s="793"/>
      <c r="P403" s="794"/>
      <c r="Q403" s="795">
        <f t="shared" si="6"/>
        <v>1</v>
      </c>
      <c r="R403" s="789" t="s">
        <v>1030</v>
      </c>
      <c r="S403" s="773" t="s">
        <v>1008</v>
      </c>
      <c r="T403" s="796" t="s">
        <v>1009</v>
      </c>
      <c r="U403" s="773" t="s">
        <v>2058</v>
      </c>
      <c r="V403" s="773" t="s">
        <v>1033</v>
      </c>
      <c r="W403" s="773" t="s">
        <v>3615</v>
      </c>
      <c r="X403" s="829">
        <v>2</v>
      </c>
      <c r="Y403" s="805" t="s">
        <v>1020</v>
      </c>
      <c r="Z403" s="790" t="s">
        <v>732</v>
      </c>
      <c r="AA403" s="785"/>
      <c r="AB403" s="785"/>
      <c r="AC403" s="785"/>
      <c r="AD403" s="785"/>
      <c r="AE403" s="785"/>
      <c r="AF403" s="799"/>
      <c r="AG403" s="800"/>
      <c r="AH403" s="800"/>
      <c r="AI403" s="829"/>
      <c r="AJ403" s="829"/>
      <c r="AK403" s="829"/>
      <c r="AL403" s="829"/>
      <c r="AM403" s="829"/>
      <c r="AN403" s="829"/>
      <c r="AO403" s="829"/>
      <c r="AP403" s="829"/>
      <c r="AQ403" s="1420"/>
      <c r="AR403" s="1368"/>
      <c r="AS403" s="1368"/>
      <c r="AT403" s="1368"/>
      <c r="AU403" s="1369"/>
      <c r="AV403" s="828"/>
      <c r="AW403" s="829"/>
      <c r="AX403" s="829"/>
      <c r="AY403" s="829"/>
      <c r="AZ403" s="829"/>
      <c r="BA403" s="829"/>
      <c r="BB403" s="829"/>
      <c r="BC403" s="829"/>
      <c r="BD403" s="829"/>
      <c r="BE403" s="829"/>
      <c r="BF403" s="829"/>
      <c r="BG403" s="829"/>
      <c r="BH403" s="829"/>
      <c r="BI403" s="829"/>
      <c r="BJ403" s="829"/>
      <c r="BK403" s="830"/>
      <c r="BL403" s="1376"/>
      <c r="BM403" s="1377"/>
      <c r="BN403" s="1377"/>
      <c r="BO403" s="1377"/>
      <c r="BP403" s="1440"/>
      <c r="BQ403" s="1420"/>
      <c r="BR403" s="1368"/>
      <c r="BS403" s="1368"/>
      <c r="BT403" s="1368"/>
      <c r="BU403" s="1369"/>
      <c r="BV403" s="1421"/>
      <c r="BW403" s="1373"/>
      <c r="BX403" s="1373"/>
      <c r="BY403" s="1373"/>
      <c r="BZ403" s="1373"/>
      <c r="CA403" s="1420"/>
      <c r="CB403" s="1368"/>
      <c r="CC403" s="1368"/>
      <c r="CD403" s="1368"/>
      <c r="CE403" s="1369"/>
      <c r="CF403" s="1368"/>
      <c r="CG403" s="1368"/>
      <c r="CH403" s="1368"/>
      <c r="CI403" s="1368"/>
      <c r="CJ403" s="1369"/>
      <c r="CK403" s="1421"/>
      <c r="CL403" s="1373"/>
      <c r="CM403" s="1373"/>
      <c r="CN403" s="1373"/>
      <c r="CO403" s="1374"/>
      <c r="CP403" s="1421"/>
      <c r="CQ403" s="1373"/>
      <c r="CR403" s="1373"/>
      <c r="CS403" s="1373"/>
      <c r="CT403" s="1374"/>
      <c r="CU403" s="1528"/>
      <c r="CV403" s="1519"/>
      <c r="CW403" s="1519"/>
      <c r="CX403" s="1728"/>
      <c r="CY403" s="1519"/>
      <c r="CZ403" s="1519"/>
      <c r="DA403" s="1519"/>
      <c r="DB403" s="1728"/>
      <c r="DC403" s="1377"/>
      <c r="DD403" s="1729"/>
      <c r="DE403" s="1734"/>
    </row>
    <row r="404" spans="1:109" ht="39.4" hidden="1">
      <c r="A404" s="772" t="s">
        <v>1041</v>
      </c>
      <c r="B404" s="773">
        <v>398</v>
      </c>
      <c r="C404" s="789" t="s">
        <v>3616</v>
      </c>
      <c r="D404" s="773" t="s">
        <v>3612</v>
      </c>
      <c r="E404" s="773" t="s">
        <v>1889</v>
      </c>
      <c r="F404" s="785" t="s">
        <v>3617</v>
      </c>
      <c r="G404" s="790" t="s">
        <v>3618</v>
      </c>
      <c r="H404" s="773" t="s">
        <v>3619</v>
      </c>
      <c r="I404" s="792"/>
      <c r="J404" s="793"/>
      <c r="K404" s="793">
        <v>1</v>
      </c>
      <c r="L404" s="793"/>
      <c r="M404" s="793"/>
      <c r="N404" s="793"/>
      <c r="O404" s="793"/>
      <c r="P404" s="794"/>
      <c r="Q404" s="795">
        <f t="shared" si="6"/>
        <v>1</v>
      </c>
      <c r="R404" s="789" t="s">
        <v>1030</v>
      </c>
      <c r="S404" s="773" t="s">
        <v>1008</v>
      </c>
      <c r="T404" s="796" t="s">
        <v>1009</v>
      </c>
      <c r="U404" s="773" t="s">
        <v>2058</v>
      </c>
      <c r="V404" s="773" t="s">
        <v>1033</v>
      </c>
      <c r="W404" s="773" t="s">
        <v>396</v>
      </c>
      <c r="X404" s="1274">
        <v>0</v>
      </c>
      <c r="Y404" s="811" t="s">
        <v>1020</v>
      </c>
      <c r="Z404" s="790" t="s">
        <v>2098</v>
      </c>
      <c r="AA404" s="785"/>
      <c r="AB404" s="785"/>
      <c r="AC404" s="785"/>
      <c r="AD404" s="785"/>
      <c r="AE404" s="785"/>
      <c r="AF404" s="799"/>
      <c r="AG404" s="807"/>
      <c r="AH404" s="800"/>
      <c r="AI404" s="800"/>
      <c r="AJ404" s="800"/>
      <c r="AK404" s="800"/>
      <c r="AL404" s="800"/>
      <c r="AM404" s="800"/>
      <c r="AN404" s="800"/>
      <c r="AO404" s="800"/>
      <c r="AP404" s="800"/>
      <c r="AQ404" s="808">
        <v>1665</v>
      </c>
      <c r="AR404" s="800">
        <v>1530</v>
      </c>
      <c r="AS404" s="800">
        <v>1395</v>
      </c>
      <c r="AT404" s="800">
        <v>1260</v>
      </c>
      <c r="AU404" s="805">
        <v>1123</v>
      </c>
      <c r="AV404" s="808"/>
      <c r="AW404" s="800"/>
      <c r="AX404" s="800"/>
      <c r="AY404" s="800"/>
      <c r="AZ404" s="800"/>
      <c r="BA404" s="800"/>
      <c r="BB404" s="800"/>
      <c r="BC404" s="800"/>
      <c r="BD404" s="800"/>
      <c r="BE404" s="800"/>
      <c r="BF404" s="800"/>
      <c r="BG404" s="800"/>
      <c r="BH404" s="800"/>
      <c r="BI404" s="800"/>
      <c r="BJ404" s="800"/>
      <c r="BK404" s="805"/>
      <c r="BL404" s="789" t="s">
        <v>168</v>
      </c>
      <c r="BM404" s="785" t="s">
        <v>168</v>
      </c>
      <c r="BN404" s="785" t="s">
        <v>168</v>
      </c>
      <c r="BO404" s="785" t="s">
        <v>168</v>
      </c>
      <c r="BP404" s="796" t="s">
        <v>168</v>
      </c>
      <c r="BQ404" s="808" t="s">
        <v>1942</v>
      </c>
      <c r="BR404" s="800" t="s">
        <v>1942</v>
      </c>
      <c r="BS404" s="800" t="s">
        <v>1942</v>
      </c>
      <c r="BT404" s="800" t="s">
        <v>1942</v>
      </c>
      <c r="BU404" s="805" t="s">
        <v>1942</v>
      </c>
      <c r="BV404" s="806">
        <v>2048</v>
      </c>
      <c r="BW404" s="807">
        <v>1882</v>
      </c>
      <c r="BX404" s="807">
        <v>1716</v>
      </c>
      <c r="BY404" s="807">
        <v>1550</v>
      </c>
      <c r="BZ404" s="807">
        <v>1381</v>
      </c>
      <c r="CA404" s="808" t="s">
        <v>1942</v>
      </c>
      <c r="CB404" s="800" t="s">
        <v>1942</v>
      </c>
      <c r="CC404" s="800" t="s">
        <v>1942</v>
      </c>
      <c r="CD404" s="800" t="s">
        <v>1942</v>
      </c>
      <c r="CE404" s="805" t="s">
        <v>1942</v>
      </c>
      <c r="CF404" s="800" t="s">
        <v>1942</v>
      </c>
      <c r="CG404" s="800" t="s">
        <v>1942</v>
      </c>
      <c r="CH404" s="800" t="s">
        <v>1942</v>
      </c>
      <c r="CI404" s="800" t="s">
        <v>1942</v>
      </c>
      <c r="CJ404" s="805" t="s">
        <v>1942</v>
      </c>
      <c r="CK404" s="808">
        <v>915</v>
      </c>
      <c r="CL404" s="800">
        <v>835</v>
      </c>
      <c r="CM404" s="800">
        <v>809</v>
      </c>
      <c r="CN404" s="800">
        <v>703</v>
      </c>
      <c r="CO404" s="805">
        <v>545</v>
      </c>
      <c r="CP404" s="808" t="s">
        <v>1942</v>
      </c>
      <c r="CQ404" s="800" t="s">
        <v>1942</v>
      </c>
      <c r="CR404" s="800" t="s">
        <v>1942</v>
      </c>
      <c r="CS404" s="800" t="s">
        <v>1942</v>
      </c>
      <c r="CT404" s="805" t="s">
        <v>1942</v>
      </c>
      <c r="CU404" s="1284">
        <v>-0.01</v>
      </c>
      <c r="CV404" s="1283" t="s">
        <v>1942</v>
      </c>
      <c r="CW404" s="1283" t="s">
        <v>1942</v>
      </c>
      <c r="CX404" s="1285" t="s">
        <v>1942</v>
      </c>
      <c r="CY404" s="1283">
        <v>6.0000000000000001E-3</v>
      </c>
      <c r="CZ404" s="1283" t="s">
        <v>1942</v>
      </c>
      <c r="DA404" s="1283" t="s">
        <v>1942</v>
      </c>
      <c r="DB404" s="1285" t="s">
        <v>1942</v>
      </c>
      <c r="DC404" s="785"/>
      <c r="DD404" s="813">
        <v>1</v>
      </c>
      <c r="DE404" s="814"/>
    </row>
    <row r="405" spans="1:109" ht="26.25" hidden="1">
      <c r="A405" s="772" t="s">
        <v>1041</v>
      </c>
      <c r="B405" s="773">
        <v>399</v>
      </c>
      <c r="C405" s="789" t="s">
        <v>3620</v>
      </c>
      <c r="D405" s="773" t="s">
        <v>3612</v>
      </c>
      <c r="E405" s="773" t="s">
        <v>1889</v>
      </c>
      <c r="F405" s="785" t="s">
        <v>3621</v>
      </c>
      <c r="G405" s="790" t="s">
        <v>743</v>
      </c>
      <c r="H405" s="773" t="s">
        <v>3622</v>
      </c>
      <c r="I405" s="792"/>
      <c r="J405" s="793"/>
      <c r="K405" s="793">
        <v>1</v>
      </c>
      <c r="L405" s="793"/>
      <c r="M405" s="793"/>
      <c r="N405" s="793"/>
      <c r="O405" s="793"/>
      <c r="P405" s="794"/>
      <c r="Q405" s="795">
        <f t="shared" si="6"/>
        <v>1</v>
      </c>
      <c r="R405" s="789" t="s">
        <v>1030</v>
      </c>
      <c r="S405" s="773" t="s">
        <v>1008</v>
      </c>
      <c r="T405" s="796" t="s">
        <v>1009</v>
      </c>
      <c r="U405" s="773" t="s">
        <v>2237</v>
      </c>
      <c r="V405" s="773" t="s">
        <v>1033</v>
      </c>
      <c r="W405" s="773" t="s">
        <v>3623</v>
      </c>
      <c r="X405" s="829">
        <v>2</v>
      </c>
      <c r="Y405" s="841" t="s">
        <v>1020</v>
      </c>
      <c r="Z405" s="790" t="s">
        <v>743</v>
      </c>
      <c r="AA405" s="785"/>
      <c r="AB405" s="785"/>
      <c r="AC405" s="785"/>
      <c r="AD405" s="785"/>
      <c r="AE405" s="785"/>
      <c r="AF405" s="799"/>
      <c r="AG405" s="807"/>
      <c r="AH405" s="807"/>
      <c r="AI405" s="807"/>
      <c r="AJ405" s="807"/>
      <c r="AK405" s="807"/>
      <c r="AL405" s="800"/>
      <c r="AM405" s="800"/>
      <c r="AN405" s="800"/>
      <c r="AO405" s="800"/>
      <c r="AP405" s="800"/>
      <c r="AQ405" s="1420"/>
      <c r="AR405" s="1368"/>
      <c r="AS405" s="1368"/>
      <c r="AT405" s="1368"/>
      <c r="AU405" s="1369"/>
      <c r="AV405" s="808"/>
      <c r="AW405" s="800"/>
      <c r="AX405" s="800"/>
      <c r="AY405" s="800"/>
      <c r="AZ405" s="800"/>
      <c r="BA405" s="800"/>
      <c r="BB405" s="800"/>
      <c r="BC405" s="800"/>
      <c r="BD405" s="800"/>
      <c r="BE405" s="800"/>
      <c r="BF405" s="800"/>
      <c r="BG405" s="800"/>
      <c r="BH405" s="800"/>
      <c r="BI405" s="800"/>
      <c r="BJ405" s="800"/>
      <c r="BK405" s="805"/>
      <c r="BL405" s="1376"/>
      <c r="BM405" s="1377"/>
      <c r="BN405" s="1377"/>
      <c r="BO405" s="1377"/>
      <c r="BP405" s="1440"/>
      <c r="BQ405" s="1420"/>
      <c r="BR405" s="1368"/>
      <c r="BS405" s="1368"/>
      <c r="BT405" s="1368"/>
      <c r="BU405" s="1369"/>
      <c r="BV405" s="1421"/>
      <c r="BW405" s="1373"/>
      <c r="BX405" s="1373"/>
      <c r="BY405" s="1373"/>
      <c r="BZ405" s="1373"/>
      <c r="CA405" s="1420"/>
      <c r="CB405" s="1368"/>
      <c r="CC405" s="1368"/>
      <c r="CD405" s="1368"/>
      <c r="CE405" s="1369"/>
      <c r="CF405" s="1368"/>
      <c r="CG405" s="1368"/>
      <c r="CH405" s="1368"/>
      <c r="CI405" s="1368"/>
      <c r="CJ405" s="1369"/>
      <c r="CK405" s="1420"/>
      <c r="CL405" s="1368"/>
      <c r="CM405" s="1368"/>
      <c r="CN405" s="1368"/>
      <c r="CO405" s="1369"/>
      <c r="CP405" s="1420"/>
      <c r="CQ405" s="1368"/>
      <c r="CR405" s="1368"/>
      <c r="CS405" s="1368"/>
      <c r="CT405" s="1369"/>
      <c r="CU405" s="1528"/>
      <c r="CV405" s="1519"/>
      <c r="CW405" s="1519"/>
      <c r="CX405" s="1728"/>
      <c r="CY405" s="1519"/>
      <c r="CZ405" s="1519"/>
      <c r="DA405" s="1519"/>
      <c r="DB405" s="1728"/>
      <c r="DC405" s="1377"/>
      <c r="DD405" s="1729"/>
      <c r="DE405" s="1734"/>
    </row>
    <row r="406" spans="1:109" ht="26.25" hidden="1">
      <c r="A406" s="772" t="s">
        <v>1041</v>
      </c>
      <c r="B406" s="773">
        <v>400</v>
      </c>
      <c r="C406" s="789" t="s">
        <v>3624</v>
      </c>
      <c r="D406" s="773" t="s">
        <v>3612</v>
      </c>
      <c r="E406" s="773" t="s">
        <v>1889</v>
      </c>
      <c r="F406" s="785" t="s">
        <v>3625</v>
      </c>
      <c r="G406" s="790" t="s">
        <v>2416</v>
      </c>
      <c r="H406" s="773" t="s">
        <v>3626</v>
      </c>
      <c r="I406" s="792"/>
      <c r="J406" s="793"/>
      <c r="K406" s="793">
        <v>1</v>
      </c>
      <c r="L406" s="793"/>
      <c r="M406" s="793"/>
      <c r="N406" s="793"/>
      <c r="O406" s="793"/>
      <c r="P406" s="794"/>
      <c r="Q406" s="795">
        <f t="shared" si="6"/>
        <v>1</v>
      </c>
      <c r="R406" s="789" t="s">
        <v>1030</v>
      </c>
      <c r="S406" s="773" t="s">
        <v>1008</v>
      </c>
      <c r="T406" s="796" t="s">
        <v>1009</v>
      </c>
      <c r="U406" s="773" t="s">
        <v>2237</v>
      </c>
      <c r="V406" s="773" t="s">
        <v>1033</v>
      </c>
      <c r="W406" s="773" t="s">
        <v>396</v>
      </c>
      <c r="X406" s="1274">
        <v>0</v>
      </c>
      <c r="Y406" s="841" t="s">
        <v>1020</v>
      </c>
      <c r="Z406" s="790" t="s">
        <v>2416</v>
      </c>
      <c r="AA406" s="785"/>
      <c r="AB406" s="785"/>
      <c r="AC406" s="785"/>
      <c r="AD406" s="785"/>
      <c r="AE406" s="785"/>
      <c r="AF406" s="799"/>
      <c r="AG406" s="800"/>
      <c r="AH406" s="800"/>
      <c r="AI406" s="800"/>
      <c r="AJ406" s="800"/>
      <c r="AK406" s="800"/>
      <c r="AL406" s="800"/>
      <c r="AM406" s="800"/>
      <c r="AN406" s="800"/>
      <c r="AO406" s="800"/>
      <c r="AP406" s="800"/>
      <c r="AQ406" s="808">
        <v>7540</v>
      </c>
      <c r="AR406" s="800">
        <v>7280</v>
      </c>
      <c r="AS406" s="800">
        <v>7020</v>
      </c>
      <c r="AT406" s="800">
        <v>6760</v>
      </c>
      <c r="AU406" s="805">
        <v>6500</v>
      </c>
      <c r="AV406" s="808"/>
      <c r="AW406" s="800"/>
      <c r="AX406" s="800"/>
      <c r="AY406" s="800"/>
      <c r="AZ406" s="800"/>
      <c r="BA406" s="800"/>
      <c r="BB406" s="800"/>
      <c r="BC406" s="800"/>
      <c r="BD406" s="800"/>
      <c r="BE406" s="800"/>
      <c r="BF406" s="800"/>
      <c r="BG406" s="800"/>
      <c r="BH406" s="800"/>
      <c r="BI406" s="800"/>
      <c r="BJ406" s="800"/>
      <c r="BK406" s="805"/>
      <c r="BL406" s="789" t="s">
        <v>168</v>
      </c>
      <c r="BM406" s="785" t="s">
        <v>168</v>
      </c>
      <c r="BN406" s="785" t="s">
        <v>168</v>
      </c>
      <c r="BO406" s="785" t="s">
        <v>168</v>
      </c>
      <c r="BP406" s="796" t="s">
        <v>168</v>
      </c>
      <c r="BQ406" s="808" t="s">
        <v>1942</v>
      </c>
      <c r="BR406" s="800" t="s">
        <v>1942</v>
      </c>
      <c r="BS406" s="800" t="s">
        <v>1942</v>
      </c>
      <c r="BT406" s="800" t="s">
        <v>1942</v>
      </c>
      <c r="BU406" s="805" t="s">
        <v>1942</v>
      </c>
      <c r="BV406" s="806">
        <v>8542</v>
      </c>
      <c r="BW406" s="807">
        <v>8282</v>
      </c>
      <c r="BX406" s="807">
        <v>8022</v>
      </c>
      <c r="BY406" s="807">
        <v>7762</v>
      </c>
      <c r="BZ406" s="807">
        <v>7502</v>
      </c>
      <c r="CA406" s="808" t="s">
        <v>1942</v>
      </c>
      <c r="CB406" s="800" t="s">
        <v>1942</v>
      </c>
      <c r="CC406" s="800" t="s">
        <v>1942</v>
      </c>
      <c r="CD406" s="800" t="s">
        <v>1942</v>
      </c>
      <c r="CE406" s="805" t="s">
        <v>1942</v>
      </c>
      <c r="CF406" s="800" t="s">
        <v>1942</v>
      </c>
      <c r="CG406" s="800" t="s">
        <v>1942</v>
      </c>
      <c r="CH406" s="800" t="s">
        <v>1942</v>
      </c>
      <c r="CI406" s="800" t="s">
        <v>1942</v>
      </c>
      <c r="CJ406" s="805" t="s">
        <v>1942</v>
      </c>
      <c r="CK406" s="808">
        <v>6040</v>
      </c>
      <c r="CL406" s="800">
        <v>5780</v>
      </c>
      <c r="CM406" s="800">
        <v>5520</v>
      </c>
      <c r="CN406" s="800">
        <v>5260</v>
      </c>
      <c r="CO406" s="805">
        <v>5000</v>
      </c>
      <c r="CP406" s="808" t="s">
        <v>1942</v>
      </c>
      <c r="CQ406" s="800" t="s">
        <v>1942</v>
      </c>
      <c r="CR406" s="800" t="s">
        <v>1942</v>
      </c>
      <c r="CS406" s="800" t="s">
        <v>1942</v>
      </c>
      <c r="CT406" s="805" t="s">
        <v>1942</v>
      </c>
      <c r="CU406" s="1284">
        <v>-1.6000000000000001E-3</v>
      </c>
      <c r="CV406" s="1283" t="s">
        <v>1942</v>
      </c>
      <c r="CW406" s="1283" t="s">
        <v>1942</v>
      </c>
      <c r="CX406" s="1285" t="s">
        <v>1942</v>
      </c>
      <c r="CY406" s="1283">
        <v>1E-3</v>
      </c>
      <c r="CZ406" s="1283" t="s">
        <v>1942</v>
      </c>
      <c r="DA406" s="1283" t="s">
        <v>1942</v>
      </c>
      <c r="DB406" s="1285" t="s">
        <v>1942</v>
      </c>
      <c r="DC406" s="785"/>
      <c r="DD406" s="813">
        <v>1</v>
      </c>
      <c r="DE406" s="814"/>
    </row>
    <row r="407" spans="1:109" ht="52.5" hidden="1">
      <c r="A407" s="772" t="s">
        <v>1041</v>
      </c>
      <c r="B407" s="773">
        <v>401</v>
      </c>
      <c r="C407" s="789" t="s">
        <v>3627</v>
      </c>
      <c r="D407" s="773" t="s">
        <v>3612</v>
      </c>
      <c r="E407" s="773" t="s">
        <v>1896</v>
      </c>
      <c r="F407" s="785" t="s">
        <v>3628</v>
      </c>
      <c r="G407" s="790" t="s">
        <v>3629</v>
      </c>
      <c r="H407" s="773" t="s">
        <v>3630</v>
      </c>
      <c r="I407" s="792"/>
      <c r="J407" s="793"/>
      <c r="K407" s="793">
        <v>1</v>
      </c>
      <c r="L407" s="793"/>
      <c r="M407" s="793"/>
      <c r="N407" s="793"/>
      <c r="O407" s="793"/>
      <c r="P407" s="794"/>
      <c r="Q407" s="795">
        <f t="shared" si="6"/>
        <v>1</v>
      </c>
      <c r="R407" s="789" t="s">
        <v>1030</v>
      </c>
      <c r="S407" s="773" t="s">
        <v>1008</v>
      </c>
      <c r="T407" s="796" t="s">
        <v>1009</v>
      </c>
      <c r="U407" s="773" t="s">
        <v>3631</v>
      </c>
      <c r="V407" s="773" t="s">
        <v>1033</v>
      </c>
      <c r="W407" s="773" t="s">
        <v>396</v>
      </c>
      <c r="X407" s="1274">
        <v>0</v>
      </c>
      <c r="Y407" s="841" t="s">
        <v>1020</v>
      </c>
      <c r="Z407" s="790"/>
      <c r="AA407" s="785"/>
      <c r="AB407" s="785"/>
      <c r="AC407" s="785"/>
      <c r="AD407" s="785"/>
      <c r="AE407" s="785"/>
      <c r="AF407" s="799"/>
      <c r="AG407" s="898"/>
      <c r="AH407" s="898"/>
      <c r="AI407" s="898"/>
      <c r="AJ407" s="898"/>
      <c r="AK407" s="898"/>
      <c r="AL407" s="898"/>
      <c r="AM407" s="898"/>
      <c r="AN407" s="898"/>
      <c r="AO407" s="898"/>
      <c r="AP407" s="898"/>
      <c r="AQ407" s="897">
        <v>230</v>
      </c>
      <c r="AR407" s="898">
        <v>220</v>
      </c>
      <c r="AS407" s="898">
        <v>210</v>
      </c>
      <c r="AT407" s="898">
        <v>200</v>
      </c>
      <c r="AU407" s="899">
        <v>196</v>
      </c>
      <c r="AV407" s="897"/>
      <c r="AW407" s="898"/>
      <c r="AX407" s="898"/>
      <c r="AY407" s="898"/>
      <c r="AZ407" s="898"/>
      <c r="BA407" s="898"/>
      <c r="BB407" s="898"/>
      <c r="BC407" s="898"/>
      <c r="BD407" s="898"/>
      <c r="BE407" s="898"/>
      <c r="BF407" s="898"/>
      <c r="BG407" s="898"/>
      <c r="BH407" s="898"/>
      <c r="BI407" s="898"/>
      <c r="BJ407" s="898"/>
      <c r="BK407" s="899"/>
      <c r="BL407" s="789" t="s">
        <v>168</v>
      </c>
      <c r="BM407" s="785" t="s">
        <v>168</v>
      </c>
      <c r="BN407" s="785" t="s">
        <v>168</v>
      </c>
      <c r="BO407" s="785" t="s">
        <v>168</v>
      </c>
      <c r="BP407" s="796" t="s">
        <v>168</v>
      </c>
      <c r="BQ407" s="808" t="s">
        <v>1942</v>
      </c>
      <c r="BR407" s="800" t="s">
        <v>1942</v>
      </c>
      <c r="BS407" s="800" t="s">
        <v>1942</v>
      </c>
      <c r="BT407" s="800" t="s">
        <v>1942</v>
      </c>
      <c r="BU407" s="805" t="s">
        <v>1942</v>
      </c>
      <c r="BV407" s="806" t="s">
        <v>1942</v>
      </c>
      <c r="BW407" s="807" t="s">
        <v>1942</v>
      </c>
      <c r="BX407" s="807" t="s">
        <v>1942</v>
      </c>
      <c r="BY407" s="807" t="s">
        <v>1942</v>
      </c>
      <c r="BZ407" s="807" t="s">
        <v>1942</v>
      </c>
      <c r="CA407" s="808" t="s">
        <v>1942</v>
      </c>
      <c r="CB407" s="800" t="s">
        <v>1942</v>
      </c>
      <c r="CC407" s="800" t="s">
        <v>1942</v>
      </c>
      <c r="CD407" s="800" t="s">
        <v>1942</v>
      </c>
      <c r="CE407" s="805" t="s">
        <v>1942</v>
      </c>
      <c r="CF407" s="800" t="s">
        <v>1942</v>
      </c>
      <c r="CG407" s="800" t="s">
        <v>1942</v>
      </c>
      <c r="CH407" s="800" t="s">
        <v>1942</v>
      </c>
      <c r="CI407" s="800" t="s">
        <v>1942</v>
      </c>
      <c r="CJ407" s="805" t="s">
        <v>1942</v>
      </c>
      <c r="CK407" s="808" t="s">
        <v>1942</v>
      </c>
      <c r="CL407" s="800" t="s">
        <v>1942</v>
      </c>
      <c r="CM407" s="800" t="s">
        <v>1942</v>
      </c>
      <c r="CN407" s="800" t="s">
        <v>1942</v>
      </c>
      <c r="CO407" s="805" t="s">
        <v>1942</v>
      </c>
      <c r="CP407" s="808" t="s">
        <v>1942</v>
      </c>
      <c r="CQ407" s="800" t="s">
        <v>1942</v>
      </c>
      <c r="CR407" s="800" t="s">
        <v>1942</v>
      </c>
      <c r="CS407" s="800" t="s">
        <v>1942</v>
      </c>
      <c r="CT407" s="805" t="s">
        <v>1942</v>
      </c>
      <c r="CU407" s="1284">
        <v>-8.0000000000000002E-3</v>
      </c>
      <c r="CV407" s="1283" t="s">
        <v>1942</v>
      </c>
      <c r="CW407" s="1283" t="s">
        <v>1942</v>
      </c>
      <c r="CX407" s="1285" t="s">
        <v>1942</v>
      </c>
      <c r="CY407" s="1283">
        <v>5.0000000000000001E-3</v>
      </c>
      <c r="CZ407" s="1283" t="s">
        <v>1942</v>
      </c>
      <c r="DA407" s="1283" t="s">
        <v>1942</v>
      </c>
      <c r="DB407" s="1285" t="s">
        <v>1942</v>
      </c>
      <c r="DC407" s="785"/>
      <c r="DD407" s="813">
        <v>1</v>
      </c>
      <c r="DE407" s="814"/>
    </row>
    <row r="408" spans="1:109" ht="52.5" hidden="1">
      <c r="A408" s="772" t="s">
        <v>1041</v>
      </c>
      <c r="B408" s="773">
        <v>402</v>
      </c>
      <c r="C408" s="789" t="s">
        <v>3632</v>
      </c>
      <c r="D408" s="773" t="s">
        <v>3612</v>
      </c>
      <c r="E408" s="773" t="s">
        <v>1896</v>
      </c>
      <c r="F408" s="785" t="s">
        <v>3633</v>
      </c>
      <c r="G408" s="790" t="s">
        <v>1058</v>
      </c>
      <c r="H408" s="773" t="s">
        <v>3634</v>
      </c>
      <c r="I408" s="792"/>
      <c r="J408" s="793"/>
      <c r="K408" s="793">
        <v>1</v>
      </c>
      <c r="L408" s="793"/>
      <c r="M408" s="793"/>
      <c r="N408" s="793"/>
      <c r="O408" s="793"/>
      <c r="P408" s="794"/>
      <c r="Q408" s="795">
        <f t="shared" si="6"/>
        <v>1</v>
      </c>
      <c r="R408" s="789" t="s">
        <v>1026</v>
      </c>
      <c r="S408" s="773" t="s">
        <v>1008</v>
      </c>
      <c r="T408" s="796" t="s">
        <v>1009</v>
      </c>
      <c r="U408" s="773" t="s">
        <v>3635</v>
      </c>
      <c r="V408" s="773" t="s">
        <v>278</v>
      </c>
      <c r="W408" s="773" t="s">
        <v>1146</v>
      </c>
      <c r="X408" s="829">
        <v>2</v>
      </c>
      <c r="Y408" s="841" t="s">
        <v>1010</v>
      </c>
      <c r="Z408" s="790" t="s">
        <v>1058</v>
      </c>
      <c r="AA408" s="785"/>
      <c r="AB408" s="785"/>
      <c r="AC408" s="785"/>
      <c r="AD408" s="785"/>
      <c r="AE408" s="785"/>
      <c r="AF408" s="799"/>
      <c r="AG408" s="898"/>
      <c r="AH408" s="898"/>
      <c r="AI408" s="898"/>
      <c r="AJ408" s="898"/>
      <c r="AK408" s="898"/>
      <c r="AL408" s="898"/>
      <c r="AM408" s="898"/>
      <c r="AN408" s="898"/>
      <c r="AO408" s="898"/>
      <c r="AP408" s="898"/>
      <c r="AQ408" s="1770"/>
      <c r="AR408" s="1771"/>
      <c r="AS408" s="1771"/>
      <c r="AT408" s="1771"/>
      <c r="AU408" s="1772"/>
      <c r="AV408" s="897"/>
      <c r="AW408" s="898"/>
      <c r="AX408" s="898"/>
      <c r="AY408" s="898"/>
      <c r="AZ408" s="898"/>
      <c r="BA408" s="898"/>
      <c r="BB408" s="898"/>
      <c r="BC408" s="898"/>
      <c r="BD408" s="898"/>
      <c r="BE408" s="898"/>
      <c r="BF408" s="898"/>
      <c r="BG408" s="898"/>
      <c r="BH408" s="898"/>
      <c r="BI408" s="898"/>
      <c r="BJ408" s="898"/>
      <c r="BK408" s="899"/>
      <c r="BL408" s="1376"/>
      <c r="BM408" s="1377"/>
      <c r="BN408" s="1377"/>
      <c r="BO408" s="1377"/>
      <c r="BP408" s="1440"/>
      <c r="BQ408" s="1420"/>
      <c r="BR408" s="1368"/>
      <c r="BS408" s="1368"/>
      <c r="BT408" s="1368"/>
      <c r="BU408" s="1369"/>
      <c r="BV408" s="1421"/>
      <c r="BW408" s="1373"/>
      <c r="BX408" s="1373"/>
      <c r="BY408" s="1373"/>
      <c r="BZ408" s="1373"/>
      <c r="CA408" s="1420"/>
      <c r="CB408" s="1368"/>
      <c r="CC408" s="1368"/>
      <c r="CD408" s="1368"/>
      <c r="CE408" s="1369"/>
      <c r="CF408" s="1368"/>
      <c r="CG408" s="1368"/>
      <c r="CH408" s="1368"/>
      <c r="CI408" s="1368"/>
      <c r="CJ408" s="1369"/>
      <c r="CK408" s="1420"/>
      <c r="CL408" s="1368"/>
      <c r="CM408" s="1368"/>
      <c r="CN408" s="1368"/>
      <c r="CO408" s="1369"/>
      <c r="CP408" s="1420"/>
      <c r="CQ408" s="1368"/>
      <c r="CR408" s="1368"/>
      <c r="CS408" s="1368"/>
      <c r="CT408" s="1369"/>
      <c r="CU408" s="1528"/>
      <c r="CV408" s="1519"/>
      <c r="CW408" s="1519"/>
      <c r="CX408" s="1728"/>
      <c r="CY408" s="1519"/>
      <c r="CZ408" s="1519"/>
      <c r="DA408" s="1519"/>
      <c r="DB408" s="1728"/>
      <c r="DC408" s="1377"/>
      <c r="DD408" s="1729"/>
      <c r="DE408" s="1734"/>
    </row>
    <row r="409" spans="1:109" ht="91.9" hidden="1">
      <c r="A409" s="772" t="s">
        <v>1041</v>
      </c>
      <c r="B409" s="773">
        <v>403</v>
      </c>
      <c r="C409" s="789" t="s">
        <v>3636</v>
      </c>
      <c r="D409" s="773" t="s">
        <v>3612</v>
      </c>
      <c r="E409" s="773" t="s">
        <v>1896</v>
      </c>
      <c r="F409" s="785" t="s">
        <v>3637</v>
      </c>
      <c r="G409" s="790" t="s">
        <v>3638</v>
      </c>
      <c r="H409" s="773" t="s">
        <v>3639</v>
      </c>
      <c r="I409" s="792"/>
      <c r="J409" s="793"/>
      <c r="K409" s="793">
        <v>1</v>
      </c>
      <c r="L409" s="793"/>
      <c r="M409" s="793"/>
      <c r="N409" s="793"/>
      <c r="O409" s="793"/>
      <c r="P409" s="794"/>
      <c r="Q409" s="795">
        <f t="shared" si="6"/>
        <v>1</v>
      </c>
      <c r="R409" s="789" t="s">
        <v>1026</v>
      </c>
      <c r="S409" s="773" t="s">
        <v>1008</v>
      </c>
      <c r="T409" s="796" t="s">
        <v>1009</v>
      </c>
      <c r="U409" s="773" t="s">
        <v>3640</v>
      </c>
      <c r="V409" s="773" t="s">
        <v>278</v>
      </c>
      <c r="W409" s="773" t="s">
        <v>1146</v>
      </c>
      <c r="X409" s="829">
        <v>1</v>
      </c>
      <c r="Y409" s="841" t="s">
        <v>1010</v>
      </c>
      <c r="Z409" s="790"/>
      <c r="AA409" s="785"/>
      <c r="AB409" s="785"/>
      <c r="AC409" s="785"/>
      <c r="AD409" s="785"/>
      <c r="AE409" s="785"/>
      <c r="AF409" s="799"/>
      <c r="AG409" s="807"/>
      <c r="AH409" s="807"/>
      <c r="AI409" s="807"/>
      <c r="AJ409" s="807"/>
      <c r="AK409" s="807"/>
      <c r="AL409" s="829"/>
      <c r="AM409" s="800"/>
      <c r="AN409" s="800"/>
      <c r="AO409" s="800"/>
      <c r="AP409" s="800"/>
      <c r="AQ409" s="808">
        <v>100</v>
      </c>
      <c r="AR409" s="800">
        <v>100</v>
      </c>
      <c r="AS409" s="800">
        <v>100</v>
      </c>
      <c r="AT409" s="800">
        <v>100</v>
      </c>
      <c r="AU409" s="805">
        <v>100</v>
      </c>
      <c r="AV409" s="808"/>
      <c r="AW409" s="800"/>
      <c r="AX409" s="800"/>
      <c r="AY409" s="800"/>
      <c r="AZ409" s="800"/>
      <c r="BA409" s="800"/>
      <c r="BB409" s="800"/>
      <c r="BC409" s="800"/>
      <c r="BD409" s="800"/>
      <c r="BE409" s="800"/>
      <c r="BF409" s="800"/>
      <c r="BG409" s="800"/>
      <c r="BH409" s="800"/>
      <c r="BI409" s="800"/>
      <c r="BJ409" s="800"/>
      <c r="BK409" s="805"/>
      <c r="BL409" s="789" t="s">
        <v>168</v>
      </c>
      <c r="BM409" s="785" t="s">
        <v>168</v>
      </c>
      <c r="BN409" s="785" t="s">
        <v>168</v>
      </c>
      <c r="BO409" s="785" t="s">
        <v>168</v>
      </c>
      <c r="BP409" s="796" t="s">
        <v>168</v>
      </c>
      <c r="BQ409" s="808" t="s">
        <v>1942</v>
      </c>
      <c r="BR409" s="800" t="s">
        <v>1942</v>
      </c>
      <c r="BS409" s="800" t="s">
        <v>1942</v>
      </c>
      <c r="BT409" s="800" t="s">
        <v>1942</v>
      </c>
      <c r="BU409" s="805" t="s">
        <v>1942</v>
      </c>
      <c r="BV409" s="806" t="s">
        <v>1942</v>
      </c>
      <c r="BW409" s="807" t="s">
        <v>1942</v>
      </c>
      <c r="BX409" s="807" t="s">
        <v>1942</v>
      </c>
      <c r="BY409" s="807" t="s">
        <v>1942</v>
      </c>
      <c r="BZ409" s="807" t="s">
        <v>1942</v>
      </c>
      <c r="CA409" s="808">
        <v>99</v>
      </c>
      <c r="CB409" s="800">
        <v>99</v>
      </c>
      <c r="CC409" s="800">
        <v>99</v>
      </c>
      <c r="CD409" s="800">
        <v>99</v>
      </c>
      <c r="CE409" s="805">
        <v>99</v>
      </c>
      <c r="CF409" s="800" t="s">
        <v>1942</v>
      </c>
      <c r="CG409" s="800" t="s">
        <v>1942</v>
      </c>
      <c r="CH409" s="800" t="s">
        <v>1942</v>
      </c>
      <c r="CI409" s="800" t="s">
        <v>1942</v>
      </c>
      <c r="CJ409" s="805" t="s">
        <v>1942</v>
      </c>
      <c r="CK409" s="808" t="s">
        <v>1942</v>
      </c>
      <c r="CL409" s="800" t="s">
        <v>1942</v>
      </c>
      <c r="CM409" s="800" t="s">
        <v>1942</v>
      </c>
      <c r="CN409" s="800" t="s">
        <v>1942</v>
      </c>
      <c r="CO409" s="805" t="s">
        <v>1942</v>
      </c>
      <c r="CP409" s="808" t="s">
        <v>1942</v>
      </c>
      <c r="CQ409" s="800" t="s">
        <v>1942</v>
      </c>
      <c r="CR409" s="800" t="s">
        <v>1942</v>
      </c>
      <c r="CS409" s="800" t="s">
        <v>1942</v>
      </c>
      <c r="CT409" s="805" t="s">
        <v>1942</v>
      </c>
      <c r="CU409" s="1284">
        <v>-0.27800000000000002</v>
      </c>
      <c r="CV409" s="1283" t="s">
        <v>1942</v>
      </c>
      <c r="CW409" s="1283" t="s">
        <v>1942</v>
      </c>
      <c r="CX409" s="1285" t="s">
        <v>1942</v>
      </c>
      <c r="CY409" s="1283" t="s">
        <v>1942</v>
      </c>
      <c r="CZ409" s="1283" t="s">
        <v>1942</v>
      </c>
      <c r="DA409" s="1283" t="s">
        <v>1942</v>
      </c>
      <c r="DB409" s="1285" t="s">
        <v>1942</v>
      </c>
      <c r="DC409" s="785"/>
      <c r="DD409" s="813">
        <v>1</v>
      </c>
      <c r="DE409" s="814"/>
    </row>
    <row r="410" spans="1:109" ht="39.4" hidden="1">
      <c r="A410" s="772" t="s">
        <v>1041</v>
      </c>
      <c r="B410" s="773">
        <v>404</v>
      </c>
      <c r="C410" s="789" t="s">
        <v>3641</v>
      </c>
      <c r="D410" s="773" t="s">
        <v>3612</v>
      </c>
      <c r="E410" s="773" t="s">
        <v>1907</v>
      </c>
      <c r="F410" s="785" t="s">
        <v>3642</v>
      </c>
      <c r="G410" s="790" t="s">
        <v>3643</v>
      </c>
      <c r="H410" s="773" t="s">
        <v>3644</v>
      </c>
      <c r="I410" s="792"/>
      <c r="J410" s="793"/>
      <c r="K410" s="793">
        <v>1</v>
      </c>
      <c r="L410" s="793"/>
      <c r="M410" s="793"/>
      <c r="N410" s="793"/>
      <c r="O410" s="793"/>
      <c r="P410" s="794"/>
      <c r="Q410" s="795">
        <f t="shared" si="6"/>
        <v>1</v>
      </c>
      <c r="R410" s="789" t="s">
        <v>1007</v>
      </c>
      <c r="S410" s="773"/>
      <c r="T410" s="796"/>
      <c r="U410" s="773" t="s">
        <v>2106</v>
      </c>
      <c r="V410" s="773" t="s">
        <v>278</v>
      </c>
      <c r="W410" s="773" t="s">
        <v>1146</v>
      </c>
      <c r="X410" s="829">
        <v>1</v>
      </c>
      <c r="Y410" s="841" t="s">
        <v>1010</v>
      </c>
      <c r="Z410" s="790"/>
      <c r="AA410" s="785"/>
      <c r="AB410" s="785"/>
      <c r="AC410" s="785"/>
      <c r="AD410" s="785"/>
      <c r="AE410" s="785"/>
      <c r="AF410" s="799"/>
      <c r="AG410" s="807"/>
      <c r="AH410" s="807"/>
      <c r="AI410" s="807"/>
      <c r="AJ410" s="807"/>
      <c r="AK410" s="807"/>
      <c r="AL410" s="807"/>
      <c r="AM410" s="800"/>
      <c r="AN410" s="800"/>
      <c r="AO410" s="800"/>
      <c r="AP410" s="800"/>
      <c r="AQ410" s="817">
        <v>100</v>
      </c>
      <c r="AR410" s="816">
        <v>100</v>
      </c>
      <c r="AS410" s="816">
        <v>100</v>
      </c>
      <c r="AT410" s="816">
        <v>100</v>
      </c>
      <c r="AU410" s="818">
        <v>100</v>
      </c>
      <c r="AV410" s="808"/>
      <c r="AW410" s="800"/>
      <c r="AX410" s="800"/>
      <c r="AY410" s="800"/>
      <c r="AZ410" s="800"/>
      <c r="BA410" s="800"/>
      <c r="BB410" s="800"/>
      <c r="BC410" s="800"/>
      <c r="BD410" s="800"/>
      <c r="BE410" s="800"/>
      <c r="BF410" s="800"/>
      <c r="BG410" s="800"/>
      <c r="BH410" s="800"/>
      <c r="BI410" s="800"/>
      <c r="BJ410" s="800"/>
      <c r="BK410" s="805"/>
      <c r="BL410" s="789"/>
      <c r="BM410" s="785"/>
      <c r="BN410" s="785"/>
      <c r="BO410" s="785"/>
      <c r="BP410" s="796"/>
      <c r="BQ410" s="808" t="s">
        <v>1942</v>
      </c>
      <c r="BR410" s="800" t="s">
        <v>1942</v>
      </c>
      <c r="BS410" s="800" t="s">
        <v>1942</v>
      </c>
      <c r="BT410" s="800" t="s">
        <v>1942</v>
      </c>
      <c r="BU410" s="805" t="s">
        <v>1942</v>
      </c>
      <c r="BV410" s="806" t="s">
        <v>1942</v>
      </c>
      <c r="BW410" s="807" t="s">
        <v>1942</v>
      </c>
      <c r="BX410" s="807" t="s">
        <v>1942</v>
      </c>
      <c r="BY410" s="807" t="s">
        <v>1942</v>
      </c>
      <c r="BZ410" s="807" t="s">
        <v>1942</v>
      </c>
      <c r="CA410" s="808" t="s">
        <v>1942</v>
      </c>
      <c r="CB410" s="800" t="s">
        <v>1942</v>
      </c>
      <c r="CC410" s="800" t="s">
        <v>1942</v>
      </c>
      <c r="CD410" s="800" t="s">
        <v>1942</v>
      </c>
      <c r="CE410" s="805" t="s">
        <v>1942</v>
      </c>
      <c r="CF410" s="800" t="s">
        <v>1942</v>
      </c>
      <c r="CG410" s="800" t="s">
        <v>1942</v>
      </c>
      <c r="CH410" s="800" t="s">
        <v>1942</v>
      </c>
      <c r="CI410" s="800" t="s">
        <v>1942</v>
      </c>
      <c r="CJ410" s="805" t="s">
        <v>1942</v>
      </c>
      <c r="CK410" s="808" t="s">
        <v>1942</v>
      </c>
      <c r="CL410" s="800" t="s">
        <v>1942</v>
      </c>
      <c r="CM410" s="800" t="s">
        <v>1942</v>
      </c>
      <c r="CN410" s="800" t="s">
        <v>1942</v>
      </c>
      <c r="CO410" s="805" t="s">
        <v>1942</v>
      </c>
      <c r="CP410" s="808" t="s">
        <v>1942</v>
      </c>
      <c r="CQ410" s="800" t="s">
        <v>1942</v>
      </c>
      <c r="CR410" s="800" t="s">
        <v>1942</v>
      </c>
      <c r="CS410" s="800" t="s">
        <v>1942</v>
      </c>
      <c r="CT410" s="805" t="s">
        <v>1942</v>
      </c>
      <c r="CU410" s="1284" t="s">
        <v>1942</v>
      </c>
      <c r="CV410" s="1283" t="s">
        <v>1942</v>
      </c>
      <c r="CW410" s="1283" t="s">
        <v>1942</v>
      </c>
      <c r="CX410" s="1285" t="s">
        <v>1942</v>
      </c>
      <c r="CY410" s="1283" t="s">
        <v>1942</v>
      </c>
      <c r="CZ410" s="1283" t="s">
        <v>1942</v>
      </c>
      <c r="DA410" s="1283" t="s">
        <v>1942</v>
      </c>
      <c r="DB410" s="1285" t="s">
        <v>1942</v>
      </c>
      <c r="DC410" s="785"/>
      <c r="DD410" s="813">
        <v>1</v>
      </c>
      <c r="DE410" s="814"/>
    </row>
    <row r="411" spans="1:109" ht="52.5" hidden="1">
      <c r="A411" s="772" t="s">
        <v>1041</v>
      </c>
      <c r="B411" s="773">
        <v>405</v>
      </c>
      <c r="C411" s="789" t="s">
        <v>3645</v>
      </c>
      <c r="D411" s="773" t="s">
        <v>3612</v>
      </c>
      <c r="E411" s="773" t="s">
        <v>1896</v>
      </c>
      <c r="F411" s="785" t="s">
        <v>3646</v>
      </c>
      <c r="G411" s="790" t="s">
        <v>3647</v>
      </c>
      <c r="H411" s="773" t="s">
        <v>3648</v>
      </c>
      <c r="I411" s="792"/>
      <c r="J411" s="793"/>
      <c r="K411" s="793"/>
      <c r="L411" s="793">
        <v>1</v>
      </c>
      <c r="M411" s="793"/>
      <c r="N411" s="793"/>
      <c r="O411" s="793"/>
      <c r="P411" s="794"/>
      <c r="Q411" s="795">
        <f t="shared" si="6"/>
        <v>1</v>
      </c>
      <c r="R411" s="789" t="s">
        <v>1026</v>
      </c>
      <c r="S411" s="773" t="s">
        <v>1008</v>
      </c>
      <c r="T411" s="796" t="s">
        <v>1009</v>
      </c>
      <c r="U411" s="773" t="s">
        <v>763</v>
      </c>
      <c r="V411" s="773" t="s">
        <v>278</v>
      </c>
      <c r="W411" s="773" t="s">
        <v>1146</v>
      </c>
      <c r="X411" s="829">
        <v>2</v>
      </c>
      <c r="Y411" s="841" t="s">
        <v>1010</v>
      </c>
      <c r="Z411" s="790"/>
      <c r="AA411" s="785"/>
      <c r="AB411" s="785"/>
      <c r="AC411" s="785"/>
      <c r="AD411" s="785"/>
      <c r="AE411" s="785"/>
      <c r="AF411" s="799"/>
      <c r="AG411" s="898"/>
      <c r="AH411" s="898"/>
      <c r="AI411" s="898"/>
      <c r="AJ411" s="898"/>
      <c r="AK411" s="898"/>
      <c r="AL411" s="898"/>
      <c r="AM411" s="898"/>
      <c r="AN411" s="898"/>
      <c r="AO411" s="898"/>
      <c r="AP411" s="898"/>
      <c r="AQ411" s="897">
        <v>100</v>
      </c>
      <c r="AR411" s="898">
        <v>100</v>
      </c>
      <c r="AS411" s="898">
        <v>100</v>
      </c>
      <c r="AT411" s="898">
        <v>100</v>
      </c>
      <c r="AU411" s="899">
        <v>100</v>
      </c>
      <c r="AV411" s="897"/>
      <c r="AW411" s="898"/>
      <c r="AX411" s="898"/>
      <c r="AY411" s="898"/>
      <c r="AZ411" s="898"/>
      <c r="BA411" s="898"/>
      <c r="BB411" s="898"/>
      <c r="BC411" s="898"/>
      <c r="BD411" s="898"/>
      <c r="BE411" s="898"/>
      <c r="BF411" s="898"/>
      <c r="BG411" s="898"/>
      <c r="BH411" s="898"/>
      <c r="BI411" s="898"/>
      <c r="BJ411" s="898"/>
      <c r="BK411" s="899"/>
      <c r="BL411" s="789" t="s">
        <v>168</v>
      </c>
      <c r="BM411" s="785" t="s">
        <v>168</v>
      </c>
      <c r="BN411" s="785" t="s">
        <v>168</v>
      </c>
      <c r="BO411" s="785" t="s">
        <v>168</v>
      </c>
      <c r="BP411" s="796" t="s">
        <v>168</v>
      </c>
      <c r="BQ411" s="808" t="s">
        <v>1942</v>
      </c>
      <c r="BR411" s="800" t="s">
        <v>1942</v>
      </c>
      <c r="BS411" s="800" t="s">
        <v>1942</v>
      </c>
      <c r="BT411" s="800" t="s">
        <v>1942</v>
      </c>
      <c r="BU411" s="805" t="s">
        <v>1942</v>
      </c>
      <c r="BV411" s="806" t="s">
        <v>1942</v>
      </c>
      <c r="BW411" s="807" t="s">
        <v>1942</v>
      </c>
      <c r="BX411" s="807" t="s">
        <v>1942</v>
      </c>
      <c r="BY411" s="807" t="s">
        <v>1942</v>
      </c>
      <c r="BZ411" s="807" t="s">
        <v>1942</v>
      </c>
      <c r="CA411" s="808">
        <v>99.94</v>
      </c>
      <c r="CB411" s="800">
        <v>99.94</v>
      </c>
      <c r="CC411" s="800">
        <v>99.94</v>
      </c>
      <c r="CD411" s="800">
        <v>99.94</v>
      </c>
      <c r="CE411" s="805">
        <v>99.94</v>
      </c>
      <c r="CF411" s="800" t="s">
        <v>1942</v>
      </c>
      <c r="CG411" s="800" t="s">
        <v>1942</v>
      </c>
      <c r="CH411" s="800" t="s">
        <v>1942</v>
      </c>
      <c r="CI411" s="800" t="s">
        <v>1942</v>
      </c>
      <c r="CJ411" s="805" t="s">
        <v>1942</v>
      </c>
      <c r="CK411" s="808" t="s">
        <v>1942</v>
      </c>
      <c r="CL411" s="800" t="s">
        <v>1942</v>
      </c>
      <c r="CM411" s="800" t="s">
        <v>1942</v>
      </c>
      <c r="CN411" s="800" t="s">
        <v>1942</v>
      </c>
      <c r="CO411" s="805" t="s">
        <v>1942</v>
      </c>
      <c r="CP411" s="808" t="s">
        <v>1942</v>
      </c>
      <c r="CQ411" s="800" t="s">
        <v>1942</v>
      </c>
      <c r="CR411" s="800" t="s">
        <v>1942</v>
      </c>
      <c r="CS411" s="800" t="s">
        <v>1942</v>
      </c>
      <c r="CT411" s="805" t="s">
        <v>1942</v>
      </c>
      <c r="CU411" s="1284">
        <v>-0.08</v>
      </c>
      <c r="CV411" s="1283" t="s">
        <v>1942</v>
      </c>
      <c r="CW411" s="1283" t="s">
        <v>1942</v>
      </c>
      <c r="CX411" s="1285" t="s">
        <v>1942</v>
      </c>
      <c r="CY411" s="1283" t="s">
        <v>1942</v>
      </c>
      <c r="CZ411" s="1283" t="s">
        <v>1942</v>
      </c>
      <c r="DA411" s="1283" t="s">
        <v>1942</v>
      </c>
      <c r="DB411" s="1285" t="s">
        <v>1942</v>
      </c>
      <c r="DC411" s="785"/>
      <c r="DD411" s="813">
        <v>1</v>
      </c>
      <c r="DE411" s="814"/>
    </row>
    <row r="412" spans="1:109" ht="39.4" hidden="1">
      <c r="A412" s="772" t="s">
        <v>1041</v>
      </c>
      <c r="B412" s="773">
        <v>406</v>
      </c>
      <c r="C412" s="789" t="s">
        <v>3649</v>
      </c>
      <c r="D412" s="773" t="s">
        <v>1910</v>
      </c>
      <c r="E412" s="773" t="s">
        <v>1907</v>
      </c>
      <c r="F412" s="785" t="s">
        <v>3650</v>
      </c>
      <c r="G412" s="790" t="s">
        <v>535</v>
      </c>
      <c r="H412" s="773" t="s">
        <v>3651</v>
      </c>
      <c r="I412" s="792">
        <v>1</v>
      </c>
      <c r="J412" s="793"/>
      <c r="K412" s="793"/>
      <c r="L412" s="793"/>
      <c r="M412" s="793"/>
      <c r="N412" s="793"/>
      <c r="O412" s="793"/>
      <c r="P412" s="794"/>
      <c r="Q412" s="795">
        <f t="shared" si="6"/>
        <v>1</v>
      </c>
      <c r="R412" s="789" t="s">
        <v>1007</v>
      </c>
      <c r="S412" s="773"/>
      <c r="T412" s="796"/>
      <c r="U412" s="773" t="s">
        <v>1910</v>
      </c>
      <c r="V412" s="773" t="s">
        <v>278</v>
      </c>
      <c r="W412" s="773" t="s">
        <v>3652</v>
      </c>
      <c r="X412" s="1274">
        <v>1</v>
      </c>
      <c r="Y412" s="841" t="s">
        <v>1020</v>
      </c>
      <c r="Z412" s="790" t="s">
        <v>535</v>
      </c>
      <c r="AA412" s="785"/>
      <c r="AB412" s="785"/>
      <c r="AC412" s="785"/>
      <c r="AD412" s="785"/>
      <c r="AE412" s="785"/>
      <c r="AF412" s="799"/>
      <c r="AG412" s="898"/>
      <c r="AH412" s="898"/>
      <c r="AI412" s="898"/>
      <c r="AJ412" s="898"/>
      <c r="AK412" s="898"/>
      <c r="AL412" s="898"/>
      <c r="AM412" s="898"/>
      <c r="AN412" s="898"/>
      <c r="AO412" s="898"/>
      <c r="AP412" s="898"/>
      <c r="AQ412" s="1770"/>
      <c r="AR412" s="1771"/>
      <c r="AS412" s="1771"/>
      <c r="AT412" s="1771"/>
      <c r="AU412" s="1772"/>
      <c r="AV412" s="827"/>
      <c r="AW412" s="797"/>
      <c r="AX412" s="797"/>
      <c r="AY412" s="797"/>
      <c r="AZ412" s="898"/>
      <c r="BA412" s="898"/>
      <c r="BB412" s="898"/>
      <c r="BC412" s="898"/>
      <c r="BD412" s="898"/>
      <c r="BE412" s="898"/>
      <c r="BF412" s="898"/>
      <c r="BG412" s="898"/>
      <c r="BH412" s="898"/>
      <c r="BI412" s="898"/>
      <c r="BJ412" s="898"/>
      <c r="BK412" s="899"/>
      <c r="BL412" s="1761"/>
      <c r="BM412" s="1762"/>
      <c r="BN412" s="1762"/>
      <c r="BO412" s="1762"/>
      <c r="BP412" s="1763"/>
      <c r="BQ412" s="1420"/>
      <c r="BR412" s="1368"/>
      <c r="BS412" s="1368"/>
      <c r="BT412" s="1368"/>
      <c r="BU412" s="1369"/>
      <c r="BV412" s="1421"/>
      <c r="BW412" s="1373"/>
      <c r="BX412" s="1373"/>
      <c r="BY412" s="1373"/>
      <c r="BZ412" s="1373"/>
      <c r="CA412" s="1420"/>
      <c r="CB412" s="1368"/>
      <c r="CC412" s="1368"/>
      <c r="CD412" s="1368"/>
      <c r="CE412" s="1369"/>
      <c r="CF412" s="1368"/>
      <c r="CG412" s="1368"/>
      <c r="CH412" s="1368"/>
      <c r="CI412" s="1368"/>
      <c r="CJ412" s="1369"/>
      <c r="CK412" s="1420"/>
      <c r="CL412" s="1368"/>
      <c r="CM412" s="1368"/>
      <c r="CN412" s="1368"/>
      <c r="CO412" s="1369"/>
      <c r="CP412" s="1420"/>
      <c r="CQ412" s="1368"/>
      <c r="CR412" s="1368"/>
      <c r="CS412" s="1368"/>
      <c r="CT412" s="1369"/>
      <c r="CU412" s="1528"/>
      <c r="CV412" s="1519"/>
      <c r="CW412" s="1519"/>
      <c r="CX412" s="1728"/>
      <c r="CY412" s="1519"/>
      <c r="CZ412" s="1519"/>
      <c r="DA412" s="1519"/>
      <c r="DB412" s="1728"/>
      <c r="DC412" s="1377"/>
      <c r="DD412" s="1729"/>
      <c r="DE412" s="1734"/>
    </row>
    <row r="413" spans="1:109" ht="26.25" hidden="1">
      <c r="A413" s="772" t="s">
        <v>1041</v>
      </c>
      <c r="B413" s="773">
        <v>407</v>
      </c>
      <c r="C413" s="789" t="s">
        <v>3653</v>
      </c>
      <c r="D413" s="773" t="s">
        <v>1910</v>
      </c>
      <c r="E413" s="773" t="s">
        <v>1907</v>
      </c>
      <c r="F413" s="785" t="s">
        <v>3654</v>
      </c>
      <c r="G413" s="790" t="s">
        <v>839</v>
      </c>
      <c r="H413" s="773" t="s">
        <v>3655</v>
      </c>
      <c r="I413" s="792"/>
      <c r="J413" s="793"/>
      <c r="K413" s="793">
        <v>1</v>
      </c>
      <c r="L413" s="793"/>
      <c r="M413" s="793"/>
      <c r="N413" s="793"/>
      <c r="O413" s="793"/>
      <c r="P413" s="794"/>
      <c r="Q413" s="795">
        <f t="shared" si="6"/>
        <v>1</v>
      </c>
      <c r="R413" s="789" t="s">
        <v>1007</v>
      </c>
      <c r="S413" s="773"/>
      <c r="T413" s="796"/>
      <c r="U413" s="773" t="s">
        <v>1910</v>
      </c>
      <c r="V413" s="773" t="s">
        <v>278</v>
      </c>
      <c r="W413" s="773" t="s">
        <v>3656</v>
      </c>
      <c r="X413" s="829">
        <v>2</v>
      </c>
      <c r="Y413" s="841" t="s">
        <v>1020</v>
      </c>
      <c r="Z413" s="790" t="s">
        <v>839</v>
      </c>
      <c r="AA413" s="785"/>
      <c r="AB413" s="785"/>
      <c r="AC413" s="785"/>
      <c r="AD413" s="785"/>
      <c r="AE413" s="785"/>
      <c r="AF413" s="799"/>
      <c r="AG413" s="909"/>
      <c r="AH413" s="909"/>
      <c r="AI413" s="807"/>
      <c r="AJ413" s="807"/>
      <c r="AK413" s="807"/>
      <c r="AL413" s="807"/>
      <c r="AM413" s="807"/>
      <c r="AN413" s="807"/>
      <c r="AO413" s="807"/>
      <c r="AP413" s="807"/>
      <c r="AQ413" s="1421"/>
      <c r="AR413" s="1373"/>
      <c r="AS413" s="1373"/>
      <c r="AT413" s="1373"/>
      <c r="AU413" s="1374"/>
      <c r="AV413" s="806"/>
      <c r="AW413" s="807"/>
      <c r="AX413" s="807"/>
      <c r="AY413" s="807"/>
      <c r="AZ413" s="807"/>
      <c r="BA413" s="807"/>
      <c r="BB413" s="807"/>
      <c r="BC413" s="807"/>
      <c r="BD413" s="807"/>
      <c r="BE413" s="807"/>
      <c r="BF413" s="807"/>
      <c r="BG413" s="807"/>
      <c r="BH413" s="807"/>
      <c r="BI413" s="807"/>
      <c r="BJ413" s="807"/>
      <c r="BK413" s="820"/>
      <c r="BL413" s="1376"/>
      <c r="BM413" s="1377"/>
      <c r="BN413" s="1377"/>
      <c r="BO413" s="1377"/>
      <c r="BP413" s="1440"/>
      <c r="BQ413" s="1420"/>
      <c r="BR413" s="1368"/>
      <c r="BS413" s="1368"/>
      <c r="BT413" s="1368"/>
      <c r="BU413" s="1369"/>
      <c r="BV413" s="1421"/>
      <c r="BW413" s="1373"/>
      <c r="BX413" s="1373"/>
      <c r="BY413" s="1373"/>
      <c r="BZ413" s="1373"/>
      <c r="CA413" s="1420"/>
      <c r="CB413" s="1368"/>
      <c r="CC413" s="1368"/>
      <c r="CD413" s="1368"/>
      <c r="CE413" s="1369"/>
      <c r="CF413" s="1368"/>
      <c r="CG413" s="1368"/>
      <c r="CH413" s="1368"/>
      <c r="CI413" s="1368"/>
      <c r="CJ413" s="1369"/>
      <c r="CK413" s="1420"/>
      <c r="CL413" s="1368"/>
      <c r="CM413" s="1368"/>
      <c r="CN413" s="1368"/>
      <c r="CO413" s="1369"/>
      <c r="CP413" s="1420"/>
      <c r="CQ413" s="1368"/>
      <c r="CR413" s="1368"/>
      <c r="CS413" s="1368"/>
      <c r="CT413" s="1369"/>
      <c r="CU413" s="1528"/>
      <c r="CV413" s="1519"/>
      <c r="CW413" s="1519"/>
      <c r="CX413" s="1728"/>
      <c r="CY413" s="1519"/>
      <c r="CZ413" s="1519"/>
      <c r="DA413" s="1519"/>
      <c r="DB413" s="1728"/>
      <c r="DC413" s="1377"/>
      <c r="DD413" s="1729"/>
      <c r="DE413" s="1734"/>
    </row>
    <row r="414" spans="1:109" ht="131.25" hidden="1">
      <c r="A414" s="772" t="s">
        <v>1041</v>
      </c>
      <c r="B414" s="773">
        <v>408</v>
      </c>
      <c r="C414" s="789" t="s">
        <v>3657</v>
      </c>
      <c r="D414" s="773" t="s">
        <v>1910</v>
      </c>
      <c r="E414" s="773" t="s">
        <v>1907</v>
      </c>
      <c r="F414" s="785" t="s">
        <v>3658</v>
      </c>
      <c r="G414" s="790" t="s">
        <v>3659</v>
      </c>
      <c r="H414" s="773" t="s">
        <v>3660</v>
      </c>
      <c r="I414" s="792"/>
      <c r="J414" s="793"/>
      <c r="K414" s="793">
        <v>1</v>
      </c>
      <c r="L414" s="793"/>
      <c r="M414" s="793"/>
      <c r="N414" s="793"/>
      <c r="O414" s="793"/>
      <c r="P414" s="794"/>
      <c r="Q414" s="795">
        <f t="shared" si="6"/>
        <v>1</v>
      </c>
      <c r="R414" s="789" t="s">
        <v>1030</v>
      </c>
      <c r="S414" s="773" t="s">
        <v>1008</v>
      </c>
      <c r="T414" s="796" t="s">
        <v>1009</v>
      </c>
      <c r="U414" s="773" t="s">
        <v>1910</v>
      </c>
      <c r="V414" s="773" t="s">
        <v>1033</v>
      </c>
      <c r="W414" s="773" t="s">
        <v>396</v>
      </c>
      <c r="X414" s="1274">
        <v>0</v>
      </c>
      <c r="Y414" s="841" t="s">
        <v>1010</v>
      </c>
      <c r="Z414" s="790"/>
      <c r="AA414" s="785"/>
      <c r="AB414" s="785"/>
      <c r="AC414" s="785"/>
      <c r="AD414" s="785"/>
      <c r="AE414" s="785"/>
      <c r="AF414" s="799"/>
      <c r="AG414" s="807"/>
      <c r="AH414" s="807"/>
      <c r="AI414" s="807"/>
      <c r="AJ414" s="807"/>
      <c r="AK414" s="807"/>
      <c r="AL414" s="807"/>
      <c r="AM414" s="807"/>
      <c r="AN414" s="863"/>
      <c r="AO414" s="910"/>
      <c r="AP414" s="911"/>
      <c r="AQ414" s="912">
        <v>20</v>
      </c>
      <c r="AR414" s="910">
        <v>40</v>
      </c>
      <c r="AS414" s="911">
        <v>60</v>
      </c>
      <c r="AT414" s="910">
        <v>80</v>
      </c>
      <c r="AU414" s="913">
        <v>100</v>
      </c>
      <c r="AV414" s="817"/>
      <c r="AW414" s="816"/>
      <c r="AX414" s="816"/>
      <c r="AY414" s="816"/>
      <c r="AZ414" s="816"/>
      <c r="BA414" s="816"/>
      <c r="BB414" s="816"/>
      <c r="BC414" s="816"/>
      <c r="BD414" s="816"/>
      <c r="BE414" s="816"/>
      <c r="BF414" s="816"/>
      <c r="BG414" s="816"/>
      <c r="BH414" s="816"/>
      <c r="BI414" s="816"/>
      <c r="BJ414" s="816"/>
      <c r="BK414" s="818"/>
      <c r="BL414" s="789" t="s">
        <v>168</v>
      </c>
      <c r="BM414" s="785" t="s">
        <v>168</v>
      </c>
      <c r="BN414" s="785" t="s">
        <v>168</v>
      </c>
      <c r="BO414" s="785" t="s">
        <v>168</v>
      </c>
      <c r="BP414" s="796" t="s">
        <v>168</v>
      </c>
      <c r="BQ414" s="808" t="s">
        <v>1942</v>
      </c>
      <c r="BR414" s="800" t="s">
        <v>1942</v>
      </c>
      <c r="BS414" s="800" t="s">
        <v>1942</v>
      </c>
      <c r="BT414" s="800" t="s">
        <v>1942</v>
      </c>
      <c r="BU414" s="805" t="s">
        <v>1942</v>
      </c>
      <c r="BV414" s="806" t="s">
        <v>1942</v>
      </c>
      <c r="BW414" s="807" t="s">
        <v>1942</v>
      </c>
      <c r="BX414" s="807" t="s">
        <v>1942</v>
      </c>
      <c r="BY414" s="807" t="s">
        <v>1942</v>
      </c>
      <c r="BZ414" s="807" t="s">
        <v>1942</v>
      </c>
      <c r="CA414" s="808" t="s">
        <v>1942</v>
      </c>
      <c r="CB414" s="800" t="s">
        <v>1942</v>
      </c>
      <c r="CC414" s="800" t="s">
        <v>1942</v>
      </c>
      <c r="CD414" s="800" t="s">
        <v>1942</v>
      </c>
      <c r="CE414" s="805" t="s">
        <v>1942</v>
      </c>
      <c r="CF414" s="800" t="s">
        <v>1942</v>
      </c>
      <c r="CG414" s="800" t="s">
        <v>1942</v>
      </c>
      <c r="CH414" s="800" t="s">
        <v>1942</v>
      </c>
      <c r="CI414" s="800" t="s">
        <v>1942</v>
      </c>
      <c r="CJ414" s="805" t="s">
        <v>1942</v>
      </c>
      <c r="CK414" s="808" t="s">
        <v>1942</v>
      </c>
      <c r="CL414" s="800" t="s">
        <v>1942</v>
      </c>
      <c r="CM414" s="800" t="s">
        <v>1942</v>
      </c>
      <c r="CN414" s="800" t="s">
        <v>1942</v>
      </c>
      <c r="CO414" s="805" t="s">
        <v>1942</v>
      </c>
      <c r="CP414" s="808" t="s">
        <v>1942</v>
      </c>
      <c r="CQ414" s="800" t="s">
        <v>1942</v>
      </c>
      <c r="CR414" s="800" t="s">
        <v>1942</v>
      </c>
      <c r="CS414" s="800" t="s">
        <v>1942</v>
      </c>
      <c r="CT414" s="805" t="s">
        <v>1942</v>
      </c>
      <c r="CU414" s="1284">
        <v>-3.3400000000000001E-3</v>
      </c>
      <c r="CV414" s="1283" t="s">
        <v>1942</v>
      </c>
      <c r="CW414" s="1283" t="s">
        <v>1942</v>
      </c>
      <c r="CX414" s="1285" t="s">
        <v>1942</v>
      </c>
      <c r="CY414" s="1283">
        <v>1.9599999999999999E-3</v>
      </c>
      <c r="CZ414" s="1283" t="s">
        <v>1942</v>
      </c>
      <c r="DA414" s="1283" t="s">
        <v>1942</v>
      </c>
      <c r="DB414" s="1285" t="s">
        <v>1942</v>
      </c>
      <c r="DC414" s="785"/>
      <c r="DD414" s="813"/>
      <c r="DE414" s="814"/>
    </row>
    <row r="415" spans="1:109" ht="39.4" hidden="1">
      <c r="A415" s="772" t="s">
        <v>1041</v>
      </c>
      <c r="B415" s="773">
        <v>409</v>
      </c>
      <c r="C415" s="789" t="s">
        <v>3661</v>
      </c>
      <c r="D415" s="773" t="s">
        <v>1910</v>
      </c>
      <c r="E415" s="773" t="s">
        <v>1907</v>
      </c>
      <c r="F415" s="785" t="s">
        <v>3662</v>
      </c>
      <c r="G415" s="790" t="s">
        <v>3663</v>
      </c>
      <c r="H415" s="773" t="s">
        <v>3664</v>
      </c>
      <c r="I415" s="792"/>
      <c r="J415" s="793">
        <v>1</v>
      </c>
      <c r="K415" s="793"/>
      <c r="L415" s="793"/>
      <c r="M415" s="793"/>
      <c r="N415" s="793"/>
      <c r="O415" s="793"/>
      <c r="P415" s="794"/>
      <c r="Q415" s="795">
        <f t="shared" si="6"/>
        <v>1</v>
      </c>
      <c r="R415" s="789" t="s">
        <v>1030</v>
      </c>
      <c r="S415" s="773" t="s">
        <v>1008</v>
      </c>
      <c r="T415" s="796" t="s">
        <v>1009</v>
      </c>
      <c r="U415" s="773" t="s">
        <v>1910</v>
      </c>
      <c r="V415" s="773" t="s">
        <v>1033</v>
      </c>
      <c r="W415" s="773" t="s">
        <v>396</v>
      </c>
      <c r="X415" s="1274">
        <v>0</v>
      </c>
      <c r="Y415" s="841" t="s">
        <v>1020</v>
      </c>
      <c r="Z415" s="790"/>
      <c r="AA415" s="785"/>
      <c r="AB415" s="785"/>
      <c r="AC415" s="785"/>
      <c r="AD415" s="785"/>
      <c r="AE415" s="785"/>
      <c r="AF415" s="799"/>
      <c r="AG415" s="807"/>
      <c r="AH415" s="807"/>
      <c r="AI415" s="807"/>
      <c r="AJ415" s="807"/>
      <c r="AK415" s="807"/>
      <c r="AL415" s="807"/>
      <c r="AM415" s="807"/>
      <c r="AN415" s="863"/>
      <c r="AO415" s="910"/>
      <c r="AP415" s="911"/>
      <c r="AQ415" s="912">
        <v>767</v>
      </c>
      <c r="AR415" s="910">
        <v>673</v>
      </c>
      <c r="AS415" s="911">
        <v>641</v>
      </c>
      <c r="AT415" s="910">
        <v>552</v>
      </c>
      <c r="AU415" s="913">
        <v>540</v>
      </c>
      <c r="AV415" s="817"/>
      <c r="AW415" s="816"/>
      <c r="AX415" s="816"/>
      <c r="AY415" s="816"/>
      <c r="AZ415" s="816"/>
      <c r="BA415" s="816"/>
      <c r="BB415" s="816"/>
      <c r="BC415" s="816"/>
      <c r="BD415" s="816"/>
      <c r="BE415" s="816"/>
      <c r="BF415" s="816"/>
      <c r="BG415" s="816"/>
      <c r="BH415" s="816"/>
      <c r="BI415" s="816"/>
      <c r="BJ415" s="816"/>
      <c r="BK415" s="818"/>
      <c r="BL415" s="789" t="s">
        <v>168</v>
      </c>
      <c r="BM415" s="785" t="s">
        <v>168</v>
      </c>
      <c r="BN415" s="785" t="s">
        <v>168</v>
      </c>
      <c r="BO415" s="785" t="s">
        <v>168</v>
      </c>
      <c r="BP415" s="796" t="s">
        <v>168</v>
      </c>
      <c r="BQ415" s="808" t="s">
        <v>1942</v>
      </c>
      <c r="BR415" s="800" t="s">
        <v>1942</v>
      </c>
      <c r="BS415" s="800" t="s">
        <v>1942</v>
      </c>
      <c r="BT415" s="800" t="s">
        <v>1942</v>
      </c>
      <c r="BU415" s="805" t="s">
        <v>1942</v>
      </c>
      <c r="BV415" s="806" t="s">
        <v>1942</v>
      </c>
      <c r="BW415" s="807" t="s">
        <v>1942</v>
      </c>
      <c r="BX415" s="807" t="s">
        <v>1942</v>
      </c>
      <c r="BY415" s="807" t="s">
        <v>1942</v>
      </c>
      <c r="BZ415" s="807" t="s">
        <v>1942</v>
      </c>
      <c r="CA415" s="808" t="s">
        <v>1942</v>
      </c>
      <c r="CB415" s="800" t="s">
        <v>1942</v>
      </c>
      <c r="CC415" s="800" t="s">
        <v>1942</v>
      </c>
      <c r="CD415" s="800" t="s">
        <v>1942</v>
      </c>
      <c r="CE415" s="805" t="s">
        <v>1942</v>
      </c>
      <c r="CF415" s="800" t="s">
        <v>1942</v>
      </c>
      <c r="CG415" s="800" t="s">
        <v>1942</v>
      </c>
      <c r="CH415" s="800" t="s">
        <v>1942</v>
      </c>
      <c r="CI415" s="800" t="s">
        <v>1942</v>
      </c>
      <c r="CJ415" s="805" t="s">
        <v>1942</v>
      </c>
      <c r="CK415" s="808" t="s">
        <v>1942</v>
      </c>
      <c r="CL415" s="800" t="s">
        <v>1942</v>
      </c>
      <c r="CM415" s="800" t="s">
        <v>1942</v>
      </c>
      <c r="CN415" s="800" t="s">
        <v>1942</v>
      </c>
      <c r="CO415" s="805" t="s">
        <v>1942</v>
      </c>
      <c r="CP415" s="808" t="s">
        <v>1942</v>
      </c>
      <c r="CQ415" s="800" t="s">
        <v>1942</v>
      </c>
      <c r="CR415" s="800" t="s">
        <v>1942</v>
      </c>
      <c r="CS415" s="800" t="s">
        <v>1942</v>
      </c>
      <c r="CT415" s="805" t="s">
        <v>1942</v>
      </c>
      <c r="CU415" s="1284">
        <v>-1.5E-3</v>
      </c>
      <c r="CV415" s="1283" t="s">
        <v>1942</v>
      </c>
      <c r="CW415" s="1283" t="s">
        <v>1942</v>
      </c>
      <c r="CX415" s="1285" t="s">
        <v>1942</v>
      </c>
      <c r="CY415" s="1283">
        <v>1.1999999999999999E-3</v>
      </c>
      <c r="CZ415" s="1283" t="s">
        <v>1942</v>
      </c>
      <c r="DA415" s="1283" t="s">
        <v>1942</v>
      </c>
      <c r="DB415" s="1285" t="s">
        <v>1942</v>
      </c>
      <c r="DC415" s="785"/>
      <c r="DD415" s="813">
        <v>1</v>
      </c>
      <c r="DE415" s="814"/>
    </row>
    <row r="416" spans="1:109" ht="26.25" hidden="1">
      <c r="A416" s="772" t="s">
        <v>1041</v>
      </c>
      <c r="B416" s="773">
        <v>410</v>
      </c>
      <c r="C416" s="789" t="s">
        <v>3665</v>
      </c>
      <c r="D416" s="773" t="s">
        <v>3666</v>
      </c>
      <c r="E416" s="773" t="s">
        <v>1907</v>
      </c>
      <c r="F416" s="785" t="s">
        <v>3667</v>
      </c>
      <c r="G416" s="790" t="s">
        <v>1931</v>
      </c>
      <c r="H416" s="773" t="s">
        <v>3668</v>
      </c>
      <c r="I416" s="792"/>
      <c r="J416" s="793"/>
      <c r="K416" s="793"/>
      <c r="L416" s="793"/>
      <c r="M416" s="793">
        <v>1</v>
      </c>
      <c r="N416" s="793"/>
      <c r="O416" s="793"/>
      <c r="P416" s="794"/>
      <c r="Q416" s="795">
        <f t="shared" si="6"/>
        <v>1</v>
      </c>
      <c r="R416" s="789" t="s">
        <v>1030</v>
      </c>
      <c r="S416" s="773" t="s">
        <v>1008</v>
      </c>
      <c r="T416" s="796" t="s">
        <v>1009</v>
      </c>
      <c r="U416" s="773" t="s">
        <v>1069</v>
      </c>
      <c r="V416" s="773" t="s">
        <v>1081</v>
      </c>
      <c r="W416" s="773" t="s">
        <v>3669</v>
      </c>
      <c r="X416" s="829">
        <v>2</v>
      </c>
      <c r="Y416" s="841" t="s">
        <v>1010</v>
      </c>
      <c r="Z416" s="790" t="s">
        <v>1931</v>
      </c>
      <c r="AA416" s="785"/>
      <c r="AB416" s="785"/>
      <c r="AC416" s="785"/>
      <c r="AD416" s="785"/>
      <c r="AE416" s="785"/>
      <c r="AF416" s="799"/>
      <c r="AG416" s="807"/>
      <c r="AH416" s="807"/>
      <c r="AI416" s="807"/>
      <c r="AJ416" s="807"/>
      <c r="AK416" s="807"/>
      <c r="AL416" s="807"/>
      <c r="AM416" s="807"/>
      <c r="AN416" s="863"/>
      <c r="AO416" s="910"/>
      <c r="AP416" s="911"/>
      <c r="AQ416" s="1773"/>
      <c r="AR416" s="1774"/>
      <c r="AS416" s="1775"/>
      <c r="AT416" s="1774"/>
      <c r="AU416" s="1776"/>
      <c r="AV416" s="817"/>
      <c r="AW416" s="816"/>
      <c r="AX416" s="816"/>
      <c r="AY416" s="816"/>
      <c r="AZ416" s="816"/>
      <c r="BA416" s="816"/>
      <c r="BB416" s="816"/>
      <c r="BC416" s="816"/>
      <c r="BD416" s="816"/>
      <c r="BE416" s="816"/>
      <c r="BF416" s="816"/>
      <c r="BG416" s="816"/>
      <c r="BH416" s="816"/>
      <c r="BI416" s="816"/>
      <c r="BJ416" s="816"/>
      <c r="BK416" s="818"/>
      <c r="BL416" s="1376"/>
      <c r="BM416" s="1377"/>
      <c r="BN416" s="1377"/>
      <c r="BO416" s="1377"/>
      <c r="BP416" s="1440"/>
      <c r="BQ416" s="1420"/>
      <c r="BR416" s="1368"/>
      <c r="BS416" s="1368"/>
      <c r="BT416" s="1368"/>
      <c r="BU416" s="1369"/>
      <c r="BV416" s="1421"/>
      <c r="BW416" s="1373"/>
      <c r="BX416" s="1373"/>
      <c r="BY416" s="1373"/>
      <c r="BZ416" s="1373"/>
      <c r="CA416" s="1420"/>
      <c r="CB416" s="1368"/>
      <c r="CC416" s="1368"/>
      <c r="CD416" s="1368"/>
      <c r="CE416" s="1369"/>
      <c r="CF416" s="1368"/>
      <c r="CG416" s="1368"/>
      <c r="CH416" s="1368"/>
      <c r="CI416" s="1368"/>
      <c r="CJ416" s="1369"/>
      <c r="CK416" s="1420"/>
      <c r="CL416" s="1368"/>
      <c r="CM416" s="1368"/>
      <c r="CN416" s="1368"/>
      <c r="CO416" s="1369"/>
      <c r="CP416" s="1420"/>
      <c r="CQ416" s="1368"/>
      <c r="CR416" s="1368"/>
      <c r="CS416" s="1368"/>
      <c r="CT416" s="1369"/>
      <c r="CU416" s="1528"/>
      <c r="CV416" s="1519"/>
      <c r="CW416" s="1519"/>
      <c r="CX416" s="1728"/>
      <c r="CY416" s="1519"/>
      <c r="CZ416" s="1519"/>
      <c r="DA416" s="1519"/>
      <c r="DB416" s="1728"/>
      <c r="DC416" s="1377"/>
      <c r="DD416" s="1729"/>
      <c r="DE416" s="1734"/>
    </row>
    <row r="417" spans="1:109" ht="26.25" hidden="1">
      <c r="A417" s="772" t="s">
        <v>1041</v>
      </c>
      <c r="B417" s="773">
        <v>411</v>
      </c>
      <c r="C417" s="789" t="s">
        <v>3670</v>
      </c>
      <c r="D417" s="773" t="s">
        <v>3666</v>
      </c>
      <c r="E417" s="773" t="s">
        <v>1896</v>
      </c>
      <c r="F417" s="785" t="s">
        <v>3671</v>
      </c>
      <c r="G417" s="790" t="s">
        <v>3672</v>
      </c>
      <c r="H417" s="773" t="s">
        <v>3673</v>
      </c>
      <c r="I417" s="792"/>
      <c r="J417" s="793">
        <v>1</v>
      </c>
      <c r="K417" s="793"/>
      <c r="L417" s="793"/>
      <c r="M417" s="793"/>
      <c r="N417" s="793"/>
      <c r="O417" s="793"/>
      <c r="P417" s="794"/>
      <c r="Q417" s="795">
        <f t="shared" si="6"/>
        <v>1</v>
      </c>
      <c r="R417" s="789" t="s">
        <v>1030</v>
      </c>
      <c r="S417" s="773" t="s">
        <v>1008</v>
      </c>
      <c r="T417" s="796" t="s">
        <v>1009</v>
      </c>
      <c r="U417" s="773" t="s">
        <v>3674</v>
      </c>
      <c r="V417" s="773" t="s">
        <v>278</v>
      </c>
      <c r="W417" s="773" t="s">
        <v>1146</v>
      </c>
      <c r="X417" s="829">
        <v>1</v>
      </c>
      <c r="Y417" s="841" t="s">
        <v>1010</v>
      </c>
      <c r="Z417" s="790"/>
      <c r="AA417" s="785"/>
      <c r="AB417" s="785"/>
      <c r="AC417" s="785"/>
      <c r="AD417" s="785"/>
      <c r="AE417" s="785"/>
      <c r="AF417" s="799"/>
      <c r="AG417" s="807"/>
      <c r="AH417" s="807"/>
      <c r="AI417" s="807"/>
      <c r="AJ417" s="807"/>
      <c r="AK417" s="807"/>
      <c r="AL417" s="807"/>
      <c r="AM417" s="807"/>
      <c r="AN417" s="863"/>
      <c r="AO417" s="910"/>
      <c r="AP417" s="911"/>
      <c r="AQ417" s="912">
        <v>95</v>
      </c>
      <c r="AR417" s="910">
        <v>95</v>
      </c>
      <c r="AS417" s="911">
        <v>95</v>
      </c>
      <c r="AT417" s="910">
        <v>95</v>
      </c>
      <c r="AU417" s="913">
        <v>95</v>
      </c>
      <c r="AV417" s="817"/>
      <c r="AW417" s="816"/>
      <c r="AX417" s="816"/>
      <c r="AY417" s="816"/>
      <c r="AZ417" s="816"/>
      <c r="BA417" s="816"/>
      <c r="BB417" s="816"/>
      <c r="BC417" s="816"/>
      <c r="BD417" s="816"/>
      <c r="BE417" s="816"/>
      <c r="BF417" s="816"/>
      <c r="BG417" s="816"/>
      <c r="BH417" s="816"/>
      <c r="BI417" s="816"/>
      <c r="BJ417" s="816"/>
      <c r="BK417" s="818"/>
      <c r="BL417" s="789" t="s">
        <v>168</v>
      </c>
      <c r="BM417" s="785" t="s">
        <v>168</v>
      </c>
      <c r="BN417" s="785" t="s">
        <v>168</v>
      </c>
      <c r="BO417" s="785" t="s">
        <v>168</v>
      </c>
      <c r="BP417" s="796" t="s">
        <v>168</v>
      </c>
      <c r="BQ417" s="808" t="s">
        <v>1942</v>
      </c>
      <c r="BR417" s="800" t="s">
        <v>1942</v>
      </c>
      <c r="BS417" s="800" t="s">
        <v>1942</v>
      </c>
      <c r="BT417" s="800" t="s">
        <v>1942</v>
      </c>
      <c r="BU417" s="805" t="s">
        <v>1942</v>
      </c>
      <c r="BV417" s="806" t="s">
        <v>1942</v>
      </c>
      <c r="BW417" s="807" t="s">
        <v>1942</v>
      </c>
      <c r="BX417" s="807" t="s">
        <v>1942</v>
      </c>
      <c r="BY417" s="807" t="s">
        <v>1942</v>
      </c>
      <c r="BZ417" s="807" t="s">
        <v>1942</v>
      </c>
      <c r="CA417" s="808" t="s">
        <v>1942</v>
      </c>
      <c r="CB417" s="800" t="s">
        <v>1942</v>
      </c>
      <c r="CC417" s="800" t="s">
        <v>1942</v>
      </c>
      <c r="CD417" s="800" t="s">
        <v>1942</v>
      </c>
      <c r="CE417" s="805" t="s">
        <v>1942</v>
      </c>
      <c r="CF417" s="800" t="s">
        <v>1942</v>
      </c>
      <c r="CG417" s="800" t="s">
        <v>1942</v>
      </c>
      <c r="CH417" s="800" t="s">
        <v>1942</v>
      </c>
      <c r="CI417" s="800" t="s">
        <v>1942</v>
      </c>
      <c r="CJ417" s="805" t="s">
        <v>1942</v>
      </c>
      <c r="CK417" s="808" t="s">
        <v>1942</v>
      </c>
      <c r="CL417" s="800" t="s">
        <v>1942</v>
      </c>
      <c r="CM417" s="800" t="s">
        <v>1942</v>
      </c>
      <c r="CN417" s="800" t="s">
        <v>1942</v>
      </c>
      <c r="CO417" s="805" t="s">
        <v>1942</v>
      </c>
      <c r="CP417" s="808" t="s">
        <v>1942</v>
      </c>
      <c r="CQ417" s="800" t="s">
        <v>1942</v>
      </c>
      <c r="CR417" s="800" t="s">
        <v>1942</v>
      </c>
      <c r="CS417" s="800" t="s">
        <v>1942</v>
      </c>
      <c r="CT417" s="805" t="s">
        <v>1942</v>
      </c>
      <c r="CU417" s="1284">
        <v>-3.9899999999999998E-2</v>
      </c>
      <c r="CV417" s="1283" t="s">
        <v>1942</v>
      </c>
      <c r="CW417" s="1283" t="s">
        <v>1942</v>
      </c>
      <c r="CX417" s="1285" t="s">
        <v>1942</v>
      </c>
      <c r="CY417" s="1283">
        <v>2.52E-2</v>
      </c>
      <c r="CZ417" s="1283" t="s">
        <v>1942</v>
      </c>
      <c r="DA417" s="1283" t="s">
        <v>1942</v>
      </c>
      <c r="DB417" s="1285" t="s">
        <v>1942</v>
      </c>
      <c r="DC417" s="785"/>
      <c r="DD417" s="813">
        <v>1</v>
      </c>
      <c r="DE417" s="814"/>
    </row>
    <row r="418" spans="1:109" ht="26.25" hidden="1">
      <c r="A418" s="772" t="s">
        <v>1041</v>
      </c>
      <c r="B418" s="773">
        <v>412</v>
      </c>
      <c r="C418" s="789" t="s">
        <v>3675</v>
      </c>
      <c r="D418" s="773" t="s">
        <v>3666</v>
      </c>
      <c r="E418" s="773" t="s">
        <v>1896</v>
      </c>
      <c r="F418" s="785" t="s">
        <v>3676</v>
      </c>
      <c r="G418" s="790" t="s">
        <v>3677</v>
      </c>
      <c r="H418" s="791" t="s">
        <v>3678</v>
      </c>
      <c r="I418" s="792"/>
      <c r="J418" s="793"/>
      <c r="K418" s="793">
        <v>1</v>
      </c>
      <c r="L418" s="793"/>
      <c r="M418" s="793"/>
      <c r="N418" s="793"/>
      <c r="O418" s="793"/>
      <c r="P418" s="794"/>
      <c r="Q418" s="795">
        <f t="shared" si="6"/>
        <v>1</v>
      </c>
      <c r="R418" s="789" t="s">
        <v>1030</v>
      </c>
      <c r="S418" s="773" t="s">
        <v>1008</v>
      </c>
      <c r="T418" s="796" t="s">
        <v>1009</v>
      </c>
      <c r="U418" s="773" t="s">
        <v>3674</v>
      </c>
      <c r="V418" s="773" t="s">
        <v>278</v>
      </c>
      <c r="W418" s="773" t="s">
        <v>1146</v>
      </c>
      <c r="X418" s="829">
        <v>1</v>
      </c>
      <c r="Y418" s="798" t="s">
        <v>1010</v>
      </c>
      <c r="Z418" s="790"/>
      <c r="AA418" s="785"/>
      <c r="AB418" s="785"/>
      <c r="AC418" s="785"/>
      <c r="AD418" s="785"/>
      <c r="AE418" s="785"/>
      <c r="AF418" s="799"/>
      <c r="AG418" s="800"/>
      <c r="AH418" s="800"/>
      <c r="AI418" s="800"/>
      <c r="AJ418" s="800"/>
      <c r="AK418" s="800"/>
      <c r="AL418" s="800"/>
      <c r="AM418" s="800"/>
      <c r="AN418" s="800"/>
      <c r="AO418" s="800"/>
      <c r="AP418" s="800"/>
      <c r="AQ418" s="808">
        <v>95</v>
      </c>
      <c r="AR418" s="800">
        <v>95</v>
      </c>
      <c r="AS418" s="800">
        <v>95</v>
      </c>
      <c r="AT418" s="800">
        <v>95</v>
      </c>
      <c r="AU418" s="805">
        <v>95</v>
      </c>
      <c r="AV418" s="808"/>
      <c r="AW418" s="800"/>
      <c r="AX418" s="800"/>
      <c r="AY418" s="800"/>
      <c r="AZ418" s="800"/>
      <c r="BA418" s="800"/>
      <c r="BB418" s="800"/>
      <c r="BC418" s="800"/>
      <c r="BD418" s="800"/>
      <c r="BE418" s="800"/>
      <c r="BF418" s="800"/>
      <c r="BG418" s="800"/>
      <c r="BH418" s="800"/>
      <c r="BI418" s="800"/>
      <c r="BJ418" s="800"/>
      <c r="BK418" s="805"/>
      <c r="BL418" s="789" t="s">
        <v>168</v>
      </c>
      <c r="BM418" s="785" t="s">
        <v>168</v>
      </c>
      <c r="BN418" s="785" t="s">
        <v>168</v>
      </c>
      <c r="BO418" s="785" t="s">
        <v>168</v>
      </c>
      <c r="BP418" s="796" t="s">
        <v>168</v>
      </c>
      <c r="BQ418" s="808" t="s">
        <v>1942</v>
      </c>
      <c r="BR418" s="800" t="s">
        <v>1942</v>
      </c>
      <c r="BS418" s="800" t="s">
        <v>1942</v>
      </c>
      <c r="BT418" s="800" t="s">
        <v>1942</v>
      </c>
      <c r="BU418" s="805" t="s">
        <v>1942</v>
      </c>
      <c r="BV418" s="806" t="s">
        <v>1942</v>
      </c>
      <c r="BW418" s="807" t="s">
        <v>1942</v>
      </c>
      <c r="BX418" s="807" t="s">
        <v>1942</v>
      </c>
      <c r="BY418" s="807" t="s">
        <v>1942</v>
      </c>
      <c r="BZ418" s="807" t="s">
        <v>1942</v>
      </c>
      <c r="CA418" s="808" t="s">
        <v>1942</v>
      </c>
      <c r="CB418" s="800" t="s">
        <v>1942</v>
      </c>
      <c r="CC418" s="800" t="s">
        <v>1942</v>
      </c>
      <c r="CD418" s="800" t="s">
        <v>1942</v>
      </c>
      <c r="CE418" s="805" t="s">
        <v>1942</v>
      </c>
      <c r="CF418" s="800" t="s">
        <v>1942</v>
      </c>
      <c r="CG418" s="800" t="s">
        <v>1942</v>
      </c>
      <c r="CH418" s="800" t="s">
        <v>1942</v>
      </c>
      <c r="CI418" s="800" t="s">
        <v>1942</v>
      </c>
      <c r="CJ418" s="805" t="s">
        <v>1942</v>
      </c>
      <c r="CK418" s="808" t="s">
        <v>1942</v>
      </c>
      <c r="CL418" s="800" t="s">
        <v>1942</v>
      </c>
      <c r="CM418" s="800" t="s">
        <v>1942</v>
      </c>
      <c r="CN418" s="800" t="s">
        <v>1942</v>
      </c>
      <c r="CO418" s="805" t="s">
        <v>1942</v>
      </c>
      <c r="CP418" s="808" t="s">
        <v>1942</v>
      </c>
      <c r="CQ418" s="800" t="s">
        <v>1942</v>
      </c>
      <c r="CR418" s="800" t="s">
        <v>1942</v>
      </c>
      <c r="CS418" s="800" t="s">
        <v>1942</v>
      </c>
      <c r="CT418" s="805" t="s">
        <v>1942</v>
      </c>
      <c r="CU418" s="1284">
        <v>-1.7299999999999999E-2</v>
      </c>
      <c r="CV418" s="1283" t="s">
        <v>1942</v>
      </c>
      <c r="CW418" s="1283" t="s">
        <v>1942</v>
      </c>
      <c r="CX418" s="1285" t="s">
        <v>1942</v>
      </c>
      <c r="CY418" s="1283">
        <v>8.8999999999999999E-3</v>
      </c>
      <c r="CZ418" s="1283" t="s">
        <v>1942</v>
      </c>
      <c r="DA418" s="1283" t="s">
        <v>1942</v>
      </c>
      <c r="DB418" s="1285" t="s">
        <v>1942</v>
      </c>
      <c r="DC418" s="785"/>
      <c r="DD418" s="813">
        <v>1</v>
      </c>
      <c r="DE418" s="814"/>
    </row>
    <row r="419" spans="1:109" ht="26.25" hidden="1">
      <c r="A419" s="772" t="s">
        <v>1041</v>
      </c>
      <c r="B419" s="773">
        <v>413</v>
      </c>
      <c r="C419" s="789" t="s">
        <v>3679</v>
      </c>
      <c r="D419" s="773" t="s">
        <v>3666</v>
      </c>
      <c r="E419" s="773" t="s">
        <v>1907</v>
      </c>
      <c r="F419" s="785" t="s">
        <v>3680</v>
      </c>
      <c r="G419" s="790" t="s">
        <v>1935</v>
      </c>
      <c r="H419" s="791" t="s">
        <v>3681</v>
      </c>
      <c r="I419" s="792"/>
      <c r="J419" s="793">
        <v>0.49</v>
      </c>
      <c r="K419" s="793">
        <v>0.51</v>
      </c>
      <c r="L419" s="793"/>
      <c r="M419" s="793"/>
      <c r="N419" s="793"/>
      <c r="O419" s="793"/>
      <c r="P419" s="794"/>
      <c r="Q419" s="795">
        <f t="shared" si="6"/>
        <v>1</v>
      </c>
      <c r="R419" s="789" t="s">
        <v>1030</v>
      </c>
      <c r="S419" s="773" t="s">
        <v>1008</v>
      </c>
      <c r="T419" s="796" t="s">
        <v>1009</v>
      </c>
      <c r="U419" s="773" t="s">
        <v>1073</v>
      </c>
      <c r="V419" s="773" t="s">
        <v>1081</v>
      </c>
      <c r="W419" s="773" t="s">
        <v>3682</v>
      </c>
      <c r="X419" s="829">
        <v>2</v>
      </c>
      <c r="Y419" s="798" t="s">
        <v>1010</v>
      </c>
      <c r="Z419" s="790" t="s">
        <v>1935</v>
      </c>
      <c r="AA419" s="785"/>
      <c r="AB419" s="785"/>
      <c r="AC419" s="785"/>
      <c r="AD419" s="785"/>
      <c r="AE419" s="785"/>
      <c r="AF419" s="799"/>
      <c r="AG419" s="800"/>
      <c r="AH419" s="800"/>
      <c r="AI419" s="800"/>
      <c r="AJ419" s="800"/>
      <c r="AK419" s="800"/>
      <c r="AL419" s="800"/>
      <c r="AM419" s="800"/>
      <c r="AN419" s="800"/>
      <c r="AO419" s="914"/>
      <c r="AP419" s="800"/>
      <c r="AQ419" s="1420"/>
      <c r="AR419" s="1368"/>
      <c r="AS419" s="1368"/>
      <c r="AT419" s="1368"/>
      <c r="AU419" s="1777"/>
      <c r="AV419" s="808"/>
      <c r="AW419" s="800"/>
      <c r="AX419" s="800"/>
      <c r="AY419" s="800"/>
      <c r="AZ419" s="800"/>
      <c r="BA419" s="914"/>
      <c r="BB419" s="800"/>
      <c r="BC419" s="800"/>
      <c r="BD419" s="800"/>
      <c r="BE419" s="800"/>
      <c r="BF419" s="800"/>
      <c r="BG419" s="800"/>
      <c r="BH419" s="800"/>
      <c r="BI419" s="800"/>
      <c r="BJ419" s="800"/>
      <c r="BK419" s="805"/>
      <c r="BL419" s="1376"/>
      <c r="BM419" s="1377"/>
      <c r="BN419" s="1377"/>
      <c r="BO419" s="1377"/>
      <c r="BP419" s="1440"/>
      <c r="BQ419" s="1724"/>
      <c r="BR419" s="1368"/>
      <c r="BS419" s="1368"/>
      <c r="BT419" s="1368"/>
      <c r="BU419" s="1369"/>
      <c r="BV419" s="1421"/>
      <c r="BW419" s="1373"/>
      <c r="BX419" s="1373"/>
      <c r="BY419" s="1373"/>
      <c r="BZ419" s="1373"/>
      <c r="CA419" s="1420"/>
      <c r="CB419" s="1368"/>
      <c r="CC419" s="1368"/>
      <c r="CD419" s="1368"/>
      <c r="CE419" s="1369"/>
      <c r="CF419" s="1368"/>
      <c r="CG419" s="1368"/>
      <c r="CH419" s="1368"/>
      <c r="CI419" s="1368"/>
      <c r="CJ419" s="1369"/>
      <c r="CK419" s="1420"/>
      <c r="CL419" s="1368"/>
      <c r="CM419" s="1368"/>
      <c r="CN419" s="1368"/>
      <c r="CO419" s="1369"/>
      <c r="CP419" s="1420"/>
      <c r="CQ419" s="1368"/>
      <c r="CR419" s="1368"/>
      <c r="CS419" s="1368"/>
      <c r="CT419" s="1369"/>
      <c r="CU419" s="1528"/>
      <c r="CV419" s="1519"/>
      <c r="CW419" s="1519"/>
      <c r="CX419" s="1728"/>
      <c r="CY419" s="1519"/>
      <c r="CZ419" s="1519"/>
      <c r="DA419" s="1519"/>
      <c r="DB419" s="1728"/>
      <c r="DC419" s="1377"/>
      <c r="DD419" s="1729"/>
      <c r="DE419" s="1734"/>
    </row>
    <row r="420" spans="1:109" ht="26.25" hidden="1">
      <c r="A420" s="772" t="s">
        <v>1041</v>
      </c>
      <c r="B420" s="773">
        <v>414</v>
      </c>
      <c r="C420" s="789" t="s">
        <v>3683</v>
      </c>
      <c r="D420" s="773" t="s">
        <v>3666</v>
      </c>
      <c r="E420" s="773" t="s">
        <v>1896</v>
      </c>
      <c r="F420" s="785" t="s">
        <v>3684</v>
      </c>
      <c r="G420" s="790" t="s">
        <v>3685</v>
      </c>
      <c r="H420" s="791" t="s">
        <v>3686</v>
      </c>
      <c r="I420" s="792"/>
      <c r="J420" s="793"/>
      <c r="K420" s="793"/>
      <c r="L420" s="793"/>
      <c r="M420" s="793">
        <v>1</v>
      </c>
      <c r="N420" s="793"/>
      <c r="O420" s="793"/>
      <c r="P420" s="794"/>
      <c r="Q420" s="795">
        <f t="shared" si="6"/>
        <v>1</v>
      </c>
      <c r="R420" s="789" t="s">
        <v>1007</v>
      </c>
      <c r="S420" s="773"/>
      <c r="T420" s="796"/>
      <c r="U420" s="773" t="s">
        <v>2117</v>
      </c>
      <c r="V420" s="773" t="s">
        <v>278</v>
      </c>
      <c r="W420" s="773" t="s">
        <v>1146</v>
      </c>
      <c r="X420" s="1274">
        <v>0</v>
      </c>
      <c r="Y420" s="798" t="s">
        <v>1010</v>
      </c>
      <c r="Z420" s="790"/>
      <c r="AA420" s="785"/>
      <c r="AB420" s="785"/>
      <c r="AC420" s="785"/>
      <c r="AD420" s="785"/>
      <c r="AE420" s="785"/>
      <c r="AF420" s="799"/>
      <c r="AG420" s="800"/>
      <c r="AH420" s="800"/>
      <c r="AI420" s="800"/>
      <c r="AJ420" s="800"/>
      <c r="AK420" s="800"/>
      <c r="AL420" s="800"/>
      <c r="AM420" s="800"/>
      <c r="AN420" s="800"/>
      <c r="AO420" s="800"/>
      <c r="AP420" s="800"/>
      <c r="AQ420" s="817">
        <v>70</v>
      </c>
      <c r="AR420" s="914">
        <v>71</v>
      </c>
      <c r="AS420" s="800">
        <v>73</v>
      </c>
      <c r="AT420" s="800">
        <v>74</v>
      </c>
      <c r="AU420" s="805">
        <v>75</v>
      </c>
      <c r="AV420" s="808"/>
      <c r="AW420" s="800"/>
      <c r="AX420" s="800"/>
      <c r="AY420" s="800"/>
      <c r="AZ420" s="800"/>
      <c r="BA420" s="800"/>
      <c r="BB420" s="800"/>
      <c r="BC420" s="800"/>
      <c r="BD420" s="800"/>
      <c r="BE420" s="800"/>
      <c r="BF420" s="800"/>
      <c r="BG420" s="800"/>
      <c r="BH420" s="800"/>
      <c r="BI420" s="800"/>
      <c r="BJ420" s="800"/>
      <c r="BK420" s="805"/>
      <c r="BL420" s="789"/>
      <c r="BM420" s="785"/>
      <c r="BN420" s="785"/>
      <c r="BO420" s="785"/>
      <c r="BP420" s="796"/>
      <c r="BQ420" s="808" t="s">
        <v>1942</v>
      </c>
      <c r="BR420" s="800" t="s">
        <v>1942</v>
      </c>
      <c r="BS420" s="800" t="s">
        <v>1942</v>
      </c>
      <c r="BT420" s="800" t="s">
        <v>1942</v>
      </c>
      <c r="BU420" s="805" t="s">
        <v>1942</v>
      </c>
      <c r="BV420" s="806" t="s">
        <v>1942</v>
      </c>
      <c r="BW420" s="807" t="s">
        <v>1942</v>
      </c>
      <c r="BX420" s="807" t="s">
        <v>1942</v>
      </c>
      <c r="BY420" s="807" t="s">
        <v>1942</v>
      </c>
      <c r="BZ420" s="807" t="s">
        <v>1942</v>
      </c>
      <c r="CA420" s="808" t="s">
        <v>1942</v>
      </c>
      <c r="CB420" s="800" t="s">
        <v>1942</v>
      </c>
      <c r="CC420" s="800" t="s">
        <v>1942</v>
      </c>
      <c r="CD420" s="800" t="s">
        <v>1942</v>
      </c>
      <c r="CE420" s="805" t="s">
        <v>1942</v>
      </c>
      <c r="CF420" s="800" t="s">
        <v>1942</v>
      </c>
      <c r="CG420" s="800" t="s">
        <v>1942</v>
      </c>
      <c r="CH420" s="800" t="s">
        <v>1942</v>
      </c>
      <c r="CI420" s="800" t="s">
        <v>1942</v>
      </c>
      <c r="CJ420" s="805" t="s">
        <v>1942</v>
      </c>
      <c r="CK420" s="808" t="s">
        <v>1942</v>
      </c>
      <c r="CL420" s="800" t="s">
        <v>1942</v>
      </c>
      <c r="CM420" s="800" t="s">
        <v>1942</v>
      </c>
      <c r="CN420" s="800" t="s">
        <v>1942</v>
      </c>
      <c r="CO420" s="805" t="s">
        <v>1942</v>
      </c>
      <c r="CP420" s="808" t="s">
        <v>1942</v>
      </c>
      <c r="CQ420" s="800" t="s">
        <v>1942</v>
      </c>
      <c r="CR420" s="800" t="s">
        <v>1942</v>
      </c>
      <c r="CS420" s="800" t="s">
        <v>1942</v>
      </c>
      <c r="CT420" s="805" t="s">
        <v>1942</v>
      </c>
      <c r="CU420" s="1284" t="s">
        <v>1942</v>
      </c>
      <c r="CV420" s="1283" t="s">
        <v>1942</v>
      </c>
      <c r="CW420" s="1283" t="s">
        <v>1942</v>
      </c>
      <c r="CX420" s="1285" t="s">
        <v>1942</v>
      </c>
      <c r="CY420" s="1283" t="s">
        <v>1942</v>
      </c>
      <c r="CZ420" s="1283" t="s">
        <v>1942</v>
      </c>
      <c r="DA420" s="1283" t="s">
        <v>1942</v>
      </c>
      <c r="DB420" s="1285" t="s">
        <v>1942</v>
      </c>
      <c r="DC420" s="785"/>
      <c r="DD420" s="813">
        <v>1</v>
      </c>
      <c r="DE420" s="814"/>
    </row>
    <row r="421" spans="1:109" ht="52.5" hidden="1">
      <c r="A421" s="772" t="s">
        <v>1041</v>
      </c>
      <c r="B421" s="773">
        <v>415</v>
      </c>
      <c r="C421" s="789" t="s">
        <v>3687</v>
      </c>
      <c r="D421" s="773" t="s">
        <v>3666</v>
      </c>
      <c r="E421" s="773" t="s">
        <v>1907</v>
      </c>
      <c r="F421" s="785" t="s">
        <v>3688</v>
      </c>
      <c r="G421" s="790" t="s">
        <v>703</v>
      </c>
      <c r="H421" s="791" t="s">
        <v>3689</v>
      </c>
      <c r="I421" s="792"/>
      <c r="J421" s="793"/>
      <c r="K421" s="793"/>
      <c r="L421" s="793"/>
      <c r="M421" s="793">
        <v>1</v>
      </c>
      <c r="N421" s="793"/>
      <c r="O421" s="793"/>
      <c r="P421" s="794"/>
      <c r="Q421" s="795">
        <f t="shared" si="6"/>
        <v>1</v>
      </c>
      <c r="R421" s="789" t="s">
        <v>1007</v>
      </c>
      <c r="S421" s="773"/>
      <c r="T421" s="796"/>
      <c r="U421" s="773" t="s">
        <v>2117</v>
      </c>
      <c r="V421" s="773" t="s">
        <v>278</v>
      </c>
      <c r="W421" s="773" t="s">
        <v>1146</v>
      </c>
      <c r="X421" s="829">
        <v>1</v>
      </c>
      <c r="Y421" s="798" t="s">
        <v>1010</v>
      </c>
      <c r="Z421" s="790" t="s">
        <v>703</v>
      </c>
      <c r="AA421" s="785"/>
      <c r="AB421" s="785"/>
      <c r="AC421" s="785"/>
      <c r="AD421" s="785"/>
      <c r="AE421" s="785"/>
      <c r="AF421" s="799"/>
      <c r="AG421" s="800"/>
      <c r="AH421" s="800"/>
      <c r="AI421" s="800"/>
      <c r="AJ421" s="800"/>
      <c r="AK421" s="800"/>
      <c r="AL421" s="800"/>
      <c r="AM421" s="800"/>
      <c r="AN421" s="800"/>
      <c r="AO421" s="800"/>
      <c r="AP421" s="800"/>
      <c r="AQ421" s="1420"/>
      <c r="AR421" s="1368"/>
      <c r="AS421" s="1368"/>
      <c r="AT421" s="1368"/>
      <c r="AU421" s="1369"/>
      <c r="AV421" s="808"/>
      <c r="AW421" s="800"/>
      <c r="AX421" s="800"/>
      <c r="AY421" s="800"/>
      <c r="AZ421" s="800"/>
      <c r="BA421" s="800"/>
      <c r="BB421" s="800"/>
      <c r="BC421" s="800"/>
      <c r="BD421" s="800"/>
      <c r="BE421" s="800"/>
      <c r="BF421" s="800"/>
      <c r="BG421" s="800"/>
      <c r="BH421" s="800"/>
      <c r="BI421" s="800"/>
      <c r="BJ421" s="800"/>
      <c r="BK421" s="805"/>
      <c r="BL421" s="1376"/>
      <c r="BM421" s="1377"/>
      <c r="BN421" s="1377"/>
      <c r="BO421" s="1377"/>
      <c r="BP421" s="1440"/>
      <c r="BQ421" s="1420"/>
      <c r="BR421" s="1368"/>
      <c r="BS421" s="1368"/>
      <c r="BT421" s="1368"/>
      <c r="BU421" s="1369"/>
      <c r="BV421" s="1421"/>
      <c r="BW421" s="1373"/>
      <c r="BX421" s="1373"/>
      <c r="BY421" s="1373"/>
      <c r="BZ421" s="1373"/>
      <c r="CA421" s="1420"/>
      <c r="CB421" s="1368"/>
      <c r="CC421" s="1368"/>
      <c r="CD421" s="1368"/>
      <c r="CE421" s="1369"/>
      <c r="CF421" s="1368"/>
      <c r="CG421" s="1368"/>
      <c r="CH421" s="1368"/>
      <c r="CI421" s="1368"/>
      <c r="CJ421" s="1368"/>
      <c r="CK421" s="1420"/>
      <c r="CL421" s="1368"/>
      <c r="CM421" s="1368"/>
      <c r="CN421" s="1368"/>
      <c r="CO421" s="1369"/>
      <c r="CP421" s="1420"/>
      <c r="CQ421" s="1368"/>
      <c r="CR421" s="1368"/>
      <c r="CS421" s="1368"/>
      <c r="CT421" s="1369"/>
      <c r="CU421" s="1528"/>
      <c r="CV421" s="1519"/>
      <c r="CW421" s="1519"/>
      <c r="CX421" s="1728"/>
      <c r="CY421" s="1519"/>
      <c r="CZ421" s="1519"/>
      <c r="DA421" s="1519"/>
      <c r="DB421" s="1728"/>
      <c r="DC421" s="1377"/>
      <c r="DD421" s="1729"/>
      <c r="DE421" s="1734"/>
    </row>
    <row r="422" spans="1:109" ht="26.25" hidden="1">
      <c r="A422" s="772" t="s">
        <v>1041</v>
      </c>
      <c r="B422" s="773">
        <v>416</v>
      </c>
      <c r="C422" s="789" t="s">
        <v>3690</v>
      </c>
      <c r="D422" s="773" t="s">
        <v>3666</v>
      </c>
      <c r="E422" s="773" t="s">
        <v>1907</v>
      </c>
      <c r="F422" s="785" t="s">
        <v>3691</v>
      </c>
      <c r="G422" s="790" t="s">
        <v>3692</v>
      </c>
      <c r="H422" s="791" t="s">
        <v>3693</v>
      </c>
      <c r="I422" s="792"/>
      <c r="J422" s="793"/>
      <c r="K422" s="793"/>
      <c r="L422" s="793"/>
      <c r="M422" s="793">
        <v>1</v>
      </c>
      <c r="N422" s="793"/>
      <c r="O422" s="793"/>
      <c r="P422" s="794"/>
      <c r="Q422" s="795">
        <f t="shared" si="6"/>
        <v>1</v>
      </c>
      <c r="R422" s="789" t="s">
        <v>1007</v>
      </c>
      <c r="S422" s="773"/>
      <c r="T422" s="796"/>
      <c r="U422" s="773" t="s">
        <v>2117</v>
      </c>
      <c r="V422" s="773" t="s">
        <v>1081</v>
      </c>
      <c r="W422" s="773" t="s">
        <v>1927</v>
      </c>
      <c r="X422" s="829">
        <v>0</v>
      </c>
      <c r="Y422" s="819"/>
      <c r="Z422" s="790"/>
      <c r="AA422" s="785"/>
      <c r="AB422" s="785"/>
      <c r="AC422" s="785"/>
      <c r="AD422" s="785"/>
      <c r="AE422" s="785"/>
      <c r="AF422" s="799"/>
      <c r="AG422" s="800"/>
      <c r="AH422" s="800"/>
      <c r="AI422" s="800"/>
      <c r="AJ422" s="800"/>
      <c r="AK422" s="800"/>
      <c r="AL422" s="800"/>
      <c r="AM422" s="800"/>
      <c r="AN422" s="800"/>
      <c r="AO422" s="800"/>
      <c r="AP422" s="800"/>
      <c r="AQ422" s="808" t="s">
        <v>3694</v>
      </c>
      <c r="AR422" s="800" t="s">
        <v>3695</v>
      </c>
      <c r="AS422" s="800" t="s">
        <v>3695</v>
      </c>
      <c r="AT422" s="800" t="s">
        <v>3695</v>
      </c>
      <c r="AU422" s="805" t="s">
        <v>3695</v>
      </c>
      <c r="AV422" s="808"/>
      <c r="AW422" s="800"/>
      <c r="AX422" s="800"/>
      <c r="AY422" s="800"/>
      <c r="AZ422" s="800"/>
      <c r="BA422" s="800"/>
      <c r="BB422" s="800"/>
      <c r="BC422" s="800"/>
      <c r="BD422" s="800"/>
      <c r="BE422" s="800"/>
      <c r="BF422" s="800"/>
      <c r="BG422" s="800"/>
      <c r="BH422" s="800"/>
      <c r="BI422" s="800"/>
      <c r="BJ422" s="800"/>
      <c r="BK422" s="805"/>
      <c r="BL422" s="789"/>
      <c r="BM422" s="785"/>
      <c r="BN422" s="785"/>
      <c r="BO422" s="785"/>
      <c r="BP422" s="796"/>
      <c r="BQ422" s="808" t="s">
        <v>1942</v>
      </c>
      <c r="BR422" s="800" t="s">
        <v>1942</v>
      </c>
      <c r="BS422" s="800" t="s">
        <v>1942</v>
      </c>
      <c r="BT422" s="800" t="s">
        <v>1942</v>
      </c>
      <c r="BU422" s="805" t="s">
        <v>1942</v>
      </c>
      <c r="BV422" s="806" t="s">
        <v>1942</v>
      </c>
      <c r="BW422" s="807" t="s">
        <v>1942</v>
      </c>
      <c r="BX422" s="807" t="s">
        <v>1942</v>
      </c>
      <c r="BY422" s="807" t="s">
        <v>1942</v>
      </c>
      <c r="BZ422" s="807" t="s">
        <v>1942</v>
      </c>
      <c r="CA422" s="808" t="s">
        <v>1942</v>
      </c>
      <c r="CB422" s="800" t="s">
        <v>1942</v>
      </c>
      <c r="CC422" s="800" t="s">
        <v>1942</v>
      </c>
      <c r="CD422" s="800" t="s">
        <v>1942</v>
      </c>
      <c r="CE422" s="805" t="s">
        <v>1942</v>
      </c>
      <c r="CF422" s="800" t="s">
        <v>1942</v>
      </c>
      <c r="CG422" s="800" t="s">
        <v>1942</v>
      </c>
      <c r="CH422" s="800" t="s">
        <v>1942</v>
      </c>
      <c r="CI422" s="800" t="s">
        <v>1942</v>
      </c>
      <c r="CJ422" s="805" t="s">
        <v>1942</v>
      </c>
      <c r="CK422" s="808" t="s">
        <v>1942</v>
      </c>
      <c r="CL422" s="800" t="s">
        <v>1942</v>
      </c>
      <c r="CM422" s="800" t="s">
        <v>1942</v>
      </c>
      <c r="CN422" s="800" t="s">
        <v>1942</v>
      </c>
      <c r="CO422" s="805" t="s">
        <v>1942</v>
      </c>
      <c r="CP422" s="808" t="s">
        <v>1942</v>
      </c>
      <c r="CQ422" s="800" t="s">
        <v>1942</v>
      </c>
      <c r="CR422" s="800" t="s">
        <v>1942</v>
      </c>
      <c r="CS422" s="800" t="s">
        <v>1942</v>
      </c>
      <c r="CT422" s="805" t="s">
        <v>1942</v>
      </c>
      <c r="CU422" s="1284" t="s">
        <v>1942</v>
      </c>
      <c r="CV422" s="1283" t="s">
        <v>1942</v>
      </c>
      <c r="CW422" s="1283" t="s">
        <v>1942</v>
      </c>
      <c r="CX422" s="1285" t="s">
        <v>1942</v>
      </c>
      <c r="CY422" s="1283" t="s">
        <v>1942</v>
      </c>
      <c r="CZ422" s="1283" t="s">
        <v>1942</v>
      </c>
      <c r="DA422" s="1283" t="s">
        <v>1942</v>
      </c>
      <c r="DB422" s="1285" t="s">
        <v>1942</v>
      </c>
      <c r="DC422" s="785"/>
      <c r="DD422" s="813"/>
      <c r="DE422" s="814"/>
    </row>
    <row r="423" spans="1:109" ht="26.25" hidden="1">
      <c r="A423" s="772" t="s">
        <v>1041</v>
      </c>
      <c r="B423" s="773">
        <v>417</v>
      </c>
      <c r="C423" s="789" t="s">
        <v>3696</v>
      </c>
      <c r="D423" s="773" t="s">
        <v>3666</v>
      </c>
      <c r="E423" s="773" t="s">
        <v>1907</v>
      </c>
      <c r="F423" s="785" t="s">
        <v>3697</v>
      </c>
      <c r="G423" s="790" t="s">
        <v>3698</v>
      </c>
      <c r="H423" s="791" t="s">
        <v>3699</v>
      </c>
      <c r="I423" s="792"/>
      <c r="J423" s="793"/>
      <c r="K423" s="793"/>
      <c r="L423" s="793"/>
      <c r="M423" s="793">
        <v>1</v>
      </c>
      <c r="N423" s="793"/>
      <c r="O423" s="793"/>
      <c r="P423" s="794"/>
      <c r="Q423" s="795">
        <f t="shared" si="6"/>
        <v>1</v>
      </c>
      <c r="R423" s="789" t="s">
        <v>1007</v>
      </c>
      <c r="S423" s="773"/>
      <c r="T423" s="796"/>
      <c r="U423" s="773" t="s">
        <v>2117</v>
      </c>
      <c r="V423" s="773" t="s">
        <v>278</v>
      </c>
      <c r="W423" s="773" t="s">
        <v>1146</v>
      </c>
      <c r="X423" s="829">
        <v>0</v>
      </c>
      <c r="Y423" s="819" t="s">
        <v>1010</v>
      </c>
      <c r="Z423" s="790"/>
      <c r="AA423" s="785"/>
      <c r="AB423" s="785"/>
      <c r="AC423" s="785"/>
      <c r="AD423" s="785"/>
      <c r="AE423" s="785"/>
      <c r="AF423" s="799"/>
      <c r="AG423" s="800"/>
      <c r="AH423" s="800"/>
      <c r="AI423" s="800"/>
      <c r="AJ423" s="800"/>
      <c r="AK423" s="800"/>
      <c r="AL423" s="800"/>
      <c r="AM423" s="800"/>
      <c r="AN423" s="800"/>
      <c r="AO423" s="800"/>
      <c r="AP423" s="800"/>
      <c r="AQ423" s="808">
        <v>73</v>
      </c>
      <c r="AR423" s="800">
        <v>78</v>
      </c>
      <c r="AS423" s="800">
        <v>83</v>
      </c>
      <c r="AT423" s="800">
        <v>88</v>
      </c>
      <c r="AU423" s="805">
        <v>93</v>
      </c>
      <c r="AV423" s="808"/>
      <c r="AW423" s="800"/>
      <c r="AX423" s="800"/>
      <c r="AY423" s="800"/>
      <c r="AZ423" s="800"/>
      <c r="BA423" s="800"/>
      <c r="BB423" s="800"/>
      <c r="BC423" s="800"/>
      <c r="BD423" s="800"/>
      <c r="BE423" s="800"/>
      <c r="BF423" s="800"/>
      <c r="BG423" s="800"/>
      <c r="BH423" s="800"/>
      <c r="BI423" s="800"/>
      <c r="BJ423" s="800"/>
      <c r="BK423" s="805"/>
      <c r="BL423" s="789"/>
      <c r="BM423" s="785"/>
      <c r="BN423" s="785"/>
      <c r="BO423" s="785"/>
      <c r="BP423" s="796"/>
      <c r="BQ423" s="808" t="s">
        <v>1942</v>
      </c>
      <c r="BR423" s="800" t="s">
        <v>1942</v>
      </c>
      <c r="BS423" s="800" t="s">
        <v>1942</v>
      </c>
      <c r="BT423" s="800" t="s">
        <v>1942</v>
      </c>
      <c r="BU423" s="805" t="s">
        <v>1942</v>
      </c>
      <c r="BV423" s="806" t="s">
        <v>1942</v>
      </c>
      <c r="BW423" s="807" t="s">
        <v>1942</v>
      </c>
      <c r="BX423" s="807" t="s">
        <v>1942</v>
      </c>
      <c r="BY423" s="807" t="s">
        <v>1942</v>
      </c>
      <c r="BZ423" s="807" t="s">
        <v>1942</v>
      </c>
      <c r="CA423" s="808" t="s">
        <v>1942</v>
      </c>
      <c r="CB423" s="800" t="s">
        <v>1942</v>
      </c>
      <c r="CC423" s="800" t="s">
        <v>1942</v>
      </c>
      <c r="CD423" s="800" t="s">
        <v>1942</v>
      </c>
      <c r="CE423" s="805" t="s">
        <v>1942</v>
      </c>
      <c r="CF423" s="800" t="s">
        <v>1942</v>
      </c>
      <c r="CG423" s="800" t="s">
        <v>1942</v>
      </c>
      <c r="CH423" s="800" t="s">
        <v>1942</v>
      </c>
      <c r="CI423" s="800" t="s">
        <v>1942</v>
      </c>
      <c r="CJ423" s="805" t="s">
        <v>1942</v>
      </c>
      <c r="CK423" s="808" t="s">
        <v>1942</v>
      </c>
      <c r="CL423" s="800" t="s">
        <v>1942</v>
      </c>
      <c r="CM423" s="800" t="s">
        <v>1942</v>
      </c>
      <c r="CN423" s="800" t="s">
        <v>1942</v>
      </c>
      <c r="CO423" s="805" t="s">
        <v>1942</v>
      </c>
      <c r="CP423" s="808" t="s">
        <v>1942</v>
      </c>
      <c r="CQ423" s="800" t="s">
        <v>1942</v>
      </c>
      <c r="CR423" s="800" t="s">
        <v>1942</v>
      </c>
      <c r="CS423" s="800" t="s">
        <v>1942</v>
      </c>
      <c r="CT423" s="805" t="s">
        <v>1942</v>
      </c>
      <c r="CU423" s="1284" t="s">
        <v>1942</v>
      </c>
      <c r="CV423" s="1283" t="s">
        <v>1942</v>
      </c>
      <c r="CW423" s="1283" t="s">
        <v>1942</v>
      </c>
      <c r="CX423" s="1285" t="s">
        <v>1942</v>
      </c>
      <c r="CY423" s="1283" t="s">
        <v>1942</v>
      </c>
      <c r="CZ423" s="1283" t="s">
        <v>1942</v>
      </c>
      <c r="DA423" s="1283" t="s">
        <v>1942</v>
      </c>
      <c r="DB423" s="1285" t="s">
        <v>1942</v>
      </c>
      <c r="DC423" s="785"/>
      <c r="DD423" s="813">
        <v>1</v>
      </c>
      <c r="DE423" s="814"/>
    </row>
    <row r="424" spans="1:109" ht="52.5" hidden="1">
      <c r="A424" s="772" t="s">
        <v>1041</v>
      </c>
      <c r="B424" s="773">
        <v>418</v>
      </c>
      <c r="C424" s="789" t="s">
        <v>3700</v>
      </c>
      <c r="D424" s="773" t="s">
        <v>3701</v>
      </c>
      <c r="E424" s="773" t="s">
        <v>1889</v>
      </c>
      <c r="F424" s="785" t="s">
        <v>3702</v>
      </c>
      <c r="G424" s="790" t="s">
        <v>736</v>
      </c>
      <c r="H424" s="791" t="s">
        <v>3703</v>
      </c>
      <c r="I424" s="792"/>
      <c r="J424" s="793"/>
      <c r="K424" s="793">
        <v>1</v>
      </c>
      <c r="L424" s="793"/>
      <c r="M424" s="793"/>
      <c r="N424" s="793"/>
      <c r="O424" s="793"/>
      <c r="P424" s="794"/>
      <c r="Q424" s="795">
        <f t="shared" si="6"/>
        <v>1</v>
      </c>
      <c r="R424" s="789" t="s">
        <v>1026</v>
      </c>
      <c r="S424" s="773" t="s">
        <v>1008</v>
      </c>
      <c r="T424" s="796" t="s">
        <v>1009</v>
      </c>
      <c r="U424" s="773" t="s">
        <v>736</v>
      </c>
      <c r="V424" s="773" t="s">
        <v>1033</v>
      </c>
      <c r="W424" s="773" t="s">
        <v>3704</v>
      </c>
      <c r="X424" s="829">
        <v>2</v>
      </c>
      <c r="Y424" s="819" t="s">
        <v>1020</v>
      </c>
      <c r="Z424" s="790" t="s">
        <v>736</v>
      </c>
      <c r="AA424" s="785"/>
      <c r="AB424" s="785"/>
      <c r="AC424" s="785"/>
      <c r="AD424" s="785"/>
      <c r="AE424" s="785"/>
      <c r="AF424" s="799"/>
      <c r="AG424" s="800"/>
      <c r="AH424" s="800"/>
      <c r="AI424" s="800"/>
      <c r="AJ424" s="800"/>
      <c r="AK424" s="800"/>
      <c r="AL424" s="800"/>
      <c r="AM424" s="800"/>
      <c r="AN424" s="800"/>
      <c r="AO424" s="800"/>
      <c r="AP424" s="800"/>
      <c r="AQ424" s="1421"/>
      <c r="AR424" s="1373"/>
      <c r="AS424" s="1373"/>
      <c r="AT424" s="1373"/>
      <c r="AU424" s="1374"/>
      <c r="AV424" s="808"/>
      <c r="AW424" s="800"/>
      <c r="AX424" s="800"/>
      <c r="AY424" s="800"/>
      <c r="AZ424" s="800"/>
      <c r="BA424" s="800"/>
      <c r="BB424" s="800"/>
      <c r="BC424" s="800"/>
      <c r="BD424" s="800"/>
      <c r="BE424" s="800"/>
      <c r="BF424" s="800"/>
      <c r="BG424" s="800"/>
      <c r="BH424" s="800"/>
      <c r="BI424" s="800"/>
      <c r="BJ424" s="800"/>
      <c r="BK424" s="805"/>
      <c r="BL424" s="1376"/>
      <c r="BM424" s="1377"/>
      <c r="BN424" s="1377"/>
      <c r="BO424" s="1377"/>
      <c r="BP424" s="1440"/>
      <c r="BQ424" s="1420"/>
      <c r="BR424" s="1368"/>
      <c r="BS424" s="1368"/>
      <c r="BT424" s="1368"/>
      <c r="BU424" s="1369"/>
      <c r="BV424" s="1421"/>
      <c r="BW424" s="1373"/>
      <c r="BX424" s="1373"/>
      <c r="BY424" s="1373"/>
      <c r="BZ424" s="1373"/>
      <c r="CA424" s="1420"/>
      <c r="CB424" s="1368"/>
      <c r="CC424" s="1368"/>
      <c r="CD424" s="1368"/>
      <c r="CE424" s="1369"/>
      <c r="CF424" s="1368"/>
      <c r="CG424" s="1368"/>
      <c r="CH424" s="1368"/>
      <c r="CI424" s="1368"/>
      <c r="CJ424" s="1369"/>
      <c r="CK424" s="1420"/>
      <c r="CL424" s="1368"/>
      <c r="CM424" s="1368"/>
      <c r="CN424" s="1368"/>
      <c r="CO424" s="1369"/>
      <c r="CP424" s="1420"/>
      <c r="CQ424" s="1368"/>
      <c r="CR424" s="1368"/>
      <c r="CS424" s="1368"/>
      <c r="CT424" s="1369"/>
      <c r="CU424" s="1528"/>
      <c r="CV424" s="1519"/>
      <c r="CW424" s="1519"/>
      <c r="CX424" s="1728"/>
      <c r="CY424" s="1519"/>
      <c r="CZ424" s="1519"/>
      <c r="DA424" s="1519"/>
      <c r="DB424" s="1728"/>
      <c r="DC424" s="1377"/>
      <c r="DD424" s="1729"/>
      <c r="DE424" s="1734"/>
    </row>
    <row r="425" spans="1:109" ht="78.75" hidden="1">
      <c r="A425" s="772" t="s">
        <v>1041</v>
      </c>
      <c r="B425" s="773">
        <v>419</v>
      </c>
      <c r="C425" s="789" t="s">
        <v>3705</v>
      </c>
      <c r="D425" s="773" t="s">
        <v>3701</v>
      </c>
      <c r="E425" s="773" t="s">
        <v>1889</v>
      </c>
      <c r="F425" s="785" t="s">
        <v>3706</v>
      </c>
      <c r="G425" s="790" t="s">
        <v>3707</v>
      </c>
      <c r="H425" s="791" t="s">
        <v>3708</v>
      </c>
      <c r="I425" s="792"/>
      <c r="J425" s="793">
        <v>1</v>
      </c>
      <c r="K425" s="793"/>
      <c r="L425" s="793"/>
      <c r="M425" s="793"/>
      <c r="N425" s="793"/>
      <c r="O425" s="793"/>
      <c r="P425" s="794"/>
      <c r="Q425" s="795">
        <f t="shared" si="6"/>
        <v>1</v>
      </c>
      <c r="R425" s="789" t="s">
        <v>1026</v>
      </c>
      <c r="S425" s="773" t="s">
        <v>1008</v>
      </c>
      <c r="T425" s="796" t="s">
        <v>1009</v>
      </c>
      <c r="U425" s="773" t="s">
        <v>736</v>
      </c>
      <c r="V425" s="773" t="s">
        <v>1033</v>
      </c>
      <c r="W425" s="773" t="s">
        <v>396</v>
      </c>
      <c r="X425" s="1316">
        <v>0</v>
      </c>
      <c r="Y425" s="821" t="s">
        <v>1020</v>
      </c>
      <c r="Z425" s="790"/>
      <c r="AA425" s="785"/>
      <c r="AB425" s="785"/>
      <c r="AC425" s="785"/>
      <c r="AD425" s="785"/>
      <c r="AE425" s="785"/>
      <c r="AF425" s="799"/>
      <c r="AG425" s="800"/>
      <c r="AH425" s="800"/>
      <c r="AI425" s="800"/>
      <c r="AJ425" s="800"/>
      <c r="AK425" s="800"/>
      <c r="AL425" s="800"/>
      <c r="AM425" s="800"/>
      <c r="AN425" s="800"/>
      <c r="AO425" s="800"/>
      <c r="AP425" s="800"/>
      <c r="AQ425" s="808">
        <v>0</v>
      </c>
      <c r="AR425" s="800">
        <v>0</v>
      </c>
      <c r="AS425" s="800">
        <v>0</v>
      </c>
      <c r="AT425" s="800">
        <v>0</v>
      </c>
      <c r="AU425" s="805">
        <v>0</v>
      </c>
      <c r="AV425" s="808"/>
      <c r="AW425" s="800"/>
      <c r="AX425" s="800"/>
      <c r="AY425" s="800"/>
      <c r="AZ425" s="800"/>
      <c r="BA425" s="800"/>
      <c r="BB425" s="800"/>
      <c r="BC425" s="800"/>
      <c r="BD425" s="800"/>
      <c r="BE425" s="800"/>
      <c r="BF425" s="800"/>
      <c r="BG425" s="800"/>
      <c r="BH425" s="800"/>
      <c r="BI425" s="800"/>
      <c r="BJ425" s="800"/>
      <c r="BK425" s="805"/>
      <c r="BL425" s="789" t="s">
        <v>168</v>
      </c>
      <c r="BM425" s="785" t="s">
        <v>168</v>
      </c>
      <c r="BN425" s="785" t="s">
        <v>168</v>
      </c>
      <c r="BO425" s="785" t="s">
        <v>168</v>
      </c>
      <c r="BP425" s="796" t="s">
        <v>168</v>
      </c>
      <c r="BQ425" s="808" t="s">
        <v>1942</v>
      </c>
      <c r="BR425" s="800" t="s">
        <v>1942</v>
      </c>
      <c r="BS425" s="800" t="s">
        <v>1942</v>
      </c>
      <c r="BT425" s="800" t="s">
        <v>1942</v>
      </c>
      <c r="BU425" s="805" t="s">
        <v>1942</v>
      </c>
      <c r="BV425" s="806" t="s">
        <v>1942</v>
      </c>
      <c r="BW425" s="807" t="s">
        <v>1942</v>
      </c>
      <c r="BX425" s="807" t="s">
        <v>1942</v>
      </c>
      <c r="BY425" s="807" t="s">
        <v>1942</v>
      </c>
      <c r="BZ425" s="807" t="s">
        <v>1942</v>
      </c>
      <c r="CA425" s="808" t="s">
        <v>1942</v>
      </c>
      <c r="CB425" s="800" t="s">
        <v>1942</v>
      </c>
      <c r="CC425" s="800" t="s">
        <v>1942</v>
      </c>
      <c r="CD425" s="800" t="s">
        <v>1942</v>
      </c>
      <c r="CE425" s="805" t="s">
        <v>1942</v>
      </c>
      <c r="CF425" s="800" t="s">
        <v>1942</v>
      </c>
      <c r="CG425" s="800" t="s">
        <v>1942</v>
      </c>
      <c r="CH425" s="800" t="s">
        <v>1942</v>
      </c>
      <c r="CI425" s="800" t="s">
        <v>1942</v>
      </c>
      <c r="CJ425" s="805" t="s">
        <v>1942</v>
      </c>
      <c r="CK425" s="808" t="s">
        <v>1942</v>
      </c>
      <c r="CL425" s="800" t="s">
        <v>1942</v>
      </c>
      <c r="CM425" s="800" t="s">
        <v>1942</v>
      </c>
      <c r="CN425" s="800" t="s">
        <v>1942</v>
      </c>
      <c r="CO425" s="805" t="s">
        <v>1942</v>
      </c>
      <c r="CP425" s="808" t="s">
        <v>1942</v>
      </c>
      <c r="CQ425" s="800" t="s">
        <v>1942</v>
      </c>
      <c r="CR425" s="800" t="s">
        <v>1942</v>
      </c>
      <c r="CS425" s="800" t="s">
        <v>1942</v>
      </c>
      <c r="CT425" s="805" t="s">
        <v>1942</v>
      </c>
      <c r="CU425" s="1284">
        <v>-6.2E-2</v>
      </c>
      <c r="CV425" s="1283" t="s">
        <v>1942</v>
      </c>
      <c r="CW425" s="1283" t="s">
        <v>1942</v>
      </c>
      <c r="CX425" s="1285" t="s">
        <v>1942</v>
      </c>
      <c r="CY425" s="1283" t="s">
        <v>1942</v>
      </c>
      <c r="CZ425" s="1283" t="s">
        <v>1942</v>
      </c>
      <c r="DA425" s="1283" t="s">
        <v>1942</v>
      </c>
      <c r="DB425" s="1285" t="s">
        <v>1942</v>
      </c>
      <c r="DC425" s="785"/>
      <c r="DD425" s="813">
        <v>1</v>
      </c>
      <c r="DE425" s="814"/>
    </row>
    <row r="426" spans="1:109" ht="78.75" hidden="1">
      <c r="A426" s="772" t="s">
        <v>1041</v>
      </c>
      <c r="B426" s="773">
        <v>420</v>
      </c>
      <c r="C426" s="789" t="s">
        <v>3709</v>
      </c>
      <c r="D426" s="773" t="s">
        <v>3701</v>
      </c>
      <c r="E426" s="773" t="s">
        <v>1907</v>
      </c>
      <c r="F426" s="785" t="s">
        <v>3710</v>
      </c>
      <c r="G426" s="790" t="s">
        <v>3711</v>
      </c>
      <c r="H426" s="791" t="s">
        <v>3712</v>
      </c>
      <c r="I426" s="792"/>
      <c r="J426" s="793"/>
      <c r="K426" s="793">
        <v>1</v>
      </c>
      <c r="L426" s="793"/>
      <c r="M426" s="793"/>
      <c r="N426" s="793"/>
      <c r="O426" s="793"/>
      <c r="P426" s="794"/>
      <c r="Q426" s="795">
        <f t="shared" si="6"/>
        <v>1</v>
      </c>
      <c r="R426" s="789" t="s">
        <v>1007</v>
      </c>
      <c r="S426" s="773"/>
      <c r="T426" s="796"/>
      <c r="U426" s="773" t="s">
        <v>2289</v>
      </c>
      <c r="V426" s="773" t="s">
        <v>1033</v>
      </c>
      <c r="W426" s="773" t="s">
        <v>396</v>
      </c>
      <c r="X426" s="1316">
        <v>0</v>
      </c>
      <c r="Y426" s="819" t="s">
        <v>1020</v>
      </c>
      <c r="Z426" s="790"/>
      <c r="AA426" s="785"/>
      <c r="AB426" s="785"/>
      <c r="AC426" s="785"/>
      <c r="AD426" s="785"/>
      <c r="AE426" s="785"/>
      <c r="AF426" s="799"/>
      <c r="AG426" s="800"/>
      <c r="AH426" s="800"/>
      <c r="AI426" s="800"/>
      <c r="AJ426" s="800"/>
      <c r="AK426" s="800"/>
      <c r="AL426" s="800"/>
      <c r="AM426" s="800"/>
      <c r="AN426" s="800"/>
      <c r="AO426" s="800"/>
      <c r="AP426" s="800"/>
      <c r="AQ426" s="808">
        <v>0</v>
      </c>
      <c r="AR426" s="800">
        <v>0</v>
      </c>
      <c r="AS426" s="800">
        <v>0</v>
      </c>
      <c r="AT426" s="800">
        <v>0</v>
      </c>
      <c r="AU426" s="805">
        <v>0</v>
      </c>
      <c r="AV426" s="808"/>
      <c r="AW426" s="800"/>
      <c r="AX426" s="800"/>
      <c r="AY426" s="800"/>
      <c r="AZ426" s="800"/>
      <c r="BA426" s="800"/>
      <c r="BB426" s="800"/>
      <c r="BC426" s="800"/>
      <c r="BD426" s="800"/>
      <c r="BE426" s="800"/>
      <c r="BF426" s="800"/>
      <c r="BG426" s="800"/>
      <c r="BH426" s="800"/>
      <c r="BI426" s="800"/>
      <c r="BJ426" s="800"/>
      <c r="BK426" s="805"/>
      <c r="BL426" s="789"/>
      <c r="BM426" s="785"/>
      <c r="BN426" s="785"/>
      <c r="BO426" s="785"/>
      <c r="BP426" s="796"/>
      <c r="BQ426" s="808" t="s">
        <v>1942</v>
      </c>
      <c r="BR426" s="800" t="s">
        <v>1942</v>
      </c>
      <c r="BS426" s="800" t="s">
        <v>1942</v>
      </c>
      <c r="BT426" s="800" t="s">
        <v>1942</v>
      </c>
      <c r="BU426" s="805" t="s">
        <v>1942</v>
      </c>
      <c r="BV426" s="806" t="s">
        <v>1942</v>
      </c>
      <c r="BW426" s="807" t="s">
        <v>1942</v>
      </c>
      <c r="BX426" s="807" t="s">
        <v>1942</v>
      </c>
      <c r="BY426" s="807" t="s">
        <v>1942</v>
      </c>
      <c r="BZ426" s="807" t="s">
        <v>1942</v>
      </c>
      <c r="CA426" s="808" t="s">
        <v>1942</v>
      </c>
      <c r="CB426" s="800" t="s">
        <v>1942</v>
      </c>
      <c r="CC426" s="800" t="s">
        <v>1942</v>
      </c>
      <c r="CD426" s="800" t="s">
        <v>1942</v>
      </c>
      <c r="CE426" s="805" t="s">
        <v>1942</v>
      </c>
      <c r="CF426" s="800" t="s">
        <v>1942</v>
      </c>
      <c r="CG426" s="800" t="s">
        <v>1942</v>
      </c>
      <c r="CH426" s="800" t="s">
        <v>1942</v>
      </c>
      <c r="CI426" s="800" t="s">
        <v>1942</v>
      </c>
      <c r="CJ426" s="805" t="s">
        <v>1942</v>
      </c>
      <c r="CK426" s="808" t="s">
        <v>1942</v>
      </c>
      <c r="CL426" s="800" t="s">
        <v>1942</v>
      </c>
      <c r="CM426" s="800" t="s">
        <v>1942</v>
      </c>
      <c r="CN426" s="800" t="s">
        <v>1942</v>
      </c>
      <c r="CO426" s="805" t="s">
        <v>1942</v>
      </c>
      <c r="CP426" s="808" t="s">
        <v>1942</v>
      </c>
      <c r="CQ426" s="800" t="s">
        <v>1942</v>
      </c>
      <c r="CR426" s="800" t="s">
        <v>1942</v>
      </c>
      <c r="CS426" s="800" t="s">
        <v>1942</v>
      </c>
      <c r="CT426" s="805" t="s">
        <v>1942</v>
      </c>
      <c r="CU426" s="1284" t="s">
        <v>1942</v>
      </c>
      <c r="CV426" s="1283" t="s">
        <v>1942</v>
      </c>
      <c r="CW426" s="1283" t="s">
        <v>1942</v>
      </c>
      <c r="CX426" s="1285" t="s">
        <v>1942</v>
      </c>
      <c r="CY426" s="1283" t="s">
        <v>1942</v>
      </c>
      <c r="CZ426" s="1283" t="s">
        <v>1942</v>
      </c>
      <c r="DA426" s="1283" t="s">
        <v>1942</v>
      </c>
      <c r="DB426" s="1285" t="s">
        <v>1942</v>
      </c>
      <c r="DC426" s="785"/>
      <c r="DD426" s="813">
        <v>1</v>
      </c>
      <c r="DE426" s="814"/>
    </row>
    <row r="427" spans="1:109" ht="78.75" hidden="1">
      <c r="A427" s="772" t="s">
        <v>1041</v>
      </c>
      <c r="B427" s="773">
        <v>421</v>
      </c>
      <c r="C427" s="789" t="s">
        <v>3713</v>
      </c>
      <c r="D427" s="773" t="s">
        <v>3701</v>
      </c>
      <c r="E427" s="773" t="s">
        <v>1907</v>
      </c>
      <c r="F427" s="785" t="s">
        <v>3714</v>
      </c>
      <c r="G427" s="790" t="s">
        <v>3715</v>
      </c>
      <c r="H427" s="791" t="s">
        <v>3716</v>
      </c>
      <c r="I427" s="792">
        <v>0.65</v>
      </c>
      <c r="J427" s="793">
        <v>0.35</v>
      </c>
      <c r="K427" s="793"/>
      <c r="L427" s="793"/>
      <c r="M427" s="793"/>
      <c r="N427" s="793"/>
      <c r="O427" s="793"/>
      <c r="P427" s="794"/>
      <c r="Q427" s="795">
        <f t="shared" si="6"/>
        <v>1</v>
      </c>
      <c r="R427" s="789" t="s">
        <v>1007</v>
      </c>
      <c r="S427" s="773"/>
      <c r="T427" s="796"/>
      <c r="U427" s="773" t="s">
        <v>2289</v>
      </c>
      <c r="V427" s="773" t="s">
        <v>1033</v>
      </c>
      <c r="W427" s="773" t="s">
        <v>396</v>
      </c>
      <c r="X427" s="1316">
        <v>0</v>
      </c>
      <c r="Y427" s="822" t="s">
        <v>1010</v>
      </c>
      <c r="Z427" s="790"/>
      <c r="AA427" s="785"/>
      <c r="AB427" s="785"/>
      <c r="AC427" s="785"/>
      <c r="AD427" s="785"/>
      <c r="AE427" s="785"/>
      <c r="AF427" s="799"/>
      <c r="AG427" s="800"/>
      <c r="AH427" s="800"/>
      <c r="AI427" s="800"/>
      <c r="AJ427" s="800"/>
      <c r="AK427" s="800"/>
      <c r="AL427" s="800"/>
      <c r="AM427" s="800"/>
      <c r="AN427" s="914"/>
      <c r="AO427" s="914"/>
      <c r="AP427" s="914"/>
      <c r="AQ427" s="808">
        <v>21</v>
      </c>
      <c r="AR427" s="800">
        <v>44</v>
      </c>
      <c r="AS427" s="800">
        <v>67</v>
      </c>
      <c r="AT427" s="800">
        <v>90</v>
      </c>
      <c r="AU427" s="915">
        <v>112</v>
      </c>
      <c r="AV427" s="916"/>
      <c r="AW427" s="914"/>
      <c r="AX427" s="800"/>
      <c r="AY427" s="800"/>
      <c r="AZ427" s="800"/>
      <c r="BA427" s="800"/>
      <c r="BB427" s="800"/>
      <c r="BC427" s="800"/>
      <c r="BD427" s="800"/>
      <c r="BE427" s="800"/>
      <c r="BF427" s="800"/>
      <c r="BG427" s="800"/>
      <c r="BH427" s="800"/>
      <c r="BI427" s="800"/>
      <c r="BJ427" s="800"/>
      <c r="BK427" s="805"/>
      <c r="BL427" s="789"/>
      <c r="BM427" s="785"/>
      <c r="BN427" s="785"/>
      <c r="BO427" s="785"/>
      <c r="BP427" s="796"/>
      <c r="BQ427" s="808" t="s">
        <v>1942</v>
      </c>
      <c r="BR427" s="800" t="s">
        <v>1942</v>
      </c>
      <c r="BS427" s="800" t="s">
        <v>1942</v>
      </c>
      <c r="BT427" s="800" t="s">
        <v>1942</v>
      </c>
      <c r="BU427" s="805" t="s">
        <v>1942</v>
      </c>
      <c r="BV427" s="806" t="s">
        <v>1942</v>
      </c>
      <c r="BW427" s="807" t="s">
        <v>1942</v>
      </c>
      <c r="BX427" s="807" t="s">
        <v>1942</v>
      </c>
      <c r="BY427" s="807" t="s">
        <v>1942</v>
      </c>
      <c r="BZ427" s="807" t="s">
        <v>1942</v>
      </c>
      <c r="CA427" s="808" t="s">
        <v>1942</v>
      </c>
      <c r="CB427" s="800" t="s">
        <v>1942</v>
      </c>
      <c r="CC427" s="800" t="s">
        <v>1942</v>
      </c>
      <c r="CD427" s="800" t="s">
        <v>1942</v>
      </c>
      <c r="CE427" s="805" t="s">
        <v>1942</v>
      </c>
      <c r="CF427" s="800" t="s">
        <v>1942</v>
      </c>
      <c r="CG427" s="800" t="s">
        <v>1942</v>
      </c>
      <c r="CH427" s="800" t="s">
        <v>1942</v>
      </c>
      <c r="CI427" s="800" t="s">
        <v>1942</v>
      </c>
      <c r="CJ427" s="805" t="s">
        <v>1942</v>
      </c>
      <c r="CK427" s="808" t="s">
        <v>1942</v>
      </c>
      <c r="CL427" s="800" t="s">
        <v>1942</v>
      </c>
      <c r="CM427" s="800" t="s">
        <v>1942</v>
      </c>
      <c r="CN427" s="800" t="s">
        <v>1942</v>
      </c>
      <c r="CO427" s="805" t="s">
        <v>1942</v>
      </c>
      <c r="CP427" s="808" t="s">
        <v>1942</v>
      </c>
      <c r="CQ427" s="800" t="s">
        <v>1942</v>
      </c>
      <c r="CR427" s="800" t="s">
        <v>1942</v>
      </c>
      <c r="CS427" s="800" t="s">
        <v>1942</v>
      </c>
      <c r="CT427" s="805" t="s">
        <v>1942</v>
      </c>
      <c r="CU427" s="1284" t="s">
        <v>1942</v>
      </c>
      <c r="CV427" s="1283" t="s">
        <v>1942</v>
      </c>
      <c r="CW427" s="1283" t="s">
        <v>1942</v>
      </c>
      <c r="CX427" s="1285" t="s">
        <v>1942</v>
      </c>
      <c r="CY427" s="1283" t="s">
        <v>1942</v>
      </c>
      <c r="CZ427" s="1283" t="s">
        <v>1942</v>
      </c>
      <c r="DA427" s="1283" t="s">
        <v>1942</v>
      </c>
      <c r="DB427" s="1285" t="s">
        <v>1942</v>
      </c>
      <c r="DC427" s="785"/>
      <c r="DD427" s="813">
        <v>1</v>
      </c>
      <c r="DE427" s="814"/>
    </row>
    <row r="428" spans="1:109" ht="39.4" hidden="1">
      <c r="A428" s="772" t="s">
        <v>1041</v>
      </c>
      <c r="B428" s="773">
        <v>422</v>
      </c>
      <c r="C428" s="789" t="s">
        <v>3717</v>
      </c>
      <c r="D428" s="773" t="s">
        <v>3701</v>
      </c>
      <c r="E428" s="773" t="s">
        <v>1907</v>
      </c>
      <c r="F428" s="785" t="s">
        <v>3718</v>
      </c>
      <c r="G428" s="790" t="s">
        <v>3719</v>
      </c>
      <c r="H428" s="791" t="s">
        <v>3720</v>
      </c>
      <c r="I428" s="792">
        <v>0.45</v>
      </c>
      <c r="J428" s="793">
        <v>0.55000000000000004</v>
      </c>
      <c r="K428" s="793"/>
      <c r="L428" s="793"/>
      <c r="M428" s="793"/>
      <c r="N428" s="793"/>
      <c r="O428" s="793"/>
      <c r="P428" s="794"/>
      <c r="Q428" s="795">
        <f t="shared" si="6"/>
        <v>1</v>
      </c>
      <c r="R428" s="789" t="s">
        <v>1030</v>
      </c>
      <c r="S428" s="773" t="s">
        <v>1018</v>
      </c>
      <c r="T428" s="796" t="s">
        <v>1019</v>
      </c>
      <c r="U428" s="773" t="s">
        <v>1967</v>
      </c>
      <c r="V428" s="773" t="s">
        <v>1062</v>
      </c>
      <c r="W428" s="773" t="s">
        <v>3365</v>
      </c>
      <c r="X428" s="1316">
        <v>0</v>
      </c>
      <c r="Y428" s="826" t="s">
        <v>1010</v>
      </c>
      <c r="Z428" s="790"/>
      <c r="AA428" s="785"/>
      <c r="AB428" s="785"/>
      <c r="AC428" s="785"/>
      <c r="AD428" s="785"/>
      <c r="AE428" s="785"/>
      <c r="AF428" s="799"/>
      <c r="AG428" s="797"/>
      <c r="AH428" s="797"/>
      <c r="AI428" s="797"/>
      <c r="AJ428" s="797"/>
      <c r="AK428" s="797"/>
      <c r="AL428" s="797"/>
      <c r="AM428" s="797"/>
      <c r="AN428" s="797"/>
      <c r="AO428" s="797"/>
      <c r="AP428" s="797"/>
      <c r="AQ428" s="1992">
        <v>73209</v>
      </c>
      <c r="AR428" s="1993">
        <v>84209</v>
      </c>
      <c r="AS428" s="1993">
        <v>96209</v>
      </c>
      <c r="AT428" s="1993">
        <v>109209</v>
      </c>
      <c r="AU428" s="1994">
        <v>123209</v>
      </c>
      <c r="AV428" s="827"/>
      <c r="AW428" s="797"/>
      <c r="AX428" s="797"/>
      <c r="AY428" s="797"/>
      <c r="AZ428" s="797"/>
      <c r="BA428" s="797"/>
      <c r="BB428" s="797"/>
      <c r="BC428" s="797"/>
      <c r="BD428" s="797"/>
      <c r="BE428" s="797"/>
      <c r="BF428" s="797"/>
      <c r="BG428" s="797"/>
      <c r="BH428" s="797"/>
      <c r="BI428" s="797"/>
      <c r="BJ428" s="797"/>
      <c r="BK428" s="841"/>
      <c r="BL428" s="789" t="s">
        <v>168</v>
      </c>
      <c r="BM428" s="785" t="s">
        <v>168</v>
      </c>
      <c r="BN428" s="785" t="s">
        <v>168</v>
      </c>
      <c r="BO428" s="785" t="s">
        <v>168</v>
      </c>
      <c r="BP428" s="796" t="s">
        <v>168</v>
      </c>
      <c r="BQ428" s="808" t="s">
        <v>1942</v>
      </c>
      <c r="BR428" s="800" t="s">
        <v>1942</v>
      </c>
      <c r="BS428" s="800" t="s">
        <v>1942</v>
      </c>
      <c r="BT428" s="800" t="s">
        <v>1942</v>
      </c>
      <c r="BU428" s="805" t="s">
        <v>1942</v>
      </c>
      <c r="BV428" s="1992">
        <v>69028</v>
      </c>
      <c r="BW428" s="1993">
        <v>79828</v>
      </c>
      <c r="BX428" s="1993">
        <v>91428</v>
      </c>
      <c r="BY428" s="1993">
        <v>103828</v>
      </c>
      <c r="BZ428" s="1993">
        <v>117028</v>
      </c>
      <c r="CA428" s="808" t="s">
        <v>1942</v>
      </c>
      <c r="CB428" s="800" t="s">
        <v>1942</v>
      </c>
      <c r="CC428" s="800" t="s">
        <v>1942</v>
      </c>
      <c r="CD428" s="800" t="s">
        <v>1942</v>
      </c>
      <c r="CE428" s="805" t="s">
        <v>1942</v>
      </c>
      <c r="CF428" s="800" t="s">
        <v>1942</v>
      </c>
      <c r="CG428" s="800" t="s">
        <v>1942</v>
      </c>
      <c r="CH428" s="800" t="s">
        <v>1942</v>
      </c>
      <c r="CI428" s="800" t="s">
        <v>1942</v>
      </c>
      <c r="CJ428" s="805" t="s">
        <v>1942</v>
      </c>
      <c r="CK428" s="1992">
        <v>82209</v>
      </c>
      <c r="CL428" s="1993">
        <v>93709</v>
      </c>
      <c r="CM428" s="1993">
        <v>106709</v>
      </c>
      <c r="CN428" s="1993">
        <v>121209</v>
      </c>
      <c r="CO428" s="1994">
        <v>137209</v>
      </c>
      <c r="CP428" s="808" t="s">
        <v>1942</v>
      </c>
      <c r="CQ428" s="800" t="s">
        <v>1942</v>
      </c>
      <c r="CR428" s="800" t="s">
        <v>1942</v>
      </c>
      <c r="CS428" s="800" t="s">
        <v>1942</v>
      </c>
      <c r="CT428" s="805" t="s">
        <v>1942</v>
      </c>
      <c r="CU428" s="1284">
        <v>-8.8000000000000003E-4</v>
      </c>
      <c r="CV428" s="1283" t="s">
        <v>1942</v>
      </c>
      <c r="CW428" s="1283" t="s">
        <v>1942</v>
      </c>
      <c r="CX428" s="1285" t="s">
        <v>1942</v>
      </c>
      <c r="CY428" s="1283">
        <v>4.4999999999999999E-4</v>
      </c>
      <c r="CZ428" s="1283" t="s">
        <v>1942</v>
      </c>
      <c r="DA428" s="1283" t="s">
        <v>1942</v>
      </c>
      <c r="DB428" s="1285" t="s">
        <v>1942</v>
      </c>
      <c r="DC428" s="785"/>
      <c r="DD428" s="813">
        <v>1</v>
      </c>
      <c r="DE428" s="814"/>
    </row>
    <row r="429" spans="1:109" ht="26.25" hidden="1">
      <c r="A429" s="772" t="s">
        <v>1041</v>
      </c>
      <c r="B429" s="773">
        <v>423</v>
      </c>
      <c r="C429" s="789" t="s">
        <v>3721</v>
      </c>
      <c r="D429" s="773" t="s">
        <v>3701</v>
      </c>
      <c r="E429" s="773" t="s">
        <v>1907</v>
      </c>
      <c r="F429" s="785" t="s">
        <v>3722</v>
      </c>
      <c r="G429" s="790" t="s">
        <v>3723</v>
      </c>
      <c r="H429" s="791" t="s">
        <v>3724</v>
      </c>
      <c r="I429" s="792">
        <v>0.15</v>
      </c>
      <c r="J429" s="793"/>
      <c r="K429" s="793">
        <v>0.85</v>
      </c>
      <c r="L429" s="793"/>
      <c r="M429" s="793"/>
      <c r="N429" s="793"/>
      <c r="O429" s="793"/>
      <c r="P429" s="794"/>
      <c r="Q429" s="795">
        <f t="shared" si="6"/>
        <v>1</v>
      </c>
      <c r="R429" s="789" t="s">
        <v>1026</v>
      </c>
      <c r="S429" s="773" t="s">
        <v>1008</v>
      </c>
      <c r="T429" s="796" t="s">
        <v>1009</v>
      </c>
      <c r="U429" s="773" t="s">
        <v>2106</v>
      </c>
      <c r="V429" s="773" t="s">
        <v>1033</v>
      </c>
      <c r="W429" s="773" t="s">
        <v>396</v>
      </c>
      <c r="X429" s="1316">
        <v>0</v>
      </c>
      <c r="Y429" s="821" t="s">
        <v>1010</v>
      </c>
      <c r="Z429" s="790"/>
      <c r="AA429" s="785"/>
      <c r="AB429" s="785"/>
      <c r="AC429" s="785"/>
      <c r="AD429" s="785"/>
      <c r="AE429" s="785"/>
      <c r="AF429" s="799"/>
      <c r="AG429" s="800"/>
      <c r="AH429" s="800"/>
      <c r="AI429" s="800"/>
      <c r="AJ429" s="800"/>
      <c r="AK429" s="800"/>
      <c r="AL429" s="800"/>
      <c r="AM429" s="824"/>
      <c r="AN429" s="824"/>
      <c r="AO429" s="800"/>
      <c r="AP429" s="824"/>
      <c r="AQ429" s="1349">
        <v>3</v>
      </c>
      <c r="AR429" s="1274">
        <v>3</v>
      </c>
      <c r="AS429" s="1274">
        <v>3</v>
      </c>
      <c r="AT429" s="1274">
        <v>4</v>
      </c>
      <c r="AU429" s="1317">
        <v>4</v>
      </c>
      <c r="AV429" s="823"/>
      <c r="AW429" s="824"/>
      <c r="AX429" s="824"/>
      <c r="AY429" s="824"/>
      <c r="AZ429" s="824"/>
      <c r="BA429" s="824"/>
      <c r="BB429" s="824"/>
      <c r="BC429" s="824"/>
      <c r="BD429" s="824"/>
      <c r="BE429" s="824"/>
      <c r="BF429" s="824"/>
      <c r="BG429" s="824"/>
      <c r="BH429" s="824"/>
      <c r="BI429" s="824"/>
      <c r="BJ429" s="824"/>
      <c r="BK429" s="825"/>
      <c r="BL429" s="789" t="s">
        <v>168</v>
      </c>
      <c r="BM429" s="785" t="s">
        <v>168</v>
      </c>
      <c r="BN429" s="785" t="s">
        <v>168</v>
      </c>
      <c r="BO429" s="785" t="s">
        <v>168</v>
      </c>
      <c r="BP429" s="796" t="s">
        <v>168</v>
      </c>
      <c r="BQ429" s="808" t="s">
        <v>1942</v>
      </c>
      <c r="BR429" s="800" t="s">
        <v>1942</v>
      </c>
      <c r="BS429" s="800" t="s">
        <v>1942</v>
      </c>
      <c r="BT429" s="800" t="s">
        <v>1942</v>
      </c>
      <c r="BU429" s="805" t="s">
        <v>1942</v>
      </c>
      <c r="BV429" s="806" t="s">
        <v>1942</v>
      </c>
      <c r="BW429" s="807" t="s">
        <v>1942</v>
      </c>
      <c r="BX429" s="807" t="s">
        <v>1942</v>
      </c>
      <c r="BY429" s="807" t="s">
        <v>1942</v>
      </c>
      <c r="BZ429" s="807" t="s">
        <v>1942</v>
      </c>
      <c r="CA429" s="808" t="s">
        <v>1942</v>
      </c>
      <c r="CB429" s="800" t="s">
        <v>1942</v>
      </c>
      <c r="CC429" s="800" t="s">
        <v>1942</v>
      </c>
      <c r="CD429" s="800" t="s">
        <v>1942</v>
      </c>
      <c r="CE429" s="805" t="s">
        <v>1942</v>
      </c>
      <c r="CF429" s="800" t="s">
        <v>1942</v>
      </c>
      <c r="CG429" s="800" t="s">
        <v>1942</v>
      </c>
      <c r="CH429" s="800" t="s">
        <v>1942</v>
      </c>
      <c r="CI429" s="800" t="s">
        <v>1942</v>
      </c>
      <c r="CJ429" s="805" t="s">
        <v>1942</v>
      </c>
      <c r="CK429" s="808" t="s">
        <v>1942</v>
      </c>
      <c r="CL429" s="800" t="s">
        <v>1942</v>
      </c>
      <c r="CM429" s="800" t="s">
        <v>1942</v>
      </c>
      <c r="CN429" s="800" t="s">
        <v>1942</v>
      </c>
      <c r="CO429" s="805" t="s">
        <v>1942</v>
      </c>
      <c r="CP429" s="808" t="s">
        <v>1942</v>
      </c>
      <c r="CQ429" s="800" t="s">
        <v>1942</v>
      </c>
      <c r="CR429" s="800" t="s">
        <v>1942</v>
      </c>
      <c r="CS429" s="800" t="s">
        <v>1942</v>
      </c>
      <c r="CT429" s="805" t="s">
        <v>1942</v>
      </c>
      <c r="CU429" s="1284">
        <v>-1</v>
      </c>
      <c r="CV429" s="1283" t="s">
        <v>1942</v>
      </c>
      <c r="CW429" s="1283" t="s">
        <v>1942</v>
      </c>
      <c r="CX429" s="1285" t="s">
        <v>1942</v>
      </c>
      <c r="CY429" s="1283" t="s">
        <v>1942</v>
      </c>
      <c r="CZ429" s="1283" t="s">
        <v>1942</v>
      </c>
      <c r="DA429" s="1283" t="s">
        <v>1942</v>
      </c>
      <c r="DB429" s="1285" t="s">
        <v>1942</v>
      </c>
      <c r="DC429" s="785"/>
      <c r="DD429" s="813"/>
      <c r="DE429" s="814"/>
    </row>
    <row r="430" spans="1:109" ht="78.75" hidden="1">
      <c r="A430" s="772" t="s">
        <v>1041</v>
      </c>
      <c r="B430" s="773">
        <v>424</v>
      </c>
      <c r="C430" s="789" t="s">
        <v>3725</v>
      </c>
      <c r="D430" s="773" t="s">
        <v>3726</v>
      </c>
      <c r="E430" s="773" t="s">
        <v>1896</v>
      </c>
      <c r="F430" s="785" t="s">
        <v>3727</v>
      </c>
      <c r="G430" s="790" t="s">
        <v>3728</v>
      </c>
      <c r="H430" s="791" t="s">
        <v>3729</v>
      </c>
      <c r="I430" s="792"/>
      <c r="J430" s="793"/>
      <c r="K430" s="793">
        <v>1</v>
      </c>
      <c r="L430" s="793"/>
      <c r="M430" s="793"/>
      <c r="N430" s="793"/>
      <c r="O430" s="793"/>
      <c r="P430" s="794"/>
      <c r="Q430" s="795">
        <f t="shared" si="6"/>
        <v>1</v>
      </c>
      <c r="R430" s="789" t="s">
        <v>1030</v>
      </c>
      <c r="S430" s="773" t="s">
        <v>1018</v>
      </c>
      <c r="T430" s="796" t="s">
        <v>1019</v>
      </c>
      <c r="U430" s="773" t="s">
        <v>2106</v>
      </c>
      <c r="V430" s="773" t="s">
        <v>1033</v>
      </c>
      <c r="W430" s="773" t="s">
        <v>396</v>
      </c>
      <c r="X430" s="1316">
        <v>0</v>
      </c>
      <c r="Y430" s="826" t="s">
        <v>1010</v>
      </c>
      <c r="Z430" s="790"/>
      <c r="AA430" s="785"/>
      <c r="AB430" s="785"/>
      <c r="AC430" s="785"/>
      <c r="AD430" s="785"/>
      <c r="AE430" s="785"/>
      <c r="AF430" s="799"/>
      <c r="AG430" s="800"/>
      <c r="AH430" s="800"/>
      <c r="AI430" s="800"/>
      <c r="AJ430" s="800"/>
      <c r="AK430" s="800"/>
      <c r="AL430" s="800"/>
      <c r="AM430" s="800"/>
      <c r="AN430" s="800"/>
      <c r="AO430" s="800"/>
      <c r="AP430" s="800"/>
      <c r="AQ430" s="808">
        <v>-8</v>
      </c>
      <c r="AR430" s="800">
        <v>-6</v>
      </c>
      <c r="AS430" s="800">
        <v>-4</v>
      </c>
      <c r="AT430" s="800">
        <v>-2</v>
      </c>
      <c r="AU430" s="805">
        <v>0</v>
      </c>
      <c r="AV430" s="808"/>
      <c r="AW430" s="800"/>
      <c r="AX430" s="800"/>
      <c r="AY430" s="800"/>
      <c r="AZ430" s="800"/>
      <c r="BA430" s="800"/>
      <c r="BB430" s="800"/>
      <c r="BC430" s="800"/>
      <c r="BD430" s="800"/>
      <c r="BE430" s="800"/>
      <c r="BF430" s="800"/>
      <c r="BG430" s="800"/>
      <c r="BH430" s="800"/>
      <c r="BI430" s="800"/>
      <c r="BJ430" s="800"/>
      <c r="BK430" s="805"/>
      <c r="BL430" s="789" t="s">
        <v>168</v>
      </c>
      <c r="BM430" s="785" t="s">
        <v>168</v>
      </c>
      <c r="BN430" s="785" t="s">
        <v>168</v>
      </c>
      <c r="BO430" s="785" t="s">
        <v>168</v>
      </c>
      <c r="BP430" s="796" t="s">
        <v>168</v>
      </c>
      <c r="BQ430" s="808" t="s">
        <v>1942</v>
      </c>
      <c r="BR430" s="800" t="s">
        <v>1942</v>
      </c>
      <c r="BS430" s="800" t="s">
        <v>1942</v>
      </c>
      <c r="BT430" s="800" t="s">
        <v>1942</v>
      </c>
      <c r="BU430" s="805" t="s">
        <v>1942</v>
      </c>
      <c r="BV430" s="806">
        <v>-14</v>
      </c>
      <c r="BW430" s="807">
        <v>-12</v>
      </c>
      <c r="BX430" s="807">
        <v>-10</v>
      </c>
      <c r="BY430" s="807">
        <v>-8</v>
      </c>
      <c r="BZ430" s="807">
        <v>-6</v>
      </c>
      <c r="CA430" s="808" t="s">
        <v>1942</v>
      </c>
      <c r="CB430" s="800" t="s">
        <v>1942</v>
      </c>
      <c r="CC430" s="800" t="s">
        <v>1942</v>
      </c>
      <c r="CD430" s="800" t="s">
        <v>1942</v>
      </c>
      <c r="CE430" s="805" t="s">
        <v>1942</v>
      </c>
      <c r="CF430" s="800" t="s">
        <v>1942</v>
      </c>
      <c r="CG430" s="800" t="s">
        <v>1942</v>
      </c>
      <c r="CH430" s="800" t="s">
        <v>1942</v>
      </c>
      <c r="CI430" s="800" t="s">
        <v>1942</v>
      </c>
      <c r="CJ430" s="805" t="s">
        <v>1942</v>
      </c>
      <c r="CK430" s="808">
        <v>2</v>
      </c>
      <c r="CL430" s="800">
        <v>4</v>
      </c>
      <c r="CM430" s="800">
        <v>6</v>
      </c>
      <c r="CN430" s="800">
        <v>8</v>
      </c>
      <c r="CO430" s="805">
        <v>10</v>
      </c>
      <c r="CP430" s="808" t="s">
        <v>1942</v>
      </c>
      <c r="CQ430" s="800" t="s">
        <v>1942</v>
      </c>
      <c r="CR430" s="800" t="s">
        <v>1942</v>
      </c>
      <c r="CS430" s="800" t="s">
        <v>1942</v>
      </c>
      <c r="CT430" s="805" t="s">
        <v>1942</v>
      </c>
      <c r="CU430" s="1284">
        <v>-0.48499999999999999</v>
      </c>
      <c r="CV430" s="1283" t="s">
        <v>1942</v>
      </c>
      <c r="CW430" s="1283" t="s">
        <v>1942</v>
      </c>
      <c r="CX430" s="1285" t="s">
        <v>1942</v>
      </c>
      <c r="CY430" s="1283">
        <v>0.27600000000000002</v>
      </c>
      <c r="CZ430" s="1283" t="s">
        <v>1942</v>
      </c>
      <c r="DA430" s="1283" t="s">
        <v>1942</v>
      </c>
      <c r="DB430" s="1285" t="s">
        <v>1942</v>
      </c>
      <c r="DC430" s="785"/>
      <c r="DD430" s="813">
        <v>1</v>
      </c>
      <c r="DE430" s="814"/>
    </row>
    <row r="431" spans="1:109" ht="65.650000000000006" hidden="1">
      <c r="A431" s="772" t="s">
        <v>1041</v>
      </c>
      <c r="B431" s="773">
        <v>425</v>
      </c>
      <c r="C431" s="789" t="s">
        <v>3730</v>
      </c>
      <c r="D431" s="773" t="s">
        <v>3726</v>
      </c>
      <c r="E431" s="773" t="s">
        <v>1907</v>
      </c>
      <c r="F431" s="785" t="s">
        <v>3731</v>
      </c>
      <c r="G431" s="790" t="s">
        <v>2891</v>
      </c>
      <c r="H431" s="791" t="s">
        <v>3732</v>
      </c>
      <c r="I431" s="792">
        <v>1</v>
      </c>
      <c r="J431" s="793"/>
      <c r="K431" s="793"/>
      <c r="L431" s="793"/>
      <c r="M431" s="793"/>
      <c r="N431" s="793"/>
      <c r="O431" s="793"/>
      <c r="P431" s="794"/>
      <c r="Q431" s="795">
        <f t="shared" si="6"/>
        <v>1</v>
      </c>
      <c r="R431" s="789" t="s">
        <v>1030</v>
      </c>
      <c r="S431" s="773" t="s">
        <v>1008</v>
      </c>
      <c r="T431" s="796" t="s">
        <v>1009</v>
      </c>
      <c r="U431" s="773" t="s">
        <v>1979</v>
      </c>
      <c r="V431" s="773" t="s">
        <v>1033</v>
      </c>
      <c r="W431" s="773" t="s">
        <v>3733</v>
      </c>
      <c r="X431" s="1274">
        <v>0</v>
      </c>
      <c r="Y431" s="821" t="s">
        <v>1010</v>
      </c>
      <c r="Z431" s="790"/>
      <c r="AA431" s="785"/>
      <c r="AB431" s="785"/>
      <c r="AC431" s="785"/>
      <c r="AD431" s="785"/>
      <c r="AE431" s="785"/>
      <c r="AF431" s="799"/>
      <c r="AG431" s="800"/>
      <c r="AH431" s="800"/>
      <c r="AI431" s="800"/>
      <c r="AJ431" s="800"/>
      <c r="AK431" s="800"/>
      <c r="AL431" s="800"/>
      <c r="AM431" s="800"/>
      <c r="AN431" s="800"/>
      <c r="AO431" s="800"/>
      <c r="AP431" s="800"/>
      <c r="AQ431" s="916">
        <v>365</v>
      </c>
      <c r="AR431" s="914">
        <v>365</v>
      </c>
      <c r="AS431" s="914">
        <v>365</v>
      </c>
      <c r="AT431" s="914">
        <v>365</v>
      </c>
      <c r="AU431" s="915">
        <v>365</v>
      </c>
      <c r="AV431" s="916"/>
      <c r="AW431" s="914"/>
      <c r="AX431" s="914"/>
      <c r="AY431" s="914"/>
      <c r="AZ431" s="914"/>
      <c r="BA431" s="914"/>
      <c r="BB431" s="914"/>
      <c r="BC431" s="914"/>
      <c r="BD431" s="914"/>
      <c r="BE431" s="914"/>
      <c r="BF431" s="914"/>
      <c r="BG431" s="914"/>
      <c r="BH431" s="914"/>
      <c r="BI431" s="914"/>
      <c r="BJ431" s="914"/>
      <c r="BK431" s="915"/>
      <c r="BL431" s="789" t="s">
        <v>168</v>
      </c>
      <c r="BM431" s="785" t="s">
        <v>168</v>
      </c>
      <c r="BN431" s="785" t="s">
        <v>168</v>
      </c>
      <c r="BO431" s="785" t="s">
        <v>168</v>
      </c>
      <c r="BP431" s="796" t="s">
        <v>168</v>
      </c>
      <c r="BQ431" s="808" t="s">
        <v>1942</v>
      </c>
      <c r="BR431" s="800" t="s">
        <v>1942</v>
      </c>
      <c r="BS431" s="800" t="s">
        <v>1942</v>
      </c>
      <c r="BT431" s="800" t="s">
        <v>1942</v>
      </c>
      <c r="BU431" s="805" t="s">
        <v>1942</v>
      </c>
      <c r="BV431" s="806" t="s">
        <v>1942</v>
      </c>
      <c r="BW431" s="807" t="s">
        <v>1942</v>
      </c>
      <c r="BX431" s="807" t="s">
        <v>1942</v>
      </c>
      <c r="BY431" s="807" t="s">
        <v>1942</v>
      </c>
      <c r="BZ431" s="807" t="s">
        <v>1942</v>
      </c>
      <c r="CA431" s="808" t="s">
        <v>1942</v>
      </c>
      <c r="CB431" s="800" t="s">
        <v>1942</v>
      </c>
      <c r="CC431" s="800" t="s">
        <v>1942</v>
      </c>
      <c r="CD431" s="800" t="s">
        <v>1942</v>
      </c>
      <c r="CE431" s="805" t="s">
        <v>1942</v>
      </c>
      <c r="CF431" s="800" t="s">
        <v>1942</v>
      </c>
      <c r="CG431" s="800" t="s">
        <v>1942</v>
      </c>
      <c r="CH431" s="800" t="s">
        <v>1942</v>
      </c>
      <c r="CI431" s="800" t="s">
        <v>1942</v>
      </c>
      <c r="CJ431" s="800" t="s">
        <v>1942</v>
      </c>
      <c r="CK431" s="808" t="s">
        <v>1942</v>
      </c>
      <c r="CL431" s="800" t="s">
        <v>1942</v>
      </c>
      <c r="CM431" s="800" t="s">
        <v>1942</v>
      </c>
      <c r="CN431" s="800" t="s">
        <v>1942</v>
      </c>
      <c r="CO431" s="805" t="s">
        <v>1942</v>
      </c>
      <c r="CP431" s="808" t="s">
        <v>1942</v>
      </c>
      <c r="CQ431" s="800" t="s">
        <v>1942</v>
      </c>
      <c r="CR431" s="800" t="s">
        <v>1942</v>
      </c>
      <c r="CS431" s="800" t="s">
        <v>1942</v>
      </c>
      <c r="CT431" s="805" t="s">
        <v>1942</v>
      </c>
      <c r="CU431" s="1284">
        <v>-3.8999999999999999E-4</v>
      </c>
      <c r="CV431" s="1283" t="s">
        <v>1942</v>
      </c>
      <c r="CW431" s="1283" t="s">
        <v>1942</v>
      </c>
      <c r="CX431" s="1285" t="s">
        <v>1942</v>
      </c>
      <c r="CY431" s="1283">
        <v>2.1000000000000001E-4</v>
      </c>
      <c r="CZ431" s="1283" t="s">
        <v>1942</v>
      </c>
      <c r="DA431" s="1283" t="s">
        <v>1942</v>
      </c>
      <c r="DB431" s="1285" t="s">
        <v>1942</v>
      </c>
      <c r="DC431" s="785" t="s">
        <v>131</v>
      </c>
      <c r="DD431" s="813">
        <v>1</v>
      </c>
      <c r="DE431" s="814"/>
    </row>
    <row r="432" spans="1:109" ht="39.4" hidden="1">
      <c r="A432" s="772" t="s">
        <v>1041</v>
      </c>
      <c r="B432" s="773">
        <v>426</v>
      </c>
      <c r="C432" s="789" t="s">
        <v>3734</v>
      </c>
      <c r="D432" s="773" t="s">
        <v>3735</v>
      </c>
      <c r="E432" s="773" t="s">
        <v>1907</v>
      </c>
      <c r="F432" s="785" t="s">
        <v>3736</v>
      </c>
      <c r="G432" s="790" t="s">
        <v>3737</v>
      </c>
      <c r="H432" s="791" t="s">
        <v>3738</v>
      </c>
      <c r="I432" s="792"/>
      <c r="J432" s="793"/>
      <c r="K432" s="793"/>
      <c r="L432" s="793"/>
      <c r="M432" s="793">
        <v>1</v>
      </c>
      <c r="N432" s="793"/>
      <c r="O432" s="793"/>
      <c r="P432" s="794"/>
      <c r="Q432" s="795">
        <f t="shared" si="6"/>
        <v>1</v>
      </c>
      <c r="R432" s="789" t="s">
        <v>1007</v>
      </c>
      <c r="S432" s="773"/>
      <c r="T432" s="796"/>
      <c r="U432" s="773" t="s">
        <v>1961</v>
      </c>
      <c r="V432" s="773" t="s">
        <v>1033</v>
      </c>
      <c r="W432" s="773" t="s">
        <v>396</v>
      </c>
      <c r="X432" s="1274">
        <v>0</v>
      </c>
      <c r="Y432" s="819" t="s">
        <v>1010</v>
      </c>
      <c r="Z432" s="790"/>
      <c r="AA432" s="785"/>
      <c r="AB432" s="785"/>
      <c r="AC432" s="785"/>
      <c r="AD432" s="785"/>
      <c r="AE432" s="785"/>
      <c r="AF432" s="799"/>
      <c r="AG432" s="797"/>
      <c r="AH432" s="797"/>
      <c r="AI432" s="797"/>
      <c r="AJ432" s="797"/>
      <c r="AK432" s="797"/>
      <c r="AL432" s="797"/>
      <c r="AM432" s="797"/>
      <c r="AN432" s="797"/>
      <c r="AO432" s="797"/>
      <c r="AP432" s="797"/>
      <c r="AQ432" s="827">
        <v>161332</v>
      </c>
      <c r="AR432" s="797">
        <v>183364</v>
      </c>
      <c r="AS432" s="797">
        <v>204655</v>
      </c>
      <c r="AT432" s="797">
        <v>225705</v>
      </c>
      <c r="AU432" s="841">
        <v>245964</v>
      </c>
      <c r="AV432" s="827"/>
      <c r="AW432" s="797"/>
      <c r="AX432" s="797"/>
      <c r="AY432" s="797"/>
      <c r="AZ432" s="797"/>
      <c r="BA432" s="797"/>
      <c r="BB432" s="797"/>
      <c r="BC432" s="797"/>
      <c r="BD432" s="797"/>
      <c r="BE432" s="797"/>
      <c r="BF432" s="797"/>
      <c r="BG432" s="797"/>
      <c r="BH432" s="797"/>
      <c r="BI432" s="797"/>
      <c r="BJ432" s="797"/>
      <c r="BK432" s="841"/>
      <c r="BL432" s="789"/>
      <c r="BM432" s="785"/>
      <c r="BN432" s="785"/>
      <c r="BO432" s="785"/>
      <c r="BP432" s="796"/>
      <c r="BQ432" s="808" t="s">
        <v>1942</v>
      </c>
      <c r="BR432" s="800" t="s">
        <v>1942</v>
      </c>
      <c r="BS432" s="800" t="s">
        <v>1942</v>
      </c>
      <c r="BT432" s="800" t="s">
        <v>1942</v>
      </c>
      <c r="BU432" s="805" t="s">
        <v>1942</v>
      </c>
      <c r="BV432" s="806" t="s">
        <v>1942</v>
      </c>
      <c r="BW432" s="807" t="s">
        <v>1942</v>
      </c>
      <c r="BX432" s="807" t="s">
        <v>1942</v>
      </c>
      <c r="BY432" s="807" t="s">
        <v>1942</v>
      </c>
      <c r="BZ432" s="807" t="s">
        <v>1942</v>
      </c>
      <c r="CA432" s="808" t="s">
        <v>1942</v>
      </c>
      <c r="CB432" s="800" t="s">
        <v>1942</v>
      </c>
      <c r="CC432" s="800" t="s">
        <v>1942</v>
      </c>
      <c r="CD432" s="800" t="s">
        <v>1942</v>
      </c>
      <c r="CE432" s="805" t="s">
        <v>1942</v>
      </c>
      <c r="CF432" s="800" t="s">
        <v>1942</v>
      </c>
      <c r="CG432" s="800" t="s">
        <v>1942</v>
      </c>
      <c r="CH432" s="800" t="s">
        <v>1942</v>
      </c>
      <c r="CI432" s="800" t="s">
        <v>1942</v>
      </c>
      <c r="CJ432" s="805" t="s">
        <v>1942</v>
      </c>
      <c r="CK432" s="808" t="s">
        <v>1942</v>
      </c>
      <c r="CL432" s="800" t="s">
        <v>1942</v>
      </c>
      <c r="CM432" s="800" t="s">
        <v>1942</v>
      </c>
      <c r="CN432" s="800" t="s">
        <v>1942</v>
      </c>
      <c r="CO432" s="805" t="s">
        <v>1942</v>
      </c>
      <c r="CP432" s="808" t="s">
        <v>1942</v>
      </c>
      <c r="CQ432" s="800" t="s">
        <v>1942</v>
      </c>
      <c r="CR432" s="800" t="s">
        <v>1942</v>
      </c>
      <c r="CS432" s="800" t="s">
        <v>1942</v>
      </c>
      <c r="CT432" s="805" t="s">
        <v>1942</v>
      </c>
      <c r="CU432" s="1284" t="s">
        <v>1942</v>
      </c>
      <c r="CV432" s="1283" t="s">
        <v>1942</v>
      </c>
      <c r="CW432" s="1283" t="s">
        <v>1942</v>
      </c>
      <c r="CX432" s="1285" t="s">
        <v>1942</v>
      </c>
      <c r="CY432" s="1283" t="s">
        <v>1942</v>
      </c>
      <c r="CZ432" s="1283" t="s">
        <v>1942</v>
      </c>
      <c r="DA432" s="1283" t="s">
        <v>1942</v>
      </c>
      <c r="DB432" s="1285" t="s">
        <v>1942</v>
      </c>
      <c r="DC432" s="785"/>
      <c r="DD432" s="813">
        <v>1</v>
      </c>
      <c r="DE432" s="814"/>
    </row>
    <row r="433" spans="1:109" ht="26.25" hidden="1">
      <c r="A433" s="772" t="s">
        <v>1041</v>
      </c>
      <c r="B433" s="773">
        <v>427</v>
      </c>
      <c r="C433" s="789" t="s">
        <v>3739</v>
      </c>
      <c r="D433" s="773" t="s">
        <v>3735</v>
      </c>
      <c r="E433" s="773" t="s">
        <v>1889</v>
      </c>
      <c r="F433" s="785" t="s">
        <v>3740</v>
      </c>
      <c r="G433" s="790" t="s">
        <v>3741</v>
      </c>
      <c r="H433" s="791" t="s">
        <v>3742</v>
      </c>
      <c r="I433" s="792"/>
      <c r="J433" s="793"/>
      <c r="K433" s="793"/>
      <c r="L433" s="793"/>
      <c r="M433" s="793">
        <v>1</v>
      </c>
      <c r="N433" s="793"/>
      <c r="O433" s="793"/>
      <c r="P433" s="794"/>
      <c r="Q433" s="795">
        <f t="shared" si="6"/>
        <v>1</v>
      </c>
      <c r="R433" s="789" t="s">
        <v>1007</v>
      </c>
      <c r="S433" s="773"/>
      <c r="T433" s="796"/>
      <c r="U433" s="773" t="s">
        <v>2117</v>
      </c>
      <c r="V433" s="773" t="s">
        <v>1033</v>
      </c>
      <c r="W433" s="773" t="s">
        <v>396</v>
      </c>
      <c r="X433" s="1274">
        <v>0</v>
      </c>
      <c r="Y433" s="819" t="s">
        <v>1010</v>
      </c>
      <c r="Z433" s="790"/>
      <c r="AA433" s="785"/>
      <c r="AB433" s="785"/>
      <c r="AC433" s="785"/>
      <c r="AD433" s="785"/>
      <c r="AE433" s="785"/>
      <c r="AF433" s="799"/>
      <c r="AG433" s="797"/>
      <c r="AH433" s="797"/>
      <c r="AI433" s="797"/>
      <c r="AJ433" s="797"/>
      <c r="AK433" s="797"/>
      <c r="AL433" s="797"/>
      <c r="AM433" s="797"/>
      <c r="AN433" s="797"/>
      <c r="AO433" s="797"/>
      <c r="AP433" s="797"/>
      <c r="AQ433" s="827">
        <v>27000</v>
      </c>
      <c r="AR433" s="797">
        <v>30000</v>
      </c>
      <c r="AS433" s="797">
        <v>33000</v>
      </c>
      <c r="AT433" s="797">
        <v>40000</v>
      </c>
      <c r="AU433" s="841">
        <v>50000</v>
      </c>
      <c r="AV433" s="827"/>
      <c r="AW433" s="797"/>
      <c r="AX433" s="797"/>
      <c r="AY433" s="797"/>
      <c r="AZ433" s="797"/>
      <c r="BA433" s="797"/>
      <c r="BB433" s="797"/>
      <c r="BC433" s="797"/>
      <c r="BD433" s="797"/>
      <c r="BE433" s="797"/>
      <c r="BF433" s="797"/>
      <c r="BG433" s="797"/>
      <c r="BH433" s="797"/>
      <c r="BI433" s="797"/>
      <c r="BJ433" s="797"/>
      <c r="BK433" s="841"/>
      <c r="BL433" s="789"/>
      <c r="BM433" s="785"/>
      <c r="BN433" s="785"/>
      <c r="BO433" s="785"/>
      <c r="BP433" s="796"/>
      <c r="BQ433" s="808" t="s">
        <v>1942</v>
      </c>
      <c r="BR433" s="800" t="s">
        <v>1942</v>
      </c>
      <c r="BS433" s="800" t="s">
        <v>1942</v>
      </c>
      <c r="BT433" s="800" t="s">
        <v>1942</v>
      </c>
      <c r="BU433" s="805" t="s">
        <v>1942</v>
      </c>
      <c r="BV433" s="806" t="s">
        <v>1942</v>
      </c>
      <c r="BW433" s="807" t="s">
        <v>1942</v>
      </c>
      <c r="BX433" s="807" t="s">
        <v>1942</v>
      </c>
      <c r="BY433" s="807" t="s">
        <v>1942</v>
      </c>
      <c r="BZ433" s="807" t="s">
        <v>1942</v>
      </c>
      <c r="CA433" s="916" t="s">
        <v>1942</v>
      </c>
      <c r="CB433" s="914" t="s">
        <v>1942</v>
      </c>
      <c r="CC433" s="914" t="s">
        <v>1942</v>
      </c>
      <c r="CD433" s="800" t="s">
        <v>1942</v>
      </c>
      <c r="CE433" s="805" t="s">
        <v>1942</v>
      </c>
      <c r="CF433" s="800" t="s">
        <v>1942</v>
      </c>
      <c r="CG433" s="800" t="s">
        <v>1942</v>
      </c>
      <c r="CH433" s="800" t="s">
        <v>1942</v>
      </c>
      <c r="CI433" s="800" t="s">
        <v>1942</v>
      </c>
      <c r="CJ433" s="805" t="s">
        <v>1942</v>
      </c>
      <c r="CK433" s="808" t="s">
        <v>1942</v>
      </c>
      <c r="CL433" s="800" t="s">
        <v>1942</v>
      </c>
      <c r="CM433" s="800" t="s">
        <v>1942</v>
      </c>
      <c r="CN433" s="800" t="s">
        <v>1942</v>
      </c>
      <c r="CO433" s="805" t="s">
        <v>1942</v>
      </c>
      <c r="CP433" s="808" t="s">
        <v>1942</v>
      </c>
      <c r="CQ433" s="800" t="s">
        <v>1942</v>
      </c>
      <c r="CR433" s="800" t="s">
        <v>1942</v>
      </c>
      <c r="CS433" s="800" t="s">
        <v>1942</v>
      </c>
      <c r="CT433" s="805" t="s">
        <v>1942</v>
      </c>
      <c r="CU433" s="1284" t="s">
        <v>1942</v>
      </c>
      <c r="CV433" s="1283" t="s">
        <v>1942</v>
      </c>
      <c r="CW433" s="1283" t="s">
        <v>1942</v>
      </c>
      <c r="CX433" s="1285" t="s">
        <v>1942</v>
      </c>
      <c r="CY433" s="1283" t="s">
        <v>1942</v>
      </c>
      <c r="CZ433" s="1283" t="s">
        <v>1942</v>
      </c>
      <c r="DA433" s="1283" t="s">
        <v>1942</v>
      </c>
      <c r="DB433" s="1285" t="s">
        <v>1942</v>
      </c>
      <c r="DC433" s="785"/>
      <c r="DD433" s="813">
        <v>1</v>
      </c>
      <c r="DE433" s="814"/>
    </row>
    <row r="434" spans="1:109" ht="26.25" hidden="1">
      <c r="A434" s="772" t="s">
        <v>1041</v>
      </c>
      <c r="B434" s="773">
        <v>428</v>
      </c>
      <c r="C434" s="789" t="s">
        <v>3743</v>
      </c>
      <c r="D434" s="773" t="s">
        <v>3735</v>
      </c>
      <c r="E434" s="773" t="s">
        <v>1907</v>
      </c>
      <c r="F434" s="785" t="s">
        <v>3744</v>
      </c>
      <c r="G434" s="790" t="s">
        <v>3745</v>
      </c>
      <c r="H434" s="791" t="s">
        <v>3746</v>
      </c>
      <c r="I434" s="792"/>
      <c r="J434" s="793"/>
      <c r="K434" s="793"/>
      <c r="L434" s="793"/>
      <c r="M434" s="793">
        <v>1</v>
      </c>
      <c r="N434" s="793"/>
      <c r="O434" s="793"/>
      <c r="P434" s="794"/>
      <c r="Q434" s="795">
        <f t="shared" si="6"/>
        <v>1</v>
      </c>
      <c r="R434" s="789" t="s">
        <v>1007</v>
      </c>
      <c r="S434" s="773"/>
      <c r="T434" s="796"/>
      <c r="U434" s="773" t="s">
        <v>2117</v>
      </c>
      <c r="V434" s="773" t="s">
        <v>278</v>
      </c>
      <c r="W434" s="773" t="s">
        <v>1146</v>
      </c>
      <c r="X434" s="829">
        <v>2</v>
      </c>
      <c r="Y434" s="819" t="s">
        <v>1020</v>
      </c>
      <c r="Z434" s="790"/>
      <c r="AA434" s="785"/>
      <c r="AB434" s="785"/>
      <c r="AC434" s="785"/>
      <c r="AD434" s="785"/>
      <c r="AE434" s="785"/>
      <c r="AF434" s="799"/>
      <c r="AG434" s="800"/>
      <c r="AH434" s="800"/>
      <c r="AI434" s="800"/>
      <c r="AJ434" s="800"/>
      <c r="AK434" s="800"/>
      <c r="AL434" s="800"/>
      <c r="AM434" s="800"/>
      <c r="AN434" s="800"/>
      <c r="AO434" s="800"/>
      <c r="AP434" s="800"/>
      <c r="AQ434" s="808">
        <v>0.91</v>
      </c>
      <c r="AR434" s="800">
        <v>0.89</v>
      </c>
      <c r="AS434" s="800">
        <v>0.87</v>
      </c>
      <c r="AT434" s="800">
        <v>0.85</v>
      </c>
      <c r="AU434" s="805">
        <v>0.84</v>
      </c>
      <c r="AV434" s="808"/>
      <c r="AW434" s="800"/>
      <c r="AX434" s="800"/>
      <c r="AY434" s="800"/>
      <c r="AZ434" s="800"/>
      <c r="BA434" s="800"/>
      <c r="BB434" s="800"/>
      <c r="BC434" s="800"/>
      <c r="BD434" s="800"/>
      <c r="BE434" s="800"/>
      <c r="BF434" s="800"/>
      <c r="BG434" s="800"/>
      <c r="BH434" s="800"/>
      <c r="BI434" s="800"/>
      <c r="BJ434" s="800"/>
      <c r="BK434" s="805"/>
      <c r="BL434" s="789"/>
      <c r="BM434" s="785"/>
      <c r="BN434" s="785"/>
      <c r="BO434" s="785"/>
      <c r="BP434" s="796"/>
      <c r="BQ434" s="808" t="s">
        <v>1942</v>
      </c>
      <c r="BR434" s="800" t="s">
        <v>1942</v>
      </c>
      <c r="BS434" s="800" t="s">
        <v>1942</v>
      </c>
      <c r="BT434" s="800" t="s">
        <v>1942</v>
      </c>
      <c r="BU434" s="805" t="s">
        <v>1942</v>
      </c>
      <c r="BV434" s="806" t="s">
        <v>1942</v>
      </c>
      <c r="BW434" s="807" t="s">
        <v>1942</v>
      </c>
      <c r="BX434" s="807" t="s">
        <v>1942</v>
      </c>
      <c r="BY434" s="807" t="s">
        <v>1942</v>
      </c>
      <c r="BZ434" s="807" t="s">
        <v>1942</v>
      </c>
      <c r="CA434" s="916" t="s">
        <v>1942</v>
      </c>
      <c r="CB434" s="914" t="s">
        <v>1942</v>
      </c>
      <c r="CC434" s="914" t="s">
        <v>1942</v>
      </c>
      <c r="CD434" s="800" t="s">
        <v>1942</v>
      </c>
      <c r="CE434" s="805" t="s">
        <v>1942</v>
      </c>
      <c r="CF434" s="800" t="s">
        <v>1942</v>
      </c>
      <c r="CG434" s="800" t="s">
        <v>1942</v>
      </c>
      <c r="CH434" s="800" t="s">
        <v>1942</v>
      </c>
      <c r="CI434" s="800" t="s">
        <v>1942</v>
      </c>
      <c r="CJ434" s="805" t="s">
        <v>1942</v>
      </c>
      <c r="CK434" s="808" t="s">
        <v>1942</v>
      </c>
      <c r="CL434" s="800" t="s">
        <v>1942</v>
      </c>
      <c r="CM434" s="800" t="s">
        <v>1942</v>
      </c>
      <c r="CN434" s="800" t="s">
        <v>1942</v>
      </c>
      <c r="CO434" s="805" t="s">
        <v>1942</v>
      </c>
      <c r="CP434" s="808" t="s">
        <v>1942</v>
      </c>
      <c r="CQ434" s="800" t="s">
        <v>1942</v>
      </c>
      <c r="CR434" s="800" t="s">
        <v>1942</v>
      </c>
      <c r="CS434" s="800" t="s">
        <v>1942</v>
      </c>
      <c r="CT434" s="805" t="s">
        <v>1942</v>
      </c>
      <c r="CU434" s="1284" t="s">
        <v>1942</v>
      </c>
      <c r="CV434" s="1283" t="s">
        <v>1942</v>
      </c>
      <c r="CW434" s="1283" t="s">
        <v>1942</v>
      </c>
      <c r="CX434" s="1285" t="s">
        <v>1942</v>
      </c>
      <c r="CY434" s="1283" t="s">
        <v>1942</v>
      </c>
      <c r="CZ434" s="1283" t="s">
        <v>1942</v>
      </c>
      <c r="DA434" s="1283" t="s">
        <v>1942</v>
      </c>
      <c r="DB434" s="1285" t="s">
        <v>1942</v>
      </c>
      <c r="DC434" s="785"/>
      <c r="DD434" s="813">
        <v>1</v>
      </c>
      <c r="DE434" s="814"/>
    </row>
    <row r="435" spans="1:109" ht="39.4" hidden="1">
      <c r="A435" s="772" t="s">
        <v>1041</v>
      </c>
      <c r="B435" s="773">
        <v>429</v>
      </c>
      <c r="C435" s="789" t="s">
        <v>3747</v>
      </c>
      <c r="D435" s="773" t="s">
        <v>3735</v>
      </c>
      <c r="E435" s="773" t="s">
        <v>1907</v>
      </c>
      <c r="F435" s="785" t="s">
        <v>3748</v>
      </c>
      <c r="G435" s="790" t="s">
        <v>3749</v>
      </c>
      <c r="H435" s="791" t="s">
        <v>3750</v>
      </c>
      <c r="I435" s="792"/>
      <c r="J435" s="793"/>
      <c r="K435" s="793"/>
      <c r="L435" s="793"/>
      <c r="M435" s="793">
        <v>1</v>
      </c>
      <c r="N435" s="793"/>
      <c r="O435" s="793"/>
      <c r="P435" s="794"/>
      <c r="Q435" s="795">
        <f t="shared" si="6"/>
        <v>1</v>
      </c>
      <c r="R435" s="789" t="s">
        <v>1007</v>
      </c>
      <c r="S435" s="773"/>
      <c r="T435" s="796"/>
      <c r="U435" s="773" t="s">
        <v>2117</v>
      </c>
      <c r="V435" s="773" t="s">
        <v>278</v>
      </c>
      <c r="W435" s="773" t="s">
        <v>1146</v>
      </c>
      <c r="X435" s="829">
        <v>1</v>
      </c>
      <c r="Y435" s="819" t="s">
        <v>1010</v>
      </c>
      <c r="Z435" s="790"/>
      <c r="AA435" s="785"/>
      <c r="AB435" s="785"/>
      <c r="AC435" s="785"/>
      <c r="AD435" s="785"/>
      <c r="AE435" s="785"/>
      <c r="AF435" s="799"/>
      <c r="AG435" s="800"/>
      <c r="AH435" s="800"/>
      <c r="AI435" s="800"/>
      <c r="AJ435" s="800"/>
      <c r="AK435" s="800"/>
      <c r="AL435" s="800"/>
      <c r="AM435" s="800"/>
      <c r="AN435" s="800"/>
      <c r="AO435" s="800"/>
      <c r="AP435" s="914"/>
      <c r="AQ435" s="916">
        <v>89</v>
      </c>
      <c r="AR435" s="914">
        <v>92.8</v>
      </c>
      <c r="AS435" s="914">
        <v>95.2</v>
      </c>
      <c r="AT435" s="914">
        <v>97.6</v>
      </c>
      <c r="AU435" s="915">
        <v>100</v>
      </c>
      <c r="AV435" s="916"/>
      <c r="AW435" s="914"/>
      <c r="AX435" s="914"/>
      <c r="AY435" s="914"/>
      <c r="AZ435" s="914"/>
      <c r="BA435" s="914"/>
      <c r="BB435" s="914"/>
      <c r="BC435" s="914"/>
      <c r="BD435" s="914"/>
      <c r="BE435" s="914"/>
      <c r="BF435" s="914"/>
      <c r="BG435" s="914"/>
      <c r="BH435" s="914"/>
      <c r="BI435" s="914"/>
      <c r="BJ435" s="914"/>
      <c r="BK435" s="915"/>
      <c r="BL435" s="789"/>
      <c r="BM435" s="785"/>
      <c r="BN435" s="785"/>
      <c r="BO435" s="785"/>
      <c r="BP435" s="796"/>
      <c r="BQ435" s="808" t="s">
        <v>1942</v>
      </c>
      <c r="BR435" s="800" t="s">
        <v>1942</v>
      </c>
      <c r="BS435" s="800" t="s">
        <v>1942</v>
      </c>
      <c r="BT435" s="800" t="s">
        <v>1942</v>
      </c>
      <c r="BU435" s="805" t="s">
        <v>1942</v>
      </c>
      <c r="BV435" s="806" t="s">
        <v>1942</v>
      </c>
      <c r="BW435" s="807" t="s">
        <v>1942</v>
      </c>
      <c r="BX435" s="807" t="s">
        <v>1942</v>
      </c>
      <c r="BY435" s="807" t="s">
        <v>1942</v>
      </c>
      <c r="BZ435" s="807" t="s">
        <v>1942</v>
      </c>
      <c r="CA435" s="808" t="s">
        <v>1942</v>
      </c>
      <c r="CB435" s="800" t="s">
        <v>1942</v>
      </c>
      <c r="CC435" s="800" t="s">
        <v>1942</v>
      </c>
      <c r="CD435" s="800" t="s">
        <v>1942</v>
      </c>
      <c r="CE435" s="805" t="s">
        <v>1942</v>
      </c>
      <c r="CF435" s="800" t="s">
        <v>1942</v>
      </c>
      <c r="CG435" s="800" t="s">
        <v>1942</v>
      </c>
      <c r="CH435" s="800" t="s">
        <v>1942</v>
      </c>
      <c r="CI435" s="800" t="s">
        <v>1942</v>
      </c>
      <c r="CJ435" s="805" t="s">
        <v>1942</v>
      </c>
      <c r="CK435" s="808" t="s">
        <v>1942</v>
      </c>
      <c r="CL435" s="800" t="s">
        <v>1942</v>
      </c>
      <c r="CM435" s="800" t="s">
        <v>1942</v>
      </c>
      <c r="CN435" s="800" t="s">
        <v>1942</v>
      </c>
      <c r="CO435" s="805" t="s">
        <v>1942</v>
      </c>
      <c r="CP435" s="808" t="s">
        <v>1942</v>
      </c>
      <c r="CQ435" s="800" t="s">
        <v>1942</v>
      </c>
      <c r="CR435" s="800" t="s">
        <v>1942</v>
      </c>
      <c r="CS435" s="800" t="s">
        <v>1942</v>
      </c>
      <c r="CT435" s="805" t="s">
        <v>1942</v>
      </c>
      <c r="CU435" s="1284" t="s">
        <v>1942</v>
      </c>
      <c r="CV435" s="1283" t="s">
        <v>1942</v>
      </c>
      <c r="CW435" s="1283" t="s">
        <v>1942</v>
      </c>
      <c r="CX435" s="1285" t="s">
        <v>1942</v>
      </c>
      <c r="CY435" s="1283" t="s">
        <v>1942</v>
      </c>
      <c r="CZ435" s="1283" t="s">
        <v>1942</v>
      </c>
      <c r="DA435" s="1283" t="s">
        <v>1942</v>
      </c>
      <c r="DB435" s="1285" t="s">
        <v>1942</v>
      </c>
      <c r="DC435" s="785"/>
      <c r="DD435" s="813">
        <v>1</v>
      </c>
      <c r="DE435" s="814"/>
    </row>
    <row r="436" spans="1:109" ht="13.15" hidden="1">
      <c r="A436" s="772" t="s">
        <v>1041</v>
      </c>
      <c r="B436" s="773">
        <v>430</v>
      </c>
      <c r="C436" s="789" t="s">
        <v>3751</v>
      </c>
      <c r="D436" s="773" t="s">
        <v>3579</v>
      </c>
      <c r="E436" s="773" t="s">
        <v>1907</v>
      </c>
      <c r="F436" s="785" t="s">
        <v>3752</v>
      </c>
      <c r="G436" s="790" t="s">
        <v>3753</v>
      </c>
      <c r="H436" s="791" t="s">
        <v>3754</v>
      </c>
      <c r="I436" s="792"/>
      <c r="J436" s="793">
        <v>1</v>
      </c>
      <c r="K436" s="793"/>
      <c r="L436" s="793"/>
      <c r="M436" s="793"/>
      <c r="N436" s="793"/>
      <c r="O436" s="793"/>
      <c r="P436" s="794"/>
      <c r="Q436" s="795">
        <f t="shared" si="6"/>
        <v>1</v>
      </c>
      <c r="R436" s="789" t="s">
        <v>1026</v>
      </c>
      <c r="S436" s="773" t="s">
        <v>1008</v>
      </c>
      <c r="T436" s="796" t="s">
        <v>1019</v>
      </c>
      <c r="U436" s="773" t="s">
        <v>1926</v>
      </c>
      <c r="V436" s="773" t="s">
        <v>1072</v>
      </c>
      <c r="W436" s="773" t="s">
        <v>3754</v>
      </c>
      <c r="X436" s="1317">
        <v>0</v>
      </c>
      <c r="Y436" s="821" t="s">
        <v>1020</v>
      </c>
      <c r="Z436" s="790"/>
      <c r="AA436" s="785"/>
      <c r="AB436" s="785"/>
      <c r="AC436" s="785"/>
      <c r="AD436" s="785"/>
      <c r="AE436" s="785"/>
      <c r="AF436" s="799"/>
      <c r="AG436" s="800"/>
      <c r="AH436" s="800"/>
      <c r="AI436" s="800"/>
      <c r="AJ436" s="800"/>
      <c r="AK436" s="800"/>
      <c r="AL436" s="800"/>
      <c r="AM436" s="800"/>
      <c r="AN436" s="800"/>
      <c r="AO436" s="800"/>
      <c r="AP436" s="800"/>
      <c r="AQ436" s="808" t="s">
        <v>924</v>
      </c>
      <c r="AR436" s="800" t="s">
        <v>924</v>
      </c>
      <c r="AS436" s="800">
        <v>0</v>
      </c>
      <c r="AT436" s="800">
        <v>0</v>
      </c>
      <c r="AU436" s="805">
        <v>0</v>
      </c>
      <c r="AV436" s="808"/>
      <c r="AW436" s="800"/>
      <c r="AX436" s="800"/>
      <c r="AY436" s="800"/>
      <c r="AZ436" s="800"/>
      <c r="BA436" s="800"/>
      <c r="BB436" s="800"/>
      <c r="BC436" s="800"/>
      <c r="BD436" s="800"/>
      <c r="BE436" s="800"/>
      <c r="BF436" s="800"/>
      <c r="BG436" s="800"/>
      <c r="BH436" s="800"/>
      <c r="BI436" s="800"/>
      <c r="BJ436" s="800"/>
      <c r="BK436" s="805"/>
      <c r="BL436" s="789"/>
      <c r="BM436" s="785"/>
      <c r="BN436" s="785"/>
      <c r="BO436" s="785"/>
      <c r="BP436" s="796" t="s">
        <v>168</v>
      </c>
      <c r="BQ436" s="808" t="s">
        <v>1942</v>
      </c>
      <c r="BR436" s="800" t="s">
        <v>1942</v>
      </c>
      <c r="BS436" s="800" t="s">
        <v>1942</v>
      </c>
      <c r="BT436" s="800" t="s">
        <v>1942</v>
      </c>
      <c r="BU436" s="805" t="s">
        <v>1942</v>
      </c>
      <c r="BV436" s="806" t="s">
        <v>1942</v>
      </c>
      <c r="BW436" s="807" t="s">
        <v>1942</v>
      </c>
      <c r="BX436" s="807" t="s">
        <v>1942</v>
      </c>
      <c r="BY436" s="807" t="s">
        <v>1942</v>
      </c>
      <c r="BZ436" s="807" t="s">
        <v>1942</v>
      </c>
      <c r="CA436" s="808" t="s">
        <v>1942</v>
      </c>
      <c r="CB436" s="800" t="s">
        <v>1942</v>
      </c>
      <c r="CC436" s="800" t="s">
        <v>1942</v>
      </c>
      <c r="CD436" s="800" t="s">
        <v>1942</v>
      </c>
      <c r="CE436" s="805" t="s">
        <v>1942</v>
      </c>
      <c r="CF436" s="800" t="s">
        <v>1942</v>
      </c>
      <c r="CG436" s="800" t="s">
        <v>1942</v>
      </c>
      <c r="CH436" s="800" t="s">
        <v>1942</v>
      </c>
      <c r="CI436" s="800" t="s">
        <v>1942</v>
      </c>
      <c r="CJ436" s="805" t="s">
        <v>1942</v>
      </c>
      <c r="CK436" s="808" t="s">
        <v>1942</v>
      </c>
      <c r="CL436" s="800" t="s">
        <v>1942</v>
      </c>
      <c r="CM436" s="800" t="s">
        <v>1942</v>
      </c>
      <c r="CN436" s="800" t="s">
        <v>1942</v>
      </c>
      <c r="CO436" s="805" t="s">
        <v>1942</v>
      </c>
      <c r="CP436" s="808" t="s">
        <v>1942</v>
      </c>
      <c r="CQ436" s="800" t="s">
        <v>1942</v>
      </c>
      <c r="CR436" s="800" t="s">
        <v>1942</v>
      </c>
      <c r="CS436" s="800" t="s">
        <v>1942</v>
      </c>
      <c r="CT436" s="805" t="s">
        <v>1942</v>
      </c>
      <c r="CU436" s="1284">
        <v>-0.51900000000000002</v>
      </c>
      <c r="CV436" s="1283" t="s">
        <v>1942</v>
      </c>
      <c r="CW436" s="1283" t="s">
        <v>1942</v>
      </c>
      <c r="CX436" s="1285" t="s">
        <v>1942</v>
      </c>
      <c r="CY436" s="1283" t="s">
        <v>1942</v>
      </c>
      <c r="CZ436" s="1283" t="s">
        <v>1942</v>
      </c>
      <c r="DA436" s="1283" t="s">
        <v>1942</v>
      </c>
      <c r="DB436" s="1285" t="s">
        <v>1942</v>
      </c>
      <c r="DC436" s="785" t="s">
        <v>131</v>
      </c>
      <c r="DD436" s="813">
        <v>1</v>
      </c>
      <c r="DE436" s="814"/>
    </row>
    <row r="437" spans="1:109" ht="13.15" hidden="1">
      <c r="A437" s="772" t="s">
        <v>1041</v>
      </c>
      <c r="B437" s="773">
        <v>431</v>
      </c>
      <c r="C437" s="789" t="s">
        <v>3755</v>
      </c>
      <c r="D437" s="773" t="s">
        <v>3579</v>
      </c>
      <c r="E437" s="773" t="s">
        <v>1907</v>
      </c>
      <c r="F437" s="785" t="s">
        <v>3756</v>
      </c>
      <c r="G437" s="790" t="s">
        <v>3757</v>
      </c>
      <c r="H437" s="791" t="s">
        <v>3758</v>
      </c>
      <c r="I437" s="792"/>
      <c r="J437" s="793">
        <v>1</v>
      </c>
      <c r="K437" s="793"/>
      <c r="L437" s="793"/>
      <c r="M437" s="793"/>
      <c r="N437" s="793"/>
      <c r="O437" s="793"/>
      <c r="P437" s="794"/>
      <c r="Q437" s="795">
        <f t="shared" si="6"/>
        <v>1</v>
      </c>
      <c r="R437" s="789" t="s">
        <v>1026</v>
      </c>
      <c r="S437" s="773" t="s">
        <v>1008</v>
      </c>
      <c r="T437" s="796" t="s">
        <v>1019</v>
      </c>
      <c r="U437" s="773" t="s">
        <v>1926</v>
      </c>
      <c r="V437" s="773" t="s">
        <v>1072</v>
      </c>
      <c r="W437" s="773" t="s">
        <v>3758</v>
      </c>
      <c r="X437" s="1317">
        <v>0</v>
      </c>
      <c r="Y437" s="821" t="s">
        <v>1020</v>
      </c>
      <c r="Z437" s="790"/>
      <c r="AA437" s="785"/>
      <c r="AB437" s="785"/>
      <c r="AC437" s="785"/>
      <c r="AD437" s="785"/>
      <c r="AE437" s="785"/>
      <c r="AF437" s="799"/>
      <c r="AG437" s="800"/>
      <c r="AH437" s="800"/>
      <c r="AI437" s="800"/>
      <c r="AJ437" s="800"/>
      <c r="AK437" s="800"/>
      <c r="AL437" s="800"/>
      <c r="AM437" s="800"/>
      <c r="AN437" s="800"/>
      <c r="AO437" s="800"/>
      <c r="AP437" s="800"/>
      <c r="AQ437" s="808">
        <v>0</v>
      </c>
      <c r="AR437" s="800">
        <v>0</v>
      </c>
      <c r="AS437" s="800">
        <v>0</v>
      </c>
      <c r="AT437" s="800">
        <v>0</v>
      </c>
      <c r="AU437" s="805">
        <v>0</v>
      </c>
      <c r="AV437" s="808"/>
      <c r="AW437" s="800"/>
      <c r="AX437" s="800"/>
      <c r="AY437" s="800"/>
      <c r="AZ437" s="800"/>
      <c r="BA437" s="800"/>
      <c r="BB437" s="800"/>
      <c r="BC437" s="800"/>
      <c r="BD437" s="800"/>
      <c r="BE437" s="800"/>
      <c r="BF437" s="800"/>
      <c r="BG437" s="800"/>
      <c r="BH437" s="800"/>
      <c r="BI437" s="800"/>
      <c r="BJ437" s="800"/>
      <c r="BK437" s="805"/>
      <c r="BL437" s="789"/>
      <c r="BM437" s="785"/>
      <c r="BN437" s="785"/>
      <c r="BO437" s="785"/>
      <c r="BP437" s="796" t="s">
        <v>168</v>
      </c>
      <c r="BQ437" s="808" t="s">
        <v>1942</v>
      </c>
      <c r="BR437" s="800" t="s">
        <v>1942</v>
      </c>
      <c r="BS437" s="800" t="s">
        <v>1942</v>
      </c>
      <c r="BT437" s="800" t="s">
        <v>1942</v>
      </c>
      <c r="BU437" s="805" t="s">
        <v>1942</v>
      </c>
      <c r="BV437" s="806" t="s">
        <v>1942</v>
      </c>
      <c r="BW437" s="807" t="s">
        <v>1942</v>
      </c>
      <c r="BX437" s="807" t="s">
        <v>1942</v>
      </c>
      <c r="BY437" s="807" t="s">
        <v>1942</v>
      </c>
      <c r="BZ437" s="807" t="s">
        <v>1942</v>
      </c>
      <c r="CA437" s="808" t="s">
        <v>1942</v>
      </c>
      <c r="CB437" s="800" t="s">
        <v>1942</v>
      </c>
      <c r="CC437" s="800" t="s">
        <v>1942</v>
      </c>
      <c r="CD437" s="800" t="s">
        <v>1942</v>
      </c>
      <c r="CE437" s="805" t="s">
        <v>1942</v>
      </c>
      <c r="CF437" s="800" t="s">
        <v>1942</v>
      </c>
      <c r="CG437" s="800" t="s">
        <v>1942</v>
      </c>
      <c r="CH437" s="800" t="s">
        <v>1942</v>
      </c>
      <c r="CI437" s="800" t="s">
        <v>1942</v>
      </c>
      <c r="CJ437" s="805" t="s">
        <v>1942</v>
      </c>
      <c r="CK437" s="808" t="s">
        <v>1942</v>
      </c>
      <c r="CL437" s="800" t="s">
        <v>1942</v>
      </c>
      <c r="CM437" s="800" t="s">
        <v>1942</v>
      </c>
      <c r="CN437" s="800" t="s">
        <v>1942</v>
      </c>
      <c r="CO437" s="805" t="s">
        <v>1942</v>
      </c>
      <c r="CP437" s="808" t="s">
        <v>1942</v>
      </c>
      <c r="CQ437" s="800" t="s">
        <v>1942</v>
      </c>
      <c r="CR437" s="800" t="s">
        <v>1942</v>
      </c>
      <c r="CS437" s="800" t="s">
        <v>1942</v>
      </c>
      <c r="CT437" s="805" t="s">
        <v>1942</v>
      </c>
      <c r="CU437" s="1284">
        <v>-0.59</v>
      </c>
      <c r="CV437" s="1283" t="s">
        <v>1942</v>
      </c>
      <c r="CW437" s="1283" t="s">
        <v>1942</v>
      </c>
      <c r="CX437" s="1285" t="s">
        <v>1942</v>
      </c>
      <c r="CY437" s="1283" t="s">
        <v>1942</v>
      </c>
      <c r="CZ437" s="1283" t="s">
        <v>1942</v>
      </c>
      <c r="DA437" s="1283" t="s">
        <v>1942</v>
      </c>
      <c r="DB437" s="1285" t="s">
        <v>1942</v>
      </c>
      <c r="DC437" s="785" t="s">
        <v>131</v>
      </c>
      <c r="DD437" s="813">
        <v>1</v>
      </c>
      <c r="DE437" s="814"/>
    </row>
    <row r="438" spans="1:109" ht="13.15" hidden="1">
      <c r="A438" s="772" t="s">
        <v>1041</v>
      </c>
      <c r="B438" s="773">
        <v>432</v>
      </c>
      <c r="C438" s="789" t="s">
        <v>3759</v>
      </c>
      <c r="D438" s="773" t="s">
        <v>1910</v>
      </c>
      <c r="E438" s="773" t="s">
        <v>1907</v>
      </c>
      <c r="F438" s="785" t="s">
        <v>3760</v>
      </c>
      <c r="G438" s="790" t="s">
        <v>3761</v>
      </c>
      <c r="H438" s="791" t="s">
        <v>3762</v>
      </c>
      <c r="I438" s="792"/>
      <c r="J438" s="793">
        <v>0.7</v>
      </c>
      <c r="K438" s="793">
        <v>0.3</v>
      </c>
      <c r="L438" s="793"/>
      <c r="M438" s="793"/>
      <c r="N438" s="793"/>
      <c r="O438" s="793"/>
      <c r="P438" s="794"/>
      <c r="Q438" s="795">
        <f t="shared" si="6"/>
        <v>1</v>
      </c>
      <c r="R438" s="789" t="s">
        <v>1026</v>
      </c>
      <c r="S438" s="773" t="s">
        <v>1008</v>
      </c>
      <c r="T438" s="796" t="s">
        <v>1009</v>
      </c>
      <c r="U438" s="773" t="s">
        <v>1910</v>
      </c>
      <c r="V438" s="773" t="s">
        <v>1072</v>
      </c>
      <c r="W438" s="773" t="s">
        <v>3762</v>
      </c>
      <c r="X438" s="1317">
        <v>0</v>
      </c>
      <c r="Y438" s="821" t="s">
        <v>1020</v>
      </c>
      <c r="Z438" s="790"/>
      <c r="AA438" s="785"/>
      <c r="AB438" s="785"/>
      <c r="AC438" s="785"/>
      <c r="AD438" s="785"/>
      <c r="AE438" s="785"/>
      <c r="AF438" s="799"/>
      <c r="AG438" s="914"/>
      <c r="AH438" s="800"/>
      <c r="AI438" s="800"/>
      <c r="AJ438" s="800"/>
      <c r="AK438" s="800"/>
      <c r="AL438" s="800"/>
      <c r="AM438" s="800"/>
      <c r="AN438" s="800"/>
      <c r="AO438" s="800"/>
      <c r="AP438" s="800"/>
      <c r="AQ438" s="808" t="s">
        <v>3763</v>
      </c>
      <c r="AR438" s="800" t="s">
        <v>3763</v>
      </c>
      <c r="AS438" s="800" t="s">
        <v>3763</v>
      </c>
      <c r="AT438" s="800" t="s">
        <v>3763</v>
      </c>
      <c r="AU438" s="805" t="s">
        <v>3763</v>
      </c>
      <c r="AV438" s="916"/>
      <c r="AW438" s="914"/>
      <c r="AX438" s="914"/>
      <c r="AY438" s="914"/>
      <c r="AZ438" s="914"/>
      <c r="BA438" s="914"/>
      <c r="BB438" s="914"/>
      <c r="BC438" s="914"/>
      <c r="BD438" s="914"/>
      <c r="BE438" s="914"/>
      <c r="BF438" s="914"/>
      <c r="BG438" s="914"/>
      <c r="BH438" s="914"/>
      <c r="BI438" s="914"/>
      <c r="BJ438" s="914"/>
      <c r="BK438" s="915"/>
      <c r="BL438" s="789" t="s">
        <v>168</v>
      </c>
      <c r="BM438" s="785" t="s">
        <v>168</v>
      </c>
      <c r="BN438" s="785" t="s">
        <v>168</v>
      </c>
      <c r="BO438" s="785" t="s">
        <v>168</v>
      </c>
      <c r="BP438" s="796" t="s">
        <v>168</v>
      </c>
      <c r="BQ438" s="808" t="s">
        <v>1942</v>
      </c>
      <c r="BR438" s="800" t="s">
        <v>1942</v>
      </c>
      <c r="BS438" s="800" t="s">
        <v>1942</v>
      </c>
      <c r="BT438" s="800" t="s">
        <v>1942</v>
      </c>
      <c r="BU438" s="805" t="s">
        <v>1942</v>
      </c>
      <c r="BV438" s="806" t="s">
        <v>1942</v>
      </c>
      <c r="BW438" s="807" t="s">
        <v>1942</v>
      </c>
      <c r="BX438" s="807" t="s">
        <v>1942</v>
      </c>
      <c r="BY438" s="807" t="s">
        <v>1942</v>
      </c>
      <c r="BZ438" s="807" t="s">
        <v>1942</v>
      </c>
      <c r="CA438" s="808" t="s">
        <v>1942</v>
      </c>
      <c r="CB438" s="800" t="s">
        <v>1942</v>
      </c>
      <c r="CC438" s="800" t="s">
        <v>1942</v>
      </c>
      <c r="CD438" s="800" t="s">
        <v>1942</v>
      </c>
      <c r="CE438" s="805" t="s">
        <v>1942</v>
      </c>
      <c r="CF438" s="800" t="s">
        <v>1942</v>
      </c>
      <c r="CG438" s="800" t="s">
        <v>1942</v>
      </c>
      <c r="CH438" s="800" t="s">
        <v>1942</v>
      </c>
      <c r="CI438" s="800" t="s">
        <v>1942</v>
      </c>
      <c r="CJ438" s="805" t="s">
        <v>1942</v>
      </c>
      <c r="CK438" s="808" t="s">
        <v>1942</v>
      </c>
      <c r="CL438" s="800" t="s">
        <v>1942</v>
      </c>
      <c r="CM438" s="800" t="s">
        <v>1942</v>
      </c>
      <c r="CN438" s="800" t="s">
        <v>1942</v>
      </c>
      <c r="CO438" s="805" t="s">
        <v>1942</v>
      </c>
      <c r="CP438" s="808" t="s">
        <v>1942</v>
      </c>
      <c r="CQ438" s="800" t="s">
        <v>1942</v>
      </c>
      <c r="CR438" s="800" t="s">
        <v>1942</v>
      </c>
      <c r="CS438" s="800" t="s">
        <v>1942</v>
      </c>
      <c r="CT438" s="805" t="s">
        <v>1942</v>
      </c>
      <c r="CU438" s="1284">
        <v>-5.14</v>
      </c>
      <c r="CV438" s="1283" t="s">
        <v>1942</v>
      </c>
      <c r="CW438" s="1283" t="s">
        <v>1942</v>
      </c>
      <c r="CX438" s="1285" t="s">
        <v>1942</v>
      </c>
      <c r="CY438" s="1283" t="s">
        <v>1942</v>
      </c>
      <c r="CZ438" s="1283" t="s">
        <v>1942</v>
      </c>
      <c r="DA438" s="1283" t="s">
        <v>1942</v>
      </c>
      <c r="DB438" s="1285" t="s">
        <v>1942</v>
      </c>
      <c r="DC438" s="785" t="s">
        <v>131</v>
      </c>
      <c r="DD438" s="813">
        <v>1</v>
      </c>
      <c r="DE438" s="814"/>
    </row>
    <row r="439" spans="1:109" ht="39.4" hidden="1">
      <c r="A439" s="772" t="s">
        <v>1045</v>
      </c>
      <c r="B439" s="773">
        <v>433</v>
      </c>
      <c r="C439" s="789" t="s">
        <v>3764</v>
      </c>
      <c r="D439" s="773" t="s">
        <v>3765</v>
      </c>
      <c r="E439" s="773" t="s">
        <v>1907</v>
      </c>
      <c r="F439" s="785" t="s">
        <v>3766</v>
      </c>
      <c r="G439" s="790" t="s">
        <v>1931</v>
      </c>
      <c r="H439" s="791" t="s">
        <v>3767</v>
      </c>
      <c r="I439" s="792"/>
      <c r="J439" s="793"/>
      <c r="K439" s="793"/>
      <c r="L439" s="793"/>
      <c r="M439" s="793">
        <v>1</v>
      </c>
      <c r="N439" s="793"/>
      <c r="O439" s="793"/>
      <c r="P439" s="794"/>
      <c r="Q439" s="795">
        <f t="shared" si="6"/>
        <v>1</v>
      </c>
      <c r="R439" s="789" t="s">
        <v>1030</v>
      </c>
      <c r="S439" s="773" t="s">
        <v>1008</v>
      </c>
      <c r="T439" s="796" t="s">
        <v>1009</v>
      </c>
      <c r="U439" s="773" t="s">
        <v>1069</v>
      </c>
      <c r="V439" s="773" t="s">
        <v>1081</v>
      </c>
      <c r="W439" s="773" t="s">
        <v>3768</v>
      </c>
      <c r="X439" s="1311">
        <v>2</v>
      </c>
      <c r="Y439" s="821" t="s">
        <v>1010</v>
      </c>
      <c r="Z439" s="790" t="s">
        <v>1931</v>
      </c>
      <c r="AA439" s="785"/>
      <c r="AB439" s="785"/>
      <c r="AC439" s="785"/>
      <c r="AD439" s="785"/>
      <c r="AE439" s="785"/>
      <c r="AF439" s="799"/>
      <c r="AG439" s="800"/>
      <c r="AH439" s="800"/>
      <c r="AI439" s="800"/>
      <c r="AJ439" s="800"/>
      <c r="AK439" s="800"/>
      <c r="AL439" s="800"/>
      <c r="AM439" s="800"/>
      <c r="AN439" s="800"/>
      <c r="AO439" s="800"/>
      <c r="AP439" s="914"/>
      <c r="AQ439" s="1778"/>
      <c r="AR439" s="1779"/>
      <c r="AS439" s="1779"/>
      <c r="AT439" s="1779"/>
      <c r="AU439" s="1777"/>
      <c r="AV439" s="823"/>
      <c r="AW439" s="824"/>
      <c r="AX439" s="824"/>
      <c r="AY439" s="824"/>
      <c r="AZ439" s="824"/>
      <c r="BA439" s="824"/>
      <c r="BB439" s="824"/>
      <c r="BC439" s="824"/>
      <c r="BD439" s="917"/>
      <c r="BE439" s="824"/>
      <c r="BF439" s="800"/>
      <c r="BG439" s="800"/>
      <c r="BH439" s="800"/>
      <c r="BI439" s="800"/>
      <c r="BJ439" s="800"/>
      <c r="BK439" s="805"/>
      <c r="BL439" s="1376"/>
      <c r="BM439" s="1377"/>
      <c r="BN439" s="1377"/>
      <c r="BO439" s="1377"/>
      <c r="BP439" s="1440"/>
      <c r="BQ439" s="1420"/>
      <c r="BR439" s="1368"/>
      <c r="BS439" s="1368"/>
      <c r="BT439" s="1368"/>
      <c r="BU439" s="1369"/>
      <c r="BV439" s="1420"/>
      <c r="BW439" s="1368"/>
      <c r="BX439" s="1368"/>
      <c r="BY439" s="1368"/>
      <c r="BZ439" s="1368"/>
      <c r="CA439" s="1420"/>
      <c r="CB439" s="1368"/>
      <c r="CC439" s="1368"/>
      <c r="CD439" s="1368"/>
      <c r="CE439" s="1369"/>
      <c r="CF439" s="1368"/>
      <c r="CG439" s="1368"/>
      <c r="CH439" s="1368"/>
      <c r="CI439" s="1368"/>
      <c r="CJ439" s="1369"/>
      <c r="CK439" s="1420"/>
      <c r="CL439" s="1368"/>
      <c r="CM439" s="1368"/>
      <c r="CN439" s="1368"/>
      <c r="CO439" s="1369"/>
      <c r="CP439" s="1420"/>
      <c r="CQ439" s="1368"/>
      <c r="CR439" s="1368"/>
      <c r="CS439" s="1368"/>
      <c r="CT439" s="1369"/>
      <c r="CU439" s="1528"/>
      <c r="CV439" s="1519"/>
      <c r="CW439" s="1519"/>
      <c r="CX439" s="1728"/>
      <c r="CY439" s="1519"/>
      <c r="CZ439" s="1519"/>
      <c r="DA439" s="1519"/>
      <c r="DB439" s="1728"/>
      <c r="DC439" s="1377"/>
      <c r="DD439" s="1729"/>
      <c r="DE439" s="1734"/>
    </row>
    <row r="440" spans="1:109" ht="26.25" hidden="1">
      <c r="A440" s="772" t="s">
        <v>1045</v>
      </c>
      <c r="B440" s="773">
        <v>434</v>
      </c>
      <c r="C440" s="789" t="s">
        <v>3769</v>
      </c>
      <c r="D440" s="773" t="s">
        <v>3765</v>
      </c>
      <c r="E440" s="773" t="s">
        <v>1907</v>
      </c>
      <c r="F440" s="785" t="s">
        <v>3770</v>
      </c>
      <c r="G440" s="790" t="s">
        <v>2258</v>
      </c>
      <c r="H440" s="791" t="s">
        <v>2259</v>
      </c>
      <c r="I440" s="792"/>
      <c r="J440" s="793"/>
      <c r="K440" s="793"/>
      <c r="L440" s="793"/>
      <c r="M440" s="793"/>
      <c r="N440" s="793"/>
      <c r="O440" s="793"/>
      <c r="P440" s="794"/>
      <c r="Q440" s="795">
        <f t="shared" si="6"/>
        <v>0</v>
      </c>
      <c r="R440" s="789" t="s">
        <v>1007</v>
      </c>
      <c r="S440" s="773"/>
      <c r="T440" s="796"/>
      <c r="U440" s="773"/>
      <c r="V440" s="773" t="s">
        <v>278</v>
      </c>
      <c r="W440" s="773"/>
      <c r="X440" s="1310">
        <v>0</v>
      </c>
      <c r="Y440" s="821" t="s">
        <v>1010</v>
      </c>
      <c r="Z440" s="790"/>
      <c r="AA440" s="785"/>
      <c r="AB440" s="785"/>
      <c r="AC440" s="785"/>
      <c r="AD440" s="785"/>
      <c r="AE440" s="785"/>
      <c r="AF440" s="799"/>
      <c r="AG440" s="800"/>
      <c r="AH440" s="800"/>
      <c r="AI440" s="800"/>
      <c r="AJ440" s="800"/>
      <c r="AK440" s="800"/>
      <c r="AL440" s="800"/>
      <c r="AM440" s="800"/>
      <c r="AN440" s="800"/>
      <c r="AO440" s="800"/>
      <c r="AP440" s="914"/>
      <c r="AQ440" s="916">
        <v>91</v>
      </c>
      <c r="AR440" s="914">
        <v>91</v>
      </c>
      <c r="AS440" s="914">
        <v>91</v>
      </c>
      <c r="AT440" s="914">
        <v>91</v>
      </c>
      <c r="AU440" s="915">
        <v>91</v>
      </c>
      <c r="AV440" s="823"/>
      <c r="AW440" s="824"/>
      <c r="AX440" s="824"/>
      <c r="AY440" s="824"/>
      <c r="AZ440" s="824"/>
      <c r="BA440" s="824"/>
      <c r="BB440" s="824"/>
      <c r="BC440" s="824"/>
      <c r="BD440" s="917"/>
      <c r="BE440" s="824"/>
      <c r="BF440" s="800"/>
      <c r="BG440" s="800"/>
      <c r="BH440" s="800"/>
      <c r="BI440" s="800"/>
      <c r="BJ440" s="800"/>
      <c r="BK440" s="805"/>
      <c r="BL440" s="789"/>
      <c r="BM440" s="785"/>
      <c r="BN440" s="785"/>
      <c r="BO440" s="785"/>
      <c r="BP440" s="796"/>
      <c r="BQ440" s="808" t="s">
        <v>1942</v>
      </c>
      <c r="BR440" s="800" t="s">
        <v>1942</v>
      </c>
      <c r="BS440" s="800" t="s">
        <v>1942</v>
      </c>
      <c r="BT440" s="800" t="s">
        <v>1942</v>
      </c>
      <c r="BU440" s="805" t="s">
        <v>1942</v>
      </c>
      <c r="BV440" s="808" t="s">
        <v>1942</v>
      </c>
      <c r="BW440" s="800" t="s">
        <v>1942</v>
      </c>
      <c r="BX440" s="800" t="s">
        <v>1942</v>
      </c>
      <c r="BY440" s="800" t="s">
        <v>1942</v>
      </c>
      <c r="BZ440" s="800" t="s">
        <v>1942</v>
      </c>
      <c r="CA440" s="808" t="s">
        <v>1942</v>
      </c>
      <c r="CB440" s="800" t="s">
        <v>1942</v>
      </c>
      <c r="CC440" s="800" t="s">
        <v>1942</v>
      </c>
      <c r="CD440" s="800" t="s">
        <v>1942</v>
      </c>
      <c r="CE440" s="805" t="s">
        <v>1942</v>
      </c>
      <c r="CF440" s="800" t="s">
        <v>1942</v>
      </c>
      <c r="CG440" s="800" t="s">
        <v>1942</v>
      </c>
      <c r="CH440" s="800" t="s">
        <v>1942</v>
      </c>
      <c r="CI440" s="800" t="s">
        <v>1942</v>
      </c>
      <c r="CJ440" s="805" t="s">
        <v>1942</v>
      </c>
      <c r="CK440" s="808" t="s">
        <v>1942</v>
      </c>
      <c r="CL440" s="800" t="s">
        <v>1942</v>
      </c>
      <c r="CM440" s="800" t="s">
        <v>1942</v>
      </c>
      <c r="CN440" s="800" t="s">
        <v>1942</v>
      </c>
      <c r="CO440" s="805" t="s">
        <v>1942</v>
      </c>
      <c r="CP440" s="808" t="s">
        <v>1942</v>
      </c>
      <c r="CQ440" s="800" t="s">
        <v>1942</v>
      </c>
      <c r="CR440" s="800" t="s">
        <v>1942</v>
      </c>
      <c r="CS440" s="800" t="s">
        <v>1942</v>
      </c>
      <c r="CT440" s="805" t="s">
        <v>1942</v>
      </c>
      <c r="CU440" s="1284" t="s">
        <v>1942</v>
      </c>
      <c r="CV440" s="1283" t="s">
        <v>1942</v>
      </c>
      <c r="CW440" s="1283" t="s">
        <v>1942</v>
      </c>
      <c r="CX440" s="1285" t="s">
        <v>1942</v>
      </c>
      <c r="CY440" s="1283" t="s">
        <v>1942</v>
      </c>
      <c r="CZ440" s="1283" t="s">
        <v>1942</v>
      </c>
      <c r="DA440" s="1283" t="s">
        <v>1942</v>
      </c>
      <c r="DB440" s="1285" t="s">
        <v>1942</v>
      </c>
      <c r="DC440" s="785"/>
      <c r="DD440" s="813"/>
      <c r="DE440" s="814"/>
    </row>
    <row r="441" spans="1:109" ht="52.5" hidden="1">
      <c r="A441" s="772" t="s">
        <v>1045</v>
      </c>
      <c r="B441" s="773">
        <v>435</v>
      </c>
      <c r="C441" s="789" t="s">
        <v>3771</v>
      </c>
      <c r="D441" s="773" t="s">
        <v>3765</v>
      </c>
      <c r="E441" s="773" t="s">
        <v>1907</v>
      </c>
      <c r="F441" s="785" t="s">
        <v>3772</v>
      </c>
      <c r="G441" s="790" t="s">
        <v>1935</v>
      </c>
      <c r="H441" s="791" t="s">
        <v>3773</v>
      </c>
      <c r="I441" s="792"/>
      <c r="J441" s="793">
        <v>0.56000000000000005</v>
      </c>
      <c r="K441" s="793">
        <v>0.44</v>
      </c>
      <c r="L441" s="793"/>
      <c r="M441" s="793"/>
      <c r="N441" s="793"/>
      <c r="O441" s="793"/>
      <c r="P441" s="794"/>
      <c r="Q441" s="795">
        <f t="shared" si="6"/>
        <v>1</v>
      </c>
      <c r="R441" s="789" t="s">
        <v>1030</v>
      </c>
      <c r="S441" s="773" t="s">
        <v>1008</v>
      </c>
      <c r="T441" s="796" t="s">
        <v>1009</v>
      </c>
      <c r="U441" s="773" t="s">
        <v>1073</v>
      </c>
      <c r="V441" s="773" t="s">
        <v>1081</v>
      </c>
      <c r="W441" s="773" t="s">
        <v>3774</v>
      </c>
      <c r="X441" s="1311">
        <v>2</v>
      </c>
      <c r="Y441" s="821" t="s">
        <v>1010</v>
      </c>
      <c r="Z441" s="790" t="s">
        <v>1935</v>
      </c>
      <c r="AA441" s="785"/>
      <c r="AB441" s="785"/>
      <c r="AC441" s="785"/>
      <c r="AD441" s="785"/>
      <c r="AE441" s="785"/>
      <c r="AF441" s="799"/>
      <c r="AG441" s="800"/>
      <c r="AH441" s="800"/>
      <c r="AI441" s="800"/>
      <c r="AJ441" s="800"/>
      <c r="AK441" s="800"/>
      <c r="AL441" s="800"/>
      <c r="AM441" s="800"/>
      <c r="AN441" s="800"/>
      <c r="AO441" s="800"/>
      <c r="AP441" s="800"/>
      <c r="AQ441" s="1420"/>
      <c r="AR441" s="1368"/>
      <c r="AS441" s="1368"/>
      <c r="AT441" s="1368"/>
      <c r="AU441" s="1369"/>
      <c r="AV441" s="808"/>
      <c r="AW441" s="800"/>
      <c r="AX441" s="800"/>
      <c r="AY441" s="800"/>
      <c r="AZ441" s="800"/>
      <c r="BA441" s="800"/>
      <c r="BB441" s="800"/>
      <c r="BC441" s="800"/>
      <c r="BD441" s="800"/>
      <c r="BE441" s="800"/>
      <c r="BF441" s="800"/>
      <c r="BG441" s="800"/>
      <c r="BH441" s="800"/>
      <c r="BI441" s="800"/>
      <c r="BJ441" s="800"/>
      <c r="BK441" s="805"/>
      <c r="BL441" s="1376"/>
      <c r="BM441" s="1377"/>
      <c r="BN441" s="1377"/>
      <c r="BO441" s="1377"/>
      <c r="BP441" s="1440"/>
      <c r="BQ441" s="1420"/>
      <c r="BR441" s="1368"/>
      <c r="BS441" s="1368"/>
      <c r="BT441" s="1368"/>
      <c r="BU441" s="1369"/>
      <c r="BV441" s="1420"/>
      <c r="BW441" s="1368"/>
      <c r="BX441" s="1368"/>
      <c r="BY441" s="1368"/>
      <c r="BZ441" s="1368"/>
      <c r="CA441" s="1420"/>
      <c r="CB441" s="1368"/>
      <c r="CC441" s="1368"/>
      <c r="CD441" s="1368"/>
      <c r="CE441" s="1369"/>
      <c r="CF441" s="1368"/>
      <c r="CG441" s="1368"/>
      <c r="CH441" s="1368"/>
      <c r="CI441" s="1368"/>
      <c r="CJ441" s="1369"/>
      <c r="CK441" s="1420"/>
      <c r="CL441" s="1368"/>
      <c r="CM441" s="1368"/>
      <c r="CN441" s="1368"/>
      <c r="CO441" s="1369"/>
      <c r="CP441" s="1420"/>
      <c r="CQ441" s="1368"/>
      <c r="CR441" s="1368"/>
      <c r="CS441" s="1368"/>
      <c r="CT441" s="1369"/>
      <c r="CU441" s="1528"/>
      <c r="CV441" s="1519"/>
      <c r="CW441" s="1519"/>
      <c r="CX441" s="1728"/>
      <c r="CY441" s="1519"/>
      <c r="CZ441" s="1519"/>
      <c r="DA441" s="1519"/>
      <c r="DB441" s="1728"/>
      <c r="DC441" s="1377"/>
      <c r="DD441" s="1729"/>
      <c r="DE441" s="1734"/>
    </row>
    <row r="442" spans="1:109" ht="52.5" hidden="1">
      <c r="A442" s="772" t="s">
        <v>1045</v>
      </c>
      <c r="B442" s="773">
        <v>436</v>
      </c>
      <c r="C442" s="789" t="s">
        <v>3775</v>
      </c>
      <c r="D442" s="773" t="s">
        <v>3765</v>
      </c>
      <c r="E442" s="773" t="s">
        <v>1907</v>
      </c>
      <c r="F442" s="785" t="s">
        <v>3776</v>
      </c>
      <c r="G442" s="790" t="s">
        <v>3777</v>
      </c>
      <c r="H442" s="791" t="s">
        <v>3778</v>
      </c>
      <c r="I442" s="792">
        <v>0.11</v>
      </c>
      <c r="J442" s="793">
        <v>0.89</v>
      </c>
      <c r="K442" s="793"/>
      <c r="L442" s="793"/>
      <c r="M442" s="793"/>
      <c r="N442" s="793"/>
      <c r="O442" s="793"/>
      <c r="P442" s="794"/>
      <c r="Q442" s="795">
        <f t="shared" si="6"/>
        <v>1</v>
      </c>
      <c r="R442" s="789" t="s">
        <v>1007</v>
      </c>
      <c r="S442" s="773"/>
      <c r="T442" s="796"/>
      <c r="U442" s="773" t="s">
        <v>2400</v>
      </c>
      <c r="V442" s="773" t="s">
        <v>1033</v>
      </c>
      <c r="W442" s="773" t="s">
        <v>3779</v>
      </c>
      <c r="X442" s="1310">
        <v>0</v>
      </c>
      <c r="Y442" s="821" t="s">
        <v>1010</v>
      </c>
      <c r="Z442" s="790"/>
      <c r="AA442" s="785"/>
      <c r="AB442" s="785"/>
      <c r="AC442" s="785"/>
      <c r="AD442" s="785"/>
      <c r="AE442" s="785"/>
      <c r="AF442" s="799"/>
      <c r="AG442" s="797"/>
      <c r="AH442" s="797"/>
      <c r="AI442" s="797"/>
      <c r="AJ442" s="797"/>
      <c r="AK442" s="797"/>
      <c r="AL442" s="797"/>
      <c r="AM442" s="797"/>
      <c r="AN442" s="797"/>
      <c r="AO442" s="918"/>
      <c r="AP442" s="918"/>
      <c r="AQ442" s="919">
        <v>80000</v>
      </c>
      <c r="AR442" s="797">
        <v>160000</v>
      </c>
      <c r="AS442" s="797">
        <v>240000</v>
      </c>
      <c r="AT442" s="797">
        <v>320000</v>
      </c>
      <c r="AU442" s="841">
        <v>400000</v>
      </c>
      <c r="AV442" s="919"/>
      <c r="AW442" s="918"/>
      <c r="AX442" s="918"/>
      <c r="AY442" s="918"/>
      <c r="AZ442" s="918"/>
      <c r="BA442" s="918"/>
      <c r="BB442" s="918"/>
      <c r="BC442" s="918"/>
      <c r="BD442" s="918"/>
      <c r="BE442" s="918"/>
      <c r="BF442" s="797"/>
      <c r="BG442" s="797"/>
      <c r="BH442" s="797"/>
      <c r="BI442" s="797"/>
      <c r="BJ442" s="797"/>
      <c r="BK442" s="920"/>
      <c r="BL442" s="789"/>
      <c r="BM442" s="785"/>
      <c r="BN442" s="785"/>
      <c r="BO442" s="785"/>
      <c r="BP442" s="796"/>
      <c r="BQ442" s="808" t="s">
        <v>1942</v>
      </c>
      <c r="BR442" s="800" t="s">
        <v>1942</v>
      </c>
      <c r="BS442" s="800" t="s">
        <v>1942</v>
      </c>
      <c r="BT442" s="800" t="s">
        <v>1942</v>
      </c>
      <c r="BU442" s="805" t="s">
        <v>1942</v>
      </c>
      <c r="BV442" s="808" t="s">
        <v>1942</v>
      </c>
      <c r="BW442" s="800" t="s">
        <v>1942</v>
      </c>
      <c r="BX442" s="800" t="s">
        <v>1942</v>
      </c>
      <c r="BY442" s="800" t="s">
        <v>1942</v>
      </c>
      <c r="BZ442" s="800" t="s">
        <v>1942</v>
      </c>
      <c r="CA442" s="808" t="s">
        <v>1942</v>
      </c>
      <c r="CB442" s="800" t="s">
        <v>1942</v>
      </c>
      <c r="CC442" s="800" t="s">
        <v>1942</v>
      </c>
      <c r="CD442" s="800" t="s">
        <v>1942</v>
      </c>
      <c r="CE442" s="805" t="s">
        <v>1942</v>
      </c>
      <c r="CF442" s="800" t="s">
        <v>1942</v>
      </c>
      <c r="CG442" s="800" t="s">
        <v>1942</v>
      </c>
      <c r="CH442" s="800" t="s">
        <v>1942</v>
      </c>
      <c r="CI442" s="800" t="s">
        <v>1942</v>
      </c>
      <c r="CJ442" s="805" t="s">
        <v>1942</v>
      </c>
      <c r="CK442" s="808" t="s">
        <v>1942</v>
      </c>
      <c r="CL442" s="800" t="s">
        <v>1942</v>
      </c>
      <c r="CM442" s="800" t="s">
        <v>1942</v>
      </c>
      <c r="CN442" s="800" t="s">
        <v>1942</v>
      </c>
      <c r="CO442" s="805" t="s">
        <v>1942</v>
      </c>
      <c r="CP442" s="808" t="s">
        <v>1942</v>
      </c>
      <c r="CQ442" s="800" t="s">
        <v>1942</v>
      </c>
      <c r="CR442" s="800" t="s">
        <v>1942</v>
      </c>
      <c r="CS442" s="800" t="s">
        <v>1942</v>
      </c>
      <c r="CT442" s="805" t="s">
        <v>1942</v>
      </c>
      <c r="CU442" s="1284" t="s">
        <v>1942</v>
      </c>
      <c r="CV442" s="1283" t="s">
        <v>1942</v>
      </c>
      <c r="CW442" s="1283" t="s">
        <v>1942</v>
      </c>
      <c r="CX442" s="1285" t="s">
        <v>1942</v>
      </c>
      <c r="CY442" s="1283" t="s">
        <v>1942</v>
      </c>
      <c r="CZ442" s="1283" t="s">
        <v>1942</v>
      </c>
      <c r="DA442" s="1283" t="s">
        <v>1942</v>
      </c>
      <c r="DB442" s="1285" t="s">
        <v>1942</v>
      </c>
      <c r="DC442" s="785"/>
      <c r="DD442" s="813">
        <v>1</v>
      </c>
      <c r="DE442" s="814"/>
    </row>
    <row r="443" spans="1:109" ht="118.15" hidden="1">
      <c r="A443" s="772" t="s">
        <v>1045</v>
      </c>
      <c r="B443" s="773">
        <v>437</v>
      </c>
      <c r="C443" s="789" t="s">
        <v>3780</v>
      </c>
      <c r="D443" s="773" t="s">
        <v>3781</v>
      </c>
      <c r="E443" s="773" t="s">
        <v>1889</v>
      </c>
      <c r="F443" s="785" t="s">
        <v>3782</v>
      </c>
      <c r="G443" s="790" t="s">
        <v>161</v>
      </c>
      <c r="H443" s="791" t="s">
        <v>3783</v>
      </c>
      <c r="I443" s="792"/>
      <c r="J443" s="793">
        <v>1</v>
      </c>
      <c r="K443" s="793"/>
      <c r="L443" s="793"/>
      <c r="M443" s="793"/>
      <c r="N443" s="793"/>
      <c r="O443" s="793"/>
      <c r="P443" s="794"/>
      <c r="Q443" s="795">
        <f t="shared" si="6"/>
        <v>1</v>
      </c>
      <c r="R443" s="789" t="s">
        <v>1030</v>
      </c>
      <c r="S443" s="773" t="s">
        <v>1008</v>
      </c>
      <c r="T443" s="796" t="s">
        <v>1009</v>
      </c>
      <c r="U443" s="773" t="s">
        <v>2074</v>
      </c>
      <c r="V443" s="773" t="s">
        <v>1033</v>
      </c>
      <c r="W443" s="773" t="s">
        <v>3784</v>
      </c>
      <c r="X443" s="1311">
        <v>1</v>
      </c>
      <c r="Y443" s="821" t="s">
        <v>1020</v>
      </c>
      <c r="Z443" s="790" t="s">
        <v>161</v>
      </c>
      <c r="AA443" s="785"/>
      <c r="AB443" s="785"/>
      <c r="AC443" s="785"/>
      <c r="AD443" s="785"/>
      <c r="AE443" s="785"/>
      <c r="AF443" s="799"/>
      <c r="AG443" s="800"/>
      <c r="AH443" s="800"/>
      <c r="AI443" s="800"/>
      <c r="AJ443" s="800"/>
      <c r="AK443" s="800"/>
      <c r="AL443" s="914"/>
      <c r="AM443" s="914"/>
      <c r="AN443" s="914"/>
      <c r="AO443" s="914"/>
      <c r="AP443" s="914"/>
      <c r="AQ443" s="1421"/>
      <c r="AR443" s="1373"/>
      <c r="AS443" s="1373"/>
      <c r="AT443" s="1373"/>
      <c r="AU443" s="1780"/>
      <c r="AV443" s="808"/>
      <c r="AW443" s="800"/>
      <c r="AX443" s="800"/>
      <c r="AY443" s="800"/>
      <c r="AZ443" s="914"/>
      <c r="BA443" s="800"/>
      <c r="BB443" s="800"/>
      <c r="BC443" s="800"/>
      <c r="BD443" s="800"/>
      <c r="BE443" s="914"/>
      <c r="BF443" s="800"/>
      <c r="BG443" s="800"/>
      <c r="BH443" s="800"/>
      <c r="BI443" s="800"/>
      <c r="BJ443" s="914"/>
      <c r="BK443" s="915"/>
      <c r="BL443" s="1376"/>
      <c r="BM443" s="1377"/>
      <c r="BN443" s="1377"/>
      <c r="BO443" s="1377"/>
      <c r="BP443" s="1440"/>
      <c r="BQ443" s="1420"/>
      <c r="BR443" s="1368"/>
      <c r="BS443" s="1368"/>
      <c r="BT443" s="1368"/>
      <c r="BU443" s="1369"/>
      <c r="BV443" s="1421"/>
      <c r="BW443" s="1373"/>
      <c r="BX443" s="1373"/>
      <c r="BY443" s="1373"/>
      <c r="BZ443" s="1373"/>
      <c r="CA443" s="1420"/>
      <c r="CB443" s="1368"/>
      <c r="CC443" s="1368"/>
      <c r="CD443" s="1368"/>
      <c r="CE443" s="1369"/>
      <c r="CF443" s="1368"/>
      <c r="CG443" s="1368"/>
      <c r="CH443" s="1368"/>
      <c r="CI443" s="1368"/>
      <c r="CJ443" s="1369"/>
      <c r="CK443" s="1420"/>
      <c r="CL443" s="1368"/>
      <c r="CM443" s="1368"/>
      <c r="CN443" s="1368"/>
      <c r="CO443" s="1369"/>
      <c r="CP443" s="1420"/>
      <c r="CQ443" s="1368"/>
      <c r="CR443" s="1368"/>
      <c r="CS443" s="1368"/>
      <c r="CT443" s="1369"/>
      <c r="CU443" s="1528"/>
      <c r="CV443" s="1519"/>
      <c r="CW443" s="1519"/>
      <c r="CX443" s="1728"/>
      <c r="CY443" s="1519"/>
      <c r="CZ443" s="1519"/>
      <c r="DA443" s="1519"/>
      <c r="DB443" s="1728"/>
      <c r="DC443" s="1377"/>
      <c r="DD443" s="1729"/>
      <c r="DE443" s="1734"/>
    </row>
    <row r="444" spans="1:109" ht="78.75" hidden="1">
      <c r="A444" s="772" t="s">
        <v>1045</v>
      </c>
      <c r="B444" s="773">
        <v>438</v>
      </c>
      <c r="C444" s="789" t="s">
        <v>3785</v>
      </c>
      <c r="D444" s="773" t="s">
        <v>3781</v>
      </c>
      <c r="E444" s="773" t="s">
        <v>1907</v>
      </c>
      <c r="F444" s="785" t="s">
        <v>3786</v>
      </c>
      <c r="G444" s="790" t="s">
        <v>167</v>
      </c>
      <c r="H444" s="791" t="s">
        <v>3787</v>
      </c>
      <c r="I444" s="792">
        <v>0.11</v>
      </c>
      <c r="J444" s="793">
        <v>0.89</v>
      </c>
      <c r="K444" s="793"/>
      <c r="L444" s="793"/>
      <c r="M444" s="793"/>
      <c r="N444" s="793"/>
      <c r="O444" s="793"/>
      <c r="P444" s="794"/>
      <c r="Q444" s="795">
        <f t="shared" si="6"/>
        <v>1</v>
      </c>
      <c r="R444" s="789" t="s">
        <v>1026</v>
      </c>
      <c r="S444" s="773" t="s">
        <v>1008</v>
      </c>
      <c r="T444" s="796" t="s">
        <v>1009</v>
      </c>
      <c r="U444" s="773" t="s">
        <v>1915</v>
      </c>
      <c r="V444" s="773" t="s">
        <v>278</v>
      </c>
      <c r="W444" s="773" t="s">
        <v>1146</v>
      </c>
      <c r="X444" s="1311">
        <v>2</v>
      </c>
      <c r="Y444" s="821" t="s">
        <v>1020</v>
      </c>
      <c r="Z444" s="790" t="s">
        <v>167</v>
      </c>
      <c r="AA444" s="785"/>
      <c r="AB444" s="785"/>
      <c r="AC444" s="785"/>
      <c r="AD444" s="785"/>
      <c r="AE444" s="785"/>
      <c r="AF444" s="799"/>
      <c r="AG444" s="800"/>
      <c r="AH444" s="800"/>
      <c r="AI444" s="800"/>
      <c r="AJ444" s="800"/>
      <c r="AK444" s="800"/>
      <c r="AL444" s="800"/>
      <c r="AM444" s="800"/>
      <c r="AN444" s="800"/>
      <c r="AO444" s="800"/>
      <c r="AP444" s="914"/>
      <c r="AQ444" s="1421"/>
      <c r="AR444" s="1373"/>
      <c r="AS444" s="1373"/>
      <c r="AT444" s="1373"/>
      <c r="AU444" s="1374"/>
      <c r="AV444" s="808"/>
      <c r="AW444" s="800"/>
      <c r="AX444" s="914"/>
      <c r="AY444" s="800"/>
      <c r="AZ444" s="800"/>
      <c r="BA444" s="914"/>
      <c r="BB444" s="914"/>
      <c r="BC444" s="914"/>
      <c r="BD444" s="914"/>
      <c r="BE444" s="914"/>
      <c r="BF444" s="800"/>
      <c r="BG444" s="800"/>
      <c r="BH444" s="800"/>
      <c r="BI444" s="800"/>
      <c r="BJ444" s="800"/>
      <c r="BK444" s="805"/>
      <c r="BL444" s="1376"/>
      <c r="BM444" s="1377"/>
      <c r="BN444" s="1377"/>
      <c r="BO444" s="1377"/>
      <c r="BP444" s="1440"/>
      <c r="BQ444" s="1420"/>
      <c r="BR444" s="1368"/>
      <c r="BS444" s="1368"/>
      <c r="BT444" s="1368"/>
      <c r="BU444" s="1369"/>
      <c r="BV444" s="1421"/>
      <c r="BW444" s="1373"/>
      <c r="BX444" s="1373"/>
      <c r="BY444" s="1373"/>
      <c r="BZ444" s="1373"/>
      <c r="CA444" s="1420"/>
      <c r="CB444" s="1368"/>
      <c r="CC444" s="1368"/>
      <c r="CD444" s="1368"/>
      <c r="CE444" s="1369"/>
      <c r="CF444" s="1368"/>
      <c r="CG444" s="1368"/>
      <c r="CH444" s="1368"/>
      <c r="CI444" s="1368"/>
      <c r="CJ444" s="1369"/>
      <c r="CK444" s="1420"/>
      <c r="CL444" s="1368"/>
      <c r="CM444" s="1368"/>
      <c r="CN444" s="1368"/>
      <c r="CO444" s="1369"/>
      <c r="CP444" s="1420"/>
      <c r="CQ444" s="1368"/>
      <c r="CR444" s="1368"/>
      <c r="CS444" s="1368"/>
      <c r="CT444" s="1369"/>
      <c r="CU444" s="1528"/>
      <c r="CV444" s="1519"/>
      <c r="CW444" s="1519"/>
      <c r="CX444" s="1728"/>
      <c r="CY444" s="1519"/>
      <c r="CZ444" s="1519"/>
      <c r="DA444" s="1519"/>
      <c r="DB444" s="1728"/>
      <c r="DC444" s="1377"/>
      <c r="DD444" s="1729"/>
      <c r="DE444" s="1734"/>
    </row>
    <row r="445" spans="1:109" ht="91.9" hidden="1">
      <c r="A445" s="772" t="s">
        <v>1045</v>
      </c>
      <c r="B445" s="773">
        <v>439</v>
      </c>
      <c r="C445" s="789" t="s">
        <v>3788</v>
      </c>
      <c r="D445" s="773" t="s">
        <v>3781</v>
      </c>
      <c r="E445" s="773" t="s">
        <v>1889</v>
      </c>
      <c r="F445" s="785" t="s">
        <v>3789</v>
      </c>
      <c r="G445" s="790" t="s">
        <v>137</v>
      </c>
      <c r="H445" s="791" t="s">
        <v>3790</v>
      </c>
      <c r="I445" s="792"/>
      <c r="J445" s="793">
        <v>1</v>
      </c>
      <c r="K445" s="793"/>
      <c r="L445" s="793"/>
      <c r="M445" s="793"/>
      <c r="N445" s="793"/>
      <c r="O445" s="793"/>
      <c r="P445" s="794"/>
      <c r="Q445" s="795">
        <f t="shared" si="6"/>
        <v>1</v>
      </c>
      <c r="R445" s="789" t="s">
        <v>1030</v>
      </c>
      <c r="S445" s="773" t="s">
        <v>1008</v>
      </c>
      <c r="T445" s="796" t="s">
        <v>1009</v>
      </c>
      <c r="U445" s="773" t="s">
        <v>1892</v>
      </c>
      <c r="V445" s="773" t="s">
        <v>1029</v>
      </c>
      <c r="W445" s="773" t="s">
        <v>3791</v>
      </c>
      <c r="X445" s="1311">
        <v>0</v>
      </c>
      <c r="Y445" s="819" t="s">
        <v>1020</v>
      </c>
      <c r="Z445" s="790" t="s">
        <v>137</v>
      </c>
      <c r="AA445" s="785"/>
      <c r="AB445" s="785"/>
      <c r="AC445" s="785"/>
      <c r="AD445" s="785"/>
      <c r="AE445" s="785"/>
      <c r="AF445" s="799"/>
      <c r="AG445" s="800"/>
      <c r="AH445" s="800"/>
      <c r="AI445" s="800"/>
      <c r="AJ445" s="800"/>
      <c r="AK445" s="800"/>
      <c r="AL445" s="800"/>
      <c r="AM445" s="845"/>
      <c r="AN445" s="845"/>
      <c r="AO445" s="845"/>
      <c r="AP445" s="845"/>
      <c r="AQ445" s="1370"/>
      <c r="AR445" s="1371"/>
      <c r="AS445" s="1371"/>
      <c r="AT445" s="1371"/>
      <c r="AU445" s="1372"/>
      <c r="AV445" s="846"/>
      <c r="AW445" s="845"/>
      <c r="AX445" s="845"/>
      <c r="AY445" s="845"/>
      <c r="AZ445" s="845"/>
      <c r="BA445" s="845"/>
      <c r="BB445" s="845"/>
      <c r="BC445" s="845"/>
      <c r="BD445" s="845"/>
      <c r="BE445" s="921"/>
      <c r="BF445" s="845"/>
      <c r="BG445" s="845"/>
      <c r="BH445" s="845"/>
      <c r="BI445" s="845"/>
      <c r="BJ445" s="845"/>
      <c r="BK445" s="922"/>
      <c r="BL445" s="1376"/>
      <c r="BM445" s="1377"/>
      <c r="BN445" s="1377"/>
      <c r="BO445" s="1377"/>
      <c r="BP445" s="1440"/>
      <c r="BQ445" s="1420"/>
      <c r="BR445" s="1368"/>
      <c r="BS445" s="1368"/>
      <c r="BT445" s="1368"/>
      <c r="BU445" s="1369"/>
      <c r="BV445" s="1370"/>
      <c r="BW445" s="1371"/>
      <c r="BX445" s="1371"/>
      <c r="BY445" s="1371"/>
      <c r="BZ445" s="1371"/>
      <c r="CA445" s="1370"/>
      <c r="CB445" s="1371"/>
      <c r="CC445" s="1371"/>
      <c r="CD445" s="1371"/>
      <c r="CE445" s="1372"/>
      <c r="CF445" s="1371"/>
      <c r="CG445" s="1371"/>
      <c r="CH445" s="1371"/>
      <c r="CI445" s="1371"/>
      <c r="CJ445" s="1372"/>
      <c r="CK445" s="1370"/>
      <c r="CL445" s="1371"/>
      <c r="CM445" s="1371"/>
      <c r="CN445" s="1371"/>
      <c r="CO445" s="1372"/>
      <c r="CP445" s="1420"/>
      <c r="CQ445" s="1368"/>
      <c r="CR445" s="1368"/>
      <c r="CS445" s="1368"/>
      <c r="CT445" s="1369"/>
      <c r="CU445" s="1528"/>
      <c r="CV445" s="1519"/>
      <c r="CW445" s="1519"/>
      <c r="CX445" s="1728"/>
      <c r="CY445" s="1519"/>
      <c r="CZ445" s="1519"/>
      <c r="DA445" s="1519"/>
      <c r="DB445" s="1728"/>
      <c r="DC445" s="1377"/>
      <c r="DD445" s="1729"/>
      <c r="DE445" s="1734"/>
    </row>
    <row r="446" spans="1:109" ht="52.5" hidden="1">
      <c r="A446" s="772" t="s">
        <v>1045</v>
      </c>
      <c r="B446" s="773">
        <v>440</v>
      </c>
      <c r="C446" s="789" t="s">
        <v>3792</v>
      </c>
      <c r="D446" s="773" t="s">
        <v>3781</v>
      </c>
      <c r="E446" s="773" t="s">
        <v>1889</v>
      </c>
      <c r="F446" s="785" t="s">
        <v>3793</v>
      </c>
      <c r="G446" s="790" t="s">
        <v>669</v>
      </c>
      <c r="H446" s="791" t="s">
        <v>3794</v>
      </c>
      <c r="I446" s="792"/>
      <c r="J446" s="793">
        <v>1</v>
      </c>
      <c r="K446" s="793"/>
      <c r="L446" s="793"/>
      <c r="M446" s="793"/>
      <c r="N446" s="793"/>
      <c r="O446" s="793"/>
      <c r="P446" s="794"/>
      <c r="Q446" s="795">
        <f t="shared" si="6"/>
        <v>1</v>
      </c>
      <c r="R446" s="789" t="s">
        <v>1030</v>
      </c>
      <c r="S446" s="773" t="s">
        <v>1008</v>
      </c>
      <c r="T446" s="796" t="s">
        <v>1009</v>
      </c>
      <c r="U446" s="773" t="s">
        <v>669</v>
      </c>
      <c r="V446" s="773" t="s">
        <v>1033</v>
      </c>
      <c r="W446" s="773" t="s">
        <v>3795</v>
      </c>
      <c r="X446" s="1311">
        <v>1</v>
      </c>
      <c r="Y446" s="819" t="s">
        <v>1020</v>
      </c>
      <c r="Z446" s="790" t="s">
        <v>669</v>
      </c>
      <c r="AA446" s="785"/>
      <c r="AB446" s="785"/>
      <c r="AC446" s="785"/>
      <c r="AD446" s="785"/>
      <c r="AE446" s="785"/>
      <c r="AF446" s="799"/>
      <c r="AG446" s="800"/>
      <c r="AH446" s="800"/>
      <c r="AI446" s="800"/>
      <c r="AJ446" s="800"/>
      <c r="AK446" s="800"/>
      <c r="AL446" s="800"/>
      <c r="AM446" s="800"/>
      <c r="AN446" s="914"/>
      <c r="AO446" s="800"/>
      <c r="AP446" s="807"/>
      <c r="AQ446" s="1421"/>
      <c r="AR446" s="1373"/>
      <c r="AS446" s="1373"/>
      <c r="AT446" s="1373"/>
      <c r="AU446" s="1374"/>
      <c r="AV446" s="808"/>
      <c r="AW446" s="800"/>
      <c r="AX446" s="800"/>
      <c r="AY446" s="800"/>
      <c r="AZ446" s="800"/>
      <c r="BA446" s="800"/>
      <c r="BB446" s="800"/>
      <c r="BC446" s="800"/>
      <c r="BD446" s="800"/>
      <c r="BE446" s="800"/>
      <c r="BF446" s="800"/>
      <c r="BG446" s="800"/>
      <c r="BH446" s="800"/>
      <c r="BI446" s="800"/>
      <c r="BJ446" s="800"/>
      <c r="BK446" s="805"/>
      <c r="BL446" s="1376"/>
      <c r="BM446" s="1377"/>
      <c r="BN446" s="1377"/>
      <c r="BO446" s="1377"/>
      <c r="BP446" s="1440"/>
      <c r="BQ446" s="1420"/>
      <c r="BR446" s="1368"/>
      <c r="BS446" s="1368"/>
      <c r="BT446" s="1368"/>
      <c r="BU446" s="1369"/>
      <c r="BV446" s="1421"/>
      <c r="BW446" s="1373"/>
      <c r="BX446" s="1373"/>
      <c r="BY446" s="1373"/>
      <c r="BZ446" s="1373"/>
      <c r="CA446" s="1420"/>
      <c r="CB446" s="1368"/>
      <c r="CC446" s="1368"/>
      <c r="CD446" s="1368"/>
      <c r="CE446" s="1369"/>
      <c r="CF446" s="1368"/>
      <c r="CG446" s="1368"/>
      <c r="CH446" s="1368"/>
      <c r="CI446" s="1368"/>
      <c r="CJ446" s="1369"/>
      <c r="CK446" s="1725"/>
      <c r="CL446" s="1726"/>
      <c r="CM446" s="1726"/>
      <c r="CN446" s="1726"/>
      <c r="CO446" s="1727"/>
      <c r="CP446" s="1420"/>
      <c r="CQ446" s="1368"/>
      <c r="CR446" s="1368"/>
      <c r="CS446" s="1368"/>
      <c r="CT446" s="1369"/>
      <c r="CU446" s="1528"/>
      <c r="CV446" s="1519"/>
      <c r="CW446" s="1519"/>
      <c r="CX446" s="1728"/>
      <c r="CY446" s="1519"/>
      <c r="CZ446" s="1519"/>
      <c r="DA446" s="1519"/>
      <c r="DB446" s="1728"/>
      <c r="DC446" s="1377"/>
      <c r="DD446" s="1729"/>
      <c r="DE446" s="1734"/>
    </row>
    <row r="447" spans="1:109" ht="39.4" hidden="1">
      <c r="A447" s="772" t="s">
        <v>1045</v>
      </c>
      <c r="B447" s="773">
        <v>441</v>
      </c>
      <c r="C447" s="789" t="s">
        <v>3796</v>
      </c>
      <c r="D447" s="773" t="s">
        <v>3781</v>
      </c>
      <c r="E447" s="773" t="s">
        <v>1907</v>
      </c>
      <c r="F447" s="785" t="s">
        <v>3797</v>
      </c>
      <c r="G447" s="790" t="s">
        <v>1902</v>
      </c>
      <c r="H447" s="791" t="s">
        <v>3798</v>
      </c>
      <c r="I447" s="792"/>
      <c r="J447" s="793">
        <v>1</v>
      </c>
      <c r="K447" s="793"/>
      <c r="L447" s="793"/>
      <c r="M447" s="793"/>
      <c r="N447" s="793"/>
      <c r="O447" s="793"/>
      <c r="P447" s="794"/>
      <c r="Q447" s="795">
        <f t="shared" si="6"/>
        <v>1</v>
      </c>
      <c r="R447" s="789" t="s">
        <v>1030</v>
      </c>
      <c r="S447" s="773" t="s">
        <v>1008</v>
      </c>
      <c r="T447" s="1440" t="s">
        <v>1019</v>
      </c>
      <c r="U447" s="773" t="s">
        <v>2054</v>
      </c>
      <c r="V447" s="773" t="s">
        <v>1033</v>
      </c>
      <c r="W447" s="773" t="s">
        <v>3799</v>
      </c>
      <c r="X447" s="1311">
        <v>1</v>
      </c>
      <c r="Y447" s="826" t="s">
        <v>1020</v>
      </c>
      <c r="Z447" s="790" t="s">
        <v>1902</v>
      </c>
      <c r="AA447" s="785"/>
      <c r="AB447" s="785"/>
      <c r="AC447" s="785"/>
      <c r="AD447" s="785"/>
      <c r="AE447" s="785"/>
      <c r="AF447" s="799"/>
      <c r="AG447" s="800"/>
      <c r="AH447" s="800"/>
      <c r="AI447" s="800"/>
      <c r="AJ447" s="800"/>
      <c r="AK447" s="800"/>
      <c r="AL447" s="800"/>
      <c r="AM447" s="800"/>
      <c r="AN447" s="914"/>
      <c r="AO447" s="914"/>
      <c r="AP447" s="914"/>
      <c r="AQ447" s="1420"/>
      <c r="AR447" s="1368"/>
      <c r="AS447" s="1368"/>
      <c r="AT447" s="1368"/>
      <c r="AU447" s="1369"/>
      <c r="AV447" s="808"/>
      <c r="AW447" s="800"/>
      <c r="AX447" s="800"/>
      <c r="AY447" s="800"/>
      <c r="AZ447" s="800"/>
      <c r="BA447" s="800"/>
      <c r="BB447" s="800"/>
      <c r="BC447" s="800"/>
      <c r="BD447" s="800"/>
      <c r="BE447" s="800"/>
      <c r="BF447" s="800"/>
      <c r="BG447" s="800"/>
      <c r="BH447" s="800"/>
      <c r="BI447" s="800"/>
      <c r="BJ447" s="800"/>
      <c r="BK447" s="805"/>
      <c r="BL447" s="1376"/>
      <c r="BM447" s="1377"/>
      <c r="BN447" s="1377"/>
      <c r="BO447" s="1377"/>
      <c r="BP447" s="1440"/>
      <c r="BQ447" s="1420"/>
      <c r="BR447" s="1368"/>
      <c r="BS447" s="1368"/>
      <c r="BT447" s="1368"/>
      <c r="BU447" s="1369"/>
      <c r="BV447" s="1421"/>
      <c r="BW447" s="1373"/>
      <c r="BX447" s="1373"/>
      <c r="BY447" s="1373"/>
      <c r="BZ447" s="1373"/>
      <c r="CA447" s="1420"/>
      <c r="CB447" s="1368"/>
      <c r="CC447" s="1368"/>
      <c r="CD447" s="1368"/>
      <c r="CE447" s="1369"/>
      <c r="CF447" s="1368"/>
      <c r="CG447" s="1368"/>
      <c r="CH447" s="1368"/>
      <c r="CI447" s="1368"/>
      <c r="CJ447" s="1369"/>
      <c r="CK447" s="1420"/>
      <c r="CL447" s="1368"/>
      <c r="CM447" s="1368"/>
      <c r="CN447" s="1368"/>
      <c r="CO447" s="1369"/>
      <c r="CP447" s="1420"/>
      <c r="CQ447" s="1368"/>
      <c r="CR447" s="1368"/>
      <c r="CS447" s="1368"/>
      <c r="CT447" s="1369"/>
      <c r="CU447" s="1528"/>
      <c r="CV447" s="1519"/>
      <c r="CW447" s="1519"/>
      <c r="CX447" s="1728"/>
      <c r="CY447" s="1519"/>
      <c r="CZ447" s="1519"/>
      <c r="DA447" s="1519"/>
      <c r="DB447" s="1728"/>
      <c r="DC447" s="1377"/>
      <c r="DD447" s="1729"/>
      <c r="DE447" s="1734"/>
    </row>
    <row r="448" spans="1:109" ht="105" hidden="1">
      <c r="A448" s="772" t="s">
        <v>1045</v>
      </c>
      <c r="B448" s="773">
        <v>442</v>
      </c>
      <c r="C448" s="789" t="s">
        <v>3800</v>
      </c>
      <c r="D448" s="773" t="s">
        <v>3781</v>
      </c>
      <c r="E448" s="773" t="s">
        <v>1907</v>
      </c>
      <c r="F448" s="785" t="s">
        <v>3801</v>
      </c>
      <c r="G448" s="790" t="s">
        <v>130</v>
      </c>
      <c r="H448" s="791" t="s">
        <v>3802</v>
      </c>
      <c r="I448" s="792">
        <v>0.02</v>
      </c>
      <c r="J448" s="793">
        <v>0.98</v>
      </c>
      <c r="K448" s="793"/>
      <c r="L448" s="793"/>
      <c r="M448" s="793"/>
      <c r="N448" s="793"/>
      <c r="O448" s="793"/>
      <c r="P448" s="794"/>
      <c r="Q448" s="795">
        <f t="shared" si="6"/>
        <v>1</v>
      </c>
      <c r="R448" s="789" t="s">
        <v>1026</v>
      </c>
      <c r="S448" s="773" t="s">
        <v>1008</v>
      </c>
      <c r="T448" s="796" t="s">
        <v>1009</v>
      </c>
      <c r="U448" s="773" t="s">
        <v>1926</v>
      </c>
      <c r="V448" s="773" t="s">
        <v>1081</v>
      </c>
      <c r="W448" s="773" t="s">
        <v>1927</v>
      </c>
      <c r="X448" s="1310">
        <v>2</v>
      </c>
      <c r="Y448" s="821" t="s">
        <v>1020</v>
      </c>
      <c r="Z448" s="790" t="s">
        <v>130</v>
      </c>
      <c r="AA448" s="785"/>
      <c r="AB448" s="785"/>
      <c r="AC448" s="785"/>
      <c r="AD448" s="785"/>
      <c r="AE448" s="785"/>
      <c r="AF448" s="799"/>
      <c r="AG448" s="800"/>
      <c r="AH448" s="800"/>
      <c r="AI448" s="800"/>
      <c r="AJ448" s="800"/>
      <c r="AK448" s="800"/>
      <c r="AL448" s="800"/>
      <c r="AM448" s="800"/>
      <c r="AN448" s="800"/>
      <c r="AO448" s="800"/>
      <c r="AP448" s="800"/>
      <c r="AQ448" s="1420"/>
      <c r="AR448" s="1368"/>
      <c r="AS448" s="1368"/>
      <c r="AT448" s="1368"/>
      <c r="AU448" s="1369"/>
      <c r="AV448" s="808"/>
      <c r="AW448" s="800"/>
      <c r="AX448" s="800"/>
      <c r="AY448" s="800"/>
      <c r="AZ448" s="800"/>
      <c r="BA448" s="800"/>
      <c r="BB448" s="800"/>
      <c r="BC448" s="800"/>
      <c r="BD448" s="800"/>
      <c r="BE448" s="800"/>
      <c r="BF448" s="800"/>
      <c r="BG448" s="800"/>
      <c r="BH448" s="800"/>
      <c r="BI448" s="800"/>
      <c r="BJ448" s="800"/>
      <c r="BK448" s="805"/>
      <c r="BL448" s="1376"/>
      <c r="BM448" s="1377"/>
      <c r="BN448" s="1377"/>
      <c r="BO448" s="1377"/>
      <c r="BP448" s="1440"/>
      <c r="BQ448" s="1420"/>
      <c r="BR448" s="1368"/>
      <c r="BS448" s="1368"/>
      <c r="BT448" s="1368"/>
      <c r="BU448" s="1369"/>
      <c r="BV448" s="1420"/>
      <c r="BW448" s="1368"/>
      <c r="BX448" s="1368"/>
      <c r="BY448" s="1368"/>
      <c r="BZ448" s="1368"/>
      <c r="CA448" s="1420"/>
      <c r="CB448" s="1368"/>
      <c r="CC448" s="1368"/>
      <c r="CD448" s="1368"/>
      <c r="CE448" s="1369"/>
      <c r="CF448" s="1368"/>
      <c r="CG448" s="1368"/>
      <c r="CH448" s="1368"/>
      <c r="CI448" s="1368"/>
      <c r="CJ448" s="1369"/>
      <c r="CK448" s="1420"/>
      <c r="CL448" s="1368"/>
      <c r="CM448" s="1368"/>
      <c r="CN448" s="1368"/>
      <c r="CO448" s="1369"/>
      <c r="CP448" s="1420"/>
      <c r="CQ448" s="1368"/>
      <c r="CR448" s="1368"/>
      <c r="CS448" s="1368"/>
      <c r="CT448" s="1369"/>
      <c r="CU448" s="1528"/>
      <c r="CV448" s="1519"/>
      <c r="CW448" s="1519"/>
      <c r="CX448" s="1728"/>
      <c r="CY448" s="1519"/>
      <c r="CZ448" s="1519"/>
      <c r="DA448" s="1519"/>
      <c r="DB448" s="1728"/>
      <c r="DC448" s="1377"/>
      <c r="DD448" s="1729"/>
      <c r="DE448" s="1734"/>
    </row>
    <row r="449" spans="1:109" ht="39.4" hidden="1">
      <c r="A449" s="772" t="s">
        <v>1045</v>
      </c>
      <c r="B449" s="773">
        <v>443</v>
      </c>
      <c r="C449" s="789" t="s">
        <v>3803</v>
      </c>
      <c r="D449" s="773" t="s">
        <v>3781</v>
      </c>
      <c r="E449" s="773" t="s">
        <v>1896</v>
      </c>
      <c r="F449" s="785" t="s">
        <v>3804</v>
      </c>
      <c r="G449" s="790" t="s">
        <v>1983</v>
      </c>
      <c r="H449" s="791" t="s">
        <v>3805</v>
      </c>
      <c r="I449" s="792">
        <v>0.02</v>
      </c>
      <c r="J449" s="793">
        <v>0.98</v>
      </c>
      <c r="K449" s="793"/>
      <c r="L449" s="793"/>
      <c r="M449" s="793"/>
      <c r="N449" s="793"/>
      <c r="O449" s="793"/>
      <c r="P449" s="794"/>
      <c r="Q449" s="795">
        <f t="shared" si="6"/>
        <v>1</v>
      </c>
      <c r="R449" s="789" t="s">
        <v>1026</v>
      </c>
      <c r="S449" s="773" t="s">
        <v>1008</v>
      </c>
      <c r="T449" s="796" t="s">
        <v>1009</v>
      </c>
      <c r="U449" s="773" t="s">
        <v>1985</v>
      </c>
      <c r="V449" s="773" t="s">
        <v>1033</v>
      </c>
      <c r="W449" s="773" t="s">
        <v>3806</v>
      </c>
      <c r="X449" s="1310">
        <v>0</v>
      </c>
      <c r="Y449" s="821" t="s">
        <v>1020</v>
      </c>
      <c r="Z449" s="790" t="s">
        <v>1987</v>
      </c>
      <c r="AA449" s="785"/>
      <c r="AB449" s="785"/>
      <c r="AC449" s="785"/>
      <c r="AD449" s="785"/>
      <c r="AE449" s="785"/>
      <c r="AF449" s="799"/>
      <c r="AG449" s="800"/>
      <c r="AH449" s="800"/>
      <c r="AI449" s="800"/>
      <c r="AJ449" s="800"/>
      <c r="AK449" s="800"/>
      <c r="AL449" s="800"/>
      <c r="AM449" s="800"/>
      <c r="AN449" s="800"/>
      <c r="AO449" s="800"/>
      <c r="AP449" s="800"/>
      <c r="AQ449" s="808">
        <v>34</v>
      </c>
      <c r="AR449" s="800">
        <v>34</v>
      </c>
      <c r="AS449" s="800">
        <v>34</v>
      </c>
      <c r="AT449" s="800">
        <v>34</v>
      </c>
      <c r="AU449" s="805">
        <v>34</v>
      </c>
      <c r="AV449" s="808"/>
      <c r="AW449" s="800"/>
      <c r="AX449" s="800"/>
      <c r="AY449" s="800"/>
      <c r="AZ449" s="800"/>
      <c r="BA449" s="800"/>
      <c r="BB449" s="800"/>
      <c r="BC449" s="800"/>
      <c r="BD449" s="800"/>
      <c r="BE449" s="800"/>
      <c r="BF449" s="800"/>
      <c r="BG449" s="800"/>
      <c r="BH449" s="800"/>
      <c r="BI449" s="800"/>
      <c r="BJ449" s="800"/>
      <c r="BK449" s="805"/>
      <c r="BL449" s="789" t="s">
        <v>168</v>
      </c>
      <c r="BM449" s="785" t="s">
        <v>168</v>
      </c>
      <c r="BN449" s="785" t="s">
        <v>168</v>
      </c>
      <c r="BO449" s="785" t="s">
        <v>168</v>
      </c>
      <c r="BP449" s="796" t="s">
        <v>168</v>
      </c>
      <c r="BQ449" s="808" t="s">
        <v>1942</v>
      </c>
      <c r="BR449" s="800" t="s">
        <v>1942</v>
      </c>
      <c r="BS449" s="800" t="s">
        <v>1942</v>
      </c>
      <c r="BT449" s="800" t="s">
        <v>1942</v>
      </c>
      <c r="BU449" s="805" t="s">
        <v>1942</v>
      </c>
      <c r="BV449" s="808" t="s">
        <v>1942</v>
      </c>
      <c r="BW449" s="800" t="s">
        <v>1942</v>
      </c>
      <c r="BX449" s="800" t="s">
        <v>1942</v>
      </c>
      <c r="BY449" s="800" t="s">
        <v>1942</v>
      </c>
      <c r="BZ449" s="800" t="s">
        <v>1942</v>
      </c>
      <c r="CA449" s="808" t="s">
        <v>1942</v>
      </c>
      <c r="CB449" s="800" t="s">
        <v>1942</v>
      </c>
      <c r="CC449" s="800" t="s">
        <v>1942</v>
      </c>
      <c r="CD449" s="800" t="s">
        <v>1942</v>
      </c>
      <c r="CE449" s="805" t="s">
        <v>1942</v>
      </c>
      <c r="CF449" s="800" t="s">
        <v>1942</v>
      </c>
      <c r="CG449" s="800" t="s">
        <v>1942</v>
      </c>
      <c r="CH449" s="800" t="s">
        <v>1942</v>
      </c>
      <c r="CI449" s="800" t="s">
        <v>1942</v>
      </c>
      <c r="CJ449" s="800" t="s">
        <v>1942</v>
      </c>
      <c r="CK449" s="808" t="s">
        <v>1942</v>
      </c>
      <c r="CL449" s="800" t="s">
        <v>1942</v>
      </c>
      <c r="CM449" s="800" t="s">
        <v>1942</v>
      </c>
      <c r="CN449" s="800" t="s">
        <v>1942</v>
      </c>
      <c r="CO449" s="805" t="s">
        <v>1942</v>
      </c>
      <c r="CP449" s="808" t="s">
        <v>1942</v>
      </c>
      <c r="CQ449" s="800" t="s">
        <v>1942</v>
      </c>
      <c r="CR449" s="800" t="s">
        <v>1942</v>
      </c>
      <c r="CS449" s="800" t="s">
        <v>1942</v>
      </c>
      <c r="CT449" s="805" t="s">
        <v>1942</v>
      </c>
      <c r="CU449" s="1284">
        <v>-1.0300000000000001E-3</v>
      </c>
      <c r="CV449" s="1283" t="s">
        <v>1942</v>
      </c>
      <c r="CW449" s="1283" t="s">
        <v>1942</v>
      </c>
      <c r="CX449" s="1285" t="s">
        <v>1942</v>
      </c>
      <c r="CY449" s="1283" t="s">
        <v>1942</v>
      </c>
      <c r="CZ449" s="1283" t="s">
        <v>1942</v>
      </c>
      <c r="DA449" s="1283" t="s">
        <v>1942</v>
      </c>
      <c r="DB449" s="1285" t="s">
        <v>1942</v>
      </c>
      <c r="DC449" s="785" t="s">
        <v>131</v>
      </c>
      <c r="DD449" s="813">
        <v>1</v>
      </c>
      <c r="DE449" s="814"/>
    </row>
    <row r="450" spans="1:109" ht="105" hidden="1">
      <c r="A450" s="772" t="s">
        <v>1045</v>
      </c>
      <c r="B450" s="773">
        <v>444</v>
      </c>
      <c r="C450" s="789" t="s">
        <v>3807</v>
      </c>
      <c r="D450" s="773" t="s">
        <v>3781</v>
      </c>
      <c r="E450" s="773" t="s">
        <v>1907</v>
      </c>
      <c r="F450" s="785" t="s">
        <v>3808</v>
      </c>
      <c r="G450" s="790" t="s">
        <v>3809</v>
      </c>
      <c r="H450" s="791" t="s">
        <v>3810</v>
      </c>
      <c r="I450" s="792">
        <v>0.01</v>
      </c>
      <c r="J450" s="793">
        <v>0.99</v>
      </c>
      <c r="K450" s="793"/>
      <c r="L450" s="793"/>
      <c r="M450" s="793"/>
      <c r="N450" s="793"/>
      <c r="O450" s="793"/>
      <c r="P450" s="794"/>
      <c r="Q450" s="795">
        <f t="shared" si="6"/>
        <v>1</v>
      </c>
      <c r="R450" s="789" t="s">
        <v>1026</v>
      </c>
      <c r="S450" s="773" t="s">
        <v>1008</v>
      </c>
      <c r="T450" s="796" t="s">
        <v>1009</v>
      </c>
      <c r="U450" s="773" t="s">
        <v>2149</v>
      </c>
      <c r="V450" s="773" t="s">
        <v>1033</v>
      </c>
      <c r="W450" s="773" t="s">
        <v>3811</v>
      </c>
      <c r="X450" s="1310">
        <v>2</v>
      </c>
      <c r="Y450" s="821" t="s">
        <v>1020</v>
      </c>
      <c r="Z450" s="790" t="s">
        <v>2002</v>
      </c>
      <c r="AA450" s="785"/>
      <c r="AB450" s="785"/>
      <c r="AC450" s="785"/>
      <c r="AD450" s="785"/>
      <c r="AE450" s="785"/>
      <c r="AF450" s="799"/>
      <c r="AG450" s="800"/>
      <c r="AH450" s="800"/>
      <c r="AI450" s="800"/>
      <c r="AJ450" s="800"/>
      <c r="AK450" s="797"/>
      <c r="AL450" s="914"/>
      <c r="AM450" s="914"/>
      <c r="AN450" s="914"/>
      <c r="AO450" s="914"/>
      <c r="AP450" s="923"/>
      <c r="AQ450" s="808">
        <v>0.6</v>
      </c>
      <c r="AR450" s="923">
        <v>0.6</v>
      </c>
      <c r="AS450" s="923">
        <v>0.6</v>
      </c>
      <c r="AT450" s="923">
        <v>0.6</v>
      </c>
      <c r="AU450" s="884">
        <v>0.6</v>
      </c>
      <c r="AV450" s="924"/>
      <c r="AW450" s="923"/>
      <c r="AX450" s="923"/>
      <c r="AY450" s="923"/>
      <c r="AZ450" s="923"/>
      <c r="BA450" s="923"/>
      <c r="BB450" s="923"/>
      <c r="BC450" s="923"/>
      <c r="BD450" s="923"/>
      <c r="BE450" s="923"/>
      <c r="BF450" s="923"/>
      <c r="BG450" s="923"/>
      <c r="BH450" s="923"/>
      <c r="BI450" s="923"/>
      <c r="BJ450" s="923"/>
      <c r="BK450" s="820"/>
      <c r="BL450" s="789" t="s">
        <v>168</v>
      </c>
      <c r="BM450" s="785" t="s">
        <v>168</v>
      </c>
      <c r="BN450" s="785" t="s">
        <v>168</v>
      </c>
      <c r="BO450" s="785" t="s">
        <v>168</v>
      </c>
      <c r="BP450" s="796" t="s">
        <v>168</v>
      </c>
      <c r="BQ450" s="808" t="s">
        <v>1942</v>
      </c>
      <c r="BR450" s="800" t="s">
        <v>1942</v>
      </c>
      <c r="BS450" s="800" t="s">
        <v>1942</v>
      </c>
      <c r="BT450" s="800" t="s">
        <v>1942</v>
      </c>
      <c r="BU450" s="805" t="s">
        <v>1942</v>
      </c>
      <c r="BV450" s="808" t="s">
        <v>1942</v>
      </c>
      <c r="BW450" s="800" t="s">
        <v>1942</v>
      </c>
      <c r="BX450" s="800" t="s">
        <v>1942</v>
      </c>
      <c r="BY450" s="800" t="s">
        <v>1942</v>
      </c>
      <c r="BZ450" s="800" t="s">
        <v>1942</v>
      </c>
      <c r="CA450" s="808" t="s">
        <v>1942</v>
      </c>
      <c r="CB450" s="800" t="s">
        <v>1942</v>
      </c>
      <c r="CC450" s="800" t="s">
        <v>1942</v>
      </c>
      <c r="CD450" s="800" t="s">
        <v>1942</v>
      </c>
      <c r="CE450" s="805" t="s">
        <v>1942</v>
      </c>
      <c r="CF450" s="800" t="s">
        <v>1942</v>
      </c>
      <c r="CG450" s="800" t="s">
        <v>1942</v>
      </c>
      <c r="CH450" s="800" t="s">
        <v>1942</v>
      </c>
      <c r="CI450" s="800" t="s">
        <v>1942</v>
      </c>
      <c r="CJ450" s="805" t="s">
        <v>1942</v>
      </c>
      <c r="CK450" s="808" t="s">
        <v>1942</v>
      </c>
      <c r="CL450" s="800" t="s">
        <v>1942</v>
      </c>
      <c r="CM450" s="800" t="s">
        <v>1942</v>
      </c>
      <c r="CN450" s="800" t="s">
        <v>1942</v>
      </c>
      <c r="CO450" s="805" t="s">
        <v>1942</v>
      </c>
      <c r="CP450" s="808" t="s">
        <v>1942</v>
      </c>
      <c r="CQ450" s="800" t="s">
        <v>1942</v>
      </c>
      <c r="CR450" s="800" t="s">
        <v>1942</v>
      </c>
      <c r="CS450" s="800" t="s">
        <v>1942</v>
      </c>
      <c r="CT450" s="805" t="s">
        <v>1942</v>
      </c>
      <c r="CU450" s="1284">
        <v>-1.9750000000000001</v>
      </c>
      <c r="CV450" s="1283" t="s">
        <v>1942</v>
      </c>
      <c r="CW450" s="1283" t="s">
        <v>1942</v>
      </c>
      <c r="CX450" s="1285" t="s">
        <v>1942</v>
      </c>
      <c r="CY450" s="1283" t="s">
        <v>1942</v>
      </c>
      <c r="CZ450" s="1283" t="s">
        <v>1942</v>
      </c>
      <c r="DA450" s="1283" t="s">
        <v>1942</v>
      </c>
      <c r="DB450" s="1285" t="s">
        <v>1942</v>
      </c>
      <c r="DC450" s="785" t="s">
        <v>131</v>
      </c>
      <c r="DD450" s="813">
        <v>1</v>
      </c>
      <c r="DE450" s="814"/>
    </row>
    <row r="451" spans="1:109" ht="78.75" hidden="1">
      <c r="A451" s="772" t="s">
        <v>1045</v>
      </c>
      <c r="B451" s="773">
        <v>445</v>
      </c>
      <c r="C451" s="789" t="s">
        <v>3812</v>
      </c>
      <c r="D451" s="773" t="s">
        <v>3781</v>
      </c>
      <c r="E451" s="773" t="s">
        <v>1907</v>
      </c>
      <c r="F451" s="785" t="s">
        <v>3813</v>
      </c>
      <c r="G451" s="790" t="s">
        <v>3814</v>
      </c>
      <c r="H451" s="791" t="s">
        <v>3815</v>
      </c>
      <c r="I451" s="792"/>
      <c r="J451" s="793">
        <v>1</v>
      </c>
      <c r="K451" s="793"/>
      <c r="L451" s="793"/>
      <c r="M451" s="793"/>
      <c r="N451" s="793"/>
      <c r="O451" s="793"/>
      <c r="P451" s="794"/>
      <c r="Q451" s="795">
        <f t="shared" si="6"/>
        <v>1</v>
      </c>
      <c r="R451" s="789" t="s">
        <v>1026</v>
      </c>
      <c r="S451" s="773" t="s">
        <v>1008</v>
      </c>
      <c r="T451" s="796" t="s">
        <v>1009</v>
      </c>
      <c r="U451" s="773" t="s">
        <v>1926</v>
      </c>
      <c r="V451" s="773" t="s">
        <v>1033</v>
      </c>
      <c r="W451" s="773" t="s">
        <v>3816</v>
      </c>
      <c r="X451" s="1310">
        <v>0</v>
      </c>
      <c r="Y451" s="821" t="s">
        <v>1020</v>
      </c>
      <c r="Z451" s="790"/>
      <c r="AA451" s="785"/>
      <c r="AB451" s="785"/>
      <c r="AC451" s="785"/>
      <c r="AD451" s="785"/>
      <c r="AE451" s="785"/>
      <c r="AF451" s="799"/>
      <c r="AG451" s="800"/>
      <c r="AH451" s="800"/>
      <c r="AI451" s="800"/>
      <c r="AJ451" s="800"/>
      <c r="AK451" s="800"/>
      <c r="AL451" s="800"/>
      <c r="AM451" s="800"/>
      <c r="AN451" s="800"/>
      <c r="AO451" s="800"/>
      <c r="AP451" s="914"/>
      <c r="AQ451" s="808">
        <v>10</v>
      </c>
      <c r="AR451" s="800">
        <v>9</v>
      </c>
      <c r="AS451" s="800">
        <v>8</v>
      </c>
      <c r="AT451" s="800">
        <v>8</v>
      </c>
      <c r="AU451" s="805">
        <v>8</v>
      </c>
      <c r="AV451" s="808"/>
      <c r="AW451" s="800"/>
      <c r="AX451" s="800"/>
      <c r="AY451" s="800"/>
      <c r="AZ451" s="914"/>
      <c r="BA451" s="800"/>
      <c r="BB451" s="800"/>
      <c r="BC451" s="800"/>
      <c r="BD451" s="800"/>
      <c r="BE451" s="914"/>
      <c r="BF451" s="800"/>
      <c r="BG451" s="800"/>
      <c r="BH451" s="800"/>
      <c r="BI451" s="800"/>
      <c r="BJ451" s="914"/>
      <c r="BK451" s="915"/>
      <c r="BL451" s="789" t="s">
        <v>168</v>
      </c>
      <c r="BM451" s="785" t="s">
        <v>168</v>
      </c>
      <c r="BN451" s="785" t="s">
        <v>168</v>
      </c>
      <c r="BO451" s="785" t="s">
        <v>168</v>
      </c>
      <c r="BP451" s="796" t="s">
        <v>168</v>
      </c>
      <c r="BQ451" s="808" t="s">
        <v>1942</v>
      </c>
      <c r="BR451" s="800" t="s">
        <v>1942</v>
      </c>
      <c r="BS451" s="800" t="s">
        <v>1942</v>
      </c>
      <c r="BT451" s="800" t="s">
        <v>1942</v>
      </c>
      <c r="BU451" s="805" t="s">
        <v>1942</v>
      </c>
      <c r="BV451" s="808" t="s">
        <v>1942</v>
      </c>
      <c r="BW451" s="800" t="s">
        <v>1942</v>
      </c>
      <c r="BX451" s="800" t="s">
        <v>1942</v>
      </c>
      <c r="BY451" s="800" t="s">
        <v>1942</v>
      </c>
      <c r="BZ451" s="800" t="s">
        <v>1942</v>
      </c>
      <c r="CA451" s="808" t="s">
        <v>1942</v>
      </c>
      <c r="CB451" s="800" t="s">
        <v>1942</v>
      </c>
      <c r="CC451" s="800" t="s">
        <v>1942</v>
      </c>
      <c r="CD451" s="800" t="s">
        <v>1942</v>
      </c>
      <c r="CE451" s="805" t="s">
        <v>1942</v>
      </c>
      <c r="CF451" s="800" t="s">
        <v>1942</v>
      </c>
      <c r="CG451" s="800" t="s">
        <v>1942</v>
      </c>
      <c r="CH451" s="800" t="s">
        <v>1942</v>
      </c>
      <c r="CI451" s="800" t="s">
        <v>1942</v>
      </c>
      <c r="CJ451" s="805" t="s">
        <v>1942</v>
      </c>
      <c r="CK451" s="808" t="s">
        <v>1942</v>
      </c>
      <c r="CL451" s="800" t="s">
        <v>1942</v>
      </c>
      <c r="CM451" s="800" t="s">
        <v>1942</v>
      </c>
      <c r="CN451" s="800" t="s">
        <v>1942</v>
      </c>
      <c r="CO451" s="805" t="s">
        <v>1942</v>
      </c>
      <c r="CP451" s="808" t="s">
        <v>1942</v>
      </c>
      <c r="CQ451" s="800" t="s">
        <v>1942</v>
      </c>
      <c r="CR451" s="800" t="s">
        <v>1942</v>
      </c>
      <c r="CS451" s="800" t="s">
        <v>1942</v>
      </c>
      <c r="CT451" s="805" t="s">
        <v>1942</v>
      </c>
      <c r="CU451" s="1284">
        <v>-3.56E-2</v>
      </c>
      <c r="CV451" s="1283" t="s">
        <v>1942</v>
      </c>
      <c r="CW451" s="1283" t="s">
        <v>1942</v>
      </c>
      <c r="CX451" s="1285" t="s">
        <v>1942</v>
      </c>
      <c r="CY451" s="1283" t="s">
        <v>1942</v>
      </c>
      <c r="CZ451" s="1283" t="s">
        <v>1942</v>
      </c>
      <c r="DA451" s="1283" t="s">
        <v>1942</v>
      </c>
      <c r="DB451" s="1285" t="s">
        <v>1942</v>
      </c>
      <c r="DC451" s="785"/>
      <c r="DD451" s="813">
        <v>1</v>
      </c>
      <c r="DE451" s="814"/>
    </row>
    <row r="452" spans="1:109" ht="105" hidden="1">
      <c r="A452" s="772" t="s">
        <v>1045</v>
      </c>
      <c r="B452" s="773">
        <v>446</v>
      </c>
      <c r="C452" s="789" t="s">
        <v>3817</v>
      </c>
      <c r="D452" s="773" t="s">
        <v>3781</v>
      </c>
      <c r="E452" s="773" t="s">
        <v>1907</v>
      </c>
      <c r="F452" s="785" t="s">
        <v>3818</v>
      </c>
      <c r="G452" s="790" t="s">
        <v>3819</v>
      </c>
      <c r="H452" s="791" t="s">
        <v>3820</v>
      </c>
      <c r="I452" s="792"/>
      <c r="J452" s="793">
        <v>1</v>
      </c>
      <c r="K452" s="793"/>
      <c r="L452" s="793"/>
      <c r="M452" s="793"/>
      <c r="N452" s="793"/>
      <c r="O452" s="793"/>
      <c r="P452" s="794"/>
      <c r="Q452" s="795">
        <f t="shared" si="6"/>
        <v>1</v>
      </c>
      <c r="R452" s="789" t="s">
        <v>1030</v>
      </c>
      <c r="S452" s="773" t="s">
        <v>1008</v>
      </c>
      <c r="T452" s="796" t="s">
        <v>1009</v>
      </c>
      <c r="U452" s="773" t="s">
        <v>1926</v>
      </c>
      <c r="V452" s="773" t="s">
        <v>1033</v>
      </c>
      <c r="W452" s="773" t="s">
        <v>3821</v>
      </c>
      <c r="X452" s="1310">
        <v>0</v>
      </c>
      <c r="Y452" s="821" t="s">
        <v>1010</v>
      </c>
      <c r="Z452" s="790"/>
      <c r="AA452" s="785"/>
      <c r="AB452" s="785"/>
      <c r="AC452" s="785"/>
      <c r="AD452" s="785"/>
      <c r="AE452" s="785"/>
      <c r="AF452" s="799"/>
      <c r="AG452" s="800"/>
      <c r="AH452" s="800"/>
      <c r="AI452" s="800"/>
      <c r="AJ452" s="800"/>
      <c r="AK452" s="800"/>
      <c r="AL452" s="800"/>
      <c r="AM452" s="800"/>
      <c r="AN452" s="800"/>
      <c r="AO452" s="800"/>
      <c r="AP452" s="800"/>
      <c r="AQ452" s="808">
        <v>10767</v>
      </c>
      <c r="AR452" s="800">
        <v>21534</v>
      </c>
      <c r="AS452" s="800">
        <v>32301</v>
      </c>
      <c r="AT452" s="800">
        <v>43069</v>
      </c>
      <c r="AU452" s="805">
        <v>53837</v>
      </c>
      <c r="AV452" s="808"/>
      <c r="AW452" s="800"/>
      <c r="AX452" s="800"/>
      <c r="AY452" s="800"/>
      <c r="AZ452" s="800"/>
      <c r="BA452" s="800"/>
      <c r="BB452" s="800"/>
      <c r="BC452" s="800"/>
      <c r="BD452" s="800"/>
      <c r="BE452" s="800"/>
      <c r="BF452" s="800"/>
      <c r="BG452" s="800"/>
      <c r="BH452" s="800"/>
      <c r="BI452" s="800"/>
      <c r="BJ452" s="800"/>
      <c r="BK452" s="805"/>
      <c r="BL452" s="1955" t="s">
        <v>168</v>
      </c>
      <c r="BM452" s="1956" t="s">
        <v>168</v>
      </c>
      <c r="BN452" s="1956" t="s">
        <v>168</v>
      </c>
      <c r="BO452" s="1956" t="s">
        <v>168</v>
      </c>
      <c r="BP452" s="796" t="s">
        <v>168</v>
      </c>
      <c r="BQ452" s="808" t="s">
        <v>1942</v>
      </c>
      <c r="BR452" s="800" t="s">
        <v>1942</v>
      </c>
      <c r="BS452" s="800" t="s">
        <v>1942</v>
      </c>
      <c r="BT452" s="800" t="s">
        <v>1942</v>
      </c>
      <c r="BU452" s="805" t="s">
        <v>1942</v>
      </c>
      <c r="BV452" s="808" t="s">
        <v>1942</v>
      </c>
      <c r="BW452" s="800" t="s">
        <v>1942</v>
      </c>
      <c r="BX452" s="800" t="s">
        <v>1942</v>
      </c>
      <c r="BY452" s="800" t="s">
        <v>1942</v>
      </c>
      <c r="BZ452" s="800" t="s">
        <v>1942</v>
      </c>
      <c r="CA452" s="808" t="s">
        <v>1942</v>
      </c>
      <c r="CB452" s="800" t="s">
        <v>1942</v>
      </c>
      <c r="CC452" s="800" t="s">
        <v>1942</v>
      </c>
      <c r="CD452" s="800" t="s">
        <v>1942</v>
      </c>
      <c r="CE452" s="805" t="s">
        <v>1942</v>
      </c>
      <c r="CF452" s="800" t="s">
        <v>1942</v>
      </c>
      <c r="CG452" s="800" t="s">
        <v>1942</v>
      </c>
      <c r="CH452" s="800" t="s">
        <v>1942</v>
      </c>
      <c r="CI452" s="800" t="s">
        <v>1942</v>
      </c>
      <c r="CJ452" s="805" t="s">
        <v>1942</v>
      </c>
      <c r="CK452" s="808">
        <v>16151</v>
      </c>
      <c r="CL452" s="800">
        <v>32301</v>
      </c>
      <c r="CM452" s="800">
        <v>48452</v>
      </c>
      <c r="CN452" s="800">
        <v>64604</v>
      </c>
      <c r="CO452" s="805">
        <v>80756</v>
      </c>
      <c r="CP452" s="808" t="s">
        <v>1942</v>
      </c>
      <c r="CQ452" s="800" t="s">
        <v>1942</v>
      </c>
      <c r="CR452" s="800" t="s">
        <v>1942</v>
      </c>
      <c r="CS452" s="800" t="s">
        <v>1942</v>
      </c>
      <c r="CT452" s="805" t="s">
        <v>1942</v>
      </c>
      <c r="CU452" s="1284">
        <v>-1.6799999999999999E-4</v>
      </c>
      <c r="CV452" s="1283" t="s">
        <v>1942</v>
      </c>
      <c r="CW452" s="1283" t="s">
        <v>1942</v>
      </c>
      <c r="CX452" s="1285" t="s">
        <v>1942</v>
      </c>
      <c r="CY452" s="1283">
        <v>9.8999999999999994E-5</v>
      </c>
      <c r="CZ452" s="1283" t="s">
        <v>1942</v>
      </c>
      <c r="DA452" s="1283" t="s">
        <v>1942</v>
      </c>
      <c r="DB452" s="1285" t="s">
        <v>1942</v>
      </c>
      <c r="DC452" s="785"/>
      <c r="DD452" s="813">
        <v>1</v>
      </c>
      <c r="DE452" s="814"/>
    </row>
    <row r="453" spans="1:109" ht="39.4" hidden="1">
      <c r="A453" s="772" t="s">
        <v>1045</v>
      </c>
      <c r="B453" s="773">
        <v>447</v>
      </c>
      <c r="C453" s="789" t="s">
        <v>3822</v>
      </c>
      <c r="D453" s="773" t="s">
        <v>3781</v>
      </c>
      <c r="E453" s="773" t="s">
        <v>1907</v>
      </c>
      <c r="F453" s="785" t="s">
        <v>3823</v>
      </c>
      <c r="G453" s="790" t="s">
        <v>3824</v>
      </c>
      <c r="H453" s="791" t="s">
        <v>3825</v>
      </c>
      <c r="I453" s="792"/>
      <c r="J453" s="793">
        <v>1</v>
      </c>
      <c r="K453" s="793"/>
      <c r="L453" s="793"/>
      <c r="M453" s="793"/>
      <c r="N453" s="793"/>
      <c r="O453" s="793"/>
      <c r="P453" s="794"/>
      <c r="Q453" s="795">
        <f t="shared" si="6"/>
        <v>1</v>
      </c>
      <c r="R453" s="789" t="s">
        <v>1007</v>
      </c>
      <c r="S453" s="773"/>
      <c r="T453" s="796"/>
      <c r="U453" s="773" t="s">
        <v>1892</v>
      </c>
      <c r="V453" s="773" t="s">
        <v>1029</v>
      </c>
      <c r="W453" s="773" t="s">
        <v>3826</v>
      </c>
      <c r="X453" s="1310">
        <v>0</v>
      </c>
      <c r="Y453" s="821" t="s">
        <v>1020</v>
      </c>
      <c r="Z453" s="790"/>
      <c r="AA453" s="785"/>
      <c r="AB453" s="785"/>
      <c r="AC453" s="785"/>
      <c r="AD453" s="785"/>
      <c r="AE453" s="785"/>
      <c r="AF453" s="799"/>
      <c r="AG453" s="845"/>
      <c r="AH453" s="845"/>
      <c r="AI453" s="845"/>
      <c r="AJ453" s="845"/>
      <c r="AK453" s="845"/>
      <c r="AL453" s="845"/>
      <c r="AM453" s="845"/>
      <c r="AN453" s="845"/>
      <c r="AO453" s="845"/>
      <c r="AP453" s="921"/>
      <c r="AQ453" s="846" t="s">
        <v>3827</v>
      </c>
      <c r="AR453" s="845" t="s">
        <v>3828</v>
      </c>
      <c r="AS453" s="845" t="s">
        <v>3829</v>
      </c>
      <c r="AT453" s="845" t="s">
        <v>3830</v>
      </c>
      <c r="AU453" s="922" t="s">
        <v>3831</v>
      </c>
      <c r="AV453" s="846"/>
      <c r="AW453" s="845"/>
      <c r="AX453" s="845"/>
      <c r="AY453" s="845"/>
      <c r="AZ453" s="845"/>
      <c r="BA453" s="845"/>
      <c r="BB453" s="845"/>
      <c r="BC453" s="845"/>
      <c r="BD453" s="845"/>
      <c r="BE453" s="845"/>
      <c r="BF453" s="845"/>
      <c r="BG453" s="845"/>
      <c r="BH453" s="845"/>
      <c r="BI453" s="845"/>
      <c r="BJ453" s="845"/>
      <c r="BK453" s="847"/>
      <c r="BL453" s="789"/>
      <c r="BM453" s="785"/>
      <c r="BN453" s="785"/>
      <c r="BO453" s="785"/>
      <c r="BP453" s="796"/>
      <c r="BQ453" s="808">
        <v>0</v>
      </c>
      <c r="BR453" s="800">
        <v>0</v>
      </c>
      <c r="BS453" s="800">
        <v>0</v>
      </c>
      <c r="BT453" s="800">
        <v>0</v>
      </c>
      <c r="BU453" s="805">
        <v>0</v>
      </c>
      <c r="BV453" s="808" t="s">
        <v>1942</v>
      </c>
      <c r="BW453" s="800" t="s">
        <v>1942</v>
      </c>
      <c r="BX453" s="800" t="s">
        <v>1942</v>
      </c>
      <c r="BY453" s="800" t="s">
        <v>1942</v>
      </c>
      <c r="BZ453" s="800" t="s">
        <v>1942</v>
      </c>
      <c r="CA453" s="808">
        <v>0</v>
      </c>
      <c r="CB453" s="800">
        <v>0</v>
      </c>
      <c r="CC453" s="800">
        <v>0</v>
      </c>
      <c r="CD453" s="800">
        <v>0</v>
      </c>
      <c r="CE453" s="805">
        <v>0</v>
      </c>
      <c r="CF453" s="800">
        <v>0</v>
      </c>
      <c r="CG453" s="800">
        <v>0</v>
      </c>
      <c r="CH453" s="800">
        <v>0</v>
      </c>
      <c r="CI453" s="800">
        <v>0</v>
      </c>
      <c r="CJ453" s="805">
        <v>0</v>
      </c>
      <c r="CK453" s="808" t="s">
        <v>1942</v>
      </c>
      <c r="CL453" s="800" t="s">
        <v>1942</v>
      </c>
      <c r="CM453" s="800" t="s">
        <v>1942</v>
      </c>
      <c r="CN453" s="800" t="s">
        <v>1942</v>
      </c>
      <c r="CO453" s="805" t="s">
        <v>1942</v>
      </c>
      <c r="CP453" s="808">
        <v>0</v>
      </c>
      <c r="CQ453" s="800">
        <v>0</v>
      </c>
      <c r="CR453" s="800">
        <v>0</v>
      </c>
      <c r="CS453" s="800">
        <v>0</v>
      </c>
      <c r="CT453" s="805">
        <v>0</v>
      </c>
      <c r="CU453" s="1284" t="s">
        <v>1942</v>
      </c>
      <c r="CV453" s="1283" t="s">
        <v>1942</v>
      </c>
      <c r="CW453" s="1283" t="s">
        <v>1942</v>
      </c>
      <c r="CX453" s="1285" t="s">
        <v>1942</v>
      </c>
      <c r="CY453" s="1283" t="s">
        <v>1942</v>
      </c>
      <c r="CZ453" s="1283" t="s">
        <v>1942</v>
      </c>
      <c r="DA453" s="1283" t="s">
        <v>1942</v>
      </c>
      <c r="DB453" s="1285" t="s">
        <v>1942</v>
      </c>
      <c r="DC453" s="785"/>
      <c r="DD453" s="813"/>
      <c r="DE453" s="814"/>
    </row>
    <row r="454" spans="1:109" ht="65.650000000000006" hidden="1">
      <c r="A454" s="772" t="s">
        <v>1045</v>
      </c>
      <c r="B454" s="773">
        <v>448</v>
      </c>
      <c r="C454" s="789" t="s">
        <v>3832</v>
      </c>
      <c r="D454" s="773" t="s">
        <v>3833</v>
      </c>
      <c r="E454" s="773" t="s">
        <v>1907</v>
      </c>
      <c r="F454" s="785" t="s">
        <v>3834</v>
      </c>
      <c r="G454" s="790" t="s">
        <v>1058</v>
      </c>
      <c r="H454" s="791" t="s">
        <v>3835</v>
      </c>
      <c r="I454" s="792"/>
      <c r="J454" s="793"/>
      <c r="K454" s="793">
        <v>1</v>
      </c>
      <c r="L454" s="793"/>
      <c r="M454" s="793"/>
      <c r="N454" s="793"/>
      <c r="O454" s="793"/>
      <c r="P454" s="794"/>
      <c r="Q454" s="795">
        <f t="shared" si="6"/>
        <v>1</v>
      </c>
      <c r="R454" s="789" t="s">
        <v>1026</v>
      </c>
      <c r="S454" s="773" t="s">
        <v>1008</v>
      </c>
      <c r="T454" s="796" t="s">
        <v>1009</v>
      </c>
      <c r="U454" s="773" t="s">
        <v>2085</v>
      </c>
      <c r="V454" s="773" t="s">
        <v>278</v>
      </c>
      <c r="W454" s="773" t="s">
        <v>3836</v>
      </c>
      <c r="X454" s="1311">
        <v>2</v>
      </c>
      <c r="Y454" s="821" t="s">
        <v>1010</v>
      </c>
      <c r="Z454" s="790" t="s">
        <v>1058</v>
      </c>
      <c r="AA454" s="785"/>
      <c r="AB454" s="785"/>
      <c r="AC454" s="785"/>
      <c r="AD454" s="785"/>
      <c r="AE454" s="785"/>
      <c r="AF454" s="799"/>
      <c r="AG454" s="800"/>
      <c r="AH454" s="800"/>
      <c r="AI454" s="800"/>
      <c r="AJ454" s="800"/>
      <c r="AK454" s="800"/>
      <c r="AL454" s="800"/>
      <c r="AM454" s="800"/>
      <c r="AN454" s="800"/>
      <c r="AO454" s="800"/>
      <c r="AP454" s="800"/>
      <c r="AQ454" s="1420"/>
      <c r="AR454" s="1368"/>
      <c r="AS454" s="1368"/>
      <c r="AT454" s="1368"/>
      <c r="AU454" s="1369"/>
      <c r="AV454" s="808"/>
      <c r="AW454" s="800"/>
      <c r="AX454" s="800"/>
      <c r="AY454" s="800"/>
      <c r="AZ454" s="800"/>
      <c r="BA454" s="800"/>
      <c r="BB454" s="800"/>
      <c r="BC454" s="800"/>
      <c r="BD454" s="800"/>
      <c r="BE454" s="800"/>
      <c r="BF454" s="800"/>
      <c r="BG454" s="800"/>
      <c r="BH454" s="800"/>
      <c r="BI454" s="800"/>
      <c r="BJ454" s="800"/>
      <c r="BK454" s="805"/>
      <c r="BL454" s="1376"/>
      <c r="BM454" s="1377"/>
      <c r="BN454" s="1377"/>
      <c r="BO454" s="1377"/>
      <c r="BP454" s="1440"/>
      <c r="BQ454" s="1420"/>
      <c r="BR454" s="1368"/>
      <c r="BS454" s="1368"/>
      <c r="BT454" s="1368"/>
      <c r="BU454" s="1369"/>
      <c r="BV454" s="1420"/>
      <c r="BW454" s="1368"/>
      <c r="BX454" s="1368"/>
      <c r="BY454" s="1368"/>
      <c r="BZ454" s="1368"/>
      <c r="CA454" s="1420"/>
      <c r="CB454" s="1368"/>
      <c r="CC454" s="1368"/>
      <c r="CD454" s="1368"/>
      <c r="CE454" s="1369"/>
      <c r="CF454" s="1368"/>
      <c r="CG454" s="1368"/>
      <c r="CH454" s="1368"/>
      <c r="CI454" s="1368"/>
      <c r="CJ454" s="1369"/>
      <c r="CK454" s="1420"/>
      <c r="CL454" s="1368"/>
      <c r="CM454" s="1368"/>
      <c r="CN454" s="1368"/>
      <c r="CO454" s="1369"/>
      <c r="CP454" s="1420"/>
      <c r="CQ454" s="1368"/>
      <c r="CR454" s="1368"/>
      <c r="CS454" s="1368"/>
      <c r="CT454" s="1369"/>
      <c r="CU454" s="1528"/>
      <c r="CV454" s="1519"/>
      <c r="CW454" s="1519"/>
      <c r="CX454" s="1728"/>
      <c r="CY454" s="1519"/>
      <c r="CZ454" s="1519"/>
      <c r="DA454" s="1519"/>
      <c r="DB454" s="1728"/>
      <c r="DC454" s="1377"/>
      <c r="DD454" s="1729"/>
      <c r="DE454" s="1734"/>
    </row>
    <row r="455" spans="1:109" ht="26.25" hidden="1">
      <c r="A455" s="772" t="s">
        <v>1045</v>
      </c>
      <c r="B455" s="773">
        <v>449</v>
      </c>
      <c r="C455" s="789" t="s">
        <v>3837</v>
      </c>
      <c r="D455" s="773" t="s">
        <v>3833</v>
      </c>
      <c r="E455" s="773" t="s">
        <v>1889</v>
      </c>
      <c r="F455" s="785" t="s">
        <v>3838</v>
      </c>
      <c r="G455" s="790" t="s">
        <v>743</v>
      </c>
      <c r="H455" s="791" t="s">
        <v>3839</v>
      </c>
      <c r="I455" s="792"/>
      <c r="J455" s="793"/>
      <c r="K455" s="793">
        <v>1</v>
      </c>
      <c r="L455" s="793"/>
      <c r="M455" s="793"/>
      <c r="N455" s="793"/>
      <c r="O455" s="793"/>
      <c r="P455" s="794"/>
      <c r="Q455" s="795">
        <f t="shared" si="6"/>
        <v>1</v>
      </c>
      <c r="R455" s="789" t="s">
        <v>1030</v>
      </c>
      <c r="S455" s="773" t="s">
        <v>1008</v>
      </c>
      <c r="T455" s="796" t="s">
        <v>1009</v>
      </c>
      <c r="U455" s="773" t="s">
        <v>1920</v>
      </c>
      <c r="V455" s="773" t="s">
        <v>1033</v>
      </c>
      <c r="W455" s="773" t="s">
        <v>3784</v>
      </c>
      <c r="X455" s="1311">
        <v>2</v>
      </c>
      <c r="Y455" s="821" t="s">
        <v>1020</v>
      </c>
      <c r="Z455" s="790" t="s">
        <v>743</v>
      </c>
      <c r="AA455" s="785"/>
      <c r="AB455" s="785"/>
      <c r="AC455" s="785"/>
      <c r="AD455" s="785"/>
      <c r="AE455" s="785"/>
      <c r="AF455" s="799"/>
      <c r="AG455" s="800"/>
      <c r="AH455" s="800"/>
      <c r="AI455" s="800"/>
      <c r="AJ455" s="800"/>
      <c r="AK455" s="800"/>
      <c r="AL455" s="800"/>
      <c r="AM455" s="800"/>
      <c r="AN455" s="800"/>
      <c r="AO455" s="800"/>
      <c r="AP455" s="800"/>
      <c r="AQ455" s="1781"/>
      <c r="AR455" s="1782"/>
      <c r="AS455" s="1782"/>
      <c r="AT455" s="1782"/>
      <c r="AU455" s="1783"/>
      <c r="AV455" s="808"/>
      <c r="AW455" s="800"/>
      <c r="AX455" s="800"/>
      <c r="AY455" s="800"/>
      <c r="AZ455" s="800"/>
      <c r="BA455" s="800"/>
      <c r="BB455" s="800"/>
      <c r="BC455" s="800"/>
      <c r="BD455" s="800"/>
      <c r="BE455" s="800"/>
      <c r="BF455" s="800"/>
      <c r="BG455" s="800"/>
      <c r="BH455" s="800"/>
      <c r="BI455" s="800"/>
      <c r="BJ455" s="800"/>
      <c r="BK455" s="805"/>
      <c r="BL455" s="1376"/>
      <c r="BM455" s="1377"/>
      <c r="BN455" s="1377"/>
      <c r="BO455" s="1377"/>
      <c r="BP455" s="1440"/>
      <c r="BQ455" s="1420"/>
      <c r="BR455" s="1368"/>
      <c r="BS455" s="1368"/>
      <c r="BT455" s="1368"/>
      <c r="BU455" s="1369"/>
      <c r="BV455" s="1420"/>
      <c r="BW455" s="1368"/>
      <c r="BX455" s="1368"/>
      <c r="BY455" s="1368"/>
      <c r="BZ455" s="1368"/>
      <c r="CA455" s="1420"/>
      <c r="CB455" s="1368"/>
      <c r="CC455" s="1368"/>
      <c r="CD455" s="1368"/>
      <c r="CE455" s="1369"/>
      <c r="CF455" s="1368"/>
      <c r="CG455" s="1368"/>
      <c r="CH455" s="1368"/>
      <c r="CI455" s="1368"/>
      <c r="CJ455" s="1369"/>
      <c r="CK455" s="1420"/>
      <c r="CL455" s="1368"/>
      <c r="CM455" s="1368"/>
      <c r="CN455" s="1368"/>
      <c r="CO455" s="1369"/>
      <c r="CP455" s="1420"/>
      <c r="CQ455" s="1368"/>
      <c r="CR455" s="1368"/>
      <c r="CS455" s="1368"/>
      <c r="CT455" s="1369"/>
      <c r="CU455" s="1528"/>
      <c r="CV455" s="1519"/>
      <c r="CW455" s="1519"/>
      <c r="CX455" s="1728"/>
      <c r="CY455" s="1519"/>
      <c r="CZ455" s="1519"/>
      <c r="DA455" s="1519"/>
      <c r="DB455" s="1728"/>
      <c r="DC455" s="1377"/>
      <c r="DD455" s="1729"/>
      <c r="DE455" s="1734"/>
    </row>
    <row r="456" spans="1:109" ht="91.9" hidden="1">
      <c r="A456" s="772" t="s">
        <v>1045</v>
      </c>
      <c r="B456" s="773">
        <v>450</v>
      </c>
      <c r="C456" s="789" t="s">
        <v>3840</v>
      </c>
      <c r="D456" s="773" t="s">
        <v>3833</v>
      </c>
      <c r="E456" s="773" t="s">
        <v>1907</v>
      </c>
      <c r="F456" s="785" t="s">
        <v>3841</v>
      </c>
      <c r="G456" s="790" t="s">
        <v>732</v>
      </c>
      <c r="H456" s="791" t="s">
        <v>3842</v>
      </c>
      <c r="I456" s="792"/>
      <c r="J456" s="793"/>
      <c r="K456" s="793">
        <v>1</v>
      </c>
      <c r="L456" s="793"/>
      <c r="M456" s="793"/>
      <c r="N456" s="793"/>
      <c r="O456" s="793"/>
      <c r="P456" s="794"/>
      <c r="Q456" s="795">
        <f t="shared" si="6"/>
        <v>1</v>
      </c>
      <c r="R456" s="789" t="s">
        <v>1030</v>
      </c>
      <c r="S456" s="773" t="s">
        <v>1008</v>
      </c>
      <c r="T456" s="796" t="s">
        <v>1009</v>
      </c>
      <c r="U456" s="773" t="s">
        <v>2058</v>
      </c>
      <c r="V456" s="773" t="s">
        <v>1033</v>
      </c>
      <c r="W456" s="773" t="s">
        <v>3497</v>
      </c>
      <c r="X456" s="1311">
        <v>2</v>
      </c>
      <c r="Y456" s="819" t="s">
        <v>1020</v>
      </c>
      <c r="Z456" s="790" t="s">
        <v>732</v>
      </c>
      <c r="AA456" s="785"/>
      <c r="AB456" s="785"/>
      <c r="AC456" s="785"/>
      <c r="AD456" s="785"/>
      <c r="AE456" s="785"/>
      <c r="AF456" s="799"/>
      <c r="AG456" s="797"/>
      <c r="AH456" s="797"/>
      <c r="AI456" s="797"/>
      <c r="AJ456" s="797"/>
      <c r="AK456" s="797"/>
      <c r="AL456" s="797"/>
      <c r="AM456" s="797"/>
      <c r="AN456" s="797"/>
      <c r="AO456" s="797"/>
      <c r="AP456" s="797"/>
      <c r="AQ456" s="1740"/>
      <c r="AR456" s="1741"/>
      <c r="AS456" s="1741"/>
      <c r="AT456" s="1741"/>
      <c r="AU456" s="1749"/>
      <c r="AV456" s="827"/>
      <c r="AW456" s="797"/>
      <c r="AX456" s="797"/>
      <c r="AY456" s="797"/>
      <c r="AZ456" s="797"/>
      <c r="BA456" s="797"/>
      <c r="BB456" s="797"/>
      <c r="BC456" s="797"/>
      <c r="BD456" s="797"/>
      <c r="BE456" s="797"/>
      <c r="BF456" s="797"/>
      <c r="BG456" s="797"/>
      <c r="BH456" s="797"/>
      <c r="BI456" s="797"/>
      <c r="BJ456" s="797"/>
      <c r="BK456" s="841"/>
      <c r="BL456" s="1376"/>
      <c r="BM456" s="1377"/>
      <c r="BN456" s="1377"/>
      <c r="BO456" s="1377"/>
      <c r="BP456" s="1440"/>
      <c r="BQ456" s="1420"/>
      <c r="BR456" s="1368"/>
      <c r="BS456" s="1368"/>
      <c r="BT456" s="1368"/>
      <c r="BU456" s="1369"/>
      <c r="BV456" s="1755"/>
      <c r="BW456" s="1754"/>
      <c r="BX456" s="1754"/>
      <c r="BY456" s="1754"/>
      <c r="BZ456" s="1754"/>
      <c r="CA456" s="1420"/>
      <c r="CB456" s="1368"/>
      <c r="CC456" s="1368"/>
      <c r="CD456" s="1368"/>
      <c r="CE456" s="1369"/>
      <c r="CF456" s="1368"/>
      <c r="CG456" s="1368"/>
      <c r="CH456" s="1368"/>
      <c r="CI456" s="1368"/>
      <c r="CJ456" s="1369"/>
      <c r="CK456" s="1740"/>
      <c r="CL456" s="1741"/>
      <c r="CM456" s="1741"/>
      <c r="CN456" s="1741"/>
      <c r="CO456" s="1749"/>
      <c r="CP456" s="1420"/>
      <c r="CQ456" s="1368"/>
      <c r="CR456" s="1368"/>
      <c r="CS456" s="1368"/>
      <c r="CT456" s="1369"/>
      <c r="CU456" s="1528"/>
      <c r="CV456" s="1519"/>
      <c r="CW456" s="1519"/>
      <c r="CX456" s="1728"/>
      <c r="CY456" s="1519"/>
      <c r="CZ456" s="1519"/>
      <c r="DA456" s="1519"/>
      <c r="DB456" s="1728"/>
      <c r="DC456" s="1377"/>
      <c r="DD456" s="1729"/>
      <c r="DE456" s="1734"/>
    </row>
    <row r="457" spans="1:109" ht="39.4" hidden="1">
      <c r="A457" s="772" t="s">
        <v>1045</v>
      </c>
      <c r="B457" s="773">
        <v>451</v>
      </c>
      <c r="C457" s="789" t="s">
        <v>3843</v>
      </c>
      <c r="D457" s="773" t="s">
        <v>3833</v>
      </c>
      <c r="E457" s="773" t="s">
        <v>1889</v>
      </c>
      <c r="F457" s="785" t="s">
        <v>3844</v>
      </c>
      <c r="G457" s="790" t="s">
        <v>3845</v>
      </c>
      <c r="H457" s="791" t="s">
        <v>3846</v>
      </c>
      <c r="I457" s="792"/>
      <c r="J457" s="793"/>
      <c r="K457" s="793">
        <v>1</v>
      </c>
      <c r="L457" s="793"/>
      <c r="M457" s="793"/>
      <c r="N457" s="793"/>
      <c r="O457" s="793"/>
      <c r="P457" s="794"/>
      <c r="Q457" s="795">
        <f t="shared" ref="Q457:Q520" si="7">SUM(I457:P457)</f>
        <v>1</v>
      </c>
      <c r="R457" s="789" t="s">
        <v>1030</v>
      </c>
      <c r="S457" s="773" t="s">
        <v>1008</v>
      </c>
      <c r="T457" s="796" t="s">
        <v>1009</v>
      </c>
      <c r="U457" s="773" t="s">
        <v>2058</v>
      </c>
      <c r="V457" s="773" t="s">
        <v>1033</v>
      </c>
      <c r="W457" s="773" t="s">
        <v>396</v>
      </c>
      <c r="X457" s="1310">
        <v>0</v>
      </c>
      <c r="Y457" s="819" t="s">
        <v>1020</v>
      </c>
      <c r="Z457" s="790" t="s">
        <v>2416</v>
      </c>
      <c r="AA457" s="785"/>
      <c r="AB457" s="785"/>
      <c r="AC457" s="785"/>
      <c r="AD457" s="785"/>
      <c r="AE457" s="785"/>
      <c r="AF457" s="799"/>
      <c r="AG457" s="797"/>
      <c r="AH457" s="797"/>
      <c r="AI457" s="797"/>
      <c r="AJ457" s="797"/>
      <c r="AK457" s="797"/>
      <c r="AL457" s="797"/>
      <c r="AM457" s="797"/>
      <c r="AN457" s="797"/>
      <c r="AO457" s="797"/>
      <c r="AP457" s="797"/>
      <c r="AQ457" s="827">
        <v>72500</v>
      </c>
      <c r="AR457" s="797">
        <v>70000</v>
      </c>
      <c r="AS457" s="797">
        <v>67500</v>
      </c>
      <c r="AT457" s="797">
        <v>65000</v>
      </c>
      <c r="AU457" s="841">
        <v>62500</v>
      </c>
      <c r="AV457" s="827"/>
      <c r="AW457" s="797"/>
      <c r="AX457" s="797"/>
      <c r="AY457" s="797"/>
      <c r="AZ457" s="797"/>
      <c r="BA457" s="797"/>
      <c r="BB457" s="797"/>
      <c r="BC457" s="797"/>
      <c r="BD457" s="797"/>
      <c r="BE457" s="797"/>
      <c r="BF457" s="797"/>
      <c r="BG457" s="797"/>
      <c r="BH457" s="797"/>
      <c r="BI457" s="797"/>
      <c r="BJ457" s="797"/>
      <c r="BK457" s="841"/>
      <c r="BL457" s="789" t="s">
        <v>168</v>
      </c>
      <c r="BM457" s="785" t="s">
        <v>168</v>
      </c>
      <c r="BN457" s="785" t="s">
        <v>168</v>
      </c>
      <c r="BO457" s="785" t="s">
        <v>168</v>
      </c>
      <c r="BP457" s="796" t="s">
        <v>168</v>
      </c>
      <c r="BQ457" s="808" t="s">
        <v>1942</v>
      </c>
      <c r="BR457" s="800" t="s">
        <v>1942</v>
      </c>
      <c r="BS457" s="800" t="s">
        <v>1942</v>
      </c>
      <c r="BT457" s="800" t="s">
        <v>1942</v>
      </c>
      <c r="BU457" s="805" t="s">
        <v>1942</v>
      </c>
      <c r="BV457" s="808">
        <v>108750</v>
      </c>
      <c r="BW457" s="800">
        <v>108750</v>
      </c>
      <c r="BX457" s="800">
        <v>108750</v>
      </c>
      <c r="BY457" s="800">
        <v>108750</v>
      </c>
      <c r="BZ457" s="800">
        <v>108750</v>
      </c>
      <c r="CA457" s="808" t="s">
        <v>1942</v>
      </c>
      <c r="CB457" s="800" t="s">
        <v>1942</v>
      </c>
      <c r="CC457" s="800" t="s">
        <v>1942</v>
      </c>
      <c r="CD457" s="800" t="s">
        <v>1942</v>
      </c>
      <c r="CE457" s="805" t="s">
        <v>1942</v>
      </c>
      <c r="CF457" s="800" t="s">
        <v>1942</v>
      </c>
      <c r="CG457" s="800" t="s">
        <v>1942</v>
      </c>
      <c r="CH457" s="800" t="s">
        <v>1942</v>
      </c>
      <c r="CI457" s="800" t="s">
        <v>1942</v>
      </c>
      <c r="CJ457" s="805" t="s">
        <v>1942</v>
      </c>
      <c r="CK457" s="808">
        <v>66288</v>
      </c>
      <c r="CL457" s="800">
        <v>63788</v>
      </c>
      <c r="CM457" s="800">
        <v>61288</v>
      </c>
      <c r="CN457" s="800">
        <v>58788</v>
      </c>
      <c r="CO457" s="805">
        <v>56288</v>
      </c>
      <c r="CP457" s="808" t="s">
        <v>1942</v>
      </c>
      <c r="CQ457" s="800" t="s">
        <v>1942</v>
      </c>
      <c r="CR457" s="800" t="s">
        <v>1942</v>
      </c>
      <c r="CS457" s="800" t="s">
        <v>1942</v>
      </c>
      <c r="CT457" s="805" t="s">
        <v>1942</v>
      </c>
      <c r="CU457" s="1284">
        <v>-1.403E-3</v>
      </c>
      <c r="CV457" s="1283" t="s">
        <v>1942</v>
      </c>
      <c r="CW457" s="1283" t="s">
        <v>1942</v>
      </c>
      <c r="CX457" s="1285" t="s">
        <v>1942</v>
      </c>
      <c r="CY457" s="1283">
        <v>7.0299999999999996E-4</v>
      </c>
      <c r="CZ457" s="1283" t="s">
        <v>1942</v>
      </c>
      <c r="DA457" s="1283" t="s">
        <v>1942</v>
      </c>
      <c r="DB457" s="1285" t="s">
        <v>1942</v>
      </c>
      <c r="DC457" s="785"/>
      <c r="DD457" s="813">
        <v>1</v>
      </c>
      <c r="DE457" s="814"/>
    </row>
    <row r="458" spans="1:109" ht="52.5" hidden="1">
      <c r="A458" s="772" t="s">
        <v>1045</v>
      </c>
      <c r="B458" s="773">
        <v>452</v>
      </c>
      <c r="C458" s="789" t="s">
        <v>3847</v>
      </c>
      <c r="D458" s="773" t="s">
        <v>3833</v>
      </c>
      <c r="E458" s="773" t="s">
        <v>1907</v>
      </c>
      <c r="F458" s="785" t="s">
        <v>3848</v>
      </c>
      <c r="G458" s="790" t="s">
        <v>3849</v>
      </c>
      <c r="H458" s="791" t="s">
        <v>3850</v>
      </c>
      <c r="I458" s="792"/>
      <c r="J458" s="793"/>
      <c r="K458" s="793">
        <v>1</v>
      </c>
      <c r="L458" s="793"/>
      <c r="M458" s="793"/>
      <c r="N458" s="793"/>
      <c r="O458" s="793"/>
      <c r="P458" s="794"/>
      <c r="Q458" s="795">
        <f t="shared" si="7"/>
        <v>1</v>
      </c>
      <c r="R458" s="789" t="s">
        <v>1026</v>
      </c>
      <c r="S458" s="773" t="s">
        <v>1008</v>
      </c>
      <c r="T458" s="796" t="s">
        <v>1009</v>
      </c>
      <c r="U458" s="773" t="s">
        <v>2295</v>
      </c>
      <c r="V458" s="773" t="s">
        <v>278</v>
      </c>
      <c r="W458" s="773" t="s">
        <v>3851</v>
      </c>
      <c r="X458" s="1310">
        <v>1</v>
      </c>
      <c r="Y458" s="819" t="s">
        <v>1010</v>
      </c>
      <c r="Z458" s="790"/>
      <c r="AA458" s="785"/>
      <c r="AB458" s="785"/>
      <c r="AC458" s="785"/>
      <c r="AD458" s="785"/>
      <c r="AE458" s="785"/>
      <c r="AF458" s="799"/>
      <c r="AG458" s="800"/>
      <c r="AH458" s="800"/>
      <c r="AI458" s="800"/>
      <c r="AJ458" s="800"/>
      <c r="AK458" s="800"/>
      <c r="AL458" s="800"/>
      <c r="AM458" s="800"/>
      <c r="AN458" s="800"/>
      <c r="AO458" s="800"/>
      <c r="AP458" s="863"/>
      <c r="AQ458" s="817">
        <v>96</v>
      </c>
      <c r="AR458" s="800">
        <v>96.6</v>
      </c>
      <c r="AS458" s="800">
        <v>97.2</v>
      </c>
      <c r="AT458" s="800">
        <v>97.8</v>
      </c>
      <c r="AU458" s="805">
        <v>98.5</v>
      </c>
      <c r="AV458" s="808"/>
      <c r="AW458" s="800"/>
      <c r="AX458" s="800"/>
      <c r="AY458" s="800"/>
      <c r="AZ458" s="863"/>
      <c r="BA458" s="800"/>
      <c r="BB458" s="800"/>
      <c r="BC458" s="800"/>
      <c r="BD458" s="800"/>
      <c r="BE458" s="863"/>
      <c r="BF458" s="800"/>
      <c r="BG458" s="800"/>
      <c r="BH458" s="800"/>
      <c r="BI458" s="800"/>
      <c r="BJ458" s="863"/>
      <c r="BK458" s="865"/>
      <c r="BL458" s="789" t="s">
        <v>168</v>
      </c>
      <c r="BM458" s="785" t="s">
        <v>168</v>
      </c>
      <c r="BN458" s="785" t="s">
        <v>168</v>
      </c>
      <c r="BO458" s="785" t="s">
        <v>168</v>
      </c>
      <c r="BP458" s="796" t="s">
        <v>168</v>
      </c>
      <c r="BQ458" s="808" t="s">
        <v>1942</v>
      </c>
      <c r="BR458" s="800" t="s">
        <v>1942</v>
      </c>
      <c r="BS458" s="800" t="s">
        <v>1942</v>
      </c>
      <c r="BT458" s="800" t="s">
        <v>1942</v>
      </c>
      <c r="BU458" s="805" t="s">
        <v>1942</v>
      </c>
      <c r="BV458" s="808" t="s">
        <v>1942</v>
      </c>
      <c r="BW458" s="800" t="s">
        <v>1942</v>
      </c>
      <c r="BX458" s="800" t="s">
        <v>1942</v>
      </c>
      <c r="BY458" s="800" t="s">
        <v>1942</v>
      </c>
      <c r="BZ458" s="800" t="s">
        <v>1942</v>
      </c>
      <c r="CA458" s="808" t="s">
        <v>1942</v>
      </c>
      <c r="CB458" s="800" t="s">
        <v>1942</v>
      </c>
      <c r="CC458" s="800" t="s">
        <v>1942</v>
      </c>
      <c r="CD458" s="800" t="s">
        <v>1942</v>
      </c>
      <c r="CE458" s="805" t="s">
        <v>1942</v>
      </c>
      <c r="CF458" s="800" t="s">
        <v>1942</v>
      </c>
      <c r="CG458" s="800" t="s">
        <v>1942</v>
      </c>
      <c r="CH458" s="800" t="s">
        <v>1942</v>
      </c>
      <c r="CI458" s="800" t="s">
        <v>1942</v>
      </c>
      <c r="CJ458" s="805" t="s">
        <v>1942</v>
      </c>
      <c r="CK458" s="808" t="s">
        <v>1942</v>
      </c>
      <c r="CL458" s="800" t="s">
        <v>1942</v>
      </c>
      <c r="CM458" s="800" t="s">
        <v>1942</v>
      </c>
      <c r="CN458" s="800" t="s">
        <v>1942</v>
      </c>
      <c r="CO458" s="805" t="s">
        <v>1942</v>
      </c>
      <c r="CP458" s="808" t="s">
        <v>1942</v>
      </c>
      <c r="CQ458" s="800" t="s">
        <v>1942</v>
      </c>
      <c r="CR458" s="800" t="s">
        <v>1942</v>
      </c>
      <c r="CS458" s="800" t="s">
        <v>1942</v>
      </c>
      <c r="CT458" s="805" t="s">
        <v>1942</v>
      </c>
      <c r="CU458" s="1284">
        <v>-0.999</v>
      </c>
      <c r="CV458" s="1283" t="s">
        <v>1942</v>
      </c>
      <c r="CW458" s="1283" t="s">
        <v>1942</v>
      </c>
      <c r="CX458" s="1285" t="s">
        <v>1942</v>
      </c>
      <c r="CY458" s="1283" t="s">
        <v>1942</v>
      </c>
      <c r="CZ458" s="1283" t="s">
        <v>1942</v>
      </c>
      <c r="DA458" s="1283" t="s">
        <v>1942</v>
      </c>
      <c r="DB458" s="1285" t="s">
        <v>1942</v>
      </c>
      <c r="DC458" s="785"/>
      <c r="DD458" s="813">
        <v>1</v>
      </c>
      <c r="DE458" s="814"/>
    </row>
    <row r="459" spans="1:109" ht="13.15" hidden="1">
      <c r="A459" s="772" t="s">
        <v>1045</v>
      </c>
      <c r="B459" s="773">
        <v>453</v>
      </c>
      <c r="C459" s="789" t="s">
        <v>3852</v>
      </c>
      <c r="D459" s="773" t="s">
        <v>3853</v>
      </c>
      <c r="E459" s="773" t="s">
        <v>1907</v>
      </c>
      <c r="F459" s="785" t="s">
        <v>3854</v>
      </c>
      <c r="G459" s="790" t="s">
        <v>839</v>
      </c>
      <c r="H459" s="791" t="s">
        <v>3855</v>
      </c>
      <c r="I459" s="792"/>
      <c r="J459" s="793"/>
      <c r="K459" s="793">
        <v>1</v>
      </c>
      <c r="L459" s="793"/>
      <c r="M459" s="793"/>
      <c r="N459" s="793"/>
      <c r="O459" s="793"/>
      <c r="P459" s="794"/>
      <c r="Q459" s="795">
        <f t="shared" si="7"/>
        <v>1</v>
      </c>
      <c r="R459" s="789" t="s">
        <v>1007</v>
      </c>
      <c r="S459" s="773"/>
      <c r="T459" s="796"/>
      <c r="U459" s="773" t="s">
        <v>2058</v>
      </c>
      <c r="V459" s="773" t="s">
        <v>278</v>
      </c>
      <c r="W459" s="773" t="s">
        <v>1146</v>
      </c>
      <c r="X459" s="1310">
        <v>2</v>
      </c>
      <c r="Y459" s="821" t="s">
        <v>1020</v>
      </c>
      <c r="Z459" s="790" t="s">
        <v>839</v>
      </c>
      <c r="AA459" s="785"/>
      <c r="AB459" s="785"/>
      <c r="AC459" s="785"/>
      <c r="AD459" s="785"/>
      <c r="AE459" s="785"/>
      <c r="AF459" s="799"/>
      <c r="AG459" s="800"/>
      <c r="AH459" s="800"/>
      <c r="AI459" s="800"/>
      <c r="AJ459" s="800"/>
      <c r="AK459" s="800"/>
      <c r="AL459" s="800"/>
      <c r="AM459" s="800"/>
      <c r="AN459" s="807"/>
      <c r="AO459" s="807"/>
      <c r="AP459" s="807"/>
      <c r="AQ459" s="1421"/>
      <c r="AR459" s="1373"/>
      <c r="AS459" s="1373"/>
      <c r="AT459" s="1373"/>
      <c r="AU459" s="1374"/>
      <c r="AV459" s="808"/>
      <c r="AW459" s="800"/>
      <c r="AX459" s="800"/>
      <c r="AY459" s="800"/>
      <c r="AZ459" s="863"/>
      <c r="BA459" s="800"/>
      <c r="BB459" s="800"/>
      <c r="BC459" s="800"/>
      <c r="BD459" s="800"/>
      <c r="BE459" s="863"/>
      <c r="BF459" s="800"/>
      <c r="BG459" s="800"/>
      <c r="BH459" s="800"/>
      <c r="BI459" s="800"/>
      <c r="BJ459" s="863"/>
      <c r="BK459" s="865"/>
      <c r="BL459" s="1376"/>
      <c r="BM459" s="1377"/>
      <c r="BN459" s="1377"/>
      <c r="BO459" s="1377"/>
      <c r="BP459" s="1440"/>
      <c r="BQ459" s="1420"/>
      <c r="BR459" s="1368"/>
      <c r="BS459" s="1368"/>
      <c r="BT459" s="1368"/>
      <c r="BU459" s="1369"/>
      <c r="BV459" s="1420"/>
      <c r="BW459" s="1368"/>
      <c r="BX459" s="1368"/>
      <c r="BY459" s="1368"/>
      <c r="BZ459" s="1368"/>
      <c r="CA459" s="1420"/>
      <c r="CB459" s="1368"/>
      <c r="CC459" s="1368"/>
      <c r="CD459" s="1368"/>
      <c r="CE459" s="1369"/>
      <c r="CF459" s="1368"/>
      <c r="CG459" s="1368"/>
      <c r="CH459" s="1368"/>
      <c r="CI459" s="1368"/>
      <c r="CJ459" s="1369"/>
      <c r="CK459" s="1420"/>
      <c r="CL459" s="1368"/>
      <c r="CM459" s="1368"/>
      <c r="CN459" s="1368"/>
      <c r="CO459" s="1369"/>
      <c r="CP459" s="1420"/>
      <c r="CQ459" s="1368"/>
      <c r="CR459" s="1368"/>
      <c r="CS459" s="1368"/>
      <c r="CT459" s="1369"/>
      <c r="CU459" s="1528"/>
      <c r="CV459" s="1519"/>
      <c r="CW459" s="1519"/>
      <c r="CX459" s="1728"/>
      <c r="CY459" s="1519"/>
      <c r="CZ459" s="1519"/>
      <c r="DA459" s="1519"/>
      <c r="DB459" s="1728"/>
      <c r="DC459" s="1377"/>
      <c r="DD459" s="1729"/>
      <c r="DE459" s="1734"/>
    </row>
    <row r="460" spans="1:109" ht="118.15" hidden="1">
      <c r="A460" s="772" t="s">
        <v>1045</v>
      </c>
      <c r="B460" s="773">
        <v>454</v>
      </c>
      <c r="C460" s="789" t="s">
        <v>3856</v>
      </c>
      <c r="D460" s="773" t="s">
        <v>3853</v>
      </c>
      <c r="E460" s="773" t="s">
        <v>1889</v>
      </c>
      <c r="F460" s="785" t="s">
        <v>3857</v>
      </c>
      <c r="G460" s="790" t="s">
        <v>3198</v>
      </c>
      <c r="H460" s="791" t="s">
        <v>3858</v>
      </c>
      <c r="I460" s="792"/>
      <c r="J460" s="793"/>
      <c r="K460" s="793">
        <v>1</v>
      </c>
      <c r="L460" s="793"/>
      <c r="M460" s="793"/>
      <c r="N460" s="793"/>
      <c r="O460" s="793"/>
      <c r="P460" s="794"/>
      <c r="Q460" s="795">
        <f t="shared" si="7"/>
        <v>1</v>
      </c>
      <c r="R460" s="789" t="s">
        <v>1030</v>
      </c>
      <c r="S460" s="773" t="s">
        <v>1008</v>
      </c>
      <c r="T460" s="796" t="s">
        <v>1019</v>
      </c>
      <c r="U460" s="773" t="s">
        <v>1910</v>
      </c>
      <c r="V460" s="773" t="s">
        <v>2177</v>
      </c>
      <c r="W460" s="773" t="s">
        <v>3859</v>
      </c>
      <c r="X460" s="1311">
        <v>2</v>
      </c>
      <c r="Y460" s="819" t="s">
        <v>1010</v>
      </c>
      <c r="Z460" s="790"/>
      <c r="AA460" s="785"/>
      <c r="AB460" s="785"/>
      <c r="AC460" s="785"/>
      <c r="AD460" s="785"/>
      <c r="AE460" s="785"/>
      <c r="AF460" s="799"/>
      <c r="AG460" s="800"/>
      <c r="AH460" s="800"/>
      <c r="AI460" s="800"/>
      <c r="AJ460" s="800"/>
      <c r="AK460" s="800"/>
      <c r="AL460" s="800"/>
      <c r="AM460" s="800"/>
      <c r="AN460" s="800"/>
      <c r="AO460" s="800"/>
      <c r="AP460" s="863"/>
      <c r="AQ460" s="828">
        <v>5</v>
      </c>
      <c r="AR460" s="829">
        <v>10</v>
      </c>
      <c r="AS460" s="829">
        <v>20</v>
      </c>
      <c r="AT460" s="829">
        <v>40</v>
      </c>
      <c r="AU460" s="830">
        <v>65</v>
      </c>
      <c r="AV460" s="808"/>
      <c r="AW460" s="800"/>
      <c r="AX460" s="800"/>
      <c r="AY460" s="800"/>
      <c r="AZ460" s="863"/>
      <c r="BA460" s="800"/>
      <c r="BB460" s="800"/>
      <c r="BC460" s="800"/>
      <c r="BD460" s="800"/>
      <c r="BE460" s="863"/>
      <c r="BF460" s="800"/>
      <c r="BG460" s="800"/>
      <c r="BH460" s="800"/>
      <c r="BI460" s="800"/>
      <c r="BJ460" s="863"/>
      <c r="BK460" s="865"/>
      <c r="BL460" s="789"/>
      <c r="BM460" s="785"/>
      <c r="BN460" s="785"/>
      <c r="BO460" s="785"/>
      <c r="BP460" s="796" t="s">
        <v>168</v>
      </c>
      <c r="BQ460" s="808" t="s">
        <v>1942</v>
      </c>
      <c r="BR460" s="800" t="s">
        <v>1942</v>
      </c>
      <c r="BS460" s="800" t="s">
        <v>1942</v>
      </c>
      <c r="BT460" s="800" t="s">
        <v>1942</v>
      </c>
      <c r="BU460" s="805" t="s">
        <v>1942</v>
      </c>
      <c r="BV460" s="808" t="s">
        <v>1942</v>
      </c>
      <c r="BW460" s="800" t="s">
        <v>1942</v>
      </c>
      <c r="BX460" s="800" t="s">
        <v>1942</v>
      </c>
      <c r="BY460" s="800" t="s">
        <v>1942</v>
      </c>
      <c r="BZ460" s="800" t="s">
        <v>1942</v>
      </c>
      <c r="CA460" s="808" t="s">
        <v>1942</v>
      </c>
      <c r="CB460" s="800" t="s">
        <v>1942</v>
      </c>
      <c r="CC460" s="800" t="s">
        <v>1942</v>
      </c>
      <c r="CD460" s="800" t="s">
        <v>1942</v>
      </c>
      <c r="CE460" s="805" t="s">
        <v>1942</v>
      </c>
      <c r="CF460" s="800" t="s">
        <v>1942</v>
      </c>
      <c r="CG460" s="800" t="s">
        <v>1942</v>
      </c>
      <c r="CH460" s="800" t="s">
        <v>1942</v>
      </c>
      <c r="CI460" s="800" t="s">
        <v>1942</v>
      </c>
      <c r="CJ460" s="805" t="s">
        <v>1942</v>
      </c>
      <c r="CK460" s="808" t="s">
        <v>1942</v>
      </c>
      <c r="CL460" s="800" t="s">
        <v>1942</v>
      </c>
      <c r="CM460" s="800" t="s">
        <v>1942</v>
      </c>
      <c r="CN460" s="800" t="s">
        <v>1942</v>
      </c>
      <c r="CO460" s="805" t="s">
        <v>1942</v>
      </c>
      <c r="CP460" s="808" t="s">
        <v>1942</v>
      </c>
      <c r="CQ460" s="800" t="s">
        <v>1942</v>
      </c>
      <c r="CR460" s="800" t="s">
        <v>1942</v>
      </c>
      <c r="CS460" s="800" t="s">
        <v>1942</v>
      </c>
      <c r="CT460" s="805" t="s">
        <v>1942</v>
      </c>
      <c r="CU460" s="1284">
        <v>-5.6000000000000001E-2</v>
      </c>
      <c r="CV460" s="1283" t="s">
        <v>1942</v>
      </c>
      <c r="CW460" s="1283" t="s">
        <v>1942</v>
      </c>
      <c r="CX460" s="1285" t="s">
        <v>1942</v>
      </c>
      <c r="CY460" s="1283">
        <v>3.6999999999999998E-2</v>
      </c>
      <c r="CZ460" s="1283" t="s">
        <v>1942</v>
      </c>
      <c r="DA460" s="1283" t="s">
        <v>1942</v>
      </c>
      <c r="DB460" s="1285" t="s">
        <v>1942</v>
      </c>
      <c r="DC460" s="785"/>
      <c r="DD460" s="813">
        <v>1</v>
      </c>
      <c r="DE460" s="814"/>
    </row>
    <row r="461" spans="1:109" ht="105" hidden="1">
      <c r="A461" s="772" t="s">
        <v>1045</v>
      </c>
      <c r="B461" s="773">
        <v>455</v>
      </c>
      <c r="C461" s="789" t="s">
        <v>3860</v>
      </c>
      <c r="D461" s="773" t="s">
        <v>3853</v>
      </c>
      <c r="E461" s="773" t="s">
        <v>1907</v>
      </c>
      <c r="F461" s="785" t="s">
        <v>3861</v>
      </c>
      <c r="G461" s="790" t="s">
        <v>535</v>
      </c>
      <c r="H461" s="791" t="s">
        <v>3862</v>
      </c>
      <c r="I461" s="792">
        <v>0.01</v>
      </c>
      <c r="J461" s="793">
        <v>0.99</v>
      </c>
      <c r="K461" s="793"/>
      <c r="L461" s="793"/>
      <c r="M461" s="793"/>
      <c r="N461" s="793"/>
      <c r="O461" s="793"/>
      <c r="P461" s="794"/>
      <c r="Q461" s="795">
        <f t="shared" si="7"/>
        <v>1</v>
      </c>
      <c r="R461" s="789" t="s">
        <v>1007</v>
      </c>
      <c r="S461" s="773"/>
      <c r="T461" s="796"/>
      <c r="U461" s="773" t="s">
        <v>1910</v>
      </c>
      <c r="V461" s="773" t="s">
        <v>278</v>
      </c>
      <c r="W461" s="773" t="s">
        <v>1146</v>
      </c>
      <c r="X461" s="1311">
        <v>1</v>
      </c>
      <c r="Y461" s="821" t="s">
        <v>1020</v>
      </c>
      <c r="Z461" s="790" t="s">
        <v>535</v>
      </c>
      <c r="AA461" s="785"/>
      <c r="AB461" s="785"/>
      <c r="AC461" s="785"/>
      <c r="AD461" s="785"/>
      <c r="AE461" s="785"/>
      <c r="AF461" s="799"/>
      <c r="AG461" s="800"/>
      <c r="AH461" s="800"/>
      <c r="AI461" s="800"/>
      <c r="AJ461" s="800"/>
      <c r="AK461" s="800"/>
      <c r="AL461" s="800"/>
      <c r="AM461" s="800"/>
      <c r="AN461" s="816"/>
      <c r="AO461" s="816"/>
      <c r="AP461" s="816"/>
      <c r="AQ461" s="1521"/>
      <c r="AR461" s="1730"/>
      <c r="AS461" s="1730"/>
      <c r="AT461" s="1730"/>
      <c r="AU461" s="1527"/>
      <c r="AV461" s="817"/>
      <c r="AW461" s="816"/>
      <c r="AX461" s="816"/>
      <c r="AY461" s="816"/>
      <c r="AZ461" s="816"/>
      <c r="BA461" s="816"/>
      <c r="BB461" s="816"/>
      <c r="BC461" s="816"/>
      <c r="BD461" s="816"/>
      <c r="BE461" s="816"/>
      <c r="BF461" s="816"/>
      <c r="BG461" s="816"/>
      <c r="BH461" s="816"/>
      <c r="BI461" s="816"/>
      <c r="BJ461" s="816"/>
      <c r="BK461" s="818"/>
      <c r="BL461" s="1376"/>
      <c r="BM461" s="1377"/>
      <c r="BN461" s="1377"/>
      <c r="BO461" s="1377"/>
      <c r="BP461" s="1440"/>
      <c r="BQ461" s="1420"/>
      <c r="BR461" s="1368"/>
      <c r="BS461" s="1368"/>
      <c r="BT461" s="1368"/>
      <c r="BU461" s="1369"/>
      <c r="BV461" s="1420"/>
      <c r="BW461" s="1368"/>
      <c r="BX461" s="1368"/>
      <c r="BY461" s="1368"/>
      <c r="BZ461" s="1368"/>
      <c r="CA461" s="1420"/>
      <c r="CB461" s="1368"/>
      <c r="CC461" s="1368"/>
      <c r="CD461" s="1368"/>
      <c r="CE461" s="1369"/>
      <c r="CF461" s="1368"/>
      <c r="CG461" s="1368"/>
      <c r="CH461" s="1368"/>
      <c r="CI461" s="1368"/>
      <c r="CJ461" s="1368"/>
      <c r="CK461" s="1420"/>
      <c r="CL461" s="1368"/>
      <c r="CM461" s="1368"/>
      <c r="CN461" s="1368"/>
      <c r="CO461" s="1369"/>
      <c r="CP461" s="1420"/>
      <c r="CQ461" s="1368"/>
      <c r="CR461" s="1368"/>
      <c r="CS461" s="1368"/>
      <c r="CT461" s="1369"/>
      <c r="CU461" s="1528"/>
      <c r="CV461" s="1519"/>
      <c r="CW461" s="1519"/>
      <c r="CX461" s="1728"/>
      <c r="CY461" s="1519"/>
      <c r="CZ461" s="1519"/>
      <c r="DA461" s="1519"/>
      <c r="DB461" s="1728"/>
      <c r="DC461" s="1377"/>
      <c r="DD461" s="1729"/>
      <c r="DE461" s="1734"/>
    </row>
    <row r="462" spans="1:109" ht="91.9" hidden="1">
      <c r="A462" s="772" t="s">
        <v>1045</v>
      </c>
      <c r="B462" s="773">
        <v>456</v>
      </c>
      <c r="C462" s="789" t="s">
        <v>3863</v>
      </c>
      <c r="D462" s="773" t="s">
        <v>3853</v>
      </c>
      <c r="E462" s="773" t="s">
        <v>1896</v>
      </c>
      <c r="F462" s="785" t="s">
        <v>3864</v>
      </c>
      <c r="G462" s="790" t="s">
        <v>3865</v>
      </c>
      <c r="H462" s="791" t="s">
        <v>3866</v>
      </c>
      <c r="I462" s="792">
        <v>0.67</v>
      </c>
      <c r="J462" s="793">
        <v>0.33</v>
      </c>
      <c r="K462" s="793"/>
      <c r="L462" s="793"/>
      <c r="M462" s="793"/>
      <c r="N462" s="793"/>
      <c r="O462" s="793"/>
      <c r="P462" s="794"/>
      <c r="Q462" s="795">
        <f t="shared" si="7"/>
        <v>1</v>
      </c>
      <c r="R462" s="789" t="s">
        <v>1026</v>
      </c>
      <c r="S462" s="773" t="s">
        <v>1008</v>
      </c>
      <c r="T462" s="796" t="s">
        <v>1009</v>
      </c>
      <c r="U462" s="773" t="s">
        <v>2515</v>
      </c>
      <c r="V462" s="773" t="s">
        <v>1081</v>
      </c>
      <c r="W462" s="773" t="s">
        <v>3867</v>
      </c>
      <c r="X462" s="1310">
        <v>0</v>
      </c>
      <c r="Y462" s="821" t="s">
        <v>1010</v>
      </c>
      <c r="Z462" s="790"/>
      <c r="AA462" s="785"/>
      <c r="AB462" s="785"/>
      <c r="AC462" s="785"/>
      <c r="AD462" s="785"/>
      <c r="AE462" s="785"/>
      <c r="AF462" s="799"/>
      <c r="AG462" s="800"/>
      <c r="AH462" s="800"/>
      <c r="AI462" s="800"/>
      <c r="AJ462" s="800"/>
      <c r="AK462" s="800"/>
      <c r="AL462" s="800"/>
      <c r="AM462" s="800"/>
      <c r="AN462" s="800"/>
      <c r="AO462" s="800"/>
      <c r="AP462" s="800"/>
      <c r="AQ462" s="808">
        <v>100</v>
      </c>
      <c r="AR462" s="800">
        <v>100</v>
      </c>
      <c r="AS462" s="800">
        <v>100</v>
      </c>
      <c r="AT462" s="800">
        <v>100</v>
      </c>
      <c r="AU462" s="805">
        <v>100</v>
      </c>
      <c r="AV462" s="808"/>
      <c r="AW462" s="800"/>
      <c r="AX462" s="800"/>
      <c r="AY462" s="800"/>
      <c r="AZ462" s="800"/>
      <c r="BA462" s="800"/>
      <c r="BB462" s="800"/>
      <c r="BC462" s="800"/>
      <c r="BD462" s="800"/>
      <c r="BE462" s="800"/>
      <c r="BF462" s="800"/>
      <c r="BG462" s="800"/>
      <c r="BH462" s="800"/>
      <c r="BI462" s="800"/>
      <c r="BJ462" s="800"/>
      <c r="BK462" s="805"/>
      <c r="BL462" s="789" t="s">
        <v>168</v>
      </c>
      <c r="BM462" s="785" t="s">
        <v>168</v>
      </c>
      <c r="BN462" s="785" t="s">
        <v>168</v>
      </c>
      <c r="BO462" s="785" t="s">
        <v>168</v>
      </c>
      <c r="BP462" s="796" t="s">
        <v>168</v>
      </c>
      <c r="BQ462" s="808" t="s">
        <v>1942</v>
      </c>
      <c r="BR462" s="800" t="s">
        <v>1942</v>
      </c>
      <c r="BS462" s="800" t="s">
        <v>1942</v>
      </c>
      <c r="BT462" s="800" t="s">
        <v>1942</v>
      </c>
      <c r="BU462" s="805" t="s">
        <v>1942</v>
      </c>
      <c r="BV462" s="808" t="s">
        <v>1942</v>
      </c>
      <c r="BW462" s="800" t="s">
        <v>1942</v>
      </c>
      <c r="BX462" s="800" t="s">
        <v>1942</v>
      </c>
      <c r="BY462" s="800" t="s">
        <v>1942</v>
      </c>
      <c r="BZ462" s="800" t="s">
        <v>1942</v>
      </c>
      <c r="CA462" s="808" t="s">
        <v>1942</v>
      </c>
      <c r="CB462" s="800" t="s">
        <v>1942</v>
      </c>
      <c r="CC462" s="800" t="s">
        <v>1942</v>
      </c>
      <c r="CD462" s="800" t="s">
        <v>1942</v>
      </c>
      <c r="CE462" s="805" t="s">
        <v>1942</v>
      </c>
      <c r="CF462" s="800" t="s">
        <v>1942</v>
      </c>
      <c r="CG462" s="800" t="s">
        <v>1942</v>
      </c>
      <c r="CH462" s="800" t="s">
        <v>1942</v>
      </c>
      <c r="CI462" s="800" t="s">
        <v>1942</v>
      </c>
      <c r="CJ462" s="800" t="s">
        <v>1942</v>
      </c>
      <c r="CK462" s="808" t="s">
        <v>1942</v>
      </c>
      <c r="CL462" s="800" t="s">
        <v>1942</v>
      </c>
      <c r="CM462" s="800" t="s">
        <v>1942</v>
      </c>
      <c r="CN462" s="800" t="s">
        <v>1942</v>
      </c>
      <c r="CO462" s="805" t="s">
        <v>1942</v>
      </c>
      <c r="CP462" s="808" t="s">
        <v>1942</v>
      </c>
      <c r="CQ462" s="800" t="s">
        <v>1942</v>
      </c>
      <c r="CR462" s="800" t="s">
        <v>1942</v>
      </c>
      <c r="CS462" s="800" t="s">
        <v>1942</v>
      </c>
      <c r="CT462" s="805" t="s">
        <v>1942</v>
      </c>
      <c r="CU462" s="1284">
        <v>-0.224</v>
      </c>
      <c r="CV462" s="1283" t="s">
        <v>1942</v>
      </c>
      <c r="CW462" s="1283" t="s">
        <v>1942</v>
      </c>
      <c r="CX462" s="1285" t="s">
        <v>1942</v>
      </c>
      <c r="CY462" s="1283" t="s">
        <v>1942</v>
      </c>
      <c r="CZ462" s="1283" t="s">
        <v>1942</v>
      </c>
      <c r="DA462" s="1283" t="s">
        <v>1942</v>
      </c>
      <c r="DB462" s="1285" t="s">
        <v>1942</v>
      </c>
      <c r="DC462" s="785"/>
      <c r="DD462" s="813">
        <v>1</v>
      </c>
      <c r="DE462" s="814"/>
    </row>
    <row r="463" spans="1:109" ht="65.650000000000006" hidden="1">
      <c r="A463" s="772" t="s">
        <v>1045</v>
      </c>
      <c r="B463" s="773">
        <v>457</v>
      </c>
      <c r="C463" s="789" t="s">
        <v>3868</v>
      </c>
      <c r="D463" s="773" t="s">
        <v>3853</v>
      </c>
      <c r="E463" s="773" t="s">
        <v>1907</v>
      </c>
      <c r="F463" s="785" t="s">
        <v>3869</v>
      </c>
      <c r="G463" s="790" t="s">
        <v>3870</v>
      </c>
      <c r="H463" s="791" t="s">
        <v>3871</v>
      </c>
      <c r="I463" s="792"/>
      <c r="J463" s="793">
        <v>0.67</v>
      </c>
      <c r="K463" s="793">
        <v>0.33</v>
      </c>
      <c r="L463" s="793"/>
      <c r="M463" s="793"/>
      <c r="N463" s="793"/>
      <c r="O463" s="793"/>
      <c r="P463" s="794"/>
      <c r="Q463" s="795">
        <f t="shared" si="7"/>
        <v>1</v>
      </c>
      <c r="R463" s="789" t="s">
        <v>1026</v>
      </c>
      <c r="S463" s="773" t="s">
        <v>1008</v>
      </c>
      <c r="T463" s="796" t="s">
        <v>1019</v>
      </c>
      <c r="U463" s="773" t="s">
        <v>1910</v>
      </c>
      <c r="V463" s="773" t="s">
        <v>1033</v>
      </c>
      <c r="W463" s="773" t="s">
        <v>2682</v>
      </c>
      <c r="X463" s="1310">
        <v>0</v>
      </c>
      <c r="Y463" s="821" t="s">
        <v>1010</v>
      </c>
      <c r="Z463" s="790"/>
      <c r="AA463" s="785"/>
      <c r="AB463" s="785"/>
      <c r="AC463" s="785"/>
      <c r="AD463" s="785"/>
      <c r="AE463" s="785"/>
      <c r="AF463" s="799"/>
      <c r="AG463" s="800"/>
      <c r="AH463" s="800"/>
      <c r="AI463" s="800"/>
      <c r="AJ463" s="800"/>
      <c r="AK463" s="800"/>
      <c r="AL463" s="800"/>
      <c r="AM463" s="800"/>
      <c r="AN463" s="800"/>
      <c r="AO463" s="800"/>
      <c r="AP463" s="800"/>
      <c r="AQ463" s="808">
        <v>9</v>
      </c>
      <c r="AR463" s="800">
        <v>18</v>
      </c>
      <c r="AS463" s="800">
        <v>27</v>
      </c>
      <c r="AT463" s="800">
        <v>36</v>
      </c>
      <c r="AU463" s="805">
        <v>47</v>
      </c>
      <c r="AV463" s="808"/>
      <c r="AW463" s="800"/>
      <c r="AX463" s="800"/>
      <c r="AY463" s="800"/>
      <c r="AZ463" s="800"/>
      <c r="BA463" s="800"/>
      <c r="BB463" s="800"/>
      <c r="BC463" s="800"/>
      <c r="BD463" s="800"/>
      <c r="BE463" s="800"/>
      <c r="BF463" s="800"/>
      <c r="BG463" s="800"/>
      <c r="BH463" s="800"/>
      <c r="BI463" s="800"/>
      <c r="BJ463" s="800"/>
      <c r="BK463" s="805"/>
      <c r="BL463" s="789"/>
      <c r="BM463" s="785"/>
      <c r="BN463" s="785"/>
      <c r="BO463" s="785"/>
      <c r="BP463" s="796" t="s">
        <v>168</v>
      </c>
      <c r="BQ463" s="808" t="s">
        <v>1942</v>
      </c>
      <c r="BR463" s="800" t="s">
        <v>1942</v>
      </c>
      <c r="BS463" s="800" t="s">
        <v>1942</v>
      </c>
      <c r="BT463" s="800" t="s">
        <v>1942</v>
      </c>
      <c r="BU463" s="805" t="s">
        <v>1942</v>
      </c>
      <c r="BV463" s="808" t="s">
        <v>1942</v>
      </c>
      <c r="BW463" s="800" t="s">
        <v>1942</v>
      </c>
      <c r="BX463" s="800" t="s">
        <v>1942</v>
      </c>
      <c r="BY463" s="800" t="s">
        <v>1942</v>
      </c>
      <c r="BZ463" s="800" t="s">
        <v>1942</v>
      </c>
      <c r="CA463" s="808" t="s">
        <v>1942</v>
      </c>
      <c r="CB463" s="800" t="s">
        <v>1942</v>
      </c>
      <c r="CC463" s="800" t="s">
        <v>1942</v>
      </c>
      <c r="CD463" s="800" t="s">
        <v>1942</v>
      </c>
      <c r="CE463" s="805" t="s">
        <v>1942</v>
      </c>
      <c r="CF463" s="800" t="s">
        <v>1942</v>
      </c>
      <c r="CG463" s="800" t="s">
        <v>1942</v>
      </c>
      <c r="CH463" s="800" t="s">
        <v>1942</v>
      </c>
      <c r="CI463" s="800" t="s">
        <v>1942</v>
      </c>
      <c r="CJ463" s="805" t="s">
        <v>1942</v>
      </c>
      <c r="CK463" s="808" t="s">
        <v>1942</v>
      </c>
      <c r="CL463" s="800" t="s">
        <v>1942</v>
      </c>
      <c r="CM463" s="800" t="s">
        <v>1942</v>
      </c>
      <c r="CN463" s="800" t="s">
        <v>1942</v>
      </c>
      <c r="CO463" s="805" t="s">
        <v>1942</v>
      </c>
      <c r="CP463" s="808" t="s">
        <v>1942</v>
      </c>
      <c r="CQ463" s="800" t="s">
        <v>1942</v>
      </c>
      <c r="CR463" s="800" t="s">
        <v>1942</v>
      </c>
      <c r="CS463" s="800" t="s">
        <v>1942</v>
      </c>
      <c r="CT463" s="805" t="s">
        <v>1942</v>
      </c>
      <c r="CU463" s="1284">
        <v>-0.23710000000000001</v>
      </c>
      <c r="CV463" s="1283" t="s">
        <v>1942</v>
      </c>
      <c r="CW463" s="1283" t="s">
        <v>1942</v>
      </c>
      <c r="CX463" s="1285" t="s">
        <v>1942</v>
      </c>
      <c r="CY463" s="1283" t="s">
        <v>1942</v>
      </c>
      <c r="CZ463" s="1283" t="s">
        <v>1942</v>
      </c>
      <c r="DA463" s="1283" t="s">
        <v>1942</v>
      </c>
      <c r="DB463" s="1285" t="s">
        <v>1942</v>
      </c>
      <c r="DC463" s="785"/>
      <c r="DD463" s="813">
        <v>1</v>
      </c>
      <c r="DE463" s="814"/>
    </row>
    <row r="464" spans="1:109" ht="39.4" hidden="1">
      <c r="A464" s="772" t="s">
        <v>1045</v>
      </c>
      <c r="B464" s="773">
        <v>458</v>
      </c>
      <c r="C464" s="789" t="s">
        <v>3872</v>
      </c>
      <c r="D464" s="773" t="s">
        <v>3853</v>
      </c>
      <c r="E464" s="773" t="s">
        <v>1896</v>
      </c>
      <c r="F464" s="785" t="s">
        <v>3873</v>
      </c>
      <c r="G464" s="790" t="s">
        <v>3874</v>
      </c>
      <c r="H464" s="791" t="s">
        <v>3875</v>
      </c>
      <c r="I464" s="792"/>
      <c r="J464" s="793">
        <v>0.72</v>
      </c>
      <c r="K464" s="793">
        <v>0.28000000000000003</v>
      </c>
      <c r="L464" s="793"/>
      <c r="M464" s="793"/>
      <c r="N464" s="793"/>
      <c r="O464" s="793"/>
      <c r="P464" s="794"/>
      <c r="Q464" s="795">
        <f t="shared" si="7"/>
        <v>1</v>
      </c>
      <c r="R464" s="789" t="s">
        <v>1026</v>
      </c>
      <c r="S464" s="773" t="s">
        <v>1008</v>
      </c>
      <c r="T464" s="796" t="s">
        <v>1019</v>
      </c>
      <c r="U464" s="773" t="s">
        <v>3876</v>
      </c>
      <c r="V464" s="773" t="s">
        <v>278</v>
      </c>
      <c r="W464" s="773" t="s">
        <v>3877</v>
      </c>
      <c r="X464" s="1310">
        <v>1</v>
      </c>
      <c r="Y464" s="821" t="s">
        <v>1010</v>
      </c>
      <c r="Z464" s="790"/>
      <c r="AA464" s="785"/>
      <c r="AB464" s="785"/>
      <c r="AC464" s="785"/>
      <c r="AD464" s="785"/>
      <c r="AE464" s="785"/>
      <c r="AF464" s="799"/>
      <c r="AG464" s="800"/>
      <c r="AH464" s="800"/>
      <c r="AI464" s="800"/>
      <c r="AJ464" s="800"/>
      <c r="AK464" s="800"/>
      <c r="AL464" s="800"/>
      <c r="AM464" s="800"/>
      <c r="AN464" s="800"/>
      <c r="AO464" s="800"/>
      <c r="AP464" s="800"/>
      <c r="AQ464" s="817">
        <v>0</v>
      </c>
      <c r="AR464" s="816">
        <v>25</v>
      </c>
      <c r="AS464" s="816">
        <v>50</v>
      </c>
      <c r="AT464" s="816">
        <v>75</v>
      </c>
      <c r="AU464" s="818">
        <v>100</v>
      </c>
      <c r="AV464" s="808"/>
      <c r="AW464" s="800"/>
      <c r="AX464" s="800"/>
      <c r="AY464" s="800"/>
      <c r="AZ464" s="800"/>
      <c r="BA464" s="800"/>
      <c r="BB464" s="800"/>
      <c r="BC464" s="800"/>
      <c r="BD464" s="800"/>
      <c r="BE464" s="800"/>
      <c r="BF464" s="800"/>
      <c r="BG464" s="800"/>
      <c r="BH464" s="800"/>
      <c r="BI464" s="800"/>
      <c r="BJ464" s="800"/>
      <c r="BK464" s="805"/>
      <c r="BL464" s="789"/>
      <c r="BM464" s="785"/>
      <c r="BN464" s="785"/>
      <c r="BO464" s="785"/>
      <c r="BP464" s="796" t="s">
        <v>168</v>
      </c>
      <c r="BQ464" s="808" t="s">
        <v>1942</v>
      </c>
      <c r="BR464" s="800" t="s">
        <v>1942</v>
      </c>
      <c r="BS464" s="800" t="s">
        <v>1942</v>
      </c>
      <c r="BT464" s="800" t="s">
        <v>1942</v>
      </c>
      <c r="BU464" s="805" t="s">
        <v>1942</v>
      </c>
      <c r="BV464" s="808" t="s">
        <v>1942</v>
      </c>
      <c r="BW464" s="800" t="s">
        <v>1942</v>
      </c>
      <c r="BX464" s="800" t="s">
        <v>1942</v>
      </c>
      <c r="BY464" s="800" t="s">
        <v>1942</v>
      </c>
      <c r="BZ464" s="800" t="s">
        <v>1942</v>
      </c>
      <c r="CA464" s="808" t="s">
        <v>1942</v>
      </c>
      <c r="CB464" s="800" t="s">
        <v>1942</v>
      </c>
      <c r="CC464" s="800" t="s">
        <v>1942</v>
      </c>
      <c r="CD464" s="800" t="s">
        <v>1942</v>
      </c>
      <c r="CE464" s="805" t="s">
        <v>1942</v>
      </c>
      <c r="CF464" s="800" t="s">
        <v>1942</v>
      </c>
      <c r="CG464" s="800" t="s">
        <v>1942</v>
      </c>
      <c r="CH464" s="800" t="s">
        <v>1942</v>
      </c>
      <c r="CI464" s="800" t="s">
        <v>1942</v>
      </c>
      <c r="CJ464" s="805" t="s">
        <v>1942</v>
      </c>
      <c r="CK464" s="808" t="s">
        <v>1942</v>
      </c>
      <c r="CL464" s="800" t="s">
        <v>1942</v>
      </c>
      <c r="CM464" s="800" t="s">
        <v>1942</v>
      </c>
      <c r="CN464" s="800" t="s">
        <v>1942</v>
      </c>
      <c r="CO464" s="805" t="s">
        <v>1942</v>
      </c>
      <c r="CP464" s="808" t="s">
        <v>1942</v>
      </c>
      <c r="CQ464" s="800" t="s">
        <v>1942</v>
      </c>
      <c r="CR464" s="800" t="s">
        <v>1942</v>
      </c>
      <c r="CS464" s="800" t="s">
        <v>1942</v>
      </c>
      <c r="CT464" s="805" t="s">
        <v>1942</v>
      </c>
      <c r="CU464" s="1284">
        <v>-1.0999999999999999E-2</v>
      </c>
      <c r="CV464" s="1283" t="s">
        <v>1942</v>
      </c>
      <c r="CW464" s="1283" t="s">
        <v>1942</v>
      </c>
      <c r="CX464" s="1285" t="s">
        <v>1942</v>
      </c>
      <c r="CY464" s="1283" t="s">
        <v>1942</v>
      </c>
      <c r="CZ464" s="1283" t="s">
        <v>1942</v>
      </c>
      <c r="DA464" s="1283" t="s">
        <v>1942</v>
      </c>
      <c r="DB464" s="1285" t="s">
        <v>1942</v>
      </c>
      <c r="DC464" s="785" t="s">
        <v>131</v>
      </c>
      <c r="DD464" s="813">
        <v>1</v>
      </c>
      <c r="DE464" s="814"/>
    </row>
    <row r="465" spans="1:109" ht="13.15" hidden="1">
      <c r="A465" s="772" t="s">
        <v>1045</v>
      </c>
      <c r="B465" s="773">
        <v>459</v>
      </c>
      <c r="C465" s="789" t="s">
        <v>3878</v>
      </c>
      <c r="D465" s="773"/>
      <c r="E465" s="773"/>
      <c r="F465" s="785" t="s">
        <v>3879</v>
      </c>
      <c r="G465" s="790" t="s">
        <v>3880</v>
      </c>
      <c r="H465" s="791"/>
      <c r="I465" s="792"/>
      <c r="J465" s="793">
        <v>0.754</v>
      </c>
      <c r="K465" s="793">
        <v>0.246</v>
      </c>
      <c r="L465" s="793"/>
      <c r="M465" s="793"/>
      <c r="N465" s="793"/>
      <c r="O465" s="793"/>
      <c r="P465" s="794"/>
      <c r="Q465" s="795">
        <f t="shared" si="7"/>
        <v>1</v>
      </c>
      <c r="R465" s="789" t="s">
        <v>1026</v>
      </c>
      <c r="S465" s="773" t="s">
        <v>1008</v>
      </c>
      <c r="T465" s="796" t="s">
        <v>1019</v>
      </c>
      <c r="U465" s="773" t="s">
        <v>3876</v>
      </c>
      <c r="V465" s="773" t="s">
        <v>2118</v>
      </c>
      <c r="W465" s="773"/>
      <c r="X465" s="1310">
        <v>1</v>
      </c>
      <c r="Y465" s="821" t="s">
        <v>1010</v>
      </c>
      <c r="Z465" s="790"/>
      <c r="AA465" s="785"/>
      <c r="AB465" s="785"/>
      <c r="AC465" s="785"/>
      <c r="AD465" s="785"/>
      <c r="AE465" s="785"/>
      <c r="AF465" s="799"/>
      <c r="AG465" s="800"/>
      <c r="AH465" s="800"/>
      <c r="AI465" s="800"/>
      <c r="AJ465" s="800"/>
      <c r="AK465" s="800"/>
      <c r="AL465" s="800"/>
      <c r="AM465" s="800"/>
      <c r="AN465" s="800"/>
      <c r="AO465" s="800"/>
      <c r="AP465" s="800"/>
      <c r="AQ465" s="817">
        <v>7</v>
      </c>
      <c r="AR465" s="816">
        <v>27</v>
      </c>
      <c r="AS465" s="816">
        <v>52</v>
      </c>
      <c r="AT465" s="816">
        <v>77</v>
      </c>
      <c r="AU465" s="818">
        <v>100</v>
      </c>
      <c r="AV465" s="808"/>
      <c r="AW465" s="800"/>
      <c r="AX465" s="800"/>
      <c r="AY465" s="800"/>
      <c r="AZ465" s="800"/>
      <c r="BA465" s="800"/>
      <c r="BB465" s="800"/>
      <c r="BC465" s="800"/>
      <c r="BD465" s="800"/>
      <c r="BE465" s="800"/>
      <c r="BF465" s="800"/>
      <c r="BG465" s="800"/>
      <c r="BH465" s="800"/>
      <c r="BI465" s="800"/>
      <c r="BJ465" s="800"/>
      <c r="BK465" s="805"/>
      <c r="BL465" s="789"/>
      <c r="BM465" s="785"/>
      <c r="BN465" s="785"/>
      <c r="BO465" s="785"/>
      <c r="BP465" s="796" t="s">
        <v>168</v>
      </c>
      <c r="BQ465" s="808" t="s">
        <v>1942</v>
      </c>
      <c r="BR465" s="800" t="s">
        <v>1942</v>
      </c>
      <c r="BS465" s="800" t="s">
        <v>1942</v>
      </c>
      <c r="BT465" s="800" t="s">
        <v>1942</v>
      </c>
      <c r="BU465" s="805" t="s">
        <v>1942</v>
      </c>
      <c r="BV465" s="808" t="s">
        <v>1942</v>
      </c>
      <c r="BW465" s="800" t="s">
        <v>1942</v>
      </c>
      <c r="BX465" s="800" t="s">
        <v>1942</v>
      </c>
      <c r="BY465" s="800" t="s">
        <v>1942</v>
      </c>
      <c r="BZ465" s="800" t="s">
        <v>1942</v>
      </c>
      <c r="CA465" s="808" t="s">
        <v>1942</v>
      </c>
      <c r="CB465" s="800" t="s">
        <v>1942</v>
      </c>
      <c r="CC465" s="800" t="s">
        <v>1942</v>
      </c>
      <c r="CD465" s="800" t="s">
        <v>1942</v>
      </c>
      <c r="CE465" s="805" t="s">
        <v>1942</v>
      </c>
      <c r="CF465" s="800" t="s">
        <v>1942</v>
      </c>
      <c r="CG465" s="800" t="s">
        <v>1942</v>
      </c>
      <c r="CH465" s="800" t="s">
        <v>1942</v>
      </c>
      <c r="CI465" s="800" t="s">
        <v>1942</v>
      </c>
      <c r="CJ465" s="805" t="s">
        <v>1942</v>
      </c>
      <c r="CK465" s="808" t="s">
        <v>1942</v>
      </c>
      <c r="CL465" s="800" t="s">
        <v>1942</v>
      </c>
      <c r="CM465" s="800" t="s">
        <v>1942</v>
      </c>
      <c r="CN465" s="800" t="s">
        <v>1942</v>
      </c>
      <c r="CO465" s="805" t="s">
        <v>1942</v>
      </c>
      <c r="CP465" s="808" t="s">
        <v>1942</v>
      </c>
      <c r="CQ465" s="800" t="s">
        <v>1942</v>
      </c>
      <c r="CR465" s="800" t="s">
        <v>1942</v>
      </c>
      <c r="CS465" s="800" t="s">
        <v>1942</v>
      </c>
      <c r="CT465" s="805" t="s">
        <v>1942</v>
      </c>
      <c r="CU465" s="1284">
        <v>-8.0500000000000002E-2</v>
      </c>
      <c r="CV465" s="1283" t="s">
        <v>1942</v>
      </c>
      <c r="CW465" s="1283" t="s">
        <v>1942</v>
      </c>
      <c r="CX465" s="1285" t="s">
        <v>1942</v>
      </c>
      <c r="CY465" s="1283" t="s">
        <v>1942</v>
      </c>
      <c r="CZ465" s="1283" t="s">
        <v>1942</v>
      </c>
      <c r="DA465" s="1283" t="s">
        <v>1942</v>
      </c>
      <c r="DB465" s="1285" t="s">
        <v>1942</v>
      </c>
      <c r="DC465" s="785"/>
      <c r="DD465" s="813"/>
      <c r="DE465" s="814"/>
    </row>
    <row r="466" spans="1:109" ht="52.5" hidden="1">
      <c r="A466" s="772" t="s">
        <v>1045</v>
      </c>
      <c r="B466" s="773">
        <v>460</v>
      </c>
      <c r="C466" s="789" t="s">
        <v>3881</v>
      </c>
      <c r="D466" s="773" t="s">
        <v>3882</v>
      </c>
      <c r="E466" s="773" t="s">
        <v>1907</v>
      </c>
      <c r="F466" s="785" t="s">
        <v>3883</v>
      </c>
      <c r="G466" s="790" t="s">
        <v>3884</v>
      </c>
      <c r="H466" s="791" t="s">
        <v>3885</v>
      </c>
      <c r="I466" s="792"/>
      <c r="J466" s="793"/>
      <c r="K466" s="793"/>
      <c r="L466" s="793"/>
      <c r="M466" s="793">
        <v>1</v>
      </c>
      <c r="N466" s="793"/>
      <c r="O466" s="793"/>
      <c r="P466" s="794"/>
      <c r="Q466" s="795">
        <f t="shared" si="7"/>
        <v>1</v>
      </c>
      <c r="R466" s="789" t="s">
        <v>1026</v>
      </c>
      <c r="S466" s="773" t="s">
        <v>1008</v>
      </c>
      <c r="T466" s="796" t="s">
        <v>1009</v>
      </c>
      <c r="U466" s="773" t="s">
        <v>2763</v>
      </c>
      <c r="V466" s="773" t="s">
        <v>1072</v>
      </c>
      <c r="W466" s="773" t="s">
        <v>3886</v>
      </c>
      <c r="X466" s="1310">
        <v>0</v>
      </c>
      <c r="Y466" s="821" t="s">
        <v>1020</v>
      </c>
      <c r="Z466" s="790"/>
      <c r="AA466" s="785"/>
      <c r="AB466" s="785"/>
      <c r="AC466" s="785"/>
      <c r="AD466" s="785"/>
      <c r="AE466" s="785"/>
      <c r="AF466" s="799"/>
      <c r="AG466" s="800"/>
      <c r="AH466" s="800"/>
      <c r="AI466" s="800"/>
      <c r="AJ466" s="800"/>
      <c r="AK466" s="800"/>
      <c r="AL466" s="800"/>
      <c r="AM466" s="800"/>
      <c r="AN466" s="800"/>
      <c r="AO466" s="800"/>
      <c r="AP466" s="800"/>
      <c r="AQ466" s="808" t="s">
        <v>3886</v>
      </c>
      <c r="AR466" s="800" t="s">
        <v>3886</v>
      </c>
      <c r="AS466" s="800" t="s">
        <v>3886</v>
      </c>
      <c r="AT466" s="800" t="s">
        <v>3886</v>
      </c>
      <c r="AU466" s="805" t="s">
        <v>3886</v>
      </c>
      <c r="AV466" s="808"/>
      <c r="AW466" s="800"/>
      <c r="AX466" s="800"/>
      <c r="AY466" s="800"/>
      <c r="AZ466" s="800"/>
      <c r="BA466" s="800"/>
      <c r="BB466" s="800"/>
      <c r="BC466" s="800"/>
      <c r="BD466" s="800"/>
      <c r="BE466" s="800"/>
      <c r="BF466" s="800"/>
      <c r="BG466" s="800"/>
      <c r="BH466" s="800"/>
      <c r="BI466" s="800"/>
      <c r="BJ466" s="800"/>
      <c r="BK466" s="805"/>
      <c r="BL466" s="789" t="s">
        <v>168</v>
      </c>
      <c r="BM466" s="785" t="s">
        <v>168</v>
      </c>
      <c r="BN466" s="785" t="s">
        <v>168</v>
      </c>
      <c r="BO466" s="785" t="s">
        <v>168</v>
      </c>
      <c r="BP466" s="796" t="s">
        <v>168</v>
      </c>
      <c r="BQ466" s="808" t="s">
        <v>1942</v>
      </c>
      <c r="BR466" s="800" t="s">
        <v>1942</v>
      </c>
      <c r="BS466" s="800" t="s">
        <v>1942</v>
      </c>
      <c r="BT466" s="800" t="s">
        <v>1942</v>
      </c>
      <c r="BU466" s="805" t="s">
        <v>1942</v>
      </c>
      <c r="BV466" s="808" t="s">
        <v>1942</v>
      </c>
      <c r="BW466" s="800" t="s">
        <v>1942</v>
      </c>
      <c r="BX466" s="800" t="s">
        <v>1942</v>
      </c>
      <c r="BY466" s="800" t="s">
        <v>1942</v>
      </c>
      <c r="BZ466" s="800" t="s">
        <v>1942</v>
      </c>
      <c r="CA466" s="808" t="s">
        <v>1942</v>
      </c>
      <c r="CB466" s="800" t="s">
        <v>1942</v>
      </c>
      <c r="CC466" s="800" t="s">
        <v>1942</v>
      </c>
      <c r="CD466" s="800" t="s">
        <v>1942</v>
      </c>
      <c r="CE466" s="805" t="s">
        <v>1942</v>
      </c>
      <c r="CF466" s="800" t="s">
        <v>1942</v>
      </c>
      <c r="CG466" s="800" t="s">
        <v>1942</v>
      </c>
      <c r="CH466" s="800" t="s">
        <v>1942</v>
      </c>
      <c r="CI466" s="800" t="s">
        <v>1942</v>
      </c>
      <c r="CJ466" s="805" t="s">
        <v>1942</v>
      </c>
      <c r="CK466" s="808" t="s">
        <v>1942</v>
      </c>
      <c r="CL466" s="800" t="s">
        <v>1942</v>
      </c>
      <c r="CM466" s="800" t="s">
        <v>1942</v>
      </c>
      <c r="CN466" s="800" t="s">
        <v>1942</v>
      </c>
      <c r="CO466" s="805" t="s">
        <v>1942</v>
      </c>
      <c r="CP466" s="808" t="s">
        <v>1942</v>
      </c>
      <c r="CQ466" s="800" t="s">
        <v>1942</v>
      </c>
      <c r="CR466" s="800" t="s">
        <v>1942</v>
      </c>
      <c r="CS466" s="800" t="s">
        <v>1942</v>
      </c>
      <c r="CT466" s="805" t="s">
        <v>1942</v>
      </c>
      <c r="CU466" s="1284">
        <v>-0.21099999999999999</v>
      </c>
      <c r="CV466" s="1283" t="s">
        <v>1942</v>
      </c>
      <c r="CW466" s="1283" t="s">
        <v>1942</v>
      </c>
      <c r="CX466" s="1285" t="s">
        <v>1942</v>
      </c>
      <c r="CY466" s="1283" t="s">
        <v>1942</v>
      </c>
      <c r="CZ466" s="1283" t="s">
        <v>1942</v>
      </c>
      <c r="DA466" s="1283" t="s">
        <v>1942</v>
      </c>
      <c r="DB466" s="1285" t="s">
        <v>1942</v>
      </c>
      <c r="DC466" s="785" t="s">
        <v>131</v>
      </c>
      <c r="DD466" s="813">
        <v>1</v>
      </c>
      <c r="DE466" s="814"/>
    </row>
    <row r="467" spans="1:109" ht="39.4" hidden="1">
      <c r="A467" s="772" t="s">
        <v>1045</v>
      </c>
      <c r="B467" s="773">
        <v>461</v>
      </c>
      <c r="C467" s="789" t="s">
        <v>3887</v>
      </c>
      <c r="D467" s="773" t="s">
        <v>3882</v>
      </c>
      <c r="E467" s="773" t="s">
        <v>1907</v>
      </c>
      <c r="F467" s="785" t="s">
        <v>3888</v>
      </c>
      <c r="G467" s="790" t="s">
        <v>3889</v>
      </c>
      <c r="H467" s="791" t="s">
        <v>3890</v>
      </c>
      <c r="I467" s="792"/>
      <c r="J467" s="793"/>
      <c r="K467" s="793"/>
      <c r="L467" s="793"/>
      <c r="M467" s="793">
        <v>1</v>
      </c>
      <c r="N467" s="793"/>
      <c r="O467" s="793"/>
      <c r="P467" s="794"/>
      <c r="Q467" s="795">
        <f t="shared" si="7"/>
        <v>1</v>
      </c>
      <c r="R467" s="789" t="s">
        <v>2751</v>
      </c>
      <c r="S467" s="773" t="s">
        <v>1008</v>
      </c>
      <c r="T467" s="796" t="s">
        <v>1009</v>
      </c>
      <c r="U467" s="773" t="s">
        <v>2763</v>
      </c>
      <c r="V467" s="773" t="s">
        <v>278</v>
      </c>
      <c r="W467" s="773" t="s">
        <v>3891</v>
      </c>
      <c r="X467" s="1310">
        <v>2</v>
      </c>
      <c r="Y467" s="826" t="s">
        <v>1020</v>
      </c>
      <c r="Z467" s="790"/>
      <c r="AA467" s="785"/>
      <c r="AB467" s="785"/>
      <c r="AC467" s="785"/>
      <c r="AD467" s="785"/>
      <c r="AE467" s="785"/>
      <c r="AF467" s="799"/>
      <c r="AG467" s="800"/>
      <c r="AH467" s="800"/>
      <c r="AI467" s="800"/>
      <c r="AJ467" s="800"/>
      <c r="AK467" s="800"/>
      <c r="AL467" s="800"/>
      <c r="AM467" s="800"/>
      <c r="AN467" s="800"/>
      <c r="AO467" s="800"/>
      <c r="AP467" s="800"/>
      <c r="AQ467" s="806">
        <v>3.66</v>
      </c>
      <c r="AR467" s="807">
        <v>3.5</v>
      </c>
      <c r="AS467" s="807">
        <v>3.33</v>
      </c>
      <c r="AT467" s="807">
        <v>3.17</v>
      </c>
      <c r="AU467" s="820">
        <v>3</v>
      </c>
      <c r="AV467" s="808"/>
      <c r="AW467" s="800"/>
      <c r="AX467" s="800"/>
      <c r="AY467" s="800"/>
      <c r="AZ467" s="800"/>
      <c r="BA467" s="800"/>
      <c r="BB467" s="800"/>
      <c r="BC467" s="800"/>
      <c r="BD467" s="800"/>
      <c r="BE467" s="800"/>
      <c r="BF467" s="800"/>
      <c r="BG467" s="800"/>
      <c r="BH467" s="800"/>
      <c r="BI467" s="800"/>
      <c r="BJ467" s="800"/>
      <c r="BK467" s="805"/>
      <c r="BL467" s="789" t="s">
        <v>168</v>
      </c>
      <c r="BM467" s="785" t="s">
        <v>168</v>
      </c>
      <c r="BN467" s="785" t="s">
        <v>168</v>
      </c>
      <c r="BO467" s="785" t="s">
        <v>168</v>
      </c>
      <c r="BP467" s="796" t="s">
        <v>168</v>
      </c>
      <c r="BQ467" s="808" t="s">
        <v>1942</v>
      </c>
      <c r="BR467" s="800" t="s">
        <v>1942</v>
      </c>
      <c r="BS467" s="800" t="s">
        <v>1942</v>
      </c>
      <c r="BT467" s="800" t="s">
        <v>1942</v>
      </c>
      <c r="BU467" s="805" t="s">
        <v>1942</v>
      </c>
      <c r="BV467" s="806">
        <v>4.16</v>
      </c>
      <c r="BW467" s="807">
        <v>4</v>
      </c>
      <c r="BX467" s="807">
        <v>3.83</v>
      </c>
      <c r="BY467" s="807">
        <v>3.67</v>
      </c>
      <c r="BZ467" s="807">
        <v>3.52</v>
      </c>
      <c r="CA467" s="808" t="s">
        <v>1942</v>
      </c>
      <c r="CB467" s="800" t="s">
        <v>1942</v>
      </c>
      <c r="CC467" s="800" t="s">
        <v>1942</v>
      </c>
      <c r="CD467" s="800" t="s">
        <v>1942</v>
      </c>
      <c r="CE467" s="805" t="s">
        <v>1942</v>
      </c>
      <c r="CF467" s="800" t="s">
        <v>1942</v>
      </c>
      <c r="CG467" s="800" t="s">
        <v>1942</v>
      </c>
      <c r="CH467" s="800" t="s">
        <v>1942</v>
      </c>
      <c r="CI467" s="800" t="s">
        <v>1942</v>
      </c>
      <c r="CJ467" s="805" t="s">
        <v>1942</v>
      </c>
      <c r="CK467" s="808">
        <v>3.16</v>
      </c>
      <c r="CL467" s="800">
        <v>3</v>
      </c>
      <c r="CM467" s="800">
        <v>2.83</v>
      </c>
      <c r="CN467" s="800">
        <v>2.67</v>
      </c>
      <c r="CO467" s="805">
        <v>2.5</v>
      </c>
      <c r="CP467" s="808" t="s">
        <v>1942</v>
      </c>
      <c r="CQ467" s="800" t="s">
        <v>1942</v>
      </c>
      <c r="CR467" s="800" t="s">
        <v>1942</v>
      </c>
      <c r="CS467" s="800" t="s">
        <v>1942</v>
      </c>
      <c r="CT467" s="805" t="s">
        <v>1942</v>
      </c>
      <c r="CU467" s="1284">
        <v>-7.71</v>
      </c>
      <c r="CV467" s="1283" t="s">
        <v>1942</v>
      </c>
      <c r="CW467" s="1283" t="s">
        <v>1942</v>
      </c>
      <c r="CX467" s="1285" t="s">
        <v>1942</v>
      </c>
      <c r="CY467" s="1283">
        <v>7.71</v>
      </c>
      <c r="CZ467" s="1283" t="s">
        <v>1942</v>
      </c>
      <c r="DA467" s="1283" t="s">
        <v>1942</v>
      </c>
      <c r="DB467" s="1285" t="s">
        <v>1942</v>
      </c>
      <c r="DC467" s="785" t="s">
        <v>131</v>
      </c>
      <c r="DD467" s="813">
        <v>1</v>
      </c>
      <c r="DE467" s="814"/>
    </row>
    <row r="468" spans="1:109" ht="26.25" hidden="1">
      <c r="A468" s="772" t="s">
        <v>1045</v>
      </c>
      <c r="B468" s="773">
        <v>462</v>
      </c>
      <c r="C468" s="789" t="s">
        <v>3892</v>
      </c>
      <c r="D468" s="773" t="s">
        <v>3882</v>
      </c>
      <c r="E468" s="773" t="s">
        <v>1907</v>
      </c>
      <c r="F468" s="785" t="s">
        <v>3893</v>
      </c>
      <c r="G468" s="790" t="s">
        <v>3894</v>
      </c>
      <c r="H468" s="791" t="s">
        <v>3895</v>
      </c>
      <c r="I468" s="792"/>
      <c r="J468" s="793"/>
      <c r="K468" s="793"/>
      <c r="L468" s="793"/>
      <c r="M468" s="793">
        <v>1</v>
      </c>
      <c r="N468" s="793"/>
      <c r="O468" s="793"/>
      <c r="P468" s="794"/>
      <c r="Q468" s="795">
        <f t="shared" si="7"/>
        <v>1</v>
      </c>
      <c r="R468" s="789" t="s">
        <v>1007</v>
      </c>
      <c r="S468" s="773"/>
      <c r="T468" s="796"/>
      <c r="U468" s="773" t="s">
        <v>2029</v>
      </c>
      <c r="V468" s="773" t="s">
        <v>1033</v>
      </c>
      <c r="W468" s="773" t="s">
        <v>3896</v>
      </c>
      <c r="X468" s="1310">
        <v>0</v>
      </c>
      <c r="Y468" s="819" t="s">
        <v>1010</v>
      </c>
      <c r="Z468" s="790"/>
      <c r="AA468" s="785"/>
      <c r="AB468" s="785"/>
      <c r="AC468" s="785"/>
      <c r="AD468" s="785"/>
      <c r="AE468" s="785"/>
      <c r="AF468" s="799"/>
      <c r="AG468" s="797"/>
      <c r="AH468" s="797"/>
      <c r="AI468" s="797"/>
      <c r="AJ468" s="797"/>
      <c r="AK468" s="797"/>
      <c r="AL468" s="797"/>
      <c r="AM468" s="797"/>
      <c r="AN468" s="797"/>
      <c r="AO468" s="797"/>
      <c r="AP468" s="797"/>
      <c r="AQ468" s="827">
        <v>108000</v>
      </c>
      <c r="AR468" s="797">
        <v>137000</v>
      </c>
      <c r="AS468" s="797">
        <v>165000</v>
      </c>
      <c r="AT468" s="797">
        <v>184000</v>
      </c>
      <c r="AU468" s="841">
        <v>200000</v>
      </c>
      <c r="AV468" s="827"/>
      <c r="AW468" s="797"/>
      <c r="AX468" s="797"/>
      <c r="AY468" s="797"/>
      <c r="AZ468" s="797"/>
      <c r="BA468" s="797"/>
      <c r="BB468" s="797"/>
      <c r="BC468" s="797"/>
      <c r="BD468" s="797"/>
      <c r="BE468" s="797"/>
      <c r="BF468" s="797"/>
      <c r="BG468" s="797"/>
      <c r="BH468" s="797"/>
      <c r="BI468" s="797"/>
      <c r="BJ468" s="797"/>
      <c r="BK468" s="841"/>
      <c r="BL468" s="789"/>
      <c r="BM468" s="785"/>
      <c r="BN468" s="785"/>
      <c r="BO468" s="785"/>
      <c r="BP468" s="796"/>
      <c r="BQ468" s="804" t="s">
        <v>1942</v>
      </c>
      <c r="BR468" s="925" t="s">
        <v>1942</v>
      </c>
      <c r="BS468" s="925" t="s">
        <v>1942</v>
      </c>
      <c r="BT468" s="925" t="s">
        <v>1942</v>
      </c>
      <c r="BU468" s="819" t="s">
        <v>1942</v>
      </c>
      <c r="BV468" s="804" t="s">
        <v>1942</v>
      </c>
      <c r="BW468" s="925" t="s">
        <v>1942</v>
      </c>
      <c r="BX468" s="925" t="s">
        <v>1942</v>
      </c>
      <c r="BY468" s="925" t="s">
        <v>1942</v>
      </c>
      <c r="BZ468" s="925" t="s">
        <v>1942</v>
      </c>
      <c r="CA468" s="804" t="s">
        <v>1942</v>
      </c>
      <c r="CB468" s="925" t="s">
        <v>1942</v>
      </c>
      <c r="CC468" s="925" t="s">
        <v>1942</v>
      </c>
      <c r="CD468" s="925" t="s">
        <v>1942</v>
      </c>
      <c r="CE468" s="819" t="s">
        <v>1942</v>
      </c>
      <c r="CF468" s="925" t="s">
        <v>1942</v>
      </c>
      <c r="CG468" s="925" t="s">
        <v>1942</v>
      </c>
      <c r="CH468" s="925" t="s">
        <v>1942</v>
      </c>
      <c r="CI468" s="925" t="s">
        <v>1942</v>
      </c>
      <c r="CJ468" s="819" t="s">
        <v>1942</v>
      </c>
      <c r="CK468" s="804" t="s">
        <v>1942</v>
      </c>
      <c r="CL468" s="925" t="s">
        <v>1942</v>
      </c>
      <c r="CM468" s="925" t="s">
        <v>1942</v>
      </c>
      <c r="CN468" s="925" t="s">
        <v>1942</v>
      </c>
      <c r="CO468" s="819" t="s">
        <v>1942</v>
      </c>
      <c r="CP468" s="804" t="s">
        <v>1942</v>
      </c>
      <c r="CQ468" s="925" t="s">
        <v>1942</v>
      </c>
      <c r="CR468" s="925" t="s">
        <v>1942</v>
      </c>
      <c r="CS468" s="925" t="s">
        <v>1942</v>
      </c>
      <c r="CT468" s="819" t="s">
        <v>1942</v>
      </c>
      <c r="CU468" s="1284" t="s">
        <v>1942</v>
      </c>
      <c r="CV468" s="1283" t="s">
        <v>1942</v>
      </c>
      <c r="CW468" s="1283" t="s">
        <v>1942</v>
      </c>
      <c r="CX468" s="1285" t="s">
        <v>1942</v>
      </c>
      <c r="CY468" s="1283" t="s">
        <v>1942</v>
      </c>
      <c r="CZ468" s="1283" t="s">
        <v>1942</v>
      </c>
      <c r="DA468" s="1283" t="s">
        <v>1942</v>
      </c>
      <c r="DB468" s="1285" t="s">
        <v>1942</v>
      </c>
      <c r="DC468" s="785"/>
      <c r="DD468" s="813">
        <v>1</v>
      </c>
      <c r="DE468" s="814"/>
    </row>
    <row r="469" spans="1:109" ht="105" hidden="1">
      <c r="A469" s="772" t="s">
        <v>1045</v>
      </c>
      <c r="B469" s="773">
        <v>463</v>
      </c>
      <c r="C469" s="789" t="s">
        <v>3897</v>
      </c>
      <c r="D469" s="773" t="s">
        <v>3882</v>
      </c>
      <c r="E469" s="773" t="s">
        <v>1889</v>
      </c>
      <c r="F469" s="785" t="s">
        <v>3898</v>
      </c>
      <c r="G469" s="790" t="s">
        <v>736</v>
      </c>
      <c r="H469" s="791" t="s">
        <v>3899</v>
      </c>
      <c r="I469" s="792"/>
      <c r="J469" s="793"/>
      <c r="K469" s="793">
        <v>1</v>
      </c>
      <c r="L469" s="793"/>
      <c r="M469" s="793"/>
      <c r="N469" s="793"/>
      <c r="O469" s="793"/>
      <c r="P469" s="794"/>
      <c r="Q469" s="795">
        <f t="shared" si="7"/>
        <v>1</v>
      </c>
      <c r="R469" s="789" t="s">
        <v>1026</v>
      </c>
      <c r="S469" s="773" t="s">
        <v>1008</v>
      </c>
      <c r="T469" s="796" t="s">
        <v>1009</v>
      </c>
      <c r="U469" s="773" t="s">
        <v>736</v>
      </c>
      <c r="V469" s="773" t="s">
        <v>1033</v>
      </c>
      <c r="W469" s="773" t="s">
        <v>3900</v>
      </c>
      <c r="X469" s="1311">
        <v>2</v>
      </c>
      <c r="Y469" s="819" t="s">
        <v>1020</v>
      </c>
      <c r="Z469" s="790" t="s">
        <v>736</v>
      </c>
      <c r="AA469" s="785"/>
      <c r="AB469" s="785"/>
      <c r="AC469" s="785"/>
      <c r="AD469" s="785"/>
      <c r="AE469" s="785"/>
      <c r="AF469" s="799"/>
      <c r="AG469" s="800"/>
      <c r="AH469" s="800"/>
      <c r="AI469" s="800"/>
      <c r="AJ469" s="800"/>
      <c r="AK469" s="800"/>
      <c r="AL469" s="800"/>
      <c r="AM469" s="800"/>
      <c r="AN469" s="800"/>
      <c r="AO469" s="800"/>
      <c r="AP469" s="800"/>
      <c r="AQ469" s="1421"/>
      <c r="AR469" s="1373"/>
      <c r="AS469" s="1373"/>
      <c r="AT469" s="1373"/>
      <c r="AU469" s="1374"/>
      <c r="AV469" s="808"/>
      <c r="AW469" s="800"/>
      <c r="AX469" s="800"/>
      <c r="AY469" s="800"/>
      <c r="AZ469" s="800"/>
      <c r="BA469" s="800"/>
      <c r="BB469" s="800"/>
      <c r="BC469" s="800"/>
      <c r="BD469" s="800"/>
      <c r="BE469" s="800"/>
      <c r="BF469" s="800"/>
      <c r="BG469" s="800"/>
      <c r="BH469" s="800"/>
      <c r="BI469" s="800"/>
      <c r="BJ469" s="800"/>
      <c r="BK469" s="805"/>
      <c r="BL469" s="1376"/>
      <c r="BM469" s="1377"/>
      <c r="BN469" s="1377"/>
      <c r="BO469" s="1377"/>
      <c r="BP469" s="1440"/>
      <c r="BQ469" s="1724"/>
      <c r="BR469" s="1784"/>
      <c r="BS469" s="1784"/>
      <c r="BT469" s="1784"/>
      <c r="BU469" s="1785"/>
      <c r="BV469" s="1421"/>
      <c r="BW469" s="1373"/>
      <c r="BX469" s="1373"/>
      <c r="BY469" s="1373"/>
      <c r="BZ469" s="1373"/>
      <c r="CA469" s="1724"/>
      <c r="CB469" s="1784"/>
      <c r="CC469" s="1784"/>
      <c r="CD469" s="1784"/>
      <c r="CE469" s="1785"/>
      <c r="CF469" s="1784"/>
      <c r="CG469" s="1784"/>
      <c r="CH469" s="1784"/>
      <c r="CI469" s="1784"/>
      <c r="CJ469" s="1785"/>
      <c r="CK469" s="1724"/>
      <c r="CL469" s="1784"/>
      <c r="CM469" s="1786"/>
      <c r="CN469" s="1784"/>
      <c r="CO469" s="1785"/>
      <c r="CP469" s="1724"/>
      <c r="CQ469" s="1784"/>
      <c r="CR469" s="1784"/>
      <c r="CS469" s="1784"/>
      <c r="CT469" s="1785"/>
      <c r="CU469" s="1528"/>
      <c r="CV469" s="1519"/>
      <c r="CW469" s="1519"/>
      <c r="CX469" s="1728"/>
      <c r="CY469" s="1519"/>
      <c r="CZ469" s="1519"/>
      <c r="DA469" s="1519"/>
      <c r="DB469" s="1728"/>
      <c r="DC469" s="1377"/>
      <c r="DD469" s="1729"/>
      <c r="DE469" s="1734"/>
    </row>
    <row r="470" spans="1:109" ht="13.15" hidden="1">
      <c r="A470" s="772" t="s">
        <v>1045</v>
      </c>
      <c r="B470" s="773">
        <v>464</v>
      </c>
      <c r="C470" s="928" t="s">
        <v>3901</v>
      </c>
      <c r="D470" s="773" t="s">
        <v>3882</v>
      </c>
      <c r="E470" s="773"/>
      <c r="F470" s="785" t="s">
        <v>3902</v>
      </c>
      <c r="G470" s="790" t="s">
        <v>3903</v>
      </c>
      <c r="H470" s="791" t="s">
        <v>3904</v>
      </c>
      <c r="I470" s="792">
        <v>0.10639999999999999</v>
      </c>
      <c r="J470" s="793">
        <v>2.4400000000000002E-2</v>
      </c>
      <c r="K470" s="793">
        <v>0.86919999999999997</v>
      </c>
      <c r="L470" s="793"/>
      <c r="M470" s="793"/>
      <c r="N470" s="793"/>
      <c r="O470" s="793"/>
      <c r="P470" s="794"/>
      <c r="Q470" s="795">
        <f t="shared" si="7"/>
        <v>1</v>
      </c>
      <c r="R470" s="789" t="s">
        <v>1026</v>
      </c>
      <c r="S470" s="773" t="s">
        <v>1008</v>
      </c>
      <c r="T470" s="796" t="s">
        <v>1009</v>
      </c>
      <c r="U470" s="773"/>
      <c r="V470" s="1248" t="s">
        <v>1033</v>
      </c>
      <c r="W470" s="773"/>
      <c r="X470" s="1310">
        <v>0</v>
      </c>
      <c r="Y470" s="798" t="s">
        <v>1010</v>
      </c>
      <c r="Z470" s="790"/>
      <c r="AA470" s="785"/>
      <c r="AB470" s="785"/>
      <c r="AC470" s="785"/>
      <c r="AD470" s="785"/>
      <c r="AE470" s="785"/>
      <c r="AF470" s="799"/>
      <c r="AG470" s="800"/>
      <c r="AH470" s="800"/>
      <c r="AI470" s="800"/>
      <c r="AJ470" s="800"/>
      <c r="AK470" s="800"/>
      <c r="AL470" s="800"/>
      <c r="AM470" s="800"/>
      <c r="AN470" s="800"/>
      <c r="AO470" s="800"/>
      <c r="AP470" s="800"/>
      <c r="AQ470" s="808">
        <v>180</v>
      </c>
      <c r="AR470" s="800">
        <v>446</v>
      </c>
      <c r="AS470" s="800">
        <v>534</v>
      </c>
      <c r="AT470" s="800">
        <v>595</v>
      </c>
      <c r="AU470" s="805">
        <v>757</v>
      </c>
      <c r="AV470" s="808"/>
      <c r="AW470" s="800"/>
      <c r="AX470" s="800"/>
      <c r="AY470" s="800"/>
      <c r="AZ470" s="800"/>
      <c r="BA470" s="800"/>
      <c r="BB470" s="800"/>
      <c r="BC470" s="800"/>
      <c r="BD470" s="800"/>
      <c r="BE470" s="800"/>
      <c r="BF470" s="800"/>
      <c r="BG470" s="800"/>
      <c r="BH470" s="800"/>
      <c r="BI470" s="800"/>
      <c r="BJ470" s="800"/>
      <c r="BK470" s="805"/>
      <c r="BL470" s="831" t="s">
        <v>168</v>
      </c>
      <c r="BM470" s="927" t="s">
        <v>168</v>
      </c>
      <c r="BN470" s="927" t="s">
        <v>168</v>
      </c>
      <c r="BO470" s="927" t="s">
        <v>168</v>
      </c>
      <c r="BP470" s="796" t="s">
        <v>168</v>
      </c>
      <c r="BQ470" s="804" t="s">
        <v>1942</v>
      </c>
      <c r="BR470" s="925" t="s">
        <v>1942</v>
      </c>
      <c r="BS470" s="925" t="s">
        <v>1942</v>
      </c>
      <c r="BT470" s="925" t="s">
        <v>1942</v>
      </c>
      <c r="BU470" s="819" t="s">
        <v>1942</v>
      </c>
      <c r="BV470" s="808" t="s">
        <v>1942</v>
      </c>
      <c r="BW470" s="800" t="s">
        <v>1942</v>
      </c>
      <c r="BX470" s="800" t="s">
        <v>1942</v>
      </c>
      <c r="BY470" s="800" t="s">
        <v>1942</v>
      </c>
      <c r="BZ470" s="800" t="s">
        <v>1942</v>
      </c>
      <c r="CA470" s="804" t="s">
        <v>1942</v>
      </c>
      <c r="CB470" s="925" t="s">
        <v>1942</v>
      </c>
      <c r="CC470" s="925" t="s">
        <v>1942</v>
      </c>
      <c r="CD470" s="925" t="s">
        <v>1942</v>
      </c>
      <c r="CE470" s="819" t="s">
        <v>1942</v>
      </c>
      <c r="CF470" s="925" t="s">
        <v>1942</v>
      </c>
      <c r="CG470" s="925" t="s">
        <v>1942</v>
      </c>
      <c r="CH470" s="925" t="s">
        <v>1942</v>
      </c>
      <c r="CI470" s="925" t="s">
        <v>1942</v>
      </c>
      <c r="CJ470" s="819" t="s">
        <v>1942</v>
      </c>
      <c r="CK470" s="804" t="s">
        <v>1942</v>
      </c>
      <c r="CL470" s="925" t="s">
        <v>1942</v>
      </c>
      <c r="CM470" s="926" t="s">
        <v>1942</v>
      </c>
      <c r="CN470" s="925" t="s">
        <v>1942</v>
      </c>
      <c r="CO470" s="819" t="s">
        <v>1942</v>
      </c>
      <c r="CP470" s="804" t="s">
        <v>1942</v>
      </c>
      <c r="CQ470" s="925" t="s">
        <v>1942</v>
      </c>
      <c r="CR470" s="925" t="s">
        <v>1942</v>
      </c>
      <c r="CS470" s="925" t="s">
        <v>1942</v>
      </c>
      <c r="CT470" s="819" t="s">
        <v>1942</v>
      </c>
      <c r="CU470" s="1284">
        <v>-5.1299999999999998E-2</v>
      </c>
      <c r="CV470" s="1283" t="s">
        <v>1942</v>
      </c>
      <c r="CW470" s="1283" t="s">
        <v>1942</v>
      </c>
      <c r="CX470" s="1285" t="s">
        <v>1942</v>
      </c>
      <c r="CY470" s="1283" t="s">
        <v>1942</v>
      </c>
      <c r="CZ470" s="1283" t="s">
        <v>1942</v>
      </c>
      <c r="DA470" s="1283" t="s">
        <v>1942</v>
      </c>
      <c r="DB470" s="1285" t="s">
        <v>1942</v>
      </c>
      <c r="DC470" s="785"/>
      <c r="DD470" s="813"/>
      <c r="DE470" s="814"/>
    </row>
    <row r="471" spans="1:109" ht="26.25" hidden="1">
      <c r="A471" s="772" t="s">
        <v>1045</v>
      </c>
      <c r="B471" s="773">
        <v>465</v>
      </c>
      <c r="C471" s="789" t="s">
        <v>3905</v>
      </c>
      <c r="D471" s="773" t="s">
        <v>3882</v>
      </c>
      <c r="E471" s="773" t="s">
        <v>1907</v>
      </c>
      <c r="F471" s="785" t="s">
        <v>3906</v>
      </c>
      <c r="G471" s="790" t="s">
        <v>3907</v>
      </c>
      <c r="H471" s="791" t="s">
        <v>3908</v>
      </c>
      <c r="I471" s="792"/>
      <c r="J471" s="793"/>
      <c r="K471" s="793"/>
      <c r="L471" s="793">
        <v>1</v>
      </c>
      <c r="M471" s="793"/>
      <c r="N471" s="793"/>
      <c r="O471" s="793"/>
      <c r="P471" s="794"/>
      <c r="Q471" s="795">
        <f t="shared" si="7"/>
        <v>1</v>
      </c>
      <c r="R471" s="789" t="s">
        <v>1026</v>
      </c>
      <c r="S471" s="773" t="s">
        <v>1008</v>
      </c>
      <c r="T471" s="796" t="s">
        <v>1009</v>
      </c>
      <c r="U471" s="773" t="s">
        <v>763</v>
      </c>
      <c r="V471" s="773" t="s">
        <v>278</v>
      </c>
      <c r="W471" s="773" t="s">
        <v>1146</v>
      </c>
      <c r="X471" s="1310">
        <v>1</v>
      </c>
      <c r="Y471" s="798" t="s">
        <v>1010</v>
      </c>
      <c r="Z471" s="790"/>
      <c r="AA471" s="785"/>
      <c r="AB471" s="785"/>
      <c r="AC471" s="785"/>
      <c r="AD471" s="785"/>
      <c r="AE471" s="785"/>
      <c r="AF471" s="799"/>
      <c r="AG471" s="800"/>
      <c r="AH471" s="800"/>
      <c r="AI471" s="800"/>
      <c r="AJ471" s="800"/>
      <c r="AK471" s="800"/>
      <c r="AL471" s="800"/>
      <c r="AM471" s="800"/>
      <c r="AN471" s="800"/>
      <c r="AO471" s="800"/>
      <c r="AP471" s="800"/>
      <c r="AQ471" s="808">
        <v>96.6</v>
      </c>
      <c r="AR471" s="800">
        <v>97.2</v>
      </c>
      <c r="AS471" s="800">
        <v>97.8</v>
      </c>
      <c r="AT471" s="800">
        <v>98.4</v>
      </c>
      <c r="AU471" s="818">
        <v>99</v>
      </c>
      <c r="AV471" s="808"/>
      <c r="AW471" s="800"/>
      <c r="AX471" s="800"/>
      <c r="AY471" s="800"/>
      <c r="AZ471" s="800"/>
      <c r="BA471" s="800"/>
      <c r="BB471" s="800"/>
      <c r="BC471" s="800"/>
      <c r="BD471" s="800"/>
      <c r="BE471" s="800"/>
      <c r="BF471" s="800"/>
      <c r="BG471" s="800"/>
      <c r="BH471" s="800"/>
      <c r="BI471" s="800"/>
      <c r="BJ471" s="800"/>
      <c r="BK471" s="805"/>
      <c r="BL471" s="789" t="s">
        <v>168</v>
      </c>
      <c r="BM471" s="785" t="s">
        <v>168</v>
      </c>
      <c r="BN471" s="785" t="s">
        <v>168</v>
      </c>
      <c r="BO471" s="785" t="s">
        <v>168</v>
      </c>
      <c r="BP471" s="796" t="s">
        <v>168</v>
      </c>
      <c r="BQ471" s="804" t="s">
        <v>1942</v>
      </c>
      <c r="BR471" s="800" t="s">
        <v>1942</v>
      </c>
      <c r="BS471" s="800" t="s">
        <v>1942</v>
      </c>
      <c r="BT471" s="800" t="s">
        <v>1942</v>
      </c>
      <c r="BU471" s="805" t="s">
        <v>1942</v>
      </c>
      <c r="BV471" s="808" t="s">
        <v>1942</v>
      </c>
      <c r="BW471" s="800" t="s">
        <v>1942</v>
      </c>
      <c r="BX471" s="800" t="s">
        <v>1942</v>
      </c>
      <c r="BY471" s="800" t="s">
        <v>1942</v>
      </c>
      <c r="BZ471" s="800" t="s">
        <v>1942</v>
      </c>
      <c r="CA471" s="808" t="s">
        <v>1942</v>
      </c>
      <c r="CB471" s="800" t="s">
        <v>1942</v>
      </c>
      <c r="CC471" s="800" t="s">
        <v>1942</v>
      </c>
      <c r="CD471" s="800" t="s">
        <v>1942</v>
      </c>
      <c r="CE471" s="805" t="s">
        <v>1942</v>
      </c>
      <c r="CF471" s="800" t="s">
        <v>1942</v>
      </c>
      <c r="CG471" s="800" t="s">
        <v>1942</v>
      </c>
      <c r="CH471" s="800" t="s">
        <v>1942</v>
      </c>
      <c r="CI471" s="800" t="s">
        <v>1942</v>
      </c>
      <c r="CJ471" s="805" t="s">
        <v>1942</v>
      </c>
      <c r="CK471" s="808" t="s">
        <v>1942</v>
      </c>
      <c r="CL471" s="800" t="s">
        <v>1942</v>
      </c>
      <c r="CM471" s="800" t="s">
        <v>1942</v>
      </c>
      <c r="CN471" s="800" t="s">
        <v>1942</v>
      </c>
      <c r="CO471" s="805" t="s">
        <v>1942</v>
      </c>
      <c r="CP471" s="808" t="s">
        <v>1942</v>
      </c>
      <c r="CQ471" s="800" t="s">
        <v>1942</v>
      </c>
      <c r="CR471" s="800" t="s">
        <v>1942</v>
      </c>
      <c r="CS471" s="800" t="s">
        <v>1942</v>
      </c>
      <c r="CT471" s="805" t="s">
        <v>1942</v>
      </c>
      <c r="CU471" s="1284">
        <v>-0.41299999999999998</v>
      </c>
      <c r="CV471" s="1283" t="s">
        <v>1942</v>
      </c>
      <c r="CW471" s="1283" t="s">
        <v>1942</v>
      </c>
      <c r="CX471" s="1285" t="s">
        <v>1942</v>
      </c>
      <c r="CY471" s="1283" t="s">
        <v>1942</v>
      </c>
      <c r="CZ471" s="1283" t="s">
        <v>1942</v>
      </c>
      <c r="DA471" s="1283" t="s">
        <v>1942</v>
      </c>
      <c r="DB471" s="1285" t="s">
        <v>1942</v>
      </c>
      <c r="DC471" s="785"/>
      <c r="DD471" s="813">
        <v>1</v>
      </c>
      <c r="DE471" s="814"/>
    </row>
    <row r="472" spans="1:109" ht="65.650000000000006" hidden="1">
      <c r="A472" s="772" t="s">
        <v>1045</v>
      </c>
      <c r="B472" s="773">
        <v>466</v>
      </c>
      <c r="C472" s="789" t="s">
        <v>3909</v>
      </c>
      <c r="D472" s="773" t="s">
        <v>3882</v>
      </c>
      <c r="E472" s="773" t="s">
        <v>1907</v>
      </c>
      <c r="F472" s="785" t="s">
        <v>3910</v>
      </c>
      <c r="G472" s="790" t="s">
        <v>3911</v>
      </c>
      <c r="H472" s="791" t="s">
        <v>3912</v>
      </c>
      <c r="I472" s="792"/>
      <c r="J472" s="793"/>
      <c r="K472" s="793"/>
      <c r="L472" s="793"/>
      <c r="M472" s="793"/>
      <c r="N472" s="793"/>
      <c r="O472" s="793"/>
      <c r="P472" s="794">
        <v>1</v>
      </c>
      <c r="Q472" s="795">
        <f t="shared" si="7"/>
        <v>1</v>
      </c>
      <c r="R472" s="789" t="s">
        <v>1026</v>
      </c>
      <c r="S472" s="773" t="s">
        <v>1008</v>
      </c>
      <c r="T472" s="796" t="s">
        <v>1009</v>
      </c>
      <c r="U472" s="773" t="s">
        <v>1910</v>
      </c>
      <c r="V472" s="1248" t="s">
        <v>1033</v>
      </c>
      <c r="W472" s="773" t="s">
        <v>3913</v>
      </c>
      <c r="X472" s="1310">
        <v>0</v>
      </c>
      <c r="Y472" s="798" t="s">
        <v>1020</v>
      </c>
      <c r="Z472" s="790"/>
      <c r="AA472" s="785"/>
      <c r="AB472" s="785"/>
      <c r="AC472" s="785"/>
      <c r="AD472" s="785"/>
      <c r="AE472" s="785"/>
      <c r="AF472" s="799"/>
      <c r="AG472" s="800"/>
      <c r="AH472" s="800"/>
      <c r="AI472" s="800"/>
      <c r="AJ472" s="800"/>
      <c r="AK472" s="800"/>
      <c r="AL472" s="800"/>
      <c r="AM472" s="800"/>
      <c r="AN472" s="800"/>
      <c r="AO472" s="800"/>
      <c r="AP472" s="800"/>
      <c r="AQ472" s="808" t="s">
        <v>924</v>
      </c>
      <c r="AR472" s="800" t="s">
        <v>924</v>
      </c>
      <c r="AS472" s="800">
        <v>0</v>
      </c>
      <c r="AT472" s="800">
        <v>0</v>
      </c>
      <c r="AU472" s="805">
        <v>0</v>
      </c>
      <c r="AV472" s="808"/>
      <c r="AW472" s="800"/>
      <c r="AX472" s="800"/>
      <c r="AY472" s="800"/>
      <c r="AZ472" s="800"/>
      <c r="BA472" s="800"/>
      <c r="BB472" s="800"/>
      <c r="BC472" s="800"/>
      <c r="BD472" s="800"/>
      <c r="BE472" s="800"/>
      <c r="BF472" s="800"/>
      <c r="BG472" s="800"/>
      <c r="BH472" s="800"/>
      <c r="BI472" s="800"/>
      <c r="BJ472" s="800"/>
      <c r="BK472" s="805"/>
      <c r="BL472" s="789" t="s">
        <v>168</v>
      </c>
      <c r="BM472" s="785" t="s">
        <v>168</v>
      </c>
      <c r="BN472" s="785" t="s">
        <v>168</v>
      </c>
      <c r="BO472" s="785" t="s">
        <v>168</v>
      </c>
      <c r="BP472" s="796" t="s">
        <v>168</v>
      </c>
      <c r="BQ472" s="808" t="s">
        <v>1942</v>
      </c>
      <c r="BR472" s="800" t="s">
        <v>1942</v>
      </c>
      <c r="BS472" s="800" t="s">
        <v>1942</v>
      </c>
      <c r="BT472" s="800" t="s">
        <v>1942</v>
      </c>
      <c r="BU472" s="805" t="s">
        <v>1942</v>
      </c>
      <c r="BV472" s="808" t="s">
        <v>1942</v>
      </c>
      <c r="BW472" s="800" t="s">
        <v>1942</v>
      </c>
      <c r="BX472" s="800" t="s">
        <v>1942</v>
      </c>
      <c r="BY472" s="800" t="s">
        <v>1942</v>
      </c>
      <c r="BZ472" s="800" t="s">
        <v>1942</v>
      </c>
      <c r="CA472" s="808" t="s">
        <v>1942</v>
      </c>
      <c r="CB472" s="800" t="s">
        <v>1942</v>
      </c>
      <c r="CC472" s="800" t="s">
        <v>1942</v>
      </c>
      <c r="CD472" s="800" t="s">
        <v>1942</v>
      </c>
      <c r="CE472" s="805" t="s">
        <v>1942</v>
      </c>
      <c r="CF472" s="800" t="s">
        <v>1942</v>
      </c>
      <c r="CG472" s="800" t="s">
        <v>1942</v>
      </c>
      <c r="CH472" s="800" t="s">
        <v>1942</v>
      </c>
      <c r="CI472" s="800" t="s">
        <v>1942</v>
      </c>
      <c r="CJ472" s="805" t="s">
        <v>1942</v>
      </c>
      <c r="CK472" s="808" t="s">
        <v>1942</v>
      </c>
      <c r="CL472" s="800" t="s">
        <v>1942</v>
      </c>
      <c r="CM472" s="800" t="s">
        <v>1942</v>
      </c>
      <c r="CN472" s="800" t="s">
        <v>1942</v>
      </c>
      <c r="CO472" s="805" t="s">
        <v>1942</v>
      </c>
      <c r="CP472" s="808" t="s">
        <v>1942</v>
      </c>
      <c r="CQ472" s="800" t="s">
        <v>1942</v>
      </c>
      <c r="CR472" s="800" t="s">
        <v>1942</v>
      </c>
      <c r="CS472" s="800" t="s">
        <v>1942</v>
      </c>
      <c r="CT472" s="805" t="s">
        <v>1942</v>
      </c>
      <c r="CU472" s="1284">
        <v>-9.6600000000000005E-2</v>
      </c>
      <c r="CV472" s="1283" t="s">
        <v>1942</v>
      </c>
      <c r="CW472" s="1283" t="s">
        <v>1942</v>
      </c>
      <c r="CX472" s="1285" t="s">
        <v>1942</v>
      </c>
      <c r="CY472" s="1283" t="s">
        <v>1942</v>
      </c>
      <c r="CZ472" s="1283" t="s">
        <v>1942</v>
      </c>
      <c r="DA472" s="1283" t="s">
        <v>1942</v>
      </c>
      <c r="DB472" s="1285" t="s">
        <v>1942</v>
      </c>
      <c r="DC472" s="785" t="s">
        <v>131</v>
      </c>
      <c r="DD472" s="813">
        <v>1</v>
      </c>
      <c r="DE472" s="814"/>
    </row>
    <row r="473" spans="1:109" ht="144.4" hidden="1">
      <c r="A473" s="772" t="s">
        <v>1045</v>
      </c>
      <c r="B473" s="773">
        <v>467</v>
      </c>
      <c r="C473" s="789" t="s">
        <v>3914</v>
      </c>
      <c r="D473" s="773" t="s">
        <v>3882</v>
      </c>
      <c r="E473" s="773" t="s">
        <v>1896</v>
      </c>
      <c r="F473" s="785" t="s">
        <v>3915</v>
      </c>
      <c r="G473" s="790" t="s">
        <v>3916</v>
      </c>
      <c r="H473" s="791" t="s">
        <v>3917</v>
      </c>
      <c r="I473" s="792"/>
      <c r="J473" s="793"/>
      <c r="K473" s="793"/>
      <c r="L473" s="793"/>
      <c r="M473" s="793"/>
      <c r="N473" s="793"/>
      <c r="O473" s="793"/>
      <c r="P473" s="794">
        <v>1</v>
      </c>
      <c r="Q473" s="795">
        <f t="shared" si="7"/>
        <v>1</v>
      </c>
      <c r="R473" s="789" t="s">
        <v>1007</v>
      </c>
      <c r="S473" s="773"/>
      <c r="T473" s="796"/>
      <c r="U473" s="773" t="s">
        <v>2400</v>
      </c>
      <c r="V473" s="773" t="s">
        <v>1081</v>
      </c>
      <c r="W473" s="773" t="s">
        <v>3918</v>
      </c>
      <c r="X473" s="1310">
        <v>1</v>
      </c>
      <c r="Y473" s="798" t="s">
        <v>1010</v>
      </c>
      <c r="Z473" s="790"/>
      <c r="AA473" s="785"/>
      <c r="AB473" s="785"/>
      <c r="AC473" s="785"/>
      <c r="AD473" s="785"/>
      <c r="AE473" s="785"/>
      <c r="AF473" s="799"/>
      <c r="AG473" s="800"/>
      <c r="AH473" s="800"/>
      <c r="AI473" s="800"/>
      <c r="AJ473" s="800"/>
      <c r="AK473" s="800"/>
      <c r="AL473" s="800"/>
      <c r="AM473" s="800"/>
      <c r="AN473" s="800"/>
      <c r="AO473" s="800"/>
      <c r="AP473" s="800"/>
      <c r="AQ473" s="808">
        <v>5</v>
      </c>
      <c r="AR473" s="800">
        <v>5</v>
      </c>
      <c r="AS473" s="800">
        <v>5</v>
      </c>
      <c r="AT473" s="800">
        <v>5</v>
      </c>
      <c r="AU473" s="805">
        <v>5</v>
      </c>
      <c r="AV473" s="808"/>
      <c r="AW473" s="800"/>
      <c r="AX473" s="800"/>
      <c r="AY473" s="800"/>
      <c r="AZ473" s="800"/>
      <c r="BA473" s="800"/>
      <c r="BB473" s="800"/>
      <c r="BC473" s="800"/>
      <c r="BD473" s="800"/>
      <c r="BE473" s="800"/>
      <c r="BF473" s="800"/>
      <c r="BG473" s="800"/>
      <c r="BH473" s="800"/>
      <c r="BI473" s="800"/>
      <c r="BJ473" s="800"/>
      <c r="BK473" s="805"/>
      <c r="BL473" s="789"/>
      <c r="BM473" s="785"/>
      <c r="BN473" s="785"/>
      <c r="BO473" s="785"/>
      <c r="BP473" s="796"/>
      <c r="BQ473" s="808" t="s">
        <v>1942</v>
      </c>
      <c r="BR473" s="800" t="s">
        <v>1942</v>
      </c>
      <c r="BS473" s="800" t="s">
        <v>1942</v>
      </c>
      <c r="BT473" s="800" t="s">
        <v>1942</v>
      </c>
      <c r="BU473" s="805" t="s">
        <v>1942</v>
      </c>
      <c r="BV473" s="808" t="s">
        <v>1942</v>
      </c>
      <c r="BW473" s="800" t="s">
        <v>1942</v>
      </c>
      <c r="BX473" s="800" t="s">
        <v>1942</v>
      </c>
      <c r="BY473" s="800" t="s">
        <v>1942</v>
      </c>
      <c r="BZ473" s="800" t="s">
        <v>1942</v>
      </c>
      <c r="CA473" s="808" t="s">
        <v>1942</v>
      </c>
      <c r="CB473" s="800" t="s">
        <v>1942</v>
      </c>
      <c r="CC473" s="800" t="s">
        <v>1942</v>
      </c>
      <c r="CD473" s="800" t="s">
        <v>1942</v>
      </c>
      <c r="CE473" s="805" t="s">
        <v>1942</v>
      </c>
      <c r="CF473" s="800" t="s">
        <v>1942</v>
      </c>
      <c r="CG473" s="800" t="s">
        <v>1942</v>
      </c>
      <c r="CH473" s="800" t="s">
        <v>1942</v>
      </c>
      <c r="CI473" s="800" t="s">
        <v>1942</v>
      </c>
      <c r="CJ473" s="800" t="s">
        <v>1942</v>
      </c>
      <c r="CK473" s="808" t="s">
        <v>1942</v>
      </c>
      <c r="CL473" s="800" t="s">
        <v>1942</v>
      </c>
      <c r="CM473" s="800" t="s">
        <v>1942</v>
      </c>
      <c r="CN473" s="800" t="s">
        <v>1942</v>
      </c>
      <c r="CO473" s="805" t="s">
        <v>1942</v>
      </c>
      <c r="CP473" s="808" t="s">
        <v>1942</v>
      </c>
      <c r="CQ473" s="800" t="s">
        <v>1942</v>
      </c>
      <c r="CR473" s="800" t="s">
        <v>1942</v>
      </c>
      <c r="CS473" s="800" t="s">
        <v>1942</v>
      </c>
      <c r="CT473" s="805" t="s">
        <v>1942</v>
      </c>
      <c r="CU473" s="1284" t="s">
        <v>1942</v>
      </c>
      <c r="CV473" s="1283" t="s">
        <v>1942</v>
      </c>
      <c r="CW473" s="1283" t="s">
        <v>1942</v>
      </c>
      <c r="CX473" s="1285" t="s">
        <v>1942</v>
      </c>
      <c r="CY473" s="1283" t="s">
        <v>1942</v>
      </c>
      <c r="CZ473" s="1283" t="s">
        <v>1942</v>
      </c>
      <c r="DA473" s="1283" t="s">
        <v>1942</v>
      </c>
      <c r="DB473" s="1285" t="s">
        <v>1942</v>
      </c>
      <c r="DC473" s="785"/>
      <c r="DD473" s="813">
        <v>1</v>
      </c>
      <c r="DE473" s="814"/>
    </row>
    <row r="474" spans="1:109" ht="118.15" hidden="1">
      <c r="A474" s="772" t="s">
        <v>1045</v>
      </c>
      <c r="B474" s="773">
        <v>468</v>
      </c>
      <c r="C474" s="789" t="s">
        <v>3919</v>
      </c>
      <c r="D474" s="773" t="s">
        <v>3882</v>
      </c>
      <c r="E474" s="773" t="s">
        <v>1907</v>
      </c>
      <c r="F474" s="785" t="s">
        <v>3920</v>
      </c>
      <c r="G474" s="790" t="s">
        <v>3921</v>
      </c>
      <c r="H474" s="791" t="s">
        <v>3922</v>
      </c>
      <c r="I474" s="792"/>
      <c r="J474" s="793"/>
      <c r="K474" s="793">
        <v>0.5</v>
      </c>
      <c r="L474" s="793"/>
      <c r="M474" s="793"/>
      <c r="N474" s="793"/>
      <c r="O474" s="793"/>
      <c r="P474" s="794">
        <v>0.5</v>
      </c>
      <c r="Q474" s="795">
        <f t="shared" si="7"/>
        <v>1</v>
      </c>
      <c r="R474" s="789" t="s">
        <v>1026</v>
      </c>
      <c r="S474" s="773" t="s">
        <v>1008</v>
      </c>
      <c r="T474" s="796" t="s">
        <v>1009</v>
      </c>
      <c r="U474" s="773" t="s">
        <v>2237</v>
      </c>
      <c r="V474" s="773" t="s">
        <v>1072</v>
      </c>
      <c r="W474" s="773" t="s">
        <v>3923</v>
      </c>
      <c r="X474" s="1310">
        <v>0</v>
      </c>
      <c r="Y474" s="798" t="s">
        <v>1020</v>
      </c>
      <c r="Z474" s="790"/>
      <c r="AA474" s="785"/>
      <c r="AB474" s="785"/>
      <c r="AC474" s="785"/>
      <c r="AD474" s="785"/>
      <c r="AE474" s="785"/>
      <c r="AF474" s="799"/>
      <c r="AG474" s="800"/>
      <c r="AH474" s="800"/>
      <c r="AI474" s="800"/>
      <c r="AJ474" s="800"/>
      <c r="AK474" s="800"/>
      <c r="AL474" s="800"/>
      <c r="AM474" s="800"/>
      <c r="AN474" s="800"/>
      <c r="AO474" s="800"/>
      <c r="AP474" s="800"/>
      <c r="AQ474" s="808" t="s">
        <v>924</v>
      </c>
      <c r="AR474" s="800" t="s">
        <v>924</v>
      </c>
      <c r="AS474" s="800">
        <v>0</v>
      </c>
      <c r="AT474" s="800">
        <v>0</v>
      </c>
      <c r="AU474" s="805">
        <v>0</v>
      </c>
      <c r="AV474" s="808"/>
      <c r="AW474" s="800"/>
      <c r="AX474" s="800"/>
      <c r="AY474" s="800"/>
      <c r="AZ474" s="800"/>
      <c r="BA474" s="800"/>
      <c r="BB474" s="800"/>
      <c r="BC474" s="800"/>
      <c r="BD474" s="800"/>
      <c r="BE474" s="800"/>
      <c r="BF474" s="800"/>
      <c r="BG474" s="800"/>
      <c r="BH474" s="800"/>
      <c r="BI474" s="800"/>
      <c r="BJ474" s="800"/>
      <c r="BK474" s="805"/>
      <c r="BL474" s="789" t="s">
        <v>168</v>
      </c>
      <c r="BM474" s="785" t="s">
        <v>168</v>
      </c>
      <c r="BN474" s="785" t="s">
        <v>168</v>
      </c>
      <c r="BO474" s="785" t="s">
        <v>168</v>
      </c>
      <c r="BP474" s="796" t="s">
        <v>168</v>
      </c>
      <c r="BQ474" s="808" t="s">
        <v>1942</v>
      </c>
      <c r="BR474" s="800" t="s">
        <v>1942</v>
      </c>
      <c r="BS474" s="800" t="s">
        <v>1942</v>
      </c>
      <c r="BT474" s="800" t="s">
        <v>1942</v>
      </c>
      <c r="BU474" s="805" t="s">
        <v>1942</v>
      </c>
      <c r="BV474" s="808" t="s">
        <v>1942</v>
      </c>
      <c r="BW474" s="800" t="s">
        <v>1942</v>
      </c>
      <c r="BX474" s="800" t="s">
        <v>1942</v>
      </c>
      <c r="BY474" s="800" t="s">
        <v>1942</v>
      </c>
      <c r="BZ474" s="800" t="s">
        <v>1942</v>
      </c>
      <c r="CA474" s="808" t="s">
        <v>1942</v>
      </c>
      <c r="CB474" s="800" t="s">
        <v>1942</v>
      </c>
      <c r="CC474" s="800" t="s">
        <v>1942</v>
      </c>
      <c r="CD474" s="800" t="s">
        <v>1942</v>
      </c>
      <c r="CE474" s="805" t="s">
        <v>1942</v>
      </c>
      <c r="CF474" s="800" t="s">
        <v>1942</v>
      </c>
      <c r="CG474" s="800" t="s">
        <v>1942</v>
      </c>
      <c r="CH474" s="800" t="s">
        <v>1942</v>
      </c>
      <c r="CI474" s="800" t="s">
        <v>1942</v>
      </c>
      <c r="CJ474" s="805" t="s">
        <v>1942</v>
      </c>
      <c r="CK474" s="808" t="s">
        <v>1942</v>
      </c>
      <c r="CL474" s="800" t="s">
        <v>1942</v>
      </c>
      <c r="CM474" s="800" t="s">
        <v>1942</v>
      </c>
      <c r="CN474" s="800" t="s">
        <v>1942</v>
      </c>
      <c r="CO474" s="805" t="s">
        <v>1942</v>
      </c>
      <c r="CP474" s="808" t="s">
        <v>1942</v>
      </c>
      <c r="CQ474" s="800" t="s">
        <v>1942</v>
      </c>
      <c r="CR474" s="800" t="s">
        <v>1942</v>
      </c>
      <c r="CS474" s="800" t="s">
        <v>1942</v>
      </c>
      <c r="CT474" s="805" t="s">
        <v>1942</v>
      </c>
      <c r="CU474" s="1284">
        <v>-6.2590000000000003</v>
      </c>
      <c r="CV474" s="1283" t="s">
        <v>1942</v>
      </c>
      <c r="CW474" s="1283" t="s">
        <v>1942</v>
      </c>
      <c r="CX474" s="1285" t="s">
        <v>1942</v>
      </c>
      <c r="CY474" s="1283" t="s">
        <v>1942</v>
      </c>
      <c r="CZ474" s="1283" t="s">
        <v>1942</v>
      </c>
      <c r="DA474" s="1283" t="s">
        <v>1942</v>
      </c>
      <c r="DB474" s="1285" t="s">
        <v>1942</v>
      </c>
      <c r="DC474" s="785" t="s">
        <v>131</v>
      </c>
      <c r="DD474" s="813">
        <v>1</v>
      </c>
      <c r="DE474" s="814"/>
    </row>
    <row r="475" spans="1:109" ht="13.15" hidden="1">
      <c r="A475" s="772" t="s">
        <v>1045</v>
      </c>
      <c r="B475" s="773">
        <v>469</v>
      </c>
      <c r="C475" s="789" t="s">
        <v>3924</v>
      </c>
      <c r="D475" s="773" t="s">
        <v>3882</v>
      </c>
      <c r="E475" s="773" t="s">
        <v>1907</v>
      </c>
      <c r="F475" s="785" t="s">
        <v>3925</v>
      </c>
      <c r="G475" s="790" t="s">
        <v>3926</v>
      </c>
      <c r="H475" s="791"/>
      <c r="I475" s="792"/>
      <c r="J475" s="793"/>
      <c r="K475" s="793"/>
      <c r="L475" s="793"/>
      <c r="M475" s="793"/>
      <c r="N475" s="793"/>
      <c r="O475" s="793"/>
      <c r="P475" s="794"/>
      <c r="Q475" s="795">
        <f t="shared" si="7"/>
        <v>0</v>
      </c>
      <c r="R475" s="789" t="s">
        <v>1007</v>
      </c>
      <c r="S475" s="773"/>
      <c r="T475" s="796"/>
      <c r="U475" s="773"/>
      <c r="V475" s="773" t="s">
        <v>278</v>
      </c>
      <c r="W475" s="773" t="s">
        <v>3927</v>
      </c>
      <c r="X475" s="1310">
        <v>0</v>
      </c>
      <c r="Y475" s="819"/>
      <c r="Z475" s="790"/>
      <c r="AA475" s="785"/>
      <c r="AB475" s="785"/>
      <c r="AC475" s="785"/>
      <c r="AD475" s="785"/>
      <c r="AE475" s="785"/>
      <c r="AF475" s="799"/>
      <c r="AG475" s="800"/>
      <c r="AH475" s="800"/>
      <c r="AI475" s="800"/>
      <c r="AJ475" s="800"/>
      <c r="AK475" s="800"/>
      <c r="AL475" s="800"/>
      <c r="AM475" s="800"/>
      <c r="AN475" s="800"/>
      <c r="AO475" s="800"/>
      <c r="AP475" s="800"/>
      <c r="AQ475" s="808">
        <v>0</v>
      </c>
      <c r="AR475" s="800">
        <v>100</v>
      </c>
      <c r="AS475" s="800">
        <v>100</v>
      </c>
      <c r="AT475" s="800">
        <v>100</v>
      </c>
      <c r="AU475" s="805">
        <v>100</v>
      </c>
      <c r="AV475" s="808"/>
      <c r="AW475" s="800"/>
      <c r="AX475" s="800"/>
      <c r="AY475" s="800"/>
      <c r="AZ475" s="800"/>
      <c r="BA475" s="800"/>
      <c r="BB475" s="800"/>
      <c r="BC475" s="800"/>
      <c r="BD475" s="800"/>
      <c r="BE475" s="800"/>
      <c r="BF475" s="800"/>
      <c r="BG475" s="800"/>
      <c r="BH475" s="800"/>
      <c r="BI475" s="800"/>
      <c r="BJ475" s="800"/>
      <c r="BK475" s="805"/>
      <c r="BL475" s="789"/>
      <c r="BM475" s="785"/>
      <c r="BN475" s="785"/>
      <c r="BO475" s="785"/>
      <c r="BP475" s="796"/>
      <c r="BQ475" s="808" t="s">
        <v>1942</v>
      </c>
      <c r="BR475" s="800" t="s">
        <v>1942</v>
      </c>
      <c r="BS475" s="800" t="s">
        <v>1942</v>
      </c>
      <c r="BT475" s="800" t="s">
        <v>1942</v>
      </c>
      <c r="BU475" s="805" t="s">
        <v>1942</v>
      </c>
      <c r="BV475" s="808" t="s">
        <v>1942</v>
      </c>
      <c r="BW475" s="800" t="s">
        <v>1942</v>
      </c>
      <c r="BX475" s="800" t="s">
        <v>1942</v>
      </c>
      <c r="BY475" s="800" t="s">
        <v>1942</v>
      </c>
      <c r="BZ475" s="800" t="s">
        <v>1942</v>
      </c>
      <c r="CA475" s="808" t="s">
        <v>1942</v>
      </c>
      <c r="CB475" s="800" t="s">
        <v>1942</v>
      </c>
      <c r="CC475" s="800" t="s">
        <v>1942</v>
      </c>
      <c r="CD475" s="800" t="s">
        <v>1942</v>
      </c>
      <c r="CE475" s="805" t="s">
        <v>1942</v>
      </c>
      <c r="CF475" s="800" t="s">
        <v>1942</v>
      </c>
      <c r="CG475" s="800" t="s">
        <v>1942</v>
      </c>
      <c r="CH475" s="800" t="s">
        <v>1942</v>
      </c>
      <c r="CI475" s="800" t="s">
        <v>1942</v>
      </c>
      <c r="CJ475" s="805" t="s">
        <v>1942</v>
      </c>
      <c r="CK475" s="808" t="s">
        <v>1942</v>
      </c>
      <c r="CL475" s="800" t="s">
        <v>1942</v>
      </c>
      <c r="CM475" s="800" t="s">
        <v>1942</v>
      </c>
      <c r="CN475" s="800" t="s">
        <v>1942</v>
      </c>
      <c r="CO475" s="805" t="s">
        <v>1942</v>
      </c>
      <c r="CP475" s="808" t="s">
        <v>1942</v>
      </c>
      <c r="CQ475" s="800" t="s">
        <v>1942</v>
      </c>
      <c r="CR475" s="800" t="s">
        <v>1942</v>
      </c>
      <c r="CS475" s="800" t="s">
        <v>1942</v>
      </c>
      <c r="CT475" s="805" t="s">
        <v>1942</v>
      </c>
      <c r="CU475" s="1284" t="s">
        <v>1942</v>
      </c>
      <c r="CV475" s="1283" t="s">
        <v>1942</v>
      </c>
      <c r="CW475" s="1283" t="s">
        <v>1942</v>
      </c>
      <c r="CX475" s="1285" t="s">
        <v>1942</v>
      </c>
      <c r="CY475" s="1283" t="s">
        <v>1942</v>
      </c>
      <c r="CZ475" s="1283" t="s">
        <v>1942</v>
      </c>
      <c r="DA475" s="1283" t="s">
        <v>1942</v>
      </c>
      <c r="DB475" s="1285" t="s">
        <v>1942</v>
      </c>
      <c r="DC475" s="785"/>
      <c r="DD475" s="813"/>
      <c r="DE475" s="814"/>
    </row>
    <row r="476" spans="1:109" ht="13.15" hidden="1">
      <c r="A476" s="772" t="s">
        <v>1045</v>
      </c>
      <c r="B476" s="773">
        <v>470</v>
      </c>
      <c r="C476" s="789" t="s">
        <v>3928</v>
      </c>
      <c r="D476" s="773" t="s">
        <v>3882</v>
      </c>
      <c r="E476" s="773" t="s">
        <v>1907</v>
      </c>
      <c r="F476" s="785" t="s">
        <v>3929</v>
      </c>
      <c r="G476" s="790" t="s">
        <v>3930</v>
      </c>
      <c r="H476" s="791"/>
      <c r="I476" s="792"/>
      <c r="J476" s="793"/>
      <c r="K476" s="793"/>
      <c r="L476" s="793"/>
      <c r="M476" s="793"/>
      <c r="N476" s="793"/>
      <c r="O476" s="793"/>
      <c r="P476" s="794">
        <v>1</v>
      </c>
      <c r="Q476" s="795">
        <f t="shared" si="7"/>
        <v>1</v>
      </c>
      <c r="R476" s="789" t="s">
        <v>1007</v>
      </c>
      <c r="S476" s="773"/>
      <c r="T476" s="796"/>
      <c r="U476" s="773"/>
      <c r="V476" s="773" t="s">
        <v>123</v>
      </c>
      <c r="W476" s="773"/>
      <c r="X476" s="1310">
        <v>1</v>
      </c>
      <c r="Y476" s="798" t="s">
        <v>1010</v>
      </c>
      <c r="Z476" s="790"/>
      <c r="AA476" s="785"/>
      <c r="AB476" s="785"/>
      <c r="AC476" s="785"/>
      <c r="AD476" s="785"/>
      <c r="AE476" s="785"/>
      <c r="AF476" s="799"/>
      <c r="AG476" s="800"/>
      <c r="AH476" s="800"/>
      <c r="AI476" s="800"/>
      <c r="AJ476" s="800"/>
      <c r="AK476" s="800"/>
      <c r="AL476" s="800"/>
      <c r="AM476" s="800"/>
      <c r="AN476" s="800"/>
      <c r="AO476" s="800"/>
      <c r="AP476" s="800"/>
      <c r="AQ476" s="817">
        <v>0</v>
      </c>
      <c r="AR476" s="816">
        <v>0</v>
      </c>
      <c r="AS476" s="816">
        <v>0</v>
      </c>
      <c r="AT476" s="816">
        <v>0</v>
      </c>
      <c r="AU476" s="818">
        <v>0</v>
      </c>
      <c r="AV476" s="808"/>
      <c r="AW476" s="800"/>
      <c r="AX476" s="800"/>
      <c r="AY476" s="800"/>
      <c r="AZ476" s="800"/>
      <c r="BA476" s="800"/>
      <c r="BB476" s="800"/>
      <c r="BC476" s="800"/>
      <c r="BD476" s="800"/>
      <c r="BE476" s="800"/>
      <c r="BF476" s="800"/>
      <c r="BG476" s="800"/>
      <c r="BH476" s="800"/>
      <c r="BI476" s="800"/>
      <c r="BJ476" s="800"/>
      <c r="BK476" s="805"/>
      <c r="BL476" s="789" t="s">
        <v>168</v>
      </c>
      <c r="BM476" s="785" t="s">
        <v>168</v>
      </c>
      <c r="BN476" s="785" t="s">
        <v>168</v>
      </c>
      <c r="BO476" s="785" t="s">
        <v>168</v>
      </c>
      <c r="BP476" s="796" t="s">
        <v>168</v>
      </c>
      <c r="BQ476" s="808" t="s">
        <v>1942</v>
      </c>
      <c r="BR476" s="800" t="s">
        <v>1942</v>
      </c>
      <c r="BS476" s="800" t="s">
        <v>1942</v>
      </c>
      <c r="BT476" s="800" t="s">
        <v>1942</v>
      </c>
      <c r="BU476" s="805" t="s">
        <v>1942</v>
      </c>
      <c r="BV476" s="808" t="s">
        <v>1942</v>
      </c>
      <c r="BW476" s="800" t="s">
        <v>1942</v>
      </c>
      <c r="BX476" s="800" t="s">
        <v>1942</v>
      </c>
      <c r="BY476" s="800" t="s">
        <v>1942</v>
      </c>
      <c r="BZ476" s="800" t="s">
        <v>1942</v>
      </c>
      <c r="CA476" s="808" t="s">
        <v>1942</v>
      </c>
      <c r="CB476" s="800" t="s">
        <v>1942</v>
      </c>
      <c r="CC476" s="800" t="s">
        <v>1942</v>
      </c>
      <c r="CD476" s="800" t="s">
        <v>1942</v>
      </c>
      <c r="CE476" s="805" t="s">
        <v>1942</v>
      </c>
      <c r="CF476" s="800" t="s">
        <v>1942</v>
      </c>
      <c r="CG476" s="800" t="s">
        <v>1942</v>
      </c>
      <c r="CH476" s="800" t="s">
        <v>1942</v>
      </c>
      <c r="CI476" s="800" t="s">
        <v>1942</v>
      </c>
      <c r="CJ476" s="805" t="s">
        <v>1942</v>
      </c>
      <c r="CK476" s="808" t="s">
        <v>1942</v>
      </c>
      <c r="CL476" s="800" t="s">
        <v>1942</v>
      </c>
      <c r="CM476" s="800" t="s">
        <v>1942</v>
      </c>
      <c r="CN476" s="800" t="s">
        <v>1942</v>
      </c>
      <c r="CO476" s="805" t="s">
        <v>1942</v>
      </c>
      <c r="CP476" s="808" t="s">
        <v>1942</v>
      </c>
      <c r="CQ476" s="800" t="s">
        <v>1942</v>
      </c>
      <c r="CR476" s="800" t="s">
        <v>1942</v>
      </c>
      <c r="CS476" s="800" t="s">
        <v>1942</v>
      </c>
      <c r="CT476" s="805" t="s">
        <v>1942</v>
      </c>
      <c r="CU476" s="1284">
        <v>-0.2</v>
      </c>
      <c r="CV476" s="1283" t="s">
        <v>1942</v>
      </c>
      <c r="CW476" s="1283" t="s">
        <v>1942</v>
      </c>
      <c r="CX476" s="1285" t="s">
        <v>1942</v>
      </c>
      <c r="CY476" s="1283">
        <v>0.2</v>
      </c>
      <c r="CZ476" s="1283" t="s">
        <v>1942</v>
      </c>
      <c r="DA476" s="1283" t="s">
        <v>1942</v>
      </c>
      <c r="DB476" s="1285" t="s">
        <v>1942</v>
      </c>
      <c r="DC476" s="785"/>
      <c r="DD476" s="813"/>
      <c r="DE476" s="814"/>
    </row>
    <row r="477" spans="1:109" ht="105" hidden="1">
      <c r="A477" s="772" t="s">
        <v>1045</v>
      </c>
      <c r="B477" s="773">
        <v>471</v>
      </c>
      <c r="C477" s="789" t="s">
        <v>3931</v>
      </c>
      <c r="D477" s="773" t="s">
        <v>3882</v>
      </c>
      <c r="E477" s="773" t="s">
        <v>1896</v>
      </c>
      <c r="F477" s="785" t="s">
        <v>3932</v>
      </c>
      <c r="G477" s="790" t="s">
        <v>2310</v>
      </c>
      <c r="H477" s="791" t="s">
        <v>3933</v>
      </c>
      <c r="I477" s="792">
        <v>1</v>
      </c>
      <c r="J477" s="793"/>
      <c r="K477" s="793"/>
      <c r="L477" s="793"/>
      <c r="M477" s="793"/>
      <c r="N477" s="793"/>
      <c r="O477" s="793"/>
      <c r="P477" s="794"/>
      <c r="Q477" s="795">
        <f t="shared" si="7"/>
        <v>1</v>
      </c>
      <c r="R477" s="789" t="s">
        <v>1030</v>
      </c>
      <c r="S477" s="773" t="s">
        <v>1008</v>
      </c>
      <c r="T477" s="796" t="s">
        <v>1009</v>
      </c>
      <c r="U477" s="773" t="s">
        <v>1979</v>
      </c>
      <c r="V477" s="773" t="s">
        <v>1033</v>
      </c>
      <c r="W477" s="773" t="s">
        <v>2312</v>
      </c>
      <c r="X477" s="1310">
        <v>1</v>
      </c>
      <c r="Y477" s="819" t="s">
        <v>1020</v>
      </c>
      <c r="Z477" s="790"/>
      <c r="AA477" s="785"/>
      <c r="AB477" s="785"/>
      <c r="AC477" s="785"/>
      <c r="AD477" s="785"/>
      <c r="AE477" s="785"/>
      <c r="AF477" s="799"/>
      <c r="AG477" s="800"/>
      <c r="AH477" s="800"/>
      <c r="AI477" s="800"/>
      <c r="AJ477" s="800"/>
      <c r="AK477" s="800"/>
      <c r="AL477" s="800"/>
      <c r="AM477" s="800"/>
      <c r="AN477" s="800"/>
      <c r="AO477" s="800"/>
      <c r="AP477" s="800"/>
      <c r="AQ477" s="808">
        <v>0</v>
      </c>
      <c r="AR477" s="800">
        <v>0</v>
      </c>
      <c r="AS477" s="800">
        <v>0</v>
      </c>
      <c r="AT477" s="800">
        <v>0</v>
      </c>
      <c r="AU477" s="805">
        <v>0</v>
      </c>
      <c r="AV477" s="808"/>
      <c r="AW477" s="800"/>
      <c r="AX477" s="800"/>
      <c r="AY477" s="800"/>
      <c r="AZ477" s="800"/>
      <c r="BA477" s="800"/>
      <c r="BB477" s="800"/>
      <c r="BC477" s="800"/>
      <c r="BD477" s="800"/>
      <c r="BE477" s="800"/>
      <c r="BF477" s="800"/>
      <c r="BG477" s="800"/>
      <c r="BH477" s="800"/>
      <c r="BI477" s="800"/>
      <c r="BJ477" s="800"/>
      <c r="BK477" s="805"/>
      <c r="BL477" s="789" t="s">
        <v>168</v>
      </c>
      <c r="BM477" s="785" t="s">
        <v>168</v>
      </c>
      <c r="BN477" s="785" t="s">
        <v>168</v>
      </c>
      <c r="BO477" s="785" t="s">
        <v>168</v>
      </c>
      <c r="BP477" s="796" t="s">
        <v>168</v>
      </c>
      <c r="BQ477" s="808" t="s">
        <v>1942</v>
      </c>
      <c r="BR477" s="800" t="s">
        <v>1942</v>
      </c>
      <c r="BS477" s="800" t="s">
        <v>1942</v>
      </c>
      <c r="BT477" s="800" t="s">
        <v>1942</v>
      </c>
      <c r="BU477" s="805" t="s">
        <v>1942</v>
      </c>
      <c r="BV477" s="808" t="s">
        <v>1942</v>
      </c>
      <c r="BW477" s="800" t="s">
        <v>1942</v>
      </c>
      <c r="BX477" s="800" t="s">
        <v>1942</v>
      </c>
      <c r="BY477" s="800" t="s">
        <v>1942</v>
      </c>
      <c r="BZ477" s="800" t="s">
        <v>1942</v>
      </c>
      <c r="CA477" s="808" t="s">
        <v>1942</v>
      </c>
      <c r="CB477" s="800" t="s">
        <v>1942</v>
      </c>
      <c r="CC477" s="800" t="s">
        <v>1942</v>
      </c>
      <c r="CD477" s="800" t="s">
        <v>1942</v>
      </c>
      <c r="CE477" s="805" t="s">
        <v>1942</v>
      </c>
      <c r="CF477" s="800" t="s">
        <v>1942</v>
      </c>
      <c r="CG477" s="800" t="s">
        <v>1942</v>
      </c>
      <c r="CH477" s="800" t="s">
        <v>1942</v>
      </c>
      <c r="CI477" s="800" t="s">
        <v>1942</v>
      </c>
      <c r="CJ477" s="805" t="s">
        <v>1942</v>
      </c>
      <c r="CK477" s="808" t="s">
        <v>1942</v>
      </c>
      <c r="CL477" s="800" t="s">
        <v>1942</v>
      </c>
      <c r="CM477" s="800" t="s">
        <v>1942</v>
      </c>
      <c r="CN477" s="800" t="s">
        <v>1942</v>
      </c>
      <c r="CO477" s="805" t="s">
        <v>1942</v>
      </c>
      <c r="CP477" s="808" t="s">
        <v>1942</v>
      </c>
      <c r="CQ477" s="800" t="s">
        <v>1942</v>
      </c>
      <c r="CR477" s="800" t="s">
        <v>1942</v>
      </c>
      <c r="CS477" s="800" t="s">
        <v>1942</v>
      </c>
      <c r="CT477" s="805" t="s">
        <v>1942</v>
      </c>
      <c r="CU477" s="1284">
        <v>-6.9999999999999999E-6</v>
      </c>
      <c r="CV477" s="1283" t="s">
        <v>1942</v>
      </c>
      <c r="CW477" s="1283" t="s">
        <v>1942</v>
      </c>
      <c r="CX477" s="1285" t="s">
        <v>1942</v>
      </c>
      <c r="CY477" s="1283">
        <v>6.0000000000000002E-6</v>
      </c>
      <c r="CZ477" s="1283" t="s">
        <v>1942</v>
      </c>
      <c r="DA477" s="1283" t="s">
        <v>1942</v>
      </c>
      <c r="DB477" s="1285" t="s">
        <v>1942</v>
      </c>
      <c r="DC477" s="785"/>
      <c r="DD477" s="813">
        <v>1</v>
      </c>
      <c r="DE477" s="814"/>
    </row>
    <row r="478" spans="1:109" ht="65.650000000000006" hidden="1">
      <c r="A478" s="772" t="s">
        <v>1045</v>
      </c>
      <c r="B478" s="773">
        <v>472</v>
      </c>
      <c r="C478" s="789" t="s">
        <v>3934</v>
      </c>
      <c r="D478" s="773" t="s">
        <v>3882</v>
      </c>
      <c r="E478" s="773" t="s">
        <v>1907</v>
      </c>
      <c r="F478" s="785" t="s">
        <v>3935</v>
      </c>
      <c r="G478" s="790" t="s">
        <v>3936</v>
      </c>
      <c r="H478" s="791" t="s">
        <v>3937</v>
      </c>
      <c r="I478" s="792">
        <v>0.08</v>
      </c>
      <c r="J478" s="793">
        <v>0.3</v>
      </c>
      <c r="K478" s="793">
        <v>0.57999999999999996</v>
      </c>
      <c r="L478" s="793">
        <v>0.04</v>
      </c>
      <c r="M478" s="793"/>
      <c r="N478" s="793"/>
      <c r="O478" s="793"/>
      <c r="P478" s="794"/>
      <c r="Q478" s="795">
        <f t="shared" si="7"/>
        <v>1</v>
      </c>
      <c r="R478" s="789" t="s">
        <v>1030</v>
      </c>
      <c r="S478" s="773" t="s">
        <v>1008</v>
      </c>
      <c r="T478" s="796" t="s">
        <v>1019</v>
      </c>
      <c r="U478" s="773" t="s">
        <v>2289</v>
      </c>
      <c r="V478" s="773" t="s">
        <v>1033</v>
      </c>
      <c r="W478" s="773" t="s">
        <v>3938</v>
      </c>
      <c r="X478" s="1310">
        <v>0</v>
      </c>
      <c r="Y478" s="819" t="s">
        <v>1010</v>
      </c>
      <c r="Z478" s="790"/>
      <c r="AA478" s="785"/>
      <c r="AB478" s="785"/>
      <c r="AC478" s="785"/>
      <c r="AD478" s="785"/>
      <c r="AE478" s="785"/>
      <c r="AF478" s="799"/>
      <c r="AG478" s="800"/>
      <c r="AH478" s="800"/>
      <c r="AI478" s="800"/>
      <c r="AJ478" s="800"/>
      <c r="AK478" s="800"/>
      <c r="AL478" s="800"/>
      <c r="AM478" s="800"/>
      <c r="AN478" s="800"/>
      <c r="AO478" s="800"/>
      <c r="AP478" s="800"/>
      <c r="AQ478" s="808">
        <v>491</v>
      </c>
      <c r="AR478" s="800">
        <v>982</v>
      </c>
      <c r="AS478" s="800">
        <v>1473</v>
      </c>
      <c r="AT478" s="800">
        <v>1964</v>
      </c>
      <c r="AU478" s="805">
        <v>2455</v>
      </c>
      <c r="AV478" s="808"/>
      <c r="AW478" s="800"/>
      <c r="AX478" s="800"/>
      <c r="AY478" s="800"/>
      <c r="AZ478" s="800"/>
      <c r="BA478" s="800"/>
      <c r="BB478" s="800"/>
      <c r="BC478" s="800"/>
      <c r="BD478" s="800"/>
      <c r="BE478" s="800"/>
      <c r="BF478" s="800"/>
      <c r="BG478" s="800"/>
      <c r="BH478" s="800"/>
      <c r="BI478" s="800"/>
      <c r="BJ478" s="800"/>
      <c r="BK478" s="805"/>
      <c r="BL478" s="789"/>
      <c r="BM478" s="785"/>
      <c r="BN478" s="785"/>
      <c r="BO478" s="785"/>
      <c r="BP478" s="796" t="s">
        <v>168</v>
      </c>
      <c r="BQ478" s="808" t="s">
        <v>1942</v>
      </c>
      <c r="BR478" s="800" t="s">
        <v>1942</v>
      </c>
      <c r="BS478" s="800" t="s">
        <v>1942</v>
      </c>
      <c r="BT478" s="800" t="s">
        <v>1942</v>
      </c>
      <c r="BU478" s="805" t="s">
        <v>1942</v>
      </c>
      <c r="BV478" s="808" t="s">
        <v>1942</v>
      </c>
      <c r="BW478" s="800" t="s">
        <v>1942</v>
      </c>
      <c r="BX478" s="800" t="s">
        <v>1942</v>
      </c>
      <c r="BY478" s="800" t="s">
        <v>1942</v>
      </c>
      <c r="BZ478" s="800" t="s">
        <v>1942</v>
      </c>
      <c r="CA478" s="808" t="s">
        <v>1942</v>
      </c>
      <c r="CB478" s="800" t="s">
        <v>1942</v>
      </c>
      <c r="CC478" s="800" t="s">
        <v>1942</v>
      </c>
      <c r="CD478" s="800" t="s">
        <v>1942</v>
      </c>
      <c r="CE478" s="805" t="s">
        <v>1942</v>
      </c>
      <c r="CF478" s="800" t="s">
        <v>1942</v>
      </c>
      <c r="CG478" s="800" t="s">
        <v>1942</v>
      </c>
      <c r="CH478" s="800" t="s">
        <v>1942</v>
      </c>
      <c r="CI478" s="800" t="s">
        <v>1942</v>
      </c>
      <c r="CJ478" s="805" t="s">
        <v>1942</v>
      </c>
      <c r="CK478" s="808" t="s">
        <v>1942</v>
      </c>
      <c r="CL478" s="800" t="s">
        <v>1942</v>
      </c>
      <c r="CM478" s="800" t="s">
        <v>1942</v>
      </c>
      <c r="CN478" s="800" t="s">
        <v>1942</v>
      </c>
      <c r="CO478" s="805">
        <v>4167</v>
      </c>
      <c r="CP478" s="808" t="s">
        <v>1942</v>
      </c>
      <c r="CQ478" s="800" t="s">
        <v>1942</v>
      </c>
      <c r="CR478" s="800" t="s">
        <v>1942</v>
      </c>
      <c r="CS478" s="800" t="s">
        <v>1942</v>
      </c>
      <c r="CT478" s="805" t="s">
        <v>1942</v>
      </c>
      <c r="CU478" s="1284">
        <v>-2.6999999999999999E-5</v>
      </c>
      <c r="CV478" s="1283" t="s">
        <v>1942</v>
      </c>
      <c r="CW478" s="1283" t="s">
        <v>1942</v>
      </c>
      <c r="CX478" s="1285" t="s">
        <v>1942</v>
      </c>
      <c r="CY478" s="1283">
        <v>2.4000000000000001E-5</v>
      </c>
      <c r="CZ478" s="1283" t="s">
        <v>1942</v>
      </c>
      <c r="DA478" s="1283" t="s">
        <v>1942</v>
      </c>
      <c r="DB478" s="1285" t="s">
        <v>1942</v>
      </c>
      <c r="DC478" s="785"/>
      <c r="DD478" s="813">
        <v>1</v>
      </c>
      <c r="DE478" s="814"/>
    </row>
    <row r="479" spans="1:109" ht="52.5" hidden="1">
      <c r="A479" s="772" t="s">
        <v>1045</v>
      </c>
      <c r="B479" s="773">
        <v>473</v>
      </c>
      <c r="C479" s="789" t="s">
        <v>3939</v>
      </c>
      <c r="D479" s="773" t="s">
        <v>3882</v>
      </c>
      <c r="E479" s="773" t="s">
        <v>1907</v>
      </c>
      <c r="F479" s="785" t="s">
        <v>3940</v>
      </c>
      <c r="G479" s="790" t="s">
        <v>3941</v>
      </c>
      <c r="H479" s="791" t="s">
        <v>3942</v>
      </c>
      <c r="I479" s="792"/>
      <c r="J479" s="793"/>
      <c r="K479" s="793">
        <v>1</v>
      </c>
      <c r="L479" s="793"/>
      <c r="M479" s="793"/>
      <c r="N479" s="793"/>
      <c r="O479" s="793"/>
      <c r="P479" s="794"/>
      <c r="Q479" s="795">
        <f t="shared" si="7"/>
        <v>1</v>
      </c>
      <c r="R479" s="789" t="s">
        <v>1026</v>
      </c>
      <c r="S479" s="773" t="s">
        <v>1008</v>
      </c>
      <c r="T479" s="796" t="s">
        <v>1009</v>
      </c>
      <c r="U479" s="773" t="s">
        <v>1967</v>
      </c>
      <c r="V479" s="773" t="s">
        <v>1033</v>
      </c>
      <c r="W479" s="773" t="s">
        <v>3943</v>
      </c>
      <c r="X479" s="1310">
        <v>0</v>
      </c>
      <c r="Y479" s="822" t="s">
        <v>1010</v>
      </c>
      <c r="Z479" s="790"/>
      <c r="AA479" s="785"/>
      <c r="AB479" s="785"/>
      <c r="AC479" s="785"/>
      <c r="AD479" s="785"/>
      <c r="AE479" s="785"/>
      <c r="AF479" s="799"/>
      <c r="AG479" s="800"/>
      <c r="AH479" s="800"/>
      <c r="AI479" s="800"/>
      <c r="AJ479" s="800"/>
      <c r="AK479" s="800"/>
      <c r="AL479" s="800"/>
      <c r="AM479" s="800"/>
      <c r="AN479" s="800"/>
      <c r="AO479" s="800"/>
      <c r="AP479" s="800"/>
      <c r="AQ479" s="808">
        <v>0</v>
      </c>
      <c r="AR479" s="800">
        <v>3</v>
      </c>
      <c r="AS479" s="800">
        <v>3</v>
      </c>
      <c r="AT479" s="800">
        <v>3</v>
      </c>
      <c r="AU479" s="805">
        <v>3</v>
      </c>
      <c r="AV479" s="808"/>
      <c r="AW479" s="800"/>
      <c r="AX479" s="800"/>
      <c r="AY479" s="800"/>
      <c r="AZ479" s="800"/>
      <c r="BA479" s="800"/>
      <c r="BB479" s="800"/>
      <c r="BC479" s="800"/>
      <c r="BD479" s="800"/>
      <c r="BE479" s="800"/>
      <c r="BF479" s="800"/>
      <c r="BG479" s="800"/>
      <c r="BH479" s="800"/>
      <c r="BI479" s="800"/>
      <c r="BJ479" s="800"/>
      <c r="BK479" s="805"/>
      <c r="BL479" s="789" t="s">
        <v>168</v>
      </c>
      <c r="BM479" s="785" t="s">
        <v>168</v>
      </c>
      <c r="BN479" s="785" t="s">
        <v>168</v>
      </c>
      <c r="BO479" s="785" t="s">
        <v>168</v>
      </c>
      <c r="BP479" s="796" t="s">
        <v>168</v>
      </c>
      <c r="BQ479" s="808" t="s">
        <v>1942</v>
      </c>
      <c r="BR479" s="800" t="s">
        <v>1942</v>
      </c>
      <c r="BS479" s="800" t="s">
        <v>1942</v>
      </c>
      <c r="BT479" s="800" t="s">
        <v>1942</v>
      </c>
      <c r="BU479" s="805" t="s">
        <v>1942</v>
      </c>
      <c r="BV479" s="808" t="s">
        <v>1942</v>
      </c>
      <c r="BW479" s="800" t="s">
        <v>1942</v>
      </c>
      <c r="BX479" s="800" t="s">
        <v>1942</v>
      </c>
      <c r="BY479" s="800" t="s">
        <v>1942</v>
      </c>
      <c r="BZ479" s="800" t="s">
        <v>1942</v>
      </c>
      <c r="CA479" s="808" t="s">
        <v>1942</v>
      </c>
      <c r="CB479" s="800" t="s">
        <v>1942</v>
      </c>
      <c r="CC479" s="800" t="s">
        <v>1942</v>
      </c>
      <c r="CD479" s="800" t="s">
        <v>1942</v>
      </c>
      <c r="CE479" s="805" t="s">
        <v>1942</v>
      </c>
      <c r="CF479" s="800" t="s">
        <v>1942</v>
      </c>
      <c r="CG479" s="800" t="s">
        <v>1942</v>
      </c>
      <c r="CH479" s="800" t="s">
        <v>1942</v>
      </c>
      <c r="CI479" s="800" t="s">
        <v>1942</v>
      </c>
      <c r="CJ479" s="805" t="s">
        <v>1942</v>
      </c>
      <c r="CK479" s="808" t="s">
        <v>1942</v>
      </c>
      <c r="CL479" s="800" t="s">
        <v>1942</v>
      </c>
      <c r="CM479" s="800" t="s">
        <v>1942</v>
      </c>
      <c r="CN479" s="800" t="s">
        <v>1942</v>
      </c>
      <c r="CO479" s="805" t="s">
        <v>1942</v>
      </c>
      <c r="CP479" s="808" t="s">
        <v>1942</v>
      </c>
      <c r="CQ479" s="800" t="s">
        <v>1942</v>
      </c>
      <c r="CR479" s="800" t="s">
        <v>1942</v>
      </c>
      <c r="CS479" s="800" t="s">
        <v>1942</v>
      </c>
      <c r="CT479" s="805" t="s">
        <v>1942</v>
      </c>
      <c r="CU479" s="1284">
        <v>-0.81100000000000005</v>
      </c>
      <c r="CV479" s="1283" t="s">
        <v>1942</v>
      </c>
      <c r="CW479" s="1283" t="s">
        <v>1942</v>
      </c>
      <c r="CX479" s="1285" t="s">
        <v>1942</v>
      </c>
      <c r="CY479" s="1283" t="s">
        <v>1942</v>
      </c>
      <c r="CZ479" s="1283" t="s">
        <v>1942</v>
      </c>
      <c r="DA479" s="1283" t="s">
        <v>1942</v>
      </c>
      <c r="DB479" s="1285" t="s">
        <v>1942</v>
      </c>
      <c r="DC479" s="785"/>
      <c r="DD479" s="813">
        <v>1</v>
      </c>
      <c r="DE479" s="814"/>
    </row>
    <row r="480" spans="1:109" ht="39.4" hidden="1">
      <c r="A480" s="772" t="s">
        <v>1045</v>
      </c>
      <c r="B480" s="773">
        <v>474</v>
      </c>
      <c r="C480" s="789" t="s">
        <v>3944</v>
      </c>
      <c r="D480" s="773" t="s">
        <v>3882</v>
      </c>
      <c r="E480" s="773" t="s">
        <v>1907</v>
      </c>
      <c r="F480" s="785" t="s">
        <v>3945</v>
      </c>
      <c r="G480" s="790" t="s">
        <v>3946</v>
      </c>
      <c r="H480" s="791" t="s">
        <v>3947</v>
      </c>
      <c r="I480" s="792"/>
      <c r="J480" s="793"/>
      <c r="K480" s="793">
        <v>0.1</v>
      </c>
      <c r="L480" s="793">
        <v>0.9</v>
      </c>
      <c r="M480" s="793"/>
      <c r="N480" s="793"/>
      <c r="O480" s="793"/>
      <c r="P480" s="794"/>
      <c r="Q480" s="795">
        <f t="shared" si="7"/>
        <v>1</v>
      </c>
      <c r="R480" s="789" t="s">
        <v>1030</v>
      </c>
      <c r="S480" s="773" t="s">
        <v>1008</v>
      </c>
      <c r="T480" s="796" t="s">
        <v>1009</v>
      </c>
      <c r="U480" s="773" t="s">
        <v>2132</v>
      </c>
      <c r="V480" s="773" t="s">
        <v>1033</v>
      </c>
      <c r="W480" s="773" t="s">
        <v>3948</v>
      </c>
      <c r="X480" s="1310">
        <v>0</v>
      </c>
      <c r="Y480" s="826" t="s">
        <v>1010</v>
      </c>
      <c r="Z480" s="790"/>
      <c r="AA480" s="785"/>
      <c r="AB480" s="785"/>
      <c r="AC480" s="785"/>
      <c r="AD480" s="785"/>
      <c r="AE480" s="785"/>
      <c r="AF480" s="799"/>
      <c r="AG480" s="800"/>
      <c r="AH480" s="800"/>
      <c r="AI480" s="800"/>
      <c r="AJ480" s="800"/>
      <c r="AK480" s="800"/>
      <c r="AL480" s="800"/>
      <c r="AM480" s="800"/>
      <c r="AN480" s="800"/>
      <c r="AO480" s="800"/>
      <c r="AP480" s="800"/>
      <c r="AQ480" s="808">
        <v>493</v>
      </c>
      <c r="AR480" s="800">
        <v>501</v>
      </c>
      <c r="AS480" s="800">
        <v>510</v>
      </c>
      <c r="AT480" s="800">
        <v>512</v>
      </c>
      <c r="AU480" s="805">
        <v>517</v>
      </c>
      <c r="AV480" s="808"/>
      <c r="AW480" s="800"/>
      <c r="AX480" s="800"/>
      <c r="AY480" s="800"/>
      <c r="AZ480" s="800"/>
      <c r="BA480" s="800"/>
      <c r="BB480" s="800"/>
      <c r="BC480" s="800"/>
      <c r="BD480" s="800"/>
      <c r="BE480" s="800"/>
      <c r="BF480" s="800"/>
      <c r="BG480" s="800"/>
      <c r="BH480" s="800"/>
      <c r="BI480" s="800"/>
      <c r="BJ480" s="800"/>
      <c r="BK480" s="805"/>
      <c r="BL480" s="789" t="s">
        <v>168</v>
      </c>
      <c r="BM480" s="785" t="s">
        <v>168</v>
      </c>
      <c r="BN480" s="785" t="s">
        <v>168</v>
      </c>
      <c r="BO480" s="785" t="s">
        <v>168</v>
      </c>
      <c r="BP480" s="796" t="s">
        <v>168</v>
      </c>
      <c r="BQ480" s="808" t="s">
        <v>1942</v>
      </c>
      <c r="BR480" s="800" t="s">
        <v>1942</v>
      </c>
      <c r="BS480" s="800" t="s">
        <v>1942</v>
      </c>
      <c r="BT480" s="800" t="s">
        <v>1942</v>
      </c>
      <c r="BU480" s="805" t="s">
        <v>1942</v>
      </c>
      <c r="BV480" s="808">
        <v>453</v>
      </c>
      <c r="BW480" s="800">
        <v>461</v>
      </c>
      <c r="BX480" s="800">
        <v>468</v>
      </c>
      <c r="BY480" s="800">
        <v>471</v>
      </c>
      <c r="BZ480" s="800">
        <v>475</v>
      </c>
      <c r="CA480" s="808" t="s">
        <v>1942</v>
      </c>
      <c r="CB480" s="800" t="s">
        <v>1942</v>
      </c>
      <c r="CC480" s="800" t="s">
        <v>1942</v>
      </c>
      <c r="CD480" s="800" t="s">
        <v>1942</v>
      </c>
      <c r="CE480" s="805" t="s">
        <v>1942</v>
      </c>
      <c r="CF480" s="800" t="s">
        <v>1942</v>
      </c>
      <c r="CG480" s="800" t="s">
        <v>1942</v>
      </c>
      <c r="CH480" s="800" t="s">
        <v>1942</v>
      </c>
      <c r="CI480" s="800" t="s">
        <v>1942</v>
      </c>
      <c r="CJ480" s="805" t="s">
        <v>1942</v>
      </c>
      <c r="CK480" s="808">
        <v>533</v>
      </c>
      <c r="CL480" s="800">
        <v>542</v>
      </c>
      <c r="CM480" s="800">
        <v>551</v>
      </c>
      <c r="CN480" s="800">
        <v>554</v>
      </c>
      <c r="CO480" s="805">
        <v>559</v>
      </c>
      <c r="CP480" s="808" t="s">
        <v>1942</v>
      </c>
      <c r="CQ480" s="800" t="s">
        <v>1942</v>
      </c>
      <c r="CR480" s="800" t="s">
        <v>1942</v>
      </c>
      <c r="CS480" s="800" t="s">
        <v>1942</v>
      </c>
      <c r="CT480" s="805" t="s">
        <v>1942</v>
      </c>
      <c r="CU480" s="1284">
        <v>-8.0600000000000005E-2</v>
      </c>
      <c r="CV480" s="1283" t="s">
        <v>1942</v>
      </c>
      <c r="CW480" s="1283" t="s">
        <v>1942</v>
      </c>
      <c r="CX480" s="1285" t="s">
        <v>1942</v>
      </c>
      <c r="CY480" s="1283">
        <v>8.0600000000000005E-2</v>
      </c>
      <c r="CZ480" s="1283" t="s">
        <v>1942</v>
      </c>
      <c r="DA480" s="1283" t="s">
        <v>1942</v>
      </c>
      <c r="DB480" s="1285" t="s">
        <v>1942</v>
      </c>
      <c r="DC480" s="785"/>
      <c r="DD480" s="813">
        <v>1</v>
      </c>
      <c r="DE480" s="814"/>
    </row>
    <row r="481" spans="1:109" ht="78.75" hidden="1">
      <c r="A481" s="772" t="s">
        <v>1045</v>
      </c>
      <c r="B481" s="773">
        <v>475</v>
      </c>
      <c r="C481" s="789" t="s">
        <v>3949</v>
      </c>
      <c r="D481" s="773" t="s">
        <v>3882</v>
      </c>
      <c r="E481" s="773" t="s">
        <v>1907</v>
      </c>
      <c r="F481" s="785" t="s">
        <v>3950</v>
      </c>
      <c r="G481" s="790" t="s">
        <v>3951</v>
      </c>
      <c r="H481" s="791" t="s">
        <v>3952</v>
      </c>
      <c r="I481" s="792">
        <v>0.25</v>
      </c>
      <c r="J481" s="793">
        <v>0.25</v>
      </c>
      <c r="K481" s="793">
        <v>0.25</v>
      </c>
      <c r="L481" s="793">
        <v>0.25</v>
      </c>
      <c r="M481" s="793"/>
      <c r="N481" s="793"/>
      <c r="O481" s="793"/>
      <c r="P481" s="794"/>
      <c r="Q481" s="795">
        <f t="shared" si="7"/>
        <v>1</v>
      </c>
      <c r="R481" s="789" t="s">
        <v>1007</v>
      </c>
      <c r="S481" s="773"/>
      <c r="T481" s="796"/>
      <c r="U481" s="773" t="s">
        <v>2106</v>
      </c>
      <c r="V481" s="773" t="s">
        <v>278</v>
      </c>
      <c r="W481" s="773" t="s">
        <v>3953</v>
      </c>
      <c r="X481" s="1310">
        <v>1</v>
      </c>
      <c r="Y481" s="821"/>
      <c r="Z481" s="790"/>
      <c r="AA481" s="785"/>
      <c r="AB481" s="785"/>
      <c r="AC481" s="785"/>
      <c r="AD481" s="785"/>
      <c r="AE481" s="785"/>
      <c r="AF481" s="799"/>
      <c r="AG481" s="800"/>
      <c r="AH481" s="800"/>
      <c r="AI481" s="800"/>
      <c r="AJ481" s="800"/>
      <c r="AK481" s="800"/>
      <c r="AL481" s="800"/>
      <c r="AM481" s="800"/>
      <c r="AN481" s="800"/>
      <c r="AO481" s="800"/>
      <c r="AP481" s="800"/>
      <c r="AQ481" s="808">
        <v>20</v>
      </c>
      <c r="AR481" s="800">
        <v>40</v>
      </c>
      <c r="AS481" s="800">
        <v>60</v>
      </c>
      <c r="AT481" s="800">
        <v>80</v>
      </c>
      <c r="AU481" s="805">
        <v>100</v>
      </c>
      <c r="AV481" s="808"/>
      <c r="AW481" s="800"/>
      <c r="AX481" s="800"/>
      <c r="AY481" s="800"/>
      <c r="AZ481" s="800"/>
      <c r="BA481" s="800"/>
      <c r="BB481" s="800"/>
      <c r="BC481" s="800"/>
      <c r="BD481" s="800"/>
      <c r="BE481" s="800"/>
      <c r="BF481" s="800"/>
      <c r="BG481" s="800"/>
      <c r="BH481" s="800"/>
      <c r="BI481" s="800"/>
      <c r="BJ481" s="800"/>
      <c r="BK481" s="805"/>
      <c r="BL481" s="789"/>
      <c r="BM481" s="785"/>
      <c r="BN481" s="785"/>
      <c r="BO481" s="785"/>
      <c r="BP481" s="796"/>
      <c r="BQ481" s="808" t="s">
        <v>1942</v>
      </c>
      <c r="BR481" s="800" t="s">
        <v>1942</v>
      </c>
      <c r="BS481" s="800" t="s">
        <v>1942</v>
      </c>
      <c r="BT481" s="800" t="s">
        <v>1942</v>
      </c>
      <c r="BU481" s="805" t="s">
        <v>1942</v>
      </c>
      <c r="BV481" s="808" t="s">
        <v>1942</v>
      </c>
      <c r="BW481" s="800" t="s">
        <v>1942</v>
      </c>
      <c r="BX481" s="800" t="s">
        <v>1942</v>
      </c>
      <c r="BY481" s="800" t="s">
        <v>1942</v>
      </c>
      <c r="BZ481" s="800" t="s">
        <v>1942</v>
      </c>
      <c r="CA481" s="808" t="s">
        <v>1942</v>
      </c>
      <c r="CB481" s="800" t="s">
        <v>1942</v>
      </c>
      <c r="CC481" s="800" t="s">
        <v>1942</v>
      </c>
      <c r="CD481" s="800" t="s">
        <v>1942</v>
      </c>
      <c r="CE481" s="805" t="s">
        <v>1942</v>
      </c>
      <c r="CF481" s="800" t="s">
        <v>1942</v>
      </c>
      <c r="CG481" s="800" t="s">
        <v>1942</v>
      </c>
      <c r="CH481" s="800" t="s">
        <v>1942</v>
      </c>
      <c r="CI481" s="800" t="s">
        <v>1942</v>
      </c>
      <c r="CJ481" s="805" t="s">
        <v>1942</v>
      </c>
      <c r="CK481" s="808" t="s">
        <v>1942</v>
      </c>
      <c r="CL481" s="800" t="s">
        <v>1942</v>
      </c>
      <c r="CM481" s="800" t="s">
        <v>1942</v>
      </c>
      <c r="CN481" s="800" t="s">
        <v>1942</v>
      </c>
      <c r="CO481" s="805" t="s">
        <v>1942</v>
      </c>
      <c r="CP481" s="808" t="s">
        <v>1942</v>
      </c>
      <c r="CQ481" s="800" t="s">
        <v>1942</v>
      </c>
      <c r="CR481" s="800" t="s">
        <v>1942</v>
      </c>
      <c r="CS481" s="800" t="s">
        <v>1942</v>
      </c>
      <c r="CT481" s="805" t="s">
        <v>1942</v>
      </c>
      <c r="CU481" s="1284" t="s">
        <v>1942</v>
      </c>
      <c r="CV481" s="1283" t="s">
        <v>1942</v>
      </c>
      <c r="CW481" s="1283" t="s">
        <v>1942</v>
      </c>
      <c r="CX481" s="1285" t="s">
        <v>1942</v>
      </c>
      <c r="CY481" s="1283" t="s">
        <v>1942</v>
      </c>
      <c r="CZ481" s="1283" t="s">
        <v>1942</v>
      </c>
      <c r="DA481" s="1283" t="s">
        <v>1942</v>
      </c>
      <c r="DB481" s="1285" t="s">
        <v>1942</v>
      </c>
      <c r="DC481" s="785"/>
      <c r="DD481" s="813">
        <v>1</v>
      </c>
      <c r="DE481" s="814"/>
    </row>
    <row r="482" spans="1:109" ht="39.4" hidden="1">
      <c r="A482" s="772" t="s">
        <v>1045</v>
      </c>
      <c r="B482" s="773">
        <v>476</v>
      </c>
      <c r="C482" s="789" t="s">
        <v>3954</v>
      </c>
      <c r="D482" s="773" t="s">
        <v>3882</v>
      </c>
      <c r="E482" s="773" t="s">
        <v>1907</v>
      </c>
      <c r="F482" s="785" t="s">
        <v>3955</v>
      </c>
      <c r="G482" s="790" t="s">
        <v>3956</v>
      </c>
      <c r="H482" s="791" t="s">
        <v>3957</v>
      </c>
      <c r="I482" s="792"/>
      <c r="J482" s="793">
        <v>0.5</v>
      </c>
      <c r="K482" s="793">
        <v>0.5</v>
      </c>
      <c r="L482" s="793"/>
      <c r="M482" s="793"/>
      <c r="N482" s="793"/>
      <c r="O482" s="793"/>
      <c r="P482" s="794"/>
      <c r="Q482" s="795">
        <f t="shared" si="7"/>
        <v>1</v>
      </c>
      <c r="R482" s="789" t="s">
        <v>1017</v>
      </c>
      <c r="S482" s="773" t="s">
        <v>1008</v>
      </c>
      <c r="T482" s="796" t="s">
        <v>1009</v>
      </c>
      <c r="U482" s="773" t="s">
        <v>2763</v>
      </c>
      <c r="V482" s="773" t="s">
        <v>1033</v>
      </c>
      <c r="W482" s="773" t="s">
        <v>3958</v>
      </c>
      <c r="X482" s="1310">
        <v>0</v>
      </c>
      <c r="Y482" s="826" t="s">
        <v>1010</v>
      </c>
      <c r="Z482" s="790"/>
      <c r="AA482" s="785"/>
      <c r="AB482" s="785"/>
      <c r="AC482" s="785"/>
      <c r="AD482" s="785"/>
      <c r="AE482" s="785"/>
      <c r="AF482" s="799"/>
      <c r="AG482" s="800"/>
      <c r="AH482" s="800"/>
      <c r="AI482" s="800"/>
      <c r="AJ482" s="800"/>
      <c r="AK482" s="800"/>
      <c r="AL482" s="800"/>
      <c r="AM482" s="800"/>
      <c r="AN482" s="800"/>
      <c r="AO482" s="800"/>
      <c r="AP482" s="800"/>
      <c r="AQ482" s="808">
        <v>0</v>
      </c>
      <c r="AR482" s="800">
        <v>0</v>
      </c>
      <c r="AS482" s="800">
        <v>0</v>
      </c>
      <c r="AT482" s="800">
        <v>0</v>
      </c>
      <c r="AU482" s="805">
        <v>0</v>
      </c>
      <c r="AV482" s="808"/>
      <c r="AW482" s="800"/>
      <c r="AX482" s="800"/>
      <c r="AY482" s="800"/>
      <c r="AZ482" s="800"/>
      <c r="BA482" s="800"/>
      <c r="BB482" s="800"/>
      <c r="BC482" s="800"/>
      <c r="BD482" s="800"/>
      <c r="BE482" s="800"/>
      <c r="BF482" s="800"/>
      <c r="BG482" s="800"/>
      <c r="BH482" s="800"/>
      <c r="BI482" s="800"/>
      <c r="BJ482" s="800"/>
      <c r="BK482" s="805"/>
      <c r="BL482" s="789" t="s">
        <v>168</v>
      </c>
      <c r="BM482" s="785" t="s">
        <v>168</v>
      </c>
      <c r="BN482" s="785" t="s">
        <v>168</v>
      </c>
      <c r="BO482" s="785" t="s">
        <v>168</v>
      </c>
      <c r="BP482" s="796" t="s">
        <v>168</v>
      </c>
      <c r="BQ482" s="808" t="s">
        <v>1942</v>
      </c>
      <c r="BR482" s="800" t="s">
        <v>1942</v>
      </c>
      <c r="BS482" s="800" t="s">
        <v>1942</v>
      </c>
      <c r="BT482" s="800" t="s">
        <v>1942</v>
      </c>
      <c r="BU482" s="805" t="s">
        <v>1942</v>
      </c>
      <c r="BV482" s="808" t="s">
        <v>1942</v>
      </c>
      <c r="BW482" s="800" t="s">
        <v>1942</v>
      </c>
      <c r="BX482" s="800" t="s">
        <v>1942</v>
      </c>
      <c r="BY482" s="800" t="s">
        <v>1942</v>
      </c>
      <c r="BZ482" s="800" t="s">
        <v>1942</v>
      </c>
      <c r="CA482" s="808" t="s">
        <v>1942</v>
      </c>
      <c r="CB482" s="800" t="s">
        <v>1942</v>
      </c>
      <c r="CC482" s="800" t="s">
        <v>1942</v>
      </c>
      <c r="CD482" s="800" t="s">
        <v>1942</v>
      </c>
      <c r="CE482" s="805" t="s">
        <v>1942</v>
      </c>
      <c r="CF482" s="800" t="s">
        <v>1942</v>
      </c>
      <c r="CG482" s="800" t="s">
        <v>1942</v>
      </c>
      <c r="CH482" s="800" t="s">
        <v>1942</v>
      </c>
      <c r="CI482" s="800" t="s">
        <v>1942</v>
      </c>
      <c r="CJ482" s="805" t="s">
        <v>1942</v>
      </c>
      <c r="CK482" s="808">
        <v>4814</v>
      </c>
      <c r="CL482" s="800">
        <v>4814</v>
      </c>
      <c r="CM482" s="800">
        <v>4814</v>
      </c>
      <c r="CN482" s="800">
        <v>4814</v>
      </c>
      <c r="CO482" s="805">
        <v>4814</v>
      </c>
      <c r="CP482" s="808" t="s">
        <v>1942</v>
      </c>
      <c r="CQ482" s="800" t="s">
        <v>1942</v>
      </c>
      <c r="CR482" s="800" t="s">
        <v>1942</v>
      </c>
      <c r="CS482" s="800" t="s">
        <v>1942</v>
      </c>
      <c r="CT482" s="805" t="s">
        <v>1942</v>
      </c>
      <c r="CU482" s="1284" t="s">
        <v>1942</v>
      </c>
      <c r="CV482" s="1283" t="s">
        <v>1942</v>
      </c>
      <c r="CW482" s="1283" t="s">
        <v>1942</v>
      </c>
      <c r="CX482" s="1285" t="s">
        <v>1942</v>
      </c>
      <c r="CY482" s="1283">
        <v>1.1400000000000001E-4</v>
      </c>
      <c r="CZ482" s="1283" t="s">
        <v>1942</v>
      </c>
      <c r="DA482" s="1283" t="s">
        <v>1942</v>
      </c>
      <c r="DB482" s="1285" t="s">
        <v>1942</v>
      </c>
      <c r="DC482" s="785" t="s">
        <v>131</v>
      </c>
      <c r="DD482" s="813"/>
      <c r="DE482" s="814"/>
    </row>
    <row r="483" spans="1:109" ht="91.9" hidden="1">
      <c r="A483" s="772" t="s">
        <v>1045</v>
      </c>
      <c r="B483" s="773">
        <v>477</v>
      </c>
      <c r="C483" s="789" t="s">
        <v>3959</v>
      </c>
      <c r="D483" s="773" t="s">
        <v>3765</v>
      </c>
      <c r="E483" s="773" t="s">
        <v>1907</v>
      </c>
      <c r="F483" s="785" t="s">
        <v>3960</v>
      </c>
      <c r="G483" s="790" t="s">
        <v>703</v>
      </c>
      <c r="H483" s="791" t="s">
        <v>3961</v>
      </c>
      <c r="I483" s="792"/>
      <c r="J483" s="793"/>
      <c r="K483" s="793"/>
      <c r="L483" s="793"/>
      <c r="M483" s="793">
        <v>1</v>
      </c>
      <c r="N483" s="793"/>
      <c r="O483" s="793"/>
      <c r="P483" s="794"/>
      <c r="Q483" s="795">
        <f t="shared" si="7"/>
        <v>1</v>
      </c>
      <c r="R483" s="789" t="s">
        <v>1007</v>
      </c>
      <c r="S483" s="773"/>
      <c r="T483" s="796"/>
      <c r="U483" s="773" t="s">
        <v>2029</v>
      </c>
      <c r="V483" s="773" t="s">
        <v>278</v>
      </c>
      <c r="W483" s="773" t="s">
        <v>3962</v>
      </c>
      <c r="X483" s="1311">
        <v>1</v>
      </c>
      <c r="Y483" s="821" t="s">
        <v>1010</v>
      </c>
      <c r="Z483" s="790" t="s">
        <v>703</v>
      </c>
      <c r="AA483" s="785"/>
      <c r="AB483" s="785"/>
      <c r="AC483" s="785"/>
      <c r="AD483" s="785"/>
      <c r="AE483" s="785"/>
      <c r="AF483" s="799"/>
      <c r="AG483" s="800"/>
      <c r="AH483" s="800"/>
      <c r="AI483" s="800"/>
      <c r="AJ483" s="800"/>
      <c r="AK483" s="800"/>
      <c r="AL483" s="800"/>
      <c r="AM483" s="800"/>
      <c r="AN483" s="800"/>
      <c r="AO483" s="800"/>
      <c r="AP483" s="800"/>
      <c r="AQ483" s="1420"/>
      <c r="AR483" s="1368"/>
      <c r="AS483" s="1368"/>
      <c r="AT483" s="1368"/>
      <c r="AU483" s="1369"/>
      <c r="AV483" s="808"/>
      <c r="AW483" s="800"/>
      <c r="AX483" s="800"/>
      <c r="AY483" s="800"/>
      <c r="AZ483" s="800"/>
      <c r="BA483" s="800"/>
      <c r="BB483" s="800"/>
      <c r="BC483" s="800"/>
      <c r="BD483" s="800"/>
      <c r="BE483" s="800"/>
      <c r="BF483" s="800"/>
      <c r="BG483" s="800"/>
      <c r="BH483" s="800"/>
      <c r="BI483" s="800"/>
      <c r="BJ483" s="800"/>
      <c r="BK483" s="805"/>
      <c r="BL483" s="1376"/>
      <c r="BM483" s="1377"/>
      <c r="BN483" s="1377"/>
      <c r="BO483" s="1377"/>
      <c r="BP483" s="1440"/>
      <c r="BQ483" s="1420"/>
      <c r="BR483" s="1368"/>
      <c r="BS483" s="1368"/>
      <c r="BT483" s="1368"/>
      <c r="BU483" s="1369"/>
      <c r="BV483" s="1420"/>
      <c r="BW483" s="1368"/>
      <c r="BX483" s="1368"/>
      <c r="BY483" s="1368"/>
      <c r="BZ483" s="1368"/>
      <c r="CA483" s="1420"/>
      <c r="CB483" s="1368"/>
      <c r="CC483" s="1368"/>
      <c r="CD483" s="1368"/>
      <c r="CE483" s="1369"/>
      <c r="CF483" s="1368"/>
      <c r="CG483" s="1368"/>
      <c r="CH483" s="1368"/>
      <c r="CI483" s="1368"/>
      <c r="CJ483" s="1368"/>
      <c r="CK483" s="1420"/>
      <c r="CL483" s="1368"/>
      <c r="CM483" s="1368"/>
      <c r="CN483" s="1368"/>
      <c r="CO483" s="1369"/>
      <c r="CP483" s="1420"/>
      <c r="CQ483" s="1368"/>
      <c r="CR483" s="1368"/>
      <c r="CS483" s="1368"/>
      <c r="CT483" s="1369"/>
      <c r="CU483" s="1528"/>
      <c r="CV483" s="1519"/>
      <c r="CW483" s="1519"/>
      <c r="CX483" s="1728"/>
      <c r="CY483" s="1519"/>
      <c r="CZ483" s="1519"/>
      <c r="DA483" s="1519"/>
      <c r="DB483" s="1728"/>
      <c r="DC483" s="1377"/>
      <c r="DD483" s="1729"/>
      <c r="DE483" s="1734"/>
    </row>
    <row r="484" spans="1:109" ht="26.25" hidden="1">
      <c r="A484" s="772" t="s">
        <v>1045</v>
      </c>
      <c r="B484" s="773">
        <v>478</v>
      </c>
      <c r="C484" s="789" t="s">
        <v>3963</v>
      </c>
      <c r="D484" s="773" t="s">
        <v>3765</v>
      </c>
      <c r="E484" s="773" t="s">
        <v>1907</v>
      </c>
      <c r="F484" s="785" t="s">
        <v>3964</v>
      </c>
      <c r="G484" s="790" t="s">
        <v>3965</v>
      </c>
      <c r="H484" s="791" t="s">
        <v>3966</v>
      </c>
      <c r="I484" s="792"/>
      <c r="J484" s="793"/>
      <c r="K484" s="793"/>
      <c r="L484" s="793"/>
      <c r="M484" s="793">
        <v>1</v>
      </c>
      <c r="N484" s="793"/>
      <c r="O484" s="793"/>
      <c r="P484" s="794"/>
      <c r="Q484" s="795">
        <f t="shared" si="7"/>
        <v>1</v>
      </c>
      <c r="R484" s="789" t="s">
        <v>1007</v>
      </c>
      <c r="S484" s="773"/>
      <c r="T484" s="796"/>
      <c r="U484" s="773" t="s">
        <v>2029</v>
      </c>
      <c r="V484" s="773" t="s">
        <v>1072</v>
      </c>
      <c r="W484" s="773" t="s">
        <v>3967</v>
      </c>
      <c r="X484" s="1310">
        <v>0</v>
      </c>
      <c r="Y484" s="819"/>
      <c r="Z484" s="790"/>
      <c r="AA484" s="785"/>
      <c r="AB484" s="785"/>
      <c r="AC484" s="785"/>
      <c r="AD484" s="785"/>
      <c r="AE484" s="785"/>
      <c r="AF484" s="799"/>
      <c r="AG484" s="800"/>
      <c r="AH484" s="800"/>
      <c r="AI484" s="800"/>
      <c r="AJ484" s="800"/>
      <c r="AK484" s="800"/>
      <c r="AL484" s="800"/>
      <c r="AM484" s="800"/>
      <c r="AN484" s="800"/>
      <c r="AO484" s="800"/>
      <c r="AP484" s="800"/>
      <c r="AQ484" s="808" t="s">
        <v>3968</v>
      </c>
      <c r="AR484" s="800" t="s">
        <v>2012</v>
      </c>
      <c r="AS484" s="800" t="s">
        <v>2012</v>
      </c>
      <c r="AT484" s="800" t="s">
        <v>2012</v>
      </c>
      <c r="AU484" s="805" t="s">
        <v>2012</v>
      </c>
      <c r="AV484" s="808"/>
      <c r="AW484" s="800"/>
      <c r="AX484" s="800"/>
      <c r="AY484" s="800"/>
      <c r="AZ484" s="800"/>
      <c r="BA484" s="800"/>
      <c r="BB484" s="800"/>
      <c r="BC484" s="800"/>
      <c r="BD484" s="800"/>
      <c r="BE484" s="800"/>
      <c r="BF484" s="800"/>
      <c r="BG484" s="800"/>
      <c r="BH484" s="800"/>
      <c r="BI484" s="800"/>
      <c r="BJ484" s="800"/>
      <c r="BK484" s="805"/>
      <c r="BL484" s="789"/>
      <c r="BM484" s="785"/>
      <c r="BN484" s="785"/>
      <c r="BO484" s="785"/>
      <c r="BP484" s="796"/>
      <c r="BQ484" s="808" t="s">
        <v>1942</v>
      </c>
      <c r="BR484" s="800" t="s">
        <v>1942</v>
      </c>
      <c r="BS484" s="800" t="s">
        <v>1942</v>
      </c>
      <c r="BT484" s="800" t="s">
        <v>1942</v>
      </c>
      <c r="BU484" s="805" t="s">
        <v>1942</v>
      </c>
      <c r="BV484" s="808" t="s">
        <v>1942</v>
      </c>
      <c r="BW484" s="800" t="s">
        <v>1942</v>
      </c>
      <c r="BX484" s="800" t="s">
        <v>1942</v>
      </c>
      <c r="BY484" s="800" t="s">
        <v>1942</v>
      </c>
      <c r="BZ484" s="800" t="s">
        <v>1942</v>
      </c>
      <c r="CA484" s="808" t="s">
        <v>1942</v>
      </c>
      <c r="CB484" s="800" t="s">
        <v>1942</v>
      </c>
      <c r="CC484" s="800" t="s">
        <v>1942</v>
      </c>
      <c r="CD484" s="800" t="s">
        <v>1942</v>
      </c>
      <c r="CE484" s="805" t="s">
        <v>1942</v>
      </c>
      <c r="CF484" s="800" t="s">
        <v>1942</v>
      </c>
      <c r="CG484" s="800" t="s">
        <v>1942</v>
      </c>
      <c r="CH484" s="800" t="s">
        <v>1942</v>
      </c>
      <c r="CI484" s="800" t="s">
        <v>1942</v>
      </c>
      <c r="CJ484" s="805" t="s">
        <v>1942</v>
      </c>
      <c r="CK484" s="808" t="s">
        <v>1942</v>
      </c>
      <c r="CL484" s="800" t="s">
        <v>1942</v>
      </c>
      <c r="CM484" s="800" t="s">
        <v>1942</v>
      </c>
      <c r="CN484" s="800" t="s">
        <v>1942</v>
      </c>
      <c r="CO484" s="805" t="s">
        <v>1942</v>
      </c>
      <c r="CP484" s="808" t="s">
        <v>1942</v>
      </c>
      <c r="CQ484" s="800" t="s">
        <v>1942</v>
      </c>
      <c r="CR484" s="800" t="s">
        <v>1942</v>
      </c>
      <c r="CS484" s="800" t="s">
        <v>1942</v>
      </c>
      <c r="CT484" s="805" t="s">
        <v>1942</v>
      </c>
      <c r="CU484" s="1284" t="s">
        <v>1942</v>
      </c>
      <c r="CV484" s="1283" t="s">
        <v>1942</v>
      </c>
      <c r="CW484" s="1283" t="s">
        <v>1942</v>
      </c>
      <c r="CX484" s="1285" t="s">
        <v>1942</v>
      </c>
      <c r="CY484" s="1283" t="s">
        <v>1942</v>
      </c>
      <c r="CZ484" s="1283" t="s">
        <v>1942</v>
      </c>
      <c r="DA484" s="1283" t="s">
        <v>1942</v>
      </c>
      <c r="DB484" s="1285" t="s">
        <v>1942</v>
      </c>
      <c r="DC484" s="785"/>
      <c r="DD484" s="813">
        <v>1</v>
      </c>
      <c r="DE484" s="814"/>
    </row>
    <row r="485" spans="1:109" ht="13.15" hidden="1">
      <c r="A485" s="772" t="s">
        <v>1045</v>
      </c>
      <c r="B485" s="773">
        <v>479</v>
      </c>
      <c r="C485" s="789" t="s">
        <v>3969</v>
      </c>
      <c r="D485" s="773"/>
      <c r="E485" s="773"/>
      <c r="F485" s="785" t="s">
        <v>3970</v>
      </c>
      <c r="G485" s="790" t="s">
        <v>3971</v>
      </c>
      <c r="H485" s="791"/>
      <c r="I485" s="792"/>
      <c r="J485" s="793">
        <v>1</v>
      </c>
      <c r="K485" s="793"/>
      <c r="L485" s="793"/>
      <c r="M485" s="793"/>
      <c r="N485" s="793"/>
      <c r="O485" s="793"/>
      <c r="P485" s="794"/>
      <c r="Q485" s="795">
        <f t="shared" si="7"/>
        <v>1</v>
      </c>
      <c r="R485" s="789" t="s">
        <v>1026</v>
      </c>
      <c r="S485" s="773" t="s">
        <v>1008</v>
      </c>
      <c r="T485" s="796" t="s">
        <v>1019</v>
      </c>
      <c r="U485" s="773"/>
      <c r="V485" s="1248" t="s">
        <v>1033</v>
      </c>
      <c r="W485" s="773"/>
      <c r="X485" s="1310">
        <v>0</v>
      </c>
      <c r="Y485" s="821" t="s">
        <v>1010</v>
      </c>
      <c r="Z485" s="790"/>
      <c r="AA485" s="785"/>
      <c r="AB485" s="785"/>
      <c r="AC485" s="785"/>
      <c r="AD485" s="785"/>
      <c r="AE485" s="785"/>
      <c r="AF485" s="799"/>
      <c r="AG485" s="800"/>
      <c r="AH485" s="800"/>
      <c r="AI485" s="800"/>
      <c r="AJ485" s="800"/>
      <c r="AK485" s="800"/>
      <c r="AL485" s="800"/>
      <c r="AM485" s="800"/>
      <c r="AN485" s="800"/>
      <c r="AO485" s="800"/>
      <c r="AP485" s="800"/>
      <c r="AQ485" s="827">
        <v>80000</v>
      </c>
      <c r="AR485" s="797">
        <v>160000</v>
      </c>
      <c r="AS485" s="797">
        <v>240000</v>
      </c>
      <c r="AT485" s="797">
        <v>320000</v>
      </c>
      <c r="AU485" s="841">
        <v>399749</v>
      </c>
      <c r="AV485" s="808"/>
      <c r="AW485" s="800"/>
      <c r="AX485" s="800"/>
      <c r="AY485" s="800"/>
      <c r="AZ485" s="800"/>
      <c r="BA485" s="800"/>
      <c r="BB485" s="800"/>
      <c r="BC485" s="800"/>
      <c r="BD485" s="800"/>
      <c r="BE485" s="800"/>
      <c r="BF485" s="800"/>
      <c r="BG485" s="800"/>
      <c r="BH485" s="800"/>
      <c r="BI485" s="800"/>
      <c r="BJ485" s="800"/>
      <c r="BK485" s="805"/>
      <c r="BL485" s="789"/>
      <c r="BM485" s="785"/>
      <c r="BN485" s="785"/>
      <c r="BO485" s="785"/>
      <c r="BP485" s="796" t="s">
        <v>168</v>
      </c>
      <c r="BQ485" s="808" t="s">
        <v>1942</v>
      </c>
      <c r="BR485" s="800" t="s">
        <v>1942</v>
      </c>
      <c r="BS485" s="800" t="s">
        <v>1942</v>
      </c>
      <c r="BT485" s="800" t="s">
        <v>1942</v>
      </c>
      <c r="BU485" s="805" t="s">
        <v>1942</v>
      </c>
      <c r="BV485" s="808" t="s">
        <v>1942</v>
      </c>
      <c r="BW485" s="800" t="s">
        <v>1942</v>
      </c>
      <c r="BX485" s="800" t="s">
        <v>1942</v>
      </c>
      <c r="BY485" s="800" t="s">
        <v>1942</v>
      </c>
      <c r="BZ485" s="800" t="s">
        <v>1942</v>
      </c>
      <c r="CA485" s="808" t="s">
        <v>1942</v>
      </c>
      <c r="CB485" s="800" t="s">
        <v>1942</v>
      </c>
      <c r="CC485" s="800" t="s">
        <v>1942</v>
      </c>
      <c r="CD485" s="800" t="s">
        <v>1942</v>
      </c>
      <c r="CE485" s="805" t="s">
        <v>1942</v>
      </c>
      <c r="CF485" s="800" t="s">
        <v>1942</v>
      </c>
      <c r="CG485" s="800" t="s">
        <v>1942</v>
      </c>
      <c r="CH485" s="800" t="s">
        <v>1942</v>
      </c>
      <c r="CI485" s="800" t="s">
        <v>1942</v>
      </c>
      <c r="CJ485" s="805" t="s">
        <v>1942</v>
      </c>
      <c r="CK485" s="808" t="s">
        <v>1942</v>
      </c>
      <c r="CL485" s="800" t="s">
        <v>1942</v>
      </c>
      <c r="CM485" s="800" t="s">
        <v>1942</v>
      </c>
      <c r="CN485" s="800" t="s">
        <v>1942</v>
      </c>
      <c r="CO485" s="805" t="s">
        <v>1942</v>
      </c>
      <c r="CP485" s="808" t="s">
        <v>1942</v>
      </c>
      <c r="CQ485" s="800" t="s">
        <v>1942</v>
      </c>
      <c r="CR485" s="800" t="s">
        <v>1942</v>
      </c>
      <c r="CS485" s="800" t="s">
        <v>1942</v>
      </c>
      <c r="CT485" s="805" t="s">
        <v>1942</v>
      </c>
      <c r="CU485" s="1284">
        <v>-3.6999999999999998E-5</v>
      </c>
      <c r="CV485" s="1283" t="s">
        <v>1942</v>
      </c>
      <c r="CW485" s="1283" t="s">
        <v>1942</v>
      </c>
      <c r="CX485" s="1285" t="s">
        <v>1942</v>
      </c>
      <c r="CY485" s="1283" t="s">
        <v>1942</v>
      </c>
      <c r="CZ485" s="1283" t="s">
        <v>1942</v>
      </c>
      <c r="DA485" s="1283" t="s">
        <v>1942</v>
      </c>
      <c r="DB485" s="1285" t="s">
        <v>1942</v>
      </c>
      <c r="DC485" s="785"/>
      <c r="DD485" s="813"/>
      <c r="DE485" s="814"/>
    </row>
    <row r="486" spans="1:109" ht="13.15" hidden="1">
      <c r="A486" s="772" t="s">
        <v>1045</v>
      </c>
      <c r="B486" s="773">
        <v>480</v>
      </c>
      <c r="C486" s="789" t="s">
        <v>3972</v>
      </c>
      <c r="D486" s="773"/>
      <c r="E486" s="773"/>
      <c r="F486" s="785" t="s">
        <v>3973</v>
      </c>
      <c r="G486" s="790" t="s">
        <v>3974</v>
      </c>
      <c r="H486" s="791"/>
      <c r="I486" s="792"/>
      <c r="J486" s="793">
        <v>1</v>
      </c>
      <c r="K486" s="793"/>
      <c r="L486" s="793"/>
      <c r="M486" s="793"/>
      <c r="N486" s="793"/>
      <c r="O486" s="793"/>
      <c r="P486" s="794"/>
      <c r="Q486" s="795">
        <f t="shared" si="7"/>
        <v>1</v>
      </c>
      <c r="R486" s="789" t="s">
        <v>1026</v>
      </c>
      <c r="S486" s="773" t="s">
        <v>1008</v>
      </c>
      <c r="T486" s="796" t="s">
        <v>1019</v>
      </c>
      <c r="U486" s="773"/>
      <c r="V486" s="1248" t="s">
        <v>1033</v>
      </c>
      <c r="W486" s="773"/>
      <c r="X486" s="1310">
        <v>0</v>
      </c>
      <c r="Y486" s="821" t="s">
        <v>1010</v>
      </c>
      <c r="Z486" s="790"/>
      <c r="AA486" s="785"/>
      <c r="AB486" s="785"/>
      <c r="AC486" s="785"/>
      <c r="AD486" s="785"/>
      <c r="AE486" s="785"/>
      <c r="AF486" s="799"/>
      <c r="AG486" s="800"/>
      <c r="AH486" s="800"/>
      <c r="AI486" s="800"/>
      <c r="AJ486" s="800"/>
      <c r="AK486" s="800"/>
      <c r="AL486" s="800"/>
      <c r="AM486" s="800"/>
      <c r="AN486" s="800"/>
      <c r="AO486" s="800"/>
      <c r="AP486" s="800"/>
      <c r="AQ486" s="827">
        <v>26000</v>
      </c>
      <c r="AR486" s="797">
        <v>52000</v>
      </c>
      <c r="AS486" s="797">
        <v>78000</v>
      </c>
      <c r="AT486" s="797">
        <v>104000</v>
      </c>
      <c r="AU486" s="841">
        <v>130000</v>
      </c>
      <c r="AV486" s="808"/>
      <c r="AW486" s="800"/>
      <c r="AX486" s="800"/>
      <c r="AY486" s="800"/>
      <c r="AZ486" s="800"/>
      <c r="BA486" s="800"/>
      <c r="BB486" s="800"/>
      <c r="BC486" s="800"/>
      <c r="BD486" s="800"/>
      <c r="BE486" s="800"/>
      <c r="BF486" s="800"/>
      <c r="BG486" s="800"/>
      <c r="BH486" s="800"/>
      <c r="BI486" s="800"/>
      <c r="BJ486" s="800"/>
      <c r="BK486" s="805"/>
      <c r="BL486" s="789"/>
      <c r="BM486" s="785"/>
      <c r="BN486" s="785"/>
      <c r="BO486" s="785"/>
      <c r="BP486" s="796" t="s">
        <v>168</v>
      </c>
      <c r="BQ486" s="808" t="s">
        <v>1942</v>
      </c>
      <c r="BR486" s="800" t="s">
        <v>1942</v>
      </c>
      <c r="BS486" s="800" t="s">
        <v>1942</v>
      </c>
      <c r="BT486" s="800" t="s">
        <v>1942</v>
      </c>
      <c r="BU486" s="805" t="s">
        <v>1942</v>
      </c>
      <c r="BV486" s="808" t="s">
        <v>1942</v>
      </c>
      <c r="BW486" s="800" t="s">
        <v>1942</v>
      </c>
      <c r="BX486" s="800" t="s">
        <v>1942</v>
      </c>
      <c r="BY486" s="800" t="s">
        <v>1942</v>
      </c>
      <c r="BZ486" s="800" t="s">
        <v>1942</v>
      </c>
      <c r="CA486" s="808" t="s">
        <v>1942</v>
      </c>
      <c r="CB486" s="800" t="s">
        <v>1942</v>
      </c>
      <c r="CC486" s="800" t="s">
        <v>1942</v>
      </c>
      <c r="CD486" s="800" t="s">
        <v>1942</v>
      </c>
      <c r="CE486" s="805" t="s">
        <v>1942</v>
      </c>
      <c r="CF486" s="800" t="s">
        <v>1942</v>
      </c>
      <c r="CG486" s="800" t="s">
        <v>1942</v>
      </c>
      <c r="CH486" s="800" t="s">
        <v>1942</v>
      </c>
      <c r="CI486" s="800" t="s">
        <v>1942</v>
      </c>
      <c r="CJ486" s="805" t="s">
        <v>1942</v>
      </c>
      <c r="CK486" s="808" t="s">
        <v>1942</v>
      </c>
      <c r="CL486" s="800" t="s">
        <v>1942</v>
      </c>
      <c r="CM486" s="800" t="s">
        <v>1942</v>
      </c>
      <c r="CN486" s="800" t="s">
        <v>1942</v>
      </c>
      <c r="CO486" s="805" t="s">
        <v>1942</v>
      </c>
      <c r="CP486" s="808" t="s">
        <v>1942</v>
      </c>
      <c r="CQ486" s="800" t="s">
        <v>1942</v>
      </c>
      <c r="CR486" s="800" t="s">
        <v>1942</v>
      </c>
      <c r="CS486" s="800" t="s">
        <v>1942</v>
      </c>
      <c r="CT486" s="805" t="s">
        <v>1942</v>
      </c>
      <c r="CU486" s="1284">
        <v>-1.8E-5</v>
      </c>
      <c r="CV486" s="1283" t="s">
        <v>1942</v>
      </c>
      <c r="CW486" s="1283" t="s">
        <v>1942</v>
      </c>
      <c r="CX486" s="1285" t="s">
        <v>1942</v>
      </c>
      <c r="CY486" s="1283" t="s">
        <v>1942</v>
      </c>
      <c r="CZ486" s="1283" t="s">
        <v>1942</v>
      </c>
      <c r="DA486" s="1283" t="s">
        <v>1942</v>
      </c>
      <c r="DB486" s="1285" t="s">
        <v>1942</v>
      </c>
      <c r="DC486" s="785"/>
      <c r="DD486" s="813"/>
      <c r="DE486" s="814"/>
    </row>
    <row r="487" spans="1:109" ht="13.15" hidden="1">
      <c r="A487" s="772" t="s">
        <v>1045</v>
      </c>
      <c r="B487" s="773">
        <v>481</v>
      </c>
      <c r="C487" s="789" t="s">
        <v>3975</v>
      </c>
      <c r="D487" s="773"/>
      <c r="E487" s="773"/>
      <c r="F487" s="785" t="s">
        <v>2032</v>
      </c>
      <c r="G487" s="790" t="s">
        <v>2033</v>
      </c>
      <c r="H487" s="791"/>
      <c r="I487" s="792"/>
      <c r="J487" s="793"/>
      <c r="K487" s="793"/>
      <c r="L487" s="793"/>
      <c r="M487" s="793"/>
      <c r="N487" s="793"/>
      <c r="O487" s="793"/>
      <c r="P487" s="794"/>
      <c r="Q487" s="795">
        <f t="shared" si="7"/>
        <v>0</v>
      </c>
      <c r="R487" s="789" t="s">
        <v>1007</v>
      </c>
      <c r="S487" s="773"/>
      <c r="T487" s="796"/>
      <c r="U487" s="773"/>
      <c r="V487" s="773"/>
      <c r="W487" s="773" t="s">
        <v>2034</v>
      </c>
      <c r="X487" s="1310">
        <v>0</v>
      </c>
      <c r="Y487" s="819"/>
      <c r="Z487" s="790"/>
      <c r="AA487" s="785"/>
      <c r="AB487" s="785"/>
      <c r="AC487" s="785"/>
      <c r="AD487" s="785"/>
      <c r="AE487" s="785"/>
      <c r="AF487" s="799"/>
      <c r="AG487" s="800"/>
      <c r="AH487" s="800"/>
      <c r="AI487" s="800"/>
      <c r="AJ487" s="800"/>
      <c r="AK487" s="800"/>
      <c r="AL487" s="800"/>
      <c r="AM487" s="800"/>
      <c r="AN487" s="800"/>
      <c r="AO487" s="800"/>
      <c r="AP487" s="800"/>
      <c r="AQ487" s="808" t="s">
        <v>591</v>
      </c>
      <c r="AR487" s="800" t="s">
        <v>591</v>
      </c>
      <c r="AS487" s="800" t="s">
        <v>591</v>
      </c>
      <c r="AT487" s="800" t="s">
        <v>591</v>
      </c>
      <c r="AU487" s="805" t="s">
        <v>591</v>
      </c>
      <c r="AV487" s="808"/>
      <c r="AW487" s="800"/>
      <c r="AX487" s="800"/>
      <c r="AY487" s="800"/>
      <c r="AZ487" s="800"/>
      <c r="BA487" s="800"/>
      <c r="BB487" s="800"/>
      <c r="BC487" s="800"/>
      <c r="BD487" s="800"/>
      <c r="BE487" s="800"/>
      <c r="BF487" s="800"/>
      <c r="BG487" s="800"/>
      <c r="BH487" s="800"/>
      <c r="BI487" s="800"/>
      <c r="BJ487" s="800"/>
      <c r="BK487" s="805"/>
      <c r="BL487" s="789"/>
      <c r="BM487" s="785"/>
      <c r="BN487" s="785"/>
      <c r="BO487" s="785"/>
      <c r="BP487" s="796"/>
      <c r="BQ487" s="808" t="s">
        <v>1942</v>
      </c>
      <c r="BR487" s="800" t="s">
        <v>1942</v>
      </c>
      <c r="BS487" s="800" t="s">
        <v>1942</v>
      </c>
      <c r="BT487" s="800" t="s">
        <v>1942</v>
      </c>
      <c r="BU487" s="805" t="s">
        <v>1942</v>
      </c>
      <c r="BV487" s="808" t="s">
        <v>1942</v>
      </c>
      <c r="BW487" s="800" t="s">
        <v>1942</v>
      </c>
      <c r="BX487" s="800" t="s">
        <v>1942</v>
      </c>
      <c r="BY487" s="800" t="s">
        <v>1942</v>
      </c>
      <c r="BZ487" s="800" t="s">
        <v>1942</v>
      </c>
      <c r="CA487" s="808" t="s">
        <v>1942</v>
      </c>
      <c r="CB487" s="800" t="s">
        <v>1942</v>
      </c>
      <c r="CC487" s="800" t="s">
        <v>1942</v>
      </c>
      <c r="CD487" s="800" t="s">
        <v>1942</v>
      </c>
      <c r="CE487" s="805" t="s">
        <v>1942</v>
      </c>
      <c r="CF487" s="800" t="s">
        <v>1942</v>
      </c>
      <c r="CG487" s="800" t="s">
        <v>1942</v>
      </c>
      <c r="CH487" s="800" t="s">
        <v>1942</v>
      </c>
      <c r="CI487" s="800" t="s">
        <v>1942</v>
      </c>
      <c r="CJ487" s="805" t="s">
        <v>1942</v>
      </c>
      <c r="CK487" s="808" t="s">
        <v>1942</v>
      </c>
      <c r="CL487" s="800" t="s">
        <v>1942</v>
      </c>
      <c r="CM487" s="800" t="s">
        <v>1942</v>
      </c>
      <c r="CN487" s="800" t="s">
        <v>1942</v>
      </c>
      <c r="CO487" s="805" t="s">
        <v>1942</v>
      </c>
      <c r="CP487" s="808" t="s">
        <v>1942</v>
      </c>
      <c r="CQ487" s="800" t="s">
        <v>1942</v>
      </c>
      <c r="CR487" s="800" t="s">
        <v>1942</v>
      </c>
      <c r="CS487" s="800" t="s">
        <v>1942</v>
      </c>
      <c r="CT487" s="805" t="s">
        <v>1942</v>
      </c>
      <c r="CU487" s="1284" t="s">
        <v>1942</v>
      </c>
      <c r="CV487" s="1283" t="s">
        <v>1942</v>
      </c>
      <c r="CW487" s="1283" t="s">
        <v>1942</v>
      </c>
      <c r="CX487" s="1285" t="s">
        <v>1942</v>
      </c>
      <c r="CY487" s="1283" t="s">
        <v>1942</v>
      </c>
      <c r="CZ487" s="1283" t="s">
        <v>1942</v>
      </c>
      <c r="DA487" s="1283" t="s">
        <v>1942</v>
      </c>
      <c r="DB487" s="1285" t="s">
        <v>1942</v>
      </c>
      <c r="DC487" s="785"/>
      <c r="DD487" s="813"/>
      <c r="DE487" s="814"/>
    </row>
    <row r="488" spans="1:109" ht="13.15" hidden="1">
      <c r="A488" s="772" t="s">
        <v>1045</v>
      </c>
      <c r="B488" s="773">
        <v>482</v>
      </c>
      <c r="C488" s="789" t="s">
        <v>3976</v>
      </c>
      <c r="D488" s="773"/>
      <c r="E488" s="773"/>
      <c r="F488" s="785" t="s">
        <v>3977</v>
      </c>
      <c r="G488" s="790" t="s">
        <v>2697</v>
      </c>
      <c r="H488" s="791"/>
      <c r="I488" s="792"/>
      <c r="J488" s="793"/>
      <c r="K488" s="793"/>
      <c r="L488" s="793"/>
      <c r="M488" s="793"/>
      <c r="N488" s="793"/>
      <c r="O488" s="793"/>
      <c r="P488" s="794"/>
      <c r="Q488" s="795">
        <f t="shared" si="7"/>
        <v>0</v>
      </c>
      <c r="R488" s="789" t="s">
        <v>1007</v>
      </c>
      <c r="S488" s="773"/>
      <c r="T488" s="796"/>
      <c r="U488" s="773"/>
      <c r="V488" s="773" t="s">
        <v>278</v>
      </c>
      <c r="W488" s="773" t="s">
        <v>2698</v>
      </c>
      <c r="X488" s="1310">
        <v>0</v>
      </c>
      <c r="Y488" s="819" t="s">
        <v>1010</v>
      </c>
      <c r="Z488" s="790"/>
      <c r="AA488" s="785"/>
      <c r="AB488" s="785"/>
      <c r="AC488" s="785"/>
      <c r="AD488" s="785"/>
      <c r="AE488" s="785"/>
      <c r="AF488" s="799"/>
      <c r="AG488" s="800"/>
      <c r="AH488" s="800"/>
      <c r="AI488" s="800"/>
      <c r="AJ488" s="800"/>
      <c r="AK488" s="800"/>
      <c r="AL488" s="800"/>
      <c r="AM488" s="800"/>
      <c r="AN488" s="800"/>
      <c r="AO488" s="800"/>
      <c r="AP488" s="800"/>
      <c r="AQ488" s="808">
        <v>0</v>
      </c>
      <c r="AR488" s="800">
        <v>0</v>
      </c>
      <c r="AS488" s="800">
        <v>100</v>
      </c>
      <c r="AT488" s="800">
        <v>100</v>
      </c>
      <c r="AU488" s="805">
        <v>100</v>
      </c>
      <c r="AV488" s="808"/>
      <c r="AW488" s="800"/>
      <c r="AX488" s="800"/>
      <c r="AY488" s="800"/>
      <c r="AZ488" s="800"/>
      <c r="BA488" s="800"/>
      <c r="BB488" s="800"/>
      <c r="BC488" s="800"/>
      <c r="BD488" s="800"/>
      <c r="BE488" s="800"/>
      <c r="BF488" s="800"/>
      <c r="BG488" s="800"/>
      <c r="BH488" s="800"/>
      <c r="BI488" s="800"/>
      <c r="BJ488" s="800"/>
      <c r="BK488" s="805"/>
      <c r="BL488" s="789"/>
      <c r="BM488" s="785"/>
      <c r="BN488" s="785"/>
      <c r="BO488" s="785"/>
      <c r="BP488" s="796"/>
      <c r="BQ488" s="808" t="s">
        <v>1942</v>
      </c>
      <c r="BR488" s="800" t="s">
        <v>1942</v>
      </c>
      <c r="BS488" s="800" t="s">
        <v>1942</v>
      </c>
      <c r="BT488" s="800" t="s">
        <v>1942</v>
      </c>
      <c r="BU488" s="805" t="s">
        <v>1942</v>
      </c>
      <c r="BV488" s="808" t="s">
        <v>1942</v>
      </c>
      <c r="BW488" s="800" t="s">
        <v>1942</v>
      </c>
      <c r="BX488" s="800" t="s">
        <v>1942</v>
      </c>
      <c r="BY488" s="800" t="s">
        <v>1942</v>
      </c>
      <c r="BZ488" s="800" t="s">
        <v>1942</v>
      </c>
      <c r="CA488" s="808" t="s">
        <v>1942</v>
      </c>
      <c r="CB488" s="800" t="s">
        <v>1942</v>
      </c>
      <c r="CC488" s="800" t="s">
        <v>1942</v>
      </c>
      <c r="CD488" s="800" t="s">
        <v>1942</v>
      </c>
      <c r="CE488" s="805" t="s">
        <v>1942</v>
      </c>
      <c r="CF488" s="800" t="s">
        <v>1942</v>
      </c>
      <c r="CG488" s="800" t="s">
        <v>1942</v>
      </c>
      <c r="CH488" s="800" t="s">
        <v>1942</v>
      </c>
      <c r="CI488" s="800" t="s">
        <v>1942</v>
      </c>
      <c r="CJ488" s="805" t="s">
        <v>1942</v>
      </c>
      <c r="CK488" s="808" t="s">
        <v>1942</v>
      </c>
      <c r="CL488" s="800" t="s">
        <v>1942</v>
      </c>
      <c r="CM488" s="800" t="s">
        <v>1942</v>
      </c>
      <c r="CN488" s="800" t="s">
        <v>1942</v>
      </c>
      <c r="CO488" s="805" t="s">
        <v>1942</v>
      </c>
      <c r="CP488" s="808" t="s">
        <v>1942</v>
      </c>
      <c r="CQ488" s="800" t="s">
        <v>1942</v>
      </c>
      <c r="CR488" s="800" t="s">
        <v>1942</v>
      </c>
      <c r="CS488" s="800" t="s">
        <v>1942</v>
      </c>
      <c r="CT488" s="805" t="s">
        <v>1942</v>
      </c>
      <c r="CU488" s="1284" t="s">
        <v>1942</v>
      </c>
      <c r="CV488" s="1283" t="s">
        <v>1942</v>
      </c>
      <c r="CW488" s="1283" t="s">
        <v>1942</v>
      </c>
      <c r="CX488" s="1285" t="s">
        <v>1942</v>
      </c>
      <c r="CY488" s="1283" t="s">
        <v>1942</v>
      </c>
      <c r="CZ488" s="1283" t="s">
        <v>1942</v>
      </c>
      <c r="DA488" s="1283" t="s">
        <v>1942</v>
      </c>
      <c r="DB488" s="1285" t="s">
        <v>1942</v>
      </c>
      <c r="DC488" s="785"/>
      <c r="DD488" s="813"/>
      <c r="DE488" s="814"/>
    </row>
    <row r="489" spans="1:109" ht="13.15" hidden="1">
      <c r="A489" s="772" t="s">
        <v>1045</v>
      </c>
      <c r="B489" s="773">
        <v>483</v>
      </c>
      <c r="C489" s="789" t="s">
        <v>3978</v>
      </c>
      <c r="D489" s="773"/>
      <c r="E489" s="773"/>
      <c r="F489" s="785" t="s">
        <v>3979</v>
      </c>
      <c r="G489" s="790" t="s">
        <v>3980</v>
      </c>
      <c r="H489" s="791"/>
      <c r="I489" s="792"/>
      <c r="J489" s="793"/>
      <c r="K489" s="793"/>
      <c r="L489" s="793"/>
      <c r="M489" s="793"/>
      <c r="N489" s="793"/>
      <c r="O489" s="793"/>
      <c r="P489" s="794"/>
      <c r="Q489" s="795">
        <f t="shared" si="7"/>
        <v>0</v>
      </c>
      <c r="R489" s="789" t="s">
        <v>1007</v>
      </c>
      <c r="S489" s="773"/>
      <c r="T489" s="796"/>
      <c r="U489" s="773"/>
      <c r="V489" s="773" t="s">
        <v>1072</v>
      </c>
      <c r="W489" s="773"/>
      <c r="X489" s="1310">
        <v>0</v>
      </c>
      <c r="Y489" s="819"/>
      <c r="Z489" s="790"/>
      <c r="AA489" s="785"/>
      <c r="AB489" s="785"/>
      <c r="AC489" s="785"/>
      <c r="AD489" s="785"/>
      <c r="AE489" s="785"/>
      <c r="AF489" s="799"/>
      <c r="AG489" s="800"/>
      <c r="AH489" s="800"/>
      <c r="AI489" s="800"/>
      <c r="AJ489" s="800"/>
      <c r="AK489" s="800"/>
      <c r="AL489" s="800"/>
      <c r="AM489" s="800"/>
      <c r="AN489" s="800"/>
      <c r="AO489" s="800"/>
      <c r="AP489" s="800"/>
      <c r="AQ489" s="808" t="s">
        <v>1942</v>
      </c>
      <c r="AR489" s="800" t="s">
        <v>1942</v>
      </c>
      <c r="AS489" s="800" t="s">
        <v>1942</v>
      </c>
      <c r="AT489" s="800" t="s">
        <v>3981</v>
      </c>
      <c r="AU489" s="805" t="s">
        <v>1942</v>
      </c>
      <c r="AV489" s="808"/>
      <c r="AW489" s="800"/>
      <c r="AX489" s="800"/>
      <c r="AY489" s="800"/>
      <c r="AZ489" s="800"/>
      <c r="BA489" s="800"/>
      <c r="BB489" s="800"/>
      <c r="BC489" s="800"/>
      <c r="BD489" s="800"/>
      <c r="BE489" s="800"/>
      <c r="BF489" s="800"/>
      <c r="BG489" s="800"/>
      <c r="BH489" s="800"/>
      <c r="BI489" s="800"/>
      <c r="BJ489" s="800"/>
      <c r="BK489" s="805"/>
      <c r="BL489" s="789"/>
      <c r="BM489" s="785"/>
      <c r="BN489" s="785"/>
      <c r="BO489" s="785"/>
      <c r="BP489" s="796"/>
      <c r="BQ489" s="808" t="s">
        <v>1942</v>
      </c>
      <c r="BR489" s="800" t="s">
        <v>1942</v>
      </c>
      <c r="BS489" s="800" t="s">
        <v>1942</v>
      </c>
      <c r="BT489" s="800" t="s">
        <v>1942</v>
      </c>
      <c r="BU489" s="805" t="s">
        <v>1942</v>
      </c>
      <c r="BV489" s="808" t="s">
        <v>1942</v>
      </c>
      <c r="BW489" s="800" t="s">
        <v>1942</v>
      </c>
      <c r="BX489" s="800" t="s">
        <v>1942</v>
      </c>
      <c r="BY489" s="800" t="s">
        <v>1942</v>
      </c>
      <c r="BZ489" s="800" t="s">
        <v>1942</v>
      </c>
      <c r="CA489" s="808" t="s">
        <v>1942</v>
      </c>
      <c r="CB489" s="800" t="s">
        <v>1942</v>
      </c>
      <c r="CC489" s="800" t="s">
        <v>1942</v>
      </c>
      <c r="CD489" s="800" t="s">
        <v>1942</v>
      </c>
      <c r="CE489" s="805" t="s">
        <v>1942</v>
      </c>
      <c r="CF489" s="800" t="s">
        <v>1942</v>
      </c>
      <c r="CG489" s="800" t="s">
        <v>1942</v>
      </c>
      <c r="CH489" s="800" t="s">
        <v>1942</v>
      </c>
      <c r="CI489" s="800" t="s">
        <v>1942</v>
      </c>
      <c r="CJ489" s="805" t="s">
        <v>1942</v>
      </c>
      <c r="CK489" s="808" t="s">
        <v>1942</v>
      </c>
      <c r="CL489" s="800" t="s">
        <v>1942</v>
      </c>
      <c r="CM489" s="800" t="s">
        <v>1942</v>
      </c>
      <c r="CN489" s="800" t="s">
        <v>1942</v>
      </c>
      <c r="CO489" s="805" t="s">
        <v>1942</v>
      </c>
      <c r="CP489" s="808" t="s">
        <v>1942</v>
      </c>
      <c r="CQ489" s="800" t="s">
        <v>1942</v>
      </c>
      <c r="CR489" s="800" t="s">
        <v>1942</v>
      </c>
      <c r="CS489" s="800" t="s">
        <v>1942</v>
      </c>
      <c r="CT489" s="805" t="s">
        <v>1942</v>
      </c>
      <c r="CU489" s="1284" t="s">
        <v>1942</v>
      </c>
      <c r="CV489" s="1283" t="s">
        <v>1942</v>
      </c>
      <c r="CW489" s="1283" t="s">
        <v>1942</v>
      </c>
      <c r="CX489" s="1285" t="s">
        <v>1942</v>
      </c>
      <c r="CY489" s="1283" t="s">
        <v>1942</v>
      </c>
      <c r="CZ489" s="1283" t="s">
        <v>1942</v>
      </c>
      <c r="DA489" s="1283" t="s">
        <v>1942</v>
      </c>
      <c r="DB489" s="1285" t="s">
        <v>1942</v>
      </c>
      <c r="DC489" s="785"/>
      <c r="DD489" s="813"/>
      <c r="DE489" s="814"/>
    </row>
    <row r="490" spans="1:109" ht="13.15" hidden="1">
      <c r="A490" s="772" t="s">
        <v>1045</v>
      </c>
      <c r="B490" s="773">
        <v>484</v>
      </c>
      <c r="C490" s="789" t="s">
        <v>3982</v>
      </c>
      <c r="D490" s="773"/>
      <c r="E490" s="773"/>
      <c r="F490" s="785" t="s">
        <v>3983</v>
      </c>
      <c r="G490" s="790" t="s">
        <v>3984</v>
      </c>
      <c r="H490" s="791"/>
      <c r="I490" s="792"/>
      <c r="J490" s="793"/>
      <c r="K490" s="793"/>
      <c r="L490" s="793"/>
      <c r="M490" s="793"/>
      <c r="N490" s="793"/>
      <c r="O490" s="793"/>
      <c r="P490" s="794">
        <v>1</v>
      </c>
      <c r="Q490" s="795">
        <f t="shared" si="7"/>
        <v>1</v>
      </c>
      <c r="R490" s="789" t="s">
        <v>1030</v>
      </c>
      <c r="S490" s="773" t="s">
        <v>1008</v>
      </c>
      <c r="T490" s="796" t="s">
        <v>1019</v>
      </c>
      <c r="U490" s="773"/>
      <c r="V490" s="773" t="s">
        <v>2702</v>
      </c>
      <c r="W490" s="773"/>
      <c r="X490" s="1310">
        <v>0</v>
      </c>
      <c r="Y490" s="819" t="s">
        <v>1010</v>
      </c>
      <c r="Z490" s="790"/>
      <c r="AA490" s="785"/>
      <c r="AB490" s="785"/>
      <c r="AC490" s="785"/>
      <c r="AD490" s="785"/>
      <c r="AE490" s="785"/>
      <c r="AF490" s="799"/>
      <c r="AG490" s="800"/>
      <c r="AH490" s="800"/>
      <c r="AI490" s="800"/>
      <c r="AJ490" s="800"/>
      <c r="AK490" s="800"/>
      <c r="AL490" s="800"/>
      <c r="AM490" s="800"/>
      <c r="AN490" s="800"/>
      <c r="AO490" s="800"/>
      <c r="AP490" s="800"/>
      <c r="AQ490" s="808">
        <v>0</v>
      </c>
      <c r="AR490" s="800">
        <v>0</v>
      </c>
      <c r="AS490" s="800">
        <v>0</v>
      </c>
      <c r="AT490" s="800">
        <v>0</v>
      </c>
      <c r="AU490" s="805">
        <v>0</v>
      </c>
      <c r="AV490" s="808"/>
      <c r="AW490" s="800"/>
      <c r="AX490" s="800"/>
      <c r="AY490" s="800"/>
      <c r="AZ490" s="800"/>
      <c r="BA490" s="800"/>
      <c r="BB490" s="800"/>
      <c r="BC490" s="800"/>
      <c r="BD490" s="800"/>
      <c r="BE490" s="800"/>
      <c r="BF490" s="800"/>
      <c r="BG490" s="800"/>
      <c r="BH490" s="800"/>
      <c r="BI490" s="800"/>
      <c r="BJ490" s="800"/>
      <c r="BK490" s="805"/>
      <c r="BL490" s="789" t="s">
        <v>168</v>
      </c>
      <c r="BM490" s="785" t="s">
        <v>168</v>
      </c>
      <c r="BN490" s="785" t="s">
        <v>168</v>
      </c>
      <c r="BO490" s="785" t="s">
        <v>168</v>
      </c>
      <c r="BP490" s="796" t="s">
        <v>168</v>
      </c>
      <c r="BQ490" s="808" t="s">
        <v>1942</v>
      </c>
      <c r="BR490" s="800" t="s">
        <v>1942</v>
      </c>
      <c r="BS490" s="800" t="s">
        <v>1942</v>
      </c>
      <c r="BT490" s="800" t="s">
        <v>1942</v>
      </c>
      <c r="BU490" s="805" t="s">
        <v>1942</v>
      </c>
      <c r="BV490" s="808" t="s">
        <v>1942</v>
      </c>
      <c r="BW490" s="800" t="s">
        <v>1942</v>
      </c>
      <c r="BX490" s="800" t="s">
        <v>1942</v>
      </c>
      <c r="BY490" s="800" t="s">
        <v>1942</v>
      </c>
      <c r="BZ490" s="800" t="s">
        <v>1942</v>
      </c>
      <c r="CA490" s="808" t="s">
        <v>1942</v>
      </c>
      <c r="CB490" s="800" t="s">
        <v>1942</v>
      </c>
      <c r="CC490" s="800" t="s">
        <v>1942</v>
      </c>
      <c r="CD490" s="800" t="s">
        <v>1942</v>
      </c>
      <c r="CE490" s="805" t="s">
        <v>1942</v>
      </c>
      <c r="CF490" s="800" t="s">
        <v>1942</v>
      </c>
      <c r="CG490" s="800" t="s">
        <v>1942</v>
      </c>
      <c r="CH490" s="800" t="s">
        <v>1942</v>
      </c>
      <c r="CI490" s="800" t="s">
        <v>1942</v>
      </c>
      <c r="CJ490" s="805" t="s">
        <v>1942</v>
      </c>
      <c r="CK490" s="808" t="s">
        <v>1942</v>
      </c>
      <c r="CL490" s="800" t="s">
        <v>1942</v>
      </c>
      <c r="CM490" s="800" t="s">
        <v>1942</v>
      </c>
      <c r="CN490" s="800" t="s">
        <v>1942</v>
      </c>
      <c r="CO490" s="805" t="s">
        <v>1942</v>
      </c>
      <c r="CP490" s="808" t="s">
        <v>1942</v>
      </c>
      <c r="CQ490" s="800" t="s">
        <v>1942</v>
      </c>
      <c r="CR490" s="800" t="s">
        <v>1942</v>
      </c>
      <c r="CS490" s="800" t="s">
        <v>1942</v>
      </c>
      <c r="CT490" s="805" t="s">
        <v>1942</v>
      </c>
      <c r="CU490" s="1284">
        <v>-0.02</v>
      </c>
      <c r="CV490" s="1283" t="s">
        <v>1942</v>
      </c>
      <c r="CW490" s="1283" t="s">
        <v>1942</v>
      </c>
      <c r="CX490" s="1285" t="s">
        <v>1942</v>
      </c>
      <c r="CY490" s="1283">
        <v>0.02</v>
      </c>
      <c r="CZ490" s="1283" t="s">
        <v>1942</v>
      </c>
      <c r="DA490" s="1283" t="s">
        <v>1942</v>
      </c>
      <c r="DB490" s="1285" t="s">
        <v>1942</v>
      </c>
      <c r="DC490" s="785"/>
      <c r="DD490" s="813"/>
      <c r="DE490" s="814"/>
    </row>
    <row r="491" spans="1:109" ht="13.15" hidden="1">
      <c r="A491" s="772" t="s">
        <v>1050</v>
      </c>
      <c r="B491" s="773">
        <v>485</v>
      </c>
      <c r="C491" s="928" t="s">
        <v>3985</v>
      </c>
      <c r="D491" s="773" t="s">
        <v>3986</v>
      </c>
      <c r="E491" s="773" t="s">
        <v>1907</v>
      </c>
      <c r="F491" s="785" t="s">
        <v>3987</v>
      </c>
      <c r="G491" s="790" t="s">
        <v>130</v>
      </c>
      <c r="H491" s="791" t="s">
        <v>3988</v>
      </c>
      <c r="I491" s="792">
        <v>0.1</v>
      </c>
      <c r="J491" s="793">
        <v>0.9</v>
      </c>
      <c r="K491" s="793"/>
      <c r="L491" s="793"/>
      <c r="M491" s="793"/>
      <c r="N491" s="793"/>
      <c r="O491" s="793"/>
      <c r="P491" s="794"/>
      <c r="Q491" s="795">
        <f t="shared" si="7"/>
        <v>1</v>
      </c>
      <c r="R491" s="789" t="s">
        <v>1026</v>
      </c>
      <c r="S491" s="773" t="s">
        <v>1008</v>
      </c>
      <c r="T491" s="796" t="s">
        <v>1009</v>
      </c>
      <c r="U491" s="773" t="s">
        <v>1926</v>
      </c>
      <c r="V491" s="773" t="s">
        <v>1081</v>
      </c>
      <c r="W491" s="773" t="s">
        <v>3989</v>
      </c>
      <c r="X491" s="829">
        <v>2</v>
      </c>
      <c r="Y491" s="819" t="s">
        <v>1020</v>
      </c>
      <c r="Z491" s="790" t="s">
        <v>130</v>
      </c>
      <c r="AA491" s="785"/>
      <c r="AB491" s="785"/>
      <c r="AC491" s="785"/>
      <c r="AD491" s="785"/>
      <c r="AE491" s="785"/>
      <c r="AF491" s="799"/>
      <c r="AG491" s="800"/>
      <c r="AH491" s="800"/>
      <c r="AI491" s="800"/>
      <c r="AJ491" s="800"/>
      <c r="AK491" s="800"/>
      <c r="AL491" s="800"/>
      <c r="AM491" s="800"/>
      <c r="AN491" s="800"/>
      <c r="AO491" s="800"/>
      <c r="AP491" s="800"/>
      <c r="AQ491" s="1755"/>
      <c r="AR491" s="1754"/>
      <c r="AS491" s="1754"/>
      <c r="AT491" s="1754"/>
      <c r="AU491" s="1756"/>
      <c r="AV491" s="808"/>
      <c r="AW491" s="800"/>
      <c r="AX491" s="800"/>
      <c r="AY491" s="800"/>
      <c r="AZ491" s="800"/>
      <c r="BA491" s="800"/>
      <c r="BB491" s="800"/>
      <c r="BC491" s="800"/>
      <c r="BD491" s="800"/>
      <c r="BE491" s="800"/>
      <c r="BF491" s="800"/>
      <c r="BG491" s="800"/>
      <c r="BH491" s="800"/>
      <c r="BI491" s="800"/>
      <c r="BJ491" s="800"/>
      <c r="BK491" s="805"/>
      <c r="BL491" s="1376"/>
      <c r="BM491" s="1377"/>
      <c r="BN491" s="1377"/>
      <c r="BO491" s="1377"/>
      <c r="BP491" s="1440"/>
      <c r="BQ491" s="1420"/>
      <c r="BR491" s="1368"/>
      <c r="BS491" s="1368"/>
      <c r="BT491" s="1368"/>
      <c r="BU491" s="1369"/>
      <c r="BV491" s="1521"/>
      <c r="BW491" s="1730"/>
      <c r="BX491" s="1730"/>
      <c r="BY491" s="1730"/>
      <c r="BZ491" s="1730"/>
      <c r="CA491" s="1755"/>
      <c r="CB491" s="1754"/>
      <c r="CC491" s="1754"/>
      <c r="CD491" s="1754"/>
      <c r="CE491" s="1756"/>
      <c r="CF491" s="1368"/>
      <c r="CG491" s="1368"/>
      <c r="CH491" s="1368"/>
      <c r="CI491" s="1368"/>
      <c r="CJ491" s="1369"/>
      <c r="CK491" s="1420"/>
      <c r="CL491" s="1368"/>
      <c r="CM491" s="1368"/>
      <c r="CN491" s="1368"/>
      <c r="CO491" s="1369"/>
      <c r="CP491" s="1420"/>
      <c r="CQ491" s="1368"/>
      <c r="CR491" s="1368"/>
      <c r="CS491" s="1368"/>
      <c r="CT491" s="1369"/>
      <c r="CU491" s="1528"/>
      <c r="CV491" s="1519"/>
      <c r="CW491" s="1519"/>
      <c r="CX491" s="1728"/>
      <c r="CY491" s="1519"/>
      <c r="CZ491" s="1519"/>
      <c r="DA491" s="1519"/>
      <c r="DB491" s="1728"/>
      <c r="DC491" s="1377"/>
      <c r="DD491" s="1729"/>
      <c r="DE491" s="1734"/>
    </row>
    <row r="492" spans="1:109" ht="39.4" hidden="1">
      <c r="A492" s="772" t="s">
        <v>1050</v>
      </c>
      <c r="B492" s="773">
        <v>486</v>
      </c>
      <c r="C492" s="789" t="s">
        <v>3990</v>
      </c>
      <c r="D492" s="773" t="s">
        <v>3986</v>
      </c>
      <c r="E492" s="773" t="s">
        <v>1889</v>
      </c>
      <c r="F492" s="785" t="s">
        <v>3991</v>
      </c>
      <c r="G492" s="790" t="s">
        <v>3992</v>
      </c>
      <c r="H492" s="791" t="s">
        <v>3993</v>
      </c>
      <c r="I492" s="792"/>
      <c r="J492" s="793">
        <v>1</v>
      </c>
      <c r="K492" s="793"/>
      <c r="L492" s="793"/>
      <c r="M492" s="793"/>
      <c r="N492" s="793"/>
      <c r="O492" s="793"/>
      <c r="P492" s="794"/>
      <c r="Q492" s="795">
        <f t="shared" si="7"/>
        <v>1</v>
      </c>
      <c r="R492" s="789" t="s">
        <v>1030</v>
      </c>
      <c r="S492" s="773" t="s">
        <v>1008</v>
      </c>
      <c r="T492" s="796" t="s">
        <v>1009</v>
      </c>
      <c r="U492" s="773" t="s">
        <v>2149</v>
      </c>
      <c r="V492" s="773" t="s">
        <v>1033</v>
      </c>
      <c r="W492" s="773" t="s">
        <v>3994</v>
      </c>
      <c r="X492" s="829">
        <v>1</v>
      </c>
      <c r="Y492" s="819" t="s">
        <v>1020</v>
      </c>
      <c r="Z492" s="790" t="s">
        <v>2002</v>
      </c>
      <c r="AA492" s="785"/>
      <c r="AB492" s="785"/>
      <c r="AC492" s="785"/>
      <c r="AD492" s="785"/>
      <c r="AE492" s="785"/>
      <c r="AF492" s="799"/>
      <c r="AG492" s="800"/>
      <c r="AH492" s="800"/>
      <c r="AI492" s="800"/>
      <c r="AJ492" s="800"/>
      <c r="AK492" s="800"/>
      <c r="AL492" s="800"/>
      <c r="AM492" s="800"/>
      <c r="AN492" s="800"/>
      <c r="AO492" s="800"/>
      <c r="AP492" s="800"/>
      <c r="AQ492" s="930">
        <v>17.2</v>
      </c>
      <c r="AR492" s="931">
        <v>16</v>
      </c>
      <c r="AS492" s="931">
        <v>14.7</v>
      </c>
      <c r="AT492" s="931">
        <v>13.5</v>
      </c>
      <c r="AU492" s="932">
        <v>12.2</v>
      </c>
      <c r="AV492" s="808"/>
      <c r="AW492" s="800"/>
      <c r="AX492" s="800"/>
      <c r="AY492" s="800"/>
      <c r="AZ492" s="800"/>
      <c r="BA492" s="800"/>
      <c r="BB492" s="800"/>
      <c r="BC492" s="800"/>
      <c r="BD492" s="800"/>
      <c r="BE492" s="800"/>
      <c r="BF492" s="800"/>
      <c r="BG492" s="800"/>
      <c r="BH492" s="800"/>
      <c r="BI492" s="800"/>
      <c r="BJ492" s="800"/>
      <c r="BK492" s="805"/>
      <c r="BL492" s="789" t="s">
        <v>168</v>
      </c>
      <c r="BM492" s="785" t="s">
        <v>168</v>
      </c>
      <c r="BN492" s="785" t="s">
        <v>168</v>
      </c>
      <c r="BO492" s="785" t="s">
        <v>168</v>
      </c>
      <c r="BP492" s="796" t="s">
        <v>168</v>
      </c>
      <c r="BQ492" s="808" t="s">
        <v>1942</v>
      </c>
      <c r="BR492" s="800" t="s">
        <v>1942</v>
      </c>
      <c r="BS492" s="800" t="s">
        <v>1942</v>
      </c>
      <c r="BT492" s="800" t="s">
        <v>1942</v>
      </c>
      <c r="BU492" s="805" t="s">
        <v>1942</v>
      </c>
      <c r="BV492" s="930">
        <v>34.5</v>
      </c>
      <c r="BW492" s="931">
        <v>34.5</v>
      </c>
      <c r="BX492" s="931">
        <v>34.5</v>
      </c>
      <c r="BY492" s="931">
        <v>34.5</v>
      </c>
      <c r="BZ492" s="931">
        <v>34.5</v>
      </c>
      <c r="CA492" s="930" t="s">
        <v>1942</v>
      </c>
      <c r="CB492" s="931" t="s">
        <v>1942</v>
      </c>
      <c r="CC492" s="931" t="s">
        <v>1942</v>
      </c>
      <c r="CD492" s="931" t="s">
        <v>1942</v>
      </c>
      <c r="CE492" s="932" t="s">
        <v>1942</v>
      </c>
      <c r="CF492" s="800" t="s">
        <v>1942</v>
      </c>
      <c r="CG492" s="800" t="s">
        <v>1942</v>
      </c>
      <c r="CH492" s="800" t="s">
        <v>1942</v>
      </c>
      <c r="CI492" s="800" t="s">
        <v>1942</v>
      </c>
      <c r="CJ492" s="805" t="s">
        <v>1942</v>
      </c>
      <c r="CK492" s="808">
        <v>15.4</v>
      </c>
      <c r="CL492" s="800">
        <v>14.3</v>
      </c>
      <c r="CM492" s="800">
        <v>13.1</v>
      </c>
      <c r="CN492" s="800">
        <v>12</v>
      </c>
      <c r="CO492" s="805">
        <v>10.8</v>
      </c>
      <c r="CP492" s="808" t="s">
        <v>1942</v>
      </c>
      <c r="CQ492" s="800" t="s">
        <v>1942</v>
      </c>
      <c r="CR492" s="800" t="s">
        <v>1942</v>
      </c>
      <c r="CS492" s="800" t="s">
        <v>1942</v>
      </c>
      <c r="CT492" s="805" t="s">
        <v>1942</v>
      </c>
      <c r="CU492" s="1289">
        <v>-2.4910000000000001</v>
      </c>
      <c r="CV492" s="1283" t="s">
        <v>1942</v>
      </c>
      <c r="CW492" s="1283" t="s">
        <v>1942</v>
      </c>
      <c r="CX492" s="1285" t="s">
        <v>1942</v>
      </c>
      <c r="CY492" s="1283">
        <v>2.0760000000000001</v>
      </c>
      <c r="CZ492" s="1283" t="s">
        <v>1942</v>
      </c>
      <c r="DA492" s="1283" t="s">
        <v>1942</v>
      </c>
      <c r="DB492" s="1285" t="s">
        <v>1942</v>
      </c>
      <c r="DC492" s="785" t="s">
        <v>1942</v>
      </c>
      <c r="DD492" s="813">
        <v>1</v>
      </c>
      <c r="DE492" s="814" t="s">
        <v>1942</v>
      </c>
    </row>
    <row r="493" spans="1:109" ht="15.75" hidden="1" customHeight="1">
      <c r="A493" s="772" t="s">
        <v>1050</v>
      </c>
      <c r="B493" s="773">
        <v>487</v>
      </c>
      <c r="C493" s="789" t="s">
        <v>3995</v>
      </c>
      <c r="D493" s="773" t="s">
        <v>3986</v>
      </c>
      <c r="E493" s="773" t="s">
        <v>1907</v>
      </c>
      <c r="F493" s="785" t="s">
        <v>3996</v>
      </c>
      <c r="G493" s="790" t="s">
        <v>3997</v>
      </c>
      <c r="H493" s="791" t="s">
        <v>3998</v>
      </c>
      <c r="I493" s="792"/>
      <c r="J493" s="793">
        <v>1</v>
      </c>
      <c r="K493" s="793"/>
      <c r="L493" s="793"/>
      <c r="M493" s="793"/>
      <c r="N493" s="793"/>
      <c r="O493" s="793"/>
      <c r="P493" s="794"/>
      <c r="Q493" s="795">
        <f t="shared" si="7"/>
        <v>1</v>
      </c>
      <c r="R493" s="789" t="s">
        <v>1030</v>
      </c>
      <c r="S493" s="773" t="s">
        <v>1008</v>
      </c>
      <c r="T493" s="796" t="s">
        <v>1009</v>
      </c>
      <c r="U493" s="773" t="s">
        <v>1926</v>
      </c>
      <c r="V493" s="773" t="s">
        <v>1033</v>
      </c>
      <c r="W493" s="773" t="s">
        <v>3999</v>
      </c>
      <c r="X493" s="829">
        <v>0</v>
      </c>
      <c r="Y493" s="819" t="s">
        <v>1010</v>
      </c>
      <c r="Z493" s="790"/>
      <c r="AA493" s="785"/>
      <c r="AB493" s="785"/>
      <c r="AC493" s="785"/>
      <c r="AD493" s="785"/>
      <c r="AE493" s="785"/>
      <c r="AF493" s="799"/>
      <c r="AG493" s="800"/>
      <c r="AH493" s="800"/>
      <c r="AI493" s="800"/>
      <c r="AJ493" s="800"/>
      <c r="AK493" s="800"/>
      <c r="AL493" s="800"/>
      <c r="AM493" s="800"/>
      <c r="AN493" s="800"/>
      <c r="AO493" s="800"/>
      <c r="AP493" s="800"/>
      <c r="AQ493" s="808">
        <v>0</v>
      </c>
      <c r="AR493" s="800">
        <v>500</v>
      </c>
      <c r="AS493" s="800">
        <v>800</v>
      </c>
      <c r="AT493" s="800">
        <v>750</v>
      </c>
      <c r="AU493" s="805">
        <v>750</v>
      </c>
      <c r="AV493" s="808"/>
      <c r="AW493" s="800"/>
      <c r="AX493" s="800"/>
      <c r="AY493" s="800"/>
      <c r="AZ493" s="800"/>
      <c r="BA493" s="800"/>
      <c r="BB493" s="800"/>
      <c r="BC493" s="800"/>
      <c r="BD493" s="800"/>
      <c r="BE493" s="800"/>
      <c r="BF493" s="800"/>
      <c r="BG493" s="800"/>
      <c r="BH493" s="800"/>
      <c r="BI493" s="800"/>
      <c r="BJ493" s="800"/>
      <c r="BK493" s="805"/>
      <c r="BL493" s="789" t="s">
        <v>168</v>
      </c>
      <c r="BM493" s="785" t="s">
        <v>168</v>
      </c>
      <c r="BN493" s="785" t="s">
        <v>168</v>
      </c>
      <c r="BO493" s="785" t="s">
        <v>168</v>
      </c>
      <c r="BP493" s="796" t="s">
        <v>168</v>
      </c>
      <c r="BQ493" s="808" t="s">
        <v>1942</v>
      </c>
      <c r="BR493" s="800" t="s">
        <v>1942</v>
      </c>
      <c r="BS493" s="800" t="s">
        <v>1942</v>
      </c>
      <c r="BT493" s="800" t="s">
        <v>1942</v>
      </c>
      <c r="BU493" s="805" t="s">
        <v>1942</v>
      </c>
      <c r="BV493" s="930">
        <v>0</v>
      </c>
      <c r="BW493" s="931">
        <v>0</v>
      </c>
      <c r="BX493" s="931">
        <v>0</v>
      </c>
      <c r="BY493" s="931">
        <v>0</v>
      </c>
      <c r="BZ493" s="931">
        <v>0</v>
      </c>
      <c r="CA493" s="930" t="s">
        <v>1942</v>
      </c>
      <c r="CB493" s="931" t="s">
        <v>1942</v>
      </c>
      <c r="CC493" s="931" t="s">
        <v>1942</v>
      </c>
      <c r="CD493" s="931" t="s">
        <v>1942</v>
      </c>
      <c r="CE493" s="932" t="s">
        <v>1942</v>
      </c>
      <c r="CF493" s="800" t="s">
        <v>1942</v>
      </c>
      <c r="CG493" s="800" t="s">
        <v>1942</v>
      </c>
      <c r="CH493" s="800" t="s">
        <v>1942</v>
      </c>
      <c r="CI493" s="800" t="s">
        <v>1942</v>
      </c>
      <c r="CJ493" s="805" t="s">
        <v>1942</v>
      </c>
      <c r="CK493" s="2010"/>
      <c r="CL493" s="2011"/>
      <c r="CM493" s="2011"/>
      <c r="CN493" s="2011"/>
      <c r="CO493" s="2012">
        <v>14100</v>
      </c>
      <c r="CP493" s="808" t="s">
        <v>1942</v>
      </c>
      <c r="CQ493" s="800" t="s">
        <v>1942</v>
      </c>
      <c r="CR493" s="800" t="s">
        <v>1942</v>
      </c>
      <c r="CS493" s="800" t="s">
        <v>1942</v>
      </c>
      <c r="CT493" s="805" t="s">
        <v>1942</v>
      </c>
      <c r="CU493" s="1289">
        <v>-1.1199999999999999E-3</v>
      </c>
      <c r="CV493" s="1283" t="s">
        <v>1942</v>
      </c>
      <c r="CW493" s="1283" t="s">
        <v>1942</v>
      </c>
      <c r="CX493" s="1285" t="s">
        <v>1942</v>
      </c>
      <c r="CY493" s="1283">
        <v>1.1199999999999999E-3</v>
      </c>
      <c r="CZ493" s="1283" t="s">
        <v>1942</v>
      </c>
      <c r="DA493" s="1283" t="s">
        <v>1942</v>
      </c>
      <c r="DB493" s="1285" t="s">
        <v>1942</v>
      </c>
      <c r="DC493" s="785" t="s">
        <v>131</v>
      </c>
      <c r="DD493" s="813">
        <v>1</v>
      </c>
      <c r="DE493" s="814" t="s">
        <v>4000</v>
      </c>
    </row>
    <row r="494" spans="1:109" ht="15.75" hidden="1" customHeight="1">
      <c r="A494" s="772" t="s">
        <v>1050</v>
      </c>
      <c r="B494" s="773">
        <v>488</v>
      </c>
      <c r="C494" s="789" t="s">
        <v>4001</v>
      </c>
      <c r="D494" s="773" t="s">
        <v>3986</v>
      </c>
      <c r="E494" s="773" t="s">
        <v>1907</v>
      </c>
      <c r="F494" s="785" t="s">
        <v>4002</v>
      </c>
      <c r="G494" s="790" t="s">
        <v>4003</v>
      </c>
      <c r="H494" s="791" t="s">
        <v>4004</v>
      </c>
      <c r="I494" s="792"/>
      <c r="J494" s="793">
        <v>1</v>
      </c>
      <c r="K494" s="793"/>
      <c r="L494" s="793"/>
      <c r="M494" s="793"/>
      <c r="N494" s="793"/>
      <c r="O494" s="793"/>
      <c r="P494" s="794"/>
      <c r="Q494" s="795">
        <f t="shared" si="7"/>
        <v>1</v>
      </c>
      <c r="R494" s="789" t="s">
        <v>1030</v>
      </c>
      <c r="S494" s="773" t="s">
        <v>1008</v>
      </c>
      <c r="T494" s="796" t="s">
        <v>1009</v>
      </c>
      <c r="U494" s="773" t="s">
        <v>2400</v>
      </c>
      <c r="V494" s="773" t="s">
        <v>278</v>
      </c>
      <c r="W494" s="773" t="s">
        <v>4005</v>
      </c>
      <c r="X494" s="829">
        <v>1</v>
      </c>
      <c r="Y494" s="821" t="s">
        <v>1010</v>
      </c>
      <c r="Z494" s="790" t="s">
        <v>1942</v>
      </c>
      <c r="AA494" s="785"/>
      <c r="AB494" s="785"/>
      <c r="AC494" s="785"/>
      <c r="AD494" s="785"/>
      <c r="AE494" s="785"/>
      <c r="AF494" s="799"/>
      <c r="AG494" s="800"/>
      <c r="AH494" s="800"/>
      <c r="AI494" s="800"/>
      <c r="AJ494" s="800"/>
      <c r="AK494" s="800"/>
      <c r="AL494" s="800"/>
      <c r="AM494" s="800"/>
      <c r="AN494" s="800"/>
      <c r="AO494" s="800"/>
      <c r="AP494" s="800"/>
      <c r="AQ494" s="808">
        <v>2</v>
      </c>
      <c r="AR494" s="800">
        <v>4</v>
      </c>
      <c r="AS494" s="800">
        <v>6</v>
      </c>
      <c r="AT494" s="800">
        <v>8</v>
      </c>
      <c r="AU494" s="805">
        <v>10</v>
      </c>
      <c r="AV494" s="808"/>
      <c r="AW494" s="800"/>
      <c r="AX494" s="800"/>
      <c r="AY494" s="800"/>
      <c r="AZ494" s="800"/>
      <c r="BA494" s="800"/>
      <c r="BB494" s="800"/>
      <c r="BC494" s="800"/>
      <c r="BD494" s="800"/>
      <c r="BE494" s="800"/>
      <c r="BF494" s="800"/>
      <c r="BG494" s="800"/>
      <c r="BH494" s="800"/>
      <c r="BI494" s="800"/>
      <c r="BJ494" s="800"/>
      <c r="BK494" s="805"/>
      <c r="BL494" s="789" t="s">
        <v>168</v>
      </c>
      <c r="BM494" s="785" t="s">
        <v>168</v>
      </c>
      <c r="BN494" s="785" t="s">
        <v>168</v>
      </c>
      <c r="BO494" s="785" t="s">
        <v>168</v>
      </c>
      <c r="BP494" s="796" t="s">
        <v>168</v>
      </c>
      <c r="BQ494" s="808" t="s">
        <v>1942</v>
      </c>
      <c r="BR494" s="800" t="s">
        <v>1942</v>
      </c>
      <c r="BS494" s="800" t="s">
        <v>1942</v>
      </c>
      <c r="BT494" s="800" t="s">
        <v>1942</v>
      </c>
      <c r="BU494" s="805" t="s">
        <v>1942</v>
      </c>
      <c r="BV494" s="930" t="s">
        <v>1942</v>
      </c>
      <c r="BW494" s="931" t="s">
        <v>1942</v>
      </c>
      <c r="BX494" s="931" t="s">
        <v>1942</v>
      </c>
      <c r="BY494" s="931" t="s">
        <v>1942</v>
      </c>
      <c r="BZ494" s="931" t="s">
        <v>1942</v>
      </c>
      <c r="CA494" s="930" t="s">
        <v>1942</v>
      </c>
      <c r="CB494" s="931" t="s">
        <v>1942</v>
      </c>
      <c r="CC494" s="931" t="s">
        <v>1942</v>
      </c>
      <c r="CD494" s="931" t="s">
        <v>1942</v>
      </c>
      <c r="CE494" s="932" t="s">
        <v>1942</v>
      </c>
      <c r="CF494" s="800" t="s">
        <v>1942</v>
      </c>
      <c r="CG494" s="800" t="s">
        <v>1942</v>
      </c>
      <c r="CH494" s="800" t="s">
        <v>1942</v>
      </c>
      <c r="CI494" s="800" t="s">
        <v>1942</v>
      </c>
      <c r="CJ494" s="805" t="s">
        <v>1942</v>
      </c>
      <c r="CK494" s="808" t="s">
        <v>1942</v>
      </c>
      <c r="CL494" s="800" t="s">
        <v>1942</v>
      </c>
      <c r="CM494" s="800" t="s">
        <v>1942</v>
      </c>
      <c r="CN494" s="800" t="s">
        <v>1942</v>
      </c>
      <c r="CO494" s="805" t="s">
        <v>1942</v>
      </c>
      <c r="CP494" s="808" t="s">
        <v>1942</v>
      </c>
      <c r="CQ494" s="800" t="s">
        <v>1942</v>
      </c>
      <c r="CR494" s="800" t="s">
        <v>1942</v>
      </c>
      <c r="CS494" s="800" t="s">
        <v>1942</v>
      </c>
      <c r="CT494" s="805" t="s">
        <v>1942</v>
      </c>
      <c r="CU494" s="1289">
        <v>-7.2999999999999995E-2</v>
      </c>
      <c r="CV494" s="1283" t="s">
        <v>1942</v>
      </c>
      <c r="CW494" s="1283" t="s">
        <v>1942</v>
      </c>
      <c r="CX494" s="1285" t="s">
        <v>1942</v>
      </c>
      <c r="CY494" s="1283">
        <v>7.2999999999999995E-2</v>
      </c>
      <c r="CZ494" s="1283" t="s">
        <v>1942</v>
      </c>
      <c r="DA494" s="1283" t="s">
        <v>1942</v>
      </c>
      <c r="DB494" s="1285" t="s">
        <v>1942</v>
      </c>
      <c r="DC494" s="785" t="s">
        <v>1942</v>
      </c>
      <c r="DD494" s="813">
        <v>1</v>
      </c>
      <c r="DE494" s="814" t="s">
        <v>1942</v>
      </c>
    </row>
    <row r="495" spans="1:109" ht="15.75" hidden="1" customHeight="1">
      <c r="A495" s="772" t="s">
        <v>1050</v>
      </c>
      <c r="B495" s="773">
        <v>489</v>
      </c>
      <c r="C495" s="789" t="s">
        <v>4006</v>
      </c>
      <c r="D495" s="773" t="s">
        <v>3986</v>
      </c>
      <c r="E495" s="773" t="s">
        <v>1907</v>
      </c>
      <c r="F495" s="785" t="s">
        <v>4007</v>
      </c>
      <c r="G495" s="790" t="s">
        <v>4008</v>
      </c>
      <c r="H495" s="791" t="s">
        <v>4009</v>
      </c>
      <c r="I495" s="792"/>
      <c r="J495" s="793">
        <v>1</v>
      </c>
      <c r="K495" s="793"/>
      <c r="L495" s="793"/>
      <c r="M495" s="793"/>
      <c r="N495" s="793"/>
      <c r="O495" s="793"/>
      <c r="P495" s="794"/>
      <c r="Q495" s="795">
        <f t="shared" si="7"/>
        <v>1</v>
      </c>
      <c r="R495" s="789" t="s">
        <v>1017</v>
      </c>
      <c r="S495" s="773" t="s">
        <v>1008</v>
      </c>
      <c r="T495" s="796" t="s">
        <v>1009</v>
      </c>
      <c r="U495" s="773" t="s">
        <v>2149</v>
      </c>
      <c r="V495" s="773" t="s">
        <v>1033</v>
      </c>
      <c r="W495" s="773" t="s">
        <v>4010</v>
      </c>
      <c r="X495" s="829">
        <v>2</v>
      </c>
      <c r="Y495" s="821" t="s">
        <v>1010</v>
      </c>
      <c r="Z495" s="790" t="s">
        <v>1942</v>
      </c>
      <c r="AA495" s="785"/>
      <c r="AB495" s="785"/>
      <c r="AC495" s="785"/>
      <c r="AD495" s="785"/>
      <c r="AE495" s="785"/>
      <c r="AF495" s="799"/>
      <c r="AG495" s="800"/>
      <c r="AH495" s="800"/>
      <c r="AI495" s="800"/>
      <c r="AJ495" s="800"/>
      <c r="AK495" s="800"/>
      <c r="AL495" s="800"/>
      <c r="AM495" s="800"/>
      <c r="AN495" s="800"/>
      <c r="AO495" s="800"/>
      <c r="AP495" s="800"/>
      <c r="AQ495" s="808">
        <v>0</v>
      </c>
      <c r="AR495" s="800">
        <v>0</v>
      </c>
      <c r="AS495" s="800">
        <v>0</v>
      </c>
      <c r="AT495" s="800">
        <v>0</v>
      </c>
      <c r="AU495" s="805">
        <v>0</v>
      </c>
      <c r="AV495" s="808"/>
      <c r="AW495" s="800"/>
      <c r="AX495" s="800"/>
      <c r="AY495" s="800"/>
      <c r="AZ495" s="800"/>
      <c r="BA495" s="800"/>
      <c r="BB495" s="800"/>
      <c r="BC495" s="800"/>
      <c r="BD495" s="800"/>
      <c r="BE495" s="800"/>
      <c r="BF495" s="800"/>
      <c r="BG495" s="800"/>
      <c r="BH495" s="800"/>
      <c r="BI495" s="800"/>
      <c r="BJ495" s="800"/>
      <c r="BK495" s="805"/>
      <c r="BL495" s="789" t="s">
        <v>168</v>
      </c>
      <c r="BM495" s="785" t="s">
        <v>168</v>
      </c>
      <c r="BN495" s="785" t="s">
        <v>168</v>
      </c>
      <c r="BO495" s="785" t="s">
        <v>168</v>
      </c>
      <c r="BP495" s="796" t="s">
        <v>168</v>
      </c>
      <c r="BQ495" s="808" t="s">
        <v>1942</v>
      </c>
      <c r="BR495" s="800" t="s">
        <v>1942</v>
      </c>
      <c r="BS495" s="800" t="s">
        <v>1942</v>
      </c>
      <c r="BT495" s="800" t="s">
        <v>1942</v>
      </c>
      <c r="BU495" s="805" t="s">
        <v>1942</v>
      </c>
      <c r="BV495" s="930" t="s">
        <v>1942</v>
      </c>
      <c r="BW495" s="931" t="s">
        <v>1942</v>
      </c>
      <c r="BX495" s="931" t="s">
        <v>1942</v>
      </c>
      <c r="BY495" s="931" t="s">
        <v>1942</v>
      </c>
      <c r="BZ495" s="931" t="s">
        <v>1942</v>
      </c>
      <c r="CA495" s="930" t="s">
        <v>1942</v>
      </c>
      <c r="CB495" s="931" t="s">
        <v>1942</v>
      </c>
      <c r="CC495" s="931" t="s">
        <v>1942</v>
      </c>
      <c r="CD495" s="931" t="s">
        <v>1942</v>
      </c>
      <c r="CE495" s="932" t="s">
        <v>1942</v>
      </c>
      <c r="CF495" s="800" t="s">
        <v>1942</v>
      </c>
      <c r="CG495" s="800" t="s">
        <v>1942</v>
      </c>
      <c r="CH495" s="800" t="s">
        <v>1942</v>
      </c>
      <c r="CI495" s="800" t="s">
        <v>1942</v>
      </c>
      <c r="CJ495" s="805" t="s">
        <v>1942</v>
      </c>
      <c r="CK495" s="808">
        <v>0</v>
      </c>
      <c r="CL495" s="800">
        <v>0</v>
      </c>
      <c r="CM495" s="800">
        <v>0</v>
      </c>
      <c r="CN495" s="800">
        <v>35.25</v>
      </c>
      <c r="CO495" s="805">
        <v>58.99</v>
      </c>
      <c r="CP495" s="808" t="s">
        <v>1942</v>
      </c>
      <c r="CQ495" s="800" t="s">
        <v>1942</v>
      </c>
      <c r="CR495" s="800" t="s">
        <v>1942</v>
      </c>
      <c r="CS495" s="800" t="s">
        <v>1942</v>
      </c>
      <c r="CT495" s="805" t="s">
        <v>1942</v>
      </c>
      <c r="CU495" s="1289" t="s">
        <v>1942</v>
      </c>
      <c r="CV495" s="1283" t="s">
        <v>1942</v>
      </c>
      <c r="CW495" s="1283" t="s">
        <v>1942</v>
      </c>
      <c r="CX495" s="1285" t="s">
        <v>1942</v>
      </c>
      <c r="CY495" s="1283">
        <v>0.54800000000000004</v>
      </c>
      <c r="CZ495" s="1283" t="s">
        <v>1942</v>
      </c>
      <c r="DA495" s="1283" t="s">
        <v>1942</v>
      </c>
      <c r="DB495" s="1285" t="s">
        <v>1942</v>
      </c>
      <c r="DC495" s="785" t="s">
        <v>1942</v>
      </c>
      <c r="DD495" s="813">
        <v>1</v>
      </c>
      <c r="DE495" s="814"/>
    </row>
    <row r="496" spans="1:109" ht="15.75" hidden="1" customHeight="1">
      <c r="A496" s="772" t="s">
        <v>1050</v>
      </c>
      <c r="B496" s="773">
        <v>490</v>
      </c>
      <c r="C496" s="928" t="s">
        <v>4011</v>
      </c>
      <c r="D496" s="773" t="s">
        <v>4012</v>
      </c>
      <c r="E496" s="773" t="s">
        <v>1889</v>
      </c>
      <c r="F496" s="785" t="s">
        <v>4013</v>
      </c>
      <c r="G496" s="790" t="s">
        <v>669</v>
      </c>
      <c r="H496" s="791" t="s">
        <v>3988</v>
      </c>
      <c r="I496" s="792"/>
      <c r="J496" s="793">
        <v>1</v>
      </c>
      <c r="K496" s="793"/>
      <c r="L496" s="793"/>
      <c r="M496" s="793"/>
      <c r="N496" s="793"/>
      <c r="O496" s="793"/>
      <c r="P496" s="794"/>
      <c r="Q496" s="795">
        <f t="shared" si="7"/>
        <v>1</v>
      </c>
      <c r="R496" s="789" t="s">
        <v>1030</v>
      </c>
      <c r="S496" s="773" t="s">
        <v>1008</v>
      </c>
      <c r="T496" s="796" t="s">
        <v>1009</v>
      </c>
      <c r="U496" s="773" t="s">
        <v>669</v>
      </c>
      <c r="V496" s="773" t="s">
        <v>278</v>
      </c>
      <c r="W496" s="773" t="s">
        <v>4014</v>
      </c>
      <c r="X496" s="829">
        <v>1</v>
      </c>
      <c r="Y496" s="821" t="s">
        <v>1020</v>
      </c>
      <c r="Z496" s="790" t="s">
        <v>669</v>
      </c>
      <c r="AA496" s="785"/>
      <c r="AB496" s="785"/>
      <c r="AC496" s="785"/>
      <c r="AD496" s="785"/>
      <c r="AE496" s="785"/>
      <c r="AF496" s="799"/>
      <c r="AG496" s="800"/>
      <c r="AH496" s="800"/>
      <c r="AI496" s="800"/>
      <c r="AJ496" s="800"/>
      <c r="AK496" s="800"/>
      <c r="AL496" s="800"/>
      <c r="AM496" s="800"/>
      <c r="AN496" s="800"/>
      <c r="AO496" s="800"/>
      <c r="AP496" s="800"/>
      <c r="AQ496" s="1421"/>
      <c r="AR496" s="1373"/>
      <c r="AS496" s="1373"/>
      <c r="AT496" s="1373"/>
      <c r="AU496" s="1374"/>
      <c r="AV496" s="808"/>
      <c r="AW496" s="800"/>
      <c r="AX496" s="800"/>
      <c r="AY496" s="800"/>
      <c r="AZ496" s="800"/>
      <c r="BA496" s="800"/>
      <c r="BB496" s="800"/>
      <c r="BC496" s="800"/>
      <c r="BD496" s="800"/>
      <c r="BE496" s="800"/>
      <c r="BF496" s="800"/>
      <c r="BG496" s="800"/>
      <c r="BH496" s="800"/>
      <c r="BI496" s="800"/>
      <c r="BJ496" s="800"/>
      <c r="BK496" s="805"/>
      <c r="BL496" s="1376"/>
      <c r="BM496" s="1377"/>
      <c r="BN496" s="1377"/>
      <c r="BO496" s="1377"/>
      <c r="BP496" s="1440"/>
      <c r="BQ496" s="1420"/>
      <c r="BR496" s="1368"/>
      <c r="BS496" s="1368"/>
      <c r="BT496" s="1368"/>
      <c r="BU496" s="1369"/>
      <c r="BV496" s="1421"/>
      <c r="BW496" s="1373"/>
      <c r="BX496" s="1373"/>
      <c r="BY496" s="1373"/>
      <c r="BZ496" s="1373"/>
      <c r="CA496" s="1420"/>
      <c r="CB496" s="1368"/>
      <c r="CC496" s="1368"/>
      <c r="CD496" s="1368"/>
      <c r="CE496" s="1369"/>
      <c r="CF496" s="1368"/>
      <c r="CG496" s="1368"/>
      <c r="CH496" s="1368"/>
      <c r="CI496" s="1368"/>
      <c r="CJ496" s="1369"/>
      <c r="CK496" s="1420"/>
      <c r="CL496" s="1368"/>
      <c r="CM496" s="1368"/>
      <c r="CN496" s="1368"/>
      <c r="CO496" s="1369"/>
      <c r="CP496" s="1420"/>
      <c r="CQ496" s="1368"/>
      <c r="CR496" s="1368"/>
      <c r="CS496" s="1368"/>
      <c r="CT496" s="1369"/>
      <c r="CU496" s="1528"/>
      <c r="CV496" s="1519"/>
      <c r="CW496" s="1519"/>
      <c r="CX496" s="1728"/>
      <c r="CY496" s="1519"/>
      <c r="CZ496" s="1519"/>
      <c r="DA496" s="1519"/>
      <c r="DB496" s="1728"/>
      <c r="DC496" s="1377"/>
      <c r="DD496" s="1729"/>
      <c r="DE496" s="1734"/>
    </row>
    <row r="497" spans="1:109" ht="15.75" hidden="1" customHeight="1">
      <c r="A497" s="772" t="s">
        <v>1050</v>
      </c>
      <c r="B497" s="773">
        <v>491</v>
      </c>
      <c r="C497" s="789" t="s">
        <v>4015</v>
      </c>
      <c r="D497" s="773" t="s">
        <v>4012</v>
      </c>
      <c r="E497" s="773" t="s">
        <v>1889</v>
      </c>
      <c r="F497" s="785" t="s">
        <v>4016</v>
      </c>
      <c r="G497" s="790" t="s">
        <v>161</v>
      </c>
      <c r="H497" s="791" t="s">
        <v>3988</v>
      </c>
      <c r="I497" s="792"/>
      <c r="J497" s="793">
        <v>1</v>
      </c>
      <c r="K497" s="793"/>
      <c r="L497" s="793"/>
      <c r="M497" s="793"/>
      <c r="N497" s="793"/>
      <c r="O497" s="793"/>
      <c r="P497" s="794"/>
      <c r="Q497" s="795">
        <f t="shared" si="7"/>
        <v>1</v>
      </c>
      <c r="R497" s="789" t="s">
        <v>1030</v>
      </c>
      <c r="S497" s="773" t="s">
        <v>1008</v>
      </c>
      <c r="T497" s="796" t="s">
        <v>1009</v>
      </c>
      <c r="U497" s="773" t="s">
        <v>2074</v>
      </c>
      <c r="V497" s="773" t="s">
        <v>1033</v>
      </c>
      <c r="W497" s="773" t="s">
        <v>4017</v>
      </c>
      <c r="X497" s="1274">
        <v>1</v>
      </c>
      <c r="Y497" s="821" t="s">
        <v>1020</v>
      </c>
      <c r="Z497" s="790" t="s">
        <v>161</v>
      </c>
      <c r="AA497" s="785"/>
      <c r="AB497" s="785"/>
      <c r="AC497" s="785"/>
      <c r="AD497" s="785"/>
      <c r="AE497" s="785"/>
      <c r="AF497" s="799"/>
      <c r="AG497" s="801"/>
      <c r="AH497" s="801"/>
      <c r="AI497" s="801"/>
      <c r="AJ497" s="801"/>
      <c r="AK497" s="801"/>
      <c r="AL497" s="801"/>
      <c r="AM497" s="801"/>
      <c r="AN497" s="801"/>
      <c r="AO497" s="801"/>
      <c r="AP497" s="801"/>
      <c r="AQ497" s="1721"/>
      <c r="AR497" s="1722"/>
      <c r="AS497" s="1722"/>
      <c r="AT497" s="1722"/>
      <c r="AU497" s="1723"/>
      <c r="AV497" s="802"/>
      <c r="AW497" s="801"/>
      <c r="AX497" s="801"/>
      <c r="AY497" s="801"/>
      <c r="AZ497" s="801"/>
      <c r="BA497" s="801"/>
      <c r="BB497" s="801"/>
      <c r="BC497" s="801"/>
      <c r="BD497" s="801"/>
      <c r="BE497" s="801"/>
      <c r="BF497" s="801"/>
      <c r="BG497" s="801"/>
      <c r="BH497" s="801"/>
      <c r="BI497" s="801"/>
      <c r="BJ497" s="801"/>
      <c r="BK497" s="803"/>
      <c r="BL497" s="1376"/>
      <c r="BM497" s="1377"/>
      <c r="BN497" s="1377"/>
      <c r="BO497" s="1377"/>
      <c r="BP497" s="1440"/>
      <c r="BQ497" s="1721"/>
      <c r="BR497" s="1722"/>
      <c r="BS497" s="1722"/>
      <c r="BT497" s="1722"/>
      <c r="BU497" s="1723"/>
      <c r="BV497" s="1721"/>
      <c r="BW497" s="1722"/>
      <c r="BX497" s="1722"/>
      <c r="BY497" s="1722"/>
      <c r="BZ497" s="1722"/>
      <c r="CA497" s="1721"/>
      <c r="CB497" s="1722"/>
      <c r="CC497" s="1722"/>
      <c r="CD497" s="1722"/>
      <c r="CE497" s="1723"/>
      <c r="CF497" s="1722"/>
      <c r="CG497" s="1722"/>
      <c r="CH497" s="1722"/>
      <c r="CI497" s="1722"/>
      <c r="CJ497" s="1723"/>
      <c r="CK497" s="1721"/>
      <c r="CL497" s="1722"/>
      <c r="CM497" s="1722"/>
      <c r="CN497" s="1722"/>
      <c r="CO497" s="1723"/>
      <c r="CP497" s="1721"/>
      <c r="CQ497" s="1722"/>
      <c r="CR497" s="1722"/>
      <c r="CS497" s="1722"/>
      <c r="CT497" s="1723"/>
      <c r="CU497" s="1528"/>
      <c r="CV497" s="1519"/>
      <c r="CW497" s="1519"/>
      <c r="CX497" s="1728"/>
      <c r="CY497" s="1519"/>
      <c r="CZ497" s="1519"/>
      <c r="DA497" s="1519"/>
      <c r="DB497" s="1728"/>
      <c r="DC497" s="1377"/>
      <c r="DD497" s="1729"/>
      <c r="DE497" s="1734"/>
    </row>
    <row r="498" spans="1:109" ht="15.75" hidden="1" customHeight="1">
      <c r="A498" s="772" t="s">
        <v>1050</v>
      </c>
      <c r="B498" s="773">
        <v>492</v>
      </c>
      <c r="C498" s="928" t="s">
        <v>4018</v>
      </c>
      <c r="D498" s="773" t="s">
        <v>4012</v>
      </c>
      <c r="E498" s="773" t="s">
        <v>1889</v>
      </c>
      <c r="F498" s="785" t="s">
        <v>4019</v>
      </c>
      <c r="G498" s="790" t="s">
        <v>137</v>
      </c>
      <c r="H498" s="791" t="s">
        <v>3988</v>
      </c>
      <c r="I498" s="792"/>
      <c r="J498" s="793">
        <v>1</v>
      </c>
      <c r="K498" s="793"/>
      <c r="L498" s="793"/>
      <c r="M498" s="793"/>
      <c r="N498" s="793"/>
      <c r="O498" s="793"/>
      <c r="P498" s="794"/>
      <c r="Q498" s="795">
        <f t="shared" si="7"/>
        <v>1</v>
      </c>
      <c r="R498" s="789" t="s">
        <v>1030</v>
      </c>
      <c r="S498" s="773" t="s">
        <v>1008</v>
      </c>
      <c r="T498" s="796" t="s">
        <v>1009</v>
      </c>
      <c r="U498" s="773" t="s">
        <v>1892</v>
      </c>
      <c r="V498" s="773" t="s">
        <v>1029</v>
      </c>
      <c r="W498" s="773" t="s">
        <v>4020</v>
      </c>
      <c r="X498" s="1274">
        <v>0</v>
      </c>
      <c r="Y498" s="821" t="s">
        <v>1020</v>
      </c>
      <c r="Z498" s="790" t="s">
        <v>137</v>
      </c>
      <c r="AA498" s="785"/>
      <c r="AB498" s="785"/>
      <c r="AC498" s="785"/>
      <c r="AD498" s="785"/>
      <c r="AE498" s="785"/>
      <c r="AF498" s="799"/>
      <c r="AG498" s="800"/>
      <c r="AH498" s="845"/>
      <c r="AI498" s="845"/>
      <c r="AJ498" s="845"/>
      <c r="AK498" s="845"/>
      <c r="AL498" s="845"/>
      <c r="AM498" s="845"/>
      <c r="AN498" s="845"/>
      <c r="AO498" s="845"/>
      <c r="AP498" s="845"/>
      <c r="AQ498" s="1370"/>
      <c r="AR498" s="1371"/>
      <c r="AS498" s="1371"/>
      <c r="AT498" s="1371"/>
      <c r="AU498" s="1372"/>
      <c r="AV498" s="846"/>
      <c r="AW498" s="845"/>
      <c r="AX498" s="845"/>
      <c r="AY498" s="845"/>
      <c r="AZ498" s="845"/>
      <c r="BA498" s="845"/>
      <c r="BB498" s="845"/>
      <c r="BC498" s="845"/>
      <c r="BD498" s="845"/>
      <c r="BE498" s="845"/>
      <c r="BF498" s="845"/>
      <c r="BG498" s="845"/>
      <c r="BH498" s="845"/>
      <c r="BI498" s="845"/>
      <c r="BJ498" s="845"/>
      <c r="BK498" s="847"/>
      <c r="BL498" s="1376"/>
      <c r="BM498" s="1377"/>
      <c r="BN498" s="1377"/>
      <c r="BO498" s="1377"/>
      <c r="BP498" s="1440"/>
      <c r="BQ498" s="1420"/>
      <c r="BR498" s="1368"/>
      <c r="BS498" s="1368"/>
      <c r="BT498" s="1368"/>
      <c r="BU498" s="1369"/>
      <c r="BV498" s="1370"/>
      <c r="BW498" s="1371"/>
      <c r="BX498" s="1371"/>
      <c r="BY498" s="1371"/>
      <c r="BZ498" s="1371"/>
      <c r="CA498" s="1420"/>
      <c r="CB498" s="1368"/>
      <c r="CC498" s="1368"/>
      <c r="CD498" s="1368"/>
      <c r="CE498" s="1369"/>
      <c r="CF498" s="1368"/>
      <c r="CG498" s="1368"/>
      <c r="CH498" s="1368"/>
      <c r="CI498" s="1368"/>
      <c r="CJ498" s="1368"/>
      <c r="CK498" s="1370"/>
      <c r="CL498" s="1371"/>
      <c r="CM498" s="1371"/>
      <c r="CN498" s="1371"/>
      <c r="CO498" s="1372"/>
      <c r="CP498" s="1420"/>
      <c r="CQ498" s="1368"/>
      <c r="CR498" s="1368"/>
      <c r="CS498" s="1368"/>
      <c r="CT498" s="1369"/>
      <c r="CU498" s="1528"/>
      <c r="CV498" s="1519"/>
      <c r="CW498" s="1519"/>
      <c r="CX498" s="1728"/>
      <c r="CY498" s="1519"/>
      <c r="CZ498" s="1519"/>
      <c r="DA498" s="1519"/>
      <c r="DB498" s="1728"/>
      <c r="DC498" s="1377"/>
      <c r="DD498" s="1729"/>
      <c r="DE498" s="1734"/>
    </row>
    <row r="499" spans="1:109" ht="15.75" hidden="1" customHeight="1">
      <c r="A499" s="772" t="s">
        <v>1050</v>
      </c>
      <c r="B499" s="773">
        <v>493</v>
      </c>
      <c r="C499" s="789" t="s">
        <v>4021</v>
      </c>
      <c r="D499" s="773" t="s">
        <v>4012</v>
      </c>
      <c r="E499" s="773" t="s">
        <v>1907</v>
      </c>
      <c r="F499" s="785" t="s">
        <v>4022</v>
      </c>
      <c r="G499" s="790" t="s">
        <v>167</v>
      </c>
      <c r="H499" s="791" t="s">
        <v>3988</v>
      </c>
      <c r="I499" s="792">
        <v>0.05</v>
      </c>
      <c r="J499" s="793">
        <v>0.95</v>
      </c>
      <c r="K499" s="793"/>
      <c r="L499" s="793"/>
      <c r="M499" s="793"/>
      <c r="N499" s="793"/>
      <c r="O499" s="793"/>
      <c r="P499" s="794"/>
      <c r="Q499" s="795">
        <f t="shared" si="7"/>
        <v>1</v>
      </c>
      <c r="R499" s="789" t="s">
        <v>1026</v>
      </c>
      <c r="S499" s="773" t="s">
        <v>1008</v>
      </c>
      <c r="T499" s="796" t="s">
        <v>1009</v>
      </c>
      <c r="U499" s="773" t="s">
        <v>1915</v>
      </c>
      <c r="V499" s="773" t="s">
        <v>278</v>
      </c>
      <c r="W499" s="773" t="s">
        <v>4023</v>
      </c>
      <c r="X499" s="829">
        <v>2</v>
      </c>
      <c r="Y499" s="821" t="s">
        <v>1020</v>
      </c>
      <c r="Z499" s="790" t="s">
        <v>167</v>
      </c>
      <c r="AA499" s="785"/>
      <c r="AB499" s="785"/>
      <c r="AC499" s="785"/>
      <c r="AD499" s="785"/>
      <c r="AE499" s="785"/>
      <c r="AF499" s="799"/>
      <c r="AG499" s="800"/>
      <c r="AH499" s="800"/>
      <c r="AI499" s="800"/>
      <c r="AJ499" s="800"/>
      <c r="AK499" s="800"/>
      <c r="AL499" s="800"/>
      <c r="AM499" s="800"/>
      <c r="AN499" s="800"/>
      <c r="AO499" s="800"/>
      <c r="AP499" s="800"/>
      <c r="AQ499" s="1421"/>
      <c r="AR499" s="1373"/>
      <c r="AS499" s="1373"/>
      <c r="AT499" s="1373"/>
      <c r="AU499" s="1374"/>
      <c r="AV499" s="808"/>
      <c r="AW499" s="800"/>
      <c r="AX499" s="800"/>
      <c r="AY499" s="800"/>
      <c r="AZ499" s="800"/>
      <c r="BA499" s="800"/>
      <c r="BB499" s="800"/>
      <c r="BC499" s="800"/>
      <c r="BD499" s="800"/>
      <c r="BE499" s="800"/>
      <c r="BF499" s="800"/>
      <c r="BG499" s="800"/>
      <c r="BH499" s="800"/>
      <c r="BI499" s="800"/>
      <c r="BJ499" s="800"/>
      <c r="BK499" s="805"/>
      <c r="BL499" s="1376"/>
      <c r="BM499" s="1377"/>
      <c r="BN499" s="1377"/>
      <c r="BO499" s="1377"/>
      <c r="BP499" s="1440"/>
      <c r="BQ499" s="1420"/>
      <c r="BR499" s="1368"/>
      <c r="BS499" s="1368"/>
      <c r="BT499" s="1368"/>
      <c r="BU499" s="1369"/>
      <c r="BV499" s="1421"/>
      <c r="BW499" s="1373"/>
      <c r="BX499" s="1373"/>
      <c r="BY499" s="1373"/>
      <c r="BZ499" s="1373"/>
      <c r="CA499" s="1420"/>
      <c r="CB499" s="1368"/>
      <c r="CC499" s="1368"/>
      <c r="CD499" s="1368"/>
      <c r="CE499" s="1369"/>
      <c r="CF499" s="1368"/>
      <c r="CG499" s="1368"/>
      <c r="CH499" s="1368"/>
      <c r="CI499" s="1368"/>
      <c r="CJ499" s="1369"/>
      <c r="CK499" s="1420"/>
      <c r="CL499" s="1368"/>
      <c r="CM499" s="1368"/>
      <c r="CN499" s="1368"/>
      <c r="CO499" s="1369"/>
      <c r="CP499" s="1420"/>
      <c r="CQ499" s="1368"/>
      <c r="CR499" s="1368"/>
      <c r="CS499" s="1368"/>
      <c r="CT499" s="1369"/>
      <c r="CU499" s="1528"/>
      <c r="CV499" s="1519"/>
      <c r="CW499" s="1519"/>
      <c r="CX499" s="1728"/>
      <c r="CY499" s="1519"/>
      <c r="CZ499" s="1519"/>
      <c r="DA499" s="1519"/>
      <c r="DB499" s="1728"/>
      <c r="DC499" s="1377"/>
      <c r="DD499" s="1729"/>
      <c r="DE499" s="1734"/>
    </row>
    <row r="500" spans="1:109" ht="15.75" hidden="1" customHeight="1">
      <c r="A500" s="772" t="s">
        <v>1050</v>
      </c>
      <c r="B500" s="773">
        <v>494</v>
      </c>
      <c r="C500" s="789" t="s">
        <v>4024</v>
      </c>
      <c r="D500" s="773" t="s">
        <v>4012</v>
      </c>
      <c r="E500" s="773" t="s">
        <v>1907</v>
      </c>
      <c r="F500" s="785" t="s">
        <v>4025</v>
      </c>
      <c r="G500" s="790" t="s">
        <v>1902</v>
      </c>
      <c r="H500" s="791" t="s">
        <v>3988</v>
      </c>
      <c r="I500" s="792"/>
      <c r="J500" s="793">
        <v>1</v>
      </c>
      <c r="K500" s="793"/>
      <c r="L500" s="793"/>
      <c r="M500" s="793"/>
      <c r="N500" s="793"/>
      <c r="O500" s="793"/>
      <c r="P500" s="794"/>
      <c r="Q500" s="795">
        <f t="shared" si="7"/>
        <v>1</v>
      </c>
      <c r="R500" s="789" t="s">
        <v>1030</v>
      </c>
      <c r="S500" s="773" t="s">
        <v>1008</v>
      </c>
      <c r="T500" s="1440" t="s">
        <v>1019</v>
      </c>
      <c r="U500" s="773" t="s">
        <v>2054</v>
      </c>
      <c r="V500" s="773" t="s">
        <v>278</v>
      </c>
      <c r="W500" s="773" t="s">
        <v>4014</v>
      </c>
      <c r="X500" s="1274">
        <v>1</v>
      </c>
      <c r="Y500" s="821" t="s">
        <v>1020</v>
      </c>
      <c r="Z500" s="790" t="s">
        <v>1902</v>
      </c>
      <c r="AA500" s="785"/>
      <c r="AB500" s="785"/>
      <c r="AC500" s="785"/>
      <c r="AD500" s="785"/>
      <c r="AE500" s="785"/>
      <c r="AF500" s="799"/>
      <c r="AG500" s="800"/>
      <c r="AH500" s="800"/>
      <c r="AI500" s="800"/>
      <c r="AJ500" s="800"/>
      <c r="AK500" s="800"/>
      <c r="AL500" s="800"/>
      <c r="AM500" s="800"/>
      <c r="AN500" s="800"/>
      <c r="AO500" s="800"/>
      <c r="AP500" s="800"/>
      <c r="AQ500" s="1420"/>
      <c r="AR500" s="1368"/>
      <c r="AS500" s="1368"/>
      <c r="AT500" s="1368"/>
      <c r="AU500" s="1369"/>
      <c r="AV500" s="808"/>
      <c r="AW500" s="800"/>
      <c r="AX500" s="800"/>
      <c r="AY500" s="800"/>
      <c r="AZ500" s="800"/>
      <c r="BA500" s="800"/>
      <c r="BB500" s="800"/>
      <c r="BC500" s="800"/>
      <c r="BD500" s="800"/>
      <c r="BE500" s="800"/>
      <c r="BF500" s="800"/>
      <c r="BG500" s="800"/>
      <c r="BH500" s="800"/>
      <c r="BI500" s="800"/>
      <c r="BJ500" s="800"/>
      <c r="BK500" s="805"/>
      <c r="BL500" s="1376"/>
      <c r="BM500" s="1377"/>
      <c r="BN500" s="1377"/>
      <c r="BO500" s="1377"/>
      <c r="BP500" s="1440"/>
      <c r="BQ500" s="1420"/>
      <c r="BR500" s="1368"/>
      <c r="BS500" s="1368"/>
      <c r="BT500" s="1368"/>
      <c r="BU500" s="1369"/>
      <c r="BV500" s="1420"/>
      <c r="BW500" s="1368"/>
      <c r="BX500" s="1368"/>
      <c r="BY500" s="1368"/>
      <c r="BZ500" s="1368"/>
      <c r="CA500" s="1420"/>
      <c r="CB500" s="1368"/>
      <c r="CC500" s="1368"/>
      <c r="CD500" s="1368"/>
      <c r="CE500" s="1369"/>
      <c r="CF500" s="1368"/>
      <c r="CG500" s="1368"/>
      <c r="CH500" s="1368"/>
      <c r="CI500" s="1368"/>
      <c r="CJ500" s="1369"/>
      <c r="CK500" s="1420"/>
      <c r="CL500" s="1368"/>
      <c r="CM500" s="1368"/>
      <c r="CN500" s="1368"/>
      <c r="CO500" s="1369"/>
      <c r="CP500" s="1420"/>
      <c r="CQ500" s="1368"/>
      <c r="CR500" s="1368"/>
      <c r="CS500" s="1368"/>
      <c r="CT500" s="1369"/>
      <c r="CU500" s="1528"/>
      <c r="CV500" s="1519"/>
      <c r="CW500" s="1519"/>
      <c r="CX500" s="1728"/>
      <c r="CY500" s="1519"/>
      <c r="CZ500" s="1519"/>
      <c r="DA500" s="1519"/>
      <c r="DB500" s="1728"/>
      <c r="DC500" s="1377"/>
      <c r="DD500" s="1729"/>
      <c r="DE500" s="1734"/>
    </row>
    <row r="501" spans="1:109" ht="15.75" hidden="1" customHeight="1">
      <c r="A501" s="772" t="s">
        <v>1050</v>
      </c>
      <c r="B501" s="773">
        <v>495</v>
      </c>
      <c r="C501" s="789" t="s">
        <v>4026</v>
      </c>
      <c r="D501" s="773" t="s">
        <v>4012</v>
      </c>
      <c r="E501" s="773" t="s">
        <v>1907</v>
      </c>
      <c r="F501" s="785" t="s">
        <v>4027</v>
      </c>
      <c r="G501" s="790" t="s">
        <v>535</v>
      </c>
      <c r="H501" s="791" t="s">
        <v>3988</v>
      </c>
      <c r="I501" s="792">
        <v>0.5</v>
      </c>
      <c r="J501" s="793">
        <v>0.5</v>
      </c>
      <c r="K501" s="793"/>
      <c r="L501" s="793"/>
      <c r="M501" s="793"/>
      <c r="N501" s="793"/>
      <c r="O501" s="793"/>
      <c r="P501" s="794"/>
      <c r="Q501" s="795">
        <f t="shared" si="7"/>
        <v>1</v>
      </c>
      <c r="R501" s="789" t="s">
        <v>1007</v>
      </c>
      <c r="S501" s="773" t="s">
        <v>1942</v>
      </c>
      <c r="T501" s="796" t="s">
        <v>1942</v>
      </c>
      <c r="U501" s="773" t="s">
        <v>1910</v>
      </c>
      <c r="V501" s="773" t="s">
        <v>278</v>
      </c>
      <c r="W501" s="773" t="s">
        <v>4028</v>
      </c>
      <c r="X501" s="829">
        <v>1</v>
      </c>
      <c r="Y501" s="821" t="s">
        <v>1020</v>
      </c>
      <c r="Z501" s="790" t="s">
        <v>535</v>
      </c>
      <c r="AA501" s="785"/>
      <c r="AB501" s="785"/>
      <c r="AC501" s="785"/>
      <c r="AD501" s="785"/>
      <c r="AE501" s="785"/>
      <c r="AF501" s="799"/>
      <c r="AG501" s="800"/>
      <c r="AH501" s="800"/>
      <c r="AI501" s="800"/>
      <c r="AJ501" s="800"/>
      <c r="AK501" s="800"/>
      <c r="AL501" s="800"/>
      <c r="AM501" s="800"/>
      <c r="AN501" s="800"/>
      <c r="AO501" s="800"/>
      <c r="AP501" s="816"/>
      <c r="AQ501" s="1521"/>
      <c r="AR501" s="1730"/>
      <c r="AS501" s="1730"/>
      <c r="AT501" s="1730"/>
      <c r="AU501" s="1527"/>
      <c r="AV501" s="817"/>
      <c r="AW501" s="816"/>
      <c r="AX501" s="816"/>
      <c r="AY501" s="816"/>
      <c r="AZ501" s="816"/>
      <c r="BA501" s="816"/>
      <c r="BB501" s="816"/>
      <c r="BC501" s="816"/>
      <c r="BD501" s="816"/>
      <c r="BE501" s="816"/>
      <c r="BF501" s="816"/>
      <c r="BG501" s="816"/>
      <c r="BH501" s="816"/>
      <c r="BI501" s="816"/>
      <c r="BJ501" s="816"/>
      <c r="BK501" s="818"/>
      <c r="BL501" s="1376"/>
      <c r="BM501" s="1377"/>
      <c r="BN501" s="1377"/>
      <c r="BO501" s="1377"/>
      <c r="BP501" s="1440"/>
      <c r="BQ501" s="1420"/>
      <c r="BR501" s="1368"/>
      <c r="BS501" s="1368"/>
      <c r="BT501" s="1368"/>
      <c r="BU501" s="1369"/>
      <c r="BV501" s="1420"/>
      <c r="BW501" s="1368"/>
      <c r="BX501" s="1368"/>
      <c r="BY501" s="1368"/>
      <c r="BZ501" s="1368"/>
      <c r="CA501" s="1420"/>
      <c r="CB501" s="1368"/>
      <c r="CC501" s="1368"/>
      <c r="CD501" s="1368"/>
      <c r="CE501" s="1369"/>
      <c r="CF501" s="1368"/>
      <c r="CG501" s="1368"/>
      <c r="CH501" s="1368"/>
      <c r="CI501" s="1368"/>
      <c r="CJ501" s="1369"/>
      <c r="CK501" s="1420"/>
      <c r="CL501" s="1368"/>
      <c r="CM501" s="1368"/>
      <c r="CN501" s="1368"/>
      <c r="CO501" s="1369"/>
      <c r="CP501" s="1420"/>
      <c r="CQ501" s="1368"/>
      <c r="CR501" s="1368"/>
      <c r="CS501" s="1368"/>
      <c r="CT501" s="1369"/>
      <c r="CU501" s="1528"/>
      <c r="CV501" s="1519"/>
      <c r="CW501" s="1519"/>
      <c r="CX501" s="1728"/>
      <c r="CY501" s="1519"/>
      <c r="CZ501" s="1519"/>
      <c r="DA501" s="1519"/>
      <c r="DB501" s="1728"/>
      <c r="DC501" s="1377"/>
      <c r="DD501" s="1729"/>
      <c r="DE501" s="1734"/>
    </row>
    <row r="502" spans="1:109" ht="15.75" hidden="1" customHeight="1">
      <c r="A502" s="772" t="s">
        <v>1050</v>
      </c>
      <c r="B502" s="773">
        <v>496</v>
      </c>
      <c r="C502" s="789" t="s">
        <v>4029</v>
      </c>
      <c r="D502" s="773" t="s">
        <v>4012</v>
      </c>
      <c r="E502" s="773" t="s">
        <v>1889</v>
      </c>
      <c r="F502" s="785" t="s">
        <v>4030</v>
      </c>
      <c r="G502" s="790" t="s">
        <v>4031</v>
      </c>
      <c r="H502" s="791" t="s">
        <v>4032</v>
      </c>
      <c r="I502" s="792"/>
      <c r="J502" s="793">
        <v>1</v>
      </c>
      <c r="K502" s="793"/>
      <c r="L502" s="793"/>
      <c r="M502" s="793"/>
      <c r="N502" s="793"/>
      <c r="O502" s="793"/>
      <c r="P502" s="794"/>
      <c r="Q502" s="795">
        <f t="shared" si="7"/>
        <v>1</v>
      </c>
      <c r="R502" s="789" t="s">
        <v>1030</v>
      </c>
      <c r="S502" s="773" t="s">
        <v>1008</v>
      </c>
      <c r="T502" s="796" t="s">
        <v>1009</v>
      </c>
      <c r="U502" s="773" t="s">
        <v>1985</v>
      </c>
      <c r="V502" s="773" t="s">
        <v>1033</v>
      </c>
      <c r="W502" s="773" t="s">
        <v>4033</v>
      </c>
      <c r="X502" s="1365">
        <v>3</v>
      </c>
      <c r="Y502" s="821" t="s">
        <v>1020</v>
      </c>
      <c r="Z502" s="790" t="s">
        <v>1987</v>
      </c>
      <c r="AA502" s="785"/>
      <c r="AB502" s="785"/>
      <c r="AC502" s="785"/>
      <c r="AD502" s="785"/>
      <c r="AE502" s="785"/>
      <c r="AF502" s="799"/>
      <c r="AG502" s="800"/>
      <c r="AH502" s="800"/>
      <c r="AI502" s="800"/>
      <c r="AJ502" s="800"/>
      <c r="AK502" s="800"/>
      <c r="AL502" s="800"/>
      <c r="AM502" s="800"/>
      <c r="AN502" s="800"/>
      <c r="AO502" s="800"/>
      <c r="AP502" s="800"/>
      <c r="AQ502" s="1362">
        <v>0.76</v>
      </c>
      <c r="AR502" s="1363">
        <v>0.72</v>
      </c>
      <c r="AS502" s="1363">
        <v>0.67</v>
      </c>
      <c r="AT502" s="1363">
        <v>0.62</v>
      </c>
      <c r="AU502" s="1364">
        <v>0.57999999999999996</v>
      </c>
      <c r="AV502" s="808"/>
      <c r="AW502" s="800"/>
      <c r="AX502" s="800"/>
      <c r="AY502" s="800"/>
      <c r="AZ502" s="800"/>
      <c r="BA502" s="800"/>
      <c r="BB502" s="800"/>
      <c r="BC502" s="800"/>
      <c r="BD502" s="800"/>
      <c r="BE502" s="800"/>
      <c r="BF502" s="800"/>
      <c r="BG502" s="800"/>
      <c r="BH502" s="800"/>
      <c r="BI502" s="800"/>
      <c r="BJ502" s="800"/>
      <c r="BK502" s="805"/>
      <c r="BL502" s="789" t="s">
        <v>168</v>
      </c>
      <c r="BM502" s="785" t="s">
        <v>168</v>
      </c>
      <c r="BN502" s="785" t="s">
        <v>168</v>
      </c>
      <c r="BO502" s="785" t="s">
        <v>168</v>
      </c>
      <c r="BP502" s="796" t="s">
        <v>168</v>
      </c>
      <c r="BQ502" s="808" t="s">
        <v>1942</v>
      </c>
      <c r="BR502" s="800" t="s">
        <v>1942</v>
      </c>
      <c r="BS502" s="800" t="s">
        <v>1942</v>
      </c>
      <c r="BT502" s="800" t="s">
        <v>1942</v>
      </c>
      <c r="BU502" s="805" t="s">
        <v>1942</v>
      </c>
      <c r="BV502" s="808" t="s">
        <v>1942</v>
      </c>
      <c r="BW502" s="800" t="s">
        <v>1942</v>
      </c>
      <c r="BX502" s="800" t="s">
        <v>1942</v>
      </c>
      <c r="BY502" s="800" t="s">
        <v>1942</v>
      </c>
      <c r="BZ502" s="800" t="s">
        <v>1942</v>
      </c>
      <c r="CA502" s="808" t="s">
        <v>1942</v>
      </c>
      <c r="CB502" s="800" t="s">
        <v>1942</v>
      </c>
      <c r="CC502" s="800" t="s">
        <v>1942</v>
      </c>
      <c r="CD502" s="800" t="s">
        <v>1942</v>
      </c>
      <c r="CE502" s="805" t="s">
        <v>1942</v>
      </c>
      <c r="CF502" s="800" t="s">
        <v>1942</v>
      </c>
      <c r="CG502" s="800" t="s">
        <v>1942</v>
      </c>
      <c r="CH502" s="800" t="s">
        <v>1942</v>
      </c>
      <c r="CI502" s="800" t="s">
        <v>1942</v>
      </c>
      <c r="CJ502" s="805" t="s">
        <v>1942</v>
      </c>
      <c r="CK502" s="808" t="s">
        <v>1942</v>
      </c>
      <c r="CL502" s="800" t="s">
        <v>1942</v>
      </c>
      <c r="CM502" s="800" t="s">
        <v>1942</v>
      </c>
      <c r="CN502" s="800" t="s">
        <v>1942</v>
      </c>
      <c r="CO502" s="805" t="s">
        <v>1942</v>
      </c>
      <c r="CP502" s="808" t="s">
        <v>1942</v>
      </c>
      <c r="CQ502" s="800" t="s">
        <v>1942</v>
      </c>
      <c r="CR502" s="800" t="s">
        <v>1942</v>
      </c>
      <c r="CS502" s="800" t="s">
        <v>1942</v>
      </c>
      <c r="CT502" s="805" t="s">
        <v>1942</v>
      </c>
      <c r="CU502" s="1284">
        <v>-0.34200000000000003</v>
      </c>
      <c r="CV502" s="1283" t="s">
        <v>1942</v>
      </c>
      <c r="CW502" s="1283" t="s">
        <v>1942</v>
      </c>
      <c r="CX502" s="1285" t="s">
        <v>1942</v>
      </c>
      <c r="CY502" s="1283">
        <v>0.34200000000000003</v>
      </c>
      <c r="CZ502" s="1283" t="s">
        <v>1942</v>
      </c>
      <c r="DA502" s="1283" t="s">
        <v>1942</v>
      </c>
      <c r="DB502" s="1285" t="s">
        <v>1942</v>
      </c>
      <c r="DC502" s="785" t="s">
        <v>1942</v>
      </c>
      <c r="DD502" s="813">
        <v>1</v>
      </c>
      <c r="DE502" s="814" t="s">
        <v>1942</v>
      </c>
    </row>
    <row r="503" spans="1:109" ht="15.75" hidden="1" customHeight="1">
      <c r="A503" s="772" t="s">
        <v>1050</v>
      </c>
      <c r="B503" s="773">
        <v>497</v>
      </c>
      <c r="C503" s="789" t="s">
        <v>4034</v>
      </c>
      <c r="D503" s="773" t="s">
        <v>4012</v>
      </c>
      <c r="E503" s="773" t="s">
        <v>1907</v>
      </c>
      <c r="F503" s="785" t="s">
        <v>4035</v>
      </c>
      <c r="G503" s="790" t="s">
        <v>4036</v>
      </c>
      <c r="H503" s="791" t="s">
        <v>4037</v>
      </c>
      <c r="I503" s="792"/>
      <c r="J503" s="793">
        <v>1</v>
      </c>
      <c r="K503" s="793"/>
      <c r="L503" s="793"/>
      <c r="M503" s="793"/>
      <c r="N503" s="793"/>
      <c r="O503" s="793"/>
      <c r="P503" s="794"/>
      <c r="Q503" s="795">
        <f t="shared" si="7"/>
        <v>1</v>
      </c>
      <c r="R503" s="789" t="s">
        <v>1030</v>
      </c>
      <c r="S503" s="773" t="s">
        <v>1008</v>
      </c>
      <c r="T503" s="796" t="s">
        <v>1009</v>
      </c>
      <c r="U503" s="773" t="s">
        <v>1920</v>
      </c>
      <c r="V503" s="773" t="s">
        <v>1033</v>
      </c>
      <c r="W503" s="773" t="s">
        <v>4038</v>
      </c>
      <c r="X503" s="829">
        <v>0</v>
      </c>
      <c r="Y503" s="821" t="s">
        <v>1010</v>
      </c>
      <c r="Z503" s="790" t="s">
        <v>1942</v>
      </c>
      <c r="AA503" s="785"/>
      <c r="AB503" s="785"/>
      <c r="AC503" s="785"/>
      <c r="AD503" s="785"/>
      <c r="AE503" s="785"/>
      <c r="AF503" s="799"/>
      <c r="AG503" s="800"/>
      <c r="AH503" s="800"/>
      <c r="AI503" s="800"/>
      <c r="AJ503" s="800"/>
      <c r="AK503" s="800"/>
      <c r="AL503" s="800"/>
      <c r="AM503" s="800"/>
      <c r="AN503" s="800"/>
      <c r="AO503" s="800"/>
      <c r="AP503" s="800"/>
      <c r="AQ503" s="808">
        <v>0</v>
      </c>
      <c r="AR503" s="800">
        <v>382</v>
      </c>
      <c r="AS503" s="800">
        <v>764</v>
      </c>
      <c r="AT503" s="800">
        <v>1145</v>
      </c>
      <c r="AU503" s="805">
        <v>1526</v>
      </c>
      <c r="AV503" s="808"/>
      <c r="AW503" s="800"/>
      <c r="AX503" s="800"/>
      <c r="AY503" s="800"/>
      <c r="AZ503" s="800"/>
      <c r="BA503" s="800"/>
      <c r="BB503" s="800"/>
      <c r="BC503" s="800"/>
      <c r="BD503" s="800"/>
      <c r="BE503" s="800"/>
      <c r="BF503" s="800"/>
      <c r="BG503" s="800"/>
      <c r="BH503" s="800"/>
      <c r="BI503" s="800"/>
      <c r="BJ503" s="800"/>
      <c r="BK503" s="805"/>
      <c r="BL503" s="789" t="s">
        <v>168</v>
      </c>
      <c r="BM503" s="785" t="s">
        <v>168</v>
      </c>
      <c r="BN503" s="785" t="s">
        <v>168</v>
      </c>
      <c r="BO503" s="785" t="s">
        <v>168</v>
      </c>
      <c r="BP503" s="796" t="s">
        <v>168</v>
      </c>
      <c r="BQ503" s="808" t="s">
        <v>1942</v>
      </c>
      <c r="BR503" s="800" t="s">
        <v>1942</v>
      </c>
      <c r="BS503" s="800" t="s">
        <v>1942</v>
      </c>
      <c r="BT503" s="800" t="s">
        <v>1942</v>
      </c>
      <c r="BU503" s="805" t="s">
        <v>1942</v>
      </c>
      <c r="BV503" s="832">
        <v>0</v>
      </c>
      <c r="BW503" s="833">
        <v>0</v>
      </c>
      <c r="BX503" s="833">
        <v>0</v>
      </c>
      <c r="BY503" s="833">
        <v>0</v>
      </c>
      <c r="BZ503" s="833">
        <v>0</v>
      </c>
      <c r="CA503" s="808" t="s">
        <v>1942</v>
      </c>
      <c r="CB503" s="800" t="s">
        <v>1942</v>
      </c>
      <c r="CC503" s="800" t="s">
        <v>1942</v>
      </c>
      <c r="CD503" s="800" t="s">
        <v>1942</v>
      </c>
      <c r="CE503" s="805" t="s">
        <v>1942</v>
      </c>
      <c r="CF503" s="800" t="s">
        <v>1942</v>
      </c>
      <c r="CG503" s="800" t="s">
        <v>1942</v>
      </c>
      <c r="CH503" s="800" t="s">
        <v>1942</v>
      </c>
      <c r="CI503" s="800" t="s">
        <v>1942</v>
      </c>
      <c r="CJ503" s="805" t="s">
        <v>1942</v>
      </c>
      <c r="CK503" s="2013">
        <v>0</v>
      </c>
      <c r="CL503" s="2014">
        <v>1023</v>
      </c>
      <c r="CM503" s="2014">
        <v>2046</v>
      </c>
      <c r="CN503" s="2014">
        <v>3068</v>
      </c>
      <c r="CO503" s="2015">
        <v>4089</v>
      </c>
      <c r="CP503" s="808" t="s">
        <v>1942</v>
      </c>
      <c r="CQ503" s="800" t="s">
        <v>1942</v>
      </c>
      <c r="CR503" s="800" t="s">
        <v>1942</v>
      </c>
      <c r="CS503" s="800" t="s">
        <v>1942</v>
      </c>
      <c r="CT503" s="805" t="s">
        <v>1942</v>
      </c>
      <c r="CU503" s="1284">
        <v>-3.617E-3</v>
      </c>
      <c r="CV503" s="1283" t="s">
        <v>1942</v>
      </c>
      <c r="CW503" s="1283" t="s">
        <v>1942</v>
      </c>
      <c r="CX503" s="1285" t="s">
        <v>1942</v>
      </c>
      <c r="CY503" s="1283">
        <v>3.617E-3</v>
      </c>
      <c r="CZ503" s="1283" t="s">
        <v>1942</v>
      </c>
      <c r="DA503" s="1283" t="s">
        <v>1942</v>
      </c>
      <c r="DB503" s="1285" t="s">
        <v>1942</v>
      </c>
      <c r="DC503" s="785" t="s">
        <v>131</v>
      </c>
      <c r="DD503" s="813">
        <v>1</v>
      </c>
      <c r="DE503" s="814" t="s">
        <v>1942</v>
      </c>
    </row>
    <row r="504" spans="1:109" ht="15.75" hidden="1" customHeight="1">
      <c r="A504" s="772" t="s">
        <v>1050</v>
      </c>
      <c r="B504" s="773">
        <v>498</v>
      </c>
      <c r="C504" s="789" t="s">
        <v>4039</v>
      </c>
      <c r="D504" s="773" t="s">
        <v>4012</v>
      </c>
      <c r="E504" s="773" t="s">
        <v>1907</v>
      </c>
      <c r="F504" s="785" t="s">
        <v>4040</v>
      </c>
      <c r="G504" s="790" t="s">
        <v>4041</v>
      </c>
      <c r="H504" s="791" t="s">
        <v>4042</v>
      </c>
      <c r="I504" s="792"/>
      <c r="J504" s="793">
        <v>1</v>
      </c>
      <c r="K504" s="793"/>
      <c r="L504" s="793"/>
      <c r="M504" s="793"/>
      <c r="N504" s="793"/>
      <c r="O504" s="793"/>
      <c r="P504" s="794"/>
      <c r="Q504" s="795">
        <f t="shared" si="7"/>
        <v>1</v>
      </c>
      <c r="R504" s="789" t="s">
        <v>4043</v>
      </c>
      <c r="S504" s="773" t="s">
        <v>1008</v>
      </c>
      <c r="T504" s="796" t="s">
        <v>1019</v>
      </c>
      <c r="U504" s="773" t="s">
        <v>1910</v>
      </c>
      <c r="V504" s="773" t="s">
        <v>4044</v>
      </c>
      <c r="W504" s="773" t="s">
        <v>4045</v>
      </c>
      <c r="X504" s="829">
        <v>0</v>
      </c>
      <c r="Y504" s="821" t="s">
        <v>1010</v>
      </c>
      <c r="Z504" s="790" t="s">
        <v>1942</v>
      </c>
      <c r="AA504" s="785"/>
      <c r="AB504" s="785"/>
      <c r="AC504" s="785"/>
      <c r="AD504" s="785"/>
      <c r="AE504" s="785"/>
      <c r="AF504" s="799"/>
      <c r="AG504" s="800"/>
      <c r="AH504" s="800"/>
      <c r="AI504" s="800"/>
      <c r="AJ504" s="800"/>
      <c r="AK504" s="800"/>
      <c r="AL504" s="800"/>
      <c r="AM504" s="800"/>
      <c r="AN504" s="800"/>
      <c r="AO504" s="800"/>
      <c r="AP504" s="800"/>
      <c r="AQ504" s="2010">
        <v>1</v>
      </c>
      <c r="AR504" s="800">
        <v>0</v>
      </c>
      <c r="AS504" s="2011">
        <v>1</v>
      </c>
      <c r="AT504" s="2011">
        <v>1</v>
      </c>
      <c r="AU504" s="805">
        <v>0</v>
      </c>
      <c r="AV504" s="808"/>
      <c r="AW504" s="800"/>
      <c r="AX504" s="800"/>
      <c r="AY504" s="800"/>
      <c r="AZ504" s="800"/>
      <c r="BA504" s="800"/>
      <c r="BB504" s="800"/>
      <c r="BC504" s="800"/>
      <c r="BD504" s="800"/>
      <c r="BE504" s="800"/>
      <c r="BF504" s="800"/>
      <c r="BG504" s="800"/>
      <c r="BH504" s="800"/>
      <c r="BI504" s="800"/>
      <c r="BJ504" s="800"/>
      <c r="BK504" s="805"/>
      <c r="BL504" s="1955" t="s">
        <v>168</v>
      </c>
      <c r="BM504" s="1956" t="s">
        <v>168</v>
      </c>
      <c r="BN504" s="1956" t="s">
        <v>168</v>
      </c>
      <c r="BO504" s="1956" t="s">
        <v>168</v>
      </c>
      <c r="BP504" s="796" t="s">
        <v>168</v>
      </c>
      <c r="BQ504" s="808" t="s">
        <v>1942</v>
      </c>
      <c r="BR504" s="800" t="s">
        <v>1942</v>
      </c>
      <c r="BS504" s="800" t="s">
        <v>1942</v>
      </c>
      <c r="BT504" s="800" t="s">
        <v>1942</v>
      </c>
      <c r="BU504" s="805" t="s">
        <v>1942</v>
      </c>
      <c r="BV504" s="808" t="s">
        <v>1942</v>
      </c>
      <c r="BW504" s="800" t="s">
        <v>1942</v>
      </c>
      <c r="BX504" s="800" t="s">
        <v>1942</v>
      </c>
      <c r="BY504" s="800" t="s">
        <v>1942</v>
      </c>
      <c r="BZ504" s="800" t="s">
        <v>1942</v>
      </c>
      <c r="CA504" s="808" t="s">
        <v>1942</v>
      </c>
      <c r="CB504" s="800" t="s">
        <v>1942</v>
      </c>
      <c r="CC504" s="800" t="s">
        <v>1942</v>
      </c>
      <c r="CD504" s="800" t="s">
        <v>1942</v>
      </c>
      <c r="CE504" s="805" t="s">
        <v>1942</v>
      </c>
      <c r="CF504" s="800" t="s">
        <v>1942</v>
      </c>
      <c r="CG504" s="800" t="s">
        <v>1942</v>
      </c>
      <c r="CH504" s="800" t="s">
        <v>1942</v>
      </c>
      <c r="CI504" s="800" t="s">
        <v>1942</v>
      </c>
      <c r="CJ504" s="805" t="s">
        <v>1942</v>
      </c>
      <c r="CK504" s="808" t="s">
        <v>1942</v>
      </c>
      <c r="CL504" s="800" t="s">
        <v>1942</v>
      </c>
      <c r="CM504" s="800" t="s">
        <v>1942</v>
      </c>
      <c r="CN504" s="800" t="s">
        <v>1942</v>
      </c>
      <c r="CO504" s="805" t="s">
        <v>1942</v>
      </c>
      <c r="CP504" s="808" t="s">
        <v>1942</v>
      </c>
      <c r="CQ504" s="800" t="s">
        <v>1942</v>
      </c>
      <c r="CR504" s="800" t="s">
        <v>1942</v>
      </c>
      <c r="CS504" s="800" t="s">
        <v>1942</v>
      </c>
      <c r="CT504" s="805" t="s">
        <v>1942</v>
      </c>
      <c r="CU504" s="1284">
        <v>-1.9139999999999999</v>
      </c>
      <c r="CV504" s="1283" t="s">
        <v>1942</v>
      </c>
      <c r="CW504" s="1283" t="s">
        <v>1942</v>
      </c>
      <c r="CX504" s="1285" t="s">
        <v>1942</v>
      </c>
      <c r="CY504" s="1283" t="s">
        <v>1942</v>
      </c>
      <c r="CZ504" s="1283" t="s">
        <v>1942</v>
      </c>
      <c r="DA504" s="1283" t="s">
        <v>1942</v>
      </c>
      <c r="DB504" s="1285" t="s">
        <v>1942</v>
      </c>
      <c r="DC504" s="785" t="s">
        <v>1942</v>
      </c>
      <c r="DD504" s="813">
        <v>1</v>
      </c>
      <c r="DE504" s="814" t="s">
        <v>1942</v>
      </c>
    </row>
    <row r="505" spans="1:109" ht="15.75" hidden="1" customHeight="1">
      <c r="A505" s="772" t="s">
        <v>1050</v>
      </c>
      <c r="B505" s="773">
        <v>499</v>
      </c>
      <c r="C505" s="789" t="s">
        <v>4046</v>
      </c>
      <c r="D505" s="773" t="s">
        <v>4012</v>
      </c>
      <c r="E505" s="773" t="s">
        <v>1889</v>
      </c>
      <c r="F505" s="785" t="s">
        <v>4047</v>
      </c>
      <c r="G505" s="790" t="s">
        <v>4048</v>
      </c>
      <c r="H505" s="791" t="s">
        <v>4049</v>
      </c>
      <c r="I505" s="792">
        <v>1</v>
      </c>
      <c r="J505" s="793"/>
      <c r="K505" s="793"/>
      <c r="L505" s="793"/>
      <c r="M505" s="793"/>
      <c r="N505" s="793"/>
      <c r="O505" s="793"/>
      <c r="P505" s="794"/>
      <c r="Q505" s="795">
        <f t="shared" si="7"/>
        <v>1</v>
      </c>
      <c r="R505" s="789" t="s">
        <v>2751</v>
      </c>
      <c r="S505" s="773" t="s">
        <v>1008</v>
      </c>
      <c r="T505" s="796" t="s">
        <v>1019</v>
      </c>
      <c r="U505" s="773" t="s">
        <v>2807</v>
      </c>
      <c r="V505" s="773" t="s">
        <v>4050</v>
      </c>
      <c r="W505" s="773" t="s">
        <v>4051</v>
      </c>
      <c r="X505" s="829">
        <v>5</v>
      </c>
      <c r="Y505" s="819" t="s">
        <v>1010</v>
      </c>
      <c r="Z505" s="790" t="s">
        <v>1942</v>
      </c>
      <c r="AA505" s="785"/>
      <c r="AB505" s="785"/>
      <c r="AC505" s="785"/>
      <c r="AD505" s="785"/>
      <c r="AE505" s="785"/>
      <c r="AF505" s="799"/>
      <c r="AG505" s="800"/>
      <c r="AH505" s="800"/>
      <c r="AI505" s="800"/>
      <c r="AJ505" s="800"/>
      <c r="AK505" s="800"/>
      <c r="AL505" s="800"/>
      <c r="AM505" s="800"/>
      <c r="AN505" s="800"/>
      <c r="AO505" s="800"/>
      <c r="AP505" s="800"/>
      <c r="AQ505" s="808">
        <v>0</v>
      </c>
      <c r="AR505" s="800">
        <v>0</v>
      </c>
      <c r="AS505" s="800">
        <v>4.4389999999999999E-2</v>
      </c>
      <c r="AT505" s="800">
        <v>2.9914900000000002</v>
      </c>
      <c r="AU505" s="805">
        <v>7.9917999999999996</v>
      </c>
      <c r="AV505" s="808"/>
      <c r="AW505" s="800"/>
      <c r="AX505" s="800"/>
      <c r="AY505" s="800"/>
      <c r="AZ505" s="800"/>
      <c r="BA505" s="800"/>
      <c r="BB505" s="800"/>
      <c r="BC505" s="800"/>
      <c r="BD505" s="800"/>
      <c r="BE505" s="800"/>
      <c r="BF505" s="800"/>
      <c r="BG505" s="800"/>
      <c r="BH505" s="800"/>
      <c r="BI505" s="800"/>
      <c r="BJ505" s="800"/>
      <c r="BK505" s="805"/>
      <c r="BL505" s="789"/>
      <c r="BM505" s="785"/>
      <c r="BN505" s="785"/>
      <c r="BO505" s="785"/>
      <c r="BP505" s="796" t="s">
        <v>168</v>
      </c>
      <c r="BQ505" s="808" t="s">
        <v>1942</v>
      </c>
      <c r="BR505" s="800" t="s">
        <v>1942</v>
      </c>
      <c r="BS505" s="800" t="s">
        <v>1942</v>
      </c>
      <c r="BT505" s="800" t="s">
        <v>1942</v>
      </c>
      <c r="BU505" s="805" t="s">
        <v>1942</v>
      </c>
      <c r="BV505" s="808" t="s">
        <v>1942</v>
      </c>
      <c r="BW505" s="800" t="s">
        <v>1942</v>
      </c>
      <c r="BX505" s="800" t="s">
        <v>1942</v>
      </c>
      <c r="BY505" s="800" t="s">
        <v>1942</v>
      </c>
      <c r="BZ505" s="800" t="s">
        <v>1942</v>
      </c>
      <c r="CA505" s="808" t="s">
        <v>1942</v>
      </c>
      <c r="CB505" s="800" t="s">
        <v>1942</v>
      </c>
      <c r="CC505" s="800" t="s">
        <v>1942</v>
      </c>
      <c r="CD505" s="800" t="s">
        <v>1942</v>
      </c>
      <c r="CE505" s="805" t="s">
        <v>1942</v>
      </c>
      <c r="CF505" s="800" t="s">
        <v>1942</v>
      </c>
      <c r="CG505" s="800" t="s">
        <v>1942</v>
      </c>
      <c r="CH505" s="800" t="s">
        <v>1942</v>
      </c>
      <c r="CI505" s="800" t="s">
        <v>1942</v>
      </c>
      <c r="CJ505" s="805" t="s">
        <v>1942</v>
      </c>
      <c r="CK505" s="808" t="s">
        <v>1942</v>
      </c>
      <c r="CL505" s="800" t="s">
        <v>1942</v>
      </c>
      <c r="CM505" s="800" t="s">
        <v>1942</v>
      </c>
      <c r="CN505" s="800" t="s">
        <v>1942</v>
      </c>
      <c r="CO505" s="805" t="s">
        <v>1942</v>
      </c>
      <c r="CP505" s="808" t="s">
        <v>1942</v>
      </c>
      <c r="CQ505" s="800" t="s">
        <v>1942</v>
      </c>
      <c r="CR505" s="800" t="s">
        <v>1942</v>
      </c>
      <c r="CS505" s="800" t="s">
        <v>1942</v>
      </c>
      <c r="CT505" s="805" t="s">
        <v>1942</v>
      </c>
      <c r="CU505" s="1284">
        <v>-3.2025000000000001</v>
      </c>
      <c r="CV505" s="1283" t="s">
        <v>1942</v>
      </c>
      <c r="CW505" s="1283" t="s">
        <v>1942</v>
      </c>
      <c r="CX505" s="1285" t="s">
        <v>1942</v>
      </c>
      <c r="CY505" s="1283">
        <v>3.2025000000000001</v>
      </c>
      <c r="CZ505" s="1283" t="s">
        <v>1942</v>
      </c>
      <c r="DA505" s="1283" t="s">
        <v>1942</v>
      </c>
      <c r="DB505" s="1285" t="s">
        <v>1942</v>
      </c>
      <c r="DC505" s="785" t="s">
        <v>131</v>
      </c>
      <c r="DD505" s="813">
        <v>1</v>
      </c>
      <c r="DE505" s="814" t="s">
        <v>1942</v>
      </c>
    </row>
    <row r="506" spans="1:109" ht="15.75" hidden="1" customHeight="1">
      <c r="A506" s="772" t="s">
        <v>1050</v>
      </c>
      <c r="B506" s="773">
        <v>500</v>
      </c>
      <c r="C506" s="789" t="s">
        <v>4052</v>
      </c>
      <c r="D506" s="773" t="s">
        <v>4012</v>
      </c>
      <c r="E506" s="773" t="s">
        <v>1896</v>
      </c>
      <c r="F506" s="785" t="s">
        <v>4053</v>
      </c>
      <c r="G506" s="790" t="s">
        <v>4054</v>
      </c>
      <c r="H506" s="791" t="s">
        <v>4055</v>
      </c>
      <c r="I506" s="792"/>
      <c r="J506" s="793">
        <v>1</v>
      </c>
      <c r="K506" s="793"/>
      <c r="L506" s="793"/>
      <c r="M506" s="793"/>
      <c r="N506" s="793"/>
      <c r="O506" s="793"/>
      <c r="P506" s="794"/>
      <c r="Q506" s="795">
        <f t="shared" si="7"/>
        <v>1</v>
      </c>
      <c r="R506" s="789" t="s">
        <v>1030</v>
      </c>
      <c r="S506" s="773" t="s">
        <v>1008</v>
      </c>
      <c r="T506" s="796" t="s">
        <v>1009</v>
      </c>
      <c r="U506" s="773" t="s">
        <v>2515</v>
      </c>
      <c r="V506" s="773" t="s">
        <v>278</v>
      </c>
      <c r="W506" s="773" t="s">
        <v>4056</v>
      </c>
      <c r="X506" s="1274">
        <v>0</v>
      </c>
      <c r="Y506" s="819" t="s">
        <v>1010</v>
      </c>
      <c r="Z506" s="790"/>
      <c r="AA506" s="785"/>
      <c r="AB506" s="785"/>
      <c r="AC506" s="785"/>
      <c r="AD506" s="785"/>
      <c r="AE506" s="785"/>
      <c r="AF506" s="799"/>
      <c r="AG506" s="800"/>
      <c r="AH506" s="800"/>
      <c r="AI506" s="800"/>
      <c r="AJ506" s="800"/>
      <c r="AK506" s="800"/>
      <c r="AL506" s="800"/>
      <c r="AM506" s="800"/>
      <c r="AN506" s="800"/>
      <c r="AO506" s="800"/>
      <c r="AP506" s="800"/>
      <c r="AQ506" s="808">
        <v>99</v>
      </c>
      <c r="AR506" s="800">
        <v>100</v>
      </c>
      <c r="AS506" s="800">
        <v>100</v>
      </c>
      <c r="AT506" s="800">
        <v>100</v>
      </c>
      <c r="AU506" s="805">
        <v>100</v>
      </c>
      <c r="AV506" s="808"/>
      <c r="AW506" s="800"/>
      <c r="AX506" s="800"/>
      <c r="AY506" s="800"/>
      <c r="AZ506" s="800"/>
      <c r="BA506" s="800"/>
      <c r="BB506" s="800"/>
      <c r="BC506" s="800"/>
      <c r="BD506" s="800"/>
      <c r="BE506" s="800"/>
      <c r="BF506" s="800"/>
      <c r="BG506" s="800"/>
      <c r="BH506" s="800"/>
      <c r="BI506" s="800"/>
      <c r="BJ506" s="800"/>
      <c r="BK506" s="805"/>
      <c r="BL506" s="789" t="s">
        <v>168</v>
      </c>
      <c r="BM506" s="785" t="s">
        <v>168</v>
      </c>
      <c r="BN506" s="785" t="s">
        <v>168</v>
      </c>
      <c r="BO506" s="785" t="s">
        <v>168</v>
      </c>
      <c r="BP506" s="796" t="s">
        <v>168</v>
      </c>
      <c r="BQ506" s="808" t="s">
        <v>1942</v>
      </c>
      <c r="BR506" s="800" t="s">
        <v>1942</v>
      </c>
      <c r="BS506" s="800" t="s">
        <v>1942</v>
      </c>
      <c r="BT506" s="800" t="s">
        <v>1942</v>
      </c>
      <c r="BU506" s="805" t="s">
        <v>1942</v>
      </c>
      <c r="BV506" s="808">
        <v>99</v>
      </c>
      <c r="BW506" s="800">
        <v>100</v>
      </c>
      <c r="BX506" s="800">
        <v>100</v>
      </c>
      <c r="BY506" s="800">
        <v>100</v>
      </c>
      <c r="BZ506" s="800">
        <v>100</v>
      </c>
      <c r="CA506" s="808" t="s">
        <v>1942</v>
      </c>
      <c r="CB506" s="800" t="s">
        <v>1942</v>
      </c>
      <c r="CC506" s="800" t="s">
        <v>1942</v>
      </c>
      <c r="CD506" s="800" t="s">
        <v>1942</v>
      </c>
      <c r="CE506" s="805" t="s">
        <v>1942</v>
      </c>
      <c r="CF506" s="800" t="s">
        <v>1942</v>
      </c>
      <c r="CG506" s="800" t="s">
        <v>1942</v>
      </c>
      <c r="CH506" s="800" t="s">
        <v>1942</v>
      </c>
      <c r="CI506" s="800" t="s">
        <v>1942</v>
      </c>
      <c r="CJ506" s="805" t="s">
        <v>1942</v>
      </c>
      <c r="CK506" s="808">
        <v>100</v>
      </c>
      <c r="CL506" s="800">
        <v>100</v>
      </c>
      <c r="CM506" s="800">
        <v>100</v>
      </c>
      <c r="CN506" s="800">
        <v>100</v>
      </c>
      <c r="CO506" s="805">
        <v>100</v>
      </c>
      <c r="CP506" s="808" t="s">
        <v>1942</v>
      </c>
      <c r="CQ506" s="800" t="s">
        <v>1942</v>
      </c>
      <c r="CR506" s="800" t="s">
        <v>1942</v>
      </c>
      <c r="CS506" s="800" t="s">
        <v>1942</v>
      </c>
      <c r="CT506" s="805" t="s">
        <v>1942</v>
      </c>
      <c r="CU506" s="1366">
        <v>-2.34</v>
      </c>
      <c r="CV506" s="1283" t="s">
        <v>1942</v>
      </c>
      <c r="CW506" s="1283" t="s">
        <v>1942</v>
      </c>
      <c r="CX506" s="1285" t="s">
        <v>1942</v>
      </c>
      <c r="CY506" s="1367">
        <v>1.17</v>
      </c>
      <c r="CZ506" s="1283" t="s">
        <v>1942</v>
      </c>
      <c r="DA506" s="1283" t="s">
        <v>1942</v>
      </c>
      <c r="DB506" s="1285" t="s">
        <v>1942</v>
      </c>
      <c r="DC506" s="785"/>
      <c r="DD506" s="813">
        <v>1</v>
      </c>
      <c r="DE506" s="814"/>
    </row>
    <row r="507" spans="1:109" ht="15.75" hidden="1" customHeight="1">
      <c r="A507" s="772" t="s">
        <v>1050</v>
      </c>
      <c r="B507" s="773">
        <v>501</v>
      </c>
      <c r="C507" s="789" t="s">
        <v>4057</v>
      </c>
      <c r="D507" s="773" t="s">
        <v>4058</v>
      </c>
      <c r="E507" s="773" t="s">
        <v>1889</v>
      </c>
      <c r="F507" s="785" t="s">
        <v>4059</v>
      </c>
      <c r="G507" s="790" t="s">
        <v>736</v>
      </c>
      <c r="H507" s="791" t="s">
        <v>3988</v>
      </c>
      <c r="I507" s="792"/>
      <c r="J507" s="793"/>
      <c r="K507" s="793">
        <v>1</v>
      </c>
      <c r="L507" s="793"/>
      <c r="M507" s="793"/>
      <c r="N507" s="793"/>
      <c r="O507" s="793"/>
      <c r="P507" s="794"/>
      <c r="Q507" s="795">
        <f t="shared" si="7"/>
        <v>1</v>
      </c>
      <c r="R507" s="789" t="s">
        <v>1030</v>
      </c>
      <c r="S507" s="773" t="s">
        <v>1008</v>
      </c>
      <c r="T507" s="796" t="s">
        <v>1009</v>
      </c>
      <c r="U507" s="773" t="s">
        <v>736</v>
      </c>
      <c r="V507" s="773" t="s">
        <v>1033</v>
      </c>
      <c r="W507" s="773" t="s">
        <v>4060</v>
      </c>
      <c r="X507" s="1274">
        <v>2</v>
      </c>
      <c r="Y507" s="826" t="s">
        <v>1020</v>
      </c>
      <c r="Z507" s="790" t="s">
        <v>736</v>
      </c>
      <c r="AA507" s="785"/>
      <c r="AB507" s="785"/>
      <c r="AC507" s="785"/>
      <c r="AD507" s="785"/>
      <c r="AE507" s="785"/>
      <c r="AF507" s="799"/>
      <c r="AG507" s="800"/>
      <c r="AH507" s="800"/>
      <c r="AI507" s="800"/>
      <c r="AJ507" s="800"/>
      <c r="AK507" s="800"/>
      <c r="AL507" s="800"/>
      <c r="AM507" s="800"/>
      <c r="AN507" s="800"/>
      <c r="AO507" s="800"/>
      <c r="AP507" s="800"/>
      <c r="AQ507" s="1421"/>
      <c r="AR507" s="1373"/>
      <c r="AS507" s="1373"/>
      <c r="AT507" s="1373"/>
      <c r="AU507" s="1374"/>
      <c r="AV507" s="808"/>
      <c r="AW507" s="800"/>
      <c r="AX507" s="800"/>
      <c r="AY507" s="800"/>
      <c r="AZ507" s="800"/>
      <c r="BA507" s="800"/>
      <c r="BB507" s="800"/>
      <c r="BC507" s="800"/>
      <c r="BD507" s="800"/>
      <c r="BE507" s="800"/>
      <c r="BF507" s="800"/>
      <c r="BG507" s="800"/>
      <c r="BH507" s="800"/>
      <c r="BI507" s="800"/>
      <c r="BJ507" s="800"/>
      <c r="BK507" s="805"/>
      <c r="BL507" s="1737"/>
      <c r="BM507" s="1738"/>
      <c r="BN507" s="1738"/>
      <c r="BO507" s="1738"/>
      <c r="BP507" s="1739"/>
      <c r="BQ507" s="1421"/>
      <c r="BR507" s="1373"/>
      <c r="BS507" s="1373"/>
      <c r="BT507" s="1373"/>
      <c r="BU507" s="1374"/>
      <c r="BV507" s="1421"/>
      <c r="BW507" s="1373"/>
      <c r="BX507" s="1373"/>
      <c r="BY507" s="1373"/>
      <c r="BZ507" s="1373"/>
      <c r="CA507" s="1420"/>
      <c r="CB507" s="1368"/>
      <c r="CC507" s="1368"/>
      <c r="CD507" s="1368"/>
      <c r="CE507" s="1369"/>
      <c r="CF507" s="1368"/>
      <c r="CG507" s="1368"/>
      <c r="CH507" s="1368"/>
      <c r="CI507" s="1368"/>
      <c r="CJ507" s="1369"/>
      <c r="CK507" s="1421"/>
      <c r="CL507" s="1373"/>
      <c r="CM507" s="1373"/>
      <c r="CN507" s="1373"/>
      <c r="CO507" s="1374"/>
      <c r="CP507" s="1421"/>
      <c r="CQ507" s="1373"/>
      <c r="CR507" s="1373"/>
      <c r="CS507" s="1373"/>
      <c r="CT507" s="1374"/>
      <c r="CU507" s="1528"/>
      <c r="CV507" s="1519"/>
      <c r="CW507" s="1519"/>
      <c r="CX507" s="1728"/>
      <c r="CY507" s="1519"/>
      <c r="CZ507" s="1519"/>
      <c r="DA507" s="1519"/>
      <c r="DB507" s="1728"/>
      <c r="DC507" s="1377"/>
      <c r="DD507" s="1729"/>
      <c r="DE507" s="1734"/>
    </row>
    <row r="508" spans="1:109" ht="15.75" hidden="1" customHeight="1">
      <c r="A508" s="772" t="s">
        <v>1050</v>
      </c>
      <c r="B508" s="773">
        <v>502</v>
      </c>
      <c r="C508" s="789" t="s">
        <v>4061</v>
      </c>
      <c r="D508" s="773" t="s">
        <v>4058</v>
      </c>
      <c r="E508" s="773" t="s">
        <v>1889</v>
      </c>
      <c r="F508" s="785" t="s">
        <v>4062</v>
      </c>
      <c r="G508" s="790" t="s">
        <v>1058</v>
      </c>
      <c r="H508" s="791" t="s">
        <v>3988</v>
      </c>
      <c r="I508" s="792"/>
      <c r="J508" s="793">
        <v>0.06</v>
      </c>
      <c r="K508" s="793">
        <v>0.94</v>
      </c>
      <c r="L508" s="793"/>
      <c r="M508" s="793"/>
      <c r="N508" s="793"/>
      <c r="O508" s="793"/>
      <c r="P508" s="794"/>
      <c r="Q508" s="795">
        <f t="shared" si="7"/>
        <v>1</v>
      </c>
      <c r="R508" s="789" t="s">
        <v>1026</v>
      </c>
      <c r="S508" s="773" t="s">
        <v>1008</v>
      </c>
      <c r="T508" s="796" t="s">
        <v>1009</v>
      </c>
      <c r="U508" s="773" t="s">
        <v>2085</v>
      </c>
      <c r="V508" s="773" t="s">
        <v>278</v>
      </c>
      <c r="W508" s="773" t="s">
        <v>4063</v>
      </c>
      <c r="X508" s="1274">
        <v>2</v>
      </c>
      <c r="Y508" s="821" t="s">
        <v>1010</v>
      </c>
      <c r="Z508" s="790" t="s">
        <v>1058</v>
      </c>
      <c r="AA508" s="785"/>
      <c r="AB508" s="785"/>
      <c r="AC508" s="785"/>
      <c r="AD508" s="785"/>
      <c r="AE508" s="785"/>
      <c r="AF508" s="799"/>
      <c r="AG508" s="800"/>
      <c r="AH508" s="800"/>
      <c r="AI508" s="800"/>
      <c r="AJ508" s="800"/>
      <c r="AK508" s="800"/>
      <c r="AL508" s="800"/>
      <c r="AM508" s="800"/>
      <c r="AN508" s="800"/>
      <c r="AO508" s="800"/>
      <c r="AP508" s="800"/>
      <c r="AQ508" s="1420"/>
      <c r="AR508" s="1368"/>
      <c r="AS508" s="1368"/>
      <c r="AT508" s="1368"/>
      <c r="AU508" s="1369"/>
      <c r="AV508" s="808"/>
      <c r="AW508" s="800"/>
      <c r="AX508" s="800"/>
      <c r="AY508" s="800"/>
      <c r="AZ508" s="800"/>
      <c r="BA508" s="800"/>
      <c r="BB508" s="800"/>
      <c r="BC508" s="800"/>
      <c r="BD508" s="800"/>
      <c r="BE508" s="800"/>
      <c r="BF508" s="800"/>
      <c r="BG508" s="800"/>
      <c r="BH508" s="800"/>
      <c r="BI508" s="800"/>
      <c r="BJ508" s="800"/>
      <c r="BK508" s="805"/>
      <c r="BL508" s="1376"/>
      <c r="BM508" s="1377"/>
      <c r="BN508" s="1377"/>
      <c r="BO508" s="1377"/>
      <c r="BP508" s="1440"/>
      <c r="BQ508" s="1420"/>
      <c r="BR508" s="1368"/>
      <c r="BS508" s="1368"/>
      <c r="BT508" s="1368"/>
      <c r="BU508" s="1369"/>
      <c r="BV508" s="1420"/>
      <c r="BW508" s="1368"/>
      <c r="BX508" s="1368"/>
      <c r="BY508" s="1368"/>
      <c r="BZ508" s="1368"/>
      <c r="CA508" s="1420"/>
      <c r="CB508" s="1368"/>
      <c r="CC508" s="1368"/>
      <c r="CD508" s="1368"/>
      <c r="CE508" s="1369"/>
      <c r="CF508" s="1368"/>
      <c r="CG508" s="1368"/>
      <c r="CH508" s="1368"/>
      <c r="CI508" s="1368"/>
      <c r="CJ508" s="1369"/>
      <c r="CK508" s="1420"/>
      <c r="CL508" s="1368"/>
      <c r="CM508" s="1368"/>
      <c r="CN508" s="1368"/>
      <c r="CO508" s="1369"/>
      <c r="CP508" s="1420"/>
      <c r="CQ508" s="1368"/>
      <c r="CR508" s="1368"/>
      <c r="CS508" s="1368"/>
      <c r="CT508" s="1369"/>
      <c r="CU508" s="1528"/>
      <c r="CV508" s="1519"/>
      <c r="CW508" s="1519"/>
      <c r="CX508" s="1728"/>
      <c r="CY508" s="1519"/>
      <c r="CZ508" s="1519"/>
      <c r="DA508" s="1519"/>
      <c r="DB508" s="1728"/>
      <c r="DC508" s="1377"/>
      <c r="DD508" s="1729"/>
      <c r="DE508" s="1734"/>
    </row>
    <row r="509" spans="1:109" ht="15.75" hidden="1" customHeight="1">
      <c r="A509" s="772" t="s">
        <v>1050</v>
      </c>
      <c r="B509" s="773">
        <v>503</v>
      </c>
      <c r="C509" s="928" t="s">
        <v>4064</v>
      </c>
      <c r="D509" s="773" t="s">
        <v>4058</v>
      </c>
      <c r="E509" s="773" t="s">
        <v>1889</v>
      </c>
      <c r="F509" s="785" t="s">
        <v>4065</v>
      </c>
      <c r="G509" s="790" t="s">
        <v>2891</v>
      </c>
      <c r="H509" s="791" t="s">
        <v>4066</v>
      </c>
      <c r="I509" s="792">
        <v>1</v>
      </c>
      <c r="J509" s="793"/>
      <c r="K509" s="793"/>
      <c r="L509" s="793"/>
      <c r="M509" s="793"/>
      <c r="N509" s="793"/>
      <c r="O509" s="793"/>
      <c r="P509" s="794"/>
      <c r="Q509" s="795">
        <f t="shared" si="7"/>
        <v>1</v>
      </c>
      <c r="R509" s="789" t="s">
        <v>1030</v>
      </c>
      <c r="S509" s="773" t="s">
        <v>1008</v>
      </c>
      <c r="T509" s="796" t="s">
        <v>1009</v>
      </c>
      <c r="U509" s="773" t="s">
        <v>1979</v>
      </c>
      <c r="V509" s="856" t="s">
        <v>1980</v>
      </c>
      <c r="W509" s="773" t="s">
        <v>2312</v>
      </c>
      <c r="X509" s="829">
        <v>1</v>
      </c>
      <c r="Y509" s="821" t="s">
        <v>1020</v>
      </c>
      <c r="Z509" s="790" t="s">
        <v>1942</v>
      </c>
      <c r="AA509" s="785"/>
      <c r="AB509" s="785"/>
      <c r="AC509" s="785"/>
      <c r="AD509" s="785"/>
      <c r="AE509" s="785"/>
      <c r="AF509" s="799"/>
      <c r="AG509" s="800"/>
      <c r="AH509" s="800"/>
      <c r="AI509" s="800"/>
      <c r="AJ509" s="800"/>
      <c r="AK509" s="800"/>
      <c r="AL509" s="800"/>
      <c r="AM509" s="800"/>
      <c r="AN509" s="800"/>
      <c r="AO509" s="800"/>
      <c r="AP509" s="800"/>
      <c r="AQ509" s="808">
        <v>0</v>
      </c>
      <c r="AR509" s="800">
        <v>0</v>
      </c>
      <c r="AS509" s="800">
        <v>0</v>
      </c>
      <c r="AT509" s="800">
        <v>0</v>
      </c>
      <c r="AU509" s="805">
        <v>0</v>
      </c>
      <c r="AV509" s="808"/>
      <c r="AW509" s="800"/>
      <c r="AX509" s="800"/>
      <c r="AY509" s="800"/>
      <c r="AZ509" s="800"/>
      <c r="BA509" s="800"/>
      <c r="BB509" s="800"/>
      <c r="BC509" s="800"/>
      <c r="BD509" s="800"/>
      <c r="BE509" s="800"/>
      <c r="BF509" s="800"/>
      <c r="BG509" s="800"/>
      <c r="BH509" s="800"/>
      <c r="BI509" s="800"/>
      <c r="BJ509" s="800"/>
      <c r="BK509" s="805"/>
      <c r="BL509" s="789" t="s">
        <v>168</v>
      </c>
      <c r="BM509" s="785" t="s">
        <v>168</v>
      </c>
      <c r="BN509" s="785" t="s">
        <v>168</v>
      </c>
      <c r="BO509" s="785" t="s">
        <v>168</v>
      </c>
      <c r="BP509" s="796" t="s">
        <v>168</v>
      </c>
      <c r="BQ509" s="808" t="s">
        <v>1942</v>
      </c>
      <c r="BR509" s="800" t="s">
        <v>1942</v>
      </c>
      <c r="BS509" s="800" t="s">
        <v>1942</v>
      </c>
      <c r="BT509" s="800" t="s">
        <v>1942</v>
      </c>
      <c r="BU509" s="805" t="s">
        <v>1942</v>
      </c>
      <c r="BV509" s="808" t="s">
        <v>1942</v>
      </c>
      <c r="BW509" s="800" t="s">
        <v>1942</v>
      </c>
      <c r="BX509" s="800" t="s">
        <v>1942</v>
      </c>
      <c r="BY509" s="800" t="s">
        <v>1942</v>
      </c>
      <c r="BZ509" s="800" t="s">
        <v>1942</v>
      </c>
      <c r="CA509" s="808" t="s">
        <v>1942</v>
      </c>
      <c r="CB509" s="800" t="s">
        <v>1942</v>
      </c>
      <c r="CC509" s="800" t="s">
        <v>1942</v>
      </c>
      <c r="CD509" s="800" t="s">
        <v>1942</v>
      </c>
      <c r="CE509" s="805" t="s">
        <v>1942</v>
      </c>
      <c r="CF509" s="800" t="s">
        <v>1942</v>
      </c>
      <c r="CG509" s="800" t="s">
        <v>1942</v>
      </c>
      <c r="CH509" s="800" t="s">
        <v>1942</v>
      </c>
      <c r="CI509" s="800" t="s">
        <v>1942</v>
      </c>
      <c r="CJ509" s="805" t="s">
        <v>1942</v>
      </c>
      <c r="CK509" s="808" t="s">
        <v>1942</v>
      </c>
      <c r="CL509" s="800" t="s">
        <v>1942</v>
      </c>
      <c r="CM509" s="800" t="s">
        <v>1942</v>
      </c>
      <c r="CN509" s="800" t="s">
        <v>1942</v>
      </c>
      <c r="CO509" s="805" t="s">
        <v>1942</v>
      </c>
      <c r="CP509" s="808" t="s">
        <v>1942</v>
      </c>
      <c r="CQ509" s="800" t="s">
        <v>1942</v>
      </c>
      <c r="CR509" s="800" t="s">
        <v>1942</v>
      </c>
      <c r="CS509" s="800" t="s">
        <v>1942</v>
      </c>
      <c r="CT509" s="805" t="s">
        <v>1942</v>
      </c>
      <c r="CU509" s="1284" t="s">
        <v>4067</v>
      </c>
      <c r="CV509" s="1283" t="s">
        <v>1942</v>
      </c>
      <c r="CW509" s="1283" t="s">
        <v>1942</v>
      </c>
      <c r="CX509" s="1285" t="s">
        <v>1942</v>
      </c>
      <c r="CY509" s="1283" t="s">
        <v>4067</v>
      </c>
      <c r="CZ509" s="1283" t="s">
        <v>1942</v>
      </c>
      <c r="DA509" s="1283" t="s">
        <v>1942</v>
      </c>
      <c r="DB509" s="1285" t="s">
        <v>1942</v>
      </c>
      <c r="DC509" s="785" t="s">
        <v>131</v>
      </c>
      <c r="DD509" s="813">
        <v>1</v>
      </c>
      <c r="DE509" s="814" t="s">
        <v>1942</v>
      </c>
    </row>
    <row r="510" spans="1:109" ht="15.75" hidden="1" customHeight="1">
      <c r="A510" s="772" t="s">
        <v>1050</v>
      </c>
      <c r="B510" s="773">
        <v>504</v>
      </c>
      <c r="C510" s="789" t="s">
        <v>4068</v>
      </c>
      <c r="D510" s="773" t="s">
        <v>4058</v>
      </c>
      <c r="E510" s="773" t="s">
        <v>1889</v>
      </c>
      <c r="F510" s="785" t="s">
        <v>4069</v>
      </c>
      <c r="G510" s="790" t="s">
        <v>4070</v>
      </c>
      <c r="H510" s="791" t="s">
        <v>4071</v>
      </c>
      <c r="I510" s="792">
        <v>1</v>
      </c>
      <c r="J510" s="793"/>
      <c r="K510" s="793"/>
      <c r="L510" s="793"/>
      <c r="M510" s="793"/>
      <c r="N510" s="793"/>
      <c r="O510" s="793"/>
      <c r="P510" s="794"/>
      <c r="Q510" s="795">
        <f t="shared" si="7"/>
        <v>1</v>
      </c>
      <c r="R510" s="789" t="s">
        <v>1026</v>
      </c>
      <c r="S510" s="773" t="s">
        <v>1008</v>
      </c>
      <c r="T510" s="796" t="s">
        <v>1009</v>
      </c>
      <c r="U510" s="773" t="s">
        <v>2106</v>
      </c>
      <c r="V510" s="773" t="s">
        <v>1033</v>
      </c>
      <c r="W510" s="773" t="s">
        <v>4072</v>
      </c>
      <c r="X510" s="829">
        <v>0</v>
      </c>
      <c r="Y510" s="821" t="s">
        <v>1010</v>
      </c>
      <c r="Z510" s="790" t="s">
        <v>1942</v>
      </c>
      <c r="AA510" s="785"/>
      <c r="AB510" s="785"/>
      <c r="AC510" s="785"/>
      <c r="AD510" s="785"/>
      <c r="AE510" s="785"/>
      <c r="AF510" s="799"/>
      <c r="AG510" s="800"/>
      <c r="AH510" s="800"/>
      <c r="AI510" s="800"/>
      <c r="AJ510" s="800"/>
      <c r="AK510" s="800"/>
      <c r="AL510" s="800"/>
      <c r="AM510" s="800"/>
      <c r="AN510" s="800"/>
      <c r="AO510" s="800"/>
      <c r="AP510" s="800"/>
      <c r="AQ510" s="808">
        <v>0</v>
      </c>
      <c r="AR510" s="800">
        <v>0</v>
      </c>
      <c r="AS510" s="800">
        <v>0</v>
      </c>
      <c r="AT510" s="800">
        <v>0</v>
      </c>
      <c r="AU510" s="805">
        <v>0</v>
      </c>
      <c r="AV510" s="808"/>
      <c r="AW510" s="800"/>
      <c r="AX510" s="800"/>
      <c r="AY510" s="800"/>
      <c r="AZ510" s="800"/>
      <c r="BA510" s="800"/>
      <c r="BB510" s="800"/>
      <c r="BC510" s="800"/>
      <c r="BD510" s="800"/>
      <c r="BE510" s="800"/>
      <c r="BF510" s="800"/>
      <c r="BG510" s="800"/>
      <c r="BH510" s="800"/>
      <c r="BI510" s="800"/>
      <c r="BJ510" s="800"/>
      <c r="BK510" s="805"/>
      <c r="BL510" s="1955" t="s">
        <v>168</v>
      </c>
      <c r="BM510" s="1956" t="s">
        <v>168</v>
      </c>
      <c r="BN510" s="1956" t="s">
        <v>168</v>
      </c>
      <c r="BO510" s="1956" t="s">
        <v>168</v>
      </c>
      <c r="BP510" s="796" t="s">
        <v>168</v>
      </c>
      <c r="BQ510" s="808" t="s">
        <v>1942</v>
      </c>
      <c r="BR510" s="800" t="s">
        <v>1942</v>
      </c>
      <c r="BS510" s="800" t="s">
        <v>1942</v>
      </c>
      <c r="BT510" s="800" t="s">
        <v>1942</v>
      </c>
      <c r="BU510" s="805" t="s">
        <v>1942</v>
      </c>
      <c r="BV510" s="808" t="s">
        <v>1942</v>
      </c>
      <c r="BW510" s="800" t="s">
        <v>1942</v>
      </c>
      <c r="BX510" s="800" t="s">
        <v>1942</v>
      </c>
      <c r="BY510" s="800" t="s">
        <v>1942</v>
      </c>
      <c r="BZ510" s="800" t="s">
        <v>1942</v>
      </c>
      <c r="CA510" s="808" t="s">
        <v>1942</v>
      </c>
      <c r="CB510" s="800" t="s">
        <v>1942</v>
      </c>
      <c r="CC510" s="800" t="s">
        <v>1942</v>
      </c>
      <c r="CD510" s="800" t="s">
        <v>1942</v>
      </c>
      <c r="CE510" s="805" t="s">
        <v>1942</v>
      </c>
      <c r="CF510" s="800" t="s">
        <v>1942</v>
      </c>
      <c r="CG510" s="800" t="s">
        <v>1942</v>
      </c>
      <c r="CH510" s="800" t="s">
        <v>1942</v>
      </c>
      <c r="CI510" s="800" t="s">
        <v>1942</v>
      </c>
      <c r="CJ510" s="805" t="s">
        <v>1942</v>
      </c>
      <c r="CK510" s="808" t="s">
        <v>1942</v>
      </c>
      <c r="CL510" s="800" t="s">
        <v>1942</v>
      </c>
      <c r="CM510" s="800" t="s">
        <v>1942</v>
      </c>
      <c r="CN510" s="800" t="s">
        <v>1942</v>
      </c>
      <c r="CO510" s="805" t="s">
        <v>1942</v>
      </c>
      <c r="CP510" s="808" t="s">
        <v>1942</v>
      </c>
      <c r="CQ510" s="800" t="s">
        <v>1942</v>
      </c>
      <c r="CR510" s="800" t="s">
        <v>1942</v>
      </c>
      <c r="CS510" s="800" t="s">
        <v>1942</v>
      </c>
      <c r="CT510" s="805" t="s">
        <v>1942</v>
      </c>
      <c r="CU510" s="1284">
        <v>-0.01</v>
      </c>
      <c r="CV510" s="1283" t="s">
        <v>1942</v>
      </c>
      <c r="CW510" s="1283" t="s">
        <v>1942</v>
      </c>
      <c r="CX510" s="1285" t="s">
        <v>1942</v>
      </c>
      <c r="CY510" s="1283" t="s">
        <v>1942</v>
      </c>
      <c r="CZ510" s="1283" t="s">
        <v>1942</v>
      </c>
      <c r="DA510" s="1283" t="s">
        <v>1942</v>
      </c>
      <c r="DB510" s="1285" t="s">
        <v>1942</v>
      </c>
      <c r="DC510" s="785" t="s">
        <v>131</v>
      </c>
      <c r="DD510" s="813">
        <v>1</v>
      </c>
      <c r="DE510" s="814" t="s">
        <v>1942</v>
      </c>
    </row>
    <row r="511" spans="1:109" ht="15.75" hidden="1" customHeight="1">
      <c r="A511" s="772" t="s">
        <v>1050</v>
      </c>
      <c r="B511" s="773">
        <v>505</v>
      </c>
      <c r="C511" s="789" t="s">
        <v>4073</v>
      </c>
      <c r="D511" s="773" t="s">
        <v>4058</v>
      </c>
      <c r="E511" s="773" t="s">
        <v>1889</v>
      </c>
      <c r="F511" s="785" t="s">
        <v>4074</v>
      </c>
      <c r="G511" s="790" t="s">
        <v>4075</v>
      </c>
      <c r="H511" s="791" t="s">
        <v>4071</v>
      </c>
      <c r="I511" s="792"/>
      <c r="J511" s="793"/>
      <c r="K511" s="793">
        <v>1</v>
      </c>
      <c r="L511" s="793"/>
      <c r="M511" s="793"/>
      <c r="N511" s="793"/>
      <c r="O511" s="793"/>
      <c r="P511" s="794"/>
      <c r="Q511" s="795">
        <f t="shared" si="7"/>
        <v>1</v>
      </c>
      <c r="R511" s="789" t="s">
        <v>1026</v>
      </c>
      <c r="S511" s="773" t="s">
        <v>1008</v>
      </c>
      <c r="T511" s="796" t="s">
        <v>1009</v>
      </c>
      <c r="U511" s="773" t="s">
        <v>2106</v>
      </c>
      <c r="V511" s="773" t="s">
        <v>1033</v>
      </c>
      <c r="W511" s="773" t="s">
        <v>4076</v>
      </c>
      <c r="X511" s="829">
        <v>0</v>
      </c>
      <c r="Y511" s="821" t="s">
        <v>1010</v>
      </c>
      <c r="Z511" s="790" t="s">
        <v>1942</v>
      </c>
      <c r="AA511" s="785"/>
      <c r="AB511" s="785"/>
      <c r="AC511" s="785"/>
      <c r="AD511" s="785"/>
      <c r="AE511" s="785"/>
      <c r="AF511" s="799"/>
      <c r="AG511" s="800"/>
      <c r="AH511" s="800"/>
      <c r="AI511" s="800"/>
      <c r="AJ511" s="800"/>
      <c r="AK511" s="800"/>
      <c r="AL511" s="800"/>
      <c r="AM511" s="800"/>
      <c r="AN511" s="800"/>
      <c r="AO511" s="800"/>
      <c r="AP511" s="800"/>
      <c r="AQ511" s="808">
        <v>0</v>
      </c>
      <c r="AR511" s="800">
        <v>0</v>
      </c>
      <c r="AS511" s="800">
        <v>0</v>
      </c>
      <c r="AT511" s="800">
        <v>0</v>
      </c>
      <c r="AU511" s="805">
        <v>0</v>
      </c>
      <c r="AV511" s="808"/>
      <c r="AW511" s="800"/>
      <c r="AX511" s="800"/>
      <c r="AY511" s="800"/>
      <c r="AZ511" s="800"/>
      <c r="BA511" s="800"/>
      <c r="BB511" s="800"/>
      <c r="BC511" s="800"/>
      <c r="BD511" s="800"/>
      <c r="BE511" s="800"/>
      <c r="BF511" s="800"/>
      <c r="BG511" s="800"/>
      <c r="BH511" s="800"/>
      <c r="BI511" s="800"/>
      <c r="BJ511" s="800"/>
      <c r="BK511" s="805"/>
      <c r="BL511" s="1955" t="s">
        <v>168</v>
      </c>
      <c r="BM511" s="1956" t="s">
        <v>168</v>
      </c>
      <c r="BN511" s="1956" t="s">
        <v>168</v>
      </c>
      <c r="BO511" s="1956" t="s">
        <v>168</v>
      </c>
      <c r="BP511" s="796" t="s">
        <v>168</v>
      </c>
      <c r="BQ511" s="808" t="s">
        <v>1942</v>
      </c>
      <c r="BR511" s="800" t="s">
        <v>1942</v>
      </c>
      <c r="BS511" s="800" t="s">
        <v>1942</v>
      </c>
      <c r="BT511" s="800" t="s">
        <v>1942</v>
      </c>
      <c r="BU511" s="805" t="s">
        <v>1942</v>
      </c>
      <c r="BV511" s="808" t="s">
        <v>1942</v>
      </c>
      <c r="BW511" s="800" t="s">
        <v>1942</v>
      </c>
      <c r="BX511" s="800" t="s">
        <v>1942</v>
      </c>
      <c r="BY511" s="800" t="s">
        <v>1942</v>
      </c>
      <c r="BZ511" s="800" t="s">
        <v>1942</v>
      </c>
      <c r="CA511" s="808" t="s">
        <v>1942</v>
      </c>
      <c r="CB511" s="800" t="s">
        <v>1942</v>
      </c>
      <c r="CC511" s="800" t="s">
        <v>1942</v>
      </c>
      <c r="CD511" s="800" t="s">
        <v>1942</v>
      </c>
      <c r="CE511" s="805" t="s">
        <v>1942</v>
      </c>
      <c r="CF511" s="800" t="s">
        <v>1942</v>
      </c>
      <c r="CG511" s="800" t="s">
        <v>1942</v>
      </c>
      <c r="CH511" s="800" t="s">
        <v>1942</v>
      </c>
      <c r="CI511" s="800" t="s">
        <v>1942</v>
      </c>
      <c r="CJ511" s="800" t="s">
        <v>1942</v>
      </c>
      <c r="CK511" s="808" t="s">
        <v>1942</v>
      </c>
      <c r="CL511" s="800" t="s">
        <v>1942</v>
      </c>
      <c r="CM511" s="800" t="s">
        <v>1942</v>
      </c>
      <c r="CN511" s="800" t="s">
        <v>1942</v>
      </c>
      <c r="CO511" s="805" t="s">
        <v>1942</v>
      </c>
      <c r="CP511" s="808" t="s">
        <v>1942</v>
      </c>
      <c r="CQ511" s="800" t="s">
        <v>1942</v>
      </c>
      <c r="CR511" s="800" t="s">
        <v>1942</v>
      </c>
      <c r="CS511" s="800" t="s">
        <v>1942</v>
      </c>
      <c r="CT511" s="805" t="s">
        <v>1942</v>
      </c>
      <c r="CU511" s="1284">
        <v>-1.4500000000000001E-2</v>
      </c>
      <c r="CV511" s="1283" t="s">
        <v>1942</v>
      </c>
      <c r="CW511" s="1283" t="s">
        <v>1942</v>
      </c>
      <c r="CX511" s="1285" t="s">
        <v>1942</v>
      </c>
      <c r="CY511" s="1283" t="s">
        <v>1942</v>
      </c>
      <c r="CZ511" s="1283" t="s">
        <v>1942</v>
      </c>
      <c r="DA511" s="1283" t="s">
        <v>1942</v>
      </c>
      <c r="DB511" s="1285" t="s">
        <v>1942</v>
      </c>
      <c r="DC511" s="785"/>
      <c r="DD511" s="813"/>
      <c r="DE511" s="814"/>
    </row>
    <row r="512" spans="1:109" ht="15.75" hidden="1" customHeight="1">
      <c r="A512" s="772" t="s">
        <v>1050</v>
      </c>
      <c r="B512" s="773">
        <v>506</v>
      </c>
      <c r="C512" s="789" t="s">
        <v>4077</v>
      </c>
      <c r="D512" s="773" t="s">
        <v>4058</v>
      </c>
      <c r="E512" s="773" t="s">
        <v>1889</v>
      </c>
      <c r="F512" s="785" t="s">
        <v>4078</v>
      </c>
      <c r="G512" s="790" t="s">
        <v>4079</v>
      </c>
      <c r="H512" s="791" t="s">
        <v>4080</v>
      </c>
      <c r="I512" s="792"/>
      <c r="J512" s="793"/>
      <c r="K512" s="793">
        <v>1</v>
      </c>
      <c r="L512" s="793"/>
      <c r="M512" s="793"/>
      <c r="N512" s="793"/>
      <c r="O512" s="793"/>
      <c r="P512" s="794"/>
      <c r="Q512" s="795">
        <f t="shared" si="7"/>
        <v>1</v>
      </c>
      <c r="R512" s="789" t="s">
        <v>1030</v>
      </c>
      <c r="S512" s="773" t="s">
        <v>1008</v>
      </c>
      <c r="T512" s="796" t="s">
        <v>1019</v>
      </c>
      <c r="U512" s="773" t="s">
        <v>2106</v>
      </c>
      <c r="V512" s="773" t="s">
        <v>1033</v>
      </c>
      <c r="W512" s="773" t="s">
        <v>4081</v>
      </c>
      <c r="X512" s="829">
        <v>0</v>
      </c>
      <c r="Y512" s="821" t="s">
        <v>1010</v>
      </c>
      <c r="Z512" s="790" t="s">
        <v>1942</v>
      </c>
      <c r="AA512" s="785"/>
      <c r="AB512" s="785"/>
      <c r="AC512" s="785"/>
      <c r="AD512" s="785"/>
      <c r="AE512" s="785"/>
      <c r="AF512" s="799"/>
      <c r="AG512" s="797"/>
      <c r="AH512" s="797"/>
      <c r="AI512" s="797"/>
      <c r="AJ512" s="797"/>
      <c r="AK512" s="797"/>
      <c r="AL512" s="797"/>
      <c r="AM512" s="797"/>
      <c r="AN512" s="797"/>
      <c r="AO512" s="797"/>
      <c r="AP512" s="797"/>
      <c r="AQ512" s="827">
        <v>0</v>
      </c>
      <c r="AR512" s="797">
        <v>8848</v>
      </c>
      <c r="AS512" s="797">
        <v>8848</v>
      </c>
      <c r="AT512" s="797">
        <v>8848</v>
      </c>
      <c r="AU512" s="841">
        <v>75113</v>
      </c>
      <c r="AV512" s="827"/>
      <c r="AW512" s="797"/>
      <c r="AX512" s="797"/>
      <c r="AY512" s="797"/>
      <c r="AZ512" s="797"/>
      <c r="BA512" s="797"/>
      <c r="BB512" s="797"/>
      <c r="BC512" s="797"/>
      <c r="BD512" s="797"/>
      <c r="BE512" s="797"/>
      <c r="BF512" s="797"/>
      <c r="BG512" s="797"/>
      <c r="BH512" s="797"/>
      <c r="BI512" s="797"/>
      <c r="BJ512" s="797"/>
      <c r="BK512" s="841"/>
      <c r="BL512" s="789" t="s">
        <v>168</v>
      </c>
      <c r="BM512" s="785" t="s">
        <v>168</v>
      </c>
      <c r="BN512" s="785" t="s">
        <v>168</v>
      </c>
      <c r="BO512" s="785" t="s">
        <v>168</v>
      </c>
      <c r="BP512" s="796" t="s">
        <v>168</v>
      </c>
      <c r="BQ512" s="808" t="s">
        <v>1942</v>
      </c>
      <c r="BR512" s="800" t="s">
        <v>1942</v>
      </c>
      <c r="BS512" s="800" t="s">
        <v>1942</v>
      </c>
      <c r="BT512" s="800" t="s">
        <v>1942</v>
      </c>
      <c r="BU512" s="805" t="s">
        <v>1942</v>
      </c>
      <c r="BV512" s="808" t="s">
        <v>1942</v>
      </c>
      <c r="BW512" s="800" t="s">
        <v>1942</v>
      </c>
      <c r="BX512" s="800" t="s">
        <v>1942</v>
      </c>
      <c r="BY512" s="800" t="s">
        <v>1942</v>
      </c>
      <c r="BZ512" s="800" t="s">
        <v>1942</v>
      </c>
      <c r="CA512" s="808" t="s">
        <v>1942</v>
      </c>
      <c r="CB512" s="800" t="s">
        <v>1942</v>
      </c>
      <c r="CC512" s="800" t="s">
        <v>1942</v>
      </c>
      <c r="CD512" s="800" t="s">
        <v>1942</v>
      </c>
      <c r="CE512" s="805" t="s">
        <v>1942</v>
      </c>
      <c r="CF512" s="800" t="s">
        <v>1942</v>
      </c>
      <c r="CG512" s="800" t="s">
        <v>1942</v>
      </c>
      <c r="CH512" s="800" t="s">
        <v>1942</v>
      </c>
      <c r="CI512" s="800" t="s">
        <v>1942</v>
      </c>
      <c r="CJ512" s="800" t="s">
        <v>1942</v>
      </c>
      <c r="CK512" s="808" t="s">
        <v>1942</v>
      </c>
      <c r="CL512" s="800" t="s">
        <v>1942</v>
      </c>
      <c r="CM512" s="800" t="s">
        <v>1942</v>
      </c>
      <c r="CN512" s="800" t="s">
        <v>1942</v>
      </c>
      <c r="CO512" s="805" t="s">
        <v>1942</v>
      </c>
      <c r="CP512" s="808" t="s">
        <v>1942</v>
      </c>
      <c r="CQ512" s="800" t="s">
        <v>1942</v>
      </c>
      <c r="CR512" s="800" t="s">
        <v>1942</v>
      </c>
      <c r="CS512" s="800" t="s">
        <v>1942</v>
      </c>
      <c r="CT512" s="805" t="s">
        <v>1942</v>
      </c>
      <c r="CU512" s="1284">
        <v>-1.7E-5</v>
      </c>
      <c r="CV512" s="1283" t="s">
        <v>1942</v>
      </c>
      <c r="CW512" s="1283" t="s">
        <v>1942</v>
      </c>
      <c r="CX512" s="1285" t="s">
        <v>1942</v>
      </c>
      <c r="CY512" s="1283">
        <v>1.7E-5</v>
      </c>
      <c r="CZ512" s="1283" t="s">
        <v>1942</v>
      </c>
      <c r="DA512" s="1283" t="s">
        <v>1942</v>
      </c>
      <c r="DB512" s="1285" t="s">
        <v>1942</v>
      </c>
      <c r="DC512" s="785" t="s">
        <v>1942</v>
      </c>
      <c r="DD512" s="813">
        <v>1</v>
      </c>
      <c r="DE512" s="814" t="s">
        <v>1942</v>
      </c>
    </row>
    <row r="513" spans="1:109" ht="15.75" hidden="1" customHeight="1">
      <c r="A513" s="772" t="s">
        <v>1050</v>
      </c>
      <c r="B513" s="773">
        <v>507</v>
      </c>
      <c r="C513" s="789" t="s">
        <v>4082</v>
      </c>
      <c r="D513" s="773" t="s">
        <v>4058</v>
      </c>
      <c r="E513" s="773" t="s">
        <v>1907</v>
      </c>
      <c r="F513" s="785" t="s">
        <v>4083</v>
      </c>
      <c r="G513" s="790" t="s">
        <v>4084</v>
      </c>
      <c r="H513" s="791" t="s">
        <v>4085</v>
      </c>
      <c r="I513" s="792">
        <v>0.1</v>
      </c>
      <c r="J513" s="793">
        <v>0.05</v>
      </c>
      <c r="K513" s="793">
        <v>0.8</v>
      </c>
      <c r="L513" s="793">
        <v>0.05</v>
      </c>
      <c r="M513" s="793"/>
      <c r="N513" s="793"/>
      <c r="O513" s="793"/>
      <c r="P513" s="794"/>
      <c r="Q513" s="795">
        <f t="shared" si="7"/>
        <v>1</v>
      </c>
      <c r="R513" s="789" t="s">
        <v>1030</v>
      </c>
      <c r="S513" s="773" t="s">
        <v>1008</v>
      </c>
      <c r="T513" s="796" t="s">
        <v>1009</v>
      </c>
      <c r="U513" s="773" t="s">
        <v>2106</v>
      </c>
      <c r="V513" s="773" t="s">
        <v>123</v>
      </c>
      <c r="W513" s="773" t="s">
        <v>4086</v>
      </c>
      <c r="X513" s="829">
        <v>3</v>
      </c>
      <c r="Y513" s="821" t="s">
        <v>1010</v>
      </c>
      <c r="Z513" s="790" t="s">
        <v>1942</v>
      </c>
      <c r="AA513" s="785"/>
      <c r="AB513" s="785"/>
      <c r="AC513" s="785"/>
      <c r="AD513" s="785"/>
      <c r="AE513" s="785"/>
      <c r="AF513" s="799"/>
      <c r="AG513" s="800"/>
      <c r="AH513" s="800"/>
      <c r="AI513" s="800"/>
      <c r="AJ513" s="800"/>
      <c r="AK513" s="800"/>
      <c r="AL513" s="800"/>
      <c r="AM513" s="800"/>
      <c r="AN513" s="800"/>
      <c r="AO513" s="800"/>
      <c r="AP513" s="800"/>
      <c r="AQ513" s="808">
        <v>0</v>
      </c>
      <c r="AR513" s="800">
        <v>1.75</v>
      </c>
      <c r="AS513" s="800">
        <v>0</v>
      </c>
      <c r="AT513" s="800">
        <v>0</v>
      </c>
      <c r="AU513" s="805">
        <v>2.25</v>
      </c>
      <c r="AV513" s="808"/>
      <c r="AW513" s="800"/>
      <c r="AX513" s="800"/>
      <c r="AY513" s="800"/>
      <c r="AZ513" s="800"/>
      <c r="BA513" s="800"/>
      <c r="BB513" s="800"/>
      <c r="BC513" s="800"/>
      <c r="BD513" s="800"/>
      <c r="BE513" s="800"/>
      <c r="BF513" s="800"/>
      <c r="BG513" s="800"/>
      <c r="BH513" s="800"/>
      <c r="BI513" s="800"/>
      <c r="BJ513" s="800"/>
      <c r="BK513" s="805"/>
      <c r="BL513" s="789" t="s">
        <v>168</v>
      </c>
      <c r="BM513" s="785" t="s">
        <v>168</v>
      </c>
      <c r="BN513" s="785" t="s">
        <v>168</v>
      </c>
      <c r="BO513" s="785" t="s">
        <v>168</v>
      </c>
      <c r="BP513" s="796" t="s">
        <v>168</v>
      </c>
      <c r="BQ513" s="808" t="s">
        <v>1942</v>
      </c>
      <c r="BR513" s="800" t="s">
        <v>1942</v>
      </c>
      <c r="BS513" s="800" t="s">
        <v>1942</v>
      </c>
      <c r="BT513" s="800" t="s">
        <v>1942</v>
      </c>
      <c r="BU513" s="805" t="s">
        <v>1942</v>
      </c>
      <c r="BV513" s="1421"/>
      <c r="BW513" s="1373"/>
      <c r="BX513" s="1373"/>
      <c r="BY513" s="1373"/>
      <c r="BZ513" s="1373"/>
      <c r="CA513" s="808" t="s">
        <v>1942</v>
      </c>
      <c r="CB513" s="800" t="s">
        <v>1942</v>
      </c>
      <c r="CC513" s="800" t="s">
        <v>1942</v>
      </c>
      <c r="CD513" s="800" t="s">
        <v>1942</v>
      </c>
      <c r="CE513" s="805" t="s">
        <v>1942</v>
      </c>
      <c r="CF513" s="800" t="s">
        <v>1942</v>
      </c>
      <c r="CG513" s="800" t="s">
        <v>1942</v>
      </c>
      <c r="CH513" s="800" t="s">
        <v>1942</v>
      </c>
      <c r="CI513" s="800" t="s">
        <v>1942</v>
      </c>
      <c r="CJ513" s="800" t="s">
        <v>1942</v>
      </c>
      <c r="CK513" s="2010">
        <v>9</v>
      </c>
      <c r="CL513" s="2011">
        <v>5.75</v>
      </c>
      <c r="CM513" s="2011">
        <v>4</v>
      </c>
      <c r="CN513" s="2011">
        <v>4</v>
      </c>
      <c r="CO513" s="2012">
        <v>9</v>
      </c>
      <c r="CP513" s="808" t="s">
        <v>1942</v>
      </c>
      <c r="CQ513" s="800" t="s">
        <v>1942</v>
      </c>
      <c r="CR513" s="800" t="s">
        <v>1942</v>
      </c>
      <c r="CS513" s="800" t="s">
        <v>1942</v>
      </c>
      <c r="CT513" s="805" t="s">
        <v>1942</v>
      </c>
      <c r="CU513" s="1284">
        <v>-0.5</v>
      </c>
      <c r="CV513" s="1283" t="s">
        <v>1942</v>
      </c>
      <c r="CW513" s="1283" t="s">
        <v>1942</v>
      </c>
      <c r="CX513" s="1285" t="s">
        <v>1942</v>
      </c>
      <c r="CY513" s="1283">
        <v>0.5</v>
      </c>
      <c r="CZ513" s="1283" t="s">
        <v>1942</v>
      </c>
      <c r="DA513" s="1283" t="s">
        <v>1942</v>
      </c>
      <c r="DB513" s="1285" t="s">
        <v>1942</v>
      </c>
      <c r="DC513" s="785" t="s">
        <v>131</v>
      </c>
      <c r="DD513" s="813">
        <v>1</v>
      </c>
      <c r="DE513" s="814" t="s">
        <v>1942</v>
      </c>
    </row>
    <row r="514" spans="1:109" ht="15.75" hidden="1" customHeight="1">
      <c r="A514" s="772" t="s">
        <v>1050</v>
      </c>
      <c r="B514" s="773">
        <v>508</v>
      </c>
      <c r="C514" s="789" t="s">
        <v>4087</v>
      </c>
      <c r="D514" s="773" t="s">
        <v>4058</v>
      </c>
      <c r="E514" s="773" t="s">
        <v>1889</v>
      </c>
      <c r="F514" s="785" t="s">
        <v>4088</v>
      </c>
      <c r="G514" s="790" t="s">
        <v>4089</v>
      </c>
      <c r="H514" s="791" t="s">
        <v>4090</v>
      </c>
      <c r="I514" s="792"/>
      <c r="J514" s="793"/>
      <c r="K514" s="793"/>
      <c r="L514" s="793">
        <v>1</v>
      </c>
      <c r="M514" s="793"/>
      <c r="N514" s="793"/>
      <c r="O514" s="793"/>
      <c r="P514" s="794"/>
      <c r="Q514" s="795">
        <f t="shared" si="7"/>
        <v>1</v>
      </c>
      <c r="R514" s="789" t="s">
        <v>1030</v>
      </c>
      <c r="S514" s="773" t="s">
        <v>1008</v>
      </c>
      <c r="T514" s="796" t="s">
        <v>1009</v>
      </c>
      <c r="U514" s="773" t="s">
        <v>763</v>
      </c>
      <c r="V514" s="773" t="s">
        <v>278</v>
      </c>
      <c r="W514" s="773" t="s">
        <v>4091</v>
      </c>
      <c r="X514" s="829">
        <v>2</v>
      </c>
      <c r="Y514" s="821" t="s">
        <v>1010</v>
      </c>
      <c r="Z514" s="790" t="s">
        <v>1942</v>
      </c>
      <c r="AA514" s="785"/>
      <c r="AB514" s="785"/>
      <c r="AC514" s="785"/>
      <c r="AD514" s="785"/>
      <c r="AE514" s="785"/>
      <c r="AF514" s="799"/>
      <c r="AG514" s="800"/>
      <c r="AH514" s="800"/>
      <c r="AI514" s="800"/>
      <c r="AJ514" s="800"/>
      <c r="AK514" s="800"/>
      <c r="AL514" s="800"/>
      <c r="AM514" s="800"/>
      <c r="AN514" s="800"/>
      <c r="AO514" s="800"/>
      <c r="AP514" s="800"/>
      <c r="AQ514" s="808">
        <v>100</v>
      </c>
      <c r="AR514" s="800">
        <v>100</v>
      </c>
      <c r="AS514" s="800">
        <v>100</v>
      </c>
      <c r="AT514" s="800">
        <v>100</v>
      </c>
      <c r="AU514" s="805">
        <v>100</v>
      </c>
      <c r="AV514" s="808"/>
      <c r="AW514" s="800"/>
      <c r="AX514" s="800"/>
      <c r="AY514" s="800"/>
      <c r="AZ514" s="800"/>
      <c r="BA514" s="800"/>
      <c r="BB514" s="800"/>
      <c r="BC514" s="800"/>
      <c r="BD514" s="800"/>
      <c r="BE514" s="800"/>
      <c r="BF514" s="800"/>
      <c r="BG514" s="800"/>
      <c r="BH514" s="800"/>
      <c r="BI514" s="800"/>
      <c r="BJ514" s="800"/>
      <c r="BK514" s="805"/>
      <c r="BL514" s="789" t="s">
        <v>168</v>
      </c>
      <c r="BM514" s="785" t="s">
        <v>168</v>
      </c>
      <c r="BN514" s="785" t="s">
        <v>168</v>
      </c>
      <c r="BO514" s="785" t="s">
        <v>168</v>
      </c>
      <c r="BP514" s="796" t="s">
        <v>168</v>
      </c>
      <c r="BQ514" s="808" t="s">
        <v>1942</v>
      </c>
      <c r="BR514" s="800" t="s">
        <v>1942</v>
      </c>
      <c r="BS514" s="800" t="s">
        <v>1942</v>
      </c>
      <c r="BT514" s="800" t="s">
        <v>1942</v>
      </c>
      <c r="BU514" s="805" t="s">
        <v>1942</v>
      </c>
      <c r="BV514" s="808" t="s">
        <v>1942</v>
      </c>
      <c r="BW514" s="800" t="s">
        <v>1942</v>
      </c>
      <c r="BX514" s="800" t="s">
        <v>1942</v>
      </c>
      <c r="BY514" s="800" t="s">
        <v>1942</v>
      </c>
      <c r="BZ514" s="800" t="s">
        <v>1942</v>
      </c>
      <c r="CA514" s="808" t="s">
        <v>1942</v>
      </c>
      <c r="CB514" s="800" t="s">
        <v>1942</v>
      </c>
      <c r="CC514" s="800" t="s">
        <v>1942</v>
      </c>
      <c r="CD514" s="800" t="s">
        <v>1942</v>
      </c>
      <c r="CE514" s="805" t="s">
        <v>1942</v>
      </c>
      <c r="CF514" s="800" t="s">
        <v>1942</v>
      </c>
      <c r="CG514" s="800" t="s">
        <v>1942</v>
      </c>
      <c r="CH514" s="800" t="s">
        <v>1942</v>
      </c>
      <c r="CI514" s="800" t="s">
        <v>1942</v>
      </c>
      <c r="CJ514" s="805" t="s">
        <v>1942</v>
      </c>
      <c r="CK514" s="808" t="s">
        <v>1942</v>
      </c>
      <c r="CL514" s="800" t="s">
        <v>1942</v>
      </c>
      <c r="CM514" s="800" t="s">
        <v>1942</v>
      </c>
      <c r="CN514" s="800" t="s">
        <v>1942</v>
      </c>
      <c r="CO514" s="805" t="s">
        <v>1942</v>
      </c>
      <c r="CP514" s="808" t="s">
        <v>1942</v>
      </c>
      <c r="CQ514" s="800" t="s">
        <v>1942</v>
      </c>
      <c r="CR514" s="800" t="s">
        <v>1942</v>
      </c>
      <c r="CS514" s="800" t="s">
        <v>1942</v>
      </c>
      <c r="CT514" s="805" t="s">
        <v>1942</v>
      </c>
      <c r="CU514" s="1284">
        <v>-0.16</v>
      </c>
      <c r="CV514" s="1283" t="s">
        <v>1942</v>
      </c>
      <c r="CW514" s="1283" t="s">
        <v>1942</v>
      </c>
      <c r="CX514" s="1285" t="s">
        <v>1942</v>
      </c>
      <c r="CY514" s="1283">
        <v>1.5</v>
      </c>
      <c r="CZ514" s="1283">
        <v>1.5</v>
      </c>
      <c r="DA514" s="1283" t="s">
        <v>1942</v>
      </c>
      <c r="DB514" s="1285" t="s">
        <v>1942</v>
      </c>
      <c r="DC514" s="785" t="s">
        <v>131</v>
      </c>
      <c r="DD514" s="813">
        <v>1</v>
      </c>
      <c r="DE514" s="814" t="s">
        <v>1942</v>
      </c>
    </row>
    <row r="515" spans="1:109" ht="15.75" hidden="1" customHeight="1">
      <c r="A515" s="772" t="s">
        <v>1050</v>
      </c>
      <c r="B515" s="773">
        <v>509</v>
      </c>
      <c r="C515" s="789" t="s">
        <v>4092</v>
      </c>
      <c r="D515" s="773" t="s">
        <v>4058</v>
      </c>
      <c r="E515" s="773" t="s">
        <v>1907</v>
      </c>
      <c r="F515" s="785" t="s">
        <v>4093</v>
      </c>
      <c r="G515" s="790" t="s">
        <v>4094</v>
      </c>
      <c r="H515" s="791" t="s">
        <v>4095</v>
      </c>
      <c r="I515" s="792"/>
      <c r="J515" s="793"/>
      <c r="K515" s="793"/>
      <c r="L515" s="793">
        <v>1</v>
      </c>
      <c r="M515" s="793"/>
      <c r="N515" s="793"/>
      <c r="O515" s="793"/>
      <c r="P515" s="794"/>
      <c r="Q515" s="795">
        <f t="shared" si="7"/>
        <v>1</v>
      </c>
      <c r="R515" s="789" t="s">
        <v>1030</v>
      </c>
      <c r="S515" s="773" t="s">
        <v>1008</v>
      </c>
      <c r="T515" s="796" t="s">
        <v>1009</v>
      </c>
      <c r="U515" s="773" t="s">
        <v>2132</v>
      </c>
      <c r="V515" s="773" t="s">
        <v>1033</v>
      </c>
      <c r="W515" s="773" t="s">
        <v>4096</v>
      </c>
      <c r="X515" s="829">
        <v>2</v>
      </c>
      <c r="Y515" s="821" t="s">
        <v>1020</v>
      </c>
      <c r="Z515" s="790" t="s">
        <v>1942</v>
      </c>
      <c r="AA515" s="785"/>
      <c r="AB515" s="785"/>
      <c r="AC515" s="785"/>
      <c r="AD515" s="785"/>
      <c r="AE515" s="785"/>
      <c r="AF515" s="799"/>
      <c r="AG515" s="800"/>
      <c r="AH515" s="800"/>
      <c r="AI515" s="800"/>
      <c r="AJ515" s="800"/>
      <c r="AK515" s="800"/>
      <c r="AL515" s="800"/>
      <c r="AM515" s="800"/>
      <c r="AN515" s="800"/>
      <c r="AO515" s="800"/>
      <c r="AP515" s="800"/>
      <c r="AQ515" s="808">
        <v>1.42</v>
      </c>
      <c r="AR515" s="800">
        <v>1.42</v>
      </c>
      <c r="AS515" s="800">
        <v>1.42</v>
      </c>
      <c r="AT515" s="800">
        <v>1.42</v>
      </c>
      <c r="AU515" s="805">
        <v>1.42</v>
      </c>
      <c r="AV515" s="808"/>
      <c r="AW515" s="800"/>
      <c r="AX515" s="800"/>
      <c r="AY515" s="800"/>
      <c r="AZ515" s="800"/>
      <c r="BA515" s="800"/>
      <c r="BB515" s="800"/>
      <c r="BC515" s="800"/>
      <c r="BD515" s="800"/>
      <c r="BE515" s="800"/>
      <c r="BF515" s="800"/>
      <c r="BG515" s="800"/>
      <c r="BH515" s="800"/>
      <c r="BI515" s="800"/>
      <c r="BJ515" s="800"/>
      <c r="BK515" s="805"/>
      <c r="BL515" s="789" t="s">
        <v>168</v>
      </c>
      <c r="BM515" s="785" t="s">
        <v>168</v>
      </c>
      <c r="BN515" s="785" t="s">
        <v>168</v>
      </c>
      <c r="BO515" s="785" t="s">
        <v>168</v>
      </c>
      <c r="BP515" s="796" t="s">
        <v>168</v>
      </c>
      <c r="BQ515" s="808" t="s">
        <v>1942</v>
      </c>
      <c r="BR515" s="800" t="s">
        <v>1942</v>
      </c>
      <c r="BS515" s="800" t="s">
        <v>1942</v>
      </c>
      <c r="BT515" s="800" t="s">
        <v>1942</v>
      </c>
      <c r="BU515" s="805" t="s">
        <v>1942</v>
      </c>
      <c r="BV515" s="808" t="s">
        <v>1942</v>
      </c>
      <c r="BW515" s="800" t="s">
        <v>1942</v>
      </c>
      <c r="BX515" s="800" t="s">
        <v>1942</v>
      </c>
      <c r="BY515" s="800" t="s">
        <v>1942</v>
      </c>
      <c r="BZ515" s="800" t="s">
        <v>1942</v>
      </c>
      <c r="CA515" s="808" t="s">
        <v>1942</v>
      </c>
      <c r="CB515" s="800" t="s">
        <v>1942</v>
      </c>
      <c r="CC515" s="800" t="s">
        <v>1942</v>
      </c>
      <c r="CD515" s="800" t="s">
        <v>1942</v>
      </c>
      <c r="CE515" s="805" t="s">
        <v>1942</v>
      </c>
      <c r="CF515" s="800" t="s">
        <v>1942</v>
      </c>
      <c r="CG515" s="800" t="s">
        <v>1942</v>
      </c>
      <c r="CH515" s="800" t="s">
        <v>1942</v>
      </c>
      <c r="CI515" s="800" t="s">
        <v>1942</v>
      </c>
      <c r="CJ515" s="805" t="s">
        <v>1942</v>
      </c>
      <c r="CK515" s="808" t="s">
        <v>1942</v>
      </c>
      <c r="CL515" s="800" t="s">
        <v>1942</v>
      </c>
      <c r="CM515" s="800" t="s">
        <v>1942</v>
      </c>
      <c r="CN515" s="800" t="s">
        <v>1942</v>
      </c>
      <c r="CO515" s="805" t="s">
        <v>1942</v>
      </c>
      <c r="CP515" s="808" t="s">
        <v>1942</v>
      </c>
      <c r="CQ515" s="800" t="s">
        <v>1942</v>
      </c>
      <c r="CR515" s="800" t="s">
        <v>1942</v>
      </c>
      <c r="CS515" s="800" t="s">
        <v>1942</v>
      </c>
      <c r="CT515" s="805" t="s">
        <v>1942</v>
      </c>
      <c r="CU515" s="1284">
        <v>-2.69E-2</v>
      </c>
      <c r="CV515" s="1283" t="s">
        <v>1942</v>
      </c>
      <c r="CW515" s="1283" t="s">
        <v>1942</v>
      </c>
      <c r="CX515" s="1285" t="s">
        <v>1942</v>
      </c>
      <c r="CY515" s="1283">
        <v>2.69E-2</v>
      </c>
      <c r="CZ515" s="1283" t="s">
        <v>1942</v>
      </c>
      <c r="DA515" s="1283" t="s">
        <v>1942</v>
      </c>
      <c r="DB515" s="1285" t="s">
        <v>1942</v>
      </c>
      <c r="DC515" s="785"/>
      <c r="DD515" s="813">
        <v>1</v>
      </c>
      <c r="DE515" s="814" t="s">
        <v>4097</v>
      </c>
    </row>
    <row r="516" spans="1:109" ht="15.75" hidden="1" customHeight="1">
      <c r="A516" s="772" t="s">
        <v>1050</v>
      </c>
      <c r="B516" s="773">
        <v>510</v>
      </c>
      <c r="C516" s="789" t="s">
        <v>4098</v>
      </c>
      <c r="D516" s="773" t="s">
        <v>4099</v>
      </c>
      <c r="E516" s="773" t="s">
        <v>1907</v>
      </c>
      <c r="F516" s="785" t="s">
        <v>4100</v>
      </c>
      <c r="G516" s="790" t="s">
        <v>1931</v>
      </c>
      <c r="H516" s="791" t="s">
        <v>3988</v>
      </c>
      <c r="I516" s="792"/>
      <c r="J516" s="793"/>
      <c r="K516" s="793"/>
      <c r="L516" s="793"/>
      <c r="M516" s="793">
        <v>1</v>
      </c>
      <c r="N516" s="793"/>
      <c r="O516" s="793"/>
      <c r="P516" s="794"/>
      <c r="Q516" s="795">
        <f t="shared" si="7"/>
        <v>1</v>
      </c>
      <c r="R516" s="789" t="s">
        <v>1030</v>
      </c>
      <c r="S516" s="773" t="s">
        <v>1008</v>
      </c>
      <c r="T516" s="796" t="s">
        <v>1009</v>
      </c>
      <c r="U516" s="773" t="s">
        <v>1069</v>
      </c>
      <c r="V516" s="773" t="s">
        <v>1081</v>
      </c>
      <c r="W516" s="773" t="s">
        <v>2038</v>
      </c>
      <c r="X516" s="1274">
        <v>2</v>
      </c>
      <c r="Y516" s="821" t="s">
        <v>1010</v>
      </c>
      <c r="Z516" s="790" t="s">
        <v>1931</v>
      </c>
      <c r="AA516" s="785"/>
      <c r="AB516" s="785"/>
      <c r="AC516" s="785"/>
      <c r="AD516" s="785"/>
      <c r="AE516" s="785"/>
      <c r="AF516" s="799"/>
      <c r="AG516" s="800"/>
      <c r="AH516" s="800"/>
      <c r="AI516" s="800"/>
      <c r="AJ516" s="800"/>
      <c r="AK516" s="800"/>
      <c r="AL516" s="800"/>
      <c r="AM516" s="800"/>
      <c r="AN516" s="800"/>
      <c r="AO516" s="800"/>
      <c r="AP516" s="800"/>
      <c r="AQ516" s="1420"/>
      <c r="AR516" s="1368"/>
      <c r="AS516" s="1368"/>
      <c r="AT516" s="1368"/>
      <c r="AU516" s="1369"/>
      <c r="AV516" s="808"/>
      <c r="AW516" s="800"/>
      <c r="AX516" s="800"/>
      <c r="AY516" s="800"/>
      <c r="AZ516" s="800"/>
      <c r="BA516" s="800"/>
      <c r="BB516" s="800"/>
      <c r="BC516" s="800"/>
      <c r="BD516" s="800"/>
      <c r="BE516" s="800"/>
      <c r="BF516" s="800"/>
      <c r="BG516" s="800"/>
      <c r="BH516" s="800"/>
      <c r="BI516" s="800"/>
      <c r="BJ516" s="800"/>
      <c r="BK516" s="805"/>
      <c r="BL516" s="1761"/>
      <c r="BM516" s="1762"/>
      <c r="BN516" s="1762"/>
      <c r="BO516" s="1762"/>
      <c r="BP516" s="1763"/>
      <c r="BQ516" s="1420"/>
      <c r="BR516" s="1368"/>
      <c r="BS516" s="1368"/>
      <c r="BT516" s="1368"/>
      <c r="BU516" s="1369"/>
      <c r="BV516" s="1420"/>
      <c r="BW516" s="1368"/>
      <c r="BX516" s="1368"/>
      <c r="BY516" s="1368"/>
      <c r="BZ516" s="1368"/>
      <c r="CA516" s="1420"/>
      <c r="CB516" s="1368"/>
      <c r="CC516" s="1368"/>
      <c r="CD516" s="1368"/>
      <c r="CE516" s="1369"/>
      <c r="CF516" s="1368"/>
      <c r="CG516" s="1368"/>
      <c r="CH516" s="1368"/>
      <c r="CI516" s="1368"/>
      <c r="CJ516" s="1369"/>
      <c r="CK516" s="1420"/>
      <c r="CL516" s="1368"/>
      <c r="CM516" s="1368"/>
      <c r="CN516" s="1368"/>
      <c r="CO516" s="1369"/>
      <c r="CP516" s="1420"/>
      <c r="CQ516" s="1368"/>
      <c r="CR516" s="1368"/>
      <c r="CS516" s="1368"/>
      <c r="CT516" s="1369"/>
      <c r="CU516" s="1528"/>
      <c r="CV516" s="1519"/>
      <c r="CW516" s="1519"/>
      <c r="CX516" s="1728"/>
      <c r="CY516" s="1519"/>
      <c r="CZ516" s="1519"/>
      <c r="DA516" s="1519"/>
      <c r="DB516" s="1728"/>
      <c r="DC516" s="1377"/>
      <c r="DD516" s="1729"/>
      <c r="DE516" s="1734"/>
    </row>
    <row r="517" spans="1:109" ht="15.75" hidden="1" customHeight="1">
      <c r="A517" s="772" t="s">
        <v>1050</v>
      </c>
      <c r="B517" s="773">
        <v>511</v>
      </c>
      <c r="C517" s="789" t="s">
        <v>4101</v>
      </c>
      <c r="D517" s="773" t="s">
        <v>4099</v>
      </c>
      <c r="E517" s="773" t="s">
        <v>1907</v>
      </c>
      <c r="F517" s="785" t="s">
        <v>4102</v>
      </c>
      <c r="G517" s="790" t="s">
        <v>1935</v>
      </c>
      <c r="H517" s="791" t="s">
        <v>3988</v>
      </c>
      <c r="I517" s="792"/>
      <c r="J517" s="793">
        <v>0.23</v>
      </c>
      <c r="K517" s="793">
        <v>0.77</v>
      </c>
      <c r="L517" s="793"/>
      <c r="M517" s="793"/>
      <c r="N517" s="793"/>
      <c r="O517" s="793"/>
      <c r="P517" s="794"/>
      <c r="Q517" s="795">
        <f t="shared" si="7"/>
        <v>1</v>
      </c>
      <c r="R517" s="789" t="s">
        <v>1030</v>
      </c>
      <c r="S517" s="773" t="s">
        <v>1008</v>
      </c>
      <c r="T517" s="796" t="s">
        <v>1009</v>
      </c>
      <c r="U517" s="773" t="s">
        <v>1073</v>
      </c>
      <c r="V517" s="773" t="s">
        <v>1081</v>
      </c>
      <c r="W517" s="773" t="s">
        <v>427</v>
      </c>
      <c r="X517" s="1274">
        <v>2</v>
      </c>
      <c r="Y517" s="821" t="s">
        <v>1010</v>
      </c>
      <c r="Z517" s="790" t="s">
        <v>1935</v>
      </c>
      <c r="AA517" s="785"/>
      <c r="AB517" s="785"/>
      <c r="AC517" s="785"/>
      <c r="AD517" s="785"/>
      <c r="AE517" s="785"/>
      <c r="AF517" s="799"/>
      <c r="AG517" s="800"/>
      <c r="AH517" s="800"/>
      <c r="AI517" s="800"/>
      <c r="AJ517" s="800"/>
      <c r="AK517" s="800"/>
      <c r="AL517" s="800"/>
      <c r="AM517" s="800"/>
      <c r="AN517" s="800"/>
      <c r="AO517" s="800"/>
      <c r="AP517" s="800"/>
      <c r="AQ517" s="1420"/>
      <c r="AR517" s="1368"/>
      <c r="AS517" s="1368"/>
      <c r="AT517" s="1368"/>
      <c r="AU517" s="1369"/>
      <c r="AV517" s="808"/>
      <c r="AW517" s="800"/>
      <c r="AX517" s="800"/>
      <c r="AY517" s="800"/>
      <c r="AZ517" s="800"/>
      <c r="BA517" s="800"/>
      <c r="BB517" s="800"/>
      <c r="BC517" s="800"/>
      <c r="BD517" s="800"/>
      <c r="BE517" s="800"/>
      <c r="BF517" s="800"/>
      <c r="BG517" s="800"/>
      <c r="BH517" s="800"/>
      <c r="BI517" s="800"/>
      <c r="BJ517" s="800"/>
      <c r="BK517" s="805"/>
      <c r="BL517" s="1376"/>
      <c r="BM517" s="1377"/>
      <c r="BN517" s="1377"/>
      <c r="BO517" s="1377"/>
      <c r="BP517" s="1440"/>
      <c r="BQ517" s="1420"/>
      <c r="BR517" s="1368"/>
      <c r="BS517" s="1368"/>
      <c r="BT517" s="1368"/>
      <c r="BU517" s="1369"/>
      <c r="BV517" s="1420"/>
      <c r="BW517" s="1368"/>
      <c r="BX517" s="1368"/>
      <c r="BY517" s="1368"/>
      <c r="BZ517" s="1368"/>
      <c r="CA517" s="1420"/>
      <c r="CB517" s="1368"/>
      <c r="CC517" s="1368"/>
      <c r="CD517" s="1368"/>
      <c r="CE517" s="1369"/>
      <c r="CF517" s="1368"/>
      <c r="CG517" s="1368"/>
      <c r="CH517" s="1368"/>
      <c r="CI517" s="1368"/>
      <c r="CJ517" s="1369"/>
      <c r="CK517" s="1420"/>
      <c r="CL517" s="1368"/>
      <c r="CM517" s="1368"/>
      <c r="CN517" s="1368"/>
      <c r="CO517" s="1369"/>
      <c r="CP517" s="1420"/>
      <c r="CQ517" s="1368"/>
      <c r="CR517" s="1368"/>
      <c r="CS517" s="1368"/>
      <c r="CT517" s="1369"/>
      <c r="CU517" s="1528"/>
      <c r="CV517" s="1519"/>
      <c r="CW517" s="1519"/>
      <c r="CX517" s="1728"/>
      <c r="CY517" s="1519"/>
      <c r="CZ517" s="1519"/>
      <c r="DA517" s="1519"/>
      <c r="DB517" s="1728"/>
      <c r="DC517" s="1377"/>
      <c r="DD517" s="1729"/>
      <c r="DE517" s="1734"/>
    </row>
    <row r="518" spans="1:109" ht="15.75" hidden="1" customHeight="1">
      <c r="A518" s="772" t="s">
        <v>1050</v>
      </c>
      <c r="B518" s="773">
        <v>512</v>
      </c>
      <c r="C518" s="789" t="s">
        <v>4103</v>
      </c>
      <c r="D518" s="773" t="s">
        <v>4099</v>
      </c>
      <c r="E518" s="773" t="s">
        <v>1907</v>
      </c>
      <c r="F518" s="785" t="s">
        <v>4104</v>
      </c>
      <c r="G518" s="790" t="s">
        <v>703</v>
      </c>
      <c r="H518" s="791" t="s">
        <v>4105</v>
      </c>
      <c r="I518" s="792"/>
      <c r="J518" s="793"/>
      <c r="K518" s="793"/>
      <c r="L518" s="793"/>
      <c r="M518" s="793">
        <v>1</v>
      </c>
      <c r="N518" s="793"/>
      <c r="O518" s="793"/>
      <c r="P518" s="794"/>
      <c r="Q518" s="795">
        <f t="shared" si="7"/>
        <v>1</v>
      </c>
      <c r="R518" s="789" t="s">
        <v>1007</v>
      </c>
      <c r="S518" s="773"/>
      <c r="T518" s="796"/>
      <c r="U518" s="773" t="s">
        <v>2117</v>
      </c>
      <c r="V518" s="773" t="s">
        <v>278</v>
      </c>
      <c r="W518" s="773" t="s">
        <v>4106</v>
      </c>
      <c r="X518" s="829">
        <v>1</v>
      </c>
      <c r="Y518" s="821" t="s">
        <v>1010</v>
      </c>
      <c r="Z518" s="790" t="s">
        <v>703</v>
      </c>
      <c r="AA518" s="785"/>
      <c r="AB518" s="785"/>
      <c r="AC518" s="785"/>
      <c r="AD518" s="785"/>
      <c r="AE518" s="785"/>
      <c r="AF518" s="799"/>
      <c r="AG518" s="800"/>
      <c r="AH518" s="800"/>
      <c r="AI518" s="800"/>
      <c r="AJ518" s="800"/>
      <c r="AK518" s="800"/>
      <c r="AL518" s="800"/>
      <c r="AM518" s="800"/>
      <c r="AN518" s="800"/>
      <c r="AO518" s="800"/>
      <c r="AP518" s="800"/>
      <c r="AQ518" s="1420"/>
      <c r="AR518" s="1368"/>
      <c r="AS518" s="1368"/>
      <c r="AT518" s="1368"/>
      <c r="AU518" s="1369"/>
      <c r="AV518" s="808"/>
      <c r="AW518" s="800"/>
      <c r="AX518" s="800"/>
      <c r="AY518" s="800"/>
      <c r="AZ518" s="800"/>
      <c r="BA518" s="800"/>
      <c r="BB518" s="800"/>
      <c r="BC518" s="800"/>
      <c r="BD518" s="800"/>
      <c r="BE518" s="800"/>
      <c r="BF518" s="800"/>
      <c r="BG518" s="800"/>
      <c r="BH518" s="800"/>
      <c r="BI518" s="800"/>
      <c r="BJ518" s="800"/>
      <c r="BK518" s="805"/>
      <c r="BL518" s="1376"/>
      <c r="BM518" s="1377"/>
      <c r="BN518" s="1377"/>
      <c r="BO518" s="1377"/>
      <c r="BP518" s="1440"/>
      <c r="BQ518" s="1420"/>
      <c r="BR518" s="1368"/>
      <c r="BS518" s="1368"/>
      <c r="BT518" s="1368"/>
      <c r="BU518" s="1369"/>
      <c r="BV518" s="1420"/>
      <c r="BW518" s="1368"/>
      <c r="BX518" s="1368"/>
      <c r="BY518" s="1368"/>
      <c r="BZ518" s="1368"/>
      <c r="CA518" s="1420"/>
      <c r="CB518" s="1368"/>
      <c r="CC518" s="1368"/>
      <c r="CD518" s="1368"/>
      <c r="CE518" s="1369"/>
      <c r="CF518" s="1368"/>
      <c r="CG518" s="1368"/>
      <c r="CH518" s="1368"/>
      <c r="CI518" s="1368"/>
      <c r="CJ518" s="1369"/>
      <c r="CK518" s="1420"/>
      <c r="CL518" s="1368"/>
      <c r="CM518" s="1368"/>
      <c r="CN518" s="1368"/>
      <c r="CO518" s="1369"/>
      <c r="CP518" s="1420"/>
      <c r="CQ518" s="1368"/>
      <c r="CR518" s="1368"/>
      <c r="CS518" s="1368"/>
      <c r="CT518" s="1369"/>
      <c r="CU518" s="1528"/>
      <c r="CV518" s="1519"/>
      <c r="CW518" s="1519"/>
      <c r="CX518" s="1728"/>
      <c r="CY518" s="1519"/>
      <c r="CZ518" s="1519"/>
      <c r="DA518" s="1519"/>
      <c r="DB518" s="1728"/>
      <c r="DC518" s="1377"/>
      <c r="DD518" s="1729"/>
      <c r="DE518" s="1734"/>
    </row>
    <row r="519" spans="1:109" ht="15.75" hidden="1" customHeight="1">
      <c r="A519" s="772" t="s">
        <v>1050</v>
      </c>
      <c r="B519" s="773">
        <v>513</v>
      </c>
      <c r="C519" s="789" t="s">
        <v>4107</v>
      </c>
      <c r="D519" s="773" t="s">
        <v>4099</v>
      </c>
      <c r="E519" s="773" t="s">
        <v>1907</v>
      </c>
      <c r="F519" s="785" t="s">
        <v>4108</v>
      </c>
      <c r="G519" s="790" t="s">
        <v>4109</v>
      </c>
      <c r="H519" s="791" t="s">
        <v>4110</v>
      </c>
      <c r="I519" s="792"/>
      <c r="J519" s="793">
        <v>0.91</v>
      </c>
      <c r="K519" s="793">
        <v>0.09</v>
      </c>
      <c r="L519" s="793"/>
      <c r="M519" s="793"/>
      <c r="N519" s="793"/>
      <c r="O519" s="793"/>
      <c r="P519" s="794"/>
      <c r="Q519" s="795">
        <f t="shared" si="7"/>
        <v>1</v>
      </c>
      <c r="R519" s="789" t="s">
        <v>1007</v>
      </c>
      <c r="S519" s="773"/>
      <c r="T519" s="796"/>
      <c r="U519" s="773" t="s">
        <v>4111</v>
      </c>
      <c r="V519" s="773" t="s">
        <v>278</v>
      </c>
      <c r="W519" s="773" t="s">
        <v>4112</v>
      </c>
      <c r="X519" s="829">
        <v>2</v>
      </c>
      <c r="Y519" s="821" t="s">
        <v>1020</v>
      </c>
      <c r="Z519" s="790"/>
      <c r="AA519" s="785"/>
      <c r="AB519" s="785"/>
      <c r="AC519" s="785"/>
      <c r="AD519" s="785"/>
      <c r="AE519" s="785"/>
      <c r="AF519" s="799"/>
      <c r="AG519" s="800"/>
      <c r="AH519" s="800"/>
      <c r="AI519" s="800"/>
      <c r="AJ519" s="800"/>
      <c r="AK519" s="800"/>
      <c r="AL519" s="800"/>
      <c r="AM519" s="800"/>
      <c r="AN519" s="800"/>
      <c r="AO519" s="800"/>
      <c r="AP519" s="800"/>
      <c r="AQ519" s="808">
        <v>11</v>
      </c>
      <c r="AR519" s="800">
        <v>10.5</v>
      </c>
      <c r="AS519" s="800">
        <v>10</v>
      </c>
      <c r="AT519" s="800">
        <v>9.5</v>
      </c>
      <c r="AU519" s="805">
        <v>9</v>
      </c>
      <c r="AV519" s="808"/>
      <c r="AW519" s="800"/>
      <c r="AX519" s="800"/>
      <c r="AY519" s="800"/>
      <c r="AZ519" s="800"/>
      <c r="BA519" s="800"/>
      <c r="BB519" s="800"/>
      <c r="BC519" s="800"/>
      <c r="BD519" s="800"/>
      <c r="BE519" s="800"/>
      <c r="BF519" s="800"/>
      <c r="BG519" s="800"/>
      <c r="BH519" s="800"/>
      <c r="BI519" s="800"/>
      <c r="BJ519" s="800"/>
      <c r="BK519" s="805"/>
      <c r="BL519" s="789"/>
      <c r="BM519" s="785"/>
      <c r="BN519" s="785"/>
      <c r="BO519" s="785"/>
      <c r="BP519" s="796"/>
      <c r="BQ519" s="808" t="s">
        <v>1942</v>
      </c>
      <c r="BR519" s="800" t="s">
        <v>1942</v>
      </c>
      <c r="BS519" s="800" t="s">
        <v>1942</v>
      </c>
      <c r="BT519" s="800" t="s">
        <v>1942</v>
      </c>
      <c r="BU519" s="805" t="s">
        <v>1942</v>
      </c>
      <c r="BV519" s="808" t="s">
        <v>1942</v>
      </c>
      <c r="BW519" s="800" t="s">
        <v>1942</v>
      </c>
      <c r="BX519" s="800" t="s">
        <v>1942</v>
      </c>
      <c r="BY519" s="800" t="s">
        <v>1942</v>
      </c>
      <c r="BZ519" s="800" t="s">
        <v>1942</v>
      </c>
      <c r="CA519" s="808" t="s">
        <v>1942</v>
      </c>
      <c r="CB519" s="800" t="s">
        <v>1942</v>
      </c>
      <c r="CC519" s="800" t="s">
        <v>1942</v>
      </c>
      <c r="CD519" s="800" t="s">
        <v>1942</v>
      </c>
      <c r="CE519" s="805" t="s">
        <v>1942</v>
      </c>
      <c r="CF519" s="800" t="s">
        <v>1942</v>
      </c>
      <c r="CG519" s="800" t="s">
        <v>1942</v>
      </c>
      <c r="CH519" s="800" t="s">
        <v>1942</v>
      </c>
      <c r="CI519" s="800" t="s">
        <v>1942</v>
      </c>
      <c r="CJ519" s="805" t="s">
        <v>1942</v>
      </c>
      <c r="CK519" s="808" t="s">
        <v>1942</v>
      </c>
      <c r="CL519" s="800" t="s">
        <v>1942</v>
      </c>
      <c r="CM519" s="800" t="s">
        <v>1942</v>
      </c>
      <c r="CN519" s="800" t="s">
        <v>1942</v>
      </c>
      <c r="CO519" s="805" t="s">
        <v>1942</v>
      </c>
      <c r="CP519" s="808" t="s">
        <v>1942</v>
      </c>
      <c r="CQ519" s="800" t="s">
        <v>1942</v>
      </c>
      <c r="CR519" s="800" t="s">
        <v>1942</v>
      </c>
      <c r="CS519" s="800" t="s">
        <v>1942</v>
      </c>
      <c r="CT519" s="805" t="s">
        <v>1942</v>
      </c>
      <c r="CU519" s="1284" t="s">
        <v>1942</v>
      </c>
      <c r="CV519" s="1283" t="s">
        <v>1942</v>
      </c>
      <c r="CW519" s="1283" t="s">
        <v>1942</v>
      </c>
      <c r="CX519" s="1285" t="s">
        <v>1942</v>
      </c>
      <c r="CY519" s="1283" t="s">
        <v>1942</v>
      </c>
      <c r="CZ519" s="1283" t="s">
        <v>1942</v>
      </c>
      <c r="DA519" s="1283" t="s">
        <v>1942</v>
      </c>
      <c r="DB519" s="1285" t="s">
        <v>1942</v>
      </c>
      <c r="DC519" s="785" t="s">
        <v>1942</v>
      </c>
      <c r="DD519" s="813">
        <v>1</v>
      </c>
      <c r="DE519" s="814" t="s">
        <v>1942</v>
      </c>
    </row>
    <row r="520" spans="1:109" ht="15.75" hidden="1" customHeight="1">
      <c r="A520" s="772" t="s">
        <v>1050</v>
      </c>
      <c r="B520" s="773">
        <v>514</v>
      </c>
      <c r="C520" s="789" t="s">
        <v>4113</v>
      </c>
      <c r="D520" s="773" t="s">
        <v>4099</v>
      </c>
      <c r="E520" s="773" t="s">
        <v>1907</v>
      </c>
      <c r="F520" s="785" t="s">
        <v>4114</v>
      </c>
      <c r="G520" s="790" t="s">
        <v>4115</v>
      </c>
      <c r="H520" s="791" t="s">
        <v>4116</v>
      </c>
      <c r="I520" s="792"/>
      <c r="J520" s="793"/>
      <c r="K520" s="793"/>
      <c r="L520" s="793"/>
      <c r="M520" s="793">
        <v>1</v>
      </c>
      <c r="N520" s="793"/>
      <c r="O520" s="793"/>
      <c r="P520" s="794"/>
      <c r="Q520" s="795">
        <f t="shared" si="7"/>
        <v>1</v>
      </c>
      <c r="R520" s="789" t="s">
        <v>1007</v>
      </c>
      <c r="S520" s="773"/>
      <c r="T520" s="796"/>
      <c r="U520" s="773" t="s">
        <v>2117</v>
      </c>
      <c r="V520" s="773" t="s">
        <v>1072</v>
      </c>
      <c r="W520" s="773" t="s">
        <v>2011</v>
      </c>
      <c r="X520" s="829">
        <v>0</v>
      </c>
      <c r="Y520" s="821" t="s">
        <v>1010</v>
      </c>
      <c r="Z520" s="790"/>
      <c r="AA520" s="785"/>
      <c r="AB520" s="785"/>
      <c r="AC520" s="785"/>
      <c r="AD520" s="785"/>
      <c r="AE520" s="785"/>
      <c r="AF520" s="799"/>
      <c r="AG520" s="800"/>
      <c r="AH520" s="800"/>
      <c r="AI520" s="800"/>
      <c r="AJ520" s="800"/>
      <c r="AK520" s="800"/>
      <c r="AL520" s="800"/>
      <c r="AM520" s="800"/>
      <c r="AN520" s="800"/>
      <c r="AO520" s="800"/>
      <c r="AP520" s="800"/>
      <c r="AQ520" s="808" t="s">
        <v>3968</v>
      </c>
      <c r="AR520" s="800" t="s">
        <v>2012</v>
      </c>
      <c r="AS520" s="800" t="s">
        <v>2012</v>
      </c>
      <c r="AT520" s="800" t="s">
        <v>2012</v>
      </c>
      <c r="AU520" s="805" t="s">
        <v>2012</v>
      </c>
      <c r="AV520" s="808"/>
      <c r="AW520" s="800"/>
      <c r="AX520" s="800"/>
      <c r="AY520" s="800"/>
      <c r="AZ520" s="800"/>
      <c r="BA520" s="800"/>
      <c r="BB520" s="800"/>
      <c r="BC520" s="800"/>
      <c r="BD520" s="800"/>
      <c r="BE520" s="800"/>
      <c r="BF520" s="800"/>
      <c r="BG520" s="800"/>
      <c r="BH520" s="800"/>
      <c r="BI520" s="800"/>
      <c r="BJ520" s="800"/>
      <c r="BK520" s="805"/>
      <c r="BL520" s="789"/>
      <c r="BM520" s="785"/>
      <c r="BN520" s="785"/>
      <c r="BO520" s="785"/>
      <c r="BP520" s="796"/>
      <c r="BQ520" s="808" t="s">
        <v>1942</v>
      </c>
      <c r="BR520" s="800" t="s">
        <v>1942</v>
      </c>
      <c r="BS520" s="800" t="s">
        <v>1942</v>
      </c>
      <c r="BT520" s="800" t="s">
        <v>1942</v>
      </c>
      <c r="BU520" s="805" t="s">
        <v>1942</v>
      </c>
      <c r="BV520" s="808" t="s">
        <v>1942</v>
      </c>
      <c r="BW520" s="800" t="s">
        <v>1942</v>
      </c>
      <c r="BX520" s="800" t="s">
        <v>1942</v>
      </c>
      <c r="BY520" s="800" t="s">
        <v>1942</v>
      </c>
      <c r="BZ520" s="800" t="s">
        <v>1942</v>
      </c>
      <c r="CA520" s="808" t="s">
        <v>1942</v>
      </c>
      <c r="CB520" s="800" t="s">
        <v>1942</v>
      </c>
      <c r="CC520" s="800" t="s">
        <v>1942</v>
      </c>
      <c r="CD520" s="800" t="s">
        <v>1942</v>
      </c>
      <c r="CE520" s="805" t="s">
        <v>1942</v>
      </c>
      <c r="CF520" s="800" t="s">
        <v>1942</v>
      </c>
      <c r="CG520" s="800" t="s">
        <v>1942</v>
      </c>
      <c r="CH520" s="800" t="s">
        <v>1942</v>
      </c>
      <c r="CI520" s="800" t="s">
        <v>1942</v>
      </c>
      <c r="CJ520" s="805" t="s">
        <v>1942</v>
      </c>
      <c r="CK520" s="808" t="s">
        <v>1942</v>
      </c>
      <c r="CL520" s="800" t="s">
        <v>1942</v>
      </c>
      <c r="CM520" s="800" t="s">
        <v>1942</v>
      </c>
      <c r="CN520" s="800" t="s">
        <v>1942</v>
      </c>
      <c r="CO520" s="805" t="s">
        <v>1942</v>
      </c>
      <c r="CP520" s="808" t="s">
        <v>1942</v>
      </c>
      <c r="CQ520" s="800" t="s">
        <v>1942</v>
      </c>
      <c r="CR520" s="800" t="s">
        <v>1942</v>
      </c>
      <c r="CS520" s="800" t="s">
        <v>1942</v>
      </c>
      <c r="CT520" s="805" t="s">
        <v>1942</v>
      </c>
      <c r="CU520" s="1284" t="s">
        <v>1942</v>
      </c>
      <c r="CV520" s="1283" t="s">
        <v>1942</v>
      </c>
      <c r="CW520" s="1283" t="s">
        <v>1942</v>
      </c>
      <c r="CX520" s="1285" t="s">
        <v>1942</v>
      </c>
      <c r="CY520" s="1283" t="s">
        <v>1942</v>
      </c>
      <c r="CZ520" s="1283" t="s">
        <v>1942</v>
      </c>
      <c r="DA520" s="1283" t="s">
        <v>1942</v>
      </c>
      <c r="DB520" s="1285" t="s">
        <v>1942</v>
      </c>
      <c r="DC520" s="785"/>
      <c r="DD520" s="813">
        <v>1</v>
      </c>
      <c r="DE520" s="814"/>
    </row>
    <row r="521" spans="1:109" ht="15.75" hidden="1" customHeight="1">
      <c r="A521" s="772" t="s">
        <v>1050</v>
      </c>
      <c r="B521" s="773">
        <v>515</v>
      </c>
      <c r="C521" s="789" t="s">
        <v>4117</v>
      </c>
      <c r="D521" s="773" t="s">
        <v>4118</v>
      </c>
      <c r="E521" s="773" t="s">
        <v>1907</v>
      </c>
      <c r="F521" s="785" t="s">
        <v>4119</v>
      </c>
      <c r="G521" s="790" t="s">
        <v>4120</v>
      </c>
      <c r="H521" s="791" t="s">
        <v>4121</v>
      </c>
      <c r="I521" s="792"/>
      <c r="J521" s="793"/>
      <c r="K521" s="793"/>
      <c r="L521" s="793"/>
      <c r="M521" s="793">
        <v>1</v>
      </c>
      <c r="N521" s="793"/>
      <c r="O521" s="793"/>
      <c r="P521" s="794"/>
      <c r="Q521" s="795">
        <f t="shared" ref="Q521:Q584" si="8">SUM(I521:P521)</f>
        <v>1</v>
      </c>
      <c r="R521" s="789" t="s">
        <v>1030</v>
      </c>
      <c r="S521" s="773" t="s">
        <v>1008</v>
      </c>
      <c r="T521" s="796" t="s">
        <v>1009</v>
      </c>
      <c r="U521" s="773" t="s">
        <v>2117</v>
      </c>
      <c r="V521" s="773" t="s">
        <v>1033</v>
      </c>
      <c r="W521" s="773" t="s">
        <v>4122</v>
      </c>
      <c r="X521" s="829">
        <v>0</v>
      </c>
      <c r="Y521" s="819" t="s">
        <v>1010</v>
      </c>
      <c r="Z521" s="790"/>
      <c r="AA521" s="785"/>
      <c r="AB521" s="785"/>
      <c r="AC521" s="785"/>
      <c r="AD521" s="785"/>
      <c r="AE521" s="785"/>
      <c r="AF521" s="799"/>
      <c r="AG521" s="800"/>
      <c r="AH521" s="800"/>
      <c r="AI521" s="800"/>
      <c r="AJ521" s="800"/>
      <c r="AK521" s="800"/>
      <c r="AL521" s="800"/>
      <c r="AM521" s="800"/>
      <c r="AN521" s="800"/>
      <c r="AO521" s="800"/>
      <c r="AP521" s="800"/>
      <c r="AQ521" s="808">
        <v>57600</v>
      </c>
      <c r="AR521" s="800">
        <v>59800</v>
      </c>
      <c r="AS521" s="800">
        <v>62100</v>
      </c>
      <c r="AT521" s="800">
        <v>64300</v>
      </c>
      <c r="AU521" s="805">
        <v>66500</v>
      </c>
      <c r="AV521" s="808"/>
      <c r="AW521" s="800"/>
      <c r="AX521" s="800"/>
      <c r="AY521" s="800"/>
      <c r="AZ521" s="800"/>
      <c r="BA521" s="800"/>
      <c r="BB521" s="800"/>
      <c r="BC521" s="800"/>
      <c r="BD521" s="800"/>
      <c r="BE521" s="800"/>
      <c r="BF521" s="800"/>
      <c r="BG521" s="800"/>
      <c r="BH521" s="800"/>
      <c r="BI521" s="800"/>
      <c r="BJ521" s="800"/>
      <c r="BK521" s="805"/>
      <c r="BL521" s="789" t="s">
        <v>168</v>
      </c>
      <c r="BM521" s="785" t="s">
        <v>168</v>
      </c>
      <c r="BN521" s="785" t="s">
        <v>168</v>
      </c>
      <c r="BO521" s="785" t="s">
        <v>168</v>
      </c>
      <c r="BP521" s="796" t="s">
        <v>168</v>
      </c>
      <c r="BQ521" s="808" t="s">
        <v>1942</v>
      </c>
      <c r="BR521" s="800" t="s">
        <v>1942</v>
      </c>
      <c r="BS521" s="800" t="s">
        <v>1942</v>
      </c>
      <c r="BT521" s="800" t="s">
        <v>1942</v>
      </c>
      <c r="BU521" s="805" t="s">
        <v>1942</v>
      </c>
      <c r="BV521" s="808">
        <v>46102</v>
      </c>
      <c r="BW521" s="800">
        <v>47875</v>
      </c>
      <c r="BX521" s="800">
        <v>49648</v>
      </c>
      <c r="BY521" s="800">
        <v>51422</v>
      </c>
      <c r="BZ521" s="800">
        <v>53195</v>
      </c>
      <c r="CA521" s="808" t="s">
        <v>1942</v>
      </c>
      <c r="CB521" s="800" t="s">
        <v>1942</v>
      </c>
      <c r="CC521" s="800" t="s">
        <v>1942</v>
      </c>
      <c r="CD521" s="800" t="s">
        <v>1942</v>
      </c>
      <c r="CE521" s="805" t="s">
        <v>1942</v>
      </c>
      <c r="CF521" s="800" t="s">
        <v>1942</v>
      </c>
      <c r="CG521" s="800" t="s">
        <v>1942</v>
      </c>
      <c r="CH521" s="800" t="s">
        <v>1942</v>
      </c>
      <c r="CI521" s="800" t="s">
        <v>1942</v>
      </c>
      <c r="CJ521" s="805" t="s">
        <v>1942</v>
      </c>
      <c r="CK521" s="808">
        <v>69153</v>
      </c>
      <c r="CL521" s="800">
        <v>71813</v>
      </c>
      <c r="CM521" s="800">
        <v>74473</v>
      </c>
      <c r="CN521" s="800">
        <v>77132</v>
      </c>
      <c r="CO521" s="805">
        <v>79792</v>
      </c>
      <c r="CP521" s="808" t="s">
        <v>1942</v>
      </c>
      <c r="CQ521" s="800" t="s">
        <v>1942</v>
      </c>
      <c r="CR521" s="800" t="s">
        <v>1942</v>
      </c>
      <c r="CS521" s="800" t="s">
        <v>1942</v>
      </c>
      <c r="CT521" s="805" t="s">
        <v>1942</v>
      </c>
      <c r="CU521" s="1284">
        <v>-2.2000000000000001E-4</v>
      </c>
      <c r="CV521" s="1283" t="s">
        <v>1942</v>
      </c>
      <c r="CW521" s="1283" t="s">
        <v>1942</v>
      </c>
      <c r="CX521" s="1285" t="s">
        <v>1942</v>
      </c>
      <c r="CY521" s="1283">
        <v>2.2000000000000001E-4</v>
      </c>
      <c r="CZ521" s="1283" t="s">
        <v>1942</v>
      </c>
      <c r="DA521" s="1283" t="s">
        <v>1942</v>
      </c>
      <c r="DB521" s="1285" t="s">
        <v>1942</v>
      </c>
      <c r="DC521" s="785"/>
      <c r="DD521" s="813">
        <v>1</v>
      </c>
      <c r="DE521" s="814"/>
    </row>
    <row r="522" spans="1:109" ht="15.75" hidden="1" customHeight="1">
      <c r="A522" s="772" t="s">
        <v>1050</v>
      </c>
      <c r="B522" s="773">
        <v>516</v>
      </c>
      <c r="C522" s="789" t="s">
        <v>4123</v>
      </c>
      <c r="D522" s="773"/>
      <c r="E522" s="773"/>
      <c r="F522" s="785" t="s">
        <v>4124</v>
      </c>
      <c r="G522" s="790" t="s">
        <v>2761</v>
      </c>
      <c r="H522" s="791"/>
      <c r="I522" s="792"/>
      <c r="J522" s="793"/>
      <c r="K522" s="793"/>
      <c r="L522" s="793"/>
      <c r="M522" s="793">
        <v>1</v>
      </c>
      <c r="N522" s="793"/>
      <c r="O522" s="793"/>
      <c r="P522" s="794"/>
      <c r="Q522" s="795">
        <f t="shared" si="8"/>
        <v>1</v>
      </c>
      <c r="R522" s="789" t="s">
        <v>1030</v>
      </c>
      <c r="S522" s="773" t="s">
        <v>1008</v>
      </c>
      <c r="T522" s="796" t="s">
        <v>1009</v>
      </c>
      <c r="U522" s="773" t="s">
        <v>2117</v>
      </c>
      <c r="V522" s="773" t="s">
        <v>278</v>
      </c>
      <c r="W522" s="773" t="s">
        <v>4125</v>
      </c>
      <c r="X522" s="829">
        <v>2</v>
      </c>
      <c r="Y522" s="821" t="s">
        <v>1020</v>
      </c>
      <c r="Z522" s="790"/>
      <c r="AA522" s="785"/>
      <c r="AB522" s="785"/>
      <c r="AC522" s="785"/>
      <c r="AD522" s="785"/>
      <c r="AE522" s="785"/>
      <c r="AF522" s="799"/>
      <c r="AG522" s="935"/>
      <c r="AH522" s="935"/>
      <c r="AI522" s="935"/>
      <c r="AJ522" s="935"/>
      <c r="AK522" s="935"/>
      <c r="AL522" s="935"/>
      <c r="AM522" s="935"/>
      <c r="AN522" s="935"/>
      <c r="AO522" s="935"/>
      <c r="AP522" s="935"/>
      <c r="AQ522" s="936">
        <v>6.7</v>
      </c>
      <c r="AR522" s="935">
        <v>6.31</v>
      </c>
      <c r="AS522" s="935">
        <v>5.92</v>
      </c>
      <c r="AT522" s="935">
        <v>5.53</v>
      </c>
      <c r="AU522" s="937">
        <v>5.15</v>
      </c>
      <c r="AV522" s="936"/>
      <c r="AW522" s="935"/>
      <c r="AX522" s="935"/>
      <c r="AY522" s="935"/>
      <c r="AZ522" s="935"/>
      <c r="BA522" s="935"/>
      <c r="BB522" s="935"/>
      <c r="BC522" s="935"/>
      <c r="BD522" s="935"/>
      <c r="BE522" s="935"/>
      <c r="BF522" s="935"/>
      <c r="BG522" s="935"/>
      <c r="BH522" s="935"/>
      <c r="BI522" s="935"/>
      <c r="BJ522" s="935"/>
      <c r="BK522" s="937"/>
      <c r="BL522" s="789" t="s">
        <v>168</v>
      </c>
      <c r="BM522" s="785" t="s">
        <v>168</v>
      </c>
      <c r="BN522" s="785" t="s">
        <v>168</v>
      </c>
      <c r="BO522" s="785" t="s">
        <v>168</v>
      </c>
      <c r="BP522" s="796" t="s">
        <v>168</v>
      </c>
      <c r="BQ522" s="804" t="s">
        <v>1942</v>
      </c>
      <c r="BR522" s="800" t="s">
        <v>1942</v>
      </c>
      <c r="BS522" s="800" t="s">
        <v>1942</v>
      </c>
      <c r="BT522" s="800" t="s">
        <v>1942</v>
      </c>
      <c r="BU522" s="805" t="s">
        <v>1942</v>
      </c>
      <c r="BV522" s="806">
        <v>7.38</v>
      </c>
      <c r="BW522" s="807">
        <v>7.38</v>
      </c>
      <c r="BX522" s="807">
        <v>7.38</v>
      </c>
      <c r="BY522" s="807">
        <v>7.38</v>
      </c>
      <c r="BZ522" s="807">
        <v>7.38</v>
      </c>
      <c r="CA522" s="808" t="s">
        <v>1942</v>
      </c>
      <c r="CB522" s="800" t="s">
        <v>1942</v>
      </c>
      <c r="CC522" s="800" t="s">
        <v>1942</v>
      </c>
      <c r="CD522" s="800" t="s">
        <v>1942</v>
      </c>
      <c r="CE522" s="805" t="s">
        <v>1942</v>
      </c>
      <c r="CF522" s="800" t="s">
        <v>1942</v>
      </c>
      <c r="CG522" s="800" t="s">
        <v>1942</v>
      </c>
      <c r="CH522" s="800" t="s">
        <v>1942</v>
      </c>
      <c r="CI522" s="800" t="s">
        <v>1942</v>
      </c>
      <c r="CJ522" s="805" t="s">
        <v>1942</v>
      </c>
      <c r="CK522" s="808">
        <v>6.02</v>
      </c>
      <c r="CL522" s="800">
        <v>5.24</v>
      </c>
      <c r="CM522" s="800">
        <v>4.46</v>
      </c>
      <c r="CN522" s="800">
        <v>3.68</v>
      </c>
      <c r="CO522" s="805">
        <v>2.92</v>
      </c>
      <c r="CP522" s="808" t="s">
        <v>1942</v>
      </c>
      <c r="CQ522" s="800" t="s">
        <v>1942</v>
      </c>
      <c r="CR522" s="800" t="s">
        <v>1942</v>
      </c>
      <c r="CS522" s="800" t="s">
        <v>1942</v>
      </c>
      <c r="CT522" s="805" t="s">
        <v>1942</v>
      </c>
      <c r="CU522" s="1284">
        <v>-5.63</v>
      </c>
      <c r="CV522" s="1283" t="s">
        <v>1942</v>
      </c>
      <c r="CW522" s="1283" t="s">
        <v>1942</v>
      </c>
      <c r="CX522" s="1285" t="s">
        <v>1942</v>
      </c>
      <c r="CY522" s="1283">
        <v>5.63</v>
      </c>
      <c r="CZ522" s="1283" t="s">
        <v>1942</v>
      </c>
      <c r="DA522" s="1283" t="s">
        <v>1942</v>
      </c>
      <c r="DB522" s="1285" t="s">
        <v>1942</v>
      </c>
      <c r="DC522" s="785"/>
      <c r="DD522" s="813">
        <v>1</v>
      </c>
      <c r="DE522" s="814"/>
    </row>
    <row r="523" spans="1:109" ht="15.75" hidden="1" customHeight="1">
      <c r="A523" s="772" t="s">
        <v>1050</v>
      </c>
      <c r="B523" s="773">
        <v>517</v>
      </c>
      <c r="C523" s="789" t="s">
        <v>4126</v>
      </c>
      <c r="D523" s="773" t="s">
        <v>4118</v>
      </c>
      <c r="E523" s="773" t="s">
        <v>1907</v>
      </c>
      <c r="F523" s="785" t="s">
        <v>4127</v>
      </c>
      <c r="G523" s="790" t="s">
        <v>4128</v>
      </c>
      <c r="H523" s="791" t="s">
        <v>4129</v>
      </c>
      <c r="I523" s="792"/>
      <c r="J523" s="793">
        <v>0.5</v>
      </c>
      <c r="K523" s="793">
        <v>0.5</v>
      </c>
      <c r="L523" s="793"/>
      <c r="M523" s="793"/>
      <c r="N523" s="793"/>
      <c r="O523" s="793"/>
      <c r="P523" s="794"/>
      <c r="Q523" s="795">
        <f t="shared" si="8"/>
        <v>1</v>
      </c>
      <c r="R523" s="789" t="s">
        <v>1017</v>
      </c>
      <c r="S523" s="773" t="s">
        <v>1008</v>
      </c>
      <c r="T523" s="796" t="s">
        <v>1009</v>
      </c>
      <c r="U523" s="773" t="s">
        <v>2763</v>
      </c>
      <c r="V523" s="773" t="s">
        <v>1033</v>
      </c>
      <c r="W523" s="773" t="s">
        <v>4130</v>
      </c>
      <c r="X523" s="829">
        <v>0</v>
      </c>
      <c r="Y523" s="798" t="s">
        <v>1010</v>
      </c>
      <c r="Z523" s="790" t="s">
        <v>1942</v>
      </c>
      <c r="AA523" s="785"/>
      <c r="AB523" s="785"/>
      <c r="AC523" s="785"/>
      <c r="AD523" s="785"/>
      <c r="AE523" s="785"/>
      <c r="AF523" s="799"/>
      <c r="AG523" s="935"/>
      <c r="AH523" s="935"/>
      <c r="AI523" s="935"/>
      <c r="AJ523" s="938"/>
      <c r="AK523" s="938"/>
      <c r="AL523" s="938"/>
      <c r="AM523" s="938"/>
      <c r="AN523" s="938"/>
      <c r="AO523" s="938"/>
      <c r="AP523" s="938"/>
      <c r="AQ523" s="939">
        <v>0</v>
      </c>
      <c r="AR523" s="938">
        <v>0</v>
      </c>
      <c r="AS523" s="938">
        <v>0</v>
      </c>
      <c r="AT523" s="938">
        <v>0</v>
      </c>
      <c r="AU523" s="940">
        <v>0</v>
      </c>
      <c r="AV523" s="939"/>
      <c r="AW523" s="938"/>
      <c r="AX523" s="938"/>
      <c r="AY523" s="938"/>
      <c r="AZ523" s="938"/>
      <c r="BA523" s="938"/>
      <c r="BB523" s="938"/>
      <c r="BC523" s="938"/>
      <c r="BD523" s="938"/>
      <c r="BE523" s="938"/>
      <c r="BF523" s="938"/>
      <c r="BG523" s="938"/>
      <c r="BH523" s="938"/>
      <c r="BI523" s="938"/>
      <c r="BJ523" s="938"/>
      <c r="BK523" s="940"/>
      <c r="BL523" s="789" t="s">
        <v>168</v>
      </c>
      <c r="BM523" s="785" t="s">
        <v>168</v>
      </c>
      <c r="BN523" s="785" t="s">
        <v>168</v>
      </c>
      <c r="BO523" s="785" t="s">
        <v>168</v>
      </c>
      <c r="BP523" s="796" t="s">
        <v>168</v>
      </c>
      <c r="BQ523" s="808" t="s">
        <v>1942</v>
      </c>
      <c r="BR523" s="800" t="s">
        <v>1942</v>
      </c>
      <c r="BS523" s="800" t="s">
        <v>1942</v>
      </c>
      <c r="BT523" s="800" t="s">
        <v>1942</v>
      </c>
      <c r="BU523" s="805" t="s">
        <v>1942</v>
      </c>
      <c r="BV523" s="808" t="s">
        <v>1942</v>
      </c>
      <c r="BW523" s="800" t="s">
        <v>1942</v>
      </c>
      <c r="BX523" s="800" t="s">
        <v>1942</v>
      </c>
      <c r="BY523" s="800" t="s">
        <v>1942</v>
      </c>
      <c r="BZ523" s="800" t="s">
        <v>1942</v>
      </c>
      <c r="CA523" s="808" t="s">
        <v>1942</v>
      </c>
      <c r="CB523" s="800" t="s">
        <v>1942</v>
      </c>
      <c r="CC523" s="800" t="s">
        <v>1942</v>
      </c>
      <c r="CD523" s="800" t="s">
        <v>1942</v>
      </c>
      <c r="CE523" s="805" t="s">
        <v>1942</v>
      </c>
      <c r="CF523" s="800" t="s">
        <v>1942</v>
      </c>
      <c r="CG523" s="800" t="s">
        <v>1942</v>
      </c>
      <c r="CH523" s="800" t="s">
        <v>1942</v>
      </c>
      <c r="CI523" s="800" t="s">
        <v>1942</v>
      </c>
      <c r="CJ523" s="805" t="s">
        <v>1942</v>
      </c>
      <c r="CK523" s="808" t="s">
        <v>1942</v>
      </c>
      <c r="CL523" s="800" t="s">
        <v>1942</v>
      </c>
      <c r="CM523" s="800" t="s">
        <v>1942</v>
      </c>
      <c r="CN523" s="800" t="s">
        <v>1942</v>
      </c>
      <c r="CO523" s="805" t="s">
        <v>1942</v>
      </c>
      <c r="CP523" s="808" t="s">
        <v>1942</v>
      </c>
      <c r="CQ523" s="800" t="s">
        <v>1942</v>
      </c>
      <c r="CR523" s="800" t="s">
        <v>1942</v>
      </c>
      <c r="CS523" s="800" t="s">
        <v>1942</v>
      </c>
      <c r="CT523" s="805" t="s">
        <v>1942</v>
      </c>
      <c r="CU523" s="1284" t="s">
        <v>1942</v>
      </c>
      <c r="CV523" s="1283" t="s">
        <v>1942</v>
      </c>
      <c r="CW523" s="1283" t="s">
        <v>1942</v>
      </c>
      <c r="CX523" s="1285" t="s">
        <v>1942</v>
      </c>
      <c r="CY523" s="1283">
        <v>1.36E-4</v>
      </c>
      <c r="CZ523" s="1283" t="s">
        <v>1942</v>
      </c>
      <c r="DA523" s="1283" t="s">
        <v>1942</v>
      </c>
      <c r="DB523" s="1285" t="s">
        <v>1942</v>
      </c>
      <c r="DC523" s="785" t="s">
        <v>1942</v>
      </c>
      <c r="DD523" s="813">
        <v>1</v>
      </c>
      <c r="DE523" s="814" t="s">
        <v>1942</v>
      </c>
    </row>
    <row r="524" spans="1:109" ht="15.75" hidden="1" customHeight="1">
      <c r="A524" s="772" t="s">
        <v>1050</v>
      </c>
      <c r="B524" s="773">
        <v>518</v>
      </c>
      <c r="C524" s="789" t="s">
        <v>4131</v>
      </c>
      <c r="D524" s="773" t="s">
        <v>4118</v>
      </c>
      <c r="E524" s="773" t="s">
        <v>1907</v>
      </c>
      <c r="F524" s="785" t="s">
        <v>4132</v>
      </c>
      <c r="G524" s="790" t="s">
        <v>4133</v>
      </c>
      <c r="H524" s="791" t="s">
        <v>4134</v>
      </c>
      <c r="I524" s="792"/>
      <c r="J524" s="793">
        <v>0.5</v>
      </c>
      <c r="K524" s="793">
        <v>0.5</v>
      </c>
      <c r="L524" s="793"/>
      <c r="M524" s="793"/>
      <c r="N524" s="793"/>
      <c r="O524" s="793"/>
      <c r="P524" s="794"/>
      <c r="Q524" s="795">
        <f t="shared" si="8"/>
        <v>1</v>
      </c>
      <c r="R524" s="789" t="s">
        <v>1017</v>
      </c>
      <c r="S524" s="773" t="s">
        <v>1008</v>
      </c>
      <c r="T524" s="796" t="s">
        <v>1009</v>
      </c>
      <c r="U524" s="773" t="s">
        <v>2117</v>
      </c>
      <c r="V524" s="773" t="s">
        <v>1033</v>
      </c>
      <c r="W524" s="773" t="s">
        <v>4135</v>
      </c>
      <c r="X524" s="829">
        <v>0</v>
      </c>
      <c r="Y524" s="798" t="s">
        <v>1010</v>
      </c>
      <c r="Z524" s="790" t="s">
        <v>1942</v>
      </c>
      <c r="AA524" s="785"/>
      <c r="AB524" s="785"/>
      <c r="AC524" s="785"/>
      <c r="AD524" s="785"/>
      <c r="AE524" s="785"/>
      <c r="AF524" s="799"/>
      <c r="AG524" s="935"/>
      <c r="AH524" s="935"/>
      <c r="AI524" s="935"/>
      <c r="AJ524" s="935"/>
      <c r="AK524" s="935"/>
      <c r="AL524" s="935"/>
      <c r="AM524" s="935"/>
      <c r="AN524" s="935"/>
      <c r="AO524" s="935"/>
      <c r="AP524" s="935"/>
      <c r="AQ524" s="936">
        <v>0</v>
      </c>
      <c r="AR524" s="935">
        <v>0</v>
      </c>
      <c r="AS524" s="935">
        <v>0</v>
      </c>
      <c r="AT524" s="935">
        <v>0</v>
      </c>
      <c r="AU524" s="937">
        <v>0</v>
      </c>
      <c r="AV524" s="936"/>
      <c r="AW524" s="935"/>
      <c r="AX524" s="935"/>
      <c r="AY524" s="935"/>
      <c r="AZ524" s="935"/>
      <c r="BA524" s="935"/>
      <c r="BB524" s="935"/>
      <c r="BC524" s="935"/>
      <c r="BD524" s="935"/>
      <c r="BE524" s="935"/>
      <c r="BF524" s="935"/>
      <c r="BG524" s="935"/>
      <c r="BH524" s="935"/>
      <c r="BI524" s="935"/>
      <c r="BJ524" s="935"/>
      <c r="BK524" s="937"/>
      <c r="BL524" s="789" t="s">
        <v>168</v>
      </c>
      <c r="BM524" s="785" t="s">
        <v>168</v>
      </c>
      <c r="BN524" s="785" t="s">
        <v>168</v>
      </c>
      <c r="BO524" s="785" t="s">
        <v>168</v>
      </c>
      <c r="BP524" s="796" t="s">
        <v>168</v>
      </c>
      <c r="BQ524" s="808" t="s">
        <v>1942</v>
      </c>
      <c r="BR524" s="800" t="s">
        <v>1942</v>
      </c>
      <c r="BS524" s="800" t="s">
        <v>1942</v>
      </c>
      <c r="BT524" s="800" t="s">
        <v>1942</v>
      </c>
      <c r="BU524" s="805" t="s">
        <v>1942</v>
      </c>
      <c r="BV524" s="808" t="s">
        <v>1942</v>
      </c>
      <c r="BW524" s="800" t="s">
        <v>1942</v>
      </c>
      <c r="BX524" s="800" t="s">
        <v>1942</v>
      </c>
      <c r="BY524" s="800" t="s">
        <v>1942</v>
      </c>
      <c r="BZ524" s="800" t="s">
        <v>1942</v>
      </c>
      <c r="CA524" s="808" t="s">
        <v>1942</v>
      </c>
      <c r="CB524" s="800" t="s">
        <v>1942</v>
      </c>
      <c r="CC524" s="800" t="s">
        <v>1942</v>
      </c>
      <c r="CD524" s="800" t="s">
        <v>1942</v>
      </c>
      <c r="CE524" s="805" t="s">
        <v>1942</v>
      </c>
      <c r="CF524" s="800" t="s">
        <v>1942</v>
      </c>
      <c r="CG524" s="800" t="s">
        <v>1942</v>
      </c>
      <c r="CH524" s="800" t="s">
        <v>1942</v>
      </c>
      <c r="CI524" s="800" t="s">
        <v>1942</v>
      </c>
      <c r="CJ524" s="800" t="s">
        <v>1942</v>
      </c>
      <c r="CK524" s="808" t="s">
        <v>1942</v>
      </c>
      <c r="CL524" s="800" t="s">
        <v>1942</v>
      </c>
      <c r="CM524" s="800" t="s">
        <v>1942</v>
      </c>
      <c r="CN524" s="800" t="s">
        <v>1942</v>
      </c>
      <c r="CO524" s="805" t="s">
        <v>1942</v>
      </c>
      <c r="CP524" s="808" t="s">
        <v>1942</v>
      </c>
      <c r="CQ524" s="800" t="s">
        <v>1942</v>
      </c>
      <c r="CR524" s="800" t="s">
        <v>1942</v>
      </c>
      <c r="CS524" s="800" t="s">
        <v>1942</v>
      </c>
      <c r="CT524" s="805" t="s">
        <v>1942</v>
      </c>
      <c r="CU524" s="1284" t="s">
        <v>1942</v>
      </c>
      <c r="CV524" s="1283" t="s">
        <v>1942</v>
      </c>
      <c r="CW524" s="1283" t="s">
        <v>1942</v>
      </c>
      <c r="CX524" s="1285" t="s">
        <v>1942</v>
      </c>
      <c r="CY524" s="1283">
        <v>3.0600000000000001E-4</v>
      </c>
      <c r="CZ524" s="1283" t="s">
        <v>1942</v>
      </c>
      <c r="DA524" s="1283" t="s">
        <v>1942</v>
      </c>
      <c r="DB524" s="1285" t="s">
        <v>1942</v>
      </c>
      <c r="DC524" s="785" t="s">
        <v>1942</v>
      </c>
      <c r="DD524" s="813">
        <v>1</v>
      </c>
      <c r="DE524" s="814" t="s">
        <v>1942</v>
      </c>
    </row>
    <row r="525" spans="1:109" ht="15.75" hidden="1" customHeight="1">
      <c r="A525" s="772" t="s">
        <v>1050</v>
      </c>
      <c r="B525" s="773">
        <v>519</v>
      </c>
      <c r="C525" s="789" t="s">
        <v>4136</v>
      </c>
      <c r="D525" s="773" t="s">
        <v>4118</v>
      </c>
      <c r="E525" s="773" t="s">
        <v>1907</v>
      </c>
      <c r="F525" s="785" t="s">
        <v>4137</v>
      </c>
      <c r="G525" s="790" t="s">
        <v>4138</v>
      </c>
      <c r="H525" s="791" t="s">
        <v>4139</v>
      </c>
      <c r="I525" s="792"/>
      <c r="J525" s="793"/>
      <c r="K525" s="793"/>
      <c r="L525" s="793"/>
      <c r="M525" s="793">
        <v>1</v>
      </c>
      <c r="N525" s="793"/>
      <c r="O525" s="793"/>
      <c r="P525" s="794"/>
      <c r="Q525" s="795">
        <f t="shared" si="8"/>
        <v>1</v>
      </c>
      <c r="R525" s="789" t="s">
        <v>1017</v>
      </c>
      <c r="S525" s="773" t="s">
        <v>1008</v>
      </c>
      <c r="T525" s="796" t="s">
        <v>1009</v>
      </c>
      <c r="U525" s="773" t="s">
        <v>2117</v>
      </c>
      <c r="V525" s="773" t="s">
        <v>1033</v>
      </c>
      <c r="W525" s="773" t="s">
        <v>4140</v>
      </c>
      <c r="X525" s="829">
        <v>0</v>
      </c>
      <c r="Y525" s="798" t="s">
        <v>1010</v>
      </c>
      <c r="Z525" s="790"/>
      <c r="AA525" s="785"/>
      <c r="AB525" s="785"/>
      <c r="AC525" s="785"/>
      <c r="AD525" s="785"/>
      <c r="AE525" s="785"/>
      <c r="AF525" s="799"/>
      <c r="AG525" s="941"/>
      <c r="AH525" s="941"/>
      <c r="AI525" s="941"/>
      <c r="AJ525" s="941"/>
      <c r="AK525" s="941"/>
      <c r="AL525" s="941"/>
      <c r="AM525" s="941"/>
      <c r="AN525" s="941"/>
      <c r="AO525" s="941"/>
      <c r="AP525" s="941"/>
      <c r="AQ525" s="942">
        <v>0</v>
      </c>
      <c r="AR525" s="941">
        <v>0</v>
      </c>
      <c r="AS525" s="941">
        <v>0</v>
      </c>
      <c r="AT525" s="941">
        <v>0</v>
      </c>
      <c r="AU525" s="943">
        <v>0</v>
      </c>
      <c r="AV525" s="942"/>
      <c r="AW525" s="941"/>
      <c r="AX525" s="941"/>
      <c r="AY525" s="941"/>
      <c r="AZ525" s="941"/>
      <c r="BA525" s="941"/>
      <c r="BB525" s="941"/>
      <c r="BC525" s="941"/>
      <c r="BD525" s="941"/>
      <c r="BE525" s="941"/>
      <c r="BF525" s="941"/>
      <c r="BG525" s="941"/>
      <c r="BH525" s="941"/>
      <c r="BI525" s="941"/>
      <c r="BJ525" s="941"/>
      <c r="BK525" s="943"/>
      <c r="BL525" s="789" t="s">
        <v>168</v>
      </c>
      <c r="BM525" s="785" t="s">
        <v>168</v>
      </c>
      <c r="BN525" s="785" t="s">
        <v>168</v>
      </c>
      <c r="BO525" s="785" t="s">
        <v>168</v>
      </c>
      <c r="BP525" s="796" t="s">
        <v>168</v>
      </c>
      <c r="BQ525" s="843" t="s">
        <v>1942</v>
      </c>
      <c r="BR525" s="842" t="s">
        <v>1942</v>
      </c>
      <c r="BS525" s="842" t="s">
        <v>1942</v>
      </c>
      <c r="BT525" s="842" t="s">
        <v>1942</v>
      </c>
      <c r="BU525" s="844" t="s">
        <v>1942</v>
      </c>
      <c r="BV525" s="808" t="s">
        <v>1942</v>
      </c>
      <c r="BW525" s="800" t="s">
        <v>1942</v>
      </c>
      <c r="BX525" s="800" t="s">
        <v>1942</v>
      </c>
      <c r="BY525" s="800" t="s">
        <v>1942</v>
      </c>
      <c r="BZ525" s="800" t="s">
        <v>1942</v>
      </c>
      <c r="CA525" s="843" t="s">
        <v>1942</v>
      </c>
      <c r="CB525" s="842" t="s">
        <v>1942</v>
      </c>
      <c r="CC525" s="842" t="s">
        <v>1942</v>
      </c>
      <c r="CD525" s="842" t="s">
        <v>1942</v>
      </c>
      <c r="CE525" s="844" t="s">
        <v>1942</v>
      </c>
      <c r="CF525" s="842" t="s">
        <v>1942</v>
      </c>
      <c r="CG525" s="842" t="s">
        <v>1942</v>
      </c>
      <c r="CH525" s="842" t="s">
        <v>1942</v>
      </c>
      <c r="CI525" s="842" t="s">
        <v>1942</v>
      </c>
      <c r="CJ525" s="844" t="s">
        <v>1942</v>
      </c>
      <c r="CK525" s="843" t="s">
        <v>1942</v>
      </c>
      <c r="CL525" s="842" t="s">
        <v>1942</v>
      </c>
      <c r="CM525" s="842" t="s">
        <v>1942</v>
      </c>
      <c r="CN525" s="842" t="s">
        <v>1942</v>
      </c>
      <c r="CO525" s="844" t="s">
        <v>1942</v>
      </c>
      <c r="CP525" s="843" t="s">
        <v>1942</v>
      </c>
      <c r="CQ525" s="843" t="s">
        <v>1942</v>
      </c>
      <c r="CR525" s="843" t="s">
        <v>1942</v>
      </c>
      <c r="CS525" s="843" t="s">
        <v>1942</v>
      </c>
      <c r="CT525" s="843" t="s">
        <v>1942</v>
      </c>
      <c r="CU525" s="1284">
        <v>0</v>
      </c>
      <c r="CV525" s="1284" t="s">
        <v>1942</v>
      </c>
      <c r="CW525" s="1284" t="s">
        <v>1942</v>
      </c>
      <c r="CX525" s="1285" t="s">
        <v>1942</v>
      </c>
      <c r="CY525" s="1283">
        <v>1.2999999999999999E-5</v>
      </c>
      <c r="CZ525" s="1283" t="s">
        <v>1942</v>
      </c>
      <c r="DA525" s="1283" t="s">
        <v>1942</v>
      </c>
      <c r="DB525" s="1285" t="s">
        <v>1942</v>
      </c>
      <c r="DC525" s="785"/>
      <c r="DD525" s="813">
        <v>1</v>
      </c>
      <c r="DE525" s="814"/>
    </row>
    <row r="526" spans="1:109" ht="15.75" hidden="1" customHeight="1">
      <c r="A526" s="772" t="s">
        <v>1050</v>
      </c>
      <c r="B526" s="773">
        <v>520</v>
      </c>
      <c r="C526" s="789" t="s">
        <v>4141</v>
      </c>
      <c r="D526" s="773" t="s">
        <v>4118</v>
      </c>
      <c r="E526" s="773" t="s">
        <v>1907</v>
      </c>
      <c r="F526" s="785" t="s">
        <v>4142</v>
      </c>
      <c r="G526" s="790" t="s">
        <v>4143</v>
      </c>
      <c r="H526" s="791" t="s">
        <v>4144</v>
      </c>
      <c r="I526" s="792"/>
      <c r="J526" s="793">
        <v>0.5</v>
      </c>
      <c r="K526" s="793">
        <v>0.5</v>
      </c>
      <c r="L526" s="793"/>
      <c r="M526" s="793"/>
      <c r="N526" s="793"/>
      <c r="O526" s="793"/>
      <c r="P526" s="794"/>
      <c r="Q526" s="795">
        <f t="shared" si="8"/>
        <v>1</v>
      </c>
      <c r="R526" s="789" t="s">
        <v>1007</v>
      </c>
      <c r="S526" s="773"/>
      <c r="T526" s="796"/>
      <c r="U526" s="773" t="s">
        <v>1904</v>
      </c>
      <c r="V526" s="773" t="s">
        <v>1033</v>
      </c>
      <c r="W526" s="773" t="s">
        <v>4145</v>
      </c>
      <c r="X526" s="829">
        <v>0</v>
      </c>
      <c r="Y526" s="819" t="s">
        <v>1010</v>
      </c>
      <c r="Z526" s="790"/>
      <c r="AA526" s="785"/>
      <c r="AB526" s="785"/>
      <c r="AC526" s="785"/>
      <c r="AD526" s="785"/>
      <c r="AE526" s="785"/>
      <c r="AF526" s="799"/>
      <c r="AG526" s="935"/>
      <c r="AH526" s="935"/>
      <c r="AI526" s="935"/>
      <c r="AJ526" s="935"/>
      <c r="AK526" s="935"/>
      <c r="AL526" s="935"/>
      <c r="AM526" s="935"/>
      <c r="AN526" s="852"/>
      <c r="AO526" s="852"/>
      <c r="AP526" s="852"/>
      <c r="AQ526" s="851">
        <v>1</v>
      </c>
      <c r="AR526" s="852">
        <v>2</v>
      </c>
      <c r="AS526" s="852">
        <v>2</v>
      </c>
      <c r="AT526" s="852">
        <v>2</v>
      </c>
      <c r="AU526" s="944">
        <v>2</v>
      </c>
      <c r="AV526" s="851"/>
      <c r="AW526" s="852"/>
      <c r="AX526" s="852"/>
      <c r="AY526" s="852"/>
      <c r="AZ526" s="852"/>
      <c r="BA526" s="852"/>
      <c r="BB526" s="852"/>
      <c r="BC526" s="852"/>
      <c r="BD526" s="852"/>
      <c r="BE526" s="852"/>
      <c r="BF526" s="852"/>
      <c r="BG526" s="852"/>
      <c r="BH526" s="852"/>
      <c r="BI526" s="852"/>
      <c r="BJ526" s="852"/>
      <c r="BK526" s="944"/>
      <c r="BL526" s="789"/>
      <c r="BM526" s="785"/>
      <c r="BN526" s="785"/>
      <c r="BO526" s="785"/>
      <c r="BP526" s="796"/>
      <c r="BQ526" s="808" t="s">
        <v>1942</v>
      </c>
      <c r="BR526" s="800" t="s">
        <v>1942</v>
      </c>
      <c r="BS526" s="800" t="s">
        <v>1942</v>
      </c>
      <c r="BT526" s="800" t="s">
        <v>1942</v>
      </c>
      <c r="BU526" s="805" t="s">
        <v>1942</v>
      </c>
      <c r="BV526" s="808" t="s">
        <v>1942</v>
      </c>
      <c r="BW526" s="800" t="s">
        <v>1942</v>
      </c>
      <c r="BX526" s="800" t="s">
        <v>1942</v>
      </c>
      <c r="BY526" s="800" t="s">
        <v>1942</v>
      </c>
      <c r="BZ526" s="800" t="s">
        <v>1942</v>
      </c>
      <c r="CA526" s="808" t="s">
        <v>1942</v>
      </c>
      <c r="CB526" s="800" t="s">
        <v>1942</v>
      </c>
      <c r="CC526" s="800" t="s">
        <v>1942</v>
      </c>
      <c r="CD526" s="800" t="s">
        <v>1942</v>
      </c>
      <c r="CE526" s="805" t="s">
        <v>1942</v>
      </c>
      <c r="CF526" s="800" t="s">
        <v>1942</v>
      </c>
      <c r="CG526" s="800" t="s">
        <v>1942</v>
      </c>
      <c r="CH526" s="800" t="s">
        <v>1942</v>
      </c>
      <c r="CI526" s="800" t="s">
        <v>1942</v>
      </c>
      <c r="CJ526" s="805" t="s">
        <v>1942</v>
      </c>
      <c r="CK526" s="808" t="s">
        <v>1942</v>
      </c>
      <c r="CL526" s="800" t="s">
        <v>1942</v>
      </c>
      <c r="CM526" s="800" t="s">
        <v>1942</v>
      </c>
      <c r="CN526" s="800" t="s">
        <v>1942</v>
      </c>
      <c r="CO526" s="805" t="s">
        <v>1942</v>
      </c>
      <c r="CP526" s="808" t="s">
        <v>1942</v>
      </c>
      <c r="CQ526" s="800" t="s">
        <v>1942</v>
      </c>
      <c r="CR526" s="800" t="s">
        <v>1942</v>
      </c>
      <c r="CS526" s="800" t="s">
        <v>1942</v>
      </c>
      <c r="CT526" s="805" t="s">
        <v>1942</v>
      </c>
      <c r="CU526" s="1284" t="s">
        <v>1942</v>
      </c>
      <c r="CV526" s="1283" t="s">
        <v>1942</v>
      </c>
      <c r="CW526" s="1283" t="s">
        <v>1942</v>
      </c>
      <c r="CX526" s="1285" t="s">
        <v>1942</v>
      </c>
      <c r="CY526" s="1283" t="s">
        <v>1942</v>
      </c>
      <c r="CZ526" s="1283" t="s">
        <v>1942</v>
      </c>
      <c r="DA526" s="1283" t="s">
        <v>1942</v>
      </c>
      <c r="DB526" s="1285" t="s">
        <v>1942</v>
      </c>
      <c r="DC526" s="785" t="s">
        <v>131</v>
      </c>
      <c r="DD526" s="813">
        <v>1</v>
      </c>
      <c r="DE526" s="814" t="s">
        <v>1942</v>
      </c>
    </row>
    <row r="527" spans="1:109" ht="15.75" hidden="1" customHeight="1">
      <c r="A527" s="772" t="s">
        <v>1050</v>
      </c>
      <c r="B527" s="773">
        <v>521</v>
      </c>
      <c r="C527" s="789" t="s">
        <v>4146</v>
      </c>
      <c r="D527" s="773" t="s">
        <v>4118</v>
      </c>
      <c r="E527" s="773" t="s">
        <v>1907</v>
      </c>
      <c r="F527" s="785" t="s">
        <v>4147</v>
      </c>
      <c r="G527" s="790" t="s">
        <v>4148</v>
      </c>
      <c r="H527" s="791" t="s">
        <v>4149</v>
      </c>
      <c r="I527" s="792"/>
      <c r="J527" s="793">
        <v>1</v>
      </c>
      <c r="K527" s="793"/>
      <c r="L527" s="793"/>
      <c r="M527" s="793"/>
      <c r="N527" s="793"/>
      <c r="O527" s="793"/>
      <c r="P527" s="794"/>
      <c r="Q527" s="795">
        <f t="shared" si="8"/>
        <v>1</v>
      </c>
      <c r="R527" s="789" t="s">
        <v>2194</v>
      </c>
      <c r="S527" s="773" t="s">
        <v>1008</v>
      </c>
      <c r="T527" s="796" t="s">
        <v>1019</v>
      </c>
      <c r="U527" s="773" t="s">
        <v>1910</v>
      </c>
      <c r="V527" s="773" t="s">
        <v>1033</v>
      </c>
      <c r="W527" s="773" t="s">
        <v>4150</v>
      </c>
      <c r="X527" s="829">
        <v>0</v>
      </c>
      <c r="Y527" s="819" t="s">
        <v>1010</v>
      </c>
      <c r="Z527" s="790" t="s">
        <v>1942</v>
      </c>
      <c r="AA527" s="785"/>
      <c r="AB527" s="785"/>
      <c r="AC527" s="785"/>
      <c r="AD527" s="785"/>
      <c r="AE527" s="785"/>
      <c r="AF527" s="799"/>
      <c r="AG527" s="935"/>
      <c r="AH527" s="935"/>
      <c r="AI527" s="935"/>
      <c r="AJ527" s="935"/>
      <c r="AK527" s="935"/>
      <c r="AL527" s="935"/>
      <c r="AM527" s="935"/>
      <c r="AN527" s="935"/>
      <c r="AO527" s="935"/>
      <c r="AP527" s="935"/>
      <c r="AQ527" s="936" t="s">
        <v>1942</v>
      </c>
      <c r="AR527" s="935" t="s">
        <v>1942</v>
      </c>
      <c r="AS527" s="935" t="s">
        <v>1942</v>
      </c>
      <c r="AT527" s="2027">
        <v>1</v>
      </c>
      <c r="AU527" s="937" t="s">
        <v>1942</v>
      </c>
      <c r="AV527" s="936"/>
      <c r="AW527" s="935"/>
      <c r="AX527" s="935"/>
      <c r="AY527" s="935"/>
      <c r="AZ527" s="935"/>
      <c r="BA527" s="935"/>
      <c r="BB527" s="935"/>
      <c r="BC527" s="935"/>
      <c r="BD527" s="935"/>
      <c r="BE527" s="935"/>
      <c r="BF527" s="935"/>
      <c r="BG527" s="935"/>
      <c r="BH527" s="935"/>
      <c r="BI527" s="935"/>
      <c r="BJ527" s="935"/>
      <c r="BK527" s="937"/>
      <c r="BL527" s="1955" t="s">
        <v>168</v>
      </c>
      <c r="BM527" s="1956" t="s">
        <v>168</v>
      </c>
      <c r="BN527" s="1956" t="s">
        <v>168</v>
      </c>
      <c r="BO527" s="1956" t="s">
        <v>168</v>
      </c>
      <c r="BP527" s="796"/>
      <c r="BQ527" s="808" t="s">
        <v>1942</v>
      </c>
      <c r="BR527" s="800" t="s">
        <v>1942</v>
      </c>
      <c r="BS527" s="800" t="s">
        <v>1942</v>
      </c>
      <c r="BT527" s="800" t="s">
        <v>1942</v>
      </c>
      <c r="BU527" s="805" t="s">
        <v>1942</v>
      </c>
      <c r="BV527" s="808" t="s">
        <v>1942</v>
      </c>
      <c r="BW527" s="800" t="s">
        <v>1942</v>
      </c>
      <c r="BX527" s="800" t="s">
        <v>1942</v>
      </c>
      <c r="BY527" s="800" t="s">
        <v>1942</v>
      </c>
      <c r="BZ527" s="800" t="s">
        <v>1942</v>
      </c>
      <c r="CA527" s="808" t="s">
        <v>1942</v>
      </c>
      <c r="CB527" s="800" t="s">
        <v>1942</v>
      </c>
      <c r="CC527" s="800" t="s">
        <v>1942</v>
      </c>
      <c r="CD527" s="800" t="s">
        <v>1942</v>
      </c>
      <c r="CE527" s="805" t="s">
        <v>1942</v>
      </c>
      <c r="CF527" s="800" t="s">
        <v>1942</v>
      </c>
      <c r="CG527" s="800" t="s">
        <v>1942</v>
      </c>
      <c r="CH527" s="800" t="s">
        <v>1942</v>
      </c>
      <c r="CI527" s="800" t="s">
        <v>1942</v>
      </c>
      <c r="CJ527" s="805" t="s">
        <v>1942</v>
      </c>
      <c r="CK527" s="808" t="s">
        <v>1942</v>
      </c>
      <c r="CL527" s="800" t="s">
        <v>1942</v>
      </c>
      <c r="CM527" s="800" t="s">
        <v>1942</v>
      </c>
      <c r="CN527" s="800" t="s">
        <v>1942</v>
      </c>
      <c r="CO527" s="805" t="s">
        <v>1942</v>
      </c>
      <c r="CP527" s="808" t="s">
        <v>1942</v>
      </c>
      <c r="CQ527" s="800" t="s">
        <v>1942</v>
      </c>
      <c r="CR527" s="800" t="s">
        <v>1942</v>
      </c>
      <c r="CS527" s="800" t="s">
        <v>1942</v>
      </c>
      <c r="CT527" s="805" t="s">
        <v>1942</v>
      </c>
      <c r="CU527" s="1284" t="s">
        <v>1942</v>
      </c>
      <c r="CV527" s="1283" t="s">
        <v>1942</v>
      </c>
      <c r="CW527" s="1283" t="s">
        <v>1942</v>
      </c>
      <c r="CX527" s="1285" t="s">
        <v>1942</v>
      </c>
      <c r="CY527" s="1283" t="s">
        <v>1942</v>
      </c>
      <c r="CZ527" s="1283" t="s">
        <v>1942</v>
      </c>
      <c r="DA527" s="1283" t="s">
        <v>1942</v>
      </c>
      <c r="DB527" s="1285" t="s">
        <v>1942</v>
      </c>
      <c r="DC527" s="785"/>
      <c r="DD527" s="813"/>
      <c r="DE527" s="814"/>
    </row>
    <row r="528" spans="1:109" ht="15.75" hidden="1" customHeight="1">
      <c r="A528" s="772" t="s">
        <v>1050</v>
      </c>
      <c r="B528" s="773">
        <v>522</v>
      </c>
      <c r="C528" s="789" t="s">
        <v>4151</v>
      </c>
      <c r="D528" s="773" t="s">
        <v>4118</v>
      </c>
      <c r="E528" s="773" t="s">
        <v>1896</v>
      </c>
      <c r="F528" s="785" t="s">
        <v>4152</v>
      </c>
      <c r="G528" s="790" t="s">
        <v>4153</v>
      </c>
      <c r="H528" s="791" t="s">
        <v>4154</v>
      </c>
      <c r="I528" s="792"/>
      <c r="J528" s="793"/>
      <c r="K528" s="793"/>
      <c r="L528" s="793"/>
      <c r="M528" s="793">
        <v>1</v>
      </c>
      <c r="N528" s="793"/>
      <c r="O528" s="793"/>
      <c r="P528" s="794"/>
      <c r="Q528" s="795">
        <f t="shared" si="8"/>
        <v>1</v>
      </c>
      <c r="R528" s="789" t="s">
        <v>1007</v>
      </c>
      <c r="S528" s="773"/>
      <c r="T528" s="796"/>
      <c r="U528" s="773" t="s">
        <v>2677</v>
      </c>
      <c r="V528" s="773" t="s">
        <v>278</v>
      </c>
      <c r="W528" s="773" t="s">
        <v>4155</v>
      </c>
      <c r="X528" s="829">
        <v>0</v>
      </c>
      <c r="Y528" s="821" t="s">
        <v>1010</v>
      </c>
      <c r="Z528" s="790"/>
      <c r="AA528" s="785"/>
      <c r="AB528" s="785"/>
      <c r="AC528" s="785"/>
      <c r="AD528" s="785"/>
      <c r="AE528" s="785"/>
      <c r="AF528" s="799"/>
      <c r="AG528" s="935"/>
      <c r="AH528" s="935"/>
      <c r="AI528" s="935"/>
      <c r="AJ528" s="935"/>
      <c r="AK528" s="935"/>
      <c r="AL528" s="935"/>
      <c r="AM528" s="935"/>
      <c r="AN528" s="935"/>
      <c r="AO528" s="935"/>
      <c r="AP528" s="935"/>
      <c r="AQ528" s="936">
        <v>71</v>
      </c>
      <c r="AR528" s="935">
        <v>72</v>
      </c>
      <c r="AS528" s="935">
        <v>73</v>
      </c>
      <c r="AT528" s="935">
        <v>74</v>
      </c>
      <c r="AU528" s="937">
        <v>75</v>
      </c>
      <c r="AV528" s="936"/>
      <c r="AW528" s="935"/>
      <c r="AX528" s="935"/>
      <c r="AY528" s="935"/>
      <c r="AZ528" s="935"/>
      <c r="BA528" s="945"/>
      <c r="BB528" s="945"/>
      <c r="BC528" s="945"/>
      <c r="BD528" s="945"/>
      <c r="BE528" s="945"/>
      <c r="BF528" s="945"/>
      <c r="BG528" s="945"/>
      <c r="BH528" s="945"/>
      <c r="BI528" s="945"/>
      <c r="BJ528" s="945"/>
      <c r="BK528" s="946"/>
      <c r="BL528" s="789"/>
      <c r="BM528" s="785"/>
      <c r="BN528" s="785"/>
      <c r="BO528" s="785"/>
      <c r="BP528" s="796"/>
      <c r="BQ528" s="808" t="s">
        <v>1942</v>
      </c>
      <c r="BR528" s="800" t="s">
        <v>1942</v>
      </c>
      <c r="BS528" s="800" t="s">
        <v>1942</v>
      </c>
      <c r="BT528" s="800" t="s">
        <v>1942</v>
      </c>
      <c r="BU528" s="805" t="s">
        <v>1942</v>
      </c>
      <c r="BV528" s="808" t="s">
        <v>1942</v>
      </c>
      <c r="BW528" s="800" t="s">
        <v>1942</v>
      </c>
      <c r="BX528" s="800" t="s">
        <v>1942</v>
      </c>
      <c r="BY528" s="800" t="s">
        <v>1942</v>
      </c>
      <c r="BZ528" s="800" t="s">
        <v>1942</v>
      </c>
      <c r="CA528" s="808" t="s">
        <v>1942</v>
      </c>
      <c r="CB528" s="800" t="s">
        <v>1942</v>
      </c>
      <c r="CC528" s="800" t="s">
        <v>1942</v>
      </c>
      <c r="CD528" s="800" t="s">
        <v>1942</v>
      </c>
      <c r="CE528" s="805" t="s">
        <v>1942</v>
      </c>
      <c r="CF528" s="800" t="s">
        <v>1942</v>
      </c>
      <c r="CG528" s="800" t="s">
        <v>1942</v>
      </c>
      <c r="CH528" s="800" t="s">
        <v>1942</v>
      </c>
      <c r="CI528" s="800" t="s">
        <v>1942</v>
      </c>
      <c r="CJ528" s="805" t="s">
        <v>1942</v>
      </c>
      <c r="CK528" s="808" t="s">
        <v>1942</v>
      </c>
      <c r="CL528" s="800" t="s">
        <v>1942</v>
      </c>
      <c r="CM528" s="800" t="s">
        <v>1942</v>
      </c>
      <c r="CN528" s="800" t="s">
        <v>1942</v>
      </c>
      <c r="CO528" s="805" t="s">
        <v>1942</v>
      </c>
      <c r="CP528" s="808" t="s">
        <v>1942</v>
      </c>
      <c r="CQ528" s="800" t="s">
        <v>1942</v>
      </c>
      <c r="CR528" s="800" t="s">
        <v>1942</v>
      </c>
      <c r="CS528" s="800" t="s">
        <v>1942</v>
      </c>
      <c r="CT528" s="805" t="s">
        <v>1942</v>
      </c>
      <c r="CU528" s="1284" t="s">
        <v>1942</v>
      </c>
      <c r="CV528" s="1283" t="s">
        <v>1942</v>
      </c>
      <c r="CW528" s="1283" t="s">
        <v>1942</v>
      </c>
      <c r="CX528" s="1285" t="s">
        <v>1942</v>
      </c>
      <c r="CY528" s="1283" t="s">
        <v>1942</v>
      </c>
      <c r="CZ528" s="1283" t="s">
        <v>1942</v>
      </c>
      <c r="DA528" s="1283" t="s">
        <v>1942</v>
      </c>
      <c r="DB528" s="1285" t="s">
        <v>1942</v>
      </c>
      <c r="DC528" s="785"/>
      <c r="DD528" s="813">
        <v>1</v>
      </c>
      <c r="DE528" s="814"/>
    </row>
    <row r="529" spans="1:109" ht="15.75" hidden="1" customHeight="1">
      <c r="A529" s="772" t="s">
        <v>1050</v>
      </c>
      <c r="B529" s="773">
        <v>523</v>
      </c>
      <c r="C529" s="789" t="s">
        <v>4156</v>
      </c>
      <c r="D529" s="773" t="s">
        <v>4157</v>
      </c>
      <c r="E529" s="773" t="s">
        <v>1889</v>
      </c>
      <c r="F529" s="785" t="s">
        <v>4158</v>
      </c>
      <c r="G529" s="790" t="s">
        <v>743</v>
      </c>
      <c r="H529" s="791" t="s">
        <v>3988</v>
      </c>
      <c r="I529" s="792"/>
      <c r="J529" s="793"/>
      <c r="K529" s="793">
        <v>1</v>
      </c>
      <c r="L529" s="793"/>
      <c r="M529" s="793"/>
      <c r="N529" s="793"/>
      <c r="O529" s="793"/>
      <c r="P529" s="794"/>
      <c r="Q529" s="795">
        <f t="shared" si="8"/>
        <v>1</v>
      </c>
      <c r="R529" s="789" t="s">
        <v>1026</v>
      </c>
      <c r="S529" s="773" t="s">
        <v>1008</v>
      </c>
      <c r="T529" s="796" t="s">
        <v>1009</v>
      </c>
      <c r="U529" s="773" t="s">
        <v>2081</v>
      </c>
      <c r="V529" s="773" t="s">
        <v>1033</v>
      </c>
      <c r="W529" s="773" t="s">
        <v>4159</v>
      </c>
      <c r="X529" s="1274">
        <v>2</v>
      </c>
      <c r="Y529" s="819" t="s">
        <v>1020</v>
      </c>
      <c r="Z529" s="790" t="s">
        <v>743</v>
      </c>
      <c r="AA529" s="785"/>
      <c r="AB529" s="785"/>
      <c r="AC529" s="785"/>
      <c r="AD529" s="785"/>
      <c r="AE529" s="785"/>
      <c r="AF529" s="799"/>
      <c r="AG529" s="935"/>
      <c r="AH529" s="935"/>
      <c r="AI529" s="935"/>
      <c r="AJ529" s="935"/>
      <c r="AK529" s="935"/>
      <c r="AL529" s="935"/>
      <c r="AM529" s="935"/>
      <c r="AN529" s="935"/>
      <c r="AO529" s="935"/>
      <c r="AP529" s="935"/>
      <c r="AQ529" s="1787"/>
      <c r="AR529" s="1788"/>
      <c r="AS529" s="1788"/>
      <c r="AT529" s="1788"/>
      <c r="AU529" s="1789"/>
      <c r="AV529" s="936"/>
      <c r="AW529" s="935"/>
      <c r="AX529" s="935"/>
      <c r="AY529" s="935"/>
      <c r="AZ529" s="935"/>
      <c r="BA529" s="935"/>
      <c r="BB529" s="935"/>
      <c r="BC529" s="935"/>
      <c r="BD529" s="935"/>
      <c r="BE529" s="935"/>
      <c r="BF529" s="935"/>
      <c r="BG529" s="935"/>
      <c r="BH529" s="935"/>
      <c r="BI529" s="935"/>
      <c r="BJ529" s="935"/>
      <c r="BK529" s="937"/>
      <c r="BL529" s="1376"/>
      <c r="BM529" s="1377"/>
      <c r="BN529" s="1377"/>
      <c r="BO529" s="1377"/>
      <c r="BP529" s="1440"/>
      <c r="BQ529" s="1420"/>
      <c r="BR529" s="1368"/>
      <c r="BS529" s="1368"/>
      <c r="BT529" s="1368"/>
      <c r="BU529" s="1369"/>
      <c r="BV529" s="1420"/>
      <c r="BW529" s="1368"/>
      <c r="BX529" s="1368"/>
      <c r="BY529" s="1368"/>
      <c r="BZ529" s="1368"/>
      <c r="CA529" s="1420"/>
      <c r="CB529" s="1368"/>
      <c r="CC529" s="1368"/>
      <c r="CD529" s="1368"/>
      <c r="CE529" s="1369"/>
      <c r="CF529" s="1368"/>
      <c r="CG529" s="1368"/>
      <c r="CH529" s="1368"/>
      <c r="CI529" s="1368"/>
      <c r="CJ529" s="1369"/>
      <c r="CK529" s="1420"/>
      <c r="CL529" s="1368"/>
      <c r="CM529" s="1368"/>
      <c r="CN529" s="1368"/>
      <c r="CO529" s="1369"/>
      <c r="CP529" s="1420"/>
      <c r="CQ529" s="1368"/>
      <c r="CR529" s="1368"/>
      <c r="CS529" s="1368"/>
      <c r="CT529" s="1369"/>
      <c r="CU529" s="1528"/>
      <c r="CV529" s="1519"/>
      <c r="CW529" s="1519"/>
      <c r="CX529" s="1728"/>
      <c r="CY529" s="1519"/>
      <c r="CZ529" s="1519"/>
      <c r="DA529" s="1519"/>
      <c r="DB529" s="1728"/>
      <c r="DC529" s="1377"/>
      <c r="DD529" s="1729"/>
      <c r="DE529" s="1734"/>
    </row>
    <row r="530" spans="1:109" ht="15.75" hidden="1" customHeight="1">
      <c r="A530" s="772" t="s">
        <v>1050</v>
      </c>
      <c r="B530" s="773">
        <v>524</v>
      </c>
      <c r="C530" s="789" t="s">
        <v>4160</v>
      </c>
      <c r="D530" s="773" t="s">
        <v>4157</v>
      </c>
      <c r="E530" s="773" t="s">
        <v>1889</v>
      </c>
      <c r="F530" s="785" t="s">
        <v>4161</v>
      </c>
      <c r="G530" s="790" t="s">
        <v>2416</v>
      </c>
      <c r="H530" s="791" t="s">
        <v>4162</v>
      </c>
      <c r="I530" s="792"/>
      <c r="J530" s="793"/>
      <c r="K530" s="793">
        <v>1</v>
      </c>
      <c r="L530" s="793"/>
      <c r="M530" s="793"/>
      <c r="N530" s="793"/>
      <c r="O530" s="793"/>
      <c r="P530" s="794"/>
      <c r="Q530" s="795">
        <f t="shared" si="8"/>
        <v>1</v>
      </c>
      <c r="R530" s="789" t="s">
        <v>1030</v>
      </c>
      <c r="S530" s="773" t="s">
        <v>1008</v>
      </c>
      <c r="T530" s="796" t="s">
        <v>1009</v>
      </c>
      <c r="U530" s="773" t="s">
        <v>2081</v>
      </c>
      <c r="V530" s="773" t="s">
        <v>1033</v>
      </c>
      <c r="W530" s="773" t="s">
        <v>4163</v>
      </c>
      <c r="X530" s="829">
        <v>0</v>
      </c>
      <c r="Y530" s="822" t="s">
        <v>1020</v>
      </c>
      <c r="Z530" s="790" t="s">
        <v>2416</v>
      </c>
      <c r="AA530" s="785"/>
      <c r="AB530" s="785"/>
      <c r="AC530" s="785"/>
      <c r="AD530" s="785"/>
      <c r="AE530" s="785"/>
      <c r="AF530" s="799"/>
      <c r="AG530" s="935"/>
      <c r="AH530" s="935"/>
      <c r="AI530" s="935"/>
      <c r="AJ530" s="935"/>
      <c r="AK530" s="935"/>
      <c r="AL530" s="935"/>
      <c r="AM530" s="935"/>
      <c r="AN530" s="935"/>
      <c r="AO530" s="935"/>
      <c r="AP530" s="935"/>
      <c r="AQ530" s="808">
        <v>20664</v>
      </c>
      <c r="AR530" s="800">
        <v>20328</v>
      </c>
      <c r="AS530" s="800">
        <v>19992</v>
      </c>
      <c r="AT530" s="800">
        <v>19656</v>
      </c>
      <c r="AU530" s="805">
        <v>19320</v>
      </c>
      <c r="AV530" s="936"/>
      <c r="AW530" s="935"/>
      <c r="AX530" s="935"/>
      <c r="AY530" s="935"/>
      <c r="AZ530" s="935"/>
      <c r="BA530" s="935"/>
      <c r="BB530" s="935"/>
      <c r="BC530" s="935"/>
      <c r="BD530" s="935"/>
      <c r="BE530" s="935"/>
      <c r="BF530" s="935"/>
      <c r="BG530" s="935"/>
      <c r="BH530" s="935"/>
      <c r="BI530" s="935"/>
      <c r="BJ530" s="935"/>
      <c r="BK530" s="937"/>
      <c r="BL530" s="789" t="s">
        <v>168</v>
      </c>
      <c r="BM530" s="785" t="s">
        <v>168</v>
      </c>
      <c r="BN530" s="785" t="s">
        <v>168</v>
      </c>
      <c r="BO530" s="785" t="s">
        <v>168</v>
      </c>
      <c r="BP530" s="796" t="s">
        <v>168</v>
      </c>
      <c r="BQ530" s="808" t="s">
        <v>1942</v>
      </c>
      <c r="BR530" s="800" t="s">
        <v>1942</v>
      </c>
      <c r="BS530" s="800" t="s">
        <v>1942</v>
      </c>
      <c r="BT530" s="800" t="s">
        <v>1942</v>
      </c>
      <c r="BU530" s="805" t="s">
        <v>1942</v>
      </c>
      <c r="BV530" s="808">
        <v>30996</v>
      </c>
      <c r="BW530" s="800">
        <v>30996</v>
      </c>
      <c r="BX530" s="800">
        <v>30996</v>
      </c>
      <c r="BY530" s="800">
        <v>30996</v>
      </c>
      <c r="BZ530" s="800">
        <v>30996</v>
      </c>
      <c r="CA530" s="808" t="s">
        <v>1942</v>
      </c>
      <c r="CB530" s="800" t="s">
        <v>1942</v>
      </c>
      <c r="CC530" s="800" t="s">
        <v>1942</v>
      </c>
      <c r="CD530" s="800" t="s">
        <v>1942</v>
      </c>
      <c r="CE530" s="805" t="s">
        <v>1942</v>
      </c>
      <c r="CF530" s="800" t="s">
        <v>1942</v>
      </c>
      <c r="CG530" s="800" t="s">
        <v>1942</v>
      </c>
      <c r="CH530" s="800" t="s">
        <v>1942</v>
      </c>
      <c r="CI530" s="800" t="s">
        <v>1942</v>
      </c>
      <c r="CJ530" s="805" t="s">
        <v>1942</v>
      </c>
      <c r="CK530" s="808">
        <v>17505</v>
      </c>
      <c r="CL530" s="800">
        <v>17220</v>
      </c>
      <c r="CM530" s="800">
        <v>16935</v>
      </c>
      <c r="CN530" s="800">
        <v>16651</v>
      </c>
      <c r="CO530" s="805">
        <v>16366</v>
      </c>
      <c r="CP530" s="808" t="s">
        <v>1942</v>
      </c>
      <c r="CQ530" s="800" t="s">
        <v>1942</v>
      </c>
      <c r="CR530" s="800" t="s">
        <v>1942</v>
      </c>
      <c r="CS530" s="800" t="s">
        <v>1942</v>
      </c>
      <c r="CT530" s="805" t="s">
        <v>1942</v>
      </c>
      <c r="CU530" s="1284">
        <v>-1.4E-3</v>
      </c>
      <c r="CV530" s="1283" t="s">
        <v>1942</v>
      </c>
      <c r="CW530" s="1283" t="s">
        <v>1942</v>
      </c>
      <c r="CX530" s="1285" t="s">
        <v>1942</v>
      </c>
      <c r="CY530" s="1283">
        <v>1.4E-3</v>
      </c>
      <c r="CZ530" s="1283" t="s">
        <v>1942</v>
      </c>
      <c r="DA530" s="1283" t="s">
        <v>1942</v>
      </c>
      <c r="DB530" s="1285" t="s">
        <v>1942</v>
      </c>
      <c r="DC530" s="785" t="s">
        <v>1942</v>
      </c>
      <c r="DD530" s="813">
        <v>1</v>
      </c>
      <c r="DE530" s="814" t="s">
        <v>1942</v>
      </c>
    </row>
    <row r="531" spans="1:109" ht="15.75" hidden="1" customHeight="1">
      <c r="A531" s="772" t="s">
        <v>1050</v>
      </c>
      <c r="B531" s="773">
        <v>525</v>
      </c>
      <c r="C531" s="789" t="s">
        <v>4164</v>
      </c>
      <c r="D531" s="773" t="s">
        <v>4165</v>
      </c>
      <c r="E531" s="773" t="s">
        <v>1907</v>
      </c>
      <c r="F531" s="785" t="s">
        <v>4166</v>
      </c>
      <c r="G531" s="790" t="s">
        <v>839</v>
      </c>
      <c r="H531" s="791" t="s">
        <v>3988</v>
      </c>
      <c r="I531" s="792"/>
      <c r="J531" s="793"/>
      <c r="K531" s="793">
        <v>1</v>
      </c>
      <c r="L531" s="793"/>
      <c r="M531" s="793"/>
      <c r="N531" s="793"/>
      <c r="O531" s="793"/>
      <c r="P531" s="794"/>
      <c r="Q531" s="795">
        <f t="shared" si="8"/>
        <v>1</v>
      </c>
      <c r="R531" s="789" t="s">
        <v>1007</v>
      </c>
      <c r="S531" s="773" t="s">
        <v>1942</v>
      </c>
      <c r="T531" s="796" t="s">
        <v>1942</v>
      </c>
      <c r="U531" s="773" t="s">
        <v>2058</v>
      </c>
      <c r="V531" s="773" t="s">
        <v>278</v>
      </c>
      <c r="W531" s="773" t="s">
        <v>4167</v>
      </c>
      <c r="X531" s="829">
        <v>2</v>
      </c>
      <c r="Y531" s="826" t="s">
        <v>1020</v>
      </c>
      <c r="Z531" s="790" t="s">
        <v>839</v>
      </c>
      <c r="AA531" s="785"/>
      <c r="AB531" s="785"/>
      <c r="AC531" s="785"/>
      <c r="AD531" s="785"/>
      <c r="AE531" s="785"/>
      <c r="AF531" s="799"/>
      <c r="AG531" s="935"/>
      <c r="AH531" s="935"/>
      <c r="AI531" s="935"/>
      <c r="AJ531" s="935"/>
      <c r="AK531" s="935"/>
      <c r="AL531" s="935"/>
      <c r="AM531" s="935"/>
      <c r="AN531" s="935"/>
      <c r="AO531" s="935"/>
      <c r="AP531" s="935"/>
      <c r="AQ531" s="1787"/>
      <c r="AR531" s="1788"/>
      <c r="AS531" s="1788"/>
      <c r="AT531" s="1788"/>
      <c r="AU531" s="1789"/>
      <c r="AV531" s="936"/>
      <c r="AW531" s="935"/>
      <c r="AX531" s="935"/>
      <c r="AY531" s="935"/>
      <c r="AZ531" s="935"/>
      <c r="BA531" s="935"/>
      <c r="BB531" s="935"/>
      <c r="BC531" s="935"/>
      <c r="BD531" s="935"/>
      <c r="BE531" s="935"/>
      <c r="BF531" s="935"/>
      <c r="BG531" s="935"/>
      <c r="BH531" s="935"/>
      <c r="BI531" s="935"/>
      <c r="BJ531" s="935"/>
      <c r="BK531" s="937"/>
      <c r="BL531" s="1376"/>
      <c r="BM531" s="1377"/>
      <c r="BN531" s="1377"/>
      <c r="BO531" s="1377"/>
      <c r="BP531" s="1440"/>
      <c r="BQ531" s="1420"/>
      <c r="BR531" s="1368"/>
      <c r="BS531" s="1368"/>
      <c r="BT531" s="1368"/>
      <c r="BU531" s="1369"/>
      <c r="BV531" s="1420"/>
      <c r="BW531" s="1368"/>
      <c r="BX531" s="1368"/>
      <c r="BY531" s="1368"/>
      <c r="BZ531" s="1368"/>
      <c r="CA531" s="1420"/>
      <c r="CB531" s="1368"/>
      <c r="CC531" s="1368"/>
      <c r="CD531" s="1368"/>
      <c r="CE531" s="1369"/>
      <c r="CF531" s="1368"/>
      <c r="CG531" s="1368"/>
      <c r="CH531" s="1368"/>
      <c r="CI531" s="1368"/>
      <c r="CJ531" s="1369"/>
      <c r="CK531" s="1420"/>
      <c r="CL531" s="1368"/>
      <c r="CM531" s="1368"/>
      <c r="CN531" s="1368"/>
      <c r="CO531" s="1369"/>
      <c r="CP531" s="1420"/>
      <c r="CQ531" s="1368"/>
      <c r="CR531" s="1368"/>
      <c r="CS531" s="1368"/>
      <c r="CT531" s="1369"/>
      <c r="CU531" s="1528"/>
      <c r="CV531" s="1519"/>
      <c r="CW531" s="1519"/>
      <c r="CX531" s="1728"/>
      <c r="CY531" s="1519"/>
      <c r="CZ531" s="1519"/>
      <c r="DA531" s="1519"/>
      <c r="DB531" s="1728"/>
      <c r="DC531" s="1377"/>
      <c r="DD531" s="1729"/>
      <c r="DE531" s="1734"/>
    </row>
    <row r="532" spans="1:109" ht="15.75" hidden="1" customHeight="1">
      <c r="A532" s="772" t="s">
        <v>1050</v>
      </c>
      <c r="B532" s="773">
        <v>526</v>
      </c>
      <c r="C532" s="789" t="s">
        <v>4168</v>
      </c>
      <c r="D532" s="773" t="s">
        <v>4165</v>
      </c>
      <c r="E532" s="773" t="s">
        <v>1889</v>
      </c>
      <c r="F532" s="785" t="s">
        <v>4169</v>
      </c>
      <c r="G532" s="790" t="s">
        <v>732</v>
      </c>
      <c r="H532" s="791" t="s">
        <v>3988</v>
      </c>
      <c r="I532" s="792"/>
      <c r="J532" s="793"/>
      <c r="K532" s="793">
        <v>1</v>
      </c>
      <c r="L532" s="793"/>
      <c r="M532" s="793"/>
      <c r="N532" s="793"/>
      <c r="O532" s="793"/>
      <c r="P532" s="794"/>
      <c r="Q532" s="795">
        <f t="shared" si="8"/>
        <v>1</v>
      </c>
      <c r="R532" s="789" t="s">
        <v>1030</v>
      </c>
      <c r="S532" s="773" t="s">
        <v>1008</v>
      </c>
      <c r="T532" s="796" t="s">
        <v>1009</v>
      </c>
      <c r="U532" s="773" t="s">
        <v>2058</v>
      </c>
      <c r="V532" s="773" t="s">
        <v>1033</v>
      </c>
      <c r="W532" s="773" t="s">
        <v>4170</v>
      </c>
      <c r="X532" s="1274">
        <v>2</v>
      </c>
      <c r="Y532" s="821" t="s">
        <v>1020</v>
      </c>
      <c r="Z532" s="790" t="s">
        <v>732</v>
      </c>
      <c r="AA532" s="785"/>
      <c r="AB532" s="785"/>
      <c r="AC532" s="785"/>
      <c r="AD532" s="785"/>
      <c r="AE532" s="785"/>
      <c r="AF532" s="799"/>
      <c r="AG532" s="935"/>
      <c r="AH532" s="935"/>
      <c r="AI532" s="935"/>
      <c r="AJ532" s="935"/>
      <c r="AK532" s="935"/>
      <c r="AL532" s="935"/>
      <c r="AM532" s="935"/>
      <c r="AN532" s="935"/>
      <c r="AO532" s="935"/>
      <c r="AP532" s="935"/>
      <c r="AQ532" s="1790"/>
      <c r="AR532" s="1791"/>
      <c r="AS532" s="1791"/>
      <c r="AT532" s="1791"/>
      <c r="AU532" s="1792"/>
      <c r="AV532" s="936"/>
      <c r="AW532" s="935"/>
      <c r="AX532" s="935"/>
      <c r="AY532" s="935"/>
      <c r="AZ532" s="935"/>
      <c r="BA532" s="935"/>
      <c r="BB532" s="935"/>
      <c r="BC532" s="935"/>
      <c r="BD532" s="935"/>
      <c r="BE532" s="935"/>
      <c r="BF532" s="935"/>
      <c r="BG532" s="935"/>
      <c r="BH532" s="935"/>
      <c r="BI532" s="935"/>
      <c r="BJ532" s="935"/>
      <c r="BK532" s="937"/>
      <c r="BL532" s="1376"/>
      <c r="BM532" s="1377"/>
      <c r="BN532" s="1377"/>
      <c r="BO532" s="1377"/>
      <c r="BP532" s="1440"/>
      <c r="BQ532" s="1420"/>
      <c r="BR532" s="1368"/>
      <c r="BS532" s="1368"/>
      <c r="BT532" s="1368"/>
      <c r="BU532" s="1369"/>
      <c r="BV532" s="1421"/>
      <c r="BW532" s="1373"/>
      <c r="BX532" s="1373"/>
      <c r="BY532" s="1373"/>
      <c r="BZ532" s="1373"/>
      <c r="CA532" s="1420"/>
      <c r="CB532" s="1368"/>
      <c r="CC532" s="1368"/>
      <c r="CD532" s="1368"/>
      <c r="CE532" s="1369"/>
      <c r="CF532" s="1368"/>
      <c r="CG532" s="1368"/>
      <c r="CH532" s="1368"/>
      <c r="CI532" s="1368"/>
      <c r="CJ532" s="1369"/>
      <c r="CK532" s="1421"/>
      <c r="CL532" s="1373"/>
      <c r="CM532" s="1373"/>
      <c r="CN532" s="1373"/>
      <c r="CO532" s="1374"/>
      <c r="CP532" s="1420"/>
      <c r="CQ532" s="1368"/>
      <c r="CR532" s="1368"/>
      <c r="CS532" s="1368"/>
      <c r="CT532" s="1369"/>
      <c r="CU532" s="1528"/>
      <c r="CV532" s="1519"/>
      <c r="CW532" s="1519"/>
      <c r="CX532" s="1728"/>
      <c r="CY532" s="1519"/>
      <c r="CZ532" s="1519"/>
      <c r="DA532" s="1519"/>
      <c r="DB532" s="1728"/>
      <c r="DC532" s="1377"/>
      <c r="DD532" s="1729"/>
      <c r="DE532" s="1734"/>
    </row>
    <row r="533" spans="1:109" ht="15.75" hidden="1" customHeight="1">
      <c r="A533" s="772" t="s">
        <v>1050</v>
      </c>
      <c r="B533" s="773">
        <v>527</v>
      </c>
      <c r="C533" s="789" t="s">
        <v>4171</v>
      </c>
      <c r="D533" s="773" t="s">
        <v>4165</v>
      </c>
      <c r="E533" s="773" t="s">
        <v>1889</v>
      </c>
      <c r="F533" s="785" t="s">
        <v>4172</v>
      </c>
      <c r="G533" s="790" t="s">
        <v>4173</v>
      </c>
      <c r="H533" s="791" t="s">
        <v>4174</v>
      </c>
      <c r="I533" s="792"/>
      <c r="J533" s="793"/>
      <c r="K533" s="793">
        <v>1</v>
      </c>
      <c r="L533" s="793"/>
      <c r="M533" s="793"/>
      <c r="N533" s="793"/>
      <c r="O533" s="793"/>
      <c r="P533" s="794"/>
      <c r="Q533" s="795">
        <f t="shared" si="8"/>
        <v>1</v>
      </c>
      <c r="R533" s="789" t="s">
        <v>1030</v>
      </c>
      <c r="S533" s="773" t="s">
        <v>1008</v>
      </c>
      <c r="T533" s="796" t="s">
        <v>1009</v>
      </c>
      <c r="U533" s="773" t="s">
        <v>2058</v>
      </c>
      <c r="V533" s="773" t="s">
        <v>1033</v>
      </c>
      <c r="W533" s="773" t="s">
        <v>4175</v>
      </c>
      <c r="X533" s="829">
        <v>0</v>
      </c>
      <c r="Y533" s="826" t="s">
        <v>1020</v>
      </c>
      <c r="Z533" s="790" t="s">
        <v>2098</v>
      </c>
      <c r="AA533" s="785"/>
      <c r="AB533" s="785"/>
      <c r="AC533" s="785"/>
      <c r="AD533" s="785"/>
      <c r="AE533" s="785"/>
      <c r="AF533" s="799"/>
      <c r="AG533" s="935"/>
      <c r="AH533" s="935"/>
      <c r="AI533" s="935"/>
      <c r="AJ533" s="935"/>
      <c r="AK533" s="935"/>
      <c r="AL533" s="935"/>
      <c r="AM533" s="935"/>
      <c r="AN533" s="935"/>
      <c r="AO533" s="935"/>
      <c r="AP533" s="935"/>
      <c r="AQ533" s="808">
        <v>6845</v>
      </c>
      <c r="AR533" s="800">
        <v>6599</v>
      </c>
      <c r="AS533" s="800">
        <v>6352</v>
      </c>
      <c r="AT533" s="800">
        <v>6106</v>
      </c>
      <c r="AU533" s="805">
        <v>5859</v>
      </c>
      <c r="AV533" s="936"/>
      <c r="AW533" s="935"/>
      <c r="AX533" s="935"/>
      <c r="AY533" s="935"/>
      <c r="AZ533" s="935"/>
      <c r="BA533" s="935"/>
      <c r="BB533" s="935"/>
      <c r="BC533" s="935"/>
      <c r="BD533" s="935"/>
      <c r="BE533" s="935"/>
      <c r="BF533" s="935"/>
      <c r="BG533" s="935"/>
      <c r="BH533" s="935"/>
      <c r="BI533" s="935"/>
      <c r="BJ533" s="935"/>
      <c r="BK533" s="937"/>
      <c r="BL533" s="789" t="s">
        <v>168</v>
      </c>
      <c r="BM533" s="785" t="s">
        <v>168</v>
      </c>
      <c r="BN533" s="785" t="s">
        <v>168</v>
      </c>
      <c r="BO533" s="785" t="s">
        <v>168</v>
      </c>
      <c r="BP533" s="796" t="s">
        <v>168</v>
      </c>
      <c r="BQ533" s="808" t="s">
        <v>1942</v>
      </c>
      <c r="BR533" s="800" t="s">
        <v>1942</v>
      </c>
      <c r="BS533" s="800" t="s">
        <v>1942</v>
      </c>
      <c r="BT533" s="800" t="s">
        <v>1942</v>
      </c>
      <c r="BU533" s="805" t="s">
        <v>1942</v>
      </c>
      <c r="BV533" s="808">
        <v>10268</v>
      </c>
      <c r="BW533" s="800">
        <v>10268</v>
      </c>
      <c r="BX533" s="800">
        <v>10268</v>
      </c>
      <c r="BY533" s="800">
        <v>10268</v>
      </c>
      <c r="BZ533" s="800">
        <v>10268</v>
      </c>
      <c r="CA533" s="808" t="s">
        <v>1942</v>
      </c>
      <c r="CB533" s="800" t="s">
        <v>1942</v>
      </c>
      <c r="CC533" s="800" t="s">
        <v>1942</v>
      </c>
      <c r="CD533" s="800" t="s">
        <v>1942</v>
      </c>
      <c r="CE533" s="805" t="s">
        <v>1942</v>
      </c>
      <c r="CF533" s="800" t="s">
        <v>1942</v>
      </c>
      <c r="CG533" s="800" t="s">
        <v>1942</v>
      </c>
      <c r="CH533" s="800" t="s">
        <v>1942</v>
      </c>
      <c r="CI533" s="800" t="s">
        <v>1942</v>
      </c>
      <c r="CJ533" s="800" t="s">
        <v>1942</v>
      </c>
      <c r="CK533" s="843">
        <v>6221</v>
      </c>
      <c r="CL533" s="842">
        <v>6017</v>
      </c>
      <c r="CM533" s="842">
        <v>5843</v>
      </c>
      <c r="CN533" s="842">
        <v>5662</v>
      </c>
      <c r="CO533" s="844">
        <v>5476</v>
      </c>
      <c r="CP533" s="808" t="s">
        <v>1942</v>
      </c>
      <c r="CQ533" s="800" t="s">
        <v>1942</v>
      </c>
      <c r="CR533" s="800" t="s">
        <v>1942</v>
      </c>
      <c r="CS533" s="800" t="s">
        <v>1942</v>
      </c>
      <c r="CT533" s="805" t="s">
        <v>1942</v>
      </c>
      <c r="CU533" s="1284">
        <v>-6.4400000000000004E-3</v>
      </c>
      <c r="CV533" s="1283" t="s">
        <v>1942</v>
      </c>
      <c r="CW533" s="1283" t="s">
        <v>1942</v>
      </c>
      <c r="CX533" s="1285" t="s">
        <v>1942</v>
      </c>
      <c r="CY533" s="1283">
        <v>5.3699999999999998E-3</v>
      </c>
      <c r="CZ533" s="1283" t="s">
        <v>1942</v>
      </c>
      <c r="DA533" s="1283" t="s">
        <v>1942</v>
      </c>
      <c r="DB533" s="1285" t="s">
        <v>1942</v>
      </c>
      <c r="DC533" s="785" t="s">
        <v>1942</v>
      </c>
      <c r="DD533" s="813">
        <v>1</v>
      </c>
      <c r="DE533" s="814" t="s">
        <v>1942</v>
      </c>
    </row>
    <row r="534" spans="1:109" ht="15.75" hidden="1" customHeight="1">
      <c r="A534" s="772" t="s">
        <v>1050</v>
      </c>
      <c r="B534" s="773">
        <v>528</v>
      </c>
      <c r="C534" s="789" t="s">
        <v>4176</v>
      </c>
      <c r="D534" s="773" t="s">
        <v>4165</v>
      </c>
      <c r="E534" s="773" t="s">
        <v>1907</v>
      </c>
      <c r="F534" s="785" t="s">
        <v>4177</v>
      </c>
      <c r="G534" s="790" t="s">
        <v>4178</v>
      </c>
      <c r="H534" s="791" t="s">
        <v>4179</v>
      </c>
      <c r="I534" s="792"/>
      <c r="J534" s="793"/>
      <c r="K534" s="793">
        <v>1</v>
      </c>
      <c r="L534" s="793"/>
      <c r="M534" s="793"/>
      <c r="N534" s="793"/>
      <c r="O534" s="793"/>
      <c r="P534" s="794"/>
      <c r="Q534" s="795">
        <f t="shared" si="8"/>
        <v>1</v>
      </c>
      <c r="R534" s="789" t="s">
        <v>1030</v>
      </c>
      <c r="S534" s="773" t="s">
        <v>1008</v>
      </c>
      <c r="T534" s="796" t="s">
        <v>1009</v>
      </c>
      <c r="U534" s="773" t="s">
        <v>2400</v>
      </c>
      <c r="V534" s="773" t="s">
        <v>278</v>
      </c>
      <c r="W534" s="773" t="s">
        <v>4180</v>
      </c>
      <c r="X534" s="829">
        <v>1</v>
      </c>
      <c r="Y534" s="821" t="s">
        <v>1010</v>
      </c>
      <c r="Z534" s="790" t="s">
        <v>1942</v>
      </c>
      <c r="AA534" s="785"/>
      <c r="AB534" s="785"/>
      <c r="AC534" s="785"/>
      <c r="AD534" s="785"/>
      <c r="AE534" s="785"/>
      <c r="AF534" s="799"/>
      <c r="AG534" s="935"/>
      <c r="AH534" s="935"/>
      <c r="AI534" s="935"/>
      <c r="AJ534" s="935"/>
      <c r="AK534" s="935"/>
      <c r="AL534" s="935"/>
      <c r="AM534" s="935"/>
      <c r="AN534" s="935"/>
      <c r="AO534" s="935"/>
      <c r="AP534" s="935"/>
      <c r="AQ534" s="936">
        <v>2</v>
      </c>
      <c r="AR534" s="935">
        <v>4</v>
      </c>
      <c r="AS534" s="935">
        <v>6</v>
      </c>
      <c r="AT534" s="935">
        <v>8</v>
      </c>
      <c r="AU534" s="937">
        <v>10</v>
      </c>
      <c r="AV534" s="936"/>
      <c r="AW534" s="935"/>
      <c r="AX534" s="935"/>
      <c r="AY534" s="935"/>
      <c r="AZ534" s="935"/>
      <c r="BA534" s="935"/>
      <c r="BB534" s="935"/>
      <c r="BC534" s="935"/>
      <c r="BD534" s="935"/>
      <c r="BE534" s="935"/>
      <c r="BF534" s="935"/>
      <c r="BG534" s="935"/>
      <c r="BH534" s="935"/>
      <c r="BI534" s="935"/>
      <c r="BJ534" s="935"/>
      <c r="BK534" s="937"/>
      <c r="BL534" s="789" t="s">
        <v>168</v>
      </c>
      <c r="BM534" s="785" t="s">
        <v>168</v>
      </c>
      <c r="BN534" s="785" t="s">
        <v>168</v>
      </c>
      <c r="BO534" s="785" t="s">
        <v>168</v>
      </c>
      <c r="BP534" s="796" t="s">
        <v>168</v>
      </c>
      <c r="BQ534" s="808" t="s">
        <v>1942</v>
      </c>
      <c r="BR534" s="800" t="s">
        <v>1942</v>
      </c>
      <c r="BS534" s="800" t="s">
        <v>1942</v>
      </c>
      <c r="BT534" s="800" t="s">
        <v>1942</v>
      </c>
      <c r="BU534" s="805" t="s">
        <v>1942</v>
      </c>
      <c r="BV534" s="808" t="s">
        <v>1942</v>
      </c>
      <c r="BW534" s="800" t="s">
        <v>1942</v>
      </c>
      <c r="BX534" s="800" t="s">
        <v>1942</v>
      </c>
      <c r="BY534" s="800" t="s">
        <v>1942</v>
      </c>
      <c r="BZ534" s="800" t="s">
        <v>1942</v>
      </c>
      <c r="CA534" s="808" t="s">
        <v>1942</v>
      </c>
      <c r="CB534" s="800" t="s">
        <v>1942</v>
      </c>
      <c r="CC534" s="800" t="s">
        <v>1942</v>
      </c>
      <c r="CD534" s="800" t="s">
        <v>1942</v>
      </c>
      <c r="CE534" s="805" t="s">
        <v>1942</v>
      </c>
      <c r="CF534" s="800" t="s">
        <v>1942</v>
      </c>
      <c r="CG534" s="800" t="s">
        <v>1942</v>
      </c>
      <c r="CH534" s="800" t="s">
        <v>1942</v>
      </c>
      <c r="CI534" s="800" t="s">
        <v>1942</v>
      </c>
      <c r="CJ534" s="805" t="s">
        <v>1942</v>
      </c>
      <c r="CK534" s="808" t="s">
        <v>1942</v>
      </c>
      <c r="CL534" s="800" t="s">
        <v>1942</v>
      </c>
      <c r="CM534" s="800" t="s">
        <v>1942</v>
      </c>
      <c r="CN534" s="800" t="s">
        <v>1942</v>
      </c>
      <c r="CO534" s="805" t="s">
        <v>1942</v>
      </c>
      <c r="CP534" s="808" t="s">
        <v>1942</v>
      </c>
      <c r="CQ534" s="800" t="s">
        <v>1942</v>
      </c>
      <c r="CR534" s="800" t="s">
        <v>1942</v>
      </c>
      <c r="CS534" s="800" t="s">
        <v>1942</v>
      </c>
      <c r="CT534" s="805" t="s">
        <v>1942</v>
      </c>
      <c r="CU534" s="1284">
        <v>-8.5999999999999993E-2</v>
      </c>
      <c r="CV534" s="1283" t="s">
        <v>1942</v>
      </c>
      <c r="CW534" s="1283" t="s">
        <v>1942</v>
      </c>
      <c r="CX534" s="1285" t="s">
        <v>1942</v>
      </c>
      <c r="CY534" s="1283">
        <v>8.5999999999999993E-2</v>
      </c>
      <c r="CZ534" s="1283" t="s">
        <v>1942</v>
      </c>
      <c r="DA534" s="1283" t="s">
        <v>1942</v>
      </c>
      <c r="DB534" s="1285" t="s">
        <v>1942</v>
      </c>
      <c r="DC534" s="785" t="s">
        <v>1942</v>
      </c>
      <c r="DD534" s="813">
        <v>1</v>
      </c>
      <c r="DE534" s="814" t="s">
        <v>1942</v>
      </c>
    </row>
    <row r="535" spans="1:109" ht="15.75" hidden="1" customHeight="1">
      <c r="A535" s="772" t="s">
        <v>1050</v>
      </c>
      <c r="B535" s="773">
        <v>529</v>
      </c>
      <c r="C535" s="789" t="s">
        <v>4181</v>
      </c>
      <c r="D535" s="773" t="s">
        <v>4165</v>
      </c>
      <c r="E535" s="773" t="s">
        <v>1907</v>
      </c>
      <c r="F535" s="785" t="s">
        <v>4182</v>
      </c>
      <c r="G535" s="790" t="s">
        <v>4183</v>
      </c>
      <c r="H535" s="791" t="s">
        <v>4184</v>
      </c>
      <c r="I535" s="792"/>
      <c r="J535" s="793"/>
      <c r="K535" s="793">
        <v>1</v>
      </c>
      <c r="L535" s="793"/>
      <c r="M535" s="793"/>
      <c r="N535" s="793"/>
      <c r="O535" s="793"/>
      <c r="P535" s="794"/>
      <c r="Q535" s="795">
        <f t="shared" si="8"/>
        <v>1</v>
      </c>
      <c r="R535" s="789" t="s">
        <v>1030</v>
      </c>
      <c r="S535" s="773" t="s">
        <v>1008</v>
      </c>
      <c r="T535" s="796" t="s">
        <v>1009</v>
      </c>
      <c r="U535" s="773" t="s">
        <v>2058</v>
      </c>
      <c r="V535" s="773" t="s">
        <v>1033</v>
      </c>
      <c r="W535" s="773" t="s">
        <v>4185</v>
      </c>
      <c r="X535" s="829">
        <v>2</v>
      </c>
      <c r="Y535" s="819" t="s">
        <v>1020</v>
      </c>
      <c r="Z535" s="790" t="s">
        <v>1942</v>
      </c>
      <c r="AA535" s="785"/>
      <c r="AB535" s="785"/>
      <c r="AC535" s="785"/>
      <c r="AD535" s="785"/>
      <c r="AE535" s="785"/>
      <c r="AF535" s="799"/>
      <c r="AG535" s="935"/>
      <c r="AH535" s="935"/>
      <c r="AI535" s="935"/>
      <c r="AJ535" s="935"/>
      <c r="AK535" s="935"/>
      <c r="AL535" s="935"/>
      <c r="AM535" s="935"/>
      <c r="AN535" s="935"/>
      <c r="AO535" s="935"/>
      <c r="AP535" s="935"/>
      <c r="AQ535" s="936">
        <v>60.04</v>
      </c>
      <c r="AR535" s="935">
        <v>59.04</v>
      </c>
      <c r="AS535" s="935">
        <v>58.04</v>
      </c>
      <c r="AT535" s="935">
        <v>57.04</v>
      </c>
      <c r="AU535" s="937">
        <v>56.04</v>
      </c>
      <c r="AV535" s="936"/>
      <c r="AW535" s="935"/>
      <c r="AX535" s="935"/>
      <c r="AY535" s="935"/>
      <c r="AZ535" s="935"/>
      <c r="BA535" s="935"/>
      <c r="BB535" s="935"/>
      <c r="BC535" s="935"/>
      <c r="BD535" s="935"/>
      <c r="BE535" s="935"/>
      <c r="BF535" s="935"/>
      <c r="BG535" s="935"/>
      <c r="BH535" s="935"/>
      <c r="BI535" s="935"/>
      <c r="BJ535" s="935"/>
      <c r="BK535" s="937"/>
      <c r="BL535" s="789" t="s">
        <v>168</v>
      </c>
      <c r="BM535" s="785" t="s">
        <v>168</v>
      </c>
      <c r="BN535" s="785" t="s">
        <v>168</v>
      </c>
      <c r="BO535" s="785" t="s">
        <v>168</v>
      </c>
      <c r="BP535" s="796" t="s">
        <v>168</v>
      </c>
      <c r="BQ535" s="808" t="s">
        <v>1942</v>
      </c>
      <c r="BR535" s="800" t="s">
        <v>1942</v>
      </c>
      <c r="BS535" s="800" t="s">
        <v>1942</v>
      </c>
      <c r="BT535" s="800" t="s">
        <v>1942</v>
      </c>
      <c r="BU535" s="805" t="s">
        <v>1942</v>
      </c>
      <c r="BV535" s="808">
        <v>78.040000000000006</v>
      </c>
      <c r="BW535" s="800">
        <v>78.540000000000006</v>
      </c>
      <c r="BX535" s="800">
        <v>79.040000000000006</v>
      </c>
      <c r="BY535" s="800">
        <v>79.540000000000006</v>
      </c>
      <c r="BZ535" s="800">
        <v>80.040000000000006</v>
      </c>
      <c r="CA535" s="808" t="s">
        <v>1942</v>
      </c>
      <c r="CB535" s="800" t="s">
        <v>1942</v>
      </c>
      <c r="CC535" s="800" t="s">
        <v>1942</v>
      </c>
      <c r="CD535" s="800" t="s">
        <v>1942</v>
      </c>
      <c r="CE535" s="805" t="s">
        <v>1942</v>
      </c>
      <c r="CF535" s="800" t="s">
        <v>1942</v>
      </c>
      <c r="CG535" s="800" t="s">
        <v>1942</v>
      </c>
      <c r="CH535" s="800" t="s">
        <v>1942</v>
      </c>
      <c r="CI535" s="800" t="s">
        <v>1942</v>
      </c>
      <c r="CJ535" s="805" t="s">
        <v>1942</v>
      </c>
      <c r="CK535" s="808">
        <v>37.9</v>
      </c>
      <c r="CL535" s="800">
        <v>36.9</v>
      </c>
      <c r="CM535" s="800">
        <v>35.9</v>
      </c>
      <c r="CN535" s="800">
        <v>34.9</v>
      </c>
      <c r="CO535" s="805">
        <v>33.9</v>
      </c>
      <c r="CP535" s="808" t="s">
        <v>1942</v>
      </c>
      <c r="CQ535" s="800" t="s">
        <v>1942</v>
      </c>
      <c r="CR535" s="800" t="s">
        <v>1942</v>
      </c>
      <c r="CS535" s="800" t="s">
        <v>1942</v>
      </c>
      <c r="CT535" s="805" t="s">
        <v>1942</v>
      </c>
      <c r="CU535" s="1284">
        <v>-0.41499999999999998</v>
      </c>
      <c r="CV535" s="1283" t="s">
        <v>1942</v>
      </c>
      <c r="CW535" s="1283" t="s">
        <v>1942</v>
      </c>
      <c r="CX535" s="1285" t="s">
        <v>1942</v>
      </c>
      <c r="CY535" s="1283">
        <v>0.41499999999999998</v>
      </c>
      <c r="CZ535" s="1283" t="s">
        <v>1942</v>
      </c>
      <c r="DA535" s="1283" t="s">
        <v>1942</v>
      </c>
      <c r="DB535" s="1285" t="s">
        <v>1942</v>
      </c>
      <c r="DC535" s="785" t="s">
        <v>1942</v>
      </c>
      <c r="DD535" s="813">
        <v>1</v>
      </c>
      <c r="DE535" s="814" t="s">
        <v>1942</v>
      </c>
    </row>
    <row r="536" spans="1:109" ht="15.75" hidden="1" customHeight="1">
      <c r="A536" s="772" t="s">
        <v>1050</v>
      </c>
      <c r="B536" s="773">
        <v>530</v>
      </c>
      <c r="C536" s="789" t="s">
        <v>4186</v>
      </c>
      <c r="D536" s="773" t="s">
        <v>4165</v>
      </c>
      <c r="E536" s="773" t="s">
        <v>1907</v>
      </c>
      <c r="F536" s="785" t="s">
        <v>4187</v>
      </c>
      <c r="G536" s="790" t="s">
        <v>4188</v>
      </c>
      <c r="H536" s="791" t="s">
        <v>4189</v>
      </c>
      <c r="I536" s="792"/>
      <c r="J536" s="793"/>
      <c r="K536" s="793">
        <v>1</v>
      </c>
      <c r="L536" s="793"/>
      <c r="M536" s="793"/>
      <c r="N536" s="793"/>
      <c r="O536" s="793"/>
      <c r="P536" s="794"/>
      <c r="Q536" s="795">
        <f t="shared" si="8"/>
        <v>1</v>
      </c>
      <c r="R536" s="789" t="s">
        <v>1030</v>
      </c>
      <c r="S536" s="773" t="s">
        <v>1008</v>
      </c>
      <c r="T536" s="796" t="s">
        <v>1009</v>
      </c>
      <c r="U536" s="773" t="s">
        <v>2058</v>
      </c>
      <c r="V536" s="773" t="s">
        <v>1033</v>
      </c>
      <c r="W536" s="773" t="s">
        <v>4185</v>
      </c>
      <c r="X536" s="829">
        <v>2</v>
      </c>
      <c r="Y536" s="819" t="s">
        <v>1020</v>
      </c>
      <c r="Z536" s="790" t="s">
        <v>1942</v>
      </c>
      <c r="AA536" s="785"/>
      <c r="AB536" s="785"/>
      <c r="AC536" s="785"/>
      <c r="AD536" s="785"/>
      <c r="AE536" s="785"/>
      <c r="AF536" s="799"/>
      <c r="AG536" s="935"/>
      <c r="AH536" s="935"/>
      <c r="AI536" s="935"/>
      <c r="AJ536" s="935"/>
      <c r="AK536" s="935"/>
      <c r="AL536" s="935"/>
      <c r="AM536" s="935"/>
      <c r="AN536" s="935"/>
      <c r="AO536" s="935"/>
      <c r="AP536" s="935"/>
      <c r="AQ536" s="936">
        <v>254.53</v>
      </c>
      <c r="AR536" s="935">
        <v>232.33</v>
      </c>
      <c r="AS536" s="935">
        <v>210.13</v>
      </c>
      <c r="AT536" s="935">
        <v>187.93</v>
      </c>
      <c r="AU536" s="937">
        <v>165.73</v>
      </c>
      <c r="AV536" s="936"/>
      <c r="AW536" s="935"/>
      <c r="AX536" s="935"/>
      <c r="AY536" s="935"/>
      <c r="AZ536" s="935"/>
      <c r="BA536" s="935"/>
      <c r="BB536" s="935"/>
      <c r="BC536" s="935"/>
      <c r="BD536" s="935"/>
      <c r="BE536" s="935"/>
      <c r="BF536" s="935"/>
      <c r="BG536" s="935"/>
      <c r="BH536" s="935"/>
      <c r="BI536" s="935"/>
      <c r="BJ536" s="935"/>
      <c r="BK536" s="937"/>
      <c r="BL536" s="789" t="s">
        <v>168</v>
      </c>
      <c r="BM536" s="785" t="s">
        <v>168</v>
      </c>
      <c r="BN536" s="785" t="s">
        <v>168</v>
      </c>
      <c r="BO536" s="785" t="s">
        <v>168</v>
      </c>
      <c r="BP536" s="796" t="s">
        <v>168</v>
      </c>
      <c r="BQ536" s="808" t="s">
        <v>1942</v>
      </c>
      <c r="BR536" s="800" t="s">
        <v>1942</v>
      </c>
      <c r="BS536" s="800" t="s">
        <v>1942</v>
      </c>
      <c r="BT536" s="800" t="s">
        <v>1942</v>
      </c>
      <c r="BU536" s="805" t="s">
        <v>1942</v>
      </c>
      <c r="BV536" s="808">
        <v>289.93</v>
      </c>
      <c r="BW536" s="800">
        <v>301.02999999999997</v>
      </c>
      <c r="BX536" s="800">
        <v>312.13</v>
      </c>
      <c r="BY536" s="800">
        <v>323.23</v>
      </c>
      <c r="BZ536" s="800">
        <v>334.33</v>
      </c>
      <c r="CA536" s="808" t="s">
        <v>1942</v>
      </c>
      <c r="CB536" s="800" t="s">
        <v>1942</v>
      </c>
      <c r="CC536" s="800" t="s">
        <v>1942</v>
      </c>
      <c r="CD536" s="800" t="s">
        <v>1942</v>
      </c>
      <c r="CE536" s="805" t="s">
        <v>1942</v>
      </c>
      <c r="CF536" s="800" t="s">
        <v>1942</v>
      </c>
      <c r="CG536" s="800" t="s">
        <v>1942</v>
      </c>
      <c r="CH536" s="800" t="s">
        <v>1942</v>
      </c>
      <c r="CI536" s="800" t="s">
        <v>1942</v>
      </c>
      <c r="CJ536" s="805" t="s">
        <v>1942</v>
      </c>
      <c r="CK536" s="808">
        <v>153.43</v>
      </c>
      <c r="CL536" s="800">
        <v>131.22999999999999</v>
      </c>
      <c r="CM536" s="800">
        <v>109.03</v>
      </c>
      <c r="CN536" s="800">
        <v>86.83</v>
      </c>
      <c r="CO536" s="805">
        <v>64.63</v>
      </c>
      <c r="CP536" s="808" t="s">
        <v>1942</v>
      </c>
      <c r="CQ536" s="800" t="s">
        <v>1942</v>
      </c>
      <c r="CR536" s="800" t="s">
        <v>1942</v>
      </c>
      <c r="CS536" s="800" t="s">
        <v>1942</v>
      </c>
      <c r="CT536" s="805" t="s">
        <v>1942</v>
      </c>
      <c r="CU536" s="1284">
        <v>-4.2000000000000003E-2</v>
      </c>
      <c r="CV536" s="1283" t="s">
        <v>1942</v>
      </c>
      <c r="CW536" s="1283" t="s">
        <v>1942</v>
      </c>
      <c r="CX536" s="1285" t="s">
        <v>1942</v>
      </c>
      <c r="CY536" s="1283">
        <v>4.2000000000000003E-2</v>
      </c>
      <c r="CZ536" s="1283" t="s">
        <v>1942</v>
      </c>
      <c r="DA536" s="1283" t="s">
        <v>1942</v>
      </c>
      <c r="DB536" s="1285" t="s">
        <v>1942</v>
      </c>
      <c r="DC536" s="785" t="s">
        <v>1942</v>
      </c>
      <c r="DD536" s="813">
        <v>1</v>
      </c>
      <c r="DE536" s="814" t="s">
        <v>1942</v>
      </c>
    </row>
    <row r="537" spans="1:109" ht="15.75" hidden="1" customHeight="1">
      <c r="A537" s="772" t="s">
        <v>1024</v>
      </c>
      <c r="B537" s="773">
        <v>531</v>
      </c>
      <c r="C537" s="789" t="s">
        <v>4190</v>
      </c>
      <c r="D537" s="773" t="s">
        <v>4191</v>
      </c>
      <c r="E537" s="773" t="s">
        <v>1907</v>
      </c>
      <c r="F537" s="785" t="s">
        <v>4192</v>
      </c>
      <c r="G537" s="790" t="s">
        <v>130</v>
      </c>
      <c r="H537" s="791" t="s">
        <v>4193</v>
      </c>
      <c r="I537" s="792"/>
      <c r="J537" s="793">
        <v>1</v>
      </c>
      <c r="K537" s="793"/>
      <c r="L537" s="793"/>
      <c r="M537" s="793"/>
      <c r="N537" s="793"/>
      <c r="O537" s="793"/>
      <c r="P537" s="794"/>
      <c r="Q537" s="795">
        <f t="shared" si="8"/>
        <v>1</v>
      </c>
      <c r="R537" s="789" t="s">
        <v>1026</v>
      </c>
      <c r="S537" s="773" t="s">
        <v>1008</v>
      </c>
      <c r="T537" s="796" t="s">
        <v>1009</v>
      </c>
      <c r="U537" s="773" t="s">
        <v>1926</v>
      </c>
      <c r="V537" s="773" t="s">
        <v>1033</v>
      </c>
      <c r="W537" s="773"/>
      <c r="X537" s="829">
        <v>2</v>
      </c>
      <c r="Y537" s="821" t="s">
        <v>1020</v>
      </c>
      <c r="Z537" s="790" t="s">
        <v>130</v>
      </c>
      <c r="AA537" s="785"/>
      <c r="AB537" s="785"/>
      <c r="AC537" s="785"/>
      <c r="AD537" s="785"/>
      <c r="AE537" s="785"/>
      <c r="AF537" s="799"/>
      <c r="AG537" s="935"/>
      <c r="AH537" s="935"/>
      <c r="AI537" s="935"/>
      <c r="AJ537" s="935"/>
      <c r="AK537" s="935"/>
      <c r="AL537" s="935"/>
      <c r="AM537" s="935"/>
      <c r="AN537" s="935"/>
      <c r="AO537" s="935"/>
      <c r="AP537" s="935"/>
      <c r="AQ537" s="1420"/>
      <c r="AR537" s="1368"/>
      <c r="AS537" s="1368"/>
      <c r="AT537" s="1368"/>
      <c r="AU537" s="1369"/>
      <c r="AV537" s="808"/>
      <c r="AW537" s="800"/>
      <c r="AX537" s="800"/>
      <c r="AY537" s="800"/>
      <c r="AZ537" s="800"/>
      <c r="BA537" s="800"/>
      <c r="BB537" s="800"/>
      <c r="BC537" s="800"/>
      <c r="BD537" s="800"/>
      <c r="BE537" s="800"/>
      <c r="BF537" s="800"/>
      <c r="BG537" s="800"/>
      <c r="BH537" s="800"/>
      <c r="BI537" s="800"/>
      <c r="BJ537" s="800"/>
      <c r="BK537" s="805"/>
      <c r="BL537" s="1376"/>
      <c r="BM537" s="1377"/>
      <c r="BN537" s="1377"/>
      <c r="BO537" s="1377"/>
      <c r="BP537" s="1440"/>
      <c r="BQ537" s="1420"/>
      <c r="BR537" s="1368"/>
      <c r="BS537" s="1368"/>
      <c r="BT537" s="1368"/>
      <c r="BU537" s="1369"/>
      <c r="BV537" s="1420"/>
      <c r="BW537" s="1368"/>
      <c r="BX537" s="1368"/>
      <c r="BY537" s="1368"/>
      <c r="BZ537" s="1368"/>
      <c r="CA537" s="1420"/>
      <c r="CB537" s="1368"/>
      <c r="CC537" s="1368"/>
      <c r="CD537" s="1368"/>
      <c r="CE537" s="1369"/>
      <c r="CF537" s="1368"/>
      <c r="CG537" s="1368"/>
      <c r="CH537" s="1368"/>
      <c r="CI537" s="1368"/>
      <c r="CJ537" s="1369"/>
      <c r="CK537" s="1420"/>
      <c r="CL537" s="1368"/>
      <c r="CM537" s="1368"/>
      <c r="CN537" s="1368"/>
      <c r="CO537" s="1369"/>
      <c r="CP537" s="1420"/>
      <c r="CQ537" s="1368"/>
      <c r="CR537" s="1368"/>
      <c r="CS537" s="1368"/>
      <c r="CT537" s="1369"/>
      <c r="CU537" s="1528"/>
      <c r="CV537" s="1519"/>
      <c r="CW537" s="1519"/>
      <c r="CX537" s="1728"/>
      <c r="CY537" s="1519"/>
      <c r="CZ537" s="1519"/>
      <c r="DA537" s="1519"/>
      <c r="DB537" s="1728"/>
      <c r="DC537" s="1377"/>
      <c r="DD537" s="1729"/>
      <c r="DE537" s="1734"/>
    </row>
    <row r="538" spans="1:109" ht="15.75" hidden="1" customHeight="1">
      <c r="A538" s="772" t="s">
        <v>1024</v>
      </c>
      <c r="B538" s="773">
        <v>532</v>
      </c>
      <c r="C538" s="789" t="s">
        <v>4194</v>
      </c>
      <c r="D538" s="773" t="s">
        <v>4191</v>
      </c>
      <c r="E538" s="773" t="s">
        <v>1896</v>
      </c>
      <c r="F538" s="785" t="s">
        <v>4195</v>
      </c>
      <c r="G538" s="790" t="s">
        <v>137</v>
      </c>
      <c r="H538" s="791" t="s">
        <v>4196</v>
      </c>
      <c r="I538" s="792"/>
      <c r="J538" s="793">
        <v>1</v>
      </c>
      <c r="K538" s="793"/>
      <c r="L538" s="793"/>
      <c r="M538" s="793"/>
      <c r="N538" s="793"/>
      <c r="O538" s="793"/>
      <c r="P538" s="794"/>
      <c r="Q538" s="795">
        <f t="shared" si="8"/>
        <v>1</v>
      </c>
      <c r="R538" s="789" t="s">
        <v>1030</v>
      </c>
      <c r="S538" s="773" t="s">
        <v>1008</v>
      </c>
      <c r="T538" s="796" t="s">
        <v>1009</v>
      </c>
      <c r="U538" s="773" t="s">
        <v>1892</v>
      </c>
      <c r="V538" s="773" t="s">
        <v>1033</v>
      </c>
      <c r="W538" s="773" t="s">
        <v>2351</v>
      </c>
      <c r="X538" s="1274">
        <v>0</v>
      </c>
      <c r="Y538" s="821" t="s">
        <v>1020</v>
      </c>
      <c r="Z538" s="790" t="s">
        <v>137</v>
      </c>
      <c r="AA538" s="785"/>
      <c r="AB538" s="785"/>
      <c r="AC538" s="785"/>
      <c r="AD538" s="785"/>
      <c r="AE538" s="785"/>
      <c r="AF538" s="799"/>
      <c r="AG538" s="800"/>
      <c r="AH538" s="800"/>
      <c r="AI538" s="800"/>
      <c r="AJ538" s="800"/>
      <c r="AK538" s="800"/>
      <c r="AL538" s="800"/>
      <c r="AM538" s="800"/>
      <c r="AN538" s="800"/>
      <c r="AO538" s="800"/>
      <c r="AP538" s="800"/>
      <c r="AQ538" s="1421"/>
      <c r="AR538" s="1373"/>
      <c r="AS538" s="1373"/>
      <c r="AT538" s="1373"/>
      <c r="AU538" s="1374"/>
      <c r="AV538" s="808"/>
      <c r="AW538" s="800"/>
      <c r="AX538" s="800"/>
      <c r="AY538" s="800"/>
      <c r="AZ538" s="800"/>
      <c r="BA538" s="800"/>
      <c r="BB538" s="800"/>
      <c r="BC538" s="800"/>
      <c r="BD538" s="800"/>
      <c r="BE538" s="800"/>
      <c r="BF538" s="800"/>
      <c r="BG538" s="800"/>
      <c r="BH538" s="800"/>
      <c r="BI538" s="800"/>
      <c r="BJ538" s="800"/>
      <c r="BK538" s="805"/>
      <c r="BL538" s="1376"/>
      <c r="BM538" s="1377"/>
      <c r="BN538" s="1377"/>
      <c r="BO538" s="1377"/>
      <c r="BP538" s="1440"/>
      <c r="BQ538" s="1420"/>
      <c r="BR538" s="1368"/>
      <c r="BS538" s="1368"/>
      <c r="BT538" s="1368"/>
      <c r="BU538" s="1369"/>
      <c r="BV538" s="1421"/>
      <c r="BW538" s="1373"/>
      <c r="BX538" s="1373"/>
      <c r="BY538" s="1373"/>
      <c r="BZ538" s="1373"/>
      <c r="CA538" s="1420"/>
      <c r="CB538" s="1368"/>
      <c r="CC538" s="1368"/>
      <c r="CD538" s="1368"/>
      <c r="CE538" s="1369"/>
      <c r="CF538" s="1368"/>
      <c r="CG538" s="1368"/>
      <c r="CH538" s="1368"/>
      <c r="CI538" s="1368"/>
      <c r="CJ538" s="1369"/>
      <c r="CK538" s="1371"/>
      <c r="CL538" s="1371"/>
      <c r="CM538" s="1371"/>
      <c r="CN538" s="1371"/>
      <c r="CO538" s="1372"/>
      <c r="CP538" s="1420"/>
      <c r="CQ538" s="1368"/>
      <c r="CR538" s="1368"/>
      <c r="CS538" s="1368"/>
      <c r="CT538" s="1369"/>
      <c r="CU538" s="1528"/>
      <c r="CV538" s="1519"/>
      <c r="CW538" s="1519"/>
      <c r="CX538" s="1728"/>
      <c r="CY538" s="1519"/>
      <c r="CZ538" s="1519"/>
      <c r="DA538" s="1519"/>
      <c r="DB538" s="1728"/>
      <c r="DC538" s="1377"/>
      <c r="DD538" s="1729"/>
      <c r="DE538" s="1734"/>
    </row>
    <row r="539" spans="1:109" ht="15.75" hidden="1" customHeight="1">
      <c r="A539" s="772" t="s">
        <v>1024</v>
      </c>
      <c r="B539" s="773">
        <v>533</v>
      </c>
      <c r="C539" s="789" t="s">
        <v>4197</v>
      </c>
      <c r="D539" s="773" t="s">
        <v>4191</v>
      </c>
      <c r="E539" s="773" t="s">
        <v>1889</v>
      </c>
      <c r="F539" s="785" t="s">
        <v>4198</v>
      </c>
      <c r="G539" s="790" t="s">
        <v>4199</v>
      </c>
      <c r="H539" s="791" t="s">
        <v>4200</v>
      </c>
      <c r="I539" s="792"/>
      <c r="J539" s="793">
        <v>1</v>
      </c>
      <c r="K539" s="793"/>
      <c r="L539" s="793"/>
      <c r="M539" s="793"/>
      <c r="N539" s="793"/>
      <c r="O539" s="793"/>
      <c r="P539" s="794"/>
      <c r="Q539" s="795">
        <f t="shared" si="8"/>
        <v>1</v>
      </c>
      <c r="R539" s="789" t="s">
        <v>1030</v>
      </c>
      <c r="S539" s="773" t="s">
        <v>1008</v>
      </c>
      <c r="T539" s="796" t="s">
        <v>1009</v>
      </c>
      <c r="U539" s="773" t="s">
        <v>2149</v>
      </c>
      <c r="V539" s="773" t="s">
        <v>1033</v>
      </c>
      <c r="W539" s="773" t="s">
        <v>4201</v>
      </c>
      <c r="X539" s="829">
        <v>2</v>
      </c>
      <c r="Y539" s="821" t="s">
        <v>1020</v>
      </c>
      <c r="Z539" s="790" t="s">
        <v>2002</v>
      </c>
      <c r="AA539" s="785"/>
      <c r="AB539" s="785"/>
      <c r="AC539" s="785"/>
      <c r="AD539" s="785"/>
      <c r="AE539" s="785"/>
      <c r="AF539" s="799"/>
      <c r="AG539" s="800"/>
      <c r="AH539" s="800"/>
      <c r="AI539" s="800"/>
      <c r="AJ539" s="800"/>
      <c r="AK539" s="800"/>
      <c r="AL539" s="800"/>
      <c r="AM539" s="800"/>
      <c r="AN539" s="800"/>
      <c r="AO539" s="800"/>
      <c r="AP539" s="800"/>
      <c r="AQ539" s="808">
        <v>2.2400000000000002</v>
      </c>
      <c r="AR539" s="800">
        <v>2.0699999999999998</v>
      </c>
      <c r="AS539" s="800">
        <v>1.91</v>
      </c>
      <c r="AT539" s="800">
        <v>1.75</v>
      </c>
      <c r="AU539" s="805">
        <v>1.58</v>
      </c>
      <c r="AV539" s="808"/>
      <c r="AW539" s="800"/>
      <c r="AX539" s="800"/>
      <c r="AY539" s="800"/>
      <c r="AZ539" s="800"/>
      <c r="BA539" s="800"/>
      <c r="BB539" s="800"/>
      <c r="BC539" s="800"/>
      <c r="BD539" s="800"/>
      <c r="BE539" s="800"/>
      <c r="BF539" s="800"/>
      <c r="BG539" s="800"/>
      <c r="BH539" s="800"/>
      <c r="BI539" s="800"/>
      <c r="BJ539" s="800"/>
      <c r="BK539" s="805"/>
      <c r="BL539" s="789" t="s">
        <v>168</v>
      </c>
      <c r="BM539" s="785" t="s">
        <v>168</v>
      </c>
      <c r="BN539" s="785" t="s">
        <v>168</v>
      </c>
      <c r="BO539" s="785" t="s">
        <v>168</v>
      </c>
      <c r="BP539" s="796" t="s">
        <v>168</v>
      </c>
      <c r="BQ539" s="808" t="s">
        <v>1942</v>
      </c>
      <c r="BR539" s="800" t="s">
        <v>1942</v>
      </c>
      <c r="BS539" s="800" t="s">
        <v>1942</v>
      </c>
      <c r="BT539" s="800" t="s">
        <v>1942</v>
      </c>
      <c r="BU539" s="805" t="s">
        <v>1942</v>
      </c>
      <c r="BV539" s="1420">
        <v>4.4800000000000004</v>
      </c>
      <c r="BW539" s="1368">
        <v>4.4800000000000004</v>
      </c>
      <c r="BX539" s="1368">
        <v>4.4800000000000004</v>
      </c>
      <c r="BY539" s="1368">
        <v>4.4800000000000004</v>
      </c>
      <c r="BZ539" s="1369">
        <v>4.4800000000000004</v>
      </c>
      <c r="CA539" s="808" t="s">
        <v>1942</v>
      </c>
      <c r="CB539" s="800" t="s">
        <v>1942</v>
      </c>
      <c r="CC539" s="800" t="s">
        <v>1942</v>
      </c>
      <c r="CD539" s="800" t="s">
        <v>1942</v>
      </c>
      <c r="CE539" s="805" t="s">
        <v>1942</v>
      </c>
      <c r="CF539" s="800" t="s">
        <v>1942</v>
      </c>
      <c r="CG539" s="800" t="s">
        <v>1942</v>
      </c>
      <c r="CH539" s="800" t="s">
        <v>1942</v>
      </c>
      <c r="CI539" s="800" t="s">
        <v>1942</v>
      </c>
      <c r="CJ539" s="805" t="s">
        <v>1942</v>
      </c>
      <c r="CK539" s="808">
        <v>1.08</v>
      </c>
      <c r="CL539" s="800">
        <v>0.95</v>
      </c>
      <c r="CM539" s="800">
        <v>0.83</v>
      </c>
      <c r="CN539" s="800">
        <v>0.71</v>
      </c>
      <c r="CO539" s="805">
        <v>0.57999999999999996</v>
      </c>
      <c r="CP539" s="808" t="s">
        <v>1942</v>
      </c>
      <c r="CQ539" s="800" t="s">
        <v>1942</v>
      </c>
      <c r="CR539" s="800" t="s">
        <v>1942</v>
      </c>
      <c r="CS539" s="800" t="s">
        <v>1942</v>
      </c>
      <c r="CT539" s="805" t="s">
        <v>1942</v>
      </c>
      <c r="CU539" s="1284">
        <v>-2.407</v>
      </c>
      <c r="CV539" s="1283" t="s">
        <v>1942</v>
      </c>
      <c r="CW539" s="1283" t="s">
        <v>1942</v>
      </c>
      <c r="CX539" s="1285" t="s">
        <v>1942</v>
      </c>
      <c r="CY539" s="1283">
        <v>2.407</v>
      </c>
      <c r="CZ539" s="1283" t="s">
        <v>1942</v>
      </c>
      <c r="DA539" s="1283" t="s">
        <v>1942</v>
      </c>
      <c r="DB539" s="1285" t="s">
        <v>1942</v>
      </c>
      <c r="DC539" s="785"/>
      <c r="DD539" s="813">
        <v>1</v>
      </c>
      <c r="DE539" s="814"/>
    </row>
    <row r="540" spans="1:109" ht="15.75" hidden="1" customHeight="1">
      <c r="A540" s="772" t="s">
        <v>1024</v>
      </c>
      <c r="B540" s="773">
        <v>534</v>
      </c>
      <c r="C540" s="789" t="s">
        <v>4202</v>
      </c>
      <c r="D540" s="773" t="s">
        <v>4191</v>
      </c>
      <c r="E540" s="773" t="s">
        <v>1907</v>
      </c>
      <c r="F540" s="785" t="s">
        <v>4203</v>
      </c>
      <c r="G540" s="790" t="s">
        <v>161</v>
      </c>
      <c r="H540" s="791" t="s">
        <v>4204</v>
      </c>
      <c r="I540" s="792"/>
      <c r="J540" s="793">
        <v>1</v>
      </c>
      <c r="K540" s="793"/>
      <c r="L540" s="793"/>
      <c r="M540" s="793"/>
      <c r="N540" s="793"/>
      <c r="O540" s="793"/>
      <c r="P540" s="794"/>
      <c r="Q540" s="795">
        <f t="shared" si="8"/>
        <v>1</v>
      </c>
      <c r="R540" s="789" t="s">
        <v>1026</v>
      </c>
      <c r="S540" s="773" t="s">
        <v>1008</v>
      </c>
      <c r="T540" s="796" t="s">
        <v>1009</v>
      </c>
      <c r="U540" s="773" t="s">
        <v>2074</v>
      </c>
      <c r="V540" s="773" t="s">
        <v>1033</v>
      </c>
      <c r="W540" s="773" t="s">
        <v>4205</v>
      </c>
      <c r="X540" s="829">
        <v>1</v>
      </c>
      <c r="Y540" s="821" t="s">
        <v>1020</v>
      </c>
      <c r="Z540" s="790" t="s">
        <v>161</v>
      </c>
      <c r="AA540" s="785"/>
      <c r="AB540" s="785"/>
      <c r="AC540" s="785"/>
      <c r="AD540" s="785"/>
      <c r="AE540" s="785"/>
      <c r="AF540" s="799"/>
      <c r="AG540" s="800"/>
      <c r="AH540" s="800"/>
      <c r="AI540" s="800"/>
      <c r="AJ540" s="800"/>
      <c r="AK540" s="800"/>
      <c r="AL540" s="800"/>
      <c r="AM540" s="800"/>
      <c r="AN540" s="800"/>
      <c r="AO540" s="800"/>
      <c r="AP540" s="800"/>
      <c r="AQ540" s="1421"/>
      <c r="AR540" s="1373"/>
      <c r="AS540" s="1373"/>
      <c r="AT540" s="1373"/>
      <c r="AU540" s="1374"/>
      <c r="AV540" s="808"/>
      <c r="AW540" s="800"/>
      <c r="AX540" s="800"/>
      <c r="AY540" s="800"/>
      <c r="AZ540" s="800"/>
      <c r="BA540" s="800"/>
      <c r="BB540" s="800"/>
      <c r="BC540" s="800"/>
      <c r="BD540" s="800"/>
      <c r="BE540" s="800"/>
      <c r="BF540" s="800"/>
      <c r="BG540" s="800"/>
      <c r="BH540" s="800"/>
      <c r="BI540" s="800"/>
      <c r="BJ540" s="800"/>
      <c r="BK540" s="805"/>
      <c r="BL540" s="1376"/>
      <c r="BM540" s="1377"/>
      <c r="BN540" s="1377"/>
      <c r="BO540" s="1377"/>
      <c r="BP540" s="1440"/>
      <c r="BQ540" s="1420"/>
      <c r="BR540" s="1368"/>
      <c r="BS540" s="1368"/>
      <c r="BT540" s="1368"/>
      <c r="BU540" s="1369"/>
      <c r="BV540" s="1421"/>
      <c r="BW540" s="1373"/>
      <c r="BX540" s="1373"/>
      <c r="BY540" s="1373"/>
      <c r="BZ540" s="1373"/>
      <c r="CA540" s="1420"/>
      <c r="CB540" s="1368"/>
      <c r="CC540" s="1368"/>
      <c r="CD540" s="1368"/>
      <c r="CE540" s="1369"/>
      <c r="CF540" s="1368"/>
      <c r="CG540" s="1368"/>
      <c r="CH540" s="1368"/>
      <c r="CI540" s="1368"/>
      <c r="CJ540" s="1369"/>
      <c r="CK540" s="1420"/>
      <c r="CL540" s="1368"/>
      <c r="CM540" s="1368"/>
      <c r="CN540" s="1368"/>
      <c r="CO540" s="1369"/>
      <c r="CP540" s="1420"/>
      <c r="CQ540" s="1368"/>
      <c r="CR540" s="1368"/>
      <c r="CS540" s="1368"/>
      <c r="CT540" s="1369"/>
      <c r="CU540" s="1528"/>
      <c r="CV540" s="1519"/>
      <c r="CW540" s="1519"/>
      <c r="CX540" s="1728"/>
      <c r="CY540" s="1519"/>
      <c r="CZ540" s="1519"/>
      <c r="DA540" s="1519"/>
      <c r="DB540" s="1728"/>
      <c r="DC540" s="1377"/>
      <c r="DD540" s="1729"/>
      <c r="DE540" s="1734"/>
    </row>
    <row r="541" spans="1:109" ht="15.75" hidden="1" customHeight="1">
      <c r="A541" s="772" t="s">
        <v>1024</v>
      </c>
      <c r="B541" s="773">
        <v>535</v>
      </c>
      <c r="C541" s="789" t="s">
        <v>4206</v>
      </c>
      <c r="D541" s="773" t="s">
        <v>4191</v>
      </c>
      <c r="E541" s="773" t="s">
        <v>1907</v>
      </c>
      <c r="F541" s="785" t="s">
        <v>4207</v>
      </c>
      <c r="G541" s="790" t="s">
        <v>167</v>
      </c>
      <c r="H541" s="791" t="s">
        <v>4208</v>
      </c>
      <c r="I541" s="792"/>
      <c r="J541" s="793">
        <v>1</v>
      </c>
      <c r="K541" s="793"/>
      <c r="L541" s="793"/>
      <c r="M541" s="793"/>
      <c r="N541" s="793"/>
      <c r="O541" s="793"/>
      <c r="P541" s="794"/>
      <c r="Q541" s="795">
        <f t="shared" si="8"/>
        <v>1</v>
      </c>
      <c r="R541" s="789" t="s">
        <v>1026</v>
      </c>
      <c r="S541" s="773" t="s">
        <v>1008</v>
      </c>
      <c r="T541" s="796" t="s">
        <v>1009</v>
      </c>
      <c r="U541" s="773" t="s">
        <v>1915</v>
      </c>
      <c r="V541" s="773" t="s">
        <v>278</v>
      </c>
      <c r="W541" s="773"/>
      <c r="X541" s="829">
        <v>2</v>
      </c>
      <c r="Y541" s="821" t="s">
        <v>1020</v>
      </c>
      <c r="Z541" s="790" t="s">
        <v>167</v>
      </c>
      <c r="AA541" s="785"/>
      <c r="AB541" s="785"/>
      <c r="AC541" s="785"/>
      <c r="AD541" s="785"/>
      <c r="AE541" s="785"/>
      <c r="AF541" s="799"/>
      <c r="AG541" s="800"/>
      <c r="AH541" s="800"/>
      <c r="AI541" s="800"/>
      <c r="AJ541" s="800"/>
      <c r="AK541" s="800"/>
      <c r="AL541" s="800"/>
      <c r="AM541" s="800"/>
      <c r="AN541" s="800"/>
      <c r="AO541" s="800"/>
      <c r="AP541" s="800"/>
      <c r="AQ541" s="1421"/>
      <c r="AR541" s="1373"/>
      <c r="AS541" s="1373"/>
      <c r="AT541" s="1373"/>
      <c r="AU541" s="1374"/>
      <c r="AV541" s="827"/>
      <c r="AW541" s="797"/>
      <c r="AX541" s="797"/>
      <c r="AY541" s="797"/>
      <c r="AZ541" s="797"/>
      <c r="BA541" s="797"/>
      <c r="BB541" s="797"/>
      <c r="BC541" s="797"/>
      <c r="BD541" s="797"/>
      <c r="BE541" s="797"/>
      <c r="BF541" s="797"/>
      <c r="BG541" s="797"/>
      <c r="BH541" s="797"/>
      <c r="BI541" s="797"/>
      <c r="BJ541" s="797"/>
      <c r="BK541" s="841"/>
      <c r="BL541" s="1376"/>
      <c r="BM541" s="1377"/>
      <c r="BN541" s="1377"/>
      <c r="BO541" s="1377"/>
      <c r="BP541" s="1440"/>
      <c r="BQ541" s="1420"/>
      <c r="BR541" s="1368"/>
      <c r="BS541" s="1368"/>
      <c r="BT541" s="1368"/>
      <c r="BU541" s="1369"/>
      <c r="BV541" s="1420"/>
      <c r="BW541" s="1368"/>
      <c r="BX541" s="1368"/>
      <c r="BY541" s="1368"/>
      <c r="BZ541" s="1368"/>
      <c r="CA541" s="1420"/>
      <c r="CB541" s="1368"/>
      <c r="CC541" s="1368"/>
      <c r="CD541" s="1368"/>
      <c r="CE541" s="1369"/>
      <c r="CF541" s="1368"/>
      <c r="CG541" s="1368"/>
      <c r="CH541" s="1368"/>
      <c r="CI541" s="1368"/>
      <c r="CJ541" s="1369"/>
      <c r="CK541" s="1420"/>
      <c r="CL541" s="1368"/>
      <c r="CM541" s="1368"/>
      <c r="CN541" s="1368"/>
      <c r="CO541" s="1369"/>
      <c r="CP541" s="1420"/>
      <c r="CQ541" s="1368"/>
      <c r="CR541" s="1368"/>
      <c r="CS541" s="1368"/>
      <c r="CT541" s="1369"/>
      <c r="CU541" s="1528"/>
      <c r="CV541" s="1519"/>
      <c r="CW541" s="1519"/>
      <c r="CX541" s="1728"/>
      <c r="CY541" s="1519"/>
      <c r="CZ541" s="1519"/>
      <c r="DA541" s="1519"/>
      <c r="DB541" s="1728"/>
      <c r="DC541" s="1377"/>
      <c r="DD541" s="1729"/>
      <c r="DE541" s="1734"/>
    </row>
    <row r="542" spans="1:109" ht="15.75" hidden="1" customHeight="1">
      <c r="A542" s="772" t="s">
        <v>1024</v>
      </c>
      <c r="B542" s="773">
        <v>536</v>
      </c>
      <c r="C542" s="789" t="s">
        <v>4209</v>
      </c>
      <c r="D542" s="773" t="s">
        <v>4191</v>
      </c>
      <c r="E542" s="773" t="s">
        <v>1907</v>
      </c>
      <c r="F542" s="785" t="s">
        <v>4210</v>
      </c>
      <c r="G542" s="790" t="s">
        <v>4211</v>
      </c>
      <c r="H542" s="791" t="s">
        <v>4212</v>
      </c>
      <c r="I542" s="792"/>
      <c r="J542" s="793">
        <v>1</v>
      </c>
      <c r="K542" s="793"/>
      <c r="L542" s="793"/>
      <c r="M542" s="793"/>
      <c r="N542" s="793"/>
      <c r="O542" s="793"/>
      <c r="P542" s="794"/>
      <c r="Q542" s="795">
        <f t="shared" si="8"/>
        <v>1</v>
      </c>
      <c r="R542" s="789" t="s">
        <v>1007</v>
      </c>
      <c r="S542" s="773"/>
      <c r="T542" s="796"/>
      <c r="U542" s="773" t="s">
        <v>1926</v>
      </c>
      <c r="V542" s="773" t="s">
        <v>1033</v>
      </c>
      <c r="W542" s="773"/>
      <c r="X542" s="829">
        <v>3</v>
      </c>
      <c r="Y542" s="821" t="s">
        <v>1020</v>
      </c>
      <c r="Z542" s="790"/>
      <c r="AA542" s="785"/>
      <c r="AB542" s="785"/>
      <c r="AC542" s="785"/>
      <c r="AD542" s="785"/>
      <c r="AE542" s="785"/>
      <c r="AF542" s="799"/>
      <c r="AG542" s="838"/>
      <c r="AH542" s="838"/>
      <c r="AI542" s="838"/>
      <c r="AJ542" s="838"/>
      <c r="AK542" s="838"/>
      <c r="AL542" s="838"/>
      <c r="AM542" s="838"/>
      <c r="AN542" s="838"/>
      <c r="AO542" s="838"/>
      <c r="AP542" s="838"/>
      <c r="AQ542" s="839">
        <v>10</v>
      </c>
      <c r="AR542" s="838">
        <v>10</v>
      </c>
      <c r="AS542" s="838">
        <v>10</v>
      </c>
      <c r="AT542" s="838">
        <v>10</v>
      </c>
      <c r="AU542" s="840">
        <v>10</v>
      </c>
      <c r="AV542" s="839"/>
      <c r="AW542" s="838"/>
      <c r="AX542" s="838"/>
      <c r="AY542" s="838"/>
      <c r="AZ542" s="838"/>
      <c r="BA542" s="838"/>
      <c r="BB542" s="838"/>
      <c r="BC542" s="838"/>
      <c r="BD542" s="838"/>
      <c r="BE542" s="838"/>
      <c r="BF542" s="838"/>
      <c r="BG542" s="838"/>
      <c r="BH542" s="838"/>
      <c r="BI542" s="838"/>
      <c r="BJ542" s="838"/>
      <c r="BK542" s="840"/>
      <c r="BL542" s="789"/>
      <c r="BM542" s="785"/>
      <c r="BN542" s="785"/>
      <c r="BO542" s="785"/>
      <c r="BP542" s="796"/>
      <c r="BQ542" s="808" t="s">
        <v>1942</v>
      </c>
      <c r="BR542" s="800" t="s">
        <v>1942</v>
      </c>
      <c r="BS542" s="800" t="s">
        <v>1942</v>
      </c>
      <c r="BT542" s="800" t="s">
        <v>1942</v>
      </c>
      <c r="BU542" s="805" t="s">
        <v>1942</v>
      </c>
      <c r="BV542" s="808" t="s">
        <v>1942</v>
      </c>
      <c r="BW542" s="800" t="s">
        <v>1942</v>
      </c>
      <c r="BX542" s="800" t="s">
        <v>1942</v>
      </c>
      <c r="BY542" s="800" t="s">
        <v>1942</v>
      </c>
      <c r="BZ542" s="800" t="s">
        <v>1942</v>
      </c>
      <c r="CA542" s="808" t="s">
        <v>1942</v>
      </c>
      <c r="CB542" s="800" t="s">
        <v>1942</v>
      </c>
      <c r="CC542" s="800" t="s">
        <v>1942</v>
      </c>
      <c r="CD542" s="800" t="s">
        <v>1942</v>
      </c>
      <c r="CE542" s="805" t="s">
        <v>1942</v>
      </c>
      <c r="CF542" s="800" t="s">
        <v>1942</v>
      </c>
      <c r="CG542" s="800" t="s">
        <v>1942</v>
      </c>
      <c r="CH542" s="800" t="s">
        <v>1942</v>
      </c>
      <c r="CI542" s="800" t="s">
        <v>1942</v>
      </c>
      <c r="CJ542" s="800" t="s">
        <v>1942</v>
      </c>
      <c r="CK542" s="808" t="s">
        <v>1942</v>
      </c>
      <c r="CL542" s="800" t="s">
        <v>1942</v>
      </c>
      <c r="CM542" s="800" t="s">
        <v>1942</v>
      </c>
      <c r="CN542" s="800" t="s">
        <v>1942</v>
      </c>
      <c r="CO542" s="805" t="s">
        <v>1942</v>
      </c>
      <c r="CP542" s="808" t="s">
        <v>1942</v>
      </c>
      <c r="CQ542" s="800" t="s">
        <v>1942</v>
      </c>
      <c r="CR542" s="800" t="s">
        <v>1942</v>
      </c>
      <c r="CS542" s="800" t="s">
        <v>1942</v>
      </c>
      <c r="CT542" s="805" t="s">
        <v>1942</v>
      </c>
      <c r="CU542" s="1284" t="s">
        <v>1942</v>
      </c>
      <c r="CV542" s="1283" t="s">
        <v>1942</v>
      </c>
      <c r="CW542" s="1283" t="s">
        <v>1942</v>
      </c>
      <c r="CX542" s="1285" t="s">
        <v>1942</v>
      </c>
      <c r="CY542" s="1283" t="s">
        <v>1942</v>
      </c>
      <c r="CZ542" s="1283" t="s">
        <v>1942</v>
      </c>
      <c r="DA542" s="1283" t="s">
        <v>1942</v>
      </c>
      <c r="DB542" s="1285" t="s">
        <v>1942</v>
      </c>
      <c r="DC542" s="785"/>
      <c r="DD542" s="813">
        <v>1</v>
      </c>
      <c r="DE542" s="814"/>
    </row>
    <row r="543" spans="1:109" ht="15.75" hidden="1" customHeight="1">
      <c r="A543" s="772" t="s">
        <v>1024</v>
      </c>
      <c r="B543" s="773">
        <v>537</v>
      </c>
      <c r="C543" s="789" t="s">
        <v>4213</v>
      </c>
      <c r="D543" s="773" t="s">
        <v>4191</v>
      </c>
      <c r="E543" s="773" t="s">
        <v>1907</v>
      </c>
      <c r="F543" s="785" t="s">
        <v>4214</v>
      </c>
      <c r="G543" s="790" t="s">
        <v>4215</v>
      </c>
      <c r="H543" s="791" t="s">
        <v>4216</v>
      </c>
      <c r="I543" s="792">
        <v>1</v>
      </c>
      <c r="J543" s="793"/>
      <c r="K543" s="793"/>
      <c r="L543" s="793"/>
      <c r="M543" s="793"/>
      <c r="N543" s="793"/>
      <c r="O543" s="793"/>
      <c r="P543" s="794"/>
      <c r="Q543" s="795">
        <f t="shared" si="8"/>
        <v>1</v>
      </c>
      <c r="R543" s="789" t="s">
        <v>1007</v>
      </c>
      <c r="S543" s="773"/>
      <c r="T543" s="796"/>
      <c r="U543" s="773" t="s">
        <v>1967</v>
      </c>
      <c r="V543" s="773" t="s">
        <v>1033</v>
      </c>
      <c r="W543" s="773"/>
      <c r="X543" s="829">
        <v>0</v>
      </c>
      <c r="Y543" s="821" t="s">
        <v>1020</v>
      </c>
      <c r="Z543" s="790"/>
      <c r="AA543" s="785"/>
      <c r="AB543" s="785"/>
      <c r="AC543" s="785"/>
      <c r="AD543" s="785"/>
      <c r="AE543" s="785"/>
      <c r="AF543" s="799"/>
      <c r="AG543" s="800"/>
      <c r="AH543" s="797"/>
      <c r="AI543" s="797"/>
      <c r="AJ543" s="797"/>
      <c r="AK543" s="797"/>
      <c r="AL543" s="797"/>
      <c r="AM543" s="797"/>
      <c r="AN543" s="797"/>
      <c r="AO543" s="797"/>
      <c r="AP543" s="797"/>
      <c r="AQ543" s="827">
        <v>23</v>
      </c>
      <c r="AR543" s="797">
        <v>23</v>
      </c>
      <c r="AS543" s="797">
        <v>23</v>
      </c>
      <c r="AT543" s="797">
        <v>23</v>
      </c>
      <c r="AU543" s="841">
        <v>18</v>
      </c>
      <c r="AV543" s="808"/>
      <c r="AW543" s="800"/>
      <c r="AX543" s="800"/>
      <c r="AY543" s="800"/>
      <c r="AZ543" s="800"/>
      <c r="BA543" s="800"/>
      <c r="BB543" s="800"/>
      <c r="BC543" s="800"/>
      <c r="BD543" s="800"/>
      <c r="BE543" s="800"/>
      <c r="BF543" s="800"/>
      <c r="BG543" s="800"/>
      <c r="BH543" s="800"/>
      <c r="BI543" s="800"/>
      <c r="BJ543" s="800"/>
      <c r="BK543" s="805"/>
      <c r="BL543" s="789"/>
      <c r="BM543" s="785"/>
      <c r="BN543" s="785"/>
      <c r="BO543" s="785"/>
      <c r="BP543" s="796"/>
      <c r="BQ543" s="808" t="s">
        <v>1942</v>
      </c>
      <c r="BR543" s="800" t="s">
        <v>1942</v>
      </c>
      <c r="BS543" s="800" t="s">
        <v>1942</v>
      </c>
      <c r="BT543" s="800" t="s">
        <v>1942</v>
      </c>
      <c r="BU543" s="805" t="s">
        <v>1942</v>
      </c>
      <c r="BV543" s="808" t="s">
        <v>1942</v>
      </c>
      <c r="BW543" s="800" t="s">
        <v>1942</v>
      </c>
      <c r="BX543" s="800" t="s">
        <v>1942</v>
      </c>
      <c r="BY543" s="800" t="s">
        <v>1942</v>
      </c>
      <c r="BZ543" s="800" t="s">
        <v>1942</v>
      </c>
      <c r="CA543" s="808" t="s">
        <v>1942</v>
      </c>
      <c r="CB543" s="800" t="s">
        <v>1942</v>
      </c>
      <c r="CC543" s="800" t="s">
        <v>1942</v>
      </c>
      <c r="CD543" s="800" t="s">
        <v>1942</v>
      </c>
      <c r="CE543" s="805" t="s">
        <v>1942</v>
      </c>
      <c r="CF543" s="800" t="s">
        <v>1942</v>
      </c>
      <c r="CG543" s="800" t="s">
        <v>1942</v>
      </c>
      <c r="CH543" s="800" t="s">
        <v>1942</v>
      </c>
      <c r="CI543" s="800" t="s">
        <v>1942</v>
      </c>
      <c r="CJ543" s="805" t="s">
        <v>1942</v>
      </c>
      <c r="CK543" s="808" t="s">
        <v>1942</v>
      </c>
      <c r="CL543" s="800" t="s">
        <v>1942</v>
      </c>
      <c r="CM543" s="800" t="s">
        <v>1942</v>
      </c>
      <c r="CN543" s="800" t="s">
        <v>1942</v>
      </c>
      <c r="CO543" s="805" t="s">
        <v>1942</v>
      </c>
      <c r="CP543" s="808" t="s">
        <v>1942</v>
      </c>
      <c r="CQ543" s="800" t="s">
        <v>1942</v>
      </c>
      <c r="CR543" s="800" t="s">
        <v>1942</v>
      </c>
      <c r="CS543" s="800" t="s">
        <v>1942</v>
      </c>
      <c r="CT543" s="805" t="s">
        <v>1942</v>
      </c>
      <c r="CU543" s="1284" t="s">
        <v>1942</v>
      </c>
      <c r="CV543" s="1283" t="s">
        <v>1942</v>
      </c>
      <c r="CW543" s="1283" t="s">
        <v>1942</v>
      </c>
      <c r="CX543" s="1285" t="s">
        <v>1942</v>
      </c>
      <c r="CY543" s="1283" t="s">
        <v>1942</v>
      </c>
      <c r="CZ543" s="1283" t="s">
        <v>1942</v>
      </c>
      <c r="DA543" s="1283" t="s">
        <v>1942</v>
      </c>
      <c r="DB543" s="1285" t="s">
        <v>1942</v>
      </c>
      <c r="DC543" s="785"/>
      <c r="DD543" s="813">
        <v>1</v>
      </c>
      <c r="DE543" s="814"/>
    </row>
    <row r="544" spans="1:109" ht="15.75" hidden="1" customHeight="1">
      <c r="A544" s="772" t="s">
        <v>1024</v>
      </c>
      <c r="B544" s="773">
        <v>538</v>
      </c>
      <c r="C544" s="789" t="s">
        <v>4217</v>
      </c>
      <c r="D544" s="773" t="s">
        <v>4191</v>
      </c>
      <c r="E544" s="773" t="s">
        <v>1907</v>
      </c>
      <c r="F544" s="785" t="s">
        <v>4218</v>
      </c>
      <c r="G544" s="790" t="s">
        <v>4219</v>
      </c>
      <c r="H544" s="791" t="s">
        <v>4220</v>
      </c>
      <c r="I544" s="792"/>
      <c r="J544" s="793">
        <v>1</v>
      </c>
      <c r="K544" s="793"/>
      <c r="L544" s="793"/>
      <c r="M544" s="793"/>
      <c r="N544" s="793"/>
      <c r="O544" s="793"/>
      <c r="P544" s="794"/>
      <c r="Q544" s="795">
        <f t="shared" si="8"/>
        <v>1</v>
      </c>
      <c r="R544" s="789" t="s">
        <v>1030</v>
      </c>
      <c r="S544" s="773" t="s">
        <v>1008</v>
      </c>
      <c r="T544" s="796" t="s">
        <v>1009</v>
      </c>
      <c r="U544" s="773" t="s">
        <v>1926</v>
      </c>
      <c r="V544" s="773" t="s">
        <v>1033</v>
      </c>
      <c r="W544" s="773"/>
      <c r="X544" s="829">
        <v>0</v>
      </c>
      <c r="Y544" s="821" t="s">
        <v>1010</v>
      </c>
      <c r="Z544" s="790"/>
      <c r="AA544" s="785"/>
      <c r="AB544" s="785"/>
      <c r="AC544" s="785"/>
      <c r="AD544" s="785"/>
      <c r="AE544" s="785"/>
      <c r="AF544" s="799"/>
      <c r="AG544" s="800"/>
      <c r="AH544" s="800"/>
      <c r="AI544" s="800"/>
      <c r="AJ544" s="800"/>
      <c r="AK544" s="800"/>
      <c r="AL544" s="800"/>
      <c r="AM544" s="800"/>
      <c r="AN544" s="800"/>
      <c r="AO544" s="800"/>
      <c r="AP544" s="800"/>
      <c r="AQ544" s="827">
        <v>1400</v>
      </c>
      <c r="AR544" s="797">
        <v>2800</v>
      </c>
      <c r="AS544" s="797">
        <v>4200</v>
      </c>
      <c r="AT544" s="797">
        <v>5600</v>
      </c>
      <c r="AU544" s="805">
        <v>7000</v>
      </c>
      <c r="AV544" s="808"/>
      <c r="AW544" s="800"/>
      <c r="AX544" s="800"/>
      <c r="AY544" s="800"/>
      <c r="AZ544" s="800"/>
      <c r="BA544" s="800"/>
      <c r="BB544" s="800"/>
      <c r="BC544" s="800"/>
      <c r="BD544" s="800"/>
      <c r="BE544" s="800"/>
      <c r="BF544" s="800"/>
      <c r="BG544" s="800"/>
      <c r="BH544" s="800"/>
      <c r="BI544" s="800"/>
      <c r="BJ544" s="800"/>
      <c r="BK544" s="805"/>
      <c r="BL544" s="808" t="s">
        <v>1942</v>
      </c>
      <c r="BM544" s="800" t="s">
        <v>1942</v>
      </c>
      <c r="BN544" s="800" t="s">
        <v>1942</v>
      </c>
      <c r="BO544" s="800" t="s">
        <v>1942</v>
      </c>
      <c r="BP544" s="796" t="s">
        <v>168</v>
      </c>
      <c r="BQ544" s="808" t="s">
        <v>1942</v>
      </c>
      <c r="BR544" s="800" t="s">
        <v>1942</v>
      </c>
      <c r="BS544" s="800" t="s">
        <v>1942</v>
      </c>
      <c r="BT544" s="800" t="s">
        <v>1942</v>
      </c>
      <c r="BU544" s="805" t="s">
        <v>1942</v>
      </c>
      <c r="BV544" s="808" t="s">
        <v>1942</v>
      </c>
      <c r="BW544" s="800" t="s">
        <v>1942</v>
      </c>
      <c r="BX544" s="800" t="s">
        <v>1942</v>
      </c>
      <c r="BY544" s="800" t="s">
        <v>1942</v>
      </c>
      <c r="BZ544" s="800" t="s">
        <v>1942</v>
      </c>
      <c r="CA544" s="808" t="s">
        <v>1942</v>
      </c>
      <c r="CB544" s="800" t="s">
        <v>1942</v>
      </c>
      <c r="CC544" s="800" t="s">
        <v>1942</v>
      </c>
      <c r="CD544" s="800" t="s">
        <v>1942</v>
      </c>
      <c r="CE544" s="805" t="s">
        <v>1942</v>
      </c>
      <c r="CF544" s="800" t="s">
        <v>1942</v>
      </c>
      <c r="CG544" s="800" t="s">
        <v>1942</v>
      </c>
      <c r="CH544" s="800" t="s">
        <v>1942</v>
      </c>
      <c r="CI544" s="800" t="s">
        <v>1942</v>
      </c>
      <c r="CJ544" s="805" t="s">
        <v>1942</v>
      </c>
      <c r="CK544" s="808">
        <v>0</v>
      </c>
      <c r="CL544" s="800">
        <v>0</v>
      </c>
      <c r="CM544" s="800">
        <v>0</v>
      </c>
      <c r="CN544" s="800">
        <v>0</v>
      </c>
      <c r="CO544" s="805">
        <v>14000</v>
      </c>
      <c r="CP544" s="808" t="s">
        <v>1942</v>
      </c>
      <c r="CQ544" s="800" t="s">
        <v>1942</v>
      </c>
      <c r="CR544" s="800" t="s">
        <v>1942</v>
      </c>
      <c r="CS544" s="800" t="s">
        <v>1942</v>
      </c>
      <c r="CT544" s="805" t="s">
        <v>1942</v>
      </c>
      <c r="CU544" s="1284">
        <v>-8.9999999999999998E-4</v>
      </c>
      <c r="CV544" s="1283" t="s">
        <v>1942</v>
      </c>
      <c r="CW544" s="1283" t="s">
        <v>1942</v>
      </c>
      <c r="CX544" s="1285" t="s">
        <v>1942</v>
      </c>
      <c r="CY544" s="1283">
        <v>1.1000000000000001E-3</v>
      </c>
      <c r="CZ544" s="1283" t="s">
        <v>1942</v>
      </c>
      <c r="DA544" s="1283" t="s">
        <v>1942</v>
      </c>
      <c r="DB544" s="1285" t="s">
        <v>1942</v>
      </c>
      <c r="DC544" s="785"/>
      <c r="DD544" s="813">
        <v>1</v>
      </c>
      <c r="DE544" s="814"/>
    </row>
    <row r="545" spans="1:109" ht="15.75" hidden="1" customHeight="1">
      <c r="A545" s="772" t="s">
        <v>1024</v>
      </c>
      <c r="B545" s="773">
        <v>539</v>
      </c>
      <c r="C545" s="789" t="s">
        <v>4221</v>
      </c>
      <c r="D545" s="773" t="s">
        <v>4222</v>
      </c>
      <c r="E545" s="773" t="s">
        <v>1889</v>
      </c>
      <c r="F545" s="785" t="s">
        <v>4223</v>
      </c>
      <c r="G545" s="790" t="s">
        <v>1058</v>
      </c>
      <c r="H545" s="791" t="s">
        <v>4224</v>
      </c>
      <c r="I545" s="792"/>
      <c r="J545" s="793"/>
      <c r="K545" s="793">
        <v>1</v>
      </c>
      <c r="L545" s="793"/>
      <c r="M545" s="793"/>
      <c r="N545" s="793"/>
      <c r="O545" s="793"/>
      <c r="P545" s="794"/>
      <c r="Q545" s="795">
        <f t="shared" si="8"/>
        <v>1</v>
      </c>
      <c r="R545" s="789" t="s">
        <v>1026</v>
      </c>
      <c r="S545" s="773" t="s">
        <v>1008</v>
      </c>
      <c r="T545" s="796" t="s">
        <v>1009</v>
      </c>
      <c r="U545" s="773" t="s">
        <v>3635</v>
      </c>
      <c r="V545" s="773" t="s">
        <v>278</v>
      </c>
      <c r="W545" s="773"/>
      <c r="X545" s="829">
        <v>2</v>
      </c>
      <c r="Y545" s="821" t="s">
        <v>1010</v>
      </c>
      <c r="Z545" s="790" t="s">
        <v>1058</v>
      </c>
      <c r="AA545" s="785"/>
      <c r="AB545" s="785"/>
      <c r="AC545" s="785"/>
      <c r="AD545" s="785"/>
      <c r="AE545" s="785"/>
      <c r="AF545" s="799"/>
      <c r="AG545" s="800"/>
      <c r="AH545" s="800"/>
      <c r="AI545" s="800"/>
      <c r="AJ545" s="800"/>
      <c r="AK545" s="800"/>
      <c r="AL545" s="800"/>
      <c r="AM545" s="800"/>
      <c r="AN545" s="800"/>
      <c r="AO545" s="800"/>
      <c r="AP545" s="807"/>
      <c r="AQ545" s="1421"/>
      <c r="AR545" s="1373"/>
      <c r="AS545" s="1373"/>
      <c r="AT545" s="1373"/>
      <c r="AU545" s="1374"/>
      <c r="AV545" s="806"/>
      <c r="AW545" s="807"/>
      <c r="AX545" s="807"/>
      <c r="AY545" s="807"/>
      <c r="AZ545" s="807"/>
      <c r="BA545" s="807"/>
      <c r="BB545" s="807"/>
      <c r="BC545" s="807"/>
      <c r="BD545" s="807"/>
      <c r="BE545" s="807"/>
      <c r="BF545" s="807"/>
      <c r="BG545" s="807"/>
      <c r="BH545" s="807"/>
      <c r="BI545" s="807"/>
      <c r="BJ545" s="807"/>
      <c r="BK545" s="820"/>
      <c r="BL545" s="1376"/>
      <c r="BM545" s="1377"/>
      <c r="BN545" s="1377"/>
      <c r="BO545" s="1377"/>
      <c r="BP545" s="1440"/>
      <c r="BQ545" s="1420"/>
      <c r="BR545" s="1368"/>
      <c r="BS545" s="1368"/>
      <c r="BT545" s="1368"/>
      <c r="BU545" s="1369"/>
      <c r="BV545" s="1421"/>
      <c r="BW545" s="1373"/>
      <c r="BX545" s="1373"/>
      <c r="BY545" s="1373"/>
      <c r="BZ545" s="1373"/>
      <c r="CA545" s="1421"/>
      <c r="CB545" s="1373"/>
      <c r="CC545" s="1373"/>
      <c r="CD545" s="1373"/>
      <c r="CE545" s="1374"/>
      <c r="CF545" s="1368"/>
      <c r="CG545" s="1368"/>
      <c r="CH545" s="1368"/>
      <c r="CI545" s="1368"/>
      <c r="CJ545" s="1369"/>
      <c r="CK545" s="1420"/>
      <c r="CL545" s="1368"/>
      <c r="CM545" s="1368"/>
      <c r="CN545" s="1368"/>
      <c r="CO545" s="1369"/>
      <c r="CP545" s="1420"/>
      <c r="CQ545" s="1368"/>
      <c r="CR545" s="1368"/>
      <c r="CS545" s="1368"/>
      <c r="CT545" s="1369"/>
      <c r="CU545" s="1528"/>
      <c r="CV545" s="1519"/>
      <c r="CW545" s="1519"/>
      <c r="CX545" s="1728"/>
      <c r="CY545" s="1519"/>
      <c r="CZ545" s="1519"/>
      <c r="DA545" s="1519"/>
      <c r="DB545" s="1728"/>
      <c r="DC545" s="1377"/>
      <c r="DD545" s="1729"/>
      <c r="DE545" s="1734"/>
    </row>
    <row r="546" spans="1:109" ht="15.75" hidden="1" customHeight="1">
      <c r="A546" s="772" t="s">
        <v>1024</v>
      </c>
      <c r="B546" s="773">
        <v>540</v>
      </c>
      <c r="C546" s="789" t="s">
        <v>4225</v>
      </c>
      <c r="D546" s="773"/>
      <c r="E546" s="773"/>
      <c r="F546" s="785" t="s">
        <v>4226</v>
      </c>
      <c r="G546" s="790" t="s">
        <v>4227</v>
      </c>
      <c r="H546" s="791"/>
      <c r="I546" s="792"/>
      <c r="J546" s="793"/>
      <c r="K546" s="793"/>
      <c r="L546" s="793"/>
      <c r="M546" s="793"/>
      <c r="N546" s="793"/>
      <c r="O546" s="793"/>
      <c r="P546" s="794"/>
      <c r="Q546" s="795">
        <f t="shared" si="8"/>
        <v>0</v>
      </c>
      <c r="R546" s="789" t="s">
        <v>1007</v>
      </c>
      <c r="S546" s="773"/>
      <c r="T546" s="796"/>
      <c r="U546" s="773"/>
      <c r="V546" s="856" t="s">
        <v>278</v>
      </c>
      <c r="W546" s="773"/>
      <c r="X546" s="829">
        <v>2</v>
      </c>
      <c r="Y546" s="821" t="s">
        <v>1010</v>
      </c>
      <c r="Z546" s="790"/>
      <c r="AA546" s="785"/>
      <c r="AB546" s="785"/>
      <c r="AC546" s="785"/>
      <c r="AD546" s="785"/>
      <c r="AE546" s="785"/>
      <c r="AF546" s="799"/>
      <c r="AG546" s="800"/>
      <c r="AH546" s="800"/>
      <c r="AI546" s="800"/>
      <c r="AJ546" s="800"/>
      <c r="AK546" s="800"/>
      <c r="AL546" s="800"/>
      <c r="AM546" s="800"/>
      <c r="AN546" s="800"/>
      <c r="AO546" s="800"/>
      <c r="AP546" s="807"/>
      <c r="AQ546" s="806">
        <v>100</v>
      </c>
      <c r="AR546" s="807">
        <v>100</v>
      </c>
      <c r="AS546" s="807">
        <v>100</v>
      </c>
      <c r="AT546" s="807">
        <v>100</v>
      </c>
      <c r="AU546" s="820">
        <v>100</v>
      </c>
      <c r="AV546" s="806"/>
      <c r="AW546" s="807"/>
      <c r="AX546" s="807"/>
      <c r="AY546" s="807"/>
      <c r="AZ546" s="807"/>
      <c r="BA546" s="807"/>
      <c r="BB546" s="807"/>
      <c r="BC546" s="807"/>
      <c r="BD546" s="807"/>
      <c r="BE546" s="807"/>
      <c r="BF546" s="807"/>
      <c r="BG546" s="807"/>
      <c r="BH546" s="807"/>
      <c r="BI546" s="807"/>
      <c r="BJ546" s="807"/>
      <c r="BK546" s="820"/>
      <c r="BL546" s="789"/>
      <c r="BM546" s="785"/>
      <c r="BN546" s="785"/>
      <c r="BO546" s="785"/>
      <c r="BP546" s="796"/>
      <c r="BQ546" s="808" t="s">
        <v>1942</v>
      </c>
      <c r="BR546" s="800" t="s">
        <v>1942</v>
      </c>
      <c r="BS546" s="800" t="s">
        <v>1942</v>
      </c>
      <c r="BT546" s="800" t="s">
        <v>1942</v>
      </c>
      <c r="BU546" s="805" t="s">
        <v>1942</v>
      </c>
      <c r="BV546" s="806" t="s">
        <v>1942</v>
      </c>
      <c r="BW546" s="807" t="s">
        <v>1942</v>
      </c>
      <c r="BX546" s="807" t="s">
        <v>1942</v>
      </c>
      <c r="BY546" s="807" t="s">
        <v>1942</v>
      </c>
      <c r="BZ546" s="807" t="s">
        <v>1942</v>
      </c>
      <c r="CA546" s="806" t="s">
        <v>1942</v>
      </c>
      <c r="CB546" s="807" t="s">
        <v>1942</v>
      </c>
      <c r="CC546" s="807" t="s">
        <v>1942</v>
      </c>
      <c r="CD546" s="807" t="s">
        <v>1942</v>
      </c>
      <c r="CE546" s="820" t="s">
        <v>1942</v>
      </c>
      <c r="CF546" s="800" t="s">
        <v>1942</v>
      </c>
      <c r="CG546" s="800" t="s">
        <v>1942</v>
      </c>
      <c r="CH546" s="800" t="s">
        <v>1942</v>
      </c>
      <c r="CI546" s="800" t="s">
        <v>1942</v>
      </c>
      <c r="CJ546" s="805" t="s">
        <v>1942</v>
      </c>
      <c r="CK546" s="808" t="s">
        <v>1942</v>
      </c>
      <c r="CL546" s="800" t="s">
        <v>1942</v>
      </c>
      <c r="CM546" s="800" t="s">
        <v>1942</v>
      </c>
      <c r="CN546" s="800" t="s">
        <v>1942</v>
      </c>
      <c r="CO546" s="805" t="s">
        <v>1942</v>
      </c>
      <c r="CP546" s="808" t="s">
        <v>1942</v>
      </c>
      <c r="CQ546" s="800" t="s">
        <v>1942</v>
      </c>
      <c r="CR546" s="800" t="s">
        <v>1942</v>
      </c>
      <c r="CS546" s="800" t="s">
        <v>1942</v>
      </c>
      <c r="CT546" s="805" t="s">
        <v>1942</v>
      </c>
      <c r="CU546" s="1284" t="s">
        <v>1942</v>
      </c>
      <c r="CV546" s="1283" t="s">
        <v>1942</v>
      </c>
      <c r="CW546" s="1283" t="s">
        <v>1942</v>
      </c>
      <c r="CX546" s="1285" t="s">
        <v>1942</v>
      </c>
      <c r="CY546" s="1283" t="s">
        <v>1942</v>
      </c>
      <c r="CZ546" s="1283" t="s">
        <v>1942</v>
      </c>
      <c r="DA546" s="1283" t="s">
        <v>1942</v>
      </c>
      <c r="DB546" s="1285" t="s">
        <v>1942</v>
      </c>
      <c r="DC546" s="785"/>
      <c r="DD546" s="813"/>
      <c r="DE546" s="814"/>
    </row>
    <row r="547" spans="1:109" ht="15.75" hidden="1" customHeight="1">
      <c r="A547" s="772" t="s">
        <v>1024</v>
      </c>
      <c r="B547" s="773">
        <v>541</v>
      </c>
      <c r="C547" s="789" t="s">
        <v>4228</v>
      </c>
      <c r="D547" s="773" t="s">
        <v>4222</v>
      </c>
      <c r="E547" s="773" t="s">
        <v>1889</v>
      </c>
      <c r="F547" s="785" t="s">
        <v>4229</v>
      </c>
      <c r="G547" s="790" t="s">
        <v>736</v>
      </c>
      <c r="H547" s="791" t="s">
        <v>4230</v>
      </c>
      <c r="I547" s="792"/>
      <c r="J547" s="793">
        <v>0</v>
      </c>
      <c r="K547" s="793">
        <v>1</v>
      </c>
      <c r="L547" s="793"/>
      <c r="M547" s="793"/>
      <c r="N547" s="793"/>
      <c r="O547" s="793"/>
      <c r="P547" s="794"/>
      <c r="Q547" s="795">
        <f t="shared" si="8"/>
        <v>1</v>
      </c>
      <c r="R547" s="789" t="s">
        <v>1030</v>
      </c>
      <c r="S547" s="773" t="s">
        <v>1008</v>
      </c>
      <c r="T547" s="796" t="s">
        <v>1009</v>
      </c>
      <c r="U547" s="773" t="s">
        <v>736</v>
      </c>
      <c r="V547" s="773" t="s">
        <v>1033</v>
      </c>
      <c r="W547" s="773" t="s">
        <v>4231</v>
      </c>
      <c r="X547" s="1274">
        <v>2</v>
      </c>
      <c r="Y547" s="821" t="s">
        <v>1020</v>
      </c>
      <c r="Z547" s="790" t="s">
        <v>736</v>
      </c>
      <c r="AA547" s="785"/>
      <c r="AB547" s="785"/>
      <c r="AC547" s="785"/>
      <c r="AD547" s="785"/>
      <c r="AE547" s="785"/>
      <c r="AF547" s="799"/>
      <c r="AG547" s="800"/>
      <c r="AH547" s="800"/>
      <c r="AI547" s="800"/>
      <c r="AJ547" s="800"/>
      <c r="AK547" s="800"/>
      <c r="AL547" s="800"/>
      <c r="AM547" s="800"/>
      <c r="AN547" s="800"/>
      <c r="AO547" s="800"/>
      <c r="AP547" s="800"/>
      <c r="AQ547" s="1421"/>
      <c r="AR547" s="1373"/>
      <c r="AS547" s="1373"/>
      <c r="AT547" s="1373"/>
      <c r="AU547" s="1374"/>
      <c r="AV547" s="808"/>
      <c r="AW547" s="800"/>
      <c r="AX547" s="800"/>
      <c r="AY547" s="800"/>
      <c r="AZ547" s="800"/>
      <c r="BA547" s="800"/>
      <c r="BB547" s="800"/>
      <c r="BC547" s="800"/>
      <c r="BD547" s="800"/>
      <c r="BE547" s="800"/>
      <c r="BF547" s="800"/>
      <c r="BG547" s="800"/>
      <c r="BH547" s="800"/>
      <c r="BI547" s="800"/>
      <c r="BJ547" s="800"/>
      <c r="BK547" s="805"/>
      <c r="BL547" s="1376"/>
      <c r="BM547" s="1377"/>
      <c r="BN547" s="1377"/>
      <c r="BO547" s="1377"/>
      <c r="BP547" s="1440"/>
      <c r="BQ547" s="1420"/>
      <c r="BR547" s="1368"/>
      <c r="BS547" s="1368"/>
      <c r="BT547" s="1368"/>
      <c r="BU547" s="1369"/>
      <c r="BV547" s="1421"/>
      <c r="BW547" s="1373"/>
      <c r="BX547" s="1373"/>
      <c r="BY547" s="1373"/>
      <c r="BZ547" s="1373"/>
      <c r="CA547" s="1420"/>
      <c r="CB547" s="1368"/>
      <c r="CC547" s="1368"/>
      <c r="CD547" s="1368"/>
      <c r="CE547" s="1369"/>
      <c r="CF547" s="1368"/>
      <c r="CG547" s="1368"/>
      <c r="CH547" s="1368"/>
      <c r="CI547" s="1368"/>
      <c r="CJ547" s="1369"/>
      <c r="CK547" s="1420"/>
      <c r="CL547" s="1368"/>
      <c r="CM547" s="1368"/>
      <c r="CN547" s="1368"/>
      <c r="CO547" s="1369"/>
      <c r="CP547" s="1420"/>
      <c r="CQ547" s="1368"/>
      <c r="CR547" s="1368"/>
      <c r="CS547" s="1368"/>
      <c r="CT547" s="1369"/>
      <c r="CU547" s="1528"/>
      <c r="CV547" s="1519"/>
      <c r="CW547" s="1519"/>
      <c r="CX547" s="1728"/>
      <c r="CY547" s="1519"/>
      <c r="CZ547" s="1519"/>
      <c r="DA547" s="1519"/>
      <c r="DB547" s="1728"/>
      <c r="DC547" s="1377"/>
      <c r="DD547" s="1729"/>
      <c r="DE547" s="1734"/>
    </row>
    <row r="548" spans="1:109" ht="15.75" hidden="1" customHeight="1">
      <c r="A548" s="772" t="s">
        <v>1024</v>
      </c>
      <c r="B548" s="773">
        <v>542</v>
      </c>
      <c r="C548" s="789" t="s">
        <v>4232</v>
      </c>
      <c r="D548" s="773" t="s">
        <v>4222</v>
      </c>
      <c r="E548" s="773" t="s">
        <v>1889</v>
      </c>
      <c r="F548" s="785" t="s">
        <v>4233</v>
      </c>
      <c r="G548" s="790" t="s">
        <v>669</v>
      </c>
      <c r="H548" s="791" t="s">
        <v>4234</v>
      </c>
      <c r="I548" s="792"/>
      <c r="J548" s="793">
        <v>1</v>
      </c>
      <c r="K548" s="793"/>
      <c r="L548" s="793"/>
      <c r="M548" s="793"/>
      <c r="N548" s="793"/>
      <c r="O548" s="793"/>
      <c r="P548" s="794"/>
      <c r="Q548" s="795">
        <f t="shared" si="8"/>
        <v>1</v>
      </c>
      <c r="R548" s="789" t="s">
        <v>1030</v>
      </c>
      <c r="S548" s="773" t="s">
        <v>1008</v>
      </c>
      <c r="T548" s="796" t="s">
        <v>1009</v>
      </c>
      <c r="U548" s="773" t="s">
        <v>669</v>
      </c>
      <c r="V548" s="773" t="s">
        <v>1033</v>
      </c>
      <c r="W548" s="773" t="s">
        <v>4235</v>
      </c>
      <c r="X548" s="829">
        <v>1</v>
      </c>
      <c r="Y548" s="821" t="s">
        <v>1020</v>
      </c>
      <c r="Z548" s="790" t="s">
        <v>669</v>
      </c>
      <c r="AA548" s="785"/>
      <c r="AB548" s="785"/>
      <c r="AC548" s="785"/>
      <c r="AD548" s="785"/>
      <c r="AE548" s="785"/>
      <c r="AF548" s="799"/>
      <c r="AG548" s="800"/>
      <c r="AH548" s="800"/>
      <c r="AI548" s="800"/>
      <c r="AJ548" s="800"/>
      <c r="AK548" s="800"/>
      <c r="AL548" s="800"/>
      <c r="AM548" s="800"/>
      <c r="AN548" s="797"/>
      <c r="AO548" s="800"/>
      <c r="AP548" s="797"/>
      <c r="AQ548" s="1421"/>
      <c r="AR548" s="1373"/>
      <c r="AS548" s="1373"/>
      <c r="AT548" s="1373"/>
      <c r="AU548" s="1374"/>
      <c r="AV548" s="808"/>
      <c r="AW548" s="800"/>
      <c r="AX548" s="800"/>
      <c r="AY548" s="800"/>
      <c r="AZ548" s="800"/>
      <c r="BA548" s="800"/>
      <c r="BB548" s="800"/>
      <c r="BC548" s="800"/>
      <c r="BD548" s="800"/>
      <c r="BE548" s="800"/>
      <c r="BF548" s="800"/>
      <c r="BG548" s="800"/>
      <c r="BH548" s="800"/>
      <c r="BI548" s="800"/>
      <c r="BJ548" s="800"/>
      <c r="BK548" s="805"/>
      <c r="BL548" s="1376"/>
      <c r="BM548" s="1377"/>
      <c r="BN548" s="1377"/>
      <c r="BO548" s="1377"/>
      <c r="BP548" s="1440"/>
      <c r="BQ548" s="1420"/>
      <c r="BR548" s="1368"/>
      <c r="BS548" s="1368"/>
      <c r="BT548" s="1368"/>
      <c r="BU548" s="1369"/>
      <c r="BV548" s="1420"/>
      <c r="BW548" s="1368"/>
      <c r="BX548" s="1368"/>
      <c r="BY548" s="1368"/>
      <c r="BZ548" s="1368"/>
      <c r="CA548" s="1420"/>
      <c r="CB548" s="1368"/>
      <c r="CC548" s="1368"/>
      <c r="CD548" s="1368"/>
      <c r="CE548" s="1369"/>
      <c r="CF548" s="1368"/>
      <c r="CG548" s="1368"/>
      <c r="CH548" s="1368"/>
      <c r="CI548" s="1368"/>
      <c r="CJ548" s="1369"/>
      <c r="CK548" s="1420"/>
      <c r="CL548" s="1368"/>
      <c r="CM548" s="1368"/>
      <c r="CN548" s="1368"/>
      <c r="CO548" s="1369"/>
      <c r="CP548" s="1420"/>
      <c r="CQ548" s="1368"/>
      <c r="CR548" s="1368"/>
      <c r="CS548" s="1368"/>
      <c r="CT548" s="1369"/>
      <c r="CU548" s="1528"/>
      <c r="CV548" s="1519"/>
      <c r="CW548" s="1519"/>
      <c r="CX548" s="1728"/>
      <c r="CY548" s="1519"/>
      <c r="CZ548" s="1519"/>
      <c r="DA548" s="1519"/>
      <c r="DB548" s="1728"/>
      <c r="DC548" s="1377"/>
      <c r="DD548" s="1729"/>
      <c r="DE548" s="1734"/>
    </row>
    <row r="549" spans="1:109" ht="15.75" hidden="1" customHeight="1">
      <c r="A549" s="772" t="s">
        <v>1024</v>
      </c>
      <c r="B549" s="773">
        <v>543</v>
      </c>
      <c r="C549" s="789" t="s">
        <v>4236</v>
      </c>
      <c r="D549" s="773" t="s">
        <v>4222</v>
      </c>
      <c r="E549" s="773" t="s">
        <v>1907</v>
      </c>
      <c r="F549" s="785" t="s">
        <v>4237</v>
      </c>
      <c r="G549" s="790" t="s">
        <v>1902</v>
      </c>
      <c r="H549" s="791" t="s">
        <v>4238</v>
      </c>
      <c r="I549" s="792"/>
      <c r="J549" s="793">
        <v>1</v>
      </c>
      <c r="K549" s="793"/>
      <c r="L549" s="793"/>
      <c r="M549" s="793"/>
      <c r="N549" s="793"/>
      <c r="O549" s="793"/>
      <c r="P549" s="794"/>
      <c r="Q549" s="795">
        <f t="shared" si="8"/>
        <v>1</v>
      </c>
      <c r="R549" s="789" t="s">
        <v>1026</v>
      </c>
      <c r="S549" s="773" t="s">
        <v>1008</v>
      </c>
      <c r="T549" s="1440" t="s">
        <v>1019</v>
      </c>
      <c r="U549" s="773" t="s">
        <v>2054</v>
      </c>
      <c r="V549" s="773" t="s">
        <v>1033</v>
      </c>
      <c r="W549" s="773" t="s">
        <v>2358</v>
      </c>
      <c r="X549" s="1274">
        <v>1</v>
      </c>
      <c r="Y549" s="821" t="s">
        <v>1020</v>
      </c>
      <c r="Z549" s="790" t="s">
        <v>1902</v>
      </c>
      <c r="AA549" s="785"/>
      <c r="AB549" s="785"/>
      <c r="AC549" s="785"/>
      <c r="AD549" s="785"/>
      <c r="AE549" s="785"/>
      <c r="AF549" s="799"/>
      <c r="AG549" s="800"/>
      <c r="AH549" s="797"/>
      <c r="AI549" s="797"/>
      <c r="AJ549" s="797"/>
      <c r="AK549" s="797"/>
      <c r="AL549" s="797"/>
      <c r="AM549" s="797"/>
      <c r="AN549" s="797"/>
      <c r="AO549" s="797"/>
      <c r="AP549" s="797"/>
      <c r="AQ549" s="1420"/>
      <c r="AR549" s="1368"/>
      <c r="AS549" s="1368"/>
      <c r="AT549" s="1368"/>
      <c r="AU549" s="1369"/>
      <c r="AV549" s="808"/>
      <c r="AW549" s="800"/>
      <c r="AX549" s="800"/>
      <c r="AY549" s="800"/>
      <c r="AZ549" s="800"/>
      <c r="BA549" s="800"/>
      <c r="BB549" s="800"/>
      <c r="BC549" s="800"/>
      <c r="BD549" s="800"/>
      <c r="BE549" s="800"/>
      <c r="BF549" s="800"/>
      <c r="BG549" s="800"/>
      <c r="BH549" s="800"/>
      <c r="BI549" s="800"/>
      <c r="BJ549" s="800"/>
      <c r="BK549" s="805"/>
      <c r="BL549" s="1376"/>
      <c r="BM549" s="1377"/>
      <c r="BN549" s="1377"/>
      <c r="BO549" s="1377"/>
      <c r="BP549" s="1440"/>
      <c r="BQ549" s="1420"/>
      <c r="BR549" s="1368"/>
      <c r="BS549" s="1368"/>
      <c r="BT549" s="1368"/>
      <c r="BU549" s="1369"/>
      <c r="BV549" s="1420"/>
      <c r="BW549" s="1368"/>
      <c r="BX549" s="1368"/>
      <c r="BY549" s="1368"/>
      <c r="BZ549" s="1368"/>
      <c r="CA549" s="1420"/>
      <c r="CB549" s="1368"/>
      <c r="CC549" s="1368"/>
      <c r="CD549" s="1368"/>
      <c r="CE549" s="1369"/>
      <c r="CF549" s="1368"/>
      <c r="CG549" s="1368"/>
      <c r="CH549" s="1368"/>
      <c r="CI549" s="1368"/>
      <c r="CJ549" s="1369"/>
      <c r="CK549" s="1420"/>
      <c r="CL549" s="1368"/>
      <c r="CM549" s="1368"/>
      <c r="CN549" s="1368"/>
      <c r="CO549" s="1369"/>
      <c r="CP549" s="1420"/>
      <c r="CQ549" s="1368"/>
      <c r="CR549" s="1368"/>
      <c r="CS549" s="1368"/>
      <c r="CT549" s="1369"/>
      <c r="CU549" s="1528"/>
      <c r="CV549" s="1519"/>
      <c r="CW549" s="1519"/>
      <c r="CX549" s="1728"/>
      <c r="CY549" s="1519"/>
      <c r="CZ549" s="1519"/>
      <c r="DA549" s="1519"/>
      <c r="DB549" s="1728"/>
      <c r="DC549" s="1377"/>
      <c r="DD549" s="1729"/>
      <c r="DE549" s="1734"/>
    </row>
    <row r="550" spans="1:109" ht="15.75" hidden="1" customHeight="1">
      <c r="A550" s="772" t="s">
        <v>1024</v>
      </c>
      <c r="B550" s="773">
        <v>544</v>
      </c>
      <c r="C550" s="789" t="s">
        <v>4239</v>
      </c>
      <c r="D550" s="773" t="s">
        <v>4222</v>
      </c>
      <c r="E550" s="773" t="s">
        <v>1907</v>
      </c>
      <c r="F550" s="785" t="s">
        <v>4240</v>
      </c>
      <c r="G550" s="790" t="s">
        <v>4241</v>
      </c>
      <c r="H550" s="791" t="s">
        <v>4242</v>
      </c>
      <c r="I550" s="792">
        <v>0.28999999999999998</v>
      </c>
      <c r="J550" s="793"/>
      <c r="K550" s="793">
        <v>0.71</v>
      </c>
      <c r="L550" s="793"/>
      <c r="M550" s="793"/>
      <c r="N550" s="793"/>
      <c r="O550" s="793"/>
      <c r="P550" s="794"/>
      <c r="Q550" s="795">
        <f t="shared" si="8"/>
        <v>1</v>
      </c>
      <c r="R550" s="789" t="s">
        <v>1030</v>
      </c>
      <c r="S550" s="773" t="s">
        <v>1008</v>
      </c>
      <c r="T550" s="796" t="s">
        <v>1019</v>
      </c>
      <c r="U550" s="773" t="s">
        <v>2106</v>
      </c>
      <c r="V550" s="773" t="s">
        <v>1037</v>
      </c>
      <c r="W550" s="773" t="s">
        <v>4243</v>
      </c>
      <c r="X550" s="829">
        <v>0</v>
      </c>
      <c r="Y550" s="819" t="s">
        <v>1010</v>
      </c>
      <c r="Z550" s="790"/>
      <c r="AA550" s="785"/>
      <c r="AB550" s="785"/>
      <c r="AC550" s="785"/>
      <c r="AD550" s="785"/>
      <c r="AE550" s="785"/>
      <c r="AF550" s="799"/>
      <c r="AG550" s="800"/>
      <c r="AH550" s="805"/>
      <c r="AI550" s="805"/>
      <c r="AJ550" s="805"/>
      <c r="AK550" s="805"/>
      <c r="AL550" s="805"/>
      <c r="AM550" s="805"/>
      <c r="AN550" s="805"/>
      <c r="AO550" s="805"/>
      <c r="AP550" s="800"/>
      <c r="AQ550" s="808">
        <v>0</v>
      </c>
      <c r="AR550" s="800">
        <v>5</v>
      </c>
      <c r="AS550" s="800">
        <v>25</v>
      </c>
      <c r="AT550" s="800">
        <v>25</v>
      </c>
      <c r="AU550" s="805">
        <v>418</v>
      </c>
      <c r="AV550" s="916"/>
      <c r="AW550" s="914"/>
      <c r="AX550" s="914"/>
      <c r="AY550" s="914"/>
      <c r="AZ550" s="914"/>
      <c r="BA550" s="914"/>
      <c r="BB550" s="914"/>
      <c r="BC550" s="914"/>
      <c r="BD550" s="914"/>
      <c r="BE550" s="914"/>
      <c r="BF550" s="914"/>
      <c r="BG550" s="914"/>
      <c r="BH550" s="914"/>
      <c r="BI550" s="914"/>
      <c r="BJ550" s="914"/>
      <c r="BK550" s="915"/>
      <c r="BL550" s="789" t="s">
        <v>168</v>
      </c>
      <c r="BM550" s="785" t="s">
        <v>168</v>
      </c>
      <c r="BN550" s="785" t="s">
        <v>168</v>
      </c>
      <c r="BO550" s="785" t="s">
        <v>168</v>
      </c>
      <c r="BP550" s="796" t="s">
        <v>168</v>
      </c>
      <c r="BQ550" s="808" t="s">
        <v>1942</v>
      </c>
      <c r="BR550" s="800" t="s">
        <v>1942</v>
      </c>
      <c r="BS550" s="800" t="s">
        <v>1942</v>
      </c>
      <c r="BT550" s="800" t="s">
        <v>1942</v>
      </c>
      <c r="BU550" s="805" t="s">
        <v>1942</v>
      </c>
      <c r="BV550" s="808" t="s">
        <v>1942</v>
      </c>
      <c r="BW550" s="800" t="s">
        <v>1942</v>
      </c>
      <c r="BX550" s="800" t="s">
        <v>1942</v>
      </c>
      <c r="BY550" s="800" t="s">
        <v>1942</v>
      </c>
      <c r="BZ550" s="800" t="s">
        <v>1942</v>
      </c>
      <c r="CA550" s="808" t="s">
        <v>1942</v>
      </c>
      <c r="CB550" s="800" t="s">
        <v>1942</v>
      </c>
      <c r="CC550" s="800" t="s">
        <v>1942</v>
      </c>
      <c r="CD550" s="800" t="s">
        <v>1942</v>
      </c>
      <c r="CE550" s="805" t="s">
        <v>1942</v>
      </c>
      <c r="CF550" s="800" t="s">
        <v>1942</v>
      </c>
      <c r="CG550" s="800" t="s">
        <v>1942</v>
      </c>
      <c r="CH550" s="800" t="s">
        <v>1942</v>
      </c>
      <c r="CI550" s="800" t="s">
        <v>1942</v>
      </c>
      <c r="CJ550" s="805" t="s">
        <v>1942</v>
      </c>
      <c r="CK550" s="832">
        <v>5</v>
      </c>
      <c r="CL550" s="833">
        <v>50</v>
      </c>
      <c r="CM550" s="833">
        <v>100</v>
      </c>
      <c r="CN550" s="833">
        <v>250</v>
      </c>
      <c r="CO550" s="841">
        <v>478</v>
      </c>
      <c r="CP550" s="808" t="s">
        <v>1942</v>
      </c>
      <c r="CQ550" s="800" t="s">
        <v>1942</v>
      </c>
      <c r="CR550" s="800" t="s">
        <v>1942</v>
      </c>
      <c r="CS550" s="800" t="s">
        <v>1942</v>
      </c>
      <c r="CT550" s="805" t="s">
        <v>1942</v>
      </c>
      <c r="CU550" s="1284">
        <v>-1.8932999999999998E-2</v>
      </c>
      <c r="CV550" s="1283" t="s">
        <v>1942</v>
      </c>
      <c r="CW550" s="1283" t="s">
        <v>1942</v>
      </c>
      <c r="CX550" s="1285" t="s">
        <v>1942</v>
      </c>
      <c r="CY550" s="1283">
        <v>1.8932999999999998E-2</v>
      </c>
      <c r="CZ550" s="1283" t="s">
        <v>1942</v>
      </c>
      <c r="DA550" s="1283" t="s">
        <v>1942</v>
      </c>
      <c r="DB550" s="1285" t="s">
        <v>1942</v>
      </c>
      <c r="DC550" s="785"/>
      <c r="DD550" s="813">
        <v>1</v>
      </c>
      <c r="DE550" s="814"/>
    </row>
    <row r="551" spans="1:109" ht="15.75" hidden="1" customHeight="1">
      <c r="A551" s="772" t="s">
        <v>1024</v>
      </c>
      <c r="B551" s="773">
        <v>545</v>
      </c>
      <c r="C551" s="789" t="s">
        <v>4244</v>
      </c>
      <c r="D551" s="773" t="s">
        <v>4222</v>
      </c>
      <c r="E551" s="773" t="s">
        <v>1907</v>
      </c>
      <c r="F551" s="785" t="s">
        <v>4245</v>
      </c>
      <c r="G551" s="790" t="s">
        <v>4246</v>
      </c>
      <c r="H551" s="791" t="s">
        <v>4247</v>
      </c>
      <c r="I551" s="792"/>
      <c r="J551" s="793"/>
      <c r="K551" s="793"/>
      <c r="L551" s="793">
        <v>1</v>
      </c>
      <c r="M551" s="793"/>
      <c r="N551" s="793"/>
      <c r="O551" s="793"/>
      <c r="P551" s="794"/>
      <c r="Q551" s="795">
        <f t="shared" si="8"/>
        <v>1</v>
      </c>
      <c r="R551" s="789" t="s">
        <v>1030</v>
      </c>
      <c r="S551" s="773" t="s">
        <v>1008</v>
      </c>
      <c r="T551" s="796" t="s">
        <v>1009</v>
      </c>
      <c r="U551" s="773" t="s">
        <v>763</v>
      </c>
      <c r="V551" s="773" t="s">
        <v>278</v>
      </c>
      <c r="W551" s="773"/>
      <c r="X551" s="829">
        <v>1</v>
      </c>
      <c r="Y551" s="819" t="s">
        <v>1010</v>
      </c>
      <c r="Z551" s="790"/>
      <c r="AA551" s="785"/>
      <c r="AB551" s="785"/>
      <c r="AC551" s="785"/>
      <c r="AD551" s="785"/>
      <c r="AE551" s="785"/>
      <c r="AF551" s="799"/>
      <c r="AG551" s="800"/>
      <c r="AH551" s="800"/>
      <c r="AI551" s="800"/>
      <c r="AJ551" s="800"/>
      <c r="AK551" s="800"/>
      <c r="AL551" s="800"/>
      <c r="AM551" s="800"/>
      <c r="AN551" s="800"/>
      <c r="AO551" s="800"/>
      <c r="AP551" s="800"/>
      <c r="AQ551" s="808">
        <v>95</v>
      </c>
      <c r="AR551" s="800">
        <v>97.3</v>
      </c>
      <c r="AS551" s="800">
        <v>97.3</v>
      </c>
      <c r="AT551" s="800">
        <v>97.3</v>
      </c>
      <c r="AU551" s="805">
        <v>97.3</v>
      </c>
      <c r="AV551" s="827"/>
      <c r="AW551" s="797"/>
      <c r="AX551" s="797"/>
      <c r="AY551" s="797"/>
      <c r="AZ551" s="797"/>
      <c r="BA551" s="797"/>
      <c r="BB551" s="797"/>
      <c r="BC551" s="797"/>
      <c r="BD551" s="797"/>
      <c r="BE551" s="797"/>
      <c r="BF551" s="797"/>
      <c r="BG551" s="797"/>
      <c r="BH551" s="797"/>
      <c r="BI551" s="797"/>
      <c r="BJ551" s="797"/>
      <c r="BK551" s="841"/>
      <c r="BL551" s="834" t="s">
        <v>168</v>
      </c>
      <c r="BM551" s="835" t="s">
        <v>168</v>
      </c>
      <c r="BN551" s="835" t="s">
        <v>168</v>
      </c>
      <c r="BO551" s="835" t="s">
        <v>168</v>
      </c>
      <c r="BP551" s="836" t="s">
        <v>168</v>
      </c>
      <c r="BQ551" s="808" t="s">
        <v>1942</v>
      </c>
      <c r="BR551" s="800" t="s">
        <v>1942</v>
      </c>
      <c r="BS551" s="800" t="s">
        <v>1942</v>
      </c>
      <c r="BT551" s="800" t="s">
        <v>1942</v>
      </c>
      <c r="BU551" s="805" t="s">
        <v>1942</v>
      </c>
      <c r="BV551" s="808">
        <v>90.4</v>
      </c>
      <c r="BW551" s="800">
        <v>92.7</v>
      </c>
      <c r="BX551" s="800">
        <v>92.7</v>
      </c>
      <c r="BY551" s="800">
        <v>92.7</v>
      </c>
      <c r="BZ551" s="800">
        <v>92.7</v>
      </c>
      <c r="CA551" s="808" t="s">
        <v>1942</v>
      </c>
      <c r="CB551" s="800" t="s">
        <v>1942</v>
      </c>
      <c r="CC551" s="800" t="s">
        <v>1942</v>
      </c>
      <c r="CD551" s="800" t="s">
        <v>1942</v>
      </c>
      <c r="CE551" s="805" t="s">
        <v>1942</v>
      </c>
      <c r="CF551" s="800" t="s">
        <v>1942</v>
      </c>
      <c r="CG551" s="800" t="s">
        <v>1942</v>
      </c>
      <c r="CH551" s="800" t="s">
        <v>1942</v>
      </c>
      <c r="CI551" s="800" t="s">
        <v>1942</v>
      </c>
      <c r="CJ551" s="805" t="s">
        <v>1942</v>
      </c>
      <c r="CK551" s="808">
        <v>96.1</v>
      </c>
      <c r="CL551" s="800">
        <v>98.4</v>
      </c>
      <c r="CM551" s="800">
        <v>98.4</v>
      </c>
      <c r="CN551" s="800">
        <v>98.4</v>
      </c>
      <c r="CO551" s="805">
        <v>98.4</v>
      </c>
      <c r="CP551" s="808" t="s">
        <v>1942</v>
      </c>
      <c r="CQ551" s="800" t="s">
        <v>1942</v>
      </c>
      <c r="CR551" s="800" t="s">
        <v>1942</v>
      </c>
      <c r="CS551" s="800" t="s">
        <v>1942</v>
      </c>
      <c r="CT551" s="805" t="s">
        <v>1942</v>
      </c>
      <c r="CU551" s="1284">
        <v>-0.41299999999999998</v>
      </c>
      <c r="CV551" s="1283" t="s">
        <v>1942</v>
      </c>
      <c r="CW551" s="1283" t="s">
        <v>1942</v>
      </c>
      <c r="CX551" s="1285" t="s">
        <v>1942</v>
      </c>
      <c r="CY551" s="1283">
        <v>0.41299999999999998</v>
      </c>
      <c r="CZ551" s="1283" t="s">
        <v>1942</v>
      </c>
      <c r="DA551" s="1283" t="s">
        <v>1942</v>
      </c>
      <c r="DB551" s="1285" t="s">
        <v>1942</v>
      </c>
      <c r="DC551" s="785"/>
      <c r="DD551" s="813">
        <v>1</v>
      </c>
      <c r="DE551" s="814"/>
    </row>
    <row r="552" spans="1:109" ht="15.75" hidden="1" customHeight="1">
      <c r="A552" s="772" t="s">
        <v>1024</v>
      </c>
      <c r="B552" s="773">
        <v>546</v>
      </c>
      <c r="C552" s="789" t="s">
        <v>4248</v>
      </c>
      <c r="D552" s="773" t="s">
        <v>4222</v>
      </c>
      <c r="E552" s="773" t="s">
        <v>1907</v>
      </c>
      <c r="F552" s="785" t="s">
        <v>4249</v>
      </c>
      <c r="G552" s="790" t="s">
        <v>4250</v>
      </c>
      <c r="H552" s="791" t="s">
        <v>4251</v>
      </c>
      <c r="I552" s="792"/>
      <c r="J552" s="793"/>
      <c r="K552" s="793"/>
      <c r="L552" s="793">
        <v>1</v>
      </c>
      <c r="M552" s="793"/>
      <c r="N552" s="793"/>
      <c r="O552" s="793"/>
      <c r="P552" s="794"/>
      <c r="Q552" s="795">
        <f t="shared" si="8"/>
        <v>1</v>
      </c>
      <c r="R552" s="789" t="s">
        <v>1026</v>
      </c>
      <c r="S552" s="773" t="s">
        <v>1008</v>
      </c>
      <c r="T552" s="796" t="s">
        <v>1009</v>
      </c>
      <c r="U552" s="773" t="s">
        <v>763</v>
      </c>
      <c r="V552" s="773" t="s">
        <v>278</v>
      </c>
      <c r="W552" s="773"/>
      <c r="X552" s="1274">
        <v>2</v>
      </c>
      <c r="Y552" s="826" t="s">
        <v>1010</v>
      </c>
      <c r="Z552" s="790"/>
      <c r="AA552" s="785"/>
      <c r="AB552" s="785"/>
      <c r="AC552" s="785"/>
      <c r="AD552" s="785"/>
      <c r="AE552" s="785"/>
      <c r="AF552" s="799"/>
      <c r="AG552" s="800"/>
      <c r="AH552" s="800"/>
      <c r="AI552" s="800"/>
      <c r="AJ552" s="800"/>
      <c r="AK552" s="800"/>
      <c r="AL552" s="800"/>
      <c r="AM552" s="800"/>
      <c r="AN552" s="800"/>
      <c r="AO552" s="800"/>
      <c r="AP552" s="800"/>
      <c r="AQ552" s="808">
        <v>100</v>
      </c>
      <c r="AR552" s="800">
        <v>100</v>
      </c>
      <c r="AS552" s="800">
        <v>100</v>
      </c>
      <c r="AT552" s="800">
        <v>100</v>
      </c>
      <c r="AU552" s="805">
        <v>100</v>
      </c>
      <c r="AV552" s="808"/>
      <c r="AW552" s="800"/>
      <c r="AX552" s="800"/>
      <c r="AY552" s="800"/>
      <c r="AZ552" s="800"/>
      <c r="BA552" s="800"/>
      <c r="BB552" s="800"/>
      <c r="BC552" s="800"/>
      <c r="BD552" s="800"/>
      <c r="BE552" s="800"/>
      <c r="BF552" s="800"/>
      <c r="BG552" s="800"/>
      <c r="BH552" s="800"/>
      <c r="BI552" s="800"/>
      <c r="BJ552" s="800"/>
      <c r="BK552" s="805"/>
      <c r="BL552" s="834" t="s">
        <v>168</v>
      </c>
      <c r="BM552" s="835" t="s">
        <v>168</v>
      </c>
      <c r="BN552" s="835" t="s">
        <v>168</v>
      </c>
      <c r="BO552" s="835" t="s">
        <v>168</v>
      </c>
      <c r="BP552" s="836" t="s">
        <v>168</v>
      </c>
      <c r="BQ552" s="808" t="s">
        <v>1942</v>
      </c>
      <c r="BR552" s="800" t="s">
        <v>1942</v>
      </c>
      <c r="BS552" s="800" t="s">
        <v>1942</v>
      </c>
      <c r="BT552" s="800" t="s">
        <v>1942</v>
      </c>
      <c r="BU552" s="805" t="s">
        <v>1942</v>
      </c>
      <c r="BV552" s="808">
        <v>96.6</v>
      </c>
      <c r="BW552" s="800">
        <v>96.6</v>
      </c>
      <c r="BX552" s="800">
        <v>96.6</v>
      </c>
      <c r="BY552" s="800">
        <v>96.6</v>
      </c>
      <c r="BZ552" s="800">
        <v>96.6</v>
      </c>
      <c r="CA552" s="808" t="s">
        <v>1942</v>
      </c>
      <c r="CB552" s="800" t="s">
        <v>1942</v>
      </c>
      <c r="CC552" s="800" t="s">
        <v>1942</v>
      </c>
      <c r="CD552" s="800" t="s">
        <v>1942</v>
      </c>
      <c r="CE552" s="805" t="s">
        <v>1942</v>
      </c>
      <c r="CF552" s="800" t="s">
        <v>1942</v>
      </c>
      <c r="CG552" s="800" t="s">
        <v>1942</v>
      </c>
      <c r="CH552" s="800" t="s">
        <v>1942</v>
      </c>
      <c r="CI552" s="800" t="s">
        <v>1942</v>
      </c>
      <c r="CJ552" s="805" t="s">
        <v>1942</v>
      </c>
      <c r="CK552" s="808" t="s">
        <v>1942</v>
      </c>
      <c r="CL552" s="800" t="s">
        <v>1942</v>
      </c>
      <c r="CM552" s="800" t="s">
        <v>1942</v>
      </c>
      <c r="CN552" s="800" t="s">
        <v>1942</v>
      </c>
      <c r="CO552" s="805" t="s">
        <v>1942</v>
      </c>
      <c r="CP552" s="808" t="s">
        <v>1942</v>
      </c>
      <c r="CQ552" s="800" t="s">
        <v>1942</v>
      </c>
      <c r="CR552" s="800" t="s">
        <v>1942</v>
      </c>
      <c r="CS552" s="800" t="s">
        <v>1942</v>
      </c>
      <c r="CT552" s="805" t="s">
        <v>1942</v>
      </c>
      <c r="CU552" s="1284">
        <v>-9.8000000000000004E-2</v>
      </c>
      <c r="CV552" s="1283" t="s">
        <v>1942</v>
      </c>
      <c r="CW552" s="1283" t="s">
        <v>1942</v>
      </c>
      <c r="CX552" s="1285" t="s">
        <v>1942</v>
      </c>
      <c r="CY552" s="1283" t="s">
        <v>1942</v>
      </c>
      <c r="CZ552" s="1283" t="s">
        <v>1942</v>
      </c>
      <c r="DA552" s="1283" t="s">
        <v>1942</v>
      </c>
      <c r="DB552" s="1285" t="s">
        <v>1942</v>
      </c>
      <c r="DC552" s="785"/>
      <c r="DD552" s="813">
        <v>1</v>
      </c>
      <c r="DE552" s="814"/>
    </row>
    <row r="553" spans="1:109" ht="15.75" hidden="1" customHeight="1">
      <c r="A553" s="772" t="s">
        <v>1024</v>
      </c>
      <c r="B553" s="773">
        <v>547</v>
      </c>
      <c r="C553" s="789" t="s">
        <v>4252</v>
      </c>
      <c r="D553" s="773" t="s">
        <v>4253</v>
      </c>
      <c r="E553" s="773" t="s">
        <v>1907</v>
      </c>
      <c r="F553" s="785" t="s">
        <v>4254</v>
      </c>
      <c r="G553" s="790" t="s">
        <v>1931</v>
      </c>
      <c r="H553" s="791" t="s">
        <v>4255</v>
      </c>
      <c r="I553" s="792"/>
      <c r="J553" s="793"/>
      <c r="K553" s="793"/>
      <c r="L553" s="793"/>
      <c r="M553" s="793">
        <v>1</v>
      </c>
      <c r="N553" s="793"/>
      <c r="O553" s="793"/>
      <c r="P553" s="794"/>
      <c r="Q553" s="795">
        <f t="shared" si="8"/>
        <v>1</v>
      </c>
      <c r="R553" s="789" t="s">
        <v>1030</v>
      </c>
      <c r="S553" s="773" t="s">
        <v>1008</v>
      </c>
      <c r="T553" s="796" t="s">
        <v>1009</v>
      </c>
      <c r="U553" s="773" t="s">
        <v>1069</v>
      </c>
      <c r="V553" s="773" t="s">
        <v>1081</v>
      </c>
      <c r="W553" s="773" t="s">
        <v>2038</v>
      </c>
      <c r="X553" s="1274">
        <v>2</v>
      </c>
      <c r="Y553" s="821" t="s">
        <v>1010</v>
      </c>
      <c r="Z553" s="790" t="s">
        <v>1931</v>
      </c>
      <c r="AA553" s="785"/>
      <c r="AB553" s="785"/>
      <c r="AC553" s="785"/>
      <c r="AD553" s="785"/>
      <c r="AE553" s="785"/>
      <c r="AF553" s="799"/>
      <c r="AG553" s="800"/>
      <c r="AH553" s="800"/>
      <c r="AI553" s="800"/>
      <c r="AJ553" s="800"/>
      <c r="AK553" s="800"/>
      <c r="AL553" s="800"/>
      <c r="AM553" s="842"/>
      <c r="AN553" s="842"/>
      <c r="AO553" s="842"/>
      <c r="AP553" s="842"/>
      <c r="AQ553" s="1742"/>
      <c r="AR553" s="1743"/>
      <c r="AS553" s="1743"/>
      <c r="AT553" s="1743"/>
      <c r="AU553" s="1744"/>
      <c r="AV553" s="808"/>
      <c r="AW553" s="800"/>
      <c r="AX553" s="800"/>
      <c r="AY553" s="800"/>
      <c r="AZ553" s="800"/>
      <c r="BA553" s="800"/>
      <c r="BB553" s="800"/>
      <c r="BC553" s="800"/>
      <c r="BD553" s="800"/>
      <c r="BE553" s="800"/>
      <c r="BF553" s="800"/>
      <c r="BG553" s="800"/>
      <c r="BH553" s="800"/>
      <c r="BI553" s="800"/>
      <c r="BJ553" s="800"/>
      <c r="BK553" s="805"/>
      <c r="BL553" s="1376"/>
      <c r="BM553" s="1377"/>
      <c r="BN553" s="1377"/>
      <c r="BO553" s="1377"/>
      <c r="BP553" s="1440"/>
      <c r="BQ553" s="1420"/>
      <c r="BR553" s="1368"/>
      <c r="BS553" s="1368"/>
      <c r="BT553" s="1368"/>
      <c r="BU553" s="1369"/>
      <c r="BV553" s="1420"/>
      <c r="BW553" s="1368"/>
      <c r="BX553" s="1368"/>
      <c r="BY553" s="1368"/>
      <c r="BZ553" s="1368"/>
      <c r="CA553" s="1420"/>
      <c r="CB553" s="1368"/>
      <c r="CC553" s="1368"/>
      <c r="CD553" s="1368"/>
      <c r="CE553" s="1369"/>
      <c r="CF553" s="1368"/>
      <c r="CG553" s="1368"/>
      <c r="CH553" s="1368"/>
      <c r="CI553" s="1368"/>
      <c r="CJ553" s="1369"/>
      <c r="CK553" s="1420"/>
      <c r="CL553" s="1368"/>
      <c r="CM553" s="1368"/>
      <c r="CN553" s="1368"/>
      <c r="CO553" s="1369"/>
      <c r="CP553" s="1420"/>
      <c r="CQ553" s="1368"/>
      <c r="CR553" s="1368"/>
      <c r="CS553" s="1368"/>
      <c r="CT553" s="1369"/>
      <c r="CU553" s="1528"/>
      <c r="CV553" s="1519"/>
      <c r="CW553" s="1519"/>
      <c r="CX553" s="1728"/>
      <c r="CY553" s="1519"/>
      <c r="CZ553" s="1519"/>
      <c r="DA553" s="1519"/>
      <c r="DB553" s="1728"/>
      <c r="DC553" s="1377"/>
      <c r="DD553" s="1729"/>
      <c r="DE553" s="1734"/>
    </row>
    <row r="554" spans="1:109" ht="15.75" hidden="1" customHeight="1">
      <c r="A554" s="772" t="s">
        <v>1024</v>
      </c>
      <c r="B554" s="773">
        <v>548</v>
      </c>
      <c r="C554" s="789" t="s">
        <v>4256</v>
      </c>
      <c r="D554" s="773" t="s">
        <v>4253</v>
      </c>
      <c r="E554" s="773" t="s">
        <v>1907</v>
      </c>
      <c r="F554" s="785" t="s">
        <v>4257</v>
      </c>
      <c r="G554" s="790" t="s">
        <v>1935</v>
      </c>
      <c r="H554" s="791" t="s">
        <v>4258</v>
      </c>
      <c r="I554" s="792"/>
      <c r="J554" s="793">
        <v>0.6</v>
      </c>
      <c r="K554" s="793">
        <v>0.4</v>
      </c>
      <c r="L554" s="793"/>
      <c r="M554" s="793"/>
      <c r="N554" s="793"/>
      <c r="O554" s="793"/>
      <c r="P554" s="794"/>
      <c r="Q554" s="795">
        <f t="shared" si="8"/>
        <v>1</v>
      </c>
      <c r="R554" s="789" t="s">
        <v>1030</v>
      </c>
      <c r="S554" s="773" t="s">
        <v>1008</v>
      </c>
      <c r="T554" s="796" t="s">
        <v>1009</v>
      </c>
      <c r="U554" s="773" t="s">
        <v>1073</v>
      </c>
      <c r="V554" s="773" t="s">
        <v>1081</v>
      </c>
      <c r="W554" s="773" t="s">
        <v>427</v>
      </c>
      <c r="X554" s="1274">
        <v>2</v>
      </c>
      <c r="Y554" s="821" t="s">
        <v>1010</v>
      </c>
      <c r="Z554" s="790" t="s">
        <v>1935</v>
      </c>
      <c r="AA554" s="785"/>
      <c r="AB554" s="785"/>
      <c r="AC554" s="785"/>
      <c r="AD554" s="785"/>
      <c r="AE554" s="785"/>
      <c r="AF554" s="799"/>
      <c r="AG554" s="800"/>
      <c r="AH554" s="800"/>
      <c r="AI554" s="800"/>
      <c r="AJ554" s="800"/>
      <c r="AK554" s="800"/>
      <c r="AL554" s="800"/>
      <c r="AM554" s="800"/>
      <c r="AN554" s="800"/>
      <c r="AO554" s="800"/>
      <c r="AP554" s="800"/>
      <c r="AQ554" s="1420"/>
      <c r="AR554" s="1368"/>
      <c r="AS554" s="1368"/>
      <c r="AT554" s="1368"/>
      <c r="AU554" s="1369"/>
      <c r="AV554" s="808"/>
      <c r="AW554" s="800"/>
      <c r="AX554" s="800"/>
      <c r="AY554" s="800"/>
      <c r="AZ554" s="800"/>
      <c r="BA554" s="800"/>
      <c r="BB554" s="800"/>
      <c r="BC554" s="800"/>
      <c r="BD554" s="800"/>
      <c r="BE554" s="800"/>
      <c r="BF554" s="800"/>
      <c r="BG554" s="800"/>
      <c r="BH554" s="800"/>
      <c r="BI554" s="800"/>
      <c r="BJ554" s="800"/>
      <c r="BK554" s="805"/>
      <c r="BL554" s="1376"/>
      <c r="BM554" s="1377"/>
      <c r="BN554" s="1377"/>
      <c r="BO554" s="1377"/>
      <c r="BP554" s="1440"/>
      <c r="BQ554" s="1420"/>
      <c r="BR554" s="1368"/>
      <c r="BS554" s="1368"/>
      <c r="BT554" s="1368"/>
      <c r="BU554" s="1369"/>
      <c r="BV554" s="1420"/>
      <c r="BW554" s="1368"/>
      <c r="BX554" s="1368"/>
      <c r="BY554" s="1368"/>
      <c r="BZ554" s="1368"/>
      <c r="CA554" s="1420"/>
      <c r="CB554" s="1368"/>
      <c r="CC554" s="1368"/>
      <c r="CD554" s="1368"/>
      <c r="CE554" s="1369"/>
      <c r="CF554" s="1368"/>
      <c r="CG554" s="1368"/>
      <c r="CH554" s="1368"/>
      <c r="CI554" s="1368"/>
      <c r="CJ554" s="1369"/>
      <c r="CK554" s="1420"/>
      <c r="CL554" s="1368"/>
      <c r="CM554" s="1368"/>
      <c r="CN554" s="1368"/>
      <c r="CO554" s="1369"/>
      <c r="CP554" s="1420"/>
      <c r="CQ554" s="1368"/>
      <c r="CR554" s="1368"/>
      <c r="CS554" s="1368"/>
      <c r="CT554" s="1369"/>
      <c r="CU554" s="1528"/>
      <c r="CV554" s="1519"/>
      <c r="CW554" s="1519"/>
      <c r="CX554" s="1728"/>
      <c r="CY554" s="1519"/>
      <c r="CZ554" s="1519"/>
      <c r="DA554" s="1519"/>
      <c r="DB554" s="1728"/>
      <c r="DC554" s="1377"/>
      <c r="DD554" s="1729"/>
      <c r="DE554" s="1734"/>
    </row>
    <row r="555" spans="1:109" ht="15.75" hidden="1" customHeight="1">
      <c r="A555" s="772" t="s">
        <v>1024</v>
      </c>
      <c r="B555" s="773">
        <v>549</v>
      </c>
      <c r="C555" s="789" t="s">
        <v>4259</v>
      </c>
      <c r="D555" s="773" t="s">
        <v>4253</v>
      </c>
      <c r="E555" s="773" t="s">
        <v>1889</v>
      </c>
      <c r="F555" s="785" t="s">
        <v>4260</v>
      </c>
      <c r="G555" s="790" t="s">
        <v>2182</v>
      </c>
      <c r="H555" s="791" t="s">
        <v>4261</v>
      </c>
      <c r="I555" s="792">
        <v>4.3999999999999997E-2</v>
      </c>
      <c r="J555" s="793">
        <v>0.34200000000000003</v>
      </c>
      <c r="K555" s="793">
        <v>0.48399999999999999</v>
      </c>
      <c r="L555" s="793">
        <v>4.4999999999999998E-2</v>
      </c>
      <c r="M555" s="793">
        <v>8.5000000000000006E-2</v>
      </c>
      <c r="N555" s="793"/>
      <c r="O555" s="793"/>
      <c r="P555" s="794"/>
      <c r="Q555" s="795">
        <f t="shared" si="8"/>
        <v>1</v>
      </c>
      <c r="R555" s="789" t="s">
        <v>1007</v>
      </c>
      <c r="S555" s="773"/>
      <c r="T555" s="796"/>
      <c r="U555" s="773" t="s">
        <v>1947</v>
      </c>
      <c r="V555" s="773" t="s">
        <v>1081</v>
      </c>
      <c r="W555" s="773" t="s">
        <v>2030</v>
      </c>
      <c r="X555" s="829">
        <v>2</v>
      </c>
      <c r="Y555" s="821" t="s">
        <v>1010</v>
      </c>
      <c r="Z555" s="790"/>
      <c r="AA555" s="785"/>
      <c r="AB555" s="785"/>
      <c r="AC555" s="785"/>
      <c r="AD555" s="785"/>
      <c r="AE555" s="785"/>
      <c r="AF555" s="799"/>
      <c r="AG555" s="800"/>
      <c r="AH555" s="800"/>
      <c r="AI555" s="800"/>
      <c r="AJ555" s="800"/>
      <c r="AK555" s="800"/>
      <c r="AL555" s="800"/>
      <c r="AM555" s="800"/>
      <c r="AN555" s="800"/>
      <c r="AO555" s="800"/>
      <c r="AP555" s="800"/>
      <c r="AQ555" s="808">
        <v>8.15</v>
      </c>
      <c r="AR555" s="800">
        <v>8.15</v>
      </c>
      <c r="AS555" s="800">
        <v>8.15</v>
      </c>
      <c r="AT555" s="800">
        <v>8.15</v>
      </c>
      <c r="AU555" s="805">
        <v>8.15</v>
      </c>
      <c r="AV555" s="808"/>
      <c r="AW555" s="800"/>
      <c r="AX555" s="800"/>
      <c r="AY555" s="800"/>
      <c r="AZ555" s="800"/>
      <c r="BA555" s="800"/>
      <c r="BB555" s="800"/>
      <c r="BC555" s="800"/>
      <c r="BD555" s="800"/>
      <c r="BE555" s="800"/>
      <c r="BF555" s="800"/>
      <c r="BG555" s="800"/>
      <c r="BH555" s="800"/>
      <c r="BI555" s="800"/>
      <c r="BJ555" s="800"/>
      <c r="BK555" s="805"/>
      <c r="BL555" s="789"/>
      <c r="BM555" s="785"/>
      <c r="BN555" s="785"/>
      <c r="BO555" s="785"/>
      <c r="BP555" s="796"/>
      <c r="BQ555" s="808" t="s">
        <v>1942</v>
      </c>
      <c r="BR555" s="800" t="s">
        <v>1942</v>
      </c>
      <c r="BS555" s="800" t="s">
        <v>1942</v>
      </c>
      <c r="BT555" s="800" t="s">
        <v>1942</v>
      </c>
      <c r="BU555" s="805" t="s">
        <v>1942</v>
      </c>
      <c r="BV555" s="808" t="s">
        <v>1942</v>
      </c>
      <c r="BW555" s="800" t="s">
        <v>1942</v>
      </c>
      <c r="BX555" s="800" t="s">
        <v>1942</v>
      </c>
      <c r="BY555" s="800" t="s">
        <v>1942</v>
      </c>
      <c r="BZ555" s="800" t="s">
        <v>1942</v>
      </c>
      <c r="CA555" s="808" t="s">
        <v>1942</v>
      </c>
      <c r="CB555" s="800" t="s">
        <v>1942</v>
      </c>
      <c r="CC555" s="800" t="s">
        <v>1942</v>
      </c>
      <c r="CD555" s="800" t="s">
        <v>1942</v>
      </c>
      <c r="CE555" s="805" t="s">
        <v>1942</v>
      </c>
      <c r="CF555" s="800" t="s">
        <v>1942</v>
      </c>
      <c r="CG555" s="800" t="s">
        <v>1942</v>
      </c>
      <c r="CH555" s="800" t="s">
        <v>1942</v>
      </c>
      <c r="CI555" s="800" t="s">
        <v>1942</v>
      </c>
      <c r="CJ555" s="805" t="s">
        <v>1942</v>
      </c>
      <c r="CK555" s="808" t="s">
        <v>1942</v>
      </c>
      <c r="CL555" s="800" t="s">
        <v>1942</v>
      </c>
      <c r="CM555" s="800" t="s">
        <v>1942</v>
      </c>
      <c r="CN555" s="800" t="s">
        <v>1942</v>
      </c>
      <c r="CO555" s="805" t="s">
        <v>1942</v>
      </c>
      <c r="CP555" s="808" t="s">
        <v>1942</v>
      </c>
      <c r="CQ555" s="800" t="s">
        <v>1942</v>
      </c>
      <c r="CR555" s="800" t="s">
        <v>1942</v>
      </c>
      <c r="CS555" s="800" t="s">
        <v>1942</v>
      </c>
      <c r="CT555" s="805" t="s">
        <v>1942</v>
      </c>
      <c r="CU555" s="1284" t="s">
        <v>1942</v>
      </c>
      <c r="CV555" s="1283" t="s">
        <v>1942</v>
      </c>
      <c r="CW555" s="1283" t="s">
        <v>1942</v>
      </c>
      <c r="CX555" s="1285" t="s">
        <v>1942</v>
      </c>
      <c r="CY555" s="1283" t="s">
        <v>1942</v>
      </c>
      <c r="CZ555" s="1283" t="s">
        <v>1942</v>
      </c>
      <c r="DA555" s="1283" t="s">
        <v>1942</v>
      </c>
      <c r="DB555" s="1285" t="s">
        <v>1942</v>
      </c>
      <c r="DC555" s="785"/>
      <c r="DD555" s="813">
        <v>1</v>
      </c>
      <c r="DE555" s="814"/>
    </row>
    <row r="556" spans="1:109" ht="15.75" hidden="1" customHeight="1">
      <c r="A556" s="772" t="s">
        <v>1024</v>
      </c>
      <c r="B556" s="773">
        <v>550</v>
      </c>
      <c r="C556" s="789" t="s">
        <v>4262</v>
      </c>
      <c r="D556" s="773" t="s">
        <v>4253</v>
      </c>
      <c r="E556" s="773" t="s">
        <v>1889</v>
      </c>
      <c r="F556" s="785" t="s">
        <v>4263</v>
      </c>
      <c r="G556" s="790" t="s">
        <v>4264</v>
      </c>
      <c r="H556" s="791" t="s">
        <v>4265</v>
      </c>
      <c r="I556" s="792"/>
      <c r="J556" s="793"/>
      <c r="K556" s="793"/>
      <c r="L556" s="793"/>
      <c r="M556" s="793"/>
      <c r="N556" s="793">
        <v>1</v>
      </c>
      <c r="O556" s="793"/>
      <c r="P556" s="794"/>
      <c r="Q556" s="795">
        <f t="shared" si="8"/>
        <v>1</v>
      </c>
      <c r="R556" s="789" t="s">
        <v>1030</v>
      </c>
      <c r="S556" s="773" t="s">
        <v>1008</v>
      </c>
      <c r="T556" s="796" t="s">
        <v>1009</v>
      </c>
      <c r="U556" s="773" t="s">
        <v>1947</v>
      </c>
      <c r="V556" s="773" t="s">
        <v>1081</v>
      </c>
      <c r="W556" s="773" t="s">
        <v>4266</v>
      </c>
      <c r="X556" s="829">
        <v>1</v>
      </c>
      <c r="Y556" s="821" t="s">
        <v>1010</v>
      </c>
      <c r="Z556" s="790"/>
      <c r="AA556" s="785"/>
      <c r="AB556" s="785"/>
      <c r="AC556" s="785"/>
      <c r="AD556" s="785"/>
      <c r="AE556" s="785"/>
      <c r="AF556" s="799"/>
      <c r="AG556" s="800"/>
      <c r="AH556" s="800"/>
      <c r="AI556" s="800"/>
      <c r="AJ556" s="800"/>
      <c r="AK556" s="800"/>
      <c r="AL556" s="800"/>
      <c r="AM556" s="800"/>
      <c r="AN556" s="800"/>
      <c r="AO556" s="800"/>
      <c r="AP556" s="807"/>
      <c r="AQ556" s="806">
        <v>4.5</v>
      </c>
      <c r="AR556" s="807">
        <v>4.5</v>
      </c>
      <c r="AS556" s="807">
        <v>4.5</v>
      </c>
      <c r="AT556" s="807">
        <v>4.5</v>
      </c>
      <c r="AU556" s="820">
        <v>4.5</v>
      </c>
      <c r="AV556" s="806"/>
      <c r="AW556" s="807"/>
      <c r="AX556" s="807"/>
      <c r="AY556" s="807"/>
      <c r="AZ556" s="807"/>
      <c r="BA556" s="807"/>
      <c r="BB556" s="807"/>
      <c r="BC556" s="807"/>
      <c r="BD556" s="807"/>
      <c r="BE556" s="807"/>
      <c r="BF556" s="807"/>
      <c r="BG556" s="807"/>
      <c r="BH556" s="807"/>
      <c r="BI556" s="807"/>
      <c r="BJ556" s="807"/>
      <c r="BK556" s="820"/>
      <c r="BL556" s="789" t="s">
        <v>168</v>
      </c>
      <c r="BM556" s="785" t="s">
        <v>168</v>
      </c>
      <c r="BN556" s="785" t="s">
        <v>168</v>
      </c>
      <c r="BO556" s="785" t="s">
        <v>168</v>
      </c>
      <c r="BP556" s="796" t="s">
        <v>168</v>
      </c>
      <c r="BQ556" s="808" t="s">
        <v>1942</v>
      </c>
      <c r="BR556" s="800" t="s">
        <v>1942</v>
      </c>
      <c r="BS556" s="800" t="s">
        <v>1942</v>
      </c>
      <c r="BT556" s="800" t="s">
        <v>1942</v>
      </c>
      <c r="BU556" s="805" t="s">
        <v>1942</v>
      </c>
      <c r="BV556" s="1521">
        <v>4</v>
      </c>
      <c r="BW556" s="1730">
        <v>4</v>
      </c>
      <c r="BX556" s="1730">
        <v>4</v>
      </c>
      <c r="BY556" s="1730">
        <v>4</v>
      </c>
      <c r="BZ556" s="1527">
        <v>4</v>
      </c>
      <c r="CA556" s="808" t="s">
        <v>1942</v>
      </c>
      <c r="CB556" s="800" t="s">
        <v>1942</v>
      </c>
      <c r="CC556" s="800" t="s">
        <v>1942</v>
      </c>
      <c r="CD556" s="800" t="s">
        <v>1942</v>
      </c>
      <c r="CE556" s="805" t="s">
        <v>1942</v>
      </c>
      <c r="CF556" s="800" t="s">
        <v>1942</v>
      </c>
      <c r="CG556" s="800" t="s">
        <v>1942</v>
      </c>
      <c r="CH556" s="800" t="s">
        <v>1942</v>
      </c>
      <c r="CI556" s="800" t="s">
        <v>1942</v>
      </c>
      <c r="CJ556" s="800" t="s">
        <v>1942</v>
      </c>
      <c r="CK556" s="808">
        <v>4.7</v>
      </c>
      <c r="CL556" s="800">
        <v>4.7</v>
      </c>
      <c r="CM556" s="800">
        <v>4.7</v>
      </c>
      <c r="CN556" s="800">
        <v>4.7</v>
      </c>
      <c r="CO556" s="805">
        <v>4.7</v>
      </c>
      <c r="CP556" s="808" t="s">
        <v>1942</v>
      </c>
      <c r="CQ556" s="800" t="s">
        <v>1942</v>
      </c>
      <c r="CR556" s="800" t="s">
        <v>1942</v>
      </c>
      <c r="CS556" s="800" t="s">
        <v>1942</v>
      </c>
      <c r="CT556" s="805" t="s">
        <v>1942</v>
      </c>
      <c r="CU556" s="1284">
        <v>-1.25</v>
      </c>
      <c r="CV556" s="1283" t="s">
        <v>1942</v>
      </c>
      <c r="CW556" s="1283" t="s">
        <v>1942</v>
      </c>
      <c r="CX556" s="1285" t="s">
        <v>1942</v>
      </c>
      <c r="CY556" s="1283">
        <v>1.25</v>
      </c>
      <c r="CZ556" s="1283" t="s">
        <v>1942</v>
      </c>
      <c r="DA556" s="1283" t="s">
        <v>1942</v>
      </c>
      <c r="DB556" s="1285" t="s">
        <v>1942</v>
      </c>
      <c r="DC556" s="785"/>
      <c r="DD556" s="813">
        <v>1</v>
      </c>
      <c r="DE556" s="814"/>
    </row>
    <row r="557" spans="1:109" ht="15.75" hidden="1" customHeight="1">
      <c r="A557" s="772" t="s">
        <v>1024</v>
      </c>
      <c r="B557" s="773">
        <v>551</v>
      </c>
      <c r="C557" s="789" t="s">
        <v>4267</v>
      </c>
      <c r="D557" s="773"/>
      <c r="E557" s="773"/>
      <c r="F557" s="785" t="s">
        <v>4268</v>
      </c>
      <c r="G557" s="790" t="s">
        <v>703</v>
      </c>
      <c r="H557" s="791"/>
      <c r="I557" s="792"/>
      <c r="J557" s="793"/>
      <c r="K557" s="793"/>
      <c r="L557" s="793"/>
      <c r="M557" s="793"/>
      <c r="N557" s="793"/>
      <c r="O557" s="793"/>
      <c r="P557" s="794"/>
      <c r="Q557" s="795">
        <f t="shared" si="8"/>
        <v>0</v>
      </c>
      <c r="R557" s="789" t="s">
        <v>1007</v>
      </c>
      <c r="S557" s="773"/>
      <c r="T557" s="796"/>
      <c r="U557" s="773"/>
      <c r="V557" s="773"/>
      <c r="W557" s="773"/>
      <c r="X557" s="1274">
        <v>1</v>
      </c>
      <c r="Y557" s="821"/>
      <c r="Z557" s="790" t="s">
        <v>703</v>
      </c>
      <c r="AA557" s="785"/>
      <c r="AB557" s="785"/>
      <c r="AC557" s="785"/>
      <c r="AD557" s="785"/>
      <c r="AE557" s="785"/>
      <c r="AF557" s="799"/>
      <c r="AG557" s="800"/>
      <c r="AH557" s="800"/>
      <c r="AI557" s="800"/>
      <c r="AJ557" s="800"/>
      <c r="AK557" s="800"/>
      <c r="AL557" s="800"/>
      <c r="AM557" s="800"/>
      <c r="AN557" s="800"/>
      <c r="AO557" s="800"/>
      <c r="AP557" s="807"/>
      <c r="AQ557" s="1421"/>
      <c r="AR557" s="1373"/>
      <c r="AS557" s="1373"/>
      <c r="AT557" s="1373"/>
      <c r="AU557" s="1374"/>
      <c r="AV557" s="806"/>
      <c r="AW557" s="807"/>
      <c r="AX557" s="807"/>
      <c r="AY557" s="807"/>
      <c r="AZ557" s="807"/>
      <c r="BA557" s="807"/>
      <c r="BB557" s="807"/>
      <c r="BC557" s="807"/>
      <c r="BD557" s="807"/>
      <c r="BE557" s="807"/>
      <c r="BF557" s="807"/>
      <c r="BG557" s="807"/>
      <c r="BH557" s="807"/>
      <c r="BI557" s="807"/>
      <c r="BJ557" s="807"/>
      <c r="BK557" s="820"/>
      <c r="BL557" s="1376"/>
      <c r="BM557" s="1377"/>
      <c r="BN557" s="1377"/>
      <c r="BO557" s="1377"/>
      <c r="BP557" s="1440"/>
      <c r="BQ557" s="1420"/>
      <c r="BR557" s="1368"/>
      <c r="BS557" s="1368"/>
      <c r="BT557" s="1368"/>
      <c r="BU557" s="1369"/>
      <c r="BV557" s="1420"/>
      <c r="BW557" s="1368"/>
      <c r="BX557" s="1368"/>
      <c r="BY557" s="1368"/>
      <c r="BZ557" s="1368"/>
      <c r="CA557" s="1420"/>
      <c r="CB557" s="1368"/>
      <c r="CC557" s="1368"/>
      <c r="CD557" s="1368"/>
      <c r="CE557" s="1369"/>
      <c r="CF557" s="1368"/>
      <c r="CG557" s="1368"/>
      <c r="CH557" s="1368"/>
      <c r="CI557" s="1368"/>
      <c r="CJ557" s="1368"/>
      <c r="CK557" s="1420"/>
      <c r="CL557" s="1368"/>
      <c r="CM557" s="1368"/>
      <c r="CN557" s="1368"/>
      <c r="CO557" s="1369"/>
      <c r="CP557" s="1420"/>
      <c r="CQ557" s="1368"/>
      <c r="CR557" s="1368"/>
      <c r="CS557" s="1368"/>
      <c r="CT557" s="1369"/>
      <c r="CU557" s="1528"/>
      <c r="CV557" s="1519"/>
      <c r="CW557" s="1519"/>
      <c r="CX557" s="1728"/>
      <c r="CY557" s="1519"/>
      <c r="CZ557" s="1519"/>
      <c r="DA557" s="1519"/>
      <c r="DB557" s="1728"/>
      <c r="DC557" s="1377"/>
      <c r="DD557" s="1729"/>
      <c r="DE557" s="1734"/>
    </row>
    <row r="558" spans="1:109" ht="15.75" hidden="1" customHeight="1">
      <c r="A558" s="772" t="s">
        <v>1024</v>
      </c>
      <c r="B558" s="773">
        <v>552</v>
      </c>
      <c r="C558" s="789" t="s">
        <v>4269</v>
      </c>
      <c r="D558" s="773" t="s">
        <v>4253</v>
      </c>
      <c r="E558" s="773" t="s">
        <v>1907</v>
      </c>
      <c r="F558" s="785" t="s">
        <v>4270</v>
      </c>
      <c r="G558" s="790" t="s">
        <v>4271</v>
      </c>
      <c r="H558" s="791" t="s">
        <v>4272</v>
      </c>
      <c r="I558" s="792"/>
      <c r="J558" s="793"/>
      <c r="K558" s="793"/>
      <c r="L558" s="793"/>
      <c r="M558" s="793">
        <v>1</v>
      </c>
      <c r="N558" s="793"/>
      <c r="O558" s="793"/>
      <c r="P558" s="794"/>
      <c r="Q558" s="795">
        <f t="shared" si="8"/>
        <v>1</v>
      </c>
      <c r="R558" s="789" t="s">
        <v>1007</v>
      </c>
      <c r="S558" s="773"/>
      <c r="T558" s="796"/>
      <c r="U558" s="773" t="s">
        <v>2306</v>
      </c>
      <c r="V558" s="773" t="s">
        <v>1033</v>
      </c>
      <c r="W558" s="773"/>
      <c r="X558" s="829">
        <v>0</v>
      </c>
      <c r="Y558" s="821" t="s">
        <v>1010</v>
      </c>
      <c r="Z558" s="790"/>
      <c r="AA558" s="785"/>
      <c r="AB558" s="785"/>
      <c r="AC558" s="785"/>
      <c r="AD558" s="785"/>
      <c r="AE558" s="785"/>
      <c r="AF558" s="799"/>
      <c r="AG558" s="800"/>
      <c r="AH558" s="800"/>
      <c r="AI558" s="800"/>
      <c r="AJ558" s="800"/>
      <c r="AK558" s="800"/>
      <c r="AL558" s="800"/>
      <c r="AM558" s="800"/>
      <c r="AN558" s="800"/>
      <c r="AO558" s="800"/>
      <c r="AP558" s="800"/>
      <c r="AQ558" s="808">
        <v>13000</v>
      </c>
      <c r="AR558" s="800">
        <v>16000</v>
      </c>
      <c r="AS558" s="800">
        <v>19000</v>
      </c>
      <c r="AT558" s="800">
        <v>22000</v>
      </c>
      <c r="AU558" s="805">
        <v>25000</v>
      </c>
      <c r="AV558" s="827"/>
      <c r="AW558" s="797"/>
      <c r="AX558" s="797"/>
      <c r="AY558" s="797"/>
      <c r="AZ558" s="797"/>
      <c r="BA558" s="797"/>
      <c r="BB558" s="797"/>
      <c r="BC558" s="797"/>
      <c r="BD558" s="797"/>
      <c r="BE558" s="797"/>
      <c r="BF558" s="797"/>
      <c r="BG558" s="797"/>
      <c r="BH558" s="797"/>
      <c r="BI558" s="797"/>
      <c r="BJ558" s="797"/>
      <c r="BK558" s="841"/>
      <c r="BL558" s="789"/>
      <c r="BM558" s="785"/>
      <c r="BN558" s="785"/>
      <c r="BO558" s="785"/>
      <c r="BP558" s="796"/>
      <c r="BQ558" s="808" t="s">
        <v>1942</v>
      </c>
      <c r="BR558" s="800" t="s">
        <v>1942</v>
      </c>
      <c r="BS558" s="800" t="s">
        <v>1942</v>
      </c>
      <c r="BT558" s="800" t="s">
        <v>1942</v>
      </c>
      <c r="BU558" s="805" t="s">
        <v>1942</v>
      </c>
      <c r="BV558" s="808" t="s">
        <v>1942</v>
      </c>
      <c r="BW558" s="800" t="s">
        <v>1942</v>
      </c>
      <c r="BX558" s="800" t="s">
        <v>1942</v>
      </c>
      <c r="BY558" s="800" t="s">
        <v>1942</v>
      </c>
      <c r="BZ558" s="800" t="s">
        <v>1942</v>
      </c>
      <c r="CA558" s="808" t="s">
        <v>1942</v>
      </c>
      <c r="CB558" s="800" t="s">
        <v>1942</v>
      </c>
      <c r="CC558" s="800" t="s">
        <v>1942</v>
      </c>
      <c r="CD558" s="800" t="s">
        <v>1942</v>
      </c>
      <c r="CE558" s="805" t="s">
        <v>1942</v>
      </c>
      <c r="CF558" s="800" t="s">
        <v>1942</v>
      </c>
      <c r="CG558" s="800" t="s">
        <v>1942</v>
      </c>
      <c r="CH558" s="800" t="s">
        <v>1942</v>
      </c>
      <c r="CI558" s="800" t="s">
        <v>1942</v>
      </c>
      <c r="CJ558" s="805" t="s">
        <v>1942</v>
      </c>
      <c r="CK558" s="808" t="s">
        <v>1942</v>
      </c>
      <c r="CL558" s="800" t="s">
        <v>1942</v>
      </c>
      <c r="CM558" s="800" t="s">
        <v>1942</v>
      </c>
      <c r="CN558" s="800" t="s">
        <v>1942</v>
      </c>
      <c r="CO558" s="805" t="s">
        <v>1942</v>
      </c>
      <c r="CP558" s="808" t="s">
        <v>1942</v>
      </c>
      <c r="CQ558" s="800" t="s">
        <v>1942</v>
      </c>
      <c r="CR558" s="800" t="s">
        <v>1942</v>
      </c>
      <c r="CS558" s="800" t="s">
        <v>1942</v>
      </c>
      <c r="CT558" s="805" t="s">
        <v>1942</v>
      </c>
      <c r="CU558" s="1284" t="s">
        <v>1942</v>
      </c>
      <c r="CV558" s="1283" t="s">
        <v>1942</v>
      </c>
      <c r="CW558" s="1283" t="s">
        <v>1942</v>
      </c>
      <c r="CX558" s="1285" t="s">
        <v>1942</v>
      </c>
      <c r="CY558" s="1283" t="s">
        <v>1942</v>
      </c>
      <c r="CZ558" s="1283" t="s">
        <v>1942</v>
      </c>
      <c r="DA558" s="1283" t="s">
        <v>1942</v>
      </c>
      <c r="DB558" s="1285" t="s">
        <v>1942</v>
      </c>
      <c r="DC558" s="785"/>
      <c r="DD558" s="813">
        <v>1</v>
      </c>
      <c r="DE558" s="814"/>
    </row>
    <row r="559" spans="1:109" ht="15.75" hidden="1" customHeight="1">
      <c r="A559" s="772" t="s">
        <v>1024</v>
      </c>
      <c r="B559" s="773">
        <v>553</v>
      </c>
      <c r="C559" s="789" t="s">
        <v>4273</v>
      </c>
      <c r="D559" s="773" t="s">
        <v>4274</v>
      </c>
      <c r="E559" s="773" t="s">
        <v>1889</v>
      </c>
      <c r="F559" s="785" t="s">
        <v>4275</v>
      </c>
      <c r="G559" s="790" t="s">
        <v>732</v>
      </c>
      <c r="H559" s="791" t="s">
        <v>4276</v>
      </c>
      <c r="I559" s="792"/>
      <c r="J559" s="793"/>
      <c r="K559" s="793">
        <v>1</v>
      </c>
      <c r="L559" s="793"/>
      <c r="M559" s="793"/>
      <c r="N559" s="793"/>
      <c r="O559" s="793"/>
      <c r="P559" s="794"/>
      <c r="Q559" s="795">
        <f t="shared" si="8"/>
        <v>1</v>
      </c>
      <c r="R559" s="789" t="s">
        <v>1030</v>
      </c>
      <c r="S559" s="773" t="s">
        <v>1008</v>
      </c>
      <c r="T559" s="796" t="s">
        <v>1009</v>
      </c>
      <c r="U559" s="773" t="s">
        <v>2058</v>
      </c>
      <c r="V559" s="773" t="s">
        <v>1033</v>
      </c>
      <c r="W559" s="773" t="s">
        <v>3615</v>
      </c>
      <c r="X559" s="1274">
        <v>2</v>
      </c>
      <c r="Y559" s="821" t="s">
        <v>1020</v>
      </c>
      <c r="Z559" s="790" t="s">
        <v>732</v>
      </c>
      <c r="AA559" s="785"/>
      <c r="AB559" s="785"/>
      <c r="AC559" s="785"/>
      <c r="AD559" s="785"/>
      <c r="AE559" s="785"/>
      <c r="AF559" s="799"/>
      <c r="AG559" s="800"/>
      <c r="AH559" s="800"/>
      <c r="AI559" s="800"/>
      <c r="AJ559" s="800"/>
      <c r="AK559" s="800"/>
      <c r="AL559" s="800"/>
      <c r="AM559" s="800"/>
      <c r="AN559" s="800"/>
      <c r="AO559" s="800"/>
      <c r="AP559" s="800"/>
      <c r="AQ559" s="1420"/>
      <c r="AR559" s="1368"/>
      <c r="AS559" s="1368"/>
      <c r="AT559" s="1368"/>
      <c r="AU559" s="1369"/>
      <c r="AV559" s="808"/>
      <c r="AW559" s="800"/>
      <c r="AX559" s="800"/>
      <c r="AY559" s="800"/>
      <c r="AZ559" s="800"/>
      <c r="BA559" s="800"/>
      <c r="BB559" s="800"/>
      <c r="BC559" s="800"/>
      <c r="BD559" s="800"/>
      <c r="BE559" s="800"/>
      <c r="BF559" s="800"/>
      <c r="BG559" s="800"/>
      <c r="BH559" s="800"/>
      <c r="BI559" s="800"/>
      <c r="BJ559" s="800"/>
      <c r="BK559" s="805"/>
      <c r="BL559" s="1376"/>
      <c r="BM559" s="1377"/>
      <c r="BN559" s="1377"/>
      <c r="BO559" s="1377"/>
      <c r="BP559" s="1440"/>
      <c r="BQ559" s="1420"/>
      <c r="BR559" s="1368"/>
      <c r="BS559" s="1368"/>
      <c r="BT559" s="1368"/>
      <c r="BU559" s="1369"/>
      <c r="BV559" s="1421"/>
      <c r="BW559" s="1373"/>
      <c r="BX559" s="1373"/>
      <c r="BY559" s="1373"/>
      <c r="BZ559" s="1373"/>
      <c r="CA559" s="1420"/>
      <c r="CB559" s="1368"/>
      <c r="CC559" s="1368"/>
      <c r="CD559" s="1368"/>
      <c r="CE559" s="1369"/>
      <c r="CF559" s="1368"/>
      <c r="CG559" s="1368"/>
      <c r="CH559" s="1368"/>
      <c r="CI559" s="1368"/>
      <c r="CJ559" s="1369"/>
      <c r="CK559" s="1421"/>
      <c r="CL559" s="1373"/>
      <c r="CM559" s="1373"/>
      <c r="CN559" s="1373"/>
      <c r="CO559" s="1374"/>
      <c r="CP559" s="1420"/>
      <c r="CQ559" s="1368"/>
      <c r="CR559" s="1368"/>
      <c r="CS559" s="1368"/>
      <c r="CT559" s="1369"/>
      <c r="CU559" s="1528"/>
      <c r="CV559" s="1519"/>
      <c r="CW559" s="1519"/>
      <c r="CX559" s="1728"/>
      <c r="CY559" s="1519"/>
      <c r="CZ559" s="1519"/>
      <c r="DA559" s="1519"/>
      <c r="DB559" s="1728"/>
      <c r="DC559" s="1377"/>
      <c r="DD559" s="1729"/>
      <c r="DE559" s="1734"/>
    </row>
    <row r="560" spans="1:109" ht="15.75" hidden="1" customHeight="1">
      <c r="A560" s="772" t="s">
        <v>1024</v>
      </c>
      <c r="B560" s="773">
        <v>554</v>
      </c>
      <c r="C560" s="789" t="s">
        <v>4277</v>
      </c>
      <c r="D560" s="773" t="s">
        <v>4274</v>
      </c>
      <c r="E560" s="773" t="s">
        <v>1907</v>
      </c>
      <c r="F560" s="785" t="s">
        <v>4278</v>
      </c>
      <c r="G560" s="790" t="s">
        <v>4279</v>
      </c>
      <c r="H560" s="791" t="s">
        <v>4280</v>
      </c>
      <c r="I560" s="792"/>
      <c r="J560" s="793"/>
      <c r="K560" s="793">
        <v>1</v>
      </c>
      <c r="L560" s="793"/>
      <c r="M560" s="793"/>
      <c r="N560" s="793"/>
      <c r="O560" s="793"/>
      <c r="P560" s="794"/>
      <c r="Q560" s="795">
        <f t="shared" si="8"/>
        <v>1</v>
      </c>
      <c r="R560" s="789" t="s">
        <v>1030</v>
      </c>
      <c r="S560" s="773" t="s">
        <v>1008</v>
      </c>
      <c r="T560" s="796" t="s">
        <v>1009</v>
      </c>
      <c r="U560" s="773" t="s">
        <v>2058</v>
      </c>
      <c r="V560" s="773" t="s">
        <v>1033</v>
      </c>
      <c r="W560" s="773" t="s">
        <v>3615</v>
      </c>
      <c r="X560" s="1274">
        <v>2</v>
      </c>
      <c r="Y560" s="821" t="s">
        <v>1020</v>
      </c>
      <c r="Z560" s="790" t="s">
        <v>2098</v>
      </c>
      <c r="AA560" s="785"/>
      <c r="AB560" s="785"/>
      <c r="AC560" s="785"/>
      <c r="AD560" s="785"/>
      <c r="AE560" s="785"/>
      <c r="AF560" s="799"/>
      <c r="AG560" s="800"/>
      <c r="AH560" s="800"/>
      <c r="AI560" s="800"/>
      <c r="AJ560" s="800"/>
      <c r="AK560" s="800"/>
      <c r="AL560" s="800"/>
      <c r="AM560" s="800"/>
      <c r="AN560" s="800"/>
      <c r="AO560" s="800"/>
      <c r="AP560" s="800"/>
      <c r="AQ560" s="808">
        <v>26.7</v>
      </c>
      <c r="AR560" s="800">
        <v>25.29</v>
      </c>
      <c r="AS560" s="800">
        <v>23.89</v>
      </c>
      <c r="AT560" s="800">
        <v>22.48</v>
      </c>
      <c r="AU560" s="805">
        <v>21.08</v>
      </c>
      <c r="AV560" s="808"/>
      <c r="AW560" s="800"/>
      <c r="AX560" s="800"/>
      <c r="AY560" s="800"/>
      <c r="AZ560" s="800"/>
      <c r="BA560" s="800"/>
      <c r="BB560" s="800"/>
      <c r="BC560" s="800"/>
      <c r="BD560" s="800"/>
      <c r="BE560" s="800"/>
      <c r="BF560" s="800"/>
      <c r="BG560" s="800"/>
      <c r="BH560" s="800"/>
      <c r="BI560" s="800"/>
      <c r="BJ560" s="800"/>
      <c r="BK560" s="805"/>
      <c r="BL560" s="789" t="s">
        <v>168</v>
      </c>
      <c r="BM560" s="785" t="s">
        <v>168</v>
      </c>
      <c r="BN560" s="785" t="s">
        <v>168</v>
      </c>
      <c r="BO560" s="785" t="s">
        <v>168</v>
      </c>
      <c r="BP560" s="796" t="s">
        <v>168</v>
      </c>
      <c r="BQ560" s="808" t="s">
        <v>1942</v>
      </c>
      <c r="BR560" s="800" t="s">
        <v>1942</v>
      </c>
      <c r="BS560" s="800" t="s">
        <v>1942</v>
      </c>
      <c r="BT560" s="800" t="s">
        <v>1942</v>
      </c>
      <c r="BU560" s="805" t="s">
        <v>1942</v>
      </c>
      <c r="BV560" s="1420">
        <v>40.049999999999997</v>
      </c>
      <c r="BW560" s="1368">
        <v>40.049999999999997</v>
      </c>
      <c r="BX560" s="1368">
        <v>40.049999999999997</v>
      </c>
      <c r="BY560" s="1368">
        <v>40.049999999999997</v>
      </c>
      <c r="BZ560" s="1369">
        <v>40.049999999999997</v>
      </c>
      <c r="CA560" s="808" t="s">
        <v>1942</v>
      </c>
      <c r="CB560" s="800" t="s">
        <v>1942</v>
      </c>
      <c r="CC560" s="800" t="s">
        <v>1942</v>
      </c>
      <c r="CD560" s="800" t="s">
        <v>1942</v>
      </c>
      <c r="CE560" s="805" t="s">
        <v>1942</v>
      </c>
      <c r="CF560" s="800" t="s">
        <v>1942</v>
      </c>
      <c r="CG560" s="800" t="s">
        <v>1942</v>
      </c>
      <c r="CH560" s="800" t="s">
        <v>1942</v>
      </c>
      <c r="CI560" s="800" t="s">
        <v>1942</v>
      </c>
      <c r="CJ560" s="805" t="s">
        <v>1942</v>
      </c>
      <c r="CK560" s="808">
        <v>22.4</v>
      </c>
      <c r="CL560" s="800">
        <v>20.99</v>
      </c>
      <c r="CM560" s="800">
        <v>19.59</v>
      </c>
      <c r="CN560" s="800">
        <v>18.28</v>
      </c>
      <c r="CO560" s="805">
        <v>16.88</v>
      </c>
      <c r="CP560" s="808" t="s">
        <v>1942</v>
      </c>
      <c r="CQ560" s="800" t="s">
        <v>1942</v>
      </c>
      <c r="CR560" s="800" t="s">
        <v>1942</v>
      </c>
      <c r="CS560" s="800" t="s">
        <v>1942</v>
      </c>
      <c r="CT560" s="805" t="s">
        <v>1942</v>
      </c>
      <c r="CU560" s="1284">
        <v>-0.89900000000000002</v>
      </c>
      <c r="CV560" s="1283" t="s">
        <v>1942</v>
      </c>
      <c r="CW560" s="1283" t="s">
        <v>1942</v>
      </c>
      <c r="CX560" s="1285" t="s">
        <v>1942</v>
      </c>
      <c r="CY560" s="1283">
        <v>0.75</v>
      </c>
      <c r="CZ560" s="1283" t="s">
        <v>1942</v>
      </c>
      <c r="DA560" s="1283" t="s">
        <v>1942</v>
      </c>
      <c r="DB560" s="1285" t="s">
        <v>1942</v>
      </c>
      <c r="DC560" s="785"/>
      <c r="DD560" s="813">
        <v>1</v>
      </c>
      <c r="DE560" s="814"/>
    </row>
    <row r="561" spans="1:109" ht="15.75" hidden="1" customHeight="1">
      <c r="A561" s="772" t="s">
        <v>1024</v>
      </c>
      <c r="B561" s="773">
        <v>555</v>
      </c>
      <c r="C561" s="789" t="s">
        <v>4281</v>
      </c>
      <c r="D561" s="773" t="s">
        <v>4274</v>
      </c>
      <c r="E561" s="773" t="s">
        <v>1907</v>
      </c>
      <c r="F561" s="785" t="s">
        <v>4282</v>
      </c>
      <c r="G561" s="790" t="s">
        <v>743</v>
      </c>
      <c r="H561" s="791" t="s">
        <v>4283</v>
      </c>
      <c r="I561" s="792"/>
      <c r="J561" s="793"/>
      <c r="K561" s="793">
        <v>1</v>
      </c>
      <c r="L561" s="793"/>
      <c r="M561" s="793"/>
      <c r="N561" s="793"/>
      <c r="O561" s="793"/>
      <c r="P561" s="794"/>
      <c r="Q561" s="795">
        <f t="shared" si="8"/>
        <v>1</v>
      </c>
      <c r="R561" s="789" t="s">
        <v>1026</v>
      </c>
      <c r="S561" s="773" t="s">
        <v>1008</v>
      </c>
      <c r="T561" s="796" t="s">
        <v>1009</v>
      </c>
      <c r="U561" s="773" t="s">
        <v>1920</v>
      </c>
      <c r="V561" s="773" t="s">
        <v>1033</v>
      </c>
      <c r="W561" s="773" t="s">
        <v>4284</v>
      </c>
      <c r="X561" s="1274">
        <v>2</v>
      </c>
      <c r="Y561" s="821" t="s">
        <v>1020</v>
      </c>
      <c r="Z561" s="790" t="s">
        <v>743</v>
      </c>
      <c r="AA561" s="785"/>
      <c r="AB561" s="785"/>
      <c r="AC561" s="785"/>
      <c r="AD561" s="785"/>
      <c r="AE561" s="785"/>
      <c r="AF561" s="799"/>
      <c r="AG561" s="800"/>
      <c r="AH561" s="800"/>
      <c r="AI561" s="800"/>
      <c r="AJ561" s="800"/>
      <c r="AK561" s="800"/>
      <c r="AL561" s="800"/>
      <c r="AM561" s="800"/>
      <c r="AN561" s="800"/>
      <c r="AO561" s="800"/>
      <c r="AP561" s="800"/>
      <c r="AQ561" s="1420"/>
      <c r="AR561" s="1368"/>
      <c r="AS561" s="1368"/>
      <c r="AT561" s="1368"/>
      <c r="AU561" s="1369"/>
      <c r="AV561" s="808"/>
      <c r="AW561" s="800"/>
      <c r="AX561" s="800"/>
      <c r="AY561" s="800"/>
      <c r="AZ561" s="800"/>
      <c r="BA561" s="800"/>
      <c r="BB561" s="800"/>
      <c r="BC561" s="800"/>
      <c r="BD561" s="800"/>
      <c r="BE561" s="800"/>
      <c r="BF561" s="800"/>
      <c r="BG561" s="800"/>
      <c r="BH561" s="800"/>
      <c r="BI561" s="800"/>
      <c r="BJ561" s="800"/>
      <c r="BK561" s="805"/>
      <c r="BL561" s="1376"/>
      <c r="BM561" s="1377"/>
      <c r="BN561" s="1377"/>
      <c r="BO561" s="1377"/>
      <c r="BP561" s="1440"/>
      <c r="BQ561" s="1420"/>
      <c r="BR561" s="1368"/>
      <c r="BS561" s="1368"/>
      <c r="BT561" s="1368"/>
      <c r="BU561" s="1369"/>
      <c r="BV561" s="1421"/>
      <c r="BW561" s="1373"/>
      <c r="BX561" s="1373"/>
      <c r="BY561" s="1373"/>
      <c r="BZ561" s="1373"/>
      <c r="CA561" s="1420"/>
      <c r="CB561" s="1368"/>
      <c r="CC561" s="1368"/>
      <c r="CD561" s="1368"/>
      <c r="CE561" s="1369"/>
      <c r="CF561" s="1368"/>
      <c r="CG561" s="1368"/>
      <c r="CH561" s="1368"/>
      <c r="CI561" s="1368"/>
      <c r="CJ561" s="1369"/>
      <c r="CK561" s="1420"/>
      <c r="CL561" s="1368"/>
      <c r="CM561" s="1368"/>
      <c r="CN561" s="1368"/>
      <c r="CO561" s="1369"/>
      <c r="CP561" s="1420"/>
      <c r="CQ561" s="1368"/>
      <c r="CR561" s="1368"/>
      <c r="CS561" s="1368"/>
      <c r="CT561" s="1369"/>
      <c r="CU561" s="1528"/>
      <c r="CV561" s="1519"/>
      <c r="CW561" s="1519"/>
      <c r="CX561" s="1728"/>
      <c r="CY561" s="1519"/>
      <c r="CZ561" s="1519"/>
      <c r="DA561" s="1519"/>
      <c r="DB561" s="1728"/>
      <c r="DC561" s="1377"/>
      <c r="DD561" s="1729"/>
      <c r="DE561" s="1734"/>
    </row>
    <row r="562" spans="1:109" ht="44.25" hidden="1" customHeight="1">
      <c r="A562" s="772" t="s">
        <v>1024</v>
      </c>
      <c r="B562" s="773">
        <v>556</v>
      </c>
      <c r="C562" s="789" t="s">
        <v>4285</v>
      </c>
      <c r="D562" s="773" t="s">
        <v>4274</v>
      </c>
      <c r="E562" s="773" t="s">
        <v>1907</v>
      </c>
      <c r="F562" s="785" t="s">
        <v>4286</v>
      </c>
      <c r="G562" s="790" t="s">
        <v>4287</v>
      </c>
      <c r="H562" s="791" t="s">
        <v>4288</v>
      </c>
      <c r="I562" s="792"/>
      <c r="J562" s="793">
        <v>0.375</v>
      </c>
      <c r="K562" s="793">
        <v>0.53200000000000003</v>
      </c>
      <c r="L562" s="793"/>
      <c r="M562" s="793">
        <v>9.2999999999999999E-2</v>
      </c>
      <c r="N562" s="793"/>
      <c r="O562" s="793"/>
      <c r="P562" s="794"/>
      <c r="Q562" s="795">
        <f t="shared" si="8"/>
        <v>1</v>
      </c>
      <c r="R562" s="789" t="s">
        <v>1030</v>
      </c>
      <c r="S562" s="773" t="s">
        <v>1008</v>
      </c>
      <c r="T562" s="796" t="s">
        <v>1009</v>
      </c>
      <c r="U562" s="773" t="s">
        <v>3674</v>
      </c>
      <c r="V562" s="773" t="s">
        <v>1033</v>
      </c>
      <c r="W562" s="773" t="s">
        <v>4289</v>
      </c>
      <c r="X562" s="829">
        <v>1</v>
      </c>
      <c r="Y562" s="821" t="s">
        <v>1020</v>
      </c>
      <c r="Z562" s="790"/>
      <c r="AA562" s="785"/>
      <c r="AB562" s="785"/>
      <c r="AC562" s="785"/>
      <c r="AD562" s="785"/>
      <c r="AE562" s="785"/>
      <c r="AF562" s="799"/>
      <c r="AG562" s="800"/>
      <c r="AH562" s="800"/>
      <c r="AI562" s="800"/>
      <c r="AJ562" s="800"/>
      <c r="AK562" s="800"/>
      <c r="AL562" s="800"/>
      <c r="AM562" s="800"/>
      <c r="AN562" s="800"/>
      <c r="AO562" s="800"/>
      <c r="AP562" s="800"/>
      <c r="AQ562" s="1420" t="s">
        <v>2326</v>
      </c>
      <c r="AR562" s="1368" t="s">
        <v>2327</v>
      </c>
      <c r="AS562" s="1368" t="s">
        <v>2328</v>
      </c>
      <c r="AT562" s="1368" t="s">
        <v>2329</v>
      </c>
      <c r="AU562" s="1369" t="s">
        <v>2330</v>
      </c>
      <c r="AV562" s="808"/>
      <c r="AW562" s="800"/>
      <c r="AX562" s="800"/>
      <c r="AY562" s="800"/>
      <c r="AZ562" s="800"/>
      <c r="BA562" s="800"/>
      <c r="BB562" s="800"/>
      <c r="BC562" s="800"/>
      <c r="BD562" s="800"/>
      <c r="BE562" s="800"/>
      <c r="BF562" s="800"/>
      <c r="BG562" s="800"/>
      <c r="BH562" s="800"/>
      <c r="BI562" s="800"/>
      <c r="BJ562" s="800"/>
      <c r="BK562" s="805"/>
      <c r="BL562" s="789" t="s">
        <v>168</v>
      </c>
      <c r="BM562" s="785" t="s">
        <v>168</v>
      </c>
      <c r="BN562" s="785" t="s">
        <v>168</v>
      </c>
      <c r="BO562" s="785" t="s">
        <v>168</v>
      </c>
      <c r="BP562" s="796" t="s">
        <v>168</v>
      </c>
      <c r="BQ562" s="808" t="s">
        <v>1942</v>
      </c>
      <c r="BR562" s="800" t="s">
        <v>1942</v>
      </c>
      <c r="BS562" s="800" t="s">
        <v>1942</v>
      </c>
      <c r="BT562" s="800" t="s">
        <v>1942</v>
      </c>
      <c r="BU562" s="805" t="s">
        <v>1942</v>
      </c>
      <c r="BV562" s="808" t="s">
        <v>1942</v>
      </c>
      <c r="BW562" s="800" t="s">
        <v>1942</v>
      </c>
      <c r="BX562" s="800" t="s">
        <v>1942</v>
      </c>
      <c r="BY562" s="800" t="s">
        <v>1942</v>
      </c>
      <c r="BZ562" s="800" t="s">
        <v>1942</v>
      </c>
      <c r="CA562" s="808" t="s">
        <v>1942</v>
      </c>
      <c r="CB562" s="800" t="s">
        <v>1942</v>
      </c>
      <c r="CC562" s="800" t="s">
        <v>1942</v>
      </c>
      <c r="CD562" s="800" t="s">
        <v>1942</v>
      </c>
      <c r="CE562" s="805" t="s">
        <v>1942</v>
      </c>
      <c r="CF562" s="800" t="s">
        <v>1942</v>
      </c>
      <c r="CG562" s="800" t="s">
        <v>1942</v>
      </c>
      <c r="CH562" s="800" t="s">
        <v>1942</v>
      </c>
      <c r="CI562" s="800" t="s">
        <v>1942</v>
      </c>
      <c r="CJ562" s="805" t="s">
        <v>1942</v>
      </c>
      <c r="CK562" s="808" t="s">
        <v>1942</v>
      </c>
      <c r="CL562" s="800" t="s">
        <v>1942</v>
      </c>
      <c r="CM562" s="800" t="s">
        <v>1942</v>
      </c>
      <c r="CN562" s="800" t="s">
        <v>1942</v>
      </c>
      <c r="CO562" s="805" t="s">
        <v>1942</v>
      </c>
      <c r="CP562" s="808" t="s">
        <v>1942</v>
      </c>
      <c r="CQ562" s="800" t="s">
        <v>1942</v>
      </c>
      <c r="CR562" s="800" t="s">
        <v>1942</v>
      </c>
      <c r="CS562" s="800" t="s">
        <v>1942</v>
      </c>
      <c r="CT562" s="805" t="s">
        <v>1942</v>
      </c>
      <c r="CU562" s="1284">
        <v>-1.5200000000000001E-3</v>
      </c>
      <c r="CV562" s="1283" t="s">
        <v>1942</v>
      </c>
      <c r="CW562" s="1283" t="s">
        <v>1942</v>
      </c>
      <c r="CX562" s="1285" t="s">
        <v>1942</v>
      </c>
      <c r="CY562" s="1283">
        <v>1.5200000000000001E-3</v>
      </c>
      <c r="CZ562" s="1283" t="s">
        <v>1942</v>
      </c>
      <c r="DA562" s="1283" t="s">
        <v>1942</v>
      </c>
      <c r="DB562" s="1285" t="s">
        <v>1942</v>
      </c>
      <c r="DC562" s="785"/>
      <c r="DD562" s="813">
        <v>1</v>
      </c>
      <c r="DE562" s="814"/>
    </row>
    <row r="563" spans="1:109" ht="15.75" hidden="1" customHeight="1">
      <c r="A563" s="772" t="s">
        <v>1024</v>
      </c>
      <c r="B563" s="773">
        <v>557</v>
      </c>
      <c r="C563" s="789" t="s">
        <v>4290</v>
      </c>
      <c r="D563" s="773" t="s">
        <v>4274</v>
      </c>
      <c r="E563" s="773" t="s">
        <v>1889</v>
      </c>
      <c r="F563" s="785" t="s">
        <v>4291</v>
      </c>
      <c r="G563" s="790" t="s">
        <v>4292</v>
      </c>
      <c r="H563" s="791" t="s">
        <v>4293</v>
      </c>
      <c r="I563" s="792"/>
      <c r="J563" s="793">
        <v>1</v>
      </c>
      <c r="K563" s="793"/>
      <c r="L563" s="793"/>
      <c r="M563" s="793"/>
      <c r="N563" s="793"/>
      <c r="O563" s="793"/>
      <c r="P563" s="794"/>
      <c r="Q563" s="795">
        <f t="shared" si="8"/>
        <v>1</v>
      </c>
      <c r="R563" s="789" t="s">
        <v>1007</v>
      </c>
      <c r="S563" s="773"/>
      <c r="T563" s="796"/>
      <c r="U563" s="773" t="s">
        <v>1892</v>
      </c>
      <c r="V563" s="773" t="s">
        <v>1033</v>
      </c>
      <c r="W563" s="773" t="s">
        <v>2839</v>
      </c>
      <c r="X563" s="829">
        <v>0</v>
      </c>
      <c r="Y563" s="821" t="s">
        <v>1020</v>
      </c>
      <c r="Z563" s="790"/>
      <c r="AA563" s="785"/>
      <c r="AB563" s="785"/>
      <c r="AC563" s="785"/>
      <c r="AD563" s="785"/>
      <c r="AE563" s="785"/>
      <c r="AF563" s="799"/>
      <c r="AG563" s="800"/>
      <c r="AH563" s="800"/>
      <c r="AI563" s="800"/>
      <c r="AJ563" s="800"/>
      <c r="AK563" s="800"/>
      <c r="AL563" s="800"/>
      <c r="AM563" s="800"/>
      <c r="AN563" s="800"/>
      <c r="AO563" s="800"/>
      <c r="AP563" s="800"/>
      <c r="AQ563" s="808">
        <v>2148</v>
      </c>
      <c r="AR563" s="800">
        <v>2025</v>
      </c>
      <c r="AS563" s="800">
        <v>1901</v>
      </c>
      <c r="AT563" s="800">
        <v>1778</v>
      </c>
      <c r="AU563" s="805">
        <v>1654</v>
      </c>
      <c r="AV563" s="808"/>
      <c r="AW563" s="800"/>
      <c r="AX563" s="800"/>
      <c r="AY563" s="800"/>
      <c r="AZ563" s="800"/>
      <c r="BA563" s="800"/>
      <c r="BB563" s="800"/>
      <c r="BC563" s="800"/>
      <c r="BD563" s="800"/>
      <c r="BE563" s="800"/>
      <c r="BF563" s="800"/>
      <c r="BG563" s="800"/>
      <c r="BH563" s="800"/>
      <c r="BI563" s="800"/>
      <c r="BJ563" s="800"/>
      <c r="BK563" s="805"/>
      <c r="BL563" s="789"/>
      <c r="BM563" s="785"/>
      <c r="BN563" s="785"/>
      <c r="BO563" s="785"/>
      <c r="BP563" s="796"/>
      <c r="BQ563" s="808" t="s">
        <v>1942</v>
      </c>
      <c r="BR563" s="800" t="s">
        <v>1942</v>
      </c>
      <c r="BS563" s="800" t="s">
        <v>1942</v>
      </c>
      <c r="BT563" s="800" t="s">
        <v>1942</v>
      </c>
      <c r="BU563" s="805" t="s">
        <v>1942</v>
      </c>
      <c r="BV563" s="808" t="s">
        <v>1942</v>
      </c>
      <c r="BW563" s="800" t="s">
        <v>1942</v>
      </c>
      <c r="BX563" s="800" t="s">
        <v>1942</v>
      </c>
      <c r="BY563" s="800" t="s">
        <v>1942</v>
      </c>
      <c r="BZ563" s="800" t="s">
        <v>1942</v>
      </c>
      <c r="CA563" s="808" t="s">
        <v>1942</v>
      </c>
      <c r="CB563" s="800" t="s">
        <v>1942</v>
      </c>
      <c r="CC563" s="800" t="s">
        <v>1942</v>
      </c>
      <c r="CD563" s="800" t="s">
        <v>1942</v>
      </c>
      <c r="CE563" s="805" t="s">
        <v>1942</v>
      </c>
      <c r="CF563" s="800" t="s">
        <v>1942</v>
      </c>
      <c r="CG563" s="800" t="s">
        <v>1942</v>
      </c>
      <c r="CH563" s="800" t="s">
        <v>1942</v>
      </c>
      <c r="CI563" s="800" t="s">
        <v>1942</v>
      </c>
      <c r="CJ563" s="805" t="s">
        <v>1942</v>
      </c>
      <c r="CK563" s="808" t="s">
        <v>1942</v>
      </c>
      <c r="CL563" s="800" t="s">
        <v>1942</v>
      </c>
      <c r="CM563" s="800" t="s">
        <v>1942</v>
      </c>
      <c r="CN563" s="800" t="s">
        <v>1942</v>
      </c>
      <c r="CO563" s="805" t="s">
        <v>1942</v>
      </c>
      <c r="CP563" s="808" t="s">
        <v>1942</v>
      </c>
      <c r="CQ563" s="800" t="s">
        <v>1942</v>
      </c>
      <c r="CR563" s="800" t="s">
        <v>1942</v>
      </c>
      <c r="CS563" s="800" t="s">
        <v>1942</v>
      </c>
      <c r="CT563" s="805" t="s">
        <v>1942</v>
      </c>
      <c r="CU563" s="1284" t="s">
        <v>1942</v>
      </c>
      <c r="CV563" s="1283" t="s">
        <v>1942</v>
      </c>
      <c r="CW563" s="1283" t="s">
        <v>1942</v>
      </c>
      <c r="CX563" s="1285" t="s">
        <v>1942</v>
      </c>
      <c r="CY563" s="1283" t="s">
        <v>1942</v>
      </c>
      <c r="CZ563" s="1283" t="s">
        <v>1942</v>
      </c>
      <c r="DA563" s="1283" t="s">
        <v>1942</v>
      </c>
      <c r="DB563" s="1285" t="s">
        <v>1942</v>
      </c>
      <c r="DC563" s="785"/>
      <c r="DD563" s="813">
        <v>1</v>
      </c>
      <c r="DE563" s="814"/>
    </row>
    <row r="564" spans="1:109" ht="15.75" hidden="1" customHeight="1">
      <c r="A564" s="772" t="s">
        <v>1024</v>
      </c>
      <c r="B564" s="773">
        <v>558</v>
      </c>
      <c r="C564" s="789" t="s">
        <v>4294</v>
      </c>
      <c r="D564" s="773" t="s">
        <v>4274</v>
      </c>
      <c r="E564" s="773" t="s">
        <v>1889</v>
      </c>
      <c r="F564" s="785" t="s">
        <v>4295</v>
      </c>
      <c r="G564" s="790" t="s">
        <v>4296</v>
      </c>
      <c r="H564" s="791" t="s">
        <v>4297</v>
      </c>
      <c r="I564" s="792"/>
      <c r="J564" s="793"/>
      <c r="K564" s="793">
        <v>1</v>
      </c>
      <c r="L564" s="793"/>
      <c r="M564" s="793"/>
      <c r="N564" s="793"/>
      <c r="O564" s="793"/>
      <c r="P564" s="794"/>
      <c r="Q564" s="795">
        <f t="shared" si="8"/>
        <v>1</v>
      </c>
      <c r="R564" s="789" t="s">
        <v>1007</v>
      </c>
      <c r="S564" s="773"/>
      <c r="T564" s="796"/>
      <c r="U564" s="773" t="s">
        <v>2058</v>
      </c>
      <c r="V564" s="773" t="s">
        <v>1033</v>
      </c>
      <c r="W564" s="773"/>
      <c r="X564" s="829">
        <v>0</v>
      </c>
      <c r="Y564" s="821" t="s">
        <v>1020</v>
      </c>
      <c r="Z564" s="790"/>
      <c r="AA564" s="785"/>
      <c r="AB564" s="785"/>
      <c r="AC564" s="785"/>
      <c r="AD564" s="785"/>
      <c r="AE564" s="785"/>
      <c r="AF564" s="799"/>
      <c r="AG564" s="800"/>
      <c r="AH564" s="800"/>
      <c r="AI564" s="800"/>
      <c r="AJ564" s="800"/>
      <c r="AK564" s="800"/>
      <c r="AL564" s="800"/>
      <c r="AM564" s="800"/>
      <c r="AN564" s="800"/>
      <c r="AO564" s="800"/>
      <c r="AP564" s="800"/>
      <c r="AQ564" s="808">
        <v>374</v>
      </c>
      <c r="AR564" s="800">
        <v>371</v>
      </c>
      <c r="AS564" s="800">
        <v>371</v>
      </c>
      <c r="AT564" s="800">
        <v>357</v>
      </c>
      <c r="AU564" s="805">
        <v>357</v>
      </c>
      <c r="AV564" s="827"/>
      <c r="AW564" s="797"/>
      <c r="AX564" s="797"/>
      <c r="AY564" s="797"/>
      <c r="AZ564" s="797"/>
      <c r="BA564" s="797"/>
      <c r="BB564" s="797"/>
      <c r="BC564" s="797"/>
      <c r="BD564" s="797"/>
      <c r="BE564" s="797"/>
      <c r="BF564" s="797"/>
      <c r="BG564" s="797"/>
      <c r="BH564" s="797"/>
      <c r="BI564" s="797"/>
      <c r="BJ564" s="797"/>
      <c r="BK564" s="841"/>
      <c r="BL564" s="789"/>
      <c r="BM564" s="785"/>
      <c r="BN564" s="785"/>
      <c r="BO564" s="785"/>
      <c r="BP564" s="796"/>
      <c r="BQ564" s="808" t="s">
        <v>1942</v>
      </c>
      <c r="BR564" s="800" t="s">
        <v>1942</v>
      </c>
      <c r="BS564" s="800" t="s">
        <v>1942</v>
      </c>
      <c r="BT564" s="800" t="s">
        <v>1942</v>
      </c>
      <c r="BU564" s="805" t="s">
        <v>1942</v>
      </c>
      <c r="BV564" s="808" t="s">
        <v>1942</v>
      </c>
      <c r="BW564" s="800" t="s">
        <v>1942</v>
      </c>
      <c r="BX564" s="800" t="s">
        <v>1942</v>
      </c>
      <c r="BY564" s="800" t="s">
        <v>1942</v>
      </c>
      <c r="BZ564" s="800" t="s">
        <v>1942</v>
      </c>
      <c r="CA564" s="808" t="s">
        <v>1942</v>
      </c>
      <c r="CB564" s="800" t="s">
        <v>1942</v>
      </c>
      <c r="CC564" s="800" t="s">
        <v>1942</v>
      </c>
      <c r="CD564" s="800" t="s">
        <v>1942</v>
      </c>
      <c r="CE564" s="805" t="s">
        <v>1942</v>
      </c>
      <c r="CF564" s="800" t="s">
        <v>1942</v>
      </c>
      <c r="CG564" s="800" t="s">
        <v>1942</v>
      </c>
      <c r="CH564" s="800" t="s">
        <v>1942</v>
      </c>
      <c r="CI564" s="800" t="s">
        <v>1942</v>
      </c>
      <c r="CJ564" s="805" t="s">
        <v>1942</v>
      </c>
      <c r="CK564" s="808" t="s">
        <v>1942</v>
      </c>
      <c r="CL564" s="800" t="s">
        <v>1942</v>
      </c>
      <c r="CM564" s="800" t="s">
        <v>1942</v>
      </c>
      <c r="CN564" s="800" t="s">
        <v>1942</v>
      </c>
      <c r="CO564" s="805" t="s">
        <v>1942</v>
      </c>
      <c r="CP564" s="808" t="s">
        <v>1942</v>
      </c>
      <c r="CQ564" s="800" t="s">
        <v>1942</v>
      </c>
      <c r="CR564" s="800" t="s">
        <v>1942</v>
      </c>
      <c r="CS564" s="800" t="s">
        <v>1942</v>
      </c>
      <c r="CT564" s="805" t="s">
        <v>1942</v>
      </c>
      <c r="CU564" s="1284" t="s">
        <v>1942</v>
      </c>
      <c r="CV564" s="1283" t="s">
        <v>1942</v>
      </c>
      <c r="CW564" s="1283" t="s">
        <v>1942</v>
      </c>
      <c r="CX564" s="1285" t="s">
        <v>1942</v>
      </c>
      <c r="CY564" s="1283" t="s">
        <v>1942</v>
      </c>
      <c r="CZ564" s="1283" t="s">
        <v>1942</v>
      </c>
      <c r="DA564" s="1283" t="s">
        <v>1942</v>
      </c>
      <c r="DB564" s="1285" t="s">
        <v>1942</v>
      </c>
      <c r="DC564" s="785"/>
      <c r="DD564" s="813">
        <v>1</v>
      </c>
      <c r="DE564" s="814"/>
    </row>
    <row r="565" spans="1:109" ht="15.75" hidden="1" customHeight="1">
      <c r="A565" s="772" t="s">
        <v>1024</v>
      </c>
      <c r="B565" s="773">
        <v>559</v>
      </c>
      <c r="C565" s="789" t="s">
        <v>4298</v>
      </c>
      <c r="D565" s="773" t="s">
        <v>4299</v>
      </c>
      <c r="E565" s="773" t="s">
        <v>1896</v>
      </c>
      <c r="F565" s="785" t="s">
        <v>4300</v>
      </c>
      <c r="G565" s="790" t="s">
        <v>4301</v>
      </c>
      <c r="H565" s="791" t="s">
        <v>4302</v>
      </c>
      <c r="I565" s="792"/>
      <c r="J565" s="793"/>
      <c r="K565" s="793"/>
      <c r="L565" s="793"/>
      <c r="M565" s="793">
        <v>1</v>
      </c>
      <c r="N565" s="793"/>
      <c r="O565" s="793"/>
      <c r="P565" s="794"/>
      <c r="Q565" s="795">
        <f t="shared" si="8"/>
        <v>1</v>
      </c>
      <c r="R565" s="789" t="s">
        <v>1007</v>
      </c>
      <c r="S565" s="773"/>
      <c r="T565" s="796"/>
      <c r="U565" s="773" t="s">
        <v>2117</v>
      </c>
      <c r="V565" s="773" t="s">
        <v>278</v>
      </c>
      <c r="W565" s="773"/>
      <c r="X565" s="829">
        <v>1</v>
      </c>
      <c r="Y565" s="821" t="s">
        <v>1020</v>
      </c>
      <c r="Z565" s="790"/>
      <c r="AA565" s="785"/>
      <c r="AB565" s="785"/>
      <c r="AC565" s="785"/>
      <c r="AD565" s="785"/>
      <c r="AE565" s="785"/>
      <c r="AF565" s="799"/>
      <c r="AG565" s="800"/>
      <c r="AH565" s="800"/>
      <c r="AI565" s="800"/>
      <c r="AJ565" s="800"/>
      <c r="AK565" s="800"/>
      <c r="AL565" s="800"/>
      <c r="AM565" s="800"/>
      <c r="AN565" s="800"/>
      <c r="AO565" s="800"/>
      <c r="AP565" s="800"/>
      <c r="AQ565" s="808" t="s">
        <v>4303</v>
      </c>
      <c r="AR565" s="800" t="s">
        <v>4303</v>
      </c>
      <c r="AS565" s="800" t="s">
        <v>4303</v>
      </c>
      <c r="AT565" s="800" t="s">
        <v>4303</v>
      </c>
      <c r="AU565" s="805" t="s">
        <v>4303</v>
      </c>
      <c r="AV565" s="827"/>
      <c r="AW565" s="797"/>
      <c r="AX565" s="797"/>
      <c r="AY565" s="797"/>
      <c r="AZ565" s="797"/>
      <c r="BA565" s="797"/>
      <c r="BB565" s="797"/>
      <c r="BC565" s="797"/>
      <c r="BD565" s="797"/>
      <c r="BE565" s="797"/>
      <c r="BF565" s="797"/>
      <c r="BG565" s="797"/>
      <c r="BH565" s="797"/>
      <c r="BI565" s="797"/>
      <c r="BJ565" s="797"/>
      <c r="BK565" s="841"/>
      <c r="BL565" s="789"/>
      <c r="BM565" s="785"/>
      <c r="BN565" s="785"/>
      <c r="BO565" s="785"/>
      <c r="BP565" s="796"/>
      <c r="BQ565" s="808" t="s">
        <v>1942</v>
      </c>
      <c r="BR565" s="800" t="s">
        <v>1942</v>
      </c>
      <c r="BS565" s="800" t="s">
        <v>1942</v>
      </c>
      <c r="BT565" s="800" t="s">
        <v>1942</v>
      </c>
      <c r="BU565" s="805" t="s">
        <v>1942</v>
      </c>
      <c r="BV565" s="808" t="s">
        <v>1942</v>
      </c>
      <c r="BW565" s="800" t="s">
        <v>1942</v>
      </c>
      <c r="BX565" s="800" t="s">
        <v>1942</v>
      </c>
      <c r="BY565" s="800" t="s">
        <v>1942</v>
      </c>
      <c r="BZ565" s="800" t="s">
        <v>1942</v>
      </c>
      <c r="CA565" s="808" t="s">
        <v>1942</v>
      </c>
      <c r="CB565" s="800" t="s">
        <v>1942</v>
      </c>
      <c r="CC565" s="800" t="s">
        <v>1942</v>
      </c>
      <c r="CD565" s="800" t="s">
        <v>1942</v>
      </c>
      <c r="CE565" s="805" t="s">
        <v>1942</v>
      </c>
      <c r="CF565" s="800" t="s">
        <v>1942</v>
      </c>
      <c r="CG565" s="800" t="s">
        <v>1942</v>
      </c>
      <c r="CH565" s="800" t="s">
        <v>1942</v>
      </c>
      <c r="CI565" s="800" t="s">
        <v>1942</v>
      </c>
      <c r="CJ565" s="805" t="s">
        <v>1942</v>
      </c>
      <c r="CK565" s="808" t="s">
        <v>1942</v>
      </c>
      <c r="CL565" s="800" t="s">
        <v>1942</v>
      </c>
      <c r="CM565" s="800" t="s">
        <v>1942</v>
      </c>
      <c r="CN565" s="800" t="s">
        <v>1942</v>
      </c>
      <c r="CO565" s="805" t="s">
        <v>1942</v>
      </c>
      <c r="CP565" s="808" t="s">
        <v>1942</v>
      </c>
      <c r="CQ565" s="800" t="s">
        <v>1942</v>
      </c>
      <c r="CR565" s="800" t="s">
        <v>1942</v>
      </c>
      <c r="CS565" s="800" t="s">
        <v>1942</v>
      </c>
      <c r="CT565" s="805" t="s">
        <v>1942</v>
      </c>
      <c r="CU565" s="1284" t="s">
        <v>1942</v>
      </c>
      <c r="CV565" s="1283" t="s">
        <v>1942</v>
      </c>
      <c r="CW565" s="1283" t="s">
        <v>1942</v>
      </c>
      <c r="CX565" s="1285" t="s">
        <v>1942</v>
      </c>
      <c r="CY565" s="1283" t="s">
        <v>1942</v>
      </c>
      <c r="CZ565" s="1283" t="s">
        <v>1942</v>
      </c>
      <c r="DA565" s="1283" t="s">
        <v>1942</v>
      </c>
      <c r="DB565" s="1285" t="s">
        <v>1942</v>
      </c>
      <c r="DC565" s="785"/>
      <c r="DD565" s="813">
        <v>1</v>
      </c>
      <c r="DE565" s="814"/>
    </row>
    <row r="566" spans="1:109" ht="15.75" hidden="1" customHeight="1">
      <c r="A566" s="772" t="s">
        <v>1024</v>
      </c>
      <c r="B566" s="773">
        <v>560</v>
      </c>
      <c r="C566" s="789" t="s">
        <v>4304</v>
      </c>
      <c r="D566" s="773" t="s">
        <v>4299</v>
      </c>
      <c r="E566" s="773" t="s">
        <v>1889</v>
      </c>
      <c r="F566" s="785" t="s">
        <v>4305</v>
      </c>
      <c r="G566" s="790" t="s">
        <v>4306</v>
      </c>
      <c r="H566" s="791" t="s">
        <v>4307</v>
      </c>
      <c r="I566" s="792"/>
      <c r="J566" s="793"/>
      <c r="K566" s="793"/>
      <c r="L566" s="793"/>
      <c r="M566" s="793">
        <v>1</v>
      </c>
      <c r="N566" s="793"/>
      <c r="O566" s="793"/>
      <c r="P566" s="794"/>
      <c r="Q566" s="795">
        <f t="shared" si="8"/>
        <v>1</v>
      </c>
      <c r="R566" s="789" t="s">
        <v>1007</v>
      </c>
      <c r="S566" s="773"/>
      <c r="T566" s="796"/>
      <c r="U566" s="773" t="s">
        <v>2117</v>
      </c>
      <c r="V566" s="773" t="s">
        <v>1033</v>
      </c>
      <c r="W566" s="773"/>
      <c r="X566" s="829">
        <v>0</v>
      </c>
      <c r="Y566" s="819" t="s">
        <v>1010</v>
      </c>
      <c r="Z566" s="790"/>
      <c r="AA566" s="785"/>
      <c r="AB566" s="785"/>
      <c r="AC566" s="785"/>
      <c r="AD566" s="785"/>
      <c r="AE566" s="785"/>
      <c r="AF566" s="799"/>
      <c r="AG566" s="800"/>
      <c r="AH566" s="800"/>
      <c r="AI566" s="800"/>
      <c r="AJ566" s="800"/>
      <c r="AK566" s="800"/>
      <c r="AL566" s="800"/>
      <c r="AM566" s="800"/>
      <c r="AN566" s="800"/>
      <c r="AO566" s="800"/>
      <c r="AP566" s="800"/>
      <c r="AQ566" s="947">
        <v>133000</v>
      </c>
      <c r="AR566" s="948">
        <v>133000</v>
      </c>
      <c r="AS566" s="948">
        <v>133000</v>
      </c>
      <c r="AT566" s="948">
        <v>133000</v>
      </c>
      <c r="AU566" s="949">
        <v>133000</v>
      </c>
      <c r="AV566" s="808"/>
      <c r="AW566" s="800"/>
      <c r="AX566" s="800"/>
      <c r="AY566" s="800"/>
      <c r="AZ566" s="800"/>
      <c r="BA566" s="800"/>
      <c r="BB566" s="800"/>
      <c r="BC566" s="800"/>
      <c r="BD566" s="800"/>
      <c r="BE566" s="800"/>
      <c r="BF566" s="800"/>
      <c r="BG566" s="800"/>
      <c r="BH566" s="800"/>
      <c r="BI566" s="800"/>
      <c r="BJ566" s="800"/>
      <c r="BK566" s="805"/>
      <c r="BL566" s="789"/>
      <c r="BM566" s="785"/>
      <c r="BN566" s="785"/>
      <c r="BO566" s="785"/>
      <c r="BP566" s="796"/>
      <c r="BQ566" s="808" t="s">
        <v>1942</v>
      </c>
      <c r="BR566" s="800" t="s">
        <v>1942</v>
      </c>
      <c r="BS566" s="800" t="s">
        <v>1942</v>
      </c>
      <c r="BT566" s="800" t="s">
        <v>1942</v>
      </c>
      <c r="BU566" s="805" t="s">
        <v>1942</v>
      </c>
      <c r="BV566" s="808" t="s">
        <v>1942</v>
      </c>
      <c r="BW566" s="800" t="s">
        <v>1942</v>
      </c>
      <c r="BX566" s="800" t="s">
        <v>1942</v>
      </c>
      <c r="BY566" s="800" t="s">
        <v>1942</v>
      </c>
      <c r="BZ566" s="800" t="s">
        <v>1942</v>
      </c>
      <c r="CA566" s="808" t="s">
        <v>1942</v>
      </c>
      <c r="CB566" s="800" t="s">
        <v>1942</v>
      </c>
      <c r="CC566" s="800" t="s">
        <v>1942</v>
      </c>
      <c r="CD566" s="800" t="s">
        <v>1942</v>
      </c>
      <c r="CE566" s="805" t="s">
        <v>1942</v>
      </c>
      <c r="CF566" s="800" t="s">
        <v>1942</v>
      </c>
      <c r="CG566" s="800" t="s">
        <v>1942</v>
      </c>
      <c r="CH566" s="800" t="s">
        <v>1942</v>
      </c>
      <c r="CI566" s="800" t="s">
        <v>1942</v>
      </c>
      <c r="CJ566" s="805" t="s">
        <v>1942</v>
      </c>
      <c r="CK566" s="808" t="s">
        <v>1942</v>
      </c>
      <c r="CL566" s="800" t="s">
        <v>1942</v>
      </c>
      <c r="CM566" s="800" t="s">
        <v>1942</v>
      </c>
      <c r="CN566" s="800" t="s">
        <v>1942</v>
      </c>
      <c r="CO566" s="805" t="s">
        <v>1942</v>
      </c>
      <c r="CP566" s="808" t="s">
        <v>1942</v>
      </c>
      <c r="CQ566" s="800" t="s">
        <v>1942</v>
      </c>
      <c r="CR566" s="800" t="s">
        <v>1942</v>
      </c>
      <c r="CS566" s="800" t="s">
        <v>1942</v>
      </c>
      <c r="CT566" s="805" t="s">
        <v>1942</v>
      </c>
      <c r="CU566" s="1284" t="s">
        <v>1942</v>
      </c>
      <c r="CV566" s="1283" t="s">
        <v>1942</v>
      </c>
      <c r="CW566" s="1283" t="s">
        <v>1942</v>
      </c>
      <c r="CX566" s="1285" t="s">
        <v>1942</v>
      </c>
      <c r="CY566" s="1283" t="s">
        <v>1942</v>
      </c>
      <c r="CZ566" s="1283" t="s">
        <v>1942</v>
      </c>
      <c r="DA566" s="1283" t="s">
        <v>1942</v>
      </c>
      <c r="DB566" s="1285" t="s">
        <v>1942</v>
      </c>
      <c r="DC566" s="785"/>
      <c r="DD566" s="813">
        <v>1</v>
      </c>
      <c r="DE566" s="814"/>
    </row>
    <row r="567" spans="1:109" ht="15.75" hidden="1" customHeight="1">
      <c r="A567" s="772" t="s">
        <v>1024</v>
      </c>
      <c r="B567" s="773">
        <v>561</v>
      </c>
      <c r="C567" s="789" t="s">
        <v>4308</v>
      </c>
      <c r="D567" s="773" t="s">
        <v>4299</v>
      </c>
      <c r="E567" s="773" t="s">
        <v>1907</v>
      </c>
      <c r="F567" s="785" t="s">
        <v>4309</v>
      </c>
      <c r="G567" s="790" t="s">
        <v>4310</v>
      </c>
      <c r="H567" s="791" t="s">
        <v>4311</v>
      </c>
      <c r="I567" s="792"/>
      <c r="J567" s="793"/>
      <c r="K567" s="793"/>
      <c r="L567" s="793"/>
      <c r="M567" s="793">
        <v>0.89200000000000002</v>
      </c>
      <c r="N567" s="793">
        <v>0.108</v>
      </c>
      <c r="O567" s="793"/>
      <c r="P567" s="794"/>
      <c r="Q567" s="795">
        <f t="shared" si="8"/>
        <v>1</v>
      </c>
      <c r="R567" s="789" t="s">
        <v>1007</v>
      </c>
      <c r="S567" s="773"/>
      <c r="T567" s="796"/>
      <c r="U567" s="773" t="s">
        <v>2117</v>
      </c>
      <c r="V567" s="773" t="s">
        <v>278</v>
      </c>
      <c r="W567" s="773"/>
      <c r="X567" s="829">
        <v>1</v>
      </c>
      <c r="Y567" s="819" t="s">
        <v>1020</v>
      </c>
      <c r="Z567" s="790"/>
      <c r="AA567" s="785"/>
      <c r="AB567" s="785"/>
      <c r="AC567" s="785"/>
      <c r="AD567" s="785"/>
      <c r="AE567" s="785"/>
      <c r="AF567" s="799"/>
      <c r="AG567" s="800"/>
      <c r="AH567" s="800"/>
      <c r="AI567" s="800"/>
      <c r="AJ567" s="800"/>
      <c r="AK567" s="800"/>
      <c r="AL567" s="800"/>
      <c r="AM567" s="800"/>
      <c r="AN567" s="800"/>
      <c r="AO567" s="800"/>
      <c r="AP567" s="800"/>
      <c r="AQ567" s="808">
        <v>2.2999999999999998</v>
      </c>
      <c r="AR567" s="800">
        <v>2.2000000000000002</v>
      </c>
      <c r="AS567" s="800">
        <v>2.1</v>
      </c>
      <c r="AT567" s="800">
        <v>2</v>
      </c>
      <c r="AU567" s="805">
        <v>2</v>
      </c>
      <c r="AV567" s="808"/>
      <c r="AW567" s="800"/>
      <c r="AX567" s="800"/>
      <c r="AY567" s="800"/>
      <c r="AZ567" s="800"/>
      <c r="BA567" s="800"/>
      <c r="BB567" s="800"/>
      <c r="BC567" s="800"/>
      <c r="BD567" s="800"/>
      <c r="BE567" s="800"/>
      <c r="BF567" s="800"/>
      <c r="BG567" s="800"/>
      <c r="BH567" s="800"/>
      <c r="BI567" s="800"/>
      <c r="BJ567" s="800"/>
      <c r="BK567" s="805"/>
      <c r="BL567" s="789"/>
      <c r="BM567" s="785"/>
      <c r="BN567" s="785"/>
      <c r="BO567" s="785"/>
      <c r="BP567" s="796"/>
      <c r="BQ567" s="808" t="s">
        <v>1942</v>
      </c>
      <c r="BR567" s="800" t="s">
        <v>1942</v>
      </c>
      <c r="BS567" s="800" t="s">
        <v>1942</v>
      </c>
      <c r="BT567" s="800" t="s">
        <v>1942</v>
      </c>
      <c r="BU567" s="805" t="s">
        <v>1942</v>
      </c>
      <c r="BV567" s="808" t="s">
        <v>1942</v>
      </c>
      <c r="BW567" s="800" t="s">
        <v>1942</v>
      </c>
      <c r="BX567" s="800" t="s">
        <v>1942</v>
      </c>
      <c r="BY567" s="800" t="s">
        <v>1942</v>
      </c>
      <c r="BZ567" s="800" t="s">
        <v>1942</v>
      </c>
      <c r="CA567" s="808" t="s">
        <v>1942</v>
      </c>
      <c r="CB567" s="800" t="s">
        <v>1942</v>
      </c>
      <c r="CC567" s="800" t="s">
        <v>1942</v>
      </c>
      <c r="CD567" s="800" t="s">
        <v>1942</v>
      </c>
      <c r="CE567" s="805" t="s">
        <v>1942</v>
      </c>
      <c r="CF567" s="800" t="s">
        <v>1942</v>
      </c>
      <c r="CG567" s="800" t="s">
        <v>1942</v>
      </c>
      <c r="CH567" s="800" t="s">
        <v>1942</v>
      </c>
      <c r="CI567" s="800" t="s">
        <v>1942</v>
      </c>
      <c r="CJ567" s="805" t="s">
        <v>1942</v>
      </c>
      <c r="CK567" s="808" t="s">
        <v>1942</v>
      </c>
      <c r="CL567" s="800" t="s">
        <v>1942</v>
      </c>
      <c r="CM567" s="800" t="s">
        <v>1942</v>
      </c>
      <c r="CN567" s="800" t="s">
        <v>1942</v>
      </c>
      <c r="CO567" s="805" t="s">
        <v>1942</v>
      </c>
      <c r="CP567" s="808" t="s">
        <v>1942</v>
      </c>
      <c r="CQ567" s="800" t="s">
        <v>1942</v>
      </c>
      <c r="CR567" s="800" t="s">
        <v>1942</v>
      </c>
      <c r="CS567" s="800" t="s">
        <v>1942</v>
      </c>
      <c r="CT567" s="805" t="s">
        <v>1942</v>
      </c>
      <c r="CU567" s="1284" t="s">
        <v>1942</v>
      </c>
      <c r="CV567" s="1283" t="s">
        <v>1942</v>
      </c>
      <c r="CW567" s="1283" t="s">
        <v>1942</v>
      </c>
      <c r="CX567" s="1285" t="s">
        <v>1942</v>
      </c>
      <c r="CY567" s="1283" t="s">
        <v>1942</v>
      </c>
      <c r="CZ567" s="1283" t="s">
        <v>1942</v>
      </c>
      <c r="DA567" s="1283" t="s">
        <v>1942</v>
      </c>
      <c r="DB567" s="1285" t="s">
        <v>1942</v>
      </c>
      <c r="DC567" s="785"/>
      <c r="DD567" s="813"/>
      <c r="DE567" s="814"/>
    </row>
    <row r="568" spans="1:109" ht="15.75" hidden="1" customHeight="1">
      <c r="A568" s="772" t="s">
        <v>1024</v>
      </c>
      <c r="B568" s="773">
        <v>562</v>
      </c>
      <c r="C568" s="789" t="s">
        <v>4312</v>
      </c>
      <c r="D568" s="773" t="s">
        <v>4299</v>
      </c>
      <c r="E568" s="773" t="s">
        <v>1907</v>
      </c>
      <c r="F568" s="785" t="s">
        <v>4313</v>
      </c>
      <c r="G568" s="790" t="s">
        <v>4314</v>
      </c>
      <c r="H568" s="791" t="s">
        <v>4315</v>
      </c>
      <c r="I568" s="792"/>
      <c r="J568" s="793"/>
      <c r="K568" s="793"/>
      <c r="L568" s="793"/>
      <c r="M568" s="793">
        <v>0.89200000000000002</v>
      </c>
      <c r="N568" s="793">
        <v>0.108</v>
      </c>
      <c r="O568" s="793"/>
      <c r="P568" s="794"/>
      <c r="Q568" s="795">
        <f t="shared" si="8"/>
        <v>1</v>
      </c>
      <c r="R568" s="789" t="s">
        <v>1030</v>
      </c>
      <c r="S568" s="773" t="s">
        <v>1008</v>
      </c>
      <c r="T568" s="796" t="s">
        <v>1009</v>
      </c>
      <c r="U568" s="773" t="s">
        <v>2117</v>
      </c>
      <c r="V568" s="773" t="s">
        <v>278</v>
      </c>
      <c r="W568" s="773"/>
      <c r="X568" s="1274">
        <v>2</v>
      </c>
      <c r="Y568" s="819" t="s">
        <v>1020</v>
      </c>
      <c r="Z568" s="790"/>
      <c r="AA568" s="785"/>
      <c r="AB568" s="785"/>
      <c r="AC568" s="785"/>
      <c r="AD568" s="785"/>
      <c r="AE568" s="785"/>
      <c r="AF568" s="799"/>
      <c r="AG568" s="800"/>
      <c r="AH568" s="800"/>
      <c r="AI568" s="800"/>
      <c r="AJ568" s="800"/>
      <c r="AK568" s="800"/>
      <c r="AL568" s="800"/>
      <c r="AM568" s="800"/>
      <c r="AN568" s="800"/>
      <c r="AO568" s="800"/>
      <c r="AP568" s="800"/>
      <c r="AQ568" s="808">
        <v>3.9</v>
      </c>
      <c r="AR568" s="800">
        <v>3.8</v>
      </c>
      <c r="AS568" s="800">
        <v>3.7</v>
      </c>
      <c r="AT568" s="800">
        <v>3.6</v>
      </c>
      <c r="AU568" s="805">
        <v>3.5</v>
      </c>
      <c r="AV568" s="808"/>
      <c r="AW568" s="800"/>
      <c r="AX568" s="800"/>
      <c r="AY568" s="800"/>
      <c r="AZ568" s="800"/>
      <c r="BA568" s="800"/>
      <c r="BB568" s="800"/>
      <c r="BC568" s="800"/>
      <c r="BD568" s="800"/>
      <c r="BE568" s="800"/>
      <c r="BF568" s="800"/>
      <c r="BG568" s="800"/>
      <c r="BH568" s="800"/>
      <c r="BI568" s="800"/>
      <c r="BJ568" s="800"/>
      <c r="BK568" s="805"/>
      <c r="BL568" s="789" t="s">
        <v>168</v>
      </c>
      <c r="BM568" s="785" t="s">
        <v>168</v>
      </c>
      <c r="BN568" s="785" t="s">
        <v>168</v>
      </c>
      <c r="BO568" s="785" t="s">
        <v>168</v>
      </c>
      <c r="BP568" s="796" t="s">
        <v>168</v>
      </c>
      <c r="BQ568" s="808" t="s">
        <v>1942</v>
      </c>
      <c r="BR568" s="800" t="s">
        <v>1942</v>
      </c>
      <c r="BS568" s="800" t="s">
        <v>1942</v>
      </c>
      <c r="BT568" s="800" t="s">
        <v>1942</v>
      </c>
      <c r="BU568" s="805" t="s">
        <v>1942</v>
      </c>
      <c r="BV568" s="806">
        <v>4.4000000000000004</v>
      </c>
      <c r="BW568" s="807">
        <v>4.3</v>
      </c>
      <c r="BX568" s="807">
        <v>4.28</v>
      </c>
      <c r="BY568" s="807">
        <v>4.28</v>
      </c>
      <c r="BZ568" s="807">
        <v>4.28</v>
      </c>
      <c r="CA568" s="808" t="s">
        <v>1942</v>
      </c>
      <c r="CB568" s="800" t="s">
        <v>1942</v>
      </c>
      <c r="CC568" s="800" t="s">
        <v>1942</v>
      </c>
      <c r="CD568" s="800" t="s">
        <v>1942</v>
      </c>
      <c r="CE568" s="805" t="s">
        <v>1942</v>
      </c>
      <c r="CF568" s="800" t="s">
        <v>1942</v>
      </c>
      <c r="CG568" s="800" t="s">
        <v>1942</v>
      </c>
      <c r="CH568" s="800" t="s">
        <v>1942</v>
      </c>
      <c r="CI568" s="800" t="s">
        <v>1942</v>
      </c>
      <c r="CJ568" s="805" t="s">
        <v>1942</v>
      </c>
      <c r="CK568" s="808">
        <v>3.4</v>
      </c>
      <c r="CL568" s="800">
        <v>3.3</v>
      </c>
      <c r="CM568" s="800">
        <v>3.2</v>
      </c>
      <c r="CN568" s="800">
        <v>3.1</v>
      </c>
      <c r="CO568" s="805">
        <v>3</v>
      </c>
      <c r="CP568" s="808" t="s">
        <v>1942</v>
      </c>
      <c r="CQ568" s="800" t="s">
        <v>1942</v>
      </c>
      <c r="CR568" s="800" t="s">
        <v>1942</v>
      </c>
      <c r="CS568" s="800" t="s">
        <v>1942</v>
      </c>
      <c r="CT568" s="805" t="s">
        <v>1942</v>
      </c>
      <c r="CU568" s="1284">
        <v>-2.6139999999999999</v>
      </c>
      <c r="CV568" s="1283" t="s">
        <v>1942</v>
      </c>
      <c r="CW568" s="1283" t="s">
        <v>1942</v>
      </c>
      <c r="CX568" s="1285" t="s">
        <v>1942</v>
      </c>
      <c r="CY568" s="1283">
        <v>2.6139999999999999</v>
      </c>
      <c r="CZ568" s="1283" t="s">
        <v>1942</v>
      </c>
      <c r="DA568" s="1283" t="s">
        <v>1942</v>
      </c>
      <c r="DB568" s="1285" t="s">
        <v>1942</v>
      </c>
      <c r="DC568" s="785"/>
      <c r="DD568" s="813">
        <v>1</v>
      </c>
      <c r="DE568" s="814"/>
    </row>
    <row r="569" spans="1:109" ht="15.75" hidden="1" customHeight="1">
      <c r="A569" s="772" t="s">
        <v>1024</v>
      </c>
      <c r="B569" s="773">
        <v>563</v>
      </c>
      <c r="C569" s="789" t="s">
        <v>4316</v>
      </c>
      <c r="D569" s="773" t="s">
        <v>4299</v>
      </c>
      <c r="E569" s="773" t="s">
        <v>1907</v>
      </c>
      <c r="F569" s="785" t="s">
        <v>4317</v>
      </c>
      <c r="G569" s="790" t="s">
        <v>4318</v>
      </c>
      <c r="H569" s="791" t="s">
        <v>4319</v>
      </c>
      <c r="I569" s="792">
        <v>4.3999999999999997E-2</v>
      </c>
      <c r="J569" s="793">
        <v>0.33800000000000002</v>
      </c>
      <c r="K569" s="793">
        <v>0.48</v>
      </c>
      <c r="L569" s="793">
        <v>4.3999999999999997E-2</v>
      </c>
      <c r="M569" s="793">
        <v>8.4000000000000005E-2</v>
      </c>
      <c r="N569" s="793">
        <v>0.01</v>
      </c>
      <c r="O569" s="793"/>
      <c r="P569" s="794"/>
      <c r="Q569" s="795">
        <f t="shared" si="8"/>
        <v>1</v>
      </c>
      <c r="R569" s="789" t="s">
        <v>1007</v>
      </c>
      <c r="S569" s="773"/>
      <c r="T569" s="796"/>
      <c r="U569" s="773" t="s">
        <v>1910</v>
      </c>
      <c r="V569" s="773" t="s">
        <v>1083</v>
      </c>
      <c r="W569" s="773"/>
      <c r="X569" s="1274">
        <v>0</v>
      </c>
      <c r="Y569" s="798" t="s">
        <v>1010</v>
      </c>
      <c r="Z569" s="790"/>
      <c r="AA569" s="785"/>
      <c r="AB569" s="785"/>
      <c r="AC569" s="785"/>
      <c r="AD569" s="785"/>
      <c r="AE569" s="785"/>
      <c r="AF569" s="799"/>
      <c r="AG569" s="800"/>
      <c r="AH569" s="800"/>
      <c r="AI569" s="800"/>
      <c r="AJ569" s="797"/>
      <c r="AK569" s="797"/>
      <c r="AL569" s="797"/>
      <c r="AM569" s="797"/>
      <c r="AN569" s="797"/>
      <c r="AO569" s="797"/>
      <c r="AP569" s="797"/>
      <c r="AQ569" s="827" t="s">
        <v>837</v>
      </c>
      <c r="AR569" s="797" t="s">
        <v>837</v>
      </c>
      <c r="AS569" s="797" t="s">
        <v>837</v>
      </c>
      <c r="AT569" s="797" t="s">
        <v>837</v>
      </c>
      <c r="AU569" s="841" t="s">
        <v>837</v>
      </c>
      <c r="AV569" s="827"/>
      <c r="AW569" s="797"/>
      <c r="AX569" s="797"/>
      <c r="AY569" s="797"/>
      <c r="AZ569" s="797"/>
      <c r="BA569" s="797"/>
      <c r="BB569" s="797"/>
      <c r="BC569" s="797"/>
      <c r="BD569" s="797"/>
      <c r="BE569" s="797"/>
      <c r="BF569" s="797"/>
      <c r="BG569" s="797"/>
      <c r="BH569" s="797"/>
      <c r="BI569" s="797"/>
      <c r="BJ569" s="797"/>
      <c r="BK569" s="841"/>
      <c r="BL569" s="789"/>
      <c r="BM569" s="785"/>
      <c r="BN569" s="785"/>
      <c r="BO569" s="785"/>
      <c r="BP569" s="796"/>
      <c r="BQ569" s="808" t="s">
        <v>1942</v>
      </c>
      <c r="BR569" s="800" t="s">
        <v>1942</v>
      </c>
      <c r="BS569" s="800" t="s">
        <v>1942</v>
      </c>
      <c r="BT569" s="800" t="s">
        <v>1942</v>
      </c>
      <c r="BU569" s="805" t="s">
        <v>1942</v>
      </c>
      <c r="BV569" s="808" t="s">
        <v>1942</v>
      </c>
      <c r="BW569" s="800" t="s">
        <v>1942</v>
      </c>
      <c r="BX569" s="800" t="s">
        <v>1942</v>
      </c>
      <c r="BY569" s="800" t="s">
        <v>1942</v>
      </c>
      <c r="BZ569" s="800" t="s">
        <v>1942</v>
      </c>
      <c r="CA569" s="808" t="s">
        <v>1942</v>
      </c>
      <c r="CB569" s="800" t="s">
        <v>1942</v>
      </c>
      <c r="CC569" s="800" t="s">
        <v>1942</v>
      </c>
      <c r="CD569" s="800" t="s">
        <v>1942</v>
      </c>
      <c r="CE569" s="805" t="s">
        <v>1942</v>
      </c>
      <c r="CF569" s="800" t="s">
        <v>1942</v>
      </c>
      <c r="CG569" s="800" t="s">
        <v>1942</v>
      </c>
      <c r="CH569" s="800" t="s">
        <v>1942</v>
      </c>
      <c r="CI569" s="800" t="s">
        <v>1942</v>
      </c>
      <c r="CJ569" s="805" t="s">
        <v>1942</v>
      </c>
      <c r="CK569" s="808" t="s">
        <v>1942</v>
      </c>
      <c r="CL569" s="800" t="s">
        <v>1942</v>
      </c>
      <c r="CM569" s="800" t="s">
        <v>1942</v>
      </c>
      <c r="CN569" s="800" t="s">
        <v>1942</v>
      </c>
      <c r="CO569" s="805" t="s">
        <v>1942</v>
      </c>
      <c r="CP569" s="808" t="s">
        <v>1942</v>
      </c>
      <c r="CQ569" s="800" t="s">
        <v>1942</v>
      </c>
      <c r="CR569" s="800" t="s">
        <v>1942</v>
      </c>
      <c r="CS569" s="800" t="s">
        <v>1942</v>
      </c>
      <c r="CT569" s="805" t="s">
        <v>1942</v>
      </c>
      <c r="CU569" s="1284" t="s">
        <v>1942</v>
      </c>
      <c r="CV569" s="1283" t="s">
        <v>1942</v>
      </c>
      <c r="CW569" s="1283" t="s">
        <v>1942</v>
      </c>
      <c r="CX569" s="1285" t="s">
        <v>1942</v>
      </c>
      <c r="CY569" s="1283" t="s">
        <v>1942</v>
      </c>
      <c r="CZ569" s="1283" t="s">
        <v>1942</v>
      </c>
      <c r="DA569" s="1283" t="s">
        <v>1942</v>
      </c>
      <c r="DB569" s="1285" t="s">
        <v>1942</v>
      </c>
      <c r="DC569" s="812"/>
      <c r="DD569" s="813">
        <v>1</v>
      </c>
      <c r="DE569" s="814"/>
    </row>
    <row r="570" spans="1:109" ht="15.75" hidden="1" customHeight="1">
      <c r="A570" s="772" t="s">
        <v>1024</v>
      </c>
      <c r="B570" s="773">
        <v>564</v>
      </c>
      <c r="C570" s="789" t="s">
        <v>4320</v>
      </c>
      <c r="D570" s="773" t="s">
        <v>4321</v>
      </c>
      <c r="E570" s="773" t="s">
        <v>1907</v>
      </c>
      <c r="F570" s="785" t="s">
        <v>4322</v>
      </c>
      <c r="G570" s="790" t="s">
        <v>535</v>
      </c>
      <c r="H570" s="791" t="s">
        <v>4323</v>
      </c>
      <c r="I570" s="792">
        <v>0.115</v>
      </c>
      <c r="J570" s="793">
        <v>0.88500000000000001</v>
      </c>
      <c r="K570" s="793"/>
      <c r="L570" s="793"/>
      <c r="M570" s="793"/>
      <c r="N570" s="793"/>
      <c r="O570" s="793"/>
      <c r="P570" s="794"/>
      <c r="Q570" s="795">
        <f t="shared" si="8"/>
        <v>1</v>
      </c>
      <c r="R570" s="789" t="s">
        <v>1007</v>
      </c>
      <c r="S570" s="773"/>
      <c r="T570" s="796"/>
      <c r="U570" s="773" t="s">
        <v>1910</v>
      </c>
      <c r="V570" s="773" t="s">
        <v>278</v>
      </c>
      <c r="W570" s="773"/>
      <c r="X570" s="1274">
        <v>1</v>
      </c>
      <c r="Y570" s="798" t="s">
        <v>1020</v>
      </c>
      <c r="Z570" s="790" t="s">
        <v>535</v>
      </c>
      <c r="AA570" s="785"/>
      <c r="AB570" s="785"/>
      <c r="AC570" s="785"/>
      <c r="AD570" s="785"/>
      <c r="AE570" s="785"/>
      <c r="AF570" s="799"/>
      <c r="AG570" s="800"/>
      <c r="AH570" s="800"/>
      <c r="AI570" s="800"/>
      <c r="AJ570" s="800"/>
      <c r="AK570" s="800"/>
      <c r="AL570" s="800"/>
      <c r="AM570" s="800"/>
      <c r="AN570" s="816"/>
      <c r="AO570" s="816"/>
      <c r="AP570" s="816"/>
      <c r="AQ570" s="1521"/>
      <c r="AR570" s="1730"/>
      <c r="AS570" s="1730"/>
      <c r="AT570" s="1730"/>
      <c r="AU570" s="1527"/>
      <c r="AV570" s="817"/>
      <c r="AW570" s="816"/>
      <c r="AX570" s="816"/>
      <c r="AY570" s="816"/>
      <c r="AZ570" s="816"/>
      <c r="BA570" s="816"/>
      <c r="BB570" s="816"/>
      <c r="BC570" s="816"/>
      <c r="BD570" s="816"/>
      <c r="BE570" s="816"/>
      <c r="BF570" s="816"/>
      <c r="BG570" s="816"/>
      <c r="BH570" s="816"/>
      <c r="BI570" s="816"/>
      <c r="BJ570" s="816"/>
      <c r="BK570" s="818"/>
      <c r="BL570" s="1376"/>
      <c r="BM570" s="1377"/>
      <c r="BN570" s="1377"/>
      <c r="BO570" s="1377"/>
      <c r="BP570" s="1440"/>
      <c r="BQ570" s="1724"/>
      <c r="BR570" s="1368"/>
      <c r="BS570" s="1368"/>
      <c r="BT570" s="1368"/>
      <c r="BU570" s="1369"/>
      <c r="BV570" s="1724"/>
      <c r="BW570" s="1368"/>
      <c r="BX570" s="1368"/>
      <c r="BY570" s="1368"/>
      <c r="BZ570" s="1368"/>
      <c r="CA570" s="1420"/>
      <c r="CB570" s="1368"/>
      <c r="CC570" s="1368"/>
      <c r="CD570" s="1368"/>
      <c r="CE570" s="1369"/>
      <c r="CF570" s="1368"/>
      <c r="CG570" s="1368"/>
      <c r="CH570" s="1368"/>
      <c r="CI570" s="1368"/>
      <c r="CJ570" s="1369"/>
      <c r="CK570" s="1420"/>
      <c r="CL570" s="1368"/>
      <c r="CM570" s="1368"/>
      <c r="CN570" s="1368"/>
      <c r="CO570" s="1369"/>
      <c r="CP570" s="1420"/>
      <c r="CQ570" s="1368"/>
      <c r="CR570" s="1368"/>
      <c r="CS570" s="1368"/>
      <c r="CT570" s="1369"/>
      <c r="CU570" s="1528"/>
      <c r="CV570" s="1519"/>
      <c r="CW570" s="1519"/>
      <c r="CX570" s="1728"/>
      <c r="CY570" s="1519"/>
      <c r="CZ570" s="1519"/>
      <c r="DA570" s="1519"/>
      <c r="DB570" s="1728"/>
      <c r="DC570" s="1377"/>
      <c r="DD570" s="1729"/>
      <c r="DE570" s="1734"/>
    </row>
    <row r="571" spans="1:109" ht="15.75" hidden="1" customHeight="1">
      <c r="A571" s="772" t="s">
        <v>1024</v>
      </c>
      <c r="B571" s="773">
        <v>565</v>
      </c>
      <c r="C571" s="789" t="s">
        <v>4324</v>
      </c>
      <c r="D571" s="773" t="s">
        <v>4321</v>
      </c>
      <c r="E571" s="773" t="s">
        <v>1907</v>
      </c>
      <c r="F571" s="785" t="s">
        <v>4325</v>
      </c>
      <c r="G571" s="790" t="s">
        <v>839</v>
      </c>
      <c r="H571" s="791" t="s">
        <v>4326</v>
      </c>
      <c r="I571" s="792"/>
      <c r="J571" s="793"/>
      <c r="K571" s="793">
        <v>1</v>
      </c>
      <c r="L571" s="793"/>
      <c r="M571" s="793"/>
      <c r="N571" s="793"/>
      <c r="O571" s="793"/>
      <c r="P571" s="794"/>
      <c r="Q571" s="795">
        <f t="shared" si="8"/>
        <v>1</v>
      </c>
      <c r="R571" s="789" t="s">
        <v>1007</v>
      </c>
      <c r="S571" s="773"/>
      <c r="T571" s="796"/>
      <c r="U571" s="773" t="s">
        <v>1910</v>
      </c>
      <c r="V571" s="773" t="s">
        <v>278</v>
      </c>
      <c r="W571" s="773" t="s">
        <v>4327</v>
      </c>
      <c r="X571" s="829">
        <v>2</v>
      </c>
      <c r="Y571" s="798" t="s">
        <v>1020</v>
      </c>
      <c r="Z571" s="790" t="s">
        <v>839</v>
      </c>
      <c r="AA571" s="785"/>
      <c r="AB571" s="785"/>
      <c r="AC571" s="785"/>
      <c r="AD571" s="785"/>
      <c r="AE571" s="785"/>
      <c r="AF571" s="799"/>
      <c r="AG571" s="800"/>
      <c r="AH571" s="800"/>
      <c r="AI571" s="800"/>
      <c r="AJ571" s="800"/>
      <c r="AK571" s="800"/>
      <c r="AL571" s="800"/>
      <c r="AM571" s="800"/>
      <c r="AN571" s="800"/>
      <c r="AO571" s="800"/>
      <c r="AP571" s="800"/>
      <c r="AQ571" s="1420"/>
      <c r="AR571" s="1368"/>
      <c r="AS571" s="1368"/>
      <c r="AT571" s="1368"/>
      <c r="AU571" s="1369"/>
      <c r="AV571" s="808"/>
      <c r="AW571" s="800"/>
      <c r="AX571" s="800"/>
      <c r="AY571" s="800"/>
      <c r="AZ571" s="800"/>
      <c r="BA571" s="800"/>
      <c r="BB571" s="800"/>
      <c r="BC571" s="800"/>
      <c r="BD571" s="800"/>
      <c r="BE571" s="800"/>
      <c r="BF571" s="800"/>
      <c r="BG571" s="800"/>
      <c r="BH571" s="800"/>
      <c r="BI571" s="800"/>
      <c r="BJ571" s="800"/>
      <c r="BK571" s="805"/>
      <c r="BL571" s="1376"/>
      <c r="BM571" s="1377"/>
      <c r="BN571" s="1377"/>
      <c r="BO571" s="1377"/>
      <c r="BP571" s="1377"/>
      <c r="BQ571" s="1420"/>
      <c r="BR571" s="1368"/>
      <c r="BS571" s="1368"/>
      <c r="BT571" s="1368"/>
      <c r="BU571" s="1369"/>
      <c r="BV571" s="1420"/>
      <c r="BW571" s="1368"/>
      <c r="BX571" s="1368"/>
      <c r="BY571" s="1368"/>
      <c r="BZ571" s="1368"/>
      <c r="CA571" s="1420"/>
      <c r="CB571" s="1368"/>
      <c r="CC571" s="1368"/>
      <c r="CD571" s="1368"/>
      <c r="CE571" s="1369"/>
      <c r="CF571" s="1368"/>
      <c r="CG571" s="1368"/>
      <c r="CH571" s="1368"/>
      <c r="CI571" s="1368"/>
      <c r="CJ571" s="1369"/>
      <c r="CK571" s="1420"/>
      <c r="CL571" s="1368"/>
      <c r="CM571" s="1368"/>
      <c r="CN571" s="1368"/>
      <c r="CO571" s="1369"/>
      <c r="CP571" s="1420"/>
      <c r="CQ571" s="1368"/>
      <c r="CR571" s="1368"/>
      <c r="CS571" s="1368"/>
      <c r="CT571" s="1369"/>
      <c r="CU571" s="1528"/>
      <c r="CV571" s="1519"/>
      <c r="CW571" s="1519"/>
      <c r="CX571" s="1728"/>
      <c r="CY571" s="1519"/>
      <c r="CZ571" s="1519"/>
      <c r="DA571" s="1519"/>
      <c r="DB571" s="1728"/>
      <c r="DC571" s="1377"/>
      <c r="DD571" s="1729"/>
      <c r="DE571" s="1734"/>
    </row>
    <row r="572" spans="1:109" ht="15.75" hidden="1" customHeight="1">
      <c r="A572" s="772" t="s">
        <v>1024</v>
      </c>
      <c r="B572" s="773">
        <v>566</v>
      </c>
      <c r="C572" s="789" t="s">
        <v>4328</v>
      </c>
      <c r="D572" s="773" t="s">
        <v>4321</v>
      </c>
      <c r="E572" s="773" t="s">
        <v>1889</v>
      </c>
      <c r="F572" s="785" t="s">
        <v>4329</v>
      </c>
      <c r="G572" s="790" t="s">
        <v>4330</v>
      </c>
      <c r="H572" s="791" t="s">
        <v>4331</v>
      </c>
      <c r="I572" s="792">
        <v>4.3999999999999997E-2</v>
      </c>
      <c r="J572" s="793">
        <v>0.33800000000000002</v>
      </c>
      <c r="K572" s="793">
        <v>0.48</v>
      </c>
      <c r="L572" s="793">
        <v>4.3999999999999997E-2</v>
      </c>
      <c r="M572" s="793">
        <v>8.4000000000000005E-2</v>
      </c>
      <c r="N572" s="793">
        <v>0.01</v>
      </c>
      <c r="O572" s="793"/>
      <c r="P572" s="794"/>
      <c r="Q572" s="795">
        <f t="shared" si="8"/>
        <v>1</v>
      </c>
      <c r="R572" s="789" t="s">
        <v>1007</v>
      </c>
      <c r="S572" s="773"/>
      <c r="T572" s="796"/>
      <c r="U572" s="773" t="s">
        <v>2132</v>
      </c>
      <c r="V572" s="773" t="s">
        <v>278</v>
      </c>
      <c r="W572" s="773"/>
      <c r="X572" s="829">
        <v>0</v>
      </c>
      <c r="Y572" s="798" t="s">
        <v>1010</v>
      </c>
      <c r="Z572" s="790"/>
      <c r="AA572" s="785"/>
      <c r="AB572" s="785"/>
      <c r="AC572" s="785"/>
      <c r="AD572" s="785"/>
      <c r="AE572" s="785"/>
      <c r="AF572" s="799"/>
      <c r="AG572" s="800"/>
      <c r="AH572" s="800"/>
      <c r="AI572" s="800"/>
      <c r="AJ572" s="800"/>
      <c r="AK572" s="800"/>
      <c r="AL572" s="800"/>
      <c r="AM572" s="800"/>
      <c r="AN572" s="800"/>
      <c r="AO572" s="800"/>
      <c r="AP572" s="800"/>
      <c r="AQ572" s="808">
        <v>31</v>
      </c>
      <c r="AR572" s="800">
        <v>32</v>
      </c>
      <c r="AS572" s="800">
        <v>33</v>
      </c>
      <c r="AT572" s="800">
        <v>34</v>
      </c>
      <c r="AU572" s="805">
        <v>35</v>
      </c>
      <c r="AV572" s="808"/>
      <c r="AW572" s="800"/>
      <c r="AX572" s="800"/>
      <c r="AY572" s="800"/>
      <c r="AZ572" s="800"/>
      <c r="BA572" s="800"/>
      <c r="BB572" s="800"/>
      <c r="BC572" s="800"/>
      <c r="BD572" s="800"/>
      <c r="BE572" s="800"/>
      <c r="BF572" s="800"/>
      <c r="BG572" s="800"/>
      <c r="BH572" s="800"/>
      <c r="BI572" s="800"/>
      <c r="BJ572" s="800"/>
      <c r="BK572" s="805"/>
      <c r="BL572" s="789"/>
      <c r="BM572" s="785"/>
      <c r="BN572" s="785"/>
      <c r="BO572" s="785"/>
      <c r="BP572" s="785"/>
      <c r="BQ572" s="808" t="s">
        <v>1942</v>
      </c>
      <c r="BR572" s="800" t="s">
        <v>1942</v>
      </c>
      <c r="BS572" s="800" t="s">
        <v>1942</v>
      </c>
      <c r="BT572" s="800" t="s">
        <v>1942</v>
      </c>
      <c r="BU572" s="805" t="s">
        <v>1942</v>
      </c>
      <c r="BV572" s="808" t="s">
        <v>1942</v>
      </c>
      <c r="BW572" s="800" t="s">
        <v>1942</v>
      </c>
      <c r="BX572" s="800" t="s">
        <v>1942</v>
      </c>
      <c r="BY572" s="800" t="s">
        <v>1942</v>
      </c>
      <c r="BZ572" s="800" t="s">
        <v>1942</v>
      </c>
      <c r="CA572" s="808" t="s">
        <v>1942</v>
      </c>
      <c r="CB572" s="800" t="s">
        <v>1942</v>
      </c>
      <c r="CC572" s="800" t="s">
        <v>1942</v>
      </c>
      <c r="CD572" s="800" t="s">
        <v>1942</v>
      </c>
      <c r="CE572" s="805" t="s">
        <v>1942</v>
      </c>
      <c r="CF572" s="800" t="s">
        <v>1942</v>
      </c>
      <c r="CG572" s="800" t="s">
        <v>1942</v>
      </c>
      <c r="CH572" s="800" t="s">
        <v>1942</v>
      </c>
      <c r="CI572" s="800" t="s">
        <v>1942</v>
      </c>
      <c r="CJ572" s="800" t="s">
        <v>1942</v>
      </c>
      <c r="CK572" s="808" t="s">
        <v>1942</v>
      </c>
      <c r="CL572" s="800" t="s">
        <v>1942</v>
      </c>
      <c r="CM572" s="800" t="s">
        <v>1942</v>
      </c>
      <c r="CN572" s="800" t="s">
        <v>1942</v>
      </c>
      <c r="CO572" s="805" t="s">
        <v>1942</v>
      </c>
      <c r="CP572" s="808" t="s">
        <v>1942</v>
      </c>
      <c r="CQ572" s="800" t="s">
        <v>1942</v>
      </c>
      <c r="CR572" s="800" t="s">
        <v>1942</v>
      </c>
      <c r="CS572" s="800" t="s">
        <v>1942</v>
      </c>
      <c r="CT572" s="805" t="s">
        <v>1942</v>
      </c>
      <c r="CU572" s="1284" t="s">
        <v>1942</v>
      </c>
      <c r="CV572" s="1283" t="s">
        <v>1942</v>
      </c>
      <c r="CW572" s="1283" t="s">
        <v>1942</v>
      </c>
      <c r="CX572" s="1285" t="s">
        <v>1942</v>
      </c>
      <c r="CY572" s="1283" t="s">
        <v>1942</v>
      </c>
      <c r="CZ572" s="1283" t="s">
        <v>1942</v>
      </c>
      <c r="DA572" s="1283" t="s">
        <v>1942</v>
      </c>
      <c r="DB572" s="1285" t="s">
        <v>1942</v>
      </c>
      <c r="DC572" s="785"/>
      <c r="DD572" s="813">
        <v>1</v>
      </c>
      <c r="DE572" s="814"/>
    </row>
    <row r="573" spans="1:109" ht="15.75" hidden="1" customHeight="1">
      <c r="A573" s="772" t="s">
        <v>1024</v>
      </c>
      <c r="B573" s="773">
        <v>567</v>
      </c>
      <c r="C573" s="789" t="s">
        <v>4332</v>
      </c>
      <c r="D573" s="773" t="s">
        <v>4321</v>
      </c>
      <c r="E573" s="773" t="s">
        <v>1896</v>
      </c>
      <c r="F573" s="785" t="s">
        <v>4333</v>
      </c>
      <c r="G573" s="790" t="s">
        <v>4334</v>
      </c>
      <c r="H573" s="791" t="s">
        <v>4335</v>
      </c>
      <c r="I573" s="792"/>
      <c r="J573" s="793"/>
      <c r="K573" s="793">
        <v>1</v>
      </c>
      <c r="L573" s="793"/>
      <c r="M573" s="793"/>
      <c r="N573" s="793"/>
      <c r="O573" s="793"/>
      <c r="P573" s="794"/>
      <c r="Q573" s="795">
        <f t="shared" si="8"/>
        <v>1</v>
      </c>
      <c r="R573" s="789" t="s">
        <v>1030</v>
      </c>
      <c r="S573" s="773" t="s">
        <v>1008</v>
      </c>
      <c r="T573" s="796" t="s">
        <v>1009</v>
      </c>
      <c r="U573" s="773" t="s">
        <v>2106</v>
      </c>
      <c r="V573" s="773" t="s">
        <v>1033</v>
      </c>
      <c r="W573" s="773" t="s">
        <v>4336</v>
      </c>
      <c r="X573" s="829">
        <v>0</v>
      </c>
      <c r="Y573" s="819" t="s">
        <v>1010</v>
      </c>
      <c r="Z573" s="790"/>
      <c r="AA573" s="785"/>
      <c r="AB573" s="785"/>
      <c r="AC573" s="785"/>
      <c r="AD573" s="785"/>
      <c r="AE573" s="785"/>
      <c r="AF573" s="799"/>
      <c r="AG573" s="800"/>
      <c r="AH573" s="800"/>
      <c r="AI573" s="800"/>
      <c r="AJ573" s="800"/>
      <c r="AK573" s="800"/>
      <c r="AL573" s="800"/>
      <c r="AM573" s="800"/>
      <c r="AN573" s="800"/>
      <c r="AO573" s="800"/>
      <c r="AP573" s="800"/>
      <c r="AQ573" s="827">
        <v>141900</v>
      </c>
      <c r="AR573" s="797">
        <v>141900</v>
      </c>
      <c r="AS573" s="797">
        <v>141900</v>
      </c>
      <c r="AT573" s="797">
        <v>862150</v>
      </c>
      <c r="AU573" s="841">
        <v>862150</v>
      </c>
      <c r="AV573" s="808"/>
      <c r="AW573" s="800"/>
      <c r="AX573" s="800"/>
      <c r="AY573" s="800"/>
      <c r="AZ573" s="800"/>
      <c r="BA573" s="800"/>
      <c r="BB573" s="800"/>
      <c r="BC573" s="800"/>
      <c r="BD573" s="800"/>
      <c r="BE573" s="800"/>
      <c r="BF573" s="800"/>
      <c r="BG573" s="800"/>
      <c r="BH573" s="800"/>
      <c r="BI573" s="800"/>
      <c r="BJ573" s="800"/>
      <c r="BK573" s="805"/>
      <c r="BL573" s="789" t="s">
        <v>168</v>
      </c>
      <c r="BM573" s="785" t="s">
        <v>168</v>
      </c>
      <c r="BN573" s="785" t="s">
        <v>168</v>
      </c>
      <c r="BO573" s="785" t="s">
        <v>168</v>
      </c>
      <c r="BP573" s="785" t="s">
        <v>168</v>
      </c>
      <c r="BQ573" s="808" t="s">
        <v>1942</v>
      </c>
      <c r="BR573" s="800" t="s">
        <v>1942</v>
      </c>
      <c r="BS573" s="800" t="s">
        <v>1942</v>
      </c>
      <c r="BT573" s="800" t="s">
        <v>1942</v>
      </c>
      <c r="BU573" s="805" t="s">
        <v>1942</v>
      </c>
      <c r="BV573" s="827">
        <v>117810</v>
      </c>
      <c r="BW573" s="797">
        <v>117810</v>
      </c>
      <c r="BX573" s="797">
        <v>117810</v>
      </c>
      <c r="BY573" s="797">
        <v>715785</v>
      </c>
      <c r="BZ573" s="797">
        <v>715785</v>
      </c>
      <c r="CA573" s="808" t="s">
        <v>1942</v>
      </c>
      <c r="CB573" s="800" t="s">
        <v>1942</v>
      </c>
      <c r="CC573" s="800" t="s">
        <v>1942</v>
      </c>
      <c r="CD573" s="800" t="s">
        <v>1942</v>
      </c>
      <c r="CE573" s="805" t="s">
        <v>1942</v>
      </c>
      <c r="CF573" s="800" t="s">
        <v>1942</v>
      </c>
      <c r="CG573" s="800" t="s">
        <v>1942</v>
      </c>
      <c r="CH573" s="800" t="s">
        <v>1942</v>
      </c>
      <c r="CI573" s="800" t="s">
        <v>1942</v>
      </c>
      <c r="CJ573" s="805" t="s">
        <v>1942</v>
      </c>
      <c r="CK573" s="827">
        <v>165990</v>
      </c>
      <c r="CL573" s="797">
        <v>165990</v>
      </c>
      <c r="CM573" s="797">
        <v>165990</v>
      </c>
      <c r="CN573" s="797">
        <v>1008515</v>
      </c>
      <c r="CO573" s="841">
        <v>1008515</v>
      </c>
      <c r="CP573" s="808" t="s">
        <v>1942</v>
      </c>
      <c r="CQ573" s="800" t="s">
        <v>1942</v>
      </c>
      <c r="CR573" s="800" t="s">
        <v>1942</v>
      </c>
      <c r="CS573" s="800" t="s">
        <v>1942</v>
      </c>
      <c r="CT573" s="805" t="s">
        <v>1942</v>
      </c>
      <c r="CU573" s="1284">
        <v>-2.08E-6</v>
      </c>
      <c r="CV573" s="1283" t="s">
        <v>1942</v>
      </c>
      <c r="CW573" s="1283" t="s">
        <v>1942</v>
      </c>
      <c r="CX573" s="1285" t="s">
        <v>1942</v>
      </c>
      <c r="CY573" s="1283">
        <v>2.08E-6</v>
      </c>
      <c r="CZ573" s="1283" t="s">
        <v>1942</v>
      </c>
      <c r="DA573" s="1283" t="s">
        <v>1942</v>
      </c>
      <c r="DB573" s="1285" t="s">
        <v>1942</v>
      </c>
      <c r="DC573" s="785"/>
      <c r="DD573" s="813">
        <v>1</v>
      </c>
      <c r="DE573" s="814"/>
    </row>
    <row r="574" spans="1:109" ht="15.75" hidden="1" customHeight="1">
      <c r="A574" s="772" t="s">
        <v>1024</v>
      </c>
      <c r="B574" s="773">
        <v>568</v>
      </c>
      <c r="C574" s="789" t="s">
        <v>4337</v>
      </c>
      <c r="D574" s="773" t="s">
        <v>4321</v>
      </c>
      <c r="E574" s="773" t="s">
        <v>1889</v>
      </c>
      <c r="F574" s="785" t="s">
        <v>4338</v>
      </c>
      <c r="G574" s="790" t="s">
        <v>4339</v>
      </c>
      <c r="H574" s="791" t="s">
        <v>4340</v>
      </c>
      <c r="I574" s="792">
        <v>1</v>
      </c>
      <c r="J574" s="950"/>
      <c r="K574" s="950"/>
      <c r="L574" s="793"/>
      <c r="M574" s="793"/>
      <c r="N574" s="793"/>
      <c r="O574" s="793"/>
      <c r="P574" s="794"/>
      <c r="Q574" s="795">
        <f t="shared" si="8"/>
        <v>1</v>
      </c>
      <c r="R574" s="789" t="s">
        <v>1007</v>
      </c>
      <c r="S574" s="773"/>
      <c r="T574" s="796"/>
      <c r="U574" s="773" t="s">
        <v>1910</v>
      </c>
      <c r="V574" s="773" t="s">
        <v>278</v>
      </c>
      <c r="W574" s="773"/>
      <c r="X574" s="829">
        <v>1</v>
      </c>
      <c r="Y574" s="819" t="s">
        <v>1010</v>
      </c>
      <c r="Z574" s="790"/>
      <c r="AA574" s="785"/>
      <c r="AB574" s="785"/>
      <c r="AC574" s="785"/>
      <c r="AD574" s="785"/>
      <c r="AE574" s="785"/>
      <c r="AF574" s="799"/>
      <c r="AG574" s="800"/>
      <c r="AH574" s="800"/>
      <c r="AI574" s="800"/>
      <c r="AJ574" s="800"/>
      <c r="AK574" s="800"/>
      <c r="AL574" s="800"/>
      <c r="AM574" s="800"/>
      <c r="AN574" s="800"/>
      <c r="AO574" s="800"/>
      <c r="AP574" s="800"/>
      <c r="AQ574" s="808">
        <v>92.2</v>
      </c>
      <c r="AR574" s="800">
        <v>92.2</v>
      </c>
      <c r="AS574" s="800">
        <v>93.3</v>
      </c>
      <c r="AT574" s="800">
        <v>94.4</v>
      </c>
      <c r="AU574" s="805">
        <v>95.5</v>
      </c>
      <c r="AV574" s="808"/>
      <c r="AW574" s="800"/>
      <c r="AX574" s="800"/>
      <c r="AY574" s="800"/>
      <c r="AZ574" s="800"/>
      <c r="BA574" s="800"/>
      <c r="BB574" s="800"/>
      <c r="BC574" s="800"/>
      <c r="BD574" s="800"/>
      <c r="BE574" s="800"/>
      <c r="BF574" s="800"/>
      <c r="BG574" s="800"/>
      <c r="BH574" s="800"/>
      <c r="BI574" s="800"/>
      <c r="BJ574" s="800"/>
      <c r="BK574" s="805"/>
      <c r="BL574" s="789"/>
      <c r="BM574" s="785"/>
      <c r="BN574" s="785"/>
      <c r="BO574" s="785"/>
      <c r="BP574" s="785"/>
      <c r="BQ574" s="808" t="s">
        <v>1942</v>
      </c>
      <c r="BR574" s="800" t="s">
        <v>1942</v>
      </c>
      <c r="BS574" s="800" t="s">
        <v>1942</v>
      </c>
      <c r="BT574" s="800" t="s">
        <v>1942</v>
      </c>
      <c r="BU574" s="805" t="s">
        <v>1942</v>
      </c>
      <c r="BV574" s="808" t="s">
        <v>1942</v>
      </c>
      <c r="BW574" s="800" t="s">
        <v>1942</v>
      </c>
      <c r="BX574" s="800" t="s">
        <v>1942</v>
      </c>
      <c r="BY574" s="800" t="s">
        <v>1942</v>
      </c>
      <c r="BZ574" s="800" t="s">
        <v>1942</v>
      </c>
      <c r="CA574" s="808" t="s">
        <v>1942</v>
      </c>
      <c r="CB574" s="800" t="s">
        <v>1942</v>
      </c>
      <c r="CC574" s="800" t="s">
        <v>1942</v>
      </c>
      <c r="CD574" s="800" t="s">
        <v>1942</v>
      </c>
      <c r="CE574" s="805" t="s">
        <v>1942</v>
      </c>
      <c r="CF574" s="800" t="s">
        <v>1942</v>
      </c>
      <c r="CG574" s="800" t="s">
        <v>1942</v>
      </c>
      <c r="CH574" s="800" t="s">
        <v>1942</v>
      </c>
      <c r="CI574" s="800" t="s">
        <v>1942</v>
      </c>
      <c r="CJ574" s="805" t="s">
        <v>1942</v>
      </c>
      <c r="CK574" s="808" t="s">
        <v>1942</v>
      </c>
      <c r="CL574" s="800" t="s">
        <v>1942</v>
      </c>
      <c r="CM574" s="800" t="s">
        <v>1942</v>
      </c>
      <c r="CN574" s="800" t="s">
        <v>1942</v>
      </c>
      <c r="CO574" s="805" t="s">
        <v>1942</v>
      </c>
      <c r="CP574" s="808" t="s">
        <v>1942</v>
      </c>
      <c r="CQ574" s="800" t="s">
        <v>1942</v>
      </c>
      <c r="CR574" s="800" t="s">
        <v>1942</v>
      </c>
      <c r="CS574" s="800" t="s">
        <v>1942</v>
      </c>
      <c r="CT574" s="805" t="s">
        <v>1942</v>
      </c>
      <c r="CU574" s="1284" t="s">
        <v>1942</v>
      </c>
      <c r="CV574" s="1283" t="s">
        <v>1942</v>
      </c>
      <c r="CW574" s="1283" t="s">
        <v>1942</v>
      </c>
      <c r="CX574" s="1285" t="s">
        <v>1942</v>
      </c>
      <c r="CY574" s="1283" t="s">
        <v>1942</v>
      </c>
      <c r="CZ574" s="1283" t="s">
        <v>1942</v>
      </c>
      <c r="DA574" s="1283" t="s">
        <v>1942</v>
      </c>
      <c r="DB574" s="1285" t="s">
        <v>1942</v>
      </c>
      <c r="DC574" s="785"/>
      <c r="DD574" s="813">
        <v>1</v>
      </c>
      <c r="DE574" s="814"/>
    </row>
    <row r="575" spans="1:109" ht="15.75" hidden="1" customHeight="1">
      <c r="A575" s="772" t="s">
        <v>1024</v>
      </c>
      <c r="B575" s="773">
        <v>569</v>
      </c>
      <c r="C575" s="789" t="s">
        <v>4341</v>
      </c>
      <c r="D575" s="773" t="s">
        <v>4321</v>
      </c>
      <c r="E575" s="773" t="s">
        <v>1889</v>
      </c>
      <c r="F575" s="785" t="s">
        <v>4342</v>
      </c>
      <c r="G575" s="790" t="s">
        <v>4343</v>
      </c>
      <c r="H575" s="791" t="s">
        <v>4344</v>
      </c>
      <c r="I575" s="792"/>
      <c r="J575" s="793">
        <v>1</v>
      </c>
      <c r="K575" s="793"/>
      <c r="L575" s="793"/>
      <c r="M575" s="793"/>
      <c r="N575" s="793"/>
      <c r="O575" s="793"/>
      <c r="P575" s="794"/>
      <c r="Q575" s="795">
        <f t="shared" si="8"/>
        <v>1</v>
      </c>
      <c r="R575" s="789" t="s">
        <v>1007</v>
      </c>
      <c r="S575" s="773"/>
      <c r="T575" s="796"/>
      <c r="U575" s="773" t="s">
        <v>1910</v>
      </c>
      <c r="V575" s="773" t="s">
        <v>278</v>
      </c>
      <c r="W575" s="773"/>
      <c r="X575" s="829">
        <v>1</v>
      </c>
      <c r="Y575" s="819" t="s">
        <v>1010</v>
      </c>
      <c r="Z575" s="790"/>
      <c r="AA575" s="785"/>
      <c r="AB575" s="785"/>
      <c r="AC575" s="785"/>
      <c r="AD575" s="785"/>
      <c r="AE575" s="785"/>
      <c r="AF575" s="799"/>
      <c r="AG575" s="800"/>
      <c r="AH575" s="800"/>
      <c r="AI575" s="800"/>
      <c r="AJ575" s="800"/>
      <c r="AK575" s="800"/>
      <c r="AL575" s="800"/>
      <c r="AM575" s="800"/>
      <c r="AN575" s="800"/>
      <c r="AO575" s="800"/>
      <c r="AP575" s="800"/>
      <c r="AQ575" s="808">
        <v>84</v>
      </c>
      <c r="AR575" s="800">
        <v>84</v>
      </c>
      <c r="AS575" s="800">
        <v>84.8</v>
      </c>
      <c r="AT575" s="800">
        <v>85.6</v>
      </c>
      <c r="AU575" s="805">
        <v>86.5</v>
      </c>
      <c r="AV575" s="808"/>
      <c r="AW575" s="800"/>
      <c r="AX575" s="800"/>
      <c r="AY575" s="800"/>
      <c r="AZ575" s="800"/>
      <c r="BA575" s="800"/>
      <c r="BB575" s="800"/>
      <c r="BC575" s="800"/>
      <c r="BD575" s="800"/>
      <c r="BE575" s="800"/>
      <c r="BF575" s="800"/>
      <c r="BG575" s="800"/>
      <c r="BH575" s="800"/>
      <c r="BI575" s="800"/>
      <c r="BJ575" s="800"/>
      <c r="BK575" s="805"/>
      <c r="BL575" s="789"/>
      <c r="BM575" s="785"/>
      <c r="BN575" s="785"/>
      <c r="BO575" s="785"/>
      <c r="BP575" s="785"/>
      <c r="BQ575" s="808" t="s">
        <v>1942</v>
      </c>
      <c r="BR575" s="800" t="s">
        <v>1942</v>
      </c>
      <c r="BS575" s="800" t="s">
        <v>1942</v>
      </c>
      <c r="BT575" s="800" t="s">
        <v>1942</v>
      </c>
      <c r="BU575" s="805" t="s">
        <v>1942</v>
      </c>
      <c r="BV575" s="808" t="s">
        <v>1942</v>
      </c>
      <c r="BW575" s="800" t="s">
        <v>1942</v>
      </c>
      <c r="BX575" s="800" t="s">
        <v>1942</v>
      </c>
      <c r="BY575" s="800" t="s">
        <v>1942</v>
      </c>
      <c r="BZ575" s="800" t="s">
        <v>1942</v>
      </c>
      <c r="CA575" s="808" t="s">
        <v>1942</v>
      </c>
      <c r="CB575" s="800" t="s">
        <v>1942</v>
      </c>
      <c r="CC575" s="800" t="s">
        <v>1942</v>
      </c>
      <c r="CD575" s="800" t="s">
        <v>1942</v>
      </c>
      <c r="CE575" s="805" t="s">
        <v>1942</v>
      </c>
      <c r="CF575" s="800" t="s">
        <v>1942</v>
      </c>
      <c r="CG575" s="800" t="s">
        <v>1942</v>
      </c>
      <c r="CH575" s="800" t="s">
        <v>1942</v>
      </c>
      <c r="CI575" s="800" t="s">
        <v>1942</v>
      </c>
      <c r="CJ575" s="805" t="s">
        <v>1942</v>
      </c>
      <c r="CK575" s="808" t="s">
        <v>1942</v>
      </c>
      <c r="CL575" s="800" t="s">
        <v>1942</v>
      </c>
      <c r="CM575" s="800" t="s">
        <v>1942</v>
      </c>
      <c r="CN575" s="800" t="s">
        <v>1942</v>
      </c>
      <c r="CO575" s="805" t="s">
        <v>1942</v>
      </c>
      <c r="CP575" s="808" t="s">
        <v>1942</v>
      </c>
      <c r="CQ575" s="800" t="s">
        <v>1942</v>
      </c>
      <c r="CR575" s="800" t="s">
        <v>1942</v>
      </c>
      <c r="CS575" s="800" t="s">
        <v>1942</v>
      </c>
      <c r="CT575" s="805" t="s">
        <v>1942</v>
      </c>
      <c r="CU575" s="1284" t="s">
        <v>1942</v>
      </c>
      <c r="CV575" s="1283" t="s">
        <v>1942</v>
      </c>
      <c r="CW575" s="1283" t="s">
        <v>1942</v>
      </c>
      <c r="CX575" s="1285" t="s">
        <v>1942</v>
      </c>
      <c r="CY575" s="1283" t="s">
        <v>1942</v>
      </c>
      <c r="CZ575" s="1283" t="s">
        <v>1942</v>
      </c>
      <c r="DA575" s="1283" t="s">
        <v>1942</v>
      </c>
      <c r="DB575" s="1285" t="s">
        <v>1942</v>
      </c>
      <c r="DC575" s="785"/>
      <c r="DD575" s="813">
        <v>1</v>
      </c>
      <c r="DE575" s="814"/>
    </row>
    <row r="576" spans="1:109" ht="15.75" hidden="1" customHeight="1">
      <c r="A576" s="772" t="s">
        <v>1024</v>
      </c>
      <c r="B576" s="773">
        <v>570</v>
      </c>
      <c r="C576" s="789" t="s">
        <v>4345</v>
      </c>
      <c r="D576" s="773" t="s">
        <v>4321</v>
      </c>
      <c r="E576" s="773" t="s">
        <v>1889</v>
      </c>
      <c r="F576" s="785" t="s">
        <v>4346</v>
      </c>
      <c r="G576" s="790" t="s">
        <v>4347</v>
      </c>
      <c r="H576" s="791" t="s">
        <v>4348</v>
      </c>
      <c r="I576" s="792"/>
      <c r="J576" s="793">
        <v>1</v>
      </c>
      <c r="K576" s="793"/>
      <c r="L576" s="793"/>
      <c r="M576" s="793"/>
      <c r="N576" s="793"/>
      <c r="O576" s="793"/>
      <c r="P576" s="794"/>
      <c r="Q576" s="795">
        <f t="shared" si="8"/>
        <v>1</v>
      </c>
      <c r="R576" s="789" t="s">
        <v>1007</v>
      </c>
      <c r="S576" s="773"/>
      <c r="T576" s="796"/>
      <c r="U576" s="773" t="s">
        <v>1910</v>
      </c>
      <c r="V576" s="773" t="s">
        <v>278</v>
      </c>
      <c r="W576" s="773"/>
      <c r="X576" s="829">
        <v>1</v>
      </c>
      <c r="Y576" s="821" t="s">
        <v>1010</v>
      </c>
      <c r="Z576" s="790"/>
      <c r="AA576" s="785"/>
      <c r="AB576" s="785"/>
      <c r="AC576" s="785"/>
      <c r="AD576" s="785"/>
      <c r="AE576" s="785"/>
      <c r="AF576" s="799"/>
      <c r="AG576" s="800"/>
      <c r="AH576" s="800"/>
      <c r="AI576" s="800"/>
      <c r="AJ576" s="800"/>
      <c r="AK576" s="800"/>
      <c r="AL576" s="800"/>
      <c r="AM576" s="800"/>
      <c r="AN576" s="800"/>
      <c r="AO576" s="800"/>
      <c r="AP576" s="800"/>
      <c r="AQ576" s="808">
        <v>68</v>
      </c>
      <c r="AR576" s="800">
        <v>68</v>
      </c>
      <c r="AS576" s="800">
        <v>70</v>
      </c>
      <c r="AT576" s="800">
        <v>71</v>
      </c>
      <c r="AU576" s="805">
        <v>73</v>
      </c>
      <c r="AV576" s="808"/>
      <c r="AW576" s="800"/>
      <c r="AX576" s="800"/>
      <c r="AY576" s="800"/>
      <c r="AZ576" s="800"/>
      <c r="BA576" s="800"/>
      <c r="BB576" s="800"/>
      <c r="BC576" s="800"/>
      <c r="BD576" s="800"/>
      <c r="BE576" s="800"/>
      <c r="BF576" s="800"/>
      <c r="BG576" s="800"/>
      <c r="BH576" s="800"/>
      <c r="BI576" s="800"/>
      <c r="BJ576" s="800"/>
      <c r="BK576" s="805"/>
      <c r="BL576" s="789"/>
      <c r="BM576" s="785"/>
      <c r="BN576" s="785"/>
      <c r="BO576" s="785"/>
      <c r="BP576" s="785"/>
      <c r="BQ576" s="808" t="s">
        <v>1942</v>
      </c>
      <c r="BR576" s="800" t="s">
        <v>1942</v>
      </c>
      <c r="BS576" s="800" t="s">
        <v>1942</v>
      </c>
      <c r="BT576" s="800" t="s">
        <v>1942</v>
      </c>
      <c r="BU576" s="805" t="s">
        <v>1942</v>
      </c>
      <c r="BV576" s="808" t="s">
        <v>1942</v>
      </c>
      <c r="BW576" s="800" t="s">
        <v>1942</v>
      </c>
      <c r="BX576" s="800" t="s">
        <v>1942</v>
      </c>
      <c r="BY576" s="800" t="s">
        <v>1942</v>
      </c>
      <c r="BZ576" s="800" t="s">
        <v>1942</v>
      </c>
      <c r="CA576" s="808" t="s">
        <v>1942</v>
      </c>
      <c r="CB576" s="800" t="s">
        <v>1942</v>
      </c>
      <c r="CC576" s="800" t="s">
        <v>1942</v>
      </c>
      <c r="CD576" s="800" t="s">
        <v>1942</v>
      </c>
      <c r="CE576" s="805" t="s">
        <v>1942</v>
      </c>
      <c r="CF576" s="800" t="s">
        <v>1942</v>
      </c>
      <c r="CG576" s="800" t="s">
        <v>1942</v>
      </c>
      <c r="CH576" s="800" t="s">
        <v>1942</v>
      </c>
      <c r="CI576" s="800" t="s">
        <v>1942</v>
      </c>
      <c r="CJ576" s="805" t="s">
        <v>1942</v>
      </c>
      <c r="CK576" s="808" t="s">
        <v>1942</v>
      </c>
      <c r="CL576" s="800" t="s">
        <v>1942</v>
      </c>
      <c r="CM576" s="800" t="s">
        <v>1942</v>
      </c>
      <c r="CN576" s="800" t="s">
        <v>1942</v>
      </c>
      <c r="CO576" s="805" t="s">
        <v>1942</v>
      </c>
      <c r="CP576" s="808" t="s">
        <v>1942</v>
      </c>
      <c r="CQ576" s="800" t="s">
        <v>1942</v>
      </c>
      <c r="CR576" s="800" t="s">
        <v>1942</v>
      </c>
      <c r="CS576" s="800" t="s">
        <v>1942</v>
      </c>
      <c r="CT576" s="805" t="s">
        <v>1942</v>
      </c>
      <c r="CU576" s="1284" t="s">
        <v>1942</v>
      </c>
      <c r="CV576" s="1283" t="s">
        <v>1942</v>
      </c>
      <c r="CW576" s="1283" t="s">
        <v>1942</v>
      </c>
      <c r="CX576" s="1285" t="s">
        <v>1942</v>
      </c>
      <c r="CY576" s="1283" t="s">
        <v>1942</v>
      </c>
      <c r="CZ576" s="1283" t="s">
        <v>1942</v>
      </c>
      <c r="DA576" s="1283" t="s">
        <v>1942</v>
      </c>
      <c r="DB576" s="1285" t="s">
        <v>1942</v>
      </c>
      <c r="DC576" s="785"/>
      <c r="DD576" s="813">
        <v>1</v>
      </c>
      <c r="DE576" s="814"/>
    </row>
    <row r="577" spans="1:109" ht="15.75" hidden="1" customHeight="1">
      <c r="A577" s="772" t="s">
        <v>1024</v>
      </c>
      <c r="B577" s="773">
        <v>571</v>
      </c>
      <c r="C577" s="789" t="s">
        <v>4349</v>
      </c>
      <c r="D577" s="773" t="s">
        <v>4321</v>
      </c>
      <c r="E577" s="773" t="s">
        <v>1889</v>
      </c>
      <c r="F577" s="785" t="s">
        <v>4350</v>
      </c>
      <c r="G577" s="790" t="s">
        <v>4351</v>
      </c>
      <c r="H577" s="791" t="s">
        <v>4352</v>
      </c>
      <c r="I577" s="815"/>
      <c r="J577" s="950"/>
      <c r="K577" s="793">
        <v>1</v>
      </c>
      <c r="L577" s="950"/>
      <c r="M577" s="950"/>
      <c r="N577" s="793"/>
      <c r="O577" s="793"/>
      <c r="P577" s="794"/>
      <c r="Q577" s="795">
        <f t="shared" si="8"/>
        <v>1</v>
      </c>
      <c r="R577" s="789" t="s">
        <v>1007</v>
      </c>
      <c r="S577" s="773"/>
      <c r="T577" s="796"/>
      <c r="U577" s="773" t="s">
        <v>1910</v>
      </c>
      <c r="V577" s="773" t="s">
        <v>278</v>
      </c>
      <c r="W577" s="773"/>
      <c r="X577" s="829">
        <v>1</v>
      </c>
      <c r="Y577" s="819" t="s">
        <v>1010</v>
      </c>
      <c r="Z577" s="790"/>
      <c r="AA577" s="785"/>
      <c r="AB577" s="785"/>
      <c r="AC577" s="785"/>
      <c r="AD577" s="785"/>
      <c r="AE577" s="785"/>
      <c r="AF577" s="799"/>
      <c r="AG577" s="797"/>
      <c r="AH577" s="797"/>
      <c r="AI577" s="797"/>
      <c r="AJ577" s="797"/>
      <c r="AK577" s="797"/>
      <c r="AL577" s="797"/>
      <c r="AM577" s="797"/>
      <c r="AN577" s="797"/>
      <c r="AO577" s="797"/>
      <c r="AP577" s="797"/>
      <c r="AQ577" s="827">
        <v>77.7</v>
      </c>
      <c r="AR577" s="797">
        <v>77.7</v>
      </c>
      <c r="AS577" s="797">
        <v>78.5</v>
      </c>
      <c r="AT577" s="797">
        <v>79.3</v>
      </c>
      <c r="AU577" s="841">
        <v>80</v>
      </c>
      <c r="AV577" s="827"/>
      <c r="AW577" s="797"/>
      <c r="AX577" s="797"/>
      <c r="AY577" s="797"/>
      <c r="AZ577" s="797"/>
      <c r="BA577" s="797"/>
      <c r="BB577" s="797"/>
      <c r="BC577" s="797"/>
      <c r="BD577" s="797"/>
      <c r="BE577" s="797"/>
      <c r="BF577" s="797"/>
      <c r="BG577" s="797"/>
      <c r="BH577" s="797"/>
      <c r="BI577" s="797"/>
      <c r="BJ577" s="797"/>
      <c r="BK577" s="841"/>
      <c r="BL577" s="789"/>
      <c r="BM577" s="785"/>
      <c r="BN577" s="785"/>
      <c r="BO577" s="785"/>
      <c r="BP577" s="785"/>
      <c r="BQ577" s="808" t="s">
        <v>1942</v>
      </c>
      <c r="BR577" s="800" t="s">
        <v>1942</v>
      </c>
      <c r="BS577" s="800" t="s">
        <v>1942</v>
      </c>
      <c r="BT577" s="800" t="s">
        <v>1942</v>
      </c>
      <c r="BU577" s="805" t="s">
        <v>1942</v>
      </c>
      <c r="BV577" s="808" t="s">
        <v>1942</v>
      </c>
      <c r="BW577" s="800" t="s">
        <v>1942</v>
      </c>
      <c r="BX577" s="800" t="s">
        <v>1942</v>
      </c>
      <c r="BY577" s="800" t="s">
        <v>1942</v>
      </c>
      <c r="BZ577" s="800" t="s">
        <v>1942</v>
      </c>
      <c r="CA577" s="808" t="s">
        <v>1942</v>
      </c>
      <c r="CB577" s="800" t="s">
        <v>1942</v>
      </c>
      <c r="CC577" s="800" t="s">
        <v>1942</v>
      </c>
      <c r="CD577" s="800" t="s">
        <v>1942</v>
      </c>
      <c r="CE577" s="805" t="s">
        <v>1942</v>
      </c>
      <c r="CF577" s="800" t="s">
        <v>1942</v>
      </c>
      <c r="CG577" s="800" t="s">
        <v>1942</v>
      </c>
      <c r="CH577" s="800" t="s">
        <v>1942</v>
      </c>
      <c r="CI577" s="800" t="s">
        <v>1942</v>
      </c>
      <c r="CJ577" s="805" t="s">
        <v>1942</v>
      </c>
      <c r="CK577" s="808" t="s">
        <v>1942</v>
      </c>
      <c r="CL577" s="800" t="s">
        <v>1942</v>
      </c>
      <c r="CM577" s="800" t="s">
        <v>1942</v>
      </c>
      <c r="CN577" s="800" t="s">
        <v>1942</v>
      </c>
      <c r="CO577" s="805" t="s">
        <v>1942</v>
      </c>
      <c r="CP577" s="808" t="s">
        <v>1942</v>
      </c>
      <c r="CQ577" s="800" t="s">
        <v>1942</v>
      </c>
      <c r="CR577" s="800" t="s">
        <v>1942</v>
      </c>
      <c r="CS577" s="800" t="s">
        <v>1942</v>
      </c>
      <c r="CT577" s="805" t="s">
        <v>1942</v>
      </c>
      <c r="CU577" s="1284" t="s">
        <v>1942</v>
      </c>
      <c r="CV577" s="1283" t="s">
        <v>1942</v>
      </c>
      <c r="CW577" s="1283" t="s">
        <v>1942</v>
      </c>
      <c r="CX577" s="1285" t="s">
        <v>1942</v>
      </c>
      <c r="CY577" s="1283" t="s">
        <v>1942</v>
      </c>
      <c r="CZ577" s="1283" t="s">
        <v>1942</v>
      </c>
      <c r="DA577" s="1283" t="s">
        <v>1942</v>
      </c>
      <c r="DB577" s="1285" t="s">
        <v>1942</v>
      </c>
      <c r="DC577" s="785"/>
      <c r="DD577" s="813">
        <v>1</v>
      </c>
      <c r="DE577" s="814"/>
    </row>
    <row r="578" spans="1:109" ht="15.75" hidden="1" customHeight="1">
      <c r="A578" s="772" t="s">
        <v>1024</v>
      </c>
      <c r="B578" s="773">
        <v>572</v>
      </c>
      <c r="C578" s="789" t="s">
        <v>4353</v>
      </c>
      <c r="D578" s="773" t="s">
        <v>4321</v>
      </c>
      <c r="E578" s="773" t="s">
        <v>1889</v>
      </c>
      <c r="F578" s="785" t="s">
        <v>4354</v>
      </c>
      <c r="G578" s="790" t="s">
        <v>4355</v>
      </c>
      <c r="H578" s="791" t="s">
        <v>4356</v>
      </c>
      <c r="I578" s="792"/>
      <c r="J578" s="793"/>
      <c r="K578" s="793">
        <v>1</v>
      </c>
      <c r="L578" s="793"/>
      <c r="M578" s="793"/>
      <c r="N578" s="793"/>
      <c r="O578" s="793"/>
      <c r="P578" s="794"/>
      <c r="Q578" s="795">
        <f t="shared" si="8"/>
        <v>1</v>
      </c>
      <c r="R578" s="789" t="s">
        <v>1007</v>
      </c>
      <c r="S578" s="773"/>
      <c r="T578" s="796"/>
      <c r="U578" s="773" t="s">
        <v>1910</v>
      </c>
      <c r="V578" s="773" t="s">
        <v>278</v>
      </c>
      <c r="W578" s="773"/>
      <c r="X578" s="829">
        <v>1</v>
      </c>
      <c r="Y578" s="822" t="s">
        <v>1010</v>
      </c>
      <c r="Z578" s="790"/>
      <c r="AA578" s="785"/>
      <c r="AB578" s="785"/>
      <c r="AC578" s="785"/>
      <c r="AD578" s="785"/>
      <c r="AE578" s="785"/>
      <c r="AF578" s="799"/>
      <c r="AG578" s="800"/>
      <c r="AH578" s="800"/>
      <c r="AI578" s="800"/>
      <c r="AJ578" s="800"/>
      <c r="AK578" s="800"/>
      <c r="AL578" s="800"/>
      <c r="AM578" s="800"/>
      <c r="AN578" s="800"/>
      <c r="AO578" s="800"/>
      <c r="AP578" s="800"/>
      <c r="AQ578" s="808">
        <v>28.3</v>
      </c>
      <c r="AR578" s="800">
        <v>28.3</v>
      </c>
      <c r="AS578" s="800">
        <v>33.9</v>
      </c>
      <c r="AT578" s="800">
        <v>39.5</v>
      </c>
      <c r="AU578" s="805">
        <v>45</v>
      </c>
      <c r="AV578" s="808"/>
      <c r="AW578" s="800"/>
      <c r="AX578" s="800"/>
      <c r="AY578" s="800"/>
      <c r="AZ578" s="800"/>
      <c r="BA578" s="800"/>
      <c r="BB578" s="800"/>
      <c r="BC578" s="800"/>
      <c r="BD578" s="800"/>
      <c r="BE578" s="800"/>
      <c r="BF578" s="800"/>
      <c r="BG578" s="800"/>
      <c r="BH578" s="800"/>
      <c r="BI578" s="800"/>
      <c r="BJ578" s="800"/>
      <c r="BK578" s="805"/>
      <c r="BL578" s="789"/>
      <c r="BM578" s="785"/>
      <c r="BN578" s="785"/>
      <c r="BO578" s="785"/>
      <c r="BP578" s="785"/>
      <c r="BQ578" s="808" t="s">
        <v>1942</v>
      </c>
      <c r="BR578" s="800" t="s">
        <v>1942</v>
      </c>
      <c r="BS578" s="800" t="s">
        <v>1942</v>
      </c>
      <c r="BT578" s="800" t="s">
        <v>1942</v>
      </c>
      <c r="BU578" s="805" t="s">
        <v>1942</v>
      </c>
      <c r="BV578" s="808" t="s">
        <v>1942</v>
      </c>
      <c r="BW578" s="800" t="s">
        <v>1942</v>
      </c>
      <c r="BX578" s="800" t="s">
        <v>1942</v>
      </c>
      <c r="BY578" s="800" t="s">
        <v>1942</v>
      </c>
      <c r="BZ578" s="800" t="s">
        <v>1942</v>
      </c>
      <c r="CA578" s="808" t="s">
        <v>1942</v>
      </c>
      <c r="CB578" s="800" t="s">
        <v>1942</v>
      </c>
      <c r="CC578" s="800" t="s">
        <v>1942</v>
      </c>
      <c r="CD578" s="800" t="s">
        <v>1942</v>
      </c>
      <c r="CE578" s="805" t="s">
        <v>1942</v>
      </c>
      <c r="CF578" s="800" t="s">
        <v>1942</v>
      </c>
      <c r="CG578" s="800" t="s">
        <v>1942</v>
      </c>
      <c r="CH578" s="800" t="s">
        <v>1942</v>
      </c>
      <c r="CI578" s="800" t="s">
        <v>1942</v>
      </c>
      <c r="CJ578" s="805" t="s">
        <v>1942</v>
      </c>
      <c r="CK578" s="808" t="s">
        <v>1942</v>
      </c>
      <c r="CL578" s="800" t="s">
        <v>1942</v>
      </c>
      <c r="CM578" s="800" t="s">
        <v>1942</v>
      </c>
      <c r="CN578" s="800" t="s">
        <v>1942</v>
      </c>
      <c r="CO578" s="805" t="s">
        <v>1942</v>
      </c>
      <c r="CP578" s="808" t="s">
        <v>1942</v>
      </c>
      <c r="CQ578" s="800" t="s">
        <v>1942</v>
      </c>
      <c r="CR578" s="800" t="s">
        <v>1942</v>
      </c>
      <c r="CS578" s="800" t="s">
        <v>1942</v>
      </c>
      <c r="CT578" s="805" t="s">
        <v>1942</v>
      </c>
      <c r="CU578" s="1284" t="s">
        <v>1942</v>
      </c>
      <c r="CV578" s="1283" t="s">
        <v>1942</v>
      </c>
      <c r="CW578" s="1283" t="s">
        <v>1942</v>
      </c>
      <c r="CX578" s="1285" t="s">
        <v>1942</v>
      </c>
      <c r="CY578" s="1283" t="s">
        <v>1942</v>
      </c>
      <c r="CZ578" s="1283" t="s">
        <v>1942</v>
      </c>
      <c r="DA578" s="1283" t="s">
        <v>1942</v>
      </c>
      <c r="DB578" s="1285" t="s">
        <v>1942</v>
      </c>
      <c r="DC578" s="785"/>
      <c r="DD578" s="813">
        <v>1</v>
      </c>
      <c r="DE578" s="814"/>
    </row>
    <row r="579" spans="1:109" ht="15.75" hidden="1" customHeight="1">
      <c r="A579" s="772" t="s">
        <v>1024</v>
      </c>
      <c r="B579" s="773">
        <v>573</v>
      </c>
      <c r="C579" s="789" t="s">
        <v>4357</v>
      </c>
      <c r="D579" s="773" t="s">
        <v>4321</v>
      </c>
      <c r="E579" s="773" t="s">
        <v>1907</v>
      </c>
      <c r="F579" s="785" t="s">
        <v>4358</v>
      </c>
      <c r="G579" s="790" t="s">
        <v>4359</v>
      </c>
      <c r="H579" s="791" t="s">
        <v>4360</v>
      </c>
      <c r="I579" s="792"/>
      <c r="J579" s="793">
        <v>0.41399999999999998</v>
      </c>
      <c r="K579" s="793">
        <v>0.58599999999999997</v>
      </c>
      <c r="L579" s="793"/>
      <c r="M579" s="793"/>
      <c r="N579" s="793"/>
      <c r="O579" s="793"/>
      <c r="P579" s="794"/>
      <c r="Q579" s="795">
        <f t="shared" si="8"/>
        <v>1</v>
      </c>
      <c r="R579" s="789" t="s">
        <v>1030</v>
      </c>
      <c r="S579" s="1522" t="s">
        <v>1008</v>
      </c>
      <c r="T579" s="796" t="s">
        <v>1009</v>
      </c>
      <c r="U579" s="773" t="s">
        <v>2400</v>
      </c>
      <c r="V579" s="773" t="s">
        <v>1033</v>
      </c>
      <c r="W579" s="773"/>
      <c r="X579" s="829">
        <v>0</v>
      </c>
      <c r="Y579" s="826" t="s">
        <v>1010</v>
      </c>
      <c r="Z579" s="790"/>
      <c r="AA579" s="785"/>
      <c r="AB579" s="785"/>
      <c r="AC579" s="785"/>
      <c r="AD579" s="785"/>
      <c r="AE579" s="785"/>
      <c r="AF579" s="799"/>
      <c r="AG579" s="797"/>
      <c r="AH579" s="797"/>
      <c r="AI579" s="797"/>
      <c r="AJ579" s="797"/>
      <c r="AK579" s="797"/>
      <c r="AL579" s="797"/>
      <c r="AM579" s="797"/>
      <c r="AN579" s="797"/>
      <c r="AO579" s="797"/>
      <c r="AP579" s="797"/>
      <c r="AQ579" s="827">
        <v>70000</v>
      </c>
      <c r="AR579" s="797">
        <v>72000</v>
      </c>
      <c r="AS579" s="797">
        <v>73000</v>
      </c>
      <c r="AT579" s="797">
        <v>74000</v>
      </c>
      <c r="AU579" s="841">
        <v>75000</v>
      </c>
      <c r="AV579" s="827"/>
      <c r="AW579" s="797"/>
      <c r="AX579" s="797"/>
      <c r="AY579" s="797"/>
      <c r="AZ579" s="797"/>
      <c r="BA579" s="797"/>
      <c r="BB579" s="797"/>
      <c r="BC579" s="797"/>
      <c r="BD579" s="797"/>
      <c r="BE579" s="797"/>
      <c r="BF579" s="797"/>
      <c r="BG579" s="797"/>
      <c r="BH579" s="797"/>
      <c r="BI579" s="797"/>
      <c r="BJ579" s="797"/>
      <c r="BK579" s="841"/>
      <c r="BL579" s="789" t="s">
        <v>168</v>
      </c>
      <c r="BM579" s="785" t="s">
        <v>168</v>
      </c>
      <c r="BN579" s="785" t="s">
        <v>168</v>
      </c>
      <c r="BO579" s="785" t="s">
        <v>168</v>
      </c>
      <c r="BP579" s="785" t="s">
        <v>168</v>
      </c>
      <c r="BQ579" s="808" t="s">
        <v>1942</v>
      </c>
      <c r="BR579" s="800" t="s">
        <v>1942</v>
      </c>
      <c r="BS579" s="800" t="s">
        <v>1942</v>
      </c>
      <c r="BT579" s="800" t="s">
        <v>1942</v>
      </c>
      <c r="BU579" s="805" t="s">
        <v>1942</v>
      </c>
      <c r="BV579" s="827">
        <v>42000</v>
      </c>
      <c r="BW579" s="797">
        <v>43200</v>
      </c>
      <c r="BX579" s="797">
        <v>43800</v>
      </c>
      <c r="BY579" s="797">
        <v>44400</v>
      </c>
      <c r="BZ579" s="797">
        <v>45000</v>
      </c>
      <c r="CA579" s="808" t="s">
        <v>1942</v>
      </c>
      <c r="CB579" s="800" t="s">
        <v>1942</v>
      </c>
      <c r="CC579" s="800" t="s">
        <v>1942</v>
      </c>
      <c r="CD579" s="800" t="s">
        <v>1942</v>
      </c>
      <c r="CE579" s="805" t="s">
        <v>1942</v>
      </c>
      <c r="CF579" s="800" t="s">
        <v>1942</v>
      </c>
      <c r="CG579" s="800" t="s">
        <v>1942</v>
      </c>
      <c r="CH579" s="800" t="s">
        <v>1942</v>
      </c>
      <c r="CI579" s="800" t="s">
        <v>1942</v>
      </c>
      <c r="CJ579" s="805" t="s">
        <v>1942</v>
      </c>
      <c r="CK579" s="1740">
        <v>98000</v>
      </c>
      <c r="CL579" s="1741">
        <v>100800</v>
      </c>
      <c r="CM579" s="1741">
        <v>102200</v>
      </c>
      <c r="CN579" s="1741">
        <v>103600</v>
      </c>
      <c r="CO579" s="1749">
        <v>105000</v>
      </c>
      <c r="CP579" s="808" t="s">
        <v>1942</v>
      </c>
      <c r="CQ579" s="800" t="s">
        <v>1942</v>
      </c>
      <c r="CR579" s="800" t="s">
        <v>1942</v>
      </c>
      <c r="CS579" s="800" t="s">
        <v>1942</v>
      </c>
      <c r="CT579" s="805" t="s">
        <v>1942</v>
      </c>
      <c r="CU579" s="1284">
        <v>-3.9999999999999998E-6</v>
      </c>
      <c r="CV579" s="1283" t="s">
        <v>1942</v>
      </c>
      <c r="CW579" s="1283" t="s">
        <v>1942</v>
      </c>
      <c r="CX579" s="1285" t="s">
        <v>1942</v>
      </c>
      <c r="CY579" s="1283">
        <v>1.9999999999999999E-6</v>
      </c>
      <c r="CZ579" s="1283" t="s">
        <v>1942</v>
      </c>
      <c r="DA579" s="1283" t="s">
        <v>1942</v>
      </c>
      <c r="DB579" s="1285" t="s">
        <v>1942</v>
      </c>
      <c r="DC579" s="785"/>
      <c r="DD579" s="813">
        <v>1E-3</v>
      </c>
      <c r="DE579" s="814"/>
    </row>
    <row r="580" spans="1:109" ht="15.75" hidden="1" customHeight="1">
      <c r="A580" s="772" t="s">
        <v>1024</v>
      </c>
      <c r="B580" s="773">
        <v>574</v>
      </c>
      <c r="C580" s="789" t="s">
        <v>4361</v>
      </c>
      <c r="D580" s="773" t="s">
        <v>4321</v>
      </c>
      <c r="E580" s="773" t="s">
        <v>1907</v>
      </c>
      <c r="F580" s="785" t="s">
        <v>4362</v>
      </c>
      <c r="G580" s="790" t="s">
        <v>4363</v>
      </c>
      <c r="H580" s="791" t="s">
        <v>4364</v>
      </c>
      <c r="I580" s="792">
        <v>1</v>
      </c>
      <c r="J580" s="793"/>
      <c r="K580" s="793"/>
      <c r="L580" s="793"/>
      <c r="M580" s="793"/>
      <c r="N580" s="793"/>
      <c r="O580" s="793"/>
      <c r="P580" s="794"/>
      <c r="Q580" s="795">
        <f t="shared" si="8"/>
        <v>1</v>
      </c>
      <c r="R580" s="789" t="s">
        <v>2751</v>
      </c>
      <c r="S580" s="773" t="s">
        <v>1008</v>
      </c>
      <c r="T580" s="796" t="s">
        <v>1009</v>
      </c>
      <c r="U580" s="773" t="s">
        <v>2400</v>
      </c>
      <c r="V580" s="773" t="s">
        <v>1033</v>
      </c>
      <c r="W580" s="773"/>
      <c r="X580" s="829">
        <v>0</v>
      </c>
      <c r="Y580" s="821" t="s">
        <v>1010</v>
      </c>
      <c r="Z580" s="790"/>
      <c r="AA580" s="785"/>
      <c r="AB580" s="785"/>
      <c r="AC580" s="785"/>
      <c r="AD580" s="785"/>
      <c r="AE580" s="785"/>
      <c r="AF580" s="799"/>
      <c r="AG580" s="797"/>
      <c r="AH580" s="797"/>
      <c r="AI580" s="797"/>
      <c r="AJ580" s="797"/>
      <c r="AK580" s="797"/>
      <c r="AL580" s="797"/>
      <c r="AM580" s="797"/>
      <c r="AN580" s="797"/>
      <c r="AO580" s="797"/>
      <c r="AP580" s="797"/>
      <c r="AQ580" s="827">
        <v>560000</v>
      </c>
      <c r="AR580" s="797">
        <v>675000</v>
      </c>
      <c r="AS580" s="797">
        <v>720000</v>
      </c>
      <c r="AT580" s="797">
        <v>775000</v>
      </c>
      <c r="AU580" s="841">
        <v>830000</v>
      </c>
      <c r="AV580" s="827"/>
      <c r="AW580" s="797"/>
      <c r="AX580" s="797"/>
      <c r="AY580" s="797"/>
      <c r="AZ580" s="797"/>
      <c r="BA580" s="797"/>
      <c r="BB580" s="797"/>
      <c r="BC580" s="797"/>
      <c r="BD580" s="797"/>
      <c r="BE580" s="797"/>
      <c r="BF580" s="797"/>
      <c r="BG580" s="797"/>
      <c r="BH580" s="797"/>
      <c r="BI580" s="797"/>
      <c r="BJ580" s="797"/>
      <c r="BK580" s="841"/>
      <c r="BL580" s="789" t="s">
        <v>168</v>
      </c>
      <c r="BM580" s="785" t="s">
        <v>168</v>
      </c>
      <c r="BN580" s="785" t="s">
        <v>168</v>
      </c>
      <c r="BO580" s="785" t="s">
        <v>168</v>
      </c>
      <c r="BP580" s="785" t="s">
        <v>168</v>
      </c>
      <c r="BQ580" s="808" t="s">
        <v>1942</v>
      </c>
      <c r="BR580" s="800" t="s">
        <v>1942</v>
      </c>
      <c r="BS580" s="800" t="s">
        <v>1942</v>
      </c>
      <c r="BT580" s="800" t="s">
        <v>1942</v>
      </c>
      <c r="BU580" s="805" t="s">
        <v>1942</v>
      </c>
      <c r="BV580" s="827">
        <v>230000</v>
      </c>
      <c r="BW580" s="797">
        <v>332000</v>
      </c>
      <c r="BX580" s="797">
        <v>361000</v>
      </c>
      <c r="BY580" s="797">
        <v>406000</v>
      </c>
      <c r="BZ580" s="797">
        <v>450000</v>
      </c>
      <c r="CA580" s="808" t="s">
        <v>1942</v>
      </c>
      <c r="CB580" s="800" t="s">
        <v>1942</v>
      </c>
      <c r="CC580" s="800" t="s">
        <v>1942</v>
      </c>
      <c r="CD580" s="800" t="s">
        <v>1942</v>
      </c>
      <c r="CE580" s="805" t="s">
        <v>1942</v>
      </c>
      <c r="CF580" s="800" t="s">
        <v>1942</v>
      </c>
      <c r="CG580" s="800" t="s">
        <v>1942</v>
      </c>
      <c r="CH580" s="800" t="s">
        <v>1942</v>
      </c>
      <c r="CI580" s="800" t="s">
        <v>1942</v>
      </c>
      <c r="CJ580" s="805" t="s">
        <v>1942</v>
      </c>
      <c r="CK580" s="827">
        <v>890000</v>
      </c>
      <c r="CL580" s="797">
        <v>1018000</v>
      </c>
      <c r="CM580" s="797">
        <v>1079000</v>
      </c>
      <c r="CN580" s="797">
        <v>1144000</v>
      </c>
      <c r="CO580" s="841">
        <v>1210000</v>
      </c>
      <c r="CP580" s="808" t="s">
        <v>1942</v>
      </c>
      <c r="CQ580" s="800" t="s">
        <v>1942</v>
      </c>
      <c r="CR580" s="800" t="s">
        <v>1942</v>
      </c>
      <c r="CS580" s="800" t="s">
        <v>1942</v>
      </c>
      <c r="CT580" s="805" t="s">
        <v>1942</v>
      </c>
      <c r="CU580" s="1284">
        <v>-1.9999999999999999E-6</v>
      </c>
      <c r="CV580" s="1283" t="s">
        <v>1942</v>
      </c>
      <c r="CW580" s="1283" t="s">
        <v>1942</v>
      </c>
      <c r="CX580" s="1285" t="s">
        <v>1942</v>
      </c>
      <c r="CY580" s="1283">
        <v>9.9999999999999995E-7</v>
      </c>
      <c r="CZ580" s="1283" t="s">
        <v>1942</v>
      </c>
      <c r="DA580" s="1283" t="s">
        <v>1942</v>
      </c>
      <c r="DB580" s="1285" t="s">
        <v>1942</v>
      </c>
      <c r="DC580" s="785"/>
      <c r="DD580" s="813">
        <v>1E-4</v>
      </c>
      <c r="DE580" s="814"/>
    </row>
    <row r="581" spans="1:109" ht="15.75" hidden="1" customHeight="1">
      <c r="A581" s="772" t="s">
        <v>1024</v>
      </c>
      <c r="B581" s="773">
        <v>575</v>
      </c>
      <c r="C581" s="789" t="s">
        <v>4365</v>
      </c>
      <c r="D581" s="773" t="s">
        <v>4366</v>
      </c>
      <c r="E581" s="773" t="s">
        <v>4367</v>
      </c>
      <c r="F581" s="785" t="s">
        <v>4368</v>
      </c>
      <c r="G581" s="790" t="s">
        <v>4369</v>
      </c>
      <c r="H581" s="791" t="s">
        <v>4370</v>
      </c>
      <c r="I581" s="792">
        <v>0.04</v>
      </c>
      <c r="J581" s="793">
        <v>0.39</v>
      </c>
      <c r="K581" s="793">
        <v>0.31</v>
      </c>
      <c r="L581" s="793">
        <v>7.0000000000000007E-2</v>
      </c>
      <c r="M581" s="793">
        <v>0.17</v>
      </c>
      <c r="N581" s="793">
        <v>0.02</v>
      </c>
      <c r="O581" s="793"/>
      <c r="P581" s="794"/>
      <c r="Q581" s="795">
        <f t="shared" si="8"/>
        <v>1</v>
      </c>
      <c r="R581" s="789" t="s">
        <v>1007</v>
      </c>
      <c r="S581" s="773"/>
      <c r="T581" s="796"/>
      <c r="U581" s="773" t="s">
        <v>2807</v>
      </c>
      <c r="V581" s="773" t="s">
        <v>1033</v>
      </c>
      <c r="W581" s="773"/>
      <c r="X581" s="829">
        <v>0</v>
      </c>
      <c r="Y581" s="826" t="s">
        <v>1020</v>
      </c>
      <c r="Z581" s="790"/>
      <c r="AA581" s="785"/>
      <c r="AB581" s="785"/>
      <c r="AC581" s="785"/>
      <c r="AD581" s="785"/>
      <c r="AE581" s="785"/>
      <c r="AF581" s="799"/>
      <c r="AG581" s="800"/>
      <c r="AH581" s="800"/>
      <c r="AI581" s="800"/>
      <c r="AJ581" s="800"/>
      <c r="AK581" s="800"/>
      <c r="AL581" s="800"/>
      <c r="AM581" s="800"/>
      <c r="AN581" s="800"/>
      <c r="AO581" s="800"/>
      <c r="AP581" s="800"/>
      <c r="AQ581" s="808">
        <v>9</v>
      </c>
      <c r="AR581" s="800">
        <v>8</v>
      </c>
      <c r="AS581" s="800">
        <v>7</v>
      </c>
      <c r="AT581" s="800">
        <v>6</v>
      </c>
      <c r="AU581" s="805">
        <v>5</v>
      </c>
      <c r="AV581" s="808"/>
      <c r="AW581" s="800"/>
      <c r="AX581" s="800"/>
      <c r="AY581" s="800"/>
      <c r="AZ581" s="800"/>
      <c r="BA581" s="800"/>
      <c r="BB581" s="800"/>
      <c r="BC581" s="800"/>
      <c r="BD581" s="800"/>
      <c r="BE581" s="800"/>
      <c r="BF581" s="800"/>
      <c r="BG581" s="800"/>
      <c r="BH581" s="800"/>
      <c r="BI581" s="800"/>
      <c r="BJ581" s="800"/>
      <c r="BK581" s="805"/>
      <c r="BL581" s="789"/>
      <c r="BM581" s="785"/>
      <c r="BN581" s="785"/>
      <c r="BO581" s="785"/>
      <c r="BP581" s="785"/>
      <c r="BQ581" s="808" t="s">
        <v>1942</v>
      </c>
      <c r="BR581" s="800" t="s">
        <v>1942</v>
      </c>
      <c r="BS581" s="800" t="s">
        <v>1942</v>
      </c>
      <c r="BT581" s="800" t="s">
        <v>1942</v>
      </c>
      <c r="BU581" s="805" t="s">
        <v>1942</v>
      </c>
      <c r="BV581" s="808" t="s">
        <v>1942</v>
      </c>
      <c r="BW581" s="800" t="s">
        <v>1942</v>
      </c>
      <c r="BX581" s="800" t="s">
        <v>1942</v>
      </c>
      <c r="BY581" s="800" t="s">
        <v>1942</v>
      </c>
      <c r="BZ581" s="800" t="s">
        <v>1942</v>
      </c>
      <c r="CA581" s="808" t="s">
        <v>1942</v>
      </c>
      <c r="CB581" s="800" t="s">
        <v>1942</v>
      </c>
      <c r="CC581" s="800" t="s">
        <v>1942</v>
      </c>
      <c r="CD581" s="800" t="s">
        <v>1942</v>
      </c>
      <c r="CE581" s="805" t="s">
        <v>1942</v>
      </c>
      <c r="CF581" s="800" t="s">
        <v>1942</v>
      </c>
      <c r="CG581" s="800" t="s">
        <v>1942</v>
      </c>
      <c r="CH581" s="800" t="s">
        <v>1942</v>
      </c>
      <c r="CI581" s="800" t="s">
        <v>1942</v>
      </c>
      <c r="CJ581" s="805" t="s">
        <v>1942</v>
      </c>
      <c r="CK581" s="808" t="s">
        <v>1942</v>
      </c>
      <c r="CL581" s="800" t="s">
        <v>1942</v>
      </c>
      <c r="CM581" s="800" t="s">
        <v>1942</v>
      </c>
      <c r="CN581" s="800" t="s">
        <v>1942</v>
      </c>
      <c r="CO581" s="805" t="s">
        <v>1942</v>
      </c>
      <c r="CP581" s="808" t="s">
        <v>1942</v>
      </c>
      <c r="CQ581" s="800" t="s">
        <v>1942</v>
      </c>
      <c r="CR581" s="800" t="s">
        <v>1942</v>
      </c>
      <c r="CS581" s="800" t="s">
        <v>1942</v>
      </c>
      <c r="CT581" s="805" t="s">
        <v>1942</v>
      </c>
      <c r="CU581" s="1284" t="s">
        <v>1942</v>
      </c>
      <c r="CV581" s="1283" t="s">
        <v>1942</v>
      </c>
      <c r="CW581" s="1283" t="s">
        <v>1942</v>
      </c>
      <c r="CX581" s="1285" t="s">
        <v>1942</v>
      </c>
      <c r="CY581" s="1283" t="s">
        <v>1942</v>
      </c>
      <c r="CZ581" s="1283" t="s">
        <v>1942</v>
      </c>
      <c r="DA581" s="1283" t="s">
        <v>1942</v>
      </c>
      <c r="DB581" s="1285" t="s">
        <v>1942</v>
      </c>
      <c r="DC581" s="785"/>
      <c r="DD581" s="813">
        <v>1</v>
      </c>
      <c r="DE581" s="814"/>
    </row>
    <row r="582" spans="1:109" ht="15.75" hidden="1" customHeight="1">
      <c r="A582" s="772" t="s">
        <v>1024</v>
      </c>
      <c r="B582" s="773">
        <v>576</v>
      </c>
      <c r="C582" s="789" t="s">
        <v>4371</v>
      </c>
      <c r="D582" s="773" t="s">
        <v>4366</v>
      </c>
      <c r="E582" s="773" t="s">
        <v>1907</v>
      </c>
      <c r="F582" s="785" t="s">
        <v>4372</v>
      </c>
      <c r="G582" s="790" t="s">
        <v>4373</v>
      </c>
      <c r="H582" s="791" t="s">
        <v>4374</v>
      </c>
      <c r="I582" s="792">
        <v>0.04</v>
      </c>
      <c r="J582" s="793">
        <v>0.39</v>
      </c>
      <c r="K582" s="793">
        <v>0.31</v>
      </c>
      <c r="L582" s="793">
        <v>7.0000000000000007E-2</v>
      </c>
      <c r="M582" s="793">
        <v>0.17</v>
      </c>
      <c r="N582" s="793">
        <v>0.02</v>
      </c>
      <c r="O582" s="793"/>
      <c r="P582" s="794"/>
      <c r="Q582" s="795">
        <f t="shared" si="8"/>
        <v>1</v>
      </c>
      <c r="R582" s="789" t="s">
        <v>1007</v>
      </c>
      <c r="S582" s="773"/>
      <c r="T582" s="796"/>
      <c r="U582" s="773" t="s">
        <v>2345</v>
      </c>
      <c r="V582" s="773" t="s">
        <v>278</v>
      </c>
      <c r="W582" s="773"/>
      <c r="X582" s="829">
        <v>1</v>
      </c>
      <c r="Y582" s="821" t="s">
        <v>1010</v>
      </c>
      <c r="Z582" s="790"/>
      <c r="AA582" s="785"/>
      <c r="AB582" s="785"/>
      <c r="AC582" s="785"/>
      <c r="AD582" s="785"/>
      <c r="AE582" s="785"/>
      <c r="AF582" s="799"/>
      <c r="AG582" s="800"/>
      <c r="AH582" s="800"/>
      <c r="AI582" s="800"/>
      <c r="AJ582" s="800"/>
      <c r="AK582" s="800"/>
      <c r="AL582" s="800"/>
      <c r="AM582" s="800"/>
      <c r="AN582" s="800"/>
      <c r="AO582" s="800"/>
      <c r="AP582" s="800"/>
      <c r="AQ582" s="808">
        <v>95</v>
      </c>
      <c r="AR582" s="800">
        <v>95</v>
      </c>
      <c r="AS582" s="800">
        <v>95</v>
      </c>
      <c r="AT582" s="800">
        <v>95</v>
      </c>
      <c r="AU582" s="805">
        <v>95</v>
      </c>
      <c r="AV582" s="808"/>
      <c r="AW582" s="800"/>
      <c r="AX582" s="800"/>
      <c r="AY582" s="800"/>
      <c r="AZ582" s="800"/>
      <c r="BA582" s="800"/>
      <c r="BB582" s="800"/>
      <c r="BC582" s="800"/>
      <c r="BD582" s="800"/>
      <c r="BE582" s="800"/>
      <c r="BF582" s="800"/>
      <c r="BG582" s="800"/>
      <c r="BH582" s="800"/>
      <c r="BI582" s="800"/>
      <c r="BJ582" s="800"/>
      <c r="BK582" s="805"/>
      <c r="BL582" s="789"/>
      <c r="BM582" s="785"/>
      <c r="BN582" s="785"/>
      <c r="BO582" s="785"/>
      <c r="BP582" s="785"/>
      <c r="BQ582" s="808" t="s">
        <v>1942</v>
      </c>
      <c r="BR582" s="800" t="s">
        <v>1942</v>
      </c>
      <c r="BS582" s="800" t="s">
        <v>1942</v>
      </c>
      <c r="BT582" s="800" t="s">
        <v>1942</v>
      </c>
      <c r="BU582" s="805" t="s">
        <v>1942</v>
      </c>
      <c r="BV582" s="808" t="s">
        <v>1942</v>
      </c>
      <c r="BW582" s="800" t="s">
        <v>1942</v>
      </c>
      <c r="BX582" s="800" t="s">
        <v>1942</v>
      </c>
      <c r="BY582" s="800" t="s">
        <v>1942</v>
      </c>
      <c r="BZ582" s="800" t="s">
        <v>1942</v>
      </c>
      <c r="CA582" s="808" t="s">
        <v>1942</v>
      </c>
      <c r="CB582" s="800" t="s">
        <v>1942</v>
      </c>
      <c r="CC582" s="800" t="s">
        <v>1942</v>
      </c>
      <c r="CD582" s="800" t="s">
        <v>1942</v>
      </c>
      <c r="CE582" s="805" t="s">
        <v>1942</v>
      </c>
      <c r="CF582" s="800" t="s">
        <v>1942</v>
      </c>
      <c r="CG582" s="800" t="s">
        <v>1942</v>
      </c>
      <c r="CH582" s="800" t="s">
        <v>1942</v>
      </c>
      <c r="CI582" s="800" t="s">
        <v>1942</v>
      </c>
      <c r="CJ582" s="800" t="s">
        <v>1942</v>
      </c>
      <c r="CK582" s="808" t="s">
        <v>1942</v>
      </c>
      <c r="CL582" s="800" t="s">
        <v>1942</v>
      </c>
      <c r="CM582" s="800" t="s">
        <v>1942</v>
      </c>
      <c r="CN582" s="800" t="s">
        <v>1942</v>
      </c>
      <c r="CO582" s="805" t="s">
        <v>1942</v>
      </c>
      <c r="CP582" s="808" t="s">
        <v>1942</v>
      </c>
      <c r="CQ582" s="800" t="s">
        <v>1942</v>
      </c>
      <c r="CR582" s="800" t="s">
        <v>1942</v>
      </c>
      <c r="CS582" s="800" t="s">
        <v>1942</v>
      </c>
      <c r="CT582" s="805" t="s">
        <v>1942</v>
      </c>
      <c r="CU582" s="1284" t="s">
        <v>1942</v>
      </c>
      <c r="CV582" s="1283" t="s">
        <v>1942</v>
      </c>
      <c r="CW582" s="1283" t="s">
        <v>1942</v>
      </c>
      <c r="CX582" s="1285" t="s">
        <v>1942</v>
      </c>
      <c r="CY582" s="1283" t="s">
        <v>1942</v>
      </c>
      <c r="CZ582" s="1283" t="s">
        <v>1942</v>
      </c>
      <c r="DA582" s="1283" t="s">
        <v>1942</v>
      </c>
      <c r="DB582" s="1285" t="s">
        <v>1942</v>
      </c>
      <c r="DC582" s="785"/>
      <c r="DD582" s="813">
        <v>1</v>
      </c>
      <c r="DE582" s="814"/>
    </row>
    <row r="583" spans="1:109" ht="15.75" hidden="1" customHeight="1">
      <c r="A583" s="772" t="s">
        <v>1024</v>
      </c>
      <c r="B583" s="773">
        <v>577</v>
      </c>
      <c r="C583" s="789" t="s">
        <v>4375</v>
      </c>
      <c r="D583" s="773" t="s">
        <v>4366</v>
      </c>
      <c r="E583" s="773" t="s">
        <v>1907</v>
      </c>
      <c r="F583" s="785" t="s">
        <v>4376</v>
      </c>
      <c r="G583" s="790" t="s">
        <v>4377</v>
      </c>
      <c r="H583" s="791" t="s">
        <v>4378</v>
      </c>
      <c r="I583" s="792">
        <v>0.04</v>
      </c>
      <c r="J583" s="793">
        <v>0.39</v>
      </c>
      <c r="K583" s="793">
        <v>0.31</v>
      </c>
      <c r="L583" s="793">
        <v>7.0000000000000007E-2</v>
      </c>
      <c r="M583" s="793">
        <v>0.17</v>
      </c>
      <c r="N583" s="793">
        <v>0.02</v>
      </c>
      <c r="O583" s="793"/>
      <c r="P583" s="794"/>
      <c r="Q583" s="795">
        <f t="shared" si="8"/>
        <v>1</v>
      </c>
      <c r="R583" s="789" t="s">
        <v>1007</v>
      </c>
      <c r="S583" s="773"/>
      <c r="T583" s="796"/>
      <c r="U583" s="773" t="s">
        <v>2345</v>
      </c>
      <c r="V583" s="773" t="s">
        <v>278</v>
      </c>
      <c r="W583" s="773"/>
      <c r="X583" s="829">
        <v>0</v>
      </c>
      <c r="Y583" s="819" t="s">
        <v>1010</v>
      </c>
      <c r="Z583" s="790"/>
      <c r="AA583" s="785"/>
      <c r="AB583" s="785"/>
      <c r="AC583" s="785"/>
      <c r="AD583" s="785"/>
      <c r="AE583" s="785"/>
      <c r="AF583" s="799"/>
      <c r="AG583" s="800"/>
      <c r="AH583" s="800"/>
      <c r="AI583" s="800"/>
      <c r="AJ583" s="800"/>
      <c r="AK583" s="800"/>
      <c r="AL583" s="800"/>
      <c r="AM583" s="800"/>
      <c r="AN583" s="800"/>
      <c r="AO583" s="800"/>
      <c r="AP583" s="800"/>
      <c r="AQ583" s="808">
        <v>80</v>
      </c>
      <c r="AR583" s="800">
        <v>80</v>
      </c>
      <c r="AS583" s="800">
        <v>80</v>
      </c>
      <c r="AT583" s="800">
        <v>80</v>
      </c>
      <c r="AU583" s="805">
        <v>80</v>
      </c>
      <c r="AV583" s="808"/>
      <c r="AW583" s="800"/>
      <c r="AX583" s="800"/>
      <c r="AY583" s="800"/>
      <c r="AZ583" s="800"/>
      <c r="BA583" s="800"/>
      <c r="BB583" s="800"/>
      <c r="BC583" s="800"/>
      <c r="BD583" s="800"/>
      <c r="BE583" s="800"/>
      <c r="BF583" s="800"/>
      <c r="BG583" s="800"/>
      <c r="BH583" s="800"/>
      <c r="BI583" s="800"/>
      <c r="BJ583" s="800"/>
      <c r="BK583" s="805"/>
      <c r="BL583" s="789"/>
      <c r="BM583" s="785"/>
      <c r="BN583" s="785"/>
      <c r="BO583" s="785"/>
      <c r="BP583" s="785"/>
      <c r="BQ583" s="808" t="s">
        <v>1942</v>
      </c>
      <c r="BR583" s="800" t="s">
        <v>1942</v>
      </c>
      <c r="BS583" s="800" t="s">
        <v>1942</v>
      </c>
      <c r="BT583" s="800" t="s">
        <v>1942</v>
      </c>
      <c r="BU583" s="805" t="s">
        <v>1942</v>
      </c>
      <c r="BV583" s="808" t="s">
        <v>1942</v>
      </c>
      <c r="BW583" s="800" t="s">
        <v>1942</v>
      </c>
      <c r="BX583" s="800" t="s">
        <v>1942</v>
      </c>
      <c r="BY583" s="800" t="s">
        <v>1942</v>
      </c>
      <c r="BZ583" s="800" t="s">
        <v>1942</v>
      </c>
      <c r="CA583" s="808" t="s">
        <v>1942</v>
      </c>
      <c r="CB583" s="800" t="s">
        <v>1942</v>
      </c>
      <c r="CC583" s="800" t="s">
        <v>1942</v>
      </c>
      <c r="CD583" s="800" t="s">
        <v>1942</v>
      </c>
      <c r="CE583" s="805" t="s">
        <v>1942</v>
      </c>
      <c r="CF583" s="800" t="s">
        <v>1942</v>
      </c>
      <c r="CG583" s="800" t="s">
        <v>1942</v>
      </c>
      <c r="CH583" s="800" t="s">
        <v>1942</v>
      </c>
      <c r="CI583" s="800" t="s">
        <v>1942</v>
      </c>
      <c r="CJ583" s="805" t="s">
        <v>1942</v>
      </c>
      <c r="CK583" s="808" t="s">
        <v>1942</v>
      </c>
      <c r="CL583" s="800" t="s">
        <v>1942</v>
      </c>
      <c r="CM583" s="800" t="s">
        <v>1942</v>
      </c>
      <c r="CN583" s="800" t="s">
        <v>1942</v>
      </c>
      <c r="CO583" s="805" t="s">
        <v>1942</v>
      </c>
      <c r="CP583" s="808" t="s">
        <v>1942</v>
      </c>
      <c r="CQ583" s="800" t="s">
        <v>1942</v>
      </c>
      <c r="CR583" s="800" t="s">
        <v>1942</v>
      </c>
      <c r="CS583" s="800" t="s">
        <v>1942</v>
      </c>
      <c r="CT583" s="805" t="s">
        <v>1942</v>
      </c>
      <c r="CU583" s="1284" t="s">
        <v>1942</v>
      </c>
      <c r="CV583" s="1283" t="s">
        <v>1942</v>
      </c>
      <c r="CW583" s="1283" t="s">
        <v>1942</v>
      </c>
      <c r="CX583" s="1285" t="s">
        <v>1942</v>
      </c>
      <c r="CY583" s="1283" t="s">
        <v>1942</v>
      </c>
      <c r="CZ583" s="1283" t="s">
        <v>1942</v>
      </c>
      <c r="DA583" s="1283" t="s">
        <v>1942</v>
      </c>
      <c r="DB583" s="1285" t="s">
        <v>1942</v>
      </c>
      <c r="DC583" s="785"/>
      <c r="DD583" s="813">
        <v>1</v>
      </c>
      <c r="DE583" s="814"/>
    </row>
    <row r="584" spans="1:109" ht="15.75" hidden="1" customHeight="1">
      <c r="A584" s="772" t="s">
        <v>1024</v>
      </c>
      <c r="B584" s="773">
        <v>578</v>
      </c>
      <c r="C584" s="789" t="s">
        <v>4379</v>
      </c>
      <c r="D584" s="773" t="s">
        <v>4299</v>
      </c>
      <c r="E584" s="773" t="s">
        <v>1907</v>
      </c>
      <c r="F584" s="785" t="s">
        <v>4380</v>
      </c>
      <c r="G584" s="790" t="s">
        <v>4381</v>
      </c>
      <c r="H584" s="791" t="s">
        <v>4382</v>
      </c>
      <c r="I584" s="792">
        <v>1</v>
      </c>
      <c r="J584" s="793"/>
      <c r="K584" s="793"/>
      <c r="L584" s="793"/>
      <c r="M584" s="793"/>
      <c r="N584" s="793"/>
      <c r="O584" s="793"/>
      <c r="P584" s="794"/>
      <c r="Q584" s="795">
        <f t="shared" si="8"/>
        <v>1</v>
      </c>
      <c r="R584" s="789" t="s">
        <v>1026</v>
      </c>
      <c r="S584" s="773" t="s">
        <v>1008</v>
      </c>
      <c r="T584" s="796" t="s">
        <v>1009</v>
      </c>
      <c r="U584" s="773" t="s">
        <v>2117</v>
      </c>
      <c r="V584" s="856" t="s">
        <v>1033</v>
      </c>
      <c r="W584" s="773"/>
      <c r="X584" s="1274">
        <v>0</v>
      </c>
      <c r="Y584" s="819" t="s">
        <v>1010</v>
      </c>
      <c r="Z584" s="790"/>
      <c r="AA584" s="785"/>
      <c r="AB584" s="785"/>
      <c r="AC584" s="785"/>
      <c r="AD584" s="785"/>
      <c r="AE584" s="785"/>
      <c r="AF584" s="799"/>
      <c r="AG584" s="800"/>
      <c r="AH584" s="800"/>
      <c r="AI584" s="800"/>
      <c r="AJ584" s="800"/>
      <c r="AK584" s="800"/>
      <c r="AL584" s="800"/>
      <c r="AM584" s="800"/>
      <c r="AN584" s="797"/>
      <c r="AO584" s="797"/>
      <c r="AP584" s="797"/>
      <c r="AQ584" s="827">
        <v>0</v>
      </c>
      <c r="AR584" s="797">
        <v>8</v>
      </c>
      <c r="AS584" s="797">
        <v>13</v>
      </c>
      <c r="AT584" s="797">
        <v>17</v>
      </c>
      <c r="AU584" s="841">
        <v>26</v>
      </c>
      <c r="AV584" s="827"/>
      <c r="AW584" s="797"/>
      <c r="AX584" s="797"/>
      <c r="AY584" s="797"/>
      <c r="AZ584" s="797"/>
      <c r="BA584" s="797"/>
      <c r="BB584" s="797"/>
      <c r="BC584" s="797"/>
      <c r="BD584" s="797"/>
      <c r="BE584" s="797"/>
      <c r="BF584" s="797"/>
      <c r="BG584" s="797"/>
      <c r="BH584" s="797"/>
      <c r="BI584" s="797"/>
      <c r="BJ584" s="797"/>
      <c r="BK584" s="841"/>
      <c r="BL584" s="1955" t="s">
        <v>168</v>
      </c>
      <c r="BM584" s="1956" t="s">
        <v>168</v>
      </c>
      <c r="BN584" s="1956" t="s">
        <v>168</v>
      </c>
      <c r="BO584" s="1956" t="s">
        <v>168</v>
      </c>
      <c r="BP584" s="785" t="s">
        <v>168</v>
      </c>
      <c r="BQ584" s="808" t="s">
        <v>1942</v>
      </c>
      <c r="BR584" s="800" t="s">
        <v>1942</v>
      </c>
      <c r="BS584" s="800" t="s">
        <v>1942</v>
      </c>
      <c r="BT584" s="800" t="s">
        <v>1942</v>
      </c>
      <c r="BU584" s="805" t="s">
        <v>1942</v>
      </c>
      <c r="BV584" s="808" t="s">
        <v>1942</v>
      </c>
      <c r="BW584" s="800" t="s">
        <v>1942</v>
      </c>
      <c r="BX584" s="800" t="s">
        <v>1942</v>
      </c>
      <c r="BY584" s="800" t="s">
        <v>1942</v>
      </c>
      <c r="BZ584" s="800" t="s">
        <v>1942</v>
      </c>
      <c r="CA584" s="808" t="s">
        <v>1942</v>
      </c>
      <c r="CB584" s="800" t="s">
        <v>1942</v>
      </c>
      <c r="CC584" s="800" t="s">
        <v>1942</v>
      </c>
      <c r="CD584" s="800" t="s">
        <v>1942</v>
      </c>
      <c r="CE584" s="805" t="s">
        <v>1942</v>
      </c>
      <c r="CF584" s="800" t="s">
        <v>1942</v>
      </c>
      <c r="CG584" s="800" t="s">
        <v>1942</v>
      </c>
      <c r="CH584" s="800" t="s">
        <v>1942</v>
      </c>
      <c r="CI584" s="800" t="s">
        <v>1942</v>
      </c>
      <c r="CJ584" s="805" t="s">
        <v>1942</v>
      </c>
      <c r="CK584" s="808" t="s">
        <v>1942</v>
      </c>
      <c r="CL584" s="800" t="s">
        <v>1942</v>
      </c>
      <c r="CM584" s="800" t="s">
        <v>1942</v>
      </c>
      <c r="CN584" s="800" t="s">
        <v>1942</v>
      </c>
      <c r="CO584" s="805" t="s">
        <v>1942</v>
      </c>
      <c r="CP584" s="808" t="s">
        <v>1942</v>
      </c>
      <c r="CQ584" s="800" t="s">
        <v>1942</v>
      </c>
      <c r="CR584" s="800" t="s">
        <v>1942</v>
      </c>
      <c r="CS584" s="800" t="s">
        <v>1942</v>
      </c>
      <c r="CT584" s="805" t="s">
        <v>1942</v>
      </c>
      <c r="CU584" s="1284">
        <v>-0.1961</v>
      </c>
      <c r="CV584" s="1283" t="s">
        <v>1942</v>
      </c>
      <c r="CW584" s="1283" t="s">
        <v>1942</v>
      </c>
      <c r="CX584" s="1285" t="s">
        <v>1942</v>
      </c>
      <c r="CY584" s="1283" t="s">
        <v>1942</v>
      </c>
      <c r="CZ584" s="1283" t="s">
        <v>1942</v>
      </c>
      <c r="DA584" s="1283" t="s">
        <v>1942</v>
      </c>
      <c r="DB584" s="1285" t="s">
        <v>1942</v>
      </c>
      <c r="DC584" s="785"/>
      <c r="DD584" s="813">
        <v>1</v>
      </c>
      <c r="DE584" s="814"/>
    </row>
    <row r="585" spans="1:109" ht="15.75" hidden="1" customHeight="1">
      <c r="A585" s="772" t="s">
        <v>1024</v>
      </c>
      <c r="B585" s="773">
        <v>579</v>
      </c>
      <c r="C585" s="789" t="s">
        <v>4383</v>
      </c>
      <c r="D585" s="773" t="s">
        <v>4299</v>
      </c>
      <c r="E585" s="773" t="s">
        <v>1907</v>
      </c>
      <c r="F585" s="785" t="s">
        <v>4384</v>
      </c>
      <c r="G585" s="790" t="s">
        <v>4385</v>
      </c>
      <c r="H585" s="791" t="s">
        <v>4386</v>
      </c>
      <c r="I585" s="792"/>
      <c r="J585" s="793">
        <v>1</v>
      </c>
      <c r="K585" s="793"/>
      <c r="L585" s="793"/>
      <c r="M585" s="793"/>
      <c r="N585" s="793"/>
      <c r="O585" s="793"/>
      <c r="P585" s="794"/>
      <c r="Q585" s="795">
        <f t="shared" ref="Q585:Q648" si="9">SUM(I585:P585)</f>
        <v>1</v>
      </c>
      <c r="R585" s="789" t="s">
        <v>1026</v>
      </c>
      <c r="S585" s="773" t="s">
        <v>1008</v>
      </c>
      <c r="T585" s="796" t="s">
        <v>1019</v>
      </c>
      <c r="U585" s="773" t="s">
        <v>2117</v>
      </c>
      <c r="V585" s="856" t="s">
        <v>1033</v>
      </c>
      <c r="W585" s="773"/>
      <c r="X585" s="1274">
        <v>0</v>
      </c>
      <c r="Y585" s="819" t="s">
        <v>1010</v>
      </c>
      <c r="Z585" s="790"/>
      <c r="AA585" s="785"/>
      <c r="AB585" s="785"/>
      <c r="AC585" s="785"/>
      <c r="AD585" s="785"/>
      <c r="AE585" s="785"/>
      <c r="AF585" s="799"/>
      <c r="AG585" s="800"/>
      <c r="AH585" s="800"/>
      <c r="AI585" s="800"/>
      <c r="AJ585" s="800"/>
      <c r="AK585" s="800"/>
      <c r="AL585" s="800"/>
      <c r="AM585" s="800"/>
      <c r="AN585" s="800"/>
      <c r="AO585" s="800"/>
      <c r="AP585" s="800"/>
      <c r="AQ585" s="808">
        <v>0</v>
      </c>
      <c r="AR585" s="800">
        <v>0</v>
      </c>
      <c r="AS585" s="800">
        <v>0</v>
      </c>
      <c r="AT585" s="800">
        <v>0</v>
      </c>
      <c r="AU585" s="805">
        <v>17</v>
      </c>
      <c r="AV585" s="808"/>
      <c r="AW585" s="800"/>
      <c r="AX585" s="800"/>
      <c r="AY585" s="800"/>
      <c r="AZ585" s="800"/>
      <c r="BA585" s="800"/>
      <c r="BB585" s="800"/>
      <c r="BC585" s="800"/>
      <c r="BD585" s="800"/>
      <c r="BE585" s="800"/>
      <c r="BF585" s="800"/>
      <c r="BG585" s="800"/>
      <c r="BH585" s="800"/>
      <c r="BI585" s="800"/>
      <c r="BJ585" s="800"/>
      <c r="BK585" s="805"/>
      <c r="BL585" s="789"/>
      <c r="BM585" s="785"/>
      <c r="BN585" s="785"/>
      <c r="BO585" s="785"/>
      <c r="BP585" s="785" t="s">
        <v>168</v>
      </c>
      <c r="BQ585" s="808" t="s">
        <v>1942</v>
      </c>
      <c r="BR585" s="800" t="s">
        <v>1942</v>
      </c>
      <c r="BS585" s="800" t="s">
        <v>1942</v>
      </c>
      <c r="BT585" s="800" t="s">
        <v>1942</v>
      </c>
      <c r="BU585" s="805" t="s">
        <v>1942</v>
      </c>
      <c r="BV585" s="808" t="s">
        <v>1942</v>
      </c>
      <c r="BW585" s="800" t="s">
        <v>1942</v>
      </c>
      <c r="BX585" s="800" t="s">
        <v>1942</v>
      </c>
      <c r="BY585" s="800" t="s">
        <v>1942</v>
      </c>
      <c r="BZ585" s="800" t="s">
        <v>1942</v>
      </c>
      <c r="CA585" s="808" t="s">
        <v>1942</v>
      </c>
      <c r="CB585" s="800" t="s">
        <v>1942</v>
      </c>
      <c r="CC585" s="800" t="s">
        <v>1942</v>
      </c>
      <c r="CD585" s="800" t="s">
        <v>1942</v>
      </c>
      <c r="CE585" s="805" t="s">
        <v>1942</v>
      </c>
      <c r="CF585" s="800" t="s">
        <v>1942</v>
      </c>
      <c r="CG585" s="800" t="s">
        <v>1942</v>
      </c>
      <c r="CH585" s="800" t="s">
        <v>1942</v>
      </c>
      <c r="CI585" s="800" t="s">
        <v>1942</v>
      </c>
      <c r="CJ585" s="805" t="s">
        <v>1942</v>
      </c>
      <c r="CK585" s="808" t="s">
        <v>1942</v>
      </c>
      <c r="CL585" s="800" t="s">
        <v>1942</v>
      </c>
      <c r="CM585" s="800" t="s">
        <v>1942</v>
      </c>
      <c r="CN585" s="800" t="s">
        <v>1942</v>
      </c>
      <c r="CO585" s="805" t="s">
        <v>1942</v>
      </c>
      <c r="CP585" s="808" t="s">
        <v>1942</v>
      </c>
      <c r="CQ585" s="800" t="s">
        <v>1942</v>
      </c>
      <c r="CR585" s="800" t="s">
        <v>1942</v>
      </c>
      <c r="CS585" s="800" t="s">
        <v>1942</v>
      </c>
      <c r="CT585" s="805" t="s">
        <v>1942</v>
      </c>
      <c r="CU585" s="1284">
        <v>-2.4308000000000001</v>
      </c>
      <c r="CV585" s="1290" t="s">
        <v>1942</v>
      </c>
      <c r="CW585" s="1283" t="s">
        <v>1942</v>
      </c>
      <c r="CX585" s="1285" t="s">
        <v>1942</v>
      </c>
      <c r="CY585" s="1283" t="s">
        <v>1942</v>
      </c>
      <c r="CZ585" s="1283" t="s">
        <v>1942</v>
      </c>
      <c r="DA585" s="1283" t="s">
        <v>1942</v>
      </c>
      <c r="DB585" s="1285" t="s">
        <v>1942</v>
      </c>
      <c r="DC585" s="785"/>
      <c r="DD585" s="813">
        <v>1</v>
      </c>
      <c r="DE585" s="814"/>
    </row>
    <row r="586" spans="1:109" ht="15.75" hidden="1" customHeight="1">
      <c r="A586" s="772" t="s">
        <v>1024</v>
      </c>
      <c r="B586" s="773">
        <v>580</v>
      </c>
      <c r="C586" s="789" t="s">
        <v>4387</v>
      </c>
      <c r="D586" s="773"/>
      <c r="E586" s="773"/>
      <c r="F586" s="785" t="s">
        <v>4388</v>
      </c>
      <c r="G586" s="790" t="s">
        <v>4389</v>
      </c>
      <c r="H586" s="791"/>
      <c r="I586" s="792"/>
      <c r="J586" s="793"/>
      <c r="K586" s="793">
        <v>1</v>
      </c>
      <c r="L586" s="793"/>
      <c r="M586" s="793"/>
      <c r="N586" s="793"/>
      <c r="O586" s="793"/>
      <c r="P586" s="794"/>
      <c r="Q586" s="795">
        <f t="shared" si="9"/>
        <v>1</v>
      </c>
      <c r="R586" s="789" t="s">
        <v>1026</v>
      </c>
      <c r="S586" s="773" t="s">
        <v>1008</v>
      </c>
      <c r="T586" s="796" t="s">
        <v>1019</v>
      </c>
      <c r="U586" s="773"/>
      <c r="V586" s="1248" t="s">
        <v>1046</v>
      </c>
      <c r="W586" s="773" t="s">
        <v>4390</v>
      </c>
      <c r="X586" s="829">
        <v>0</v>
      </c>
      <c r="Y586" s="819" t="s">
        <v>1010</v>
      </c>
      <c r="Z586" s="790"/>
      <c r="AA586" s="785"/>
      <c r="AB586" s="785"/>
      <c r="AC586" s="785"/>
      <c r="AD586" s="785"/>
      <c r="AE586" s="785"/>
      <c r="AF586" s="799"/>
      <c r="AG586" s="800"/>
      <c r="AH586" s="800"/>
      <c r="AI586" s="800"/>
      <c r="AJ586" s="800"/>
      <c r="AK586" s="800"/>
      <c r="AL586" s="800"/>
      <c r="AM586" s="800"/>
      <c r="AN586" s="800"/>
      <c r="AO586" s="800"/>
      <c r="AP586" s="800"/>
      <c r="AQ586" s="808">
        <v>0</v>
      </c>
      <c r="AR586" s="800">
        <v>0</v>
      </c>
      <c r="AS586" s="800">
        <v>0</v>
      </c>
      <c r="AT586" s="800">
        <v>13500</v>
      </c>
      <c r="AU586" s="805">
        <v>27049</v>
      </c>
      <c r="AV586" s="808"/>
      <c r="AW586" s="800"/>
      <c r="AX586" s="800"/>
      <c r="AY586" s="800"/>
      <c r="AZ586" s="800"/>
      <c r="BA586" s="800"/>
      <c r="BB586" s="800"/>
      <c r="BC586" s="800"/>
      <c r="BD586" s="800"/>
      <c r="BE586" s="800"/>
      <c r="BF586" s="800"/>
      <c r="BG586" s="800"/>
      <c r="BH586" s="800"/>
      <c r="BI586" s="800"/>
      <c r="BJ586" s="800"/>
      <c r="BK586" s="805"/>
      <c r="BL586" s="789"/>
      <c r="BM586" s="785"/>
      <c r="BN586" s="785"/>
      <c r="BO586" s="785"/>
      <c r="BP586" s="785" t="s">
        <v>168</v>
      </c>
      <c r="BQ586" s="808" t="s">
        <v>1942</v>
      </c>
      <c r="BR586" s="800" t="s">
        <v>1942</v>
      </c>
      <c r="BS586" s="800" t="s">
        <v>1942</v>
      </c>
      <c r="BT586" s="800" t="s">
        <v>1942</v>
      </c>
      <c r="BU586" s="805" t="s">
        <v>1942</v>
      </c>
      <c r="BV586" s="808" t="s">
        <v>1942</v>
      </c>
      <c r="BW586" s="800" t="s">
        <v>1942</v>
      </c>
      <c r="BX586" s="800" t="s">
        <v>1942</v>
      </c>
      <c r="BY586" s="800" t="s">
        <v>1942</v>
      </c>
      <c r="BZ586" s="800" t="s">
        <v>1942</v>
      </c>
      <c r="CA586" s="808" t="s">
        <v>1942</v>
      </c>
      <c r="CB586" s="800" t="s">
        <v>1942</v>
      </c>
      <c r="CC586" s="800" t="s">
        <v>1942</v>
      </c>
      <c r="CD586" s="800" t="s">
        <v>1942</v>
      </c>
      <c r="CE586" s="805" t="s">
        <v>1942</v>
      </c>
      <c r="CF586" s="800" t="s">
        <v>1942</v>
      </c>
      <c r="CG586" s="800" t="s">
        <v>1942</v>
      </c>
      <c r="CH586" s="800" t="s">
        <v>1942</v>
      </c>
      <c r="CI586" s="800" t="s">
        <v>1942</v>
      </c>
      <c r="CJ586" s="805" t="s">
        <v>1942</v>
      </c>
      <c r="CK586" s="808" t="s">
        <v>1942</v>
      </c>
      <c r="CL586" s="800" t="s">
        <v>1942</v>
      </c>
      <c r="CM586" s="800" t="s">
        <v>1942</v>
      </c>
      <c r="CN586" s="800" t="s">
        <v>1942</v>
      </c>
      <c r="CO586" s="805" t="s">
        <v>1942</v>
      </c>
      <c r="CP586" s="808" t="s">
        <v>1942</v>
      </c>
      <c r="CQ586" s="800" t="s">
        <v>1942</v>
      </c>
      <c r="CR586" s="800" t="s">
        <v>1942</v>
      </c>
      <c r="CS586" s="800" t="s">
        <v>1942</v>
      </c>
      <c r="CT586" s="805" t="s">
        <v>1942</v>
      </c>
      <c r="CU586" s="1291">
        <v>-7.6000000000000004E-4</v>
      </c>
      <c r="CV586" s="1283" t="s">
        <v>1942</v>
      </c>
      <c r="CW586" s="1283" t="s">
        <v>1942</v>
      </c>
      <c r="CX586" s="1285" t="s">
        <v>1942</v>
      </c>
      <c r="CY586" s="1283" t="s">
        <v>1942</v>
      </c>
      <c r="CZ586" s="1283" t="s">
        <v>1942</v>
      </c>
      <c r="DA586" s="1283" t="s">
        <v>1942</v>
      </c>
      <c r="DB586" s="1285" t="s">
        <v>1942</v>
      </c>
      <c r="DC586" s="785"/>
      <c r="DD586" s="813"/>
      <c r="DE586" s="814"/>
    </row>
    <row r="587" spans="1:109" ht="15.75" hidden="1" customHeight="1">
      <c r="A587" s="772" t="s">
        <v>1024</v>
      </c>
      <c r="B587" s="773">
        <v>581</v>
      </c>
      <c r="C587" s="789" t="s">
        <v>4391</v>
      </c>
      <c r="D587" s="773"/>
      <c r="E587" s="773"/>
      <c r="F587" s="785" t="s">
        <v>2032</v>
      </c>
      <c r="G587" s="790" t="s">
        <v>2033</v>
      </c>
      <c r="H587" s="791"/>
      <c r="I587" s="792"/>
      <c r="J587" s="793"/>
      <c r="K587" s="793"/>
      <c r="L587" s="793"/>
      <c r="M587" s="793"/>
      <c r="N587" s="793"/>
      <c r="O587" s="793"/>
      <c r="P587" s="794"/>
      <c r="Q587" s="795">
        <f t="shared" si="9"/>
        <v>0</v>
      </c>
      <c r="R587" s="789" t="s">
        <v>1007</v>
      </c>
      <c r="S587" s="773"/>
      <c r="T587" s="796"/>
      <c r="U587" s="773"/>
      <c r="V587" s="856" t="s">
        <v>1072</v>
      </c>
      <c r="W587" s="773" t="s">
        <v>2034</v>
      </c>
      <c r="X587" s="1276">
        <v>0</v>
      </c>
      <c r="Y587" s="819"/>
      <c r="Z587" s="790"/>
      <c r="AA587" s="785"/>
      <c r="AB587" s="785"/>
      <c r="AC587" s="785"/>
      <c r="AD587" s="785"/>
      <c r="AE587" s="785"/>
      <c r="AF587" s="799"/>
      <c r="AG587" s="800"/>
      <c r="AH587" s="800"/>
      <c r="AI587" s="800"/>
      <c r="AJ587" s="800"/>
      <c r="AK587" s="800"/>
      <c r="AL587" s="800"/>
      <c r="AM587" s="800"/>
      <c r="AN587" s="800"/>
      <c r="AO587" s="800"/>
      <c r="AP587" s="800"/>
      <c r="AQ587" s="808" t="s">
        <v>591</v>
      </c>
      <c r="AR587" s="800" t="s">
        <v>591</v>
      </c>
      <c r="AS587" s="800" t="s">
        <v>591</v>
      </c>
      <c r="AT587" s="800" t="s">
        <v>591</v>
      </c>
      <c r="AU587" s="805" t="s">
        <v>591</v>
      </c>
      <c r="AV587" s="808"/>
      <c r="AW587" s="800"/>
      <c r="AX587" s="800"/>
      <c r="AY587" s="800"/>
      <c r="AZ587" s="800"/>
      <c r="BA587" s="800"/>
      <c r="BB587" s="800"/>
      <c r="BC587" s="800"/>
      <c r="BD587" s="800"/>
      <c r="BE587" s="800"/>
      <c r="BF587" s="800"/>
      <c r="BG587" s="800"/>
      <c r="BH587" s="800"/>
      <c r="BI587" s="800"/>
      <c r="BJ587" s="800"/>
      <c r="BK587" s="805"/>
      <c r="BL587" s="789"/>
      <c r="BM587" s="785"/>
      <c r="BN587" s="785"/>
      <c r="BO587" s="785"/>
      <c r="BP587" s="785"/>
      <c r="BQ587" s="808" t="s">
        <v>1942</v>
      </c>
      <c r="BR587" s="800" t="s">
        <v>1942</v>
      </c>
      <c r="BS587" s="800" t="s">
        <v>1942</v>
      </c>
      <c r="BT587" s="800" t="s">
        <v>1942</v>
      </c>
      <c r="BU587" s="805" t="s">
        <v>1942</v>
      </c>
      <c r="BV587" s="808" t="s">
        <v>1942</v>
      </c>
      <c r="BW587" s="800" t="s">
        <v>1942</v>
      </c>
      <c r="BX587" s="800" t="s">
        <v>1942</v>
      </c>
      <c r="BY587" s="800" t="s">
        <v>1942</v>
      </c>
      <c r="BZ587" s="800" t="s">
        <v>1942</v>
      </c>
      <c r="CA587" s="808" t="s">
        <v>1942</v>
      </c>
      <c r="CB587" s="800" t="s">
        <v>1942</v>
      </c>
      <c r="CC587" s="800" t="s">
        <v>1942</v>
      </c>
      <c r="CD587" s="800" t="s">
        <v>1942</v>
      </c>
      <c r="CE587" s="805" t="s">
        <v>1942</v>
      </c>
      <c r="CF587" s="800" t="s">
        <v>1942</v>
      </c>
      <c r="CG587" s="800" t="s">
        <v>1942</v>
      </c>
      <c r="CH587" s="800" t="s">
        <v>1942</v>
      </c>
      <c r="CI587" s="800" t="s">
        <v>1942</v>
      </c>
      <c r="CJ587" s="805" t="s">
        <v>1942</v>
      </c>
      <c r="CK587" s="808" t="s">
        <v>1942</v>
      </c>
      <c r="CL587" s="800" t="s">
        <v>1942</v>
      </c>
      <c r="CM587" s="800" t="s">
        <v>1942</v>
      </c>
      <c r="CN587" s="800" t="s">
        <v>1942</v>
      </c>
      <c r="CO587" s="805" t="s">
        <v>1942</v>
      </c>
      <c r="CP587" s="808" t="s">
        <v>1942</v>
      </c>
      <c r="CQ587" s="800" t="s">
        <v>1942</v>
      </c>
      <c r="CR587" s="800" t="s">
        <v>1942</v>
      </c>
      <c r="CS587" s="800" t="s">
        <v>1942</v>
      </c>
      <c r="CT587" s="805" t="s">
        <v>1942</v>
      </c>
      <c r="CU587" s="1284" t="s">
        <v>1942</v>
      </c>
      <c r="CV587" s="1283" t="s">
        <v>1942</v>
      </c>
      <c r="CW587" s="1283" t="s">
        <v>1942</v>
      </c>
      <c r="CX587" s="1285" t="s">
        <v>1942</v>
      </c>
      <c r="CY587" s="1283" t="s">
        <v>1942</v>
      </c>
      <c r="CZ587" s="1283" t="s">
        <v>1942</v>
      </c>
      <c r="DA587" s="1283" t="s">
        <v>1942</v>
      </c>
      <c r="DB587" s="1285" t="s">
        <v>1942</v>
      </c>
      <c r="DC587" s="785"/>
      <c r="DD587" s="813"/>
      <c r="DE587" s="814"/>
    </row>
    <row r="588" spans="1:109" ht="15.75" hidden="1" customHeight="1">
      <c r="A588" s="772" t="s">
        <v>1024</v>
      </c>
      <c r="B588" s="773">
        <v>582</v>
      </c>
      <c r="C588" s="789" t="s">
        <v>4392</v>
      </c>
      <c r="D588" s="773"/>
      <c r="E588" s="773"/>
      <c r="F588" s="785" t="s">
        <v>4393</v>
      </c>
      <c r="G588" s="790" t="s">
        <v>4394</v>
      </c>
      <c r="H588" s="791"/>
      <c r="I588" s="792"/>
      <c r="J588" s="793">
        <v>1</v>
      </c>
      <c r="K588" s="793"/>
      <c r="L588" s="793"/>
      <c r="M588" s="793"/>
      <c r="N588" s="793"/>
      <c r="O588" s="793"/>
      <c r="P588" s="794"/>
      <c r="Q588" s="795">
        <f t="shared" si="9"/>
        <v>1</v>
      </c>
      <c r="R588" s="789" t="s">
        <v>1026</v>
      </c>
      <c r="S588" s="773" t="s">
        <v>1008</v>
      </c>
      <c r="T588" s="796" t="s">
        <v>1019</v>
      </c>
      <c r="U588" s="773"/>
      <c r="V588" s="773" t="s">
        <v>278</v>
      </c>
      <c r="W588" s="773" t="s">
        <v>4395</v>
      </c>
      <c r="X588" s="829">
        <v>0</v>
      </c>
      <c r="Y588" s="819" t="s">
        <v>1010</v>
      </c>
      <c r="Z588" s="790"/>
      <c r="AA588" s="785"/>
      <c r="AB588" s="785"/>
      <c r="AC588" s="785"/>
      <c r="AD588" s="785"/>
      <c r="AE588" s="785"/>
      <c r="AF588" s="799"/>
      <c r="AG588" s="800"/>
      <c r="AH588" s="800"/>
      <c r="AI588" s="800"/>
      <c r="AJ588" s="800"/>
      <c r="AK588" s="800"/>
      <c r="AL588" s="800"/>
      <c r="AM588" s="800"/>
      <c r="AN588" s="800"/>
      <c r="AO588" s="800"/>
      <c r="AP588" s="800"/>
      <c r="AQ588" s="808">
        <v>0</v>
      </c>
      <c r="AR588" s="800">
        <v>3</v>
      </c>
      <c r="AS588" s="800">
        <v>10</v>
      </c>
      <c r="AT588" s="800">
        <v>95</v>
      </c>
      <c r="AU588" s="805">
        <v>100</v>
      </c>
      <c r="AV588" s="808"/>
      <c r="AW588" s="800"/>
      <c r="AX588" s="800"/>
      <c r="AY588" s="800"/>
      <c r="AZ588" s="800"/>
      <c r="BA588" s="800"/>
      <c r="BB588" s="800"/>
      <c r="BC588" s="800"/>
      <c r="BD588" s="800"/>
      <c r="BE588" s="800"/>
      <c r="BF588" s="800"/>
      <c r="BG588" s="800"/>
      <c r="BH588" s="800"/>
      <c r="BI588" s="800"/>
      <c r="BJ588" s="800"/>
      <c r="BK588" s="805"/>
      <c r="BL588" s="789"/>
      <c r="BM588" s="785"/>
      <c r="BN588" s="785"/>
      <c r="BO588" s="785"/>
      <c r="BP588" s="785" t="s">
        <v>168</v>
      </c>
      <c r="BQ588" s="808" t="s">
        <v>1942</v>
      </c>
      <c r="BR588" s="800" t="s">
        <v>1942</v>
      </c>
      <c r="BS588" s="800" t="s">
        <v>1942</v>
      </c>
      <c r="BT588" s="800" t="s">
        <v>1942</v>
      </c>
      <c r="BU588" s="805" t="s">
        <v>1942</v>
      </c>
      <c r="BV588" s="808" t="s">
        <v>1942</v>
      </c>
      <c r="BW588" s="800" t="s">
        <v>1942</v>
      </c>
      <c r="BX588" s="800" t="s">
        <v>1942</v>
      </c>
      <c r="BY588" s="800" t="s">
        <v>1942</v>
      </c>
      <c r="BZ588" s="800" t="s">
        <v>1942</v>
      </c>
      <c r="CA588" s="808" t="s">
        <v>1942</v>
      </c>
      <c r="CB588" s="800" t="s">
        <v>1942</v>
      </c>
      <c r="CC588" s="800" t="s">
        <v>1942</v>
      </c>
      <c r="CD588" s="800" t="s">
        <v>1942</v>
      </c>
      <c r="CE588" s="805" t="s">
        <v>1942</v>
      </c>
      <c r="CF588" s="800" t="s">
        <v>1942</v>
      </c>
      <c r="CG588" s="800" t="s">
        <v>1942</v>
      </c>
      <c r="CH588" s="800" t="s">
        <v>1942</v>
      </c>
      <c r="CI588" s="800" t="s">
        <v>1942</v>
      </c>
      <c r="CJ588" s="805" t="s">
        <v>1942</v>
      </c>
      <c r="CK588" s="808" t="s">
        <v>1942</v>
      </c>
      <c r="CL588" s="800" t="s">
        <v>1942</v>
      </c>
      <c r="CM588" s="800" t="s">
        <v>1942</v>
      </c>
      <c r="CN588" s="800" t="s">
        <v>1942</v>
      </c>
      <c r="CO588" s="805" t="s">
        <v>1942</v>
      </c>
      <c r="CP588" s="808" t="s">
        <v>1942</v>
      </c>
      <c r="CQ588" s="800" t="s">
        <v>1942</v>
      </c>
      <c r="CR588" s="800" t="s">
        <v>1942</v>
      </c>
      <c r="CS588" s="800" t="s">
        <v>1942</v>
      </c>
      <c r="CT588" s="805" t="s">
        <v>1942</v>
      </c>
      <c r="CU588" s="1284">
        <v>-1.12E-2</v>
      </c>
      <c r="CV588" s="1283" t="s">
        <v>1942</v>
      </c>
      <c r="CW588" s="1283" t="s">
        <v>1942</v>
      </c>
      <c r="CX588" s="1285" t="s">
        <v>1942</v>
      </c>
      <c r="CY588" s="1283" t="s">
        <v>1942</v>
      </c>
      <c r="CZ588" s="1283" t="s">
        <v>1942</v>
      </c>
      <c r="DA588" s="1283" t="s">
        <v>1942</v>
      </c>
      <c r="DB588" s="1285" t="s">
        <v>1942</v>
      </c>
      <c r="DC588" s="785"/>
      <c r="DD588" s="813"/>
      <c r="DE588" s="814"/>
    </row>
    <row r="589" spans="1:109" ht="15.75" hidden="1" customHeight="1">
      <c r="A589" s="772" t="s">
        <v>1024</v>
      </c>
      <c r="B589" s="773">
        <v>583</v>
      </c>
      <c r="C589" s="789" t="s">
        <v>4396</v>
      </c>
      <c r="D589" s="773"/>
      <c r="E589" s="773"/>
      <c r="F589" s="785" t="s">
        <v>3977</v>
      </c>
      <c r="G589" s="790" t="s">
        <v>2697</v>
      </c>
      <c r="H589" s="791"/>
      <c r="I589" s="792"/>
      <c r="J589" s="793"/>
      <c r="K589" s="793"/>
      <c r="L589" s="793"/>
      <c r="M589" s="793"/>
      <c r="N589" s="793"/>
      <c r="O589" s="793"/>
      <c r="P589" s="794"/>
      <c r="Q589" s="795">
        <f t="shared" si="9"/>
        <v>0</v>
      </c>
      <c r="R589" s="789" t="s">
        <v>1007</v>
      </c>
      <c r="S589" s="773"/>
      <c r="T589" s="796"/>
      <c r="U589" s="773"/>
      <c r="V589" s="773" t="s">
        <v>278</v>
      </c>
      <c r="W589" s="773" t="s">
        <v>2698</v>
      </c>
      <c r="X589" s="1274">
        <v>0</v>
      </c>
      <c r="Y589" s="819" t="s">
        <v>1010</v>
      </c>
      <c r="Z589" s="790"/>
      <c r="AA589" s="785"/>
      <c r="AB589" s="785"/>
      <c r="AC589" s="785"/>
      <c r="AD589" s="785"/>
      <c r="AE589" s="785"/>
      <c r="AF589" s="799"/>
      <c r="AG589" s="800"/>
      <c r="AH589" s="800"/>
      <c r="AI589" s="800"/>
      <c r="AJ589" s="800"/>
      <c r="AK589" s="800"/>
      <c r="AL589" s="800"/>
      <c r="AM589" s="800"/>
      <c r="AN589" s="800"/>
      <c r="AO589" s="800"/>
      <c r="AP589" s="800"/>
      <c r="AQ589" s="808">
        <v>0</v>
      </c>
      <c r="AR589" s="800">
        <v>0</v>
      </c>
      <c r="AS589" s="800">
        <v>100</v>
      </c>
      <c r="AT589" s="800">
        <v>100</v>
      </c>
      <c r="AU589" s="805">
        <v>100</v>
      </c>
      <c r="AV589" s="808"/>
      <c r="AW589" s="800"/>
      <c r="AX589" s="800"/>
      <c r="AY589" s="800"/>
      <c r="AZ589" s="800"/>
      <c r="BA589" s="800"/>
      <c r="BB589" s="800"/>
      <c r="BC589" s="800"/>
      <c r="BD589" s="800"/>
      <c r="BE589" s="800"/>
      <c r="BF589" s="800"/>
      <c r="BG589" s="800"/>
      <c r="BH589" s="800"/>
      <c r="BI589" s="800"/>
      <c r="BJ589" s="800"/>
      <c r="BK589" s="805"/>
      <c r="BL589" s="789"/>
      <c r="BM589" s="785"/>
      <c r="BN589" s="785"/>
      <c r="BO589" s="785"/>
      <c r="BP589" s="785"/>
      <c r="BQ589" s="808" t="s">
        <v>1942</v>
      </c>
      <c r="BR589" s="800" t="s">
        <v>1942</v>
      </c>
      <c r="BS589" s="800" t="s">
        <v>1942</v>
      </c>
      <c r="BT589" s="800" t="s">
        <v>1942</v>
      </c>
      <c r="BU589" s="805" t="s">
        <v>1942</v>
      </c>
      <c r="BV589" s="808" t="s">
        <v>1942</v>
      </c>
      <c r="BW589" s="800" t="s">
        <v>1942</v>
      </c>
      <c r="BX589" s="800" t="s">
        <v>1942</v>
      </c>
      <c r="BY589" s="800" t="s">
        <v>1942</v>
      </c>
      <c r="BZ589" s="800" t="s">
        <v>1942</v>
      </c>
      <c r="CA589" s="808" t="s">
        <v>1942</v>
      </c>
      <c r="CB589" s="800" t="s">
        <v>1942</v>
      </c>
      <c r="CC589" s="800" t="s">
        <v>1942</v>
      </c>
      <c r="CD589" s="800" t="s">
        <v>1942</v>
      </c>
      <c r="CE589" s="805" t="s">
        <v>1942</v>
      </c>
      <c r="CF589" s="800" t="s">
        <v>1942</v>
      </c>
      <c r="CG589" s="800" t="s">
        <v>1942</v>
      </c>
      <c r="CH589" s="800" t="s">
        <v>1942</v>
      </c>
      <c r="CI589" s="800" t="s">
        <v>1942</v>
      </c>
      <c r="CJ589" s="805" t="s">
        <v>1942</v>
      </c>
      <c r="CK589" s="808" t="s">
        <v>1942</v>
      </c>
      <c r="CL589" s="800" t="s">
        <v>1942</v>
      </c>
      <c r="CM589" s="800" t="s">
        <v>1942</v>
      </c>
      <c r="CN589" s="800" t="s">
        <v>1942</v>
      </c>
      <c r="CO589" s="805" t="s">
        <v>1942</v>
      </c>
      <c r="CP589" s="808" t="s">
        <v>1942</v>
      </c>
      <c r="CQ589" s="800" t="s">
        <v>1942</v>
      </c>
      <c r="CR589" s="800" t="s">
        <v>1942</v>
      </c>
      <c r="CS589" s="800" t="s">
        <v>1942</v>
      </c>
      <c r="CT589" s="805" t="s">
        <v>1942</v>
      </c>
      <c r="CU589" s="1284" t="s">
        <v>1942</v>
      </c>
      <c r="CV589" s="1283" t="s">
        <v>1942</v>
      </c>
      <c r="CW589" s="1283" t="s">
        <v>1942</v>
      </c>
      <c r="CX589" s="1285" t="s">
        <v>1942</v>
      </c>
      <c r="CY589" s="1283" t="s">
        <v>1942</v>
      </c>
      <c r="CZ589" s="1283" t="s">
        <v>1942</v>
      </c>
      <c r="DA589" s="1283" t="s">
        <v>1942</v>
      </c>
      <c r="DB589" s="1285" t="s">
        <v>1942</v>
      </c>
      <c r="DC589" s="785"/>
      <c r="DD589" s="813"/>
      <c r="DE589" s="814"/>
    </row>
    <row r="590" spans="1:109" ht="15.75" hidden="1" customHeight="1">
      <c r="A590" s="772" t="s">
        <v>1024</v>
      </c>
      <c r="B590" s="773">
        <v>584</v>
      </c>
      <c r="C590" s="789" t="s">
        <v>4397</v>
      </c>
      <c r="D590" s="773"/>
      <c r="E590" s="773"/>
      <c r="F590" s="785" t="s">
        <v>4398</v>
      </c>
      <c r="G590" s="790" t="s">
        <v>4399</v>
      </c>
      <c r="H590" s="791"/>
      <c r="I590" s="792">
        <v>1</v>
      </c>
      <c r="J590" s="793"/>
      <c r="K590" s="793"/>
      <c r="L590" s="793"/>
      <c r="M590" s="793"/>
      <c r="N590" s="793"/>
      <c r="O590" s="793"/>
      <c r="P590" s="794"/>
      <c r="Q590" s="795">
        <f t="shared" si="9"/>
        <v>1</v>
      </c>
      <c r="R590" s="789" t="s">
        <v>1026</v>
      </c>
      <c r="S590" s="773" t="s">
        <v>1008</v>
      </c>
      <c r="T590" s="796" t="s">
        <v>1019</v>
      </c>
      <c r="U590" s="773"/>
      <c r="V590" s="1248" t="s">
        <v>1072</v>
      </c>
      <c r="W590" s="773"/>
      <c r="X590" s="1274">
        <v>0</v>
      </c>
      <c r="Y590" s="819" t="s">
        <v>1020</v>
      </c>
      <c r="Z590" s="790"/>
      <c r="AA590" s="785"/>
      <c r="AB590" s="785"/>
      <c r="AC590" s="785"/>
      <c r="AD590" s="785"/>
      <c r="AE590" s="785"/>
      <c r="AF590" s="799"/>
      <c r="AG590" s="800"/>
      <c r="AH590" s="800"/>
      <c r="AI590" s="800"/>
      <c r="AJ590" s="800"/>
      <c r="AK590" s="800"/>
      <c r="AL590" s="800"/>
      <c r="AM590" s="800"/>
      <c r="AN590" s="800"/>
      <c r="AO590" s="800"/>
      <c r="AP590" s="800"/>
      <c r="AQ590" s="808" t="s">
        <v>924</v>
      </c>
      <c r="AR590" s="800" t="s">
        <v>924</v>
      </c>
      <c r="AS590" s="800" t="s">
        <v>924</v>
      </c>
      <c r="AT590" s="800" t="s">
        <v>924</v>
      </c>
      <c r="AU590" s="805" t="s">
        <v>4400</v>
      </c>
      <c r="AV590" s="808"/>
      <c r="AW590" s="800"/>
      <c r="AX590" s="800"/>
      <c r="AY590" s="800"/>
      <c r="AZ590" s="800"/>
      <c r="BA590" s="800"/>
      <c r="BB590" s="800"/>
      <c r="BC590" s="800"/>
      <c r="BD590" s="800"/>
      <c r="BE590" s="800"/>
      <c r="BF590" s="800"/>
      <c r="BG590" s="800"/>
      <c r="BH590" s="800"/>
      <c r="BI590" s="800"/>
      <c r="BJ590" s="800"/>
      <c r="BK590" s="805"/>
      <c r="BL590" s="789"/>
      <c r="BM590" s="785"/>
      <c r="BN590" s="785"/>
      <c r="BO590" s="785"/>
      <c r="BP590" s="785" t="s">
        <v>168</v>
      </c>
      <c r="BQ590" s="808" t="s">
        <v>1942</v>
      </c>
      <c r="BR590" s="800" t="s">
        <v>1942</v>
      </c>
      <c r="BS590" s="800" t="s">
        <v>1942</v>
      </c>
      <c r="BT590" s="800" t="s">
        <v>1942</v>
      </c>
      <c r="BU590" s="805" t="s">
        <v>1942</v>
      </c>
      <c r="BV590" s="808" t="s">
        <v>1942</v>
      </c>
      <c r="BW590" s="800" t="s">
        <v>1942</v>
      </c>
      <c r="BX590" s="800" t="s">
        <v>1942</v>
      </c>
      <c r="BY590" s="800" t="s">
        <v>1942</v>
      </c>
      <c r="BZ590" s="800" t="s">
        <v>1942</v>
      </c>
      <c r="CA590" s="808" t="s">
        <v>1942</v>
      </c>
      <c r="CB590" s="800" t="s">
        <v>1942</v>
      </c>
      <c r="CC590" s="800" t="s">
        <v>1942</v>
      </c>
      <c r="CD590" s="800" t="s">
        <v>1942</v>
      </c>
      <c r="CE590" s="805" t="s">
        <v>1942</v>
      </c>
      <c r="CF590" s="800" t="s">
        <v>1942</v>
      </c>
      <c r="CG590" s="800" t="s">
        <v>1942</v>
      </c>
      <c r="CH590" s="800" t="s">
        <v>1942</v>
      </c>
      <c r="CI590" s="800" t="s">
        <v>1942</v>
      </c>
      <c r="CJ590" s="805" t="s">
        <v>1942</v>
      </c>
      <c r="CK590" s="808" t="s">
        <v>1942</v>
      </c>
      <c r="CL590" s="800" t="s">
        <v>1942</v>
      </c>
      <c r="CM590" s="800" t="s">
        <v>1942</v>
      </c>
      <c r="CN590" s="800" t="s">
        <v>1942</v>
      </c>
      <c r="CO590" s="805" t="s">
        <v>1942</v>
      </c>
      <c r="CP590" s="808" t="s">
        <v>1942</v>
      </c>
      <c r="CQ590" s="800" t="s">
        <v>1942</v>
      </c>
      <c r="CR590" s="800" t="s">
        <v>1942</v>
      </c>
      <c r="CS590" s="800" t="s">
        <v>1942</v>
      </c>
      <c r="CT590" s="805" t="s">
        <v>1942</v>
      </c>
      <c r="CU590" s="1284">
        <v>-2.1185</v>
      </c>
      <c r="CV590" s="1283" t="s">
        <v>1942</v>
      </c>
      <c r="CW590" s="1283" t="s">
        <v>1942</v>
      </c>
      <c r="CX590" s="1285" t="s">
        <v>1942</v>
      </c>
      <c r="CY590" s="1283" t="s">
        <v>1942</v>
      </c>
      <c r="CZ590" s="1283" t="s">
        <v>1942</v>
      </c>
      <c r="DA590" s="1283" t="s">
        <v>1942</v>
      </c>
      <c r="DB590" s="1285" t="s">
        <v>1942</v>
      </c>
      <c r="DC590" s="785"/>
      <c r="DD590" s="813"/>
      <c r="DE590" s="814"/>
    </row>
    <row r="591" spans="1:109" ht="15.75" hidden="1" customHeight="1">
      <c r="A591" s="772" t="s">
        <v>1024</v>
      </c>
      <c r="B591" s="773">
        <v>585</v>
      </c>
      <c r="C591" s="789" t="s">
        <v>4401</v>
      </c>
      <c r="D591" s="773"/>
      <c r="E591" s="773"/>
      <c r="F591" s="785" t="s">
        <v>4402</v>
      </c>
      <c r="G591" s="790" t="s">
        <v>4403</v>
      </c>
      <c r="H591" s="791"/>
      <c r="I591" s="792"/>
      <c r="J591" s="793">
        <v>1</v>
      </c>
      <c r="K591" s="793"/>
      <c r="L591" s="793"/>
      <c r="M591" s="793"/>
      <c r="N591" s="793"/>
      <c r="O591" s="793"/>
      <c r="P591" s="794"/>
      <c r="Q591" s="795">
        <f t="shared" si="9"/>
        <v>1</v>
      </c>
      <c r="R591" s="789" t="s">
        <v>1026</v>
      </c>
      <c r="S591" s="773" t="s">
        <v>1008</v>
      </c>
      <c r="T591" s="796" t="s">
        <v>1019</v>
      </c>
      <c r="U591" s="773"/>
      <c r="V591" s="1248" t="s">
        <v>1033</v>
      </c>
      <c r="W591" s="773" t="s">
        <v>4404</v>
      </c>
      <c r="X591" s="929">
        <v>0</v>
      </c>
      <c r="Y591" s="819" t="s">
        <v>1052</v>
      </c>
      <c r="Z591" s="790"/>
      <c r="AA591" s="785"/>
      <c r="AB591" s="785"/>
      <c r="AC591" s="785"/>
      <c r="AD591" s="785"/>
      <c r="AE591" s="785"/>
      <c r="AF591" s="799"/>
      <c r="AG591" s="800"/>
      <c r="AH591" s="800"/>
      <c r="AI591" s="800"/>
      <c r="AJ591" s="800"/>
      <c r="AK591" s="800"/>
      <c r="AL591" s="800"/>
      <c r="AM591" s="800"/>
      <c r="AN591" s="800"/>
      <c r="AO591" s="800"/>
      <c r="AP591" s="800"/>
      <c r="AQ591" s="808" t="s">
        <v>1942</v>
      </c>
      <c r="AR591" s="800" t="s">
        <v>1942</v>
      </c>
      <c r="AS591" s="800" t="s">
        <v>1942</v>
      </c>
      <c r="AT591" s="800" t="s">
        <v>1942</v>
      </c>
      <c r="AU591" s="805" t="s">
        <v>1942</v>
      </c>
      <c r="AV591" s="808"/>
      <c r="AW591" s="800"/>
      <c r="AX591" s="800"/>
      <c r="AY591" s="800"/>
      <c r="AZ591" s="800"/>
      <c r="BA591" s="800"/>
      <c r="BB591" s="800"/>
      <c r="BC591" s="800"/>
      <c r="BD591" s="800"/>
      <c r="BE591" s="800"/>
      <c r="BF591" s="800"/>
      <c r="BG591" s="800"/>
      <c r="BH591" s="800"/>
      <c r="BI591" s="800"/>
      <c r="BJ591" s="800"/>
      <c r="BK591" s="805"/>
      <c r="BL591" s="789"/>
      <c r="BM591" s="785"/>
      <c r="BN591" s="785"/>
      <c r="BO591" s="785"/>
      <c r="BP591" s="785" t="s">
        <v>168</v>
      </c>
      <c r="BQ591" s="808" t="s">
        <v>1942</v>
      </c>
      <c r="BR591" s="800" t="s">
        <v>1942</v>
      </c>
      <c r="BS591" s="800" t="s">
        <v>1942</v>
      </c>
      <c r="BT591" s="800" t="s">
        <v>1942</v>
      </c>
      <c r="BU591" s="805" t="s">
        <v>1942</v>
      </c>
      <c r="BV591" s="808" t="s">
        <v>1942</v>
      </c>
      <c r="BW591" s="800" t="s">
        <v>1942</v>
      </c>
      <c r="BX591" s="800" t="s">
        <v>1942</v>
      </c>
      <c r="BY591" s="800" t="s">
        <v>1942</v>
      </c>
      <c r="BZ591" s="800" t="s">
        <v>1942</v>
      </c>
      <c r="CA591" s="808" t="s">
        <v>1942</v>
      </c>
      <c r="CB591" s="800" t="s">
        <v>1942</v>
      </c>
      <c r="CC591" s="800" t="s">
        <v>1942</v>
      </c>
      <c r="CD591" s="800" t="s">
        <v>1942</v>
      </c>
      <c r="CE591" s="805" t="s">
        <v>1942</v>
      </c>
      <c r="CF591" s="800" t="s">
        <v>1942</v>
      </c>
      <c r="CG591" s="800" t="s">
        <v>1942</v>
      </c>
      <c r="CH591" s="800" t="s">
        <v>1942</v>
      </c>
      <c r="CI591" s="800" t="s">
        <v>1942</v>
      </c>
      <c r="CJ591" s="805" t="s">
        <v>1942</v>
      </c>
      <c r="CK591" s="808" t="s">
        <v>1942</v>
      </c>
      <c r="CL591" s="800" t="s">
        <v>1942</v>
      </c>
      <c r="CM591" s="800" t="s">
        <v>1942</v>
      </c>
      <c r="CN591" s="800" t="s">
        <v>1942</v>
      </c>
      <c r="CO591" s="805" t="s">
        <v>1942</v>
      </c>
      <c r="CP591" s="808" t="s">
        <v>1942</v>
      </c>
      <c r="CQ591" s="800" t="s">
        <v>1942</v>
      </c>
      <c r="CR591" s="800" t="s">
        <v>1942</v>
      </c>
      <c r="CS591" s="800" t="s">
        <v>1942</v>
      </c>
      <c r="CT591" s="805" t="s">
        <v>1942</v>
      </c>
      <c r="CU591" s="1284">
        <v>-0.68</v>
      </c>
      <c r="CV591" s="1283" t="s">
        <v>1942</v>
      </c>
      <c r="CW591" s="1283" t="s">
        <v>1942</v>
      </c>
      <c r="CX591" s="1285" t="s">
        <v>1942</v>
      </c>
      <c r="CY591" s="1283" t="s">
        <v>1942</v>
      </c>
      <c r="CZ591" s="1283" t="s">
        <v>1942</v>
      </c>
      <c r="DA591" s="1283" t="s">
        <v>1942</v>
      </c>
      <c r="DB591" s="1285" t="s">
        <v>1942</v>
      </c>
      <c r="DC591" s="785"/>
      <c r="DD591" s="813"/>
      <c r="DE591" s="814"/>
    </row>
    <row r="592" spans="1:109" ht="15.75" hidden="1" customHeight="1">
      <c r="A592" s="772" t="s">
        <v>1024</v>
      </c>
      <c r="B592" s="773">
        <v>586</v>
      </c>
      <c r="C592" s="789" t="s">
        <v>4405</v>
      </c>
      <c r="D592" s="773"/>
      <c r="E592" s="773"/>
      <c r="F592" s="785" t="s">
        <v>4406</v>
      </c>
      <c r="G592" s="790" t="s">
        <v>4407</v>
      </c>
      <c r="H592" s="791"/>
      <c r="I592" s="792"/>
      <c r="J592" s="793">
        <v>1</v>
      </c>
      <c r="K592" s="793"/>
      <c r="L592" s="793"/>
      <c r="M592" s="793"/>
      <c r="N592" s="793"/>
      <c r="O592" s="793"/>
      <c r="P592" s="794"/>
      <c r="Q592" s="795">
        <f t="shared" si="9"/>
        <v>1</v>
      </c>
      <c r="R592" s="789" t="s">
        <v>1017</v>
      </c>
      <c r="S592" s="773" t="s">
        <v>1008</v>
      </c>
      <c r="T592" s="796" t="s">
        <v>1019</v>
      </c>
      <c r="U592" s="773"/>
      <c r="V592" s="1248" t="s">
        <v>1072</v>
      </c>
      <c r="W592" s="773" t="s">
        <v>4408</v>
      </c>
      <c r="X592" s="1274">
        <v>0</v>
      </c>
      <c r="Y592" s="819" t="s">
        <v>1052</v>
      </c>
      <c r="Z592" s="790"/>
      <c r="AA592" s="785"/>
      <c r="AB592" s="785"/>
      <c r="AC592" s="785"/>
      <c r="AD592" s="785"/>
      <c r="AE592" s="785"/>
      <c r="AF592" s="799"/>
      <c r="AG592" s="800"/>
      <c r="AH592" s="800"/>
      <c r="AI592" s="800"/>
      <c r="AJ592" s="800"/>
      <c r="AK592" s="800"/>
      <c r="AL592" s="800"/>
      <c r="AM592" s="800"/>
      <c r="AN592" s="800"/>
      <c r="AO592" s="800"/>
      <c r="AP592" s="800"/>
      <c r="AQ592" s="808" t="s">
        <v>1942</v>
      </c>
      <c r="AR592" s="800" t="s">
        <v>1942</v>
      </c>
      <c r="AS592" s="800" t="s">
        <v>1942</v>
      </c>
      <c r="AT592" s="800" t="s">
        <v>1942</v>
      </c>
      <c r="AU592" s="805" t="s">
        <v>1942</v>
      </c>
      <c r="AV592" s="808"/>
      <c r="AW592" s="800"/>
      <c r="AX592" s="800"/>
      <c r="AY592" s="800"/>
      <c r="AZ592" s="800"/>
      <c r="BA592" s="800"/>
      <c r="BB592" s="800"/>
      <c r="BC592" s="800"/>
      <c r="BD592" s="800"/>
      <c r="BE592" s="800"/>
      <c r="BF592" s="800"/>
      <c r="BG592" s="800"/>
      <c r="BH592" s="800"/>
      <c r="BI592" s="800"/>
      <c r="BJ592" s="800"/>
      <c r="BK592" s="805"/>
      <c r="BL592" s="789"/>
      <c r="BM592" s="785"/>
      <c r="BN592" s="785"/>
      <c r="BO592" s="785"/>
      <c r="BP592" s="785" t="s">
        <v>168</v>
      </c>
      <c r="BQ592" s="808" t="s">
        <v>1942</v>
      </c>
      <c r="BR592" s="800" t="s">
        <v>1942</v>
      </c>
      <c r="BS592" s="800" t="s">
        <v>1942</v>
      </c>
      <c r="BT592" s="800" t="s">
        <v>1942</v>
      </c>
      <c r="BU592" s="805" t="s">
        <v>1942</v>
      </c>
      <c r="BV592" s="808" t="s">
        <v>1942</v>
      </c>
      <c r="BW592" s="800" t="s">
        <v>1942</v>
      </c>
      <c r="BX592" s="800" t="s">
        <v>1942</v>
      </c>
      <c r="BY592" s="800" t="s">
        <v>1942</v>
      </c>
      <c r="BZ592" s="800" t="s">
        <v>1942</v>
      </c>
      <c r="CA592" s="808" t="s">
        <v>1942</v>
      </c>
      <c r="CB592" s="800" t="s">
        <v>1942</v>
      </c>
      <c r="CC592" s="800" t="s">
        <v>1942</v>
      </c>
      <c r="CD592" s="800" t="s">
        <v>1942</v>
      </c>
      <c r="CE592" s="805" t="s">
        <v>1942</v>
      </c>
      <c r="CF592" s="800" t="s">
        <v>1942</v>
      </c>
      <c r="CG592" s="800" t="s">
        <v>1942</v>
      </c>
      <c r="CH592" s="800" t="s">
        <v>1942</v>
      </c>
      <c r="CI592" s="800" t="s">
        <v>1942</v>
      </c>
      <c r="CJ592" s="805" t="s">
        <v>1942</v>
      </c>
      <c r="CK592" s="808" t="s">
        <v>1942</v>
      </c>
      <c r="CL592" s="800" t="s">
        <v>1942</v>
      </c>
      <c r="CM592" s="800" t="s">
        <v>1942</v>
      </c>
      <c r="CN592" s="800" t="s">
        <v>1942</v>
      </c>
      <c r="CO592" s="805" t="s">
        <v>1942</v>
      </c>
      <c r="CP592" s="808" t="s">
        <v>1942</v>
      </c>
      <c r="CQ592" s="800" t="s">
        <v>1942</v>
      </c>
      <c r="CR592" s="800" t="s">
        <v>1942</v>
      </c>
      <c r="CS592" s="800" t="s">
        <v>1942</v>
      </c>
      <c r="CT592" s="805" t="s">
        <v>1942</v>
      </c>
      <c r="CU592" s="1284" t="s">
        <v>1942</v>
      </c>
      <c r="CV592" s="1283" t="s">
        <v>1942</v>
      </c>
      <c r="CW592" s="1283" t="s">
        <v>1942</v>
      </c>
      <c r="CX592" s="1285" t="s">
        <v>1942</v>
      </c>
      <c r="CY592" s="1283">
        <v>1.36</v>
      </c>
      <c r="CZ592" s="1283" t="s">
        <v>1942</v>
      </c>
      <c r="DA592" s="1283" t="s">
        <v>1942</v>
      </c>
      <c r="DB592" s="1285" t="s">
        <v>1942</v>
      </c>
      <c r="DC592" s="785"/>
      <c r="DD592" s="813"/>
      <c r="DE592" s="814"/>
    </row>
    <row r="593" spans="1:109" ht="15.75" hidden="1" customHeight="1">
      <c r="A593" s="772" t="s">
        <v>1054</v>
      </c>
      <c r="B593" s="773">
        <v>587</v>
      </c>
      <c r="C593" s="789" t="s">
        <v>4409</v>
      </c>
      <c r="D593" s="773" t="s">
        <v>4410</v>
      </c>
      <c r="E593" s="773" t="s">
        <v>1907</v>
      </c>
      <c r="F593" s="785" t="s">
        <v>2333</v>
      </c>
      <c r="G593" s="790" t="s">
        <v>4411</v>
      </c>
      <c r="H593" s="791" t="s">
        <v>4412</v>
      </c>
      <c r="I593" s="792"/>
      <c r="J593" s="793"/>
      <c r="K593" s="793"/>
      <c r="L593" s="793"/>
      <c r="M593" s="793">
        <v>1</v>
      </c>
      <c r="N593" s="793"/>
      <c r="O593" s="793"/>
      <c r="P593" s="794"/>
      <c r="Q593" s="795">
        <f t="shared" si="9"/>
        <v>1</v>
      </c>
      <c r="R593" s="789" t="s">
        <v>1030</v>
      </c>
      <c r="S593" s="773" t="s">
        <v>1008</v>
      </c>
      <c r="T593" s="796" t="s">
        <v>1009</v>
      </c>
      <c r="U593" s="773" t="s">
        <v>2029</v>
      </c>
      <c r="V593" s="773" t="s">
        <v>1033</v>
      </c>
      <c r="W593" s="773" t="s">
        <v>4413</v>
      </c>
      <c r="X593" s="829">
        <v>0</v>
      </c>
      <c r="Y593" s="821" t="s">
        <v>1010</v>
      </c>
      <c r="Z593" s="790"/>
      <c r="AA593" s="785"/>
      <c r="AB593" s="785"/>
      <c r="AC593" s="785"/>
      <c r="AD593" s="785"/>
      <c r="AE593" s="785"/>
      <c r="AF593" s="799"/>
      <c r="AG593" s="797"/>
      <c r="AH593" s="797"/>
      <c r="AI593" s="797"/>
      <c r="AJ593" s="797"/>
      <c r="AK593" s="797"/>
      <c r="AL593" s="797"/>
      <c r="AM593" s="797"/>
      <c r="AN593" s="797"/>
      <c r="AO593" s="797"/>
      <c r="AP593" s="797"/>
      <c r="AQ593" s="827">
        <v>61767</v>
      </c>
      <c r="AR593" s="797">
        <v>68246</v>
      </c>
      <c r="AS593" s="797">
        <v>74606</v>
      </c>
      <c r="AT593" s="797">
        <v>80858</v>
      </c>
      <c r="AU593" s="841">
        <v>87029</v>
      </c>
      <c r="AV593" s="827"/>
      <c r="AW593" s="797"/>
      <c r="AX593" s="797"/>
      <c r="AY593" s="797"/>
      <c r="AZ593" s="797"/>
      <c r="BA593" s="797"/>
      <c r="BB593" s="797"/>
      <c r="BC593" s="797"/>
      <c r="BD593" s="797"/>
      <c r="BE593" s="797"/>
      <c r="BF593" s="797"/>
      <c r="BG593" s="797"/>
      <c r="BH593" s="797"/>
      <c r="BI593" s="797"/>
      <c r="BJ593" s="797"/>
      <c r="BK593" s="841"/>
      <c r="BL593" s="789" t="s">
        <v>168</v>
      </c>
      <c r="BM593" s="785" t="s">
        <v>168</v>
      </c>
      <c r="BN593" s="785" t="s">
        <v>168</v>
      </c>
      <c r="BO593" s="785" t="s">
        <v>168</v>
      </c>
      <c r="BP593" s="785" t="s">
        <v>168</v>
      </c>
      <c r="BQ593" s="808" t="s">
        <v>1942</v>
      </c>
      <c r="BR593" s="800" t="s">
        <v>1942</v>
      </c>
      <c r="BS593" s="800" t="s">
        <v>1942</v>
      </c>
      <c r="BT593" s="800" t="s">
        <v>1942</v>
      </c>
      <c r="BU593" s="805" t="s">
        <v>1942</v>
      </c>
      <c r="BV593" s="827">
        <v>53642</v>
      </c>
      <c r="BW593" s="797">
        <v>57524</v>
      </c>
      <c r="BX593" s="797">
        <v>61338</v>
      </c>
      <c r="BY593" s="797">
        <v>65092</v>
      </c>
      <c r="BZ593" s="797">
        <v>68804</v>
      </c>
      <c r="CA593" s="808" t="s">
        <v>1942</v>
      </c>
      <c r="CB593" s="800" t="s">
        <v>1942</v>
      </c>
      <c r="CC593" s="800" t="s">
        <v>1942</v>
      </c>
      <c r="CD593" s="800" t="s">
        <v>1942</v>
      </c>
      <c r="CE593" s="805" t="s">
        <v>1942</v>
      </c>
      <c r="CF593" s="800" t="s">
        <v>1942</v>
      </c>
      <c r="CG593" s="800" t="s">
        <v>1942</v>
      </c>
      <c r="CH593" s="800" t="s">
        <v>1942</v>
      </c>
      <c r="CI593" s="800" t="s">
        <v>1942</v>
      </c>
      <c r="CJ593" s="805" t="s">
        <v>1942</v>
      </c>
      <c r="CK593" s="827">
        <v>69942</v>
      </c>
      <c r="CL593" s="797">
        <v>79032</v>
      </c>
      <c r="CM593" s="797">
        <v>87953</v>
      </c>
      <c r="CN593" s="797">
        <v>96719</v>
      </c>
      <c r="CO593" s="841">
        <v>105363</v>
      </c>
      <c r="CP593" s="808" t="s">
        <v>1942</v>
      </c>
      <c r="CQ593" s="800" t="s">
        <v>1942</v>
      </c>
      <c r="CR593" s="800" t="s">
        <v>1942</v>
      </c>
      <c r="CS593" s="800" t="s">
        <v>1942</v>
      </c>
      <c r="CT593" s="805" t="s">
        <v>1942</v>
      </c>
      <c r="CU593" s="1284">
        <v>-1.2999999999999999E-5</v>
      </c>
      <c r="CV593" s="1283" t="s">
        <v>1942</v>
      </c>
      <c r="CW593" s="1283" t="s">
        <v>1942</v>
      </c>
      <c r="CX593" s="1285" t="s">
        <v>1942</v>
      </c>
      <c r="CY593" s="1283">
        <v>1.1E-5</v>
      </c>
      <c r="CZ593" s="1283" t="s">
        <v>1942</v>
      </c>
      <c r="DA593" s="1283" t="s">
        <v>1942</v>
      </c>
      <c r="DB593" s="1285" t="s">
        <v>1942</v>
      </c>
      <c r="DC593" s="785"/>
      <c r="DD593" s="813">
        <v>1</v>
      </c>
      <c r="DE593" s="814"/>
    </row>
    <row r="594" spans="1:109" ht="15.75" hidden="1" customHeight="1">
      <c r="A594" s="772" t="s">
        <v>1054</v>
      </c>
      <c r="B594" s="773">
        <v>588</v>
      </c>
      <c r="C594" s="789" t="s">
        <v>4414</v>
      </c>
      <c r="D594" s="773" t="s">
        <v>4410</v>
      </c>
      <c r="E594" s="773" t="s">
        <v>1907</v>
      </c>
      <c r="F594" s="785" t="s">
        <v>2337</v>
      </c>
      <c r="G594" s="790" t="s">
        <v>4415</v>
      </c>
      <c r="H594" s="791" t="s">
        <v>4416</v>
      </c>
      <c r="I594" s="792"/>
      <c r="J594" s="793"/>
      <c r="K594" s="793"/>
      <c r="L594" s="793"/>
      <c r="M594" s="793">
        <v>1</v>
      </c>
      <c r="N594" s="793"/>
      <c r="O594" s="793"/>
      <c r="P594" s="794"/>
      <c r="Q594" s="795">
        <f t="shared" si="9"/>
        <v>1</v>
      </c>
      <c r="R594" s="789" t="s">
        <v>1007</v>
      </c>
      <c r="S594" s="773"/>
      <c r="T594" s="796"/>
      <c r="U594" s="773" t="s">
        <v>2029</v>
      </c>
      <c r="V594" s="773" t="s">
        <v>1033</v>
      </c>
      <c r="W594" s="773" t="s">
        <v>4417</v>
      </c>
      <c r="X594" s="829">
        <v>0</v>
      </c>
      <c r="Y594" s="821" t="s">
        <v>1010</v>
      </c>
      <c r="Z594" s="790"/>
      <c r="AA594" s="785"/>
      <c r="AB594" s="785"/>
      <c r="AC594" s="785"/>
      <c r="AD594" s="785"/>
      <c r="AE594" s="785"/>
      <c r="AF594" s="799"/>
      <c r="AG594" s="800"/>
      <c r="AH594" s="800"/>
      <c r="AI594" s="800"/>
      <c r="AJ594" s="797"/>
      <c r="AK594" s="797"/>
      <c r="AL594" s="797"/>
      <c r="AM594" s="797"/>
      <c r="AN594" s="797"/>
      <c r="AO594" s="797"/>
      <c r="AP594" s="797"/>
      <c r="AQ594" s="827">
        <v>2300</v>
      </c>
      <c r="AR594" s="797">
        <v>2300</v>
      </c>
      <c r="AS594" s="797">
        <v>2300</v>
      </c>
      <c r="AT594" s="797">
        <v>2300</v>
      </c>
      <c r="AU594" s="841">
        <v>2300</v>
      </c>
      <c r="AV594" s="827"/>
      <c r="AW594" s="797"/>
      <c r="AX594" s="797"/>
      <c r="AY594" s="797"/>
      <c r="AZ594" s="797"/>
      <c r="BA594" s="797"/>
      <c r="BB594" s="797"/>
      <c r="BC594" s="797"/>
      <c r="BD594" s="797"/>
      <c r="BE594" s="797"/>
      <c r="BF594" s="797"/>
      <c r="BG594" s="797"/>
      <c r="BH594" s="797"/>
      <c r="BI594" s="797"/>
      <c r="BJ594" s="797"/>
      <c r="BK594" s="841"/>
      <c r="BL594" s="789"/>
      <c r="BM594" s="785"/>
      <c r="BN594" s="785"/>
      <c r="BO594" s="785"/>
      <c r="BP594" s="785"/>
      <c r="BQ594" s="808" t="s">
        <v>1942</v>
      </c>
      <c r="BR594" s="800" t="s">
        <v>1942</v>
      </c>
      <c r="BS594" s="800" t="s">
        <v>1942</v>
      </c>
      <c r="BT594" s="800" t="s">
        <v>1942</v>
      </c>
      <c r="BU594" s="805" t="s">
        <v>1942</v>
      </c>
      <c r="BV594" s="808" t="s">
        <v>1942</v>
      </c>
      <c r="BW594" s="800" t="s">
        <v>1942</v>
      </c>
      <c r="BX594" s="800" t="s">
        <v>1942</v>
      </c>
      <c r="BY594" s="800" t="s">
        <v>1942</v>
      </c>
      <c r="BZ594" s="800" t="s">
        <v>1942</v>
      </c>
      <c r="CA594" s="808" t="s">
        <v>1942</v>
      </c>
      <c r="CB594" s="800" t="s">
        <v>1942</v>
      </c>
      <c r="CC594" s="800" t="s">
        <v>1942</v>
      </c>
      <c r="CD594" s="800" t="s">
        <v>1942</v>
      </c>
      <c r="CE594" s="805" t="s">
        <v>1942</v>
      </c>
      <c r="CF594" s="800" t="s">
        <v>1942</v>
      </c>
      <c r="CG594" s="800" t="s">
        <v>1942</v>
      </c>
      <c r="CH594" s="800" t="s">
        <v>1942</v>
      </c>
      <c r="CI594" s="800" t="s">
        <v>1942</v>
      </c>
      <c r="CJ594" s="805" t="s">
        <v>1942</v>
      </c>
      <c r="CK594" s="808" t="s">
        <v>1942</v>
      </c>
      <c r="CL594" s="800" t="s">
        <v>1942</v>
      </c>
      <c r="CM594" s="800" t="s">
        <v>1942</v>
      </c>
      <c r="CN594" s="800" t="s">
        <v>1942</v>
      </c>
      <c r="CO594" s="805" t="s">
        <v>1942</v>
      </c>
      <c r="CP594" s="808" t="s">
        <v>1942</v>
      </c>
      <c r="CQ594" s="800" t="s">
        <v>1942</v>
      </c>
      <c r="CR594" s="800" t="s">
        <v>1942</v>
      </c>
      <c r="CS594" s="800" t="s">
        <v>1942</v>
      </c>
      <c r="CT594" s="805" t="s">
        <v>1942</v>
      </c>
      <c r="CU594" s="1284" t="s">
        <v>1942</v>
      </c>
      <c r="CV594" s="1283" t="s">
        <v>1942</v>
      </c>
      <c r="CW594" s="1283" t="s">
        <v>1942</v>
      </c>
      <c r="CX594" s="1285" t="s">
        <v>1942</v>
      </c>
      <c r="CY594" s="1283" t="s">
        <v>1942</v>
      </c>
      <c r="CZ594" s="1283" t="s">
        <v>1942</v>
      </c>
      <c r="DA594" s="1283" t="s">
        <v>1942</v>
      </c>
      <c r="DB594" s="1285" t="s">
        <v>1942</v>
      </c>
      <c r="DC594" s="785"/>
      <c r="DD594" s="813">
        <v>1</v>
      </c>
      <c r="DE594" s="814"/>
    </row>
    <row r="595" spans="1:109" ht="15.75" hidden="1" customHeight="1">
      <c r="A595" s="772" t="s">
        <v>1054</v>
      </c>
      <c r="B595" s="773">
        <v>589</v>
      </c>
      <c r="C595" s="789" t="s">
        <v>4418</v>
      </c>
      <c r="D595" s="773" t="s">
        <v>4410</v>
      </c>
      <c r="E595" s="773" t="s">
        <v>1907</v>
      </c>
      <c r="F595" s="785" t="s">
        <v>2342</v>
      </c>
      <c r="G595" s="790" t="s">
        <v>4419</v>
      </c>
      <c r="H595" s="791" t="s">
        <v>4420</v>
      </c>
      <c r="I595" s="792"/>
      <c r="J595" s="793"/>
      <c r="K595" s="793"/>
      <c r="L595" s="793"/>
      <c r="M595" s="793">
        <v>1</v>
      </c>
      <c r="N595" s="793"/>
      <c r="O595" s="793"/>
      <c r="P595" s="794"/>
      <c r="Q595" s="795">
        <f t="shared" si="9"/>
        <v>1</v>
      </c>
      <c r="R595" s="789" t="s">
        <v>1030</v>
      </c>
      <c r="S595" s="773" t="s">
        <v>1008</v>
      </c>
      <c r="T595" s="796" t="s">
        <v>1009</v>
      </c>
      <c r="U595" s="773" t="s">
        <v>2763</v>
      </c>
      <c r="V595" s="773" t="s">
        <v>278</v>
      </c>
      <c r="W595" s="773" t="s">
        <v>4421</v>
      </c>
      <c r="X595" s="829">
        <v>2</v>
      </c>
      <c r="Y595" s="821" t="s">
        <v>1020</v>
      </c>
      <c r="Z595" s="790"/>
      <c r="AA595" s="785"/>
      <c r="AB595" s="785"/>
      <c r="AC595" s="785"/>
      <c r="AD595" s="785"/>
      <c r="AE595" s="785"/>
      <c r="AF595" s="799"/>
      <c r="AG595" s="800"/>
      <c r="AH595" s="800"/>
      <c r="AI595" s="807"/>
      <c r="AJ595" s="807"/>
      <c r="AK595" s="807"/>
      <c r="AL595" s="807"/>
      <c r="AM595" s="807"/>
      <c r="AN595" s="807"/>
      <c r="AO595" s="807"/>
      <c r="AP595" s="807"/>
      <c r="AQ595" s="806">
        <v>2</v>
      </c>
      <c r="AR595" s="807">
        <v>2</v>
      </c>
      <c r="AS595" s="807">
        <v>2</v>
      </c>
      <c r="AT595" s="807">
        <v>2</v>
      </c>
      <c r="AU595" s="820">
        <v>2</v>
      </c>
      <c r="AV595" s="806"/>
      <c r="AW595" s="807"/>
      <c r="AX595" s="807"/>
      <c r="AY595" s="807"/>
      <c r="AZ595" s="807"/>
      <c r="BA595" s="807"/>
      <c r="BB595" s="807"/>
      <c r="BC595" s="807"/>
      <c r="BD595" s="807"/>
      <c r="BE595" s="807"/>
      <c r="BF595" s="807"/>
      <c r="BG595" s="807"/>
      <c r="BH595" s="807"/>
      <c r="BI595" s="807"/>
      <c r="BJ595" s="807"/>
      <c r="BK595" s="820"/>
      <c r="BL595" s="789" t="s">
        <v>168</v>
      </c>
      <c r="BM595" s="785" t="s">
        <v>168</v>
      </c>
      <c r="BN595" s="785" t="s">
        <v>168</v>
      </c>
      <c r="BO595" s="785" t="s">
        <v>168</v>
      </c>
      <c r="BP595" s="785" t="s">
        <v>168</v>
      </c>
      <c r="BQ595" s="808" t="s">
        <v>1942</v>
      </c>
      <c r="BR595" s="800" t="s">
        <v>1942</v>
      </c>
      <c r="BS595" s="800" t="s">
        <v>1942</v>
      </c>
      <c r="BT595" s="800" t="s">
        <v>1942</v>
      </c>
      <c r="BU595" s="805" t="s">
        <v>1942</v>
      </c>
      <c r="BV595" s="806">
        <v>2.56</v>
      </c>
      <c r="BW595" s="807">
        <v>2.56</v>
      </c>
      <c r="BX595" s="807">
        <v>2.56</v>
      </c>
      <c r="BY595" s="807">
        <v>2.56</v>
      </c>
      <c r="BZ595" s="807">
        <v>2.56</v>
      </c>
      <c r="CA595" s="808" t="s">
        <v>1942</v>
      </c>
      <c r="CB595" s="800" t="s">
        <v>1942</v>
      </c>
      <c r="CC595" s="800" t="s">
        <v>1942</v>
      </c>
      <c r="CD595" s="800" t="s">
        <v>1942</v>
      </c>
      <c r="CE595" s="805" t="s">
        <v>1942</v>
      </c>
      <c r="CF595" s="810" t="s">
        <v>1942</v>
      </c>
      <c r="CG595" s="810" t="s">
        <v>1942</v>
      </c>
      <c r="CH595" s="810" t="s">
        <v>1942</v>
      </c>
      <c r="CI595" s="810" t="s">
        <v>1942</v>
      </c>
      <c r="CJ595" s="811" t="s">
        <v>1942</v>
      </c>
      <c r="CK595" s="808">
        <v>1.5</v>
      </c>
      <c r="CL595" s="800">
        <v>1.5</v>
      </c>
      <c r="CM595" s="800">
        <v>1.5</v>
      </c>
      <c r="CN595" s="800">
        <v>1.5</v>
      </c>
      <c r="CO595" s="805">
        <v>1.5</v>
      </c>
      <c r="CP595" s="808" t="s">
        <v>1942</v>
      </c>
      <c r="CQ595" s="800" t="s">
        <v>1942</v>
      </c>
      <c r="CR595" s="800" t="s">
        <v>1942</v>
      </c>
      <c r="CS595" s="800" t="s">
        <v>1942</v>
      </c>
      <c r="CT595" s="805" t="s">
        <v>1942</v>
      </c>
      <c r="CU595" s="1284">
        <v>-1.931</v>
      </c>
      <c r="CV595" s="1283" t="s">
        <v>1942</v>
      </c>
      <c r="CW595" s="1283" t="s">
        <v>1942</v>
      </c>
      <c r="CX595" s="1285" t="s">
        <v>1942</v>
      </c>
      <c r="CY595" s="1283">
        <v>1.931</v>
      </c>
      <c r="CZ595" s="1283" t="s">
        <v>1942</v>
      </c>
      <c r="DA595" s="1283" t="s">
        <v>1942</v>
      </c>
      <c r="DB595" s="1285" t="s">
        <v>1942</v>
      </c>
      <c r="DC595" s="785"/>
      <c r="DD595" s="813">
        <v>1</v>
      </c>
      <c r="DE595" s="814"/>
    </row>
    <row r="596" spans="1:109" ht="15.75" hidden="1" customHeight="1">
      <c r="A596" s="772" t="s">
        <v>1054</v>
      </c>
      <c r="B596" s="773">
        <v>590</v>
      </c>
      <c r="C596" s="789" t="s">
        <v>4422</v>
      </c>
      <c r="D596" s="773" t="s">
        <v>4410</v>
      </c>
      <c r="E596" s="773" t="s">
        <v>1907</v>
      </c>
      <c r="F596" s="785" t="s">
        <v>4423</v>
      </c>
      <c r="G596" s="790" t="s">
        <v>2574</v>
      </c>
      <c r="H596" s="791" t="s">
        <v>4424</v>
      </c>
      <c r="I596" s="792"/>
      <c r="J596" s="793"/>
      <c r="K596" s="793"/>
      <c r="L596" s="793"/>
      <c r="M596" s="793">
        <v>1</v>
      </c>
      <c r="N596" s="793"/>
      <c r="O596" s="793"/>
      <c r="P596" s="794"/>
      <c r="Q596" s="795">
        <f t="shared" si="9"/>
        <v>1</v>
      </c>
      <c r="R596" s="789" t="s">
        <v>1030</v>
      </c>
      <c r="S596" s="773" t="s">
        <v>1008</v>
      </c>
      <c r="T596" s="796" t="s">
        <v>1009</v>
      </c>
      <c r="U596" s="773" t="s">
        <v>2763</v>
      </c>
      <c r="V596" s="773" t="s">
        <v>1033</v>
      </c>
      <c r="W596" s="773" t="s">
        <v>4425</v>
      </c>
      <c r="X596" s="829">
        <v>0</v>
      </c>
      <c r="Y596" s="821" t="s">
        <v>1010</v>
      </c>
      <c r="Z596" s="790"/>
      <c r="AA596" s="785"/>
      <c r="AB596" s="785"/>
      <c r="AC596" s="785"/>
      <c r="AD596" s="785"/>
      <c r="AE596" s="785"/>
      <c r="AF596" s="799"/>
      <c r="AG596" s="800"/>
      <c r="AH596" s="800"/>
      <c r="AI596" s="800"/>
      <c r="AJ596" s="800"/>
      <c r="AK596" s="800"/>
      <c r="AL596" s="800"/>
      <c r="AM596" s="800"/>
      <c r="AN596" s="800"/>
      <c r="AO596" s="800"/>
      <c r="AP596" s="800"/>
      <c r="AQ596" s="808">
        <v>112</v>
      </c>
      <c r="AR596" s="800">
        <v>112</v>
      </c>
      <c r="AS596" s="800">
        <v>112</v>
      </c>
      <c r="AT596" s="800">
        <v>112</v>
      </c>
      <c r="AU596" s="805">
        <v>112</v>
      </c>
      <c r="AV596" s="808"/>
      <c r="AW596" s="800"/>
      <c r="AX596" s="800"/>
      <c r="AY596" s="800"/>
      <c r="AZ596" s="800"/>
      <c r="BA596" s="800"/>
      <c r="BB596" s="800"/>
      <c r="BC596" s="800"/>
      <c r="BD596" s="800"/>
      <c r="BE596" s="800"/>
      <c r="BF596" s="800"/>
      <c r="BG596" s="800"/>
      <c r="BH596" s="800"/>
      <c r="BI596" s="800"/>
      <c r="BJ596" s="800"/>
      <c r="BK596" s="805"/>
      <c r="BL596" s="789" t="s">
        <v>168</v>
      </c>
      <c r="BM596" s="785" t="s">
        <v>168</v>
      </c>
      <c r="BN596" s="785" t="s">
        <v>168</v>
      </c>
      <c r="BO596" s="785" t="s">
        <v>168</v>
      </c>
      <c r="BP596" s="796" t="s">
        <v>168</v>
      </c>
      <c r="BQ596" s="808" t="s">
        <v>1942</v>
      </c>
      <c r="BR596" s="800" t="s">
        <v>1942</v>
      </c>
      <c r="BS596" s="800" t="s">
        <v>1942</v>
      </c>
      <c r="BT596" s="800" t="s">
        <v>1942</v>
      </c>
      <c r="BU596" s="805" t="s">
        <v>1942</v>
      </c>
      <c r="BV596" s="808" t="s">
        <v>1942</v>
      </c>
      <c r="BW596" s="800" t="s">
        <v>1942</v>
      </c>
      <c r="BX596" s="800" t="s">
        <v>1942</v>
      </c>
      <c r="BY596" s="800" t="s">
        <v>1942</v>
      </c>
      <c r="BZ596" s="800" t="s">
        <v>1942</v>
      </c>
      <c r="CA596" s="808" t="s">
        <v>1942</v>
      </c>
      <c r="CB596" s="800" t="s">
        <v>1942</v>
      </c>
      <c r="CC596" s="800" t="s">
        <v>1942</v>
      </c>
      <c r="CD596" s="800" t="s">
        <v>1942</v>
      </c>
      <c r="CE596" s="805" t="s">
        <v>1942</v>
      </c>
      <c r="CF596" s="800" t="s">
        <v>1942</v>
      </c>
      <c r="CG596" s="800" t="s">
        <v>1942</v>
      </c>
      <c r="CH596" s="800" t="s">
        <v>1942</v>
      </c>
      <c r="CI596" s="800" t="s">
        <v>1942</v>
      </c>
      <c r="CJ596" s="805" t="s">
        <v>1942</v>
      </c>
      <c r="CK596" s="808" t="s">
        <v>1942</v>
      </c>
      <c r="CL596" s="800" t="s">
        <v>1942</v>
      </c>
      <c r="CM596" s="800" t="s">
        <v>1942</v>
      </c>
      <c r="CN596" s="800" t="s">
        <v>1942</v>
      </c>
      <c r="CO596" s="805" t="s">
        <v>1942</v>
      </c>
      <c r="CP596" s="808" t="s">
        <v>1942</v>
      </c>
      <c r="CQ596" s="800" t="s">
        <v>1942</v>
      </c>
      <c r="CR596" s="800" t="s">
        <v>1942</v>
      </c>
      <c r="CS596" s="800" t="s">
        <v>1942</v>
      </c>
      <c r="CT596" s="805" t="s">
        <v>1942</v>
      </c>
      <c r="CU596" s="1284">
        <v>-2.5999999999999998E-4</v>
      </c>
      <c r="CV596" s="1283" t="s">
        <v>1942</v>
      </c>
      <c r="CW596" s="1283" t="s">
        <v>1942</v>
      </c>
      <c r="CX596" s="1285" t="s">
        <v>1942</v>
      </c>
      <c r="CY596" s="1283">
        <v>1.45E-4</v>
      </c>
      <c r="CZ596" s="1283" t="s">
        <v>1942</v>
      </c>
      <c r="DA596" s="1283" t="s">
        <v>1942</v>
      </c>
      <c r="DB596" s="1285" t="s">
        <v>1942</v>
      </c>
      <c r="DC596" s="785"/>
      <c r="DD596" s="813">
        <v>1</v>
      </c>
      <c r="DE596" s="814"/>
    </row>
    <row r="597" spans="1:109" ht="15.75" hidden="1" customHeight="1">
      <c r="A597" s="772" t="s">
        <v>1054</v>
      </c>
      <c r="B597" s="773">
        <v>591</v>
      </c>
      <c r="C597" s="789" t="s">
        <v>4426</v>
      </c>
      <c r="D597" s="773" t="s">
        <v>4427</v>
      </c>
      <c r="E597" s="773" t="s">
        <v>1907</v>
      </c>
      <c r="F597" s="785" t="s">
        <v>4428</v>
      </c>
      <c r="G597" s="790" t="s">
        <v>1931</v>
      </c>
      <c r="H597" s="791" t="s">
        <v>1069</v>
      </c>
      <c r="I597" s="792"/>
      <c r="J597" s="793"/>
      <c r="K597" s="793"/>
      <c r="L597" s="793"/>
      <c r="M597" s="793">
        <v>1</v>
      </c>
      <c r="N597" s="793"/>
      <c r="O597" s="793"/>
      <c r="P597" s="794"/>
      <c r="Q597" s="795">
        <f t="shared" si="9"/>
        <v>1</v>
      </c>
      <c r="R597" s="789" t="s">
        <v>1030</v>
      </c>
      <c r="S597" s="773" t="s">
        <v>1008</v>
      </c>
      <c r="T597" s="796" t="s">
        <v>1009</v>
      </c>
      <c r="U597" s="773" t="s">
        <v>1069</v>
      </c>
      <c r="V597" s="773" t="s">
        <v>1081</v>
      </c>
      <c r="W597" s="773" t="s">
        <v>2038</v>
      </c>
      <c r="X597" s="1274">
        <v>2</v>
      </c>
      <c r="Y597" s="821" t="s">
        <v>1010</v>
      </c>
      <c r="Z597" s="790" t="s">
        <v>1931</v>
      </c>
      <c r="AA597" s="785"/>
      <c r="AB597" s="785"/>
      <c r="AC597" s="785"/>
      <c r="AD597" s="785"/>
      <c r="AE597" s="785"/>
      <c r="AF597" s="799"/>
      <c r="AG597" s="824"/>
      <c r="AH597" s="824"/>
      <c r="AI597" s="824"/>
      <c r="AJ597" s="824"/>
      <c r="AK597" s="824"/>
      <c r="AL597" s="824"/>
      <c r="AM597" s="824"/>
      <c r="AN597" s="824"/>
      <c r="AO597" s="824"/>
      <c r="AP597" s="824"/>
      <c r="AQ597" s="1735"/>
      <c r="AR597" s="1736"/>
      <c r="AS597" s="1736"/>
      <c r="AT597" s="1736"/>
      <c r="AU597" s="1753"/>
      <c r="AV597" s="823"/>
      <c r="AW597" s="824"/>
      <c r="AX597" s="824"/>
      <c r="AY597" s="824"/>
      <c r="AZ597" s="824"/>
      <c r="BA597" s="824"/>
      <c r="BB597" s="824"/>
      <c r="BC597" s="824"/>
      <c r="BD597" s="824"/>
      <c r="BE597" s="824"/>
      <c r="BF597" s="824"/>
      <c r="BG597" s="824"/>
      <c r="BH597" s="824"/>
      <c r="BI597" s="824"/>
      <c r="BJ597" s="824"/>
      <c r="BK597" s="825"/>
      <c r="BL597" s="1376"/>
      <c r="BM597" s="1377"/>
      <c r="BN597" s="1377"/>
      <c r="BO597" s="1377"/>
      <c r="BP597" s="1377"/>
      <c r="BQ597" s="1420"/>
      <c r="BR597" s="1368"/>
      <c r="BS597" s="1368"/>
      <c r="BT597" s="1368"/>
      <c r="BU597" s="1369"/>
      <c r="BV597" s="1735"/>
      <c r="BW597" s="1736"/>
      <c r="BX597" s="1736"/>
      <c r="BY597" s="1736"/>
      <c r="BZ597" s="1736"/>
      <c r="CA597" s="1420"/>
      <c r="CB597" s="1368"/>
      <c r="CC597" s="1368"/>
      <c r="CD597" s="1368"/>
      <c r="CE597" s="1369"/>
      <c r="CF597" s="1368"/>
      <c r="CG597" s="1368"/>
      <c r="CH597" s="1368"/>
      <c r="CI597" s="1368"/>
      <c r="CJ597" s="1368"/>
      <c r="CK597" s="1735"/>
      <c r="CL597" s="1736"/>
      <c r="CM597" s="1736"/>
      <c r="CN597" s="1736"/>
      <c r="CO597" s="1753"/>
      <c r="CP597" s="1420"/>
      <c r="CQ597" s="1368"/>
      <c r="CR597" s="1368"/>
      <c r="CS597" s="1368"/>
      <c r="CT597" s="1369"/>
      <c r="CU597" s="1528"/>
      <c r="CV597" s="1519"/>
      <c r="CW597" s="1519"/>
      <c r="CX597" s="1728"/>
      <c r="CY597" s="1519"/>
      <c r="CZ597" s="1519"/>
      <c r="DA597" s="1519"/>
      <c r="DB597" s="1728"/>
      <c r="DC597" s="1377"/>
      <c r="DD597" s="1729"/>
      <c r="DE597" s="1734"/>
    </row>
    <row r="598" spans="1:109" ht="15.75" hidden="1" customHeight="1">
      <c r="A598" s="772" t="s">
        <v>1054</v>
      </c>
      <c r="B598" s="773">
        <v>592</v>
      </c>
      <c r="C598" s="789" t="s">
        <v>4429</v>
      </c>
      <c r="D598" s="773" t="s">
        <v>4427</v>
      </c>
      <c r="E598" s="773" t="s">
        <v>1907</v>
      </c>
      <c r="F598" s="785" t="s">
        <v>4430</v>
      </c>
      <c r="G598" s="790" t="s">
        <v>1935</v>
      </c>
      <c r="H598" s="791" t="s">
        <v>1073</v>
      </c>
      <c r="I598" s="792"/>
      <c r="J598" s="793">
        <v>0.37</v>
      </c>
      <c r="K598" s="793">
        <v>0.63</v>
      </c>
      <c r="L598" s="793"/>
      <c r="M598" s="793"/>
      <c r="N598" s="793"/>
      <c r="O598" s="793"/>
      <c r="P598" s="794"/>
      <c r="Q598" s="795">
        <f t="shared" si="9"/>
        <v>1</v>
      </c>
      <c r="R598" s="789" t="s">
        <v>1030</v>
      </c>
      <c r="S598" s="773" t="s">
        <v>1008</v>
      </c>
      <c r="T598" s="796" t="s">
        <v>1009</v>
      </c>
      <c r="U598" s="773" t="s">
        <v>1073</v>
      </c>
      <c r="V598" s="773" t="s">
        <v>1081</v>
      </c>
      <c r="W598" s="773" t="s">
        <v>4431</v>
      </c>
      <c r="X598" s="1274">
        <v>2</v>
      </c>
      <c r="Y598" s="821" t="s">
        <v>1010</v>
      </c>
      <c r="Z598" s="790" t="s">
        <v>1935</v>
      </c>
      <c r="AA598" s="785"/>
      <c r="AB598" s="785"/>
      <c r="AC598" s="785"/>
      <c r="AD598" s="785"/>
      <c r="AE598" s="785"/>
      <c r="AF598" s="799"/>
      <c r="AG598" s="800"/>
      <c r="AH598" s="800"/>
      <c r="AI598" s="800"/>
      <c r="AJ598" s="800"/>
      <c r="AK598" s="800"/>
      <c r="AL598" s="800"/>
      <c r="AM598" s="800"/>
      <c r="AN598" s="800"/>
      <c r="AO598" s="800"/>
      <c r="AP598" s="800"/>
      <c r="AQ598" s="1420"/>
      <c r="AR598" s="1368"/>
      <c r="AS598" s="1368"/>
      <c r="AT598" s="1368"/>
      <c r="AU598" s="1369"/>
      <c r="AV598" s="808"/>
      <c r="AW598" s="800"/>
      <c r="AX598" s="800"/>
      <c r="AY598" s="800"/>
      <c r="AZ598" s="800"/>
      <c r="BA598" s="800"/>
      <c r="BB598" s="800"/>
      <c r="BC598" s="800"/>
      <c r="BD598" s="800"/>
      <c r="BE598" s="800"/>
      <c r="BF598" s="800"/>
      <c r="BG598" s="800"/>
      <c r="BH598" s="800"/>
      <c r="BI598" s="800"/>
      <c r="BJ598" s="800"/>
      <c r="BK598" s="805"/>
      <c r="BL598" s="1376"/>
      <c r="BM598" s="1377"/>
      <c r="BN598" s="1377"/>
      <c r="BO598" s="1377"/>
      <c r="BP598" s="1377"/>
      <c r="BQ598" s="1420"/>
      <c r="BR598" s="1368"/>
      <c r="BS598" s="1368"/>
      <c r="BT598" s="1368"/>
      <c r="BU598" s="1369"/>
      <c r="BV598" s="1420"/>
      <c r="BW598" s="1368"/>
      <c r="BX598" s="1368"/>
      <c r="BY598" s="1368"/>
      <c r="BZ598" s="1368"/>
      <c r="CA598" s="1420"/>
      <c r="CB598" s="1368"/>
      <c r="CC598" s="1368"/>
      <c r="CD598" s="1368"/>
      <c r="CE598" s="1369"/>
      <c r="CF598" s="1368"/>
      <c r="CG598" s="1368"/>
      <c r="CH598" s="1368"/>
      <c r="CI598" s="1368"/>
      <c r="CJ598" s="1369"/>
      <c r="CK598" s="1420"/>
      <c r="CL598" s="1368"/>
      <c r="CM598" s="1368"/>
      <c r="CN598" s="1368"/>
      <c r="CO598" s="1369"/>
      <c r="CP598" s="1420"/>
      <c r="CQ598" s="1368"/>
      <c r="CR598" s="1368"/>
      <c r="CS598" s="1368"/>
      <c r="CT598" s="1369"/>
      <c r="CU598" s="1528"/>
      <c r="CV598" s="1519"/>
      <c r="CW598" s="1519"/>
      <c r="CX598" s="1728"/>
      <c r="CY598" s="1519"/>
      <c r="CZ598" s="1519"/>
      <c r="DA598" s="1519"/>
      <c r="DB598" s="1728"/>
      <c r="DC598" s="1377"/>
      <c r="DD598" s="1729"/>
      <c r="DE598" s="1734"/>
    </row>
    <row r="599" spans="1:109" ht="15.75" hidden="1" customHeight="1">
      <c r="A599" s="772" t="s">
        <v>1054</v>
      </c>
      <c r="B599" s="773">
        <v>593</v>
      </c>
      <c r="C599" s="789" t="s">
        <v>4432</v>
      </c>
      <c r="D599" s="773" t="s">
        <v>4427</v>
      </c>
      <c r="E599" s="773" t="s">
        <v>1896</v>
      </c>
      <c r="F599" s="785" t="s">
        <v>4433</v>
      </c>
      <c r="G599" s="790" t="s">
        <v>2253</v>
      </c>
      <c r="H599" s="791" t="s">
        <v>4434</v>
      </c>
      <c r="I599" s="792"/>
      <c r="J599" s="793"/>
      <c r="K599" s="793"/>
      <c r="L599" s="793"/>
      <c r="M599" s="793">
        <v>1</v>
      </c>
      <c r="N599" s="793"/>
      <c r="O599" s="793"/>
      <c r="P599" s="794"/>
      <c r="Q599" s="795">
        <f t="shared" si="9"/>
        <v>1</v>
      </c>
      <c r="R599" s="789" t="s">
        <v>1007</v>
      </c>
      <c r="S599" s="773"/>
      <c r="T599" s="796"/>
      <c r="U599" s="773" t="s">
        <v>2029</v>
      </c>
      <c r="V599" s="773" t="s">
        <v>278</v>
      </c>
      <c r="W599" s="773" t="s">
        <v>4435</v>
      </c>
      <c r="X599" s="829">
        <v>0</v>
      </c>
      <c r="Y599" s="821" t="s">
        <v>1010</v>
      </c>
      <c r="Z599" s="790"/>
      <c r="AA599" s="785"/>
      <c r="AB599" s="785"/>
      <c r="AC599" s="785"/>
      <c r="AD599" s="785"/>
      <c r="AE599" s="785"/>
      <c r="AF599" s="799"/>
      <c r="AG599" s="800"/>
      <c r="AH599" s="800"/>
      <c r="AI599" s="800"/>
      <c r="AJ599" s="800"/>
      <c r="AK599" s="800"/>
      <c r="AL599" s="800"/>
      <c r="AM599" s="800"/>
      <c r="AN599" s="800"/>
      <c r="AO599" s="800"/>
      <c r="AP599" s="800"/>
      <c r="AQ599" s="808">
        <v>77</v>
      </c>
      <c r="AR599" s="800">
        <v>79</v>
      </c>
      <c r="AS599" s="800">
        <v>81</v>
      </c>
      <c r="AT599" s="800">
        <v>83</v>
      </c>
      <c r="AU599" s="805">
        <v>84</v>
      </c>
      <c r="AV599" s="808"/>
      <c r="AW599" s="800"/>
      <c r="AX599" s="800"/>
      <c r="AY599" s="800"/>
      <c r="AZ599" s="800"/>
      <c r="BA599" s="800"/>
      <c r="BB599" s="800"/>
      <c r="BC599" s="800"/>
      <c r="BD599" s="800"/>
      <c r="BE599" s="800"/>
      <c r="BF599" s="800"/>
      <c r="BG599" s="800"/>
      <c r="BH599" s="800"/>
      <c r="BI599" s="800"/>
      <c r="BJ599" s="800"/>
      <c r="BK599" s="805"/>
      <c r="BL599" s="789"/>
      <c r="BM599" s="785"/>
      <c r="BN599" s="785"/>
      <c r="BO599" s="785"/>
      <c r="BP599" s="785"/>
      <c r="BQ599" s="808" t="s">
        <v>1942</v>
      </c>
      <c r="BR599" s="800" t="s">
        <v>1942</v>
      </c>
      <c r="BS599" s="800" t="s">
        <v>1942</v>
      </c>
      <c r="BT599" s="800" t="s">
        <v>1942</v>
      </c>
      <c r="BU599" s="805" t="s">
        <v>1942</v>
      </c>
      <c r="BV599" s="808" t="s">
        <v>1942</v>
      </c>
      <c r="BW599" s="800" t="s">
        <v>1942</v>
      </c>
      <c r="BX599" s="800" t="s">
        <v>1942</v>
      </c>
      <c r="BY599" s="800" t="s">
        <v>1942</v>
      </c>
      <c r="BZ599" s="800" t="s">
        <v>1942</v>
      </c>
      <c r="CA599" s="808" t="s">
        <v>1942</v>
      </c>
      <c r="CB599" s="800" t="s">
        <v>1942</v>
      </c>
      <c r="CC599" s="800" t="s">
        <v>1942</v>
      </c>
      <c r="CD599" s="800" t="s">
        <v>1942</v>
      </c>
      <c r="CE599" s="805" t="s">
        <v>1942</v>
      </c>
      <c r="CF599" s="800" t="s">
        <v>1942</v>
      </c>
      <c r="CG599" s="800" t="s">
        <v>1942</v>
      </c>
      <c r="CH599" s="800" t="s">
        <v>1942</v>
      </c>
      <c r="CI599" s="800" t="s">
        <v>1942</v>
      </c>
      <c r="CJ599" s="805" t="s">
        <v>1942</v>
      </c>
      <c r="CK599" s="808" t="s">
        <v>1942</v>
      </c>
      <c r="CL599" s="800" t="s">
        <v>1942</v>
      </c>
      <c r="CM599" s="800" t="s">
        <v>1942</v>
      </c>
      <c r="CN599" s="800" t="s">
        <v>1942</v>
      </c>
      <c r="CO599" s="805" t="s">
        <v>1942</v>
      </c>
      <c r="CP599" s="808" t="s">
        <v>1942</v>
      </c>
      <c r="CQ599" s="800" t="s">
        <v>1942</v>
      </c>
      <c r="CR599" s="800" t="s">
        <v>1942</v>
      </c>
      <c r="CS599" s="800" t="s">
        <v>1942</v>
      </c>
      <c r="CT599" s="805" t="s">
        <v>1942</v>
      </c>
      <c r="CU599" s="1284" t="s">
        <v>1942</v>
      </c>
      <c r="CV599" s="1283" t="s">
        <v>1942</v>
      </c>
      <c r="CW599" s="1283" t="s">
        <v>1942</v>
      </c>
      <c r="CX599" s="1285" t="s">
        <v>1942</v>
      </c>
      <c r="CY599" s="1283" t="s">
        <v>1942</v>
      </c>
      <c r="CZ599" s="1283" t="s">
        <v>1942</v>
      </c>
      <c r="DA599" s="1283" t="s">
        <v>1942</v>
      </c>
      <c r="DB599" s="1285" t="s">
        <v>1942</v>
      </c>
      <c r="DC599" s="785"/>
      <c r="DD599" s="813">
        <v>1</v>
      </c>
      <c r="DE599" s="814"/>
    </row>
    <row r="600" spans="1:109" ht="15.75" hidden="1" customHeight="1">
      <c r="A600" s="772" t="s">
        <v>1054</v>
      </c>
      <c r="B600" s="773">
        <v>594</v>
      </c>
      <c r="C600" s="789" t="s">
        <v>4436</v>
      </c>
      <c r="D600" s="773" t="s">
        <v>4437</v>
      </c>
      <c r="E600" s="773" t="s">
        <v>1907</v>
      </c>
      <c r="F600" s="785" t="s">
        <v>2377</v>
      </c>
      <c r="G600" s="790" t="s">
        <v>703</v>
      </c>
      <c r="H600" s="791" t="s">
        <v>4438</v>
      </c>
      <c r="I600" s="792"/>
      <c r="J600" s="793"/>
      <c r="K600" s="793"/>
      <c r="L600" s="793"/>
      <c r="M600" s="793">
        <v>1</v>
      </c>
      <c r="N600" s="793"/>
      <c r="O600" s="793"/>
      <c r="P600" s="794"/>
      <c r="Q600" s="795">
        <f t="shared" si="9"/>
        <v>1</v>
      </c>
      <c r="R600" s="789" t="s">
        <v>1007</v>
      </c>
      <c r="S600" s="773"/>
      <c r="T600" s="796"/>
      <c r="U600" s="773" t="s">
        <v>2029</v>
      </c>
      <c r="V600" s="773" t="s">
        <v>278</v>
      </c>
      <c r="W600" s="773" t="s">
        <v>4439</v>
      </c>
      <c r="X600" s="829">
        <v>1</v>
      </c>
      <c r="Y600" s="821" t="s">
        <v>1010</v>
      </c>
      <c r="Z600" s="790" t="s">
        <v>703</v>
      </c>
      <c r="AA600" s="785"/>
      <c r="AB600" s="785"/>
      <c r="AC600" s="785"/>
      <c r="AD600" s="785"/>
      <c r="AE600" s="785"/>
      <c r="AF600" s="799"/>
      <c r="AG600" s="800"/>
      <c r="AH600" s="800"/>
      <c r="AI600" s="800"/>
      <c r="AJ600" s="800"/>
      <c r="AK600" s="800"/>
      <c r="AL600" s="800"/>
      <c r="AM600" s="800"/>
      <c r="AN600" s="800"/>
      <c r="AO600" s="800"/>
      <c r="AP600" s="800"/>
      <c r="AQ600" s="1420"/>
      <c r="AR600" s="1368"/>
      <c r="AS600" s="1368"/>
      <c r="AT600" s="1368"/>
      <c r="AU600" s="1369"/>
      <c r="AV600" s="808"/>
      <c r="AW600" s="800"/>
      <c r="AX600" s="800"/>
      <c r="AY600" s="800"/>
      <c r="AZ600" s="800"/>
      <c r="BA600" s="800"/>
      <c r="BB600" s="800"/>
      <c r="BC600" s="800"/>
      <c r="BD600" s="800"/>
      <c r="BE600" s="800"/>
      <c r="BF600" s="800"/>
      <c r="BG600" s="800"/>
      <c r="BH600" s="800"/>
      <c r="BI600" s="800"/>
      <c r="BJ600" s="800"/>
      <c r="BK600" s="805"/>
      <c r="BL600" s="1376"/>
      <c r="BM600" s="1377"/>
      <c r="BN600" s="1377"/>
      <c r="BO600" s="1377"/>
      <c r="BP600" s="1377"/>
      <c r="BQ600" s="1420"/>
      <c r="BR600" s="1368"/>
      <c r="BS600" s="1368"/>
      <c r="BT600" s="1368"/>
      <c r="BU600" s="1369"/>
      <c r="BV600" s="1420"/>
      <c r="BW600" s="1368"/>
      <c r="BX600" s="1368"/>
      <c r="BY600" s="1368"/>
      <c r="BZ600" s="1368"/>
      <c r="CA600" s="1420"/>
      <c r="CB600" s="1368"/>
      <c r="CC600" s="1368"/>
      <c r="CD600" s="1368"/>
      <c r="CE600" s="1369"/>
      <c r="CF600" s="1368"/>
      <c r="CG600" s="1368"/>
      <c r="CH600" s="1368"/>
      <c r="CI600" s="1368"/>
      <c r="CJ600" s="1369"/>
      <c r="CK600" s="1420"/>
      <c r="CL600" s="1368"/>
      <c r="CM600" s="1368"/>
      <c r="CN600" s="1368"/>
      <c r="CO600" s="1369"/>
      <c r="CP600" s="1420"/>
      <c r="CQ600" s="1368"/>
      <c r="CR600" s="1368"/>
      <c r="CS600" s="1368"/>
      <c r="CT600" s="1369"/>
      <c r="CU600" s="1528"/>
      <c r="CV600" s="1519"/>
      <c r="CW600" s="1519"/>
      <c r="CX600" s="1728"/>
      <c r="CY600" s="1519"/>
      <c r="CZ600" s="1519"/>
      <c r="DA600" s="1519"/>
      <c r="DB600" s="1728"/>
      <c r="DC600" s="1377"/>
      <c r="DD600" s="1729"/>
      <c r="DE600" s="1734"/>
    </row>
    <row r="601" spans="1:109" ht="15.75" hidden="1" customHeight="1">
      <c r="A601" s="772" t="s">
        <v>1054</v>
      </c>
      <c r="B601" s="773">
        <v>595</v>
      </c>
      <c r="C601" s="789" t="s">
        <v>4440</v>
      </c>
      <c r="D601" s="773" t="s">
        <v>4437</v>
      </c>
      <c r="E601" s="773" t="s">
        <v>1896</v>
      </c>
      <c r="F601" s="785" t="s">
        <v>2382</v>
      </c>
      <c r="G601" s="790" t="s">
        <v>4441</v>
      </c>
      <c r="H601" s="791" t="s">
        <v>4442</v>
      </c>
      <c r="I601" s="792"/>
      <c r="J601" s="793"/>
      <c r="K601" s="793"/>
      <c r="L601" s="793"/>
      <c r="M601" s="793">
        <v>1</v>
      </c>
      <c r="N601" s="793"/>
      <c r="O601" s="793"/>
      <c r="P601" s="794"/>
      <c r="Q601" s="795">
        <f t="shared" si="9"/>
        <v>1</v>
      </c>
      <c r="R601" s="789" t="s">
        <v>1007</v>
      </c>
      <c r="S601" s="773"/>
      <c r="T601" s="796"/>
      <c r="U601" s="773" t="s">
        <v>2029</v>
      </c>
      <c r="V601" s="773" t="s">
        <v>1072</v>
      </c>
      <c r="W601" s="773" t="s">
        <v>4443</v>
      </c>
      <c r="X601" s="1276">
        <v>0</v>
      </c>
      <c r="Y601" s="821"/>
      <c r="Z601" s="790"/>
      <c r="AA601" s="785"/>
      <c r="AB601" s="785"/>
      <c r="AC601" s="785"/>
      <c r="AD601" s="785"/>
      <c r="AE601" s="785"/>
      <c r="AF601" s="799"/>
      <c r="AG601" s="800"/>
      <c r="AH601" s="800"/>
      <c r="AI601" s="800"/>
      <c r="AJ601" s="800"/>
      <c r="AK601" s="800"/>
      <c r="AL601" s="800"/>
      <c r="AM601" s="800"/>
      <c r="AN601" s="800"/>
      <c r="AO601" s="800"/>
      <c r="AP601" s="800"/>
      <c r="AQ601" s="808" t="s">
        <v>3695</v>
      </c>
      <c r="AR601" s="800" t="s">
        <v>3695</v>
      </c>
      <c r="AS601" s="800" t="s">
        <v>3695</v>
      </c>
      <c r="AT601" s="800" t="s">
        <v>3695</v>
      </c>
      <c r="AU601" s="805" t="s">
        <v>3695</v>
      </c>
      <c r="AV601" s="808"/>
      <c r="AW601" s="800"/>
      <c r="AX601" s="800"/>
      <c r="AY601" s="800"/>
      <c r="AZ601" s="800"/>
      <c r="BA601" s="800"/>
      <c r="BB601" s="800"/>
      <c r="BC601" s="800"/>
      <c r="BD601" s="800"/>
      <c r="BE601" s="800"/>
      <c r="BF601" s="800"/>
      <c r="BG601" s="800"/>
      <c r="BH601" s="800"/>
      <c r="BI601" s="800"/>
      <c r="BJ601" s="800"/>
      <c r="BK601" s="805"/>
      <c r="BL601" s="789"/>
      <c r="BM601" s="785"/>
      <c r="BN601" s="785"/>
      <c r="BO601" s="785"/>
      <c r="BP601" s="785"/>
      <c r="BQ601" s="808" t="s">
        <v>1942</v>
      </c>
      <c r="BR601" s="800" t="s">
        <v>1942</v>
      </c>
      <c r="BS601" s="800" t="s">
        <v>1942</v>
      </c>
      <c r="BT601" s="800" t="s">
        <v>1942</v>
      </c>
      <c r="BU601" s="805" t="s">
        <v>1942</v>
      </c>
      <c r="BV601" s="808" t="s">
        <v>1942</v>
      </c>
      <c r="BW601" s="800" t="s">
        <v>1942</v>
      </c>
      <c r="BX601" s="800" t="s">
        <v>1942</v>
      </c>
      <c r="BY601" s="800" t="s">
        <v>1942</v>
      </c>
      <c r="BZ601" s="800" t="s">
        <v>1942</v>
      </c>
      <c r="CA601" s="808" t="s">
        <v>1942</v>
      </c>
      <c r="CB601" s="800" t="s">
        <v>1942</v>
      </c>
      <c r="CC601" s="800" t="s">
        <v>1942</v>
      </c>
      <c r="CD601" s="800" t="s">
        <v>1942</v>
      </c>
      <c r="CE601" s="805" t="s">
        <v>1942</v>
      </c>
      <c r="CF601" s="800" t="s">
        <v>1942</v>
      </c>
      <c r="CG601" s="800" t="s">
        <v>1942</v>
      </c>
      <c r="CH601" s="800" t="s">
        <v>1942</v>
      </c>
      <c r="CI601" s="800" t="s">
        <v>1942</v>
      </c>
      <c r="CJ601" s="805" t="s">
        <v>1942</v>
      </c>
      <c r="CK601" s="808" t="s">
        <v>1942</v>
      </c>
      <c r="CL601" s="800" t="s">
        <v>1942</v>
      </c>
      <c r="CM601" s="800" t="s">
        <v>1942</v>
      </c>
      <c r="CN601" s="800" t="s">
        <v>1942</v>
      </c>
      <c r="CO601" s="805" t="s">
        <v>1942</v>
      </c>
      <c r="CP601" s="808" t="s">
        <v>1942</v>
      </c>
      <c r="CQ601" s="800" t="s">
        <v>1942</v>
      </c>
      <c r="CR601" s="800" t="s">
        <v>1942</v>
      </c>
      <c r="CS601" s="800" t="s">
        <v>1942</v>
      </c>
      <c r="CT601" s="805" t="s">
        <v>1942</v>
      </c>
      <c r="CU601" s="1284" t="s">
        <v>1942</v>
      </c>
      <c r="CV601" s="1283" t="s">
        <v>1942</v>
      </c>
      <c r="CW601" s="1283" t="s">
        <v>1942</v>
      </c>
      <c r="CX601" s="1285" t="s">
        <v>1942</v>
      </c>
      <c r="CY601" s="1283" t="s">
        <v>1942</v>
      </c>
      <c r="CZ601" s="1283" t="s">
        <v>1942</v>
      </c>
      <c r="DA601" s="1283" t="s">
        <v>1942</v>
      </c>
      <c r="DB601" s="1285" t="s">
        <v>1942</v>
      </c>
      <c r="DC601" s="785"/>
      <c r="DD601" s="813">
        <v>1</v>
      </c>
      <c r="DE601" s="814"/>
    </row>
    <row r="602" spans="1:109" ht="15.75" hidden="1" customHeight="1">
      <c r="A602" s="772" t="s">
        <v>1054</v>
      </c>
      <c r="B602" s="773">
        <v>596</v>
      </c>
      <c r="C602" s="789" t="s">
        <v>4444</v>
      </c>
      <c r="D602" s="773" t="s">
        <v>4437</v>
      </c>
      <c r="E602" s="773" t="s">
        <v>1907</v>
      </c>
      <c r="F602" s="785" t="s">
        <v>2387</v>
      </c>
      <c r="G602" s="790" t="s">
        <v>4445</v>
      </c>
      <c r="H602" s="791" t="s">
        <v>4446</v>
      </c>
      <c r="I602" s="792">
        <v>0.25</v>
      </c>
      <c r="J602" s="793">
        <v>0.25</v>
      </c>
      <c r="K602" s="793">
        <v>0.25</v>
      </c>
      <c r="L602" s="793">
        <v>0.25</v>
      </c>
      <c r="M602" s="793"/>
      <c r="N602" s="793"/>
      <c r="O602" s="793"/>
      <c r="P602" s="794"/>
      <c r="Q602" s="795">
        <f t="shared" si="9"/>
        <v>1</v>
      </c>
      <c r="R602" s="789" t="s">
        <v>1030</v>
      </c>
      <c r="S602" s="773" t="s">
        <v>1008</v>
      </c>
      <c r="T602" s="796" t="s">
        <v>1009</v>
      </c>
      <c r="U602" s="773" t="s">
        <v>2400</v>
      </c>
      <c r="V602" s="773" t="s">
        <v>1033</v>
      </c>
      <c r="W602" s="773" t="s">
        <v>4445</v>
      </c>
      <c r="X602" s="829">
        <v>0</v>
      </c>
      <c r="Y602" s="821" t="s">
        <v>1010</v>
      </c>
      <c r="Z602" s="790"/>
      <c r="AA602" s="785"/>
      <c r="AB602" s="785"/>
      <c r="AC602" s="785"/>
      <c r="AD602" s="785"/>
      <c r="AE602" s="785"/>
      <c r="AF602" s="799"/>
      <c r="AG602" s="797"/>
      <c r="AH602" s="797"/>
      <c r="AI602" s="797"/>
      <c r="AJ602" s="797"/>
      <c r="AK602" s="797"/>
      <c r="AL602" s="797"/>
      <c r="AM602" s="797"/>
      <c r="AN602" s="797"/>
      <c r="AO602" s="797"/>
      <c r="AP602" s="797"/>
      <c r="AQ602" s="827">
        <v>24370</v>
      </c>
      <c r="AR602" s="797">
        <v>24370</v>
      </c>
      <c r="AS602" s="797">
        <v>24370</v>
      </c>
      <c r="AT602" s="797">
        <v>24370</v>
      </c>
      <c r="AU602" s="841">
        <v>24370</v>
      </c>
      <c r="AV602" s="827"/>
      <c r="AW602" s="797"/>
      <c r="AX602" s="797"/>
      <c r="AY602" s="797"/>
      <c r="AZ602" s="797"/>
      <c r="BA602" s="797"/>
      <c r="BB602" s="797"/>
      <c r="BC602" s="797"/>
      <c r="BD602" s="797"/>
      <c r="BE602" s="797"/>
      <c r="BF602" s="797"/>
      <c r="BG602" s="797"/>
      <c r="BH602" s="797"/>
      <c r="BI602" s="797"/>
      <c r="BJ602" s="797"/>
      <c r="BK602" s="841"/>
      <c r="BL602" s="789" t="s">
        <v>168</v>
      </c>
      <c r="BM602" s="785" t="s">
        <v>168</v>
      </c>
      <c r="BN602" s="785" t="s">
        <v>168</v>
      </c>
      <c r="BO602" s="785" t="s">
        <v>168</v>
      </c>
      <c r="BP602" s="785" t="s">
        <v>168</v>
      </c>
      <c r="BQ602" s="808" t="s">
        <v>1942</v>
      </c>
      <c r="BR602" s="800" t="s">
        <v>1942</v>
      </c>
      <c r="BS602" s="800" t="s">
        <v>1942</v>
      </c>
      <c r="BT602" s="800" t="s">
        <v>1942</v>
      </c>
      <c r="BU602" s="805" t="s">
        <v>1942</v>
      </c>
      <c r="BV602" s="808" t="s">
        <v>1942</v>
      </c>
      <c r="BW602" s="800" t="s">
        <v>1942</v>
      </c>
      <c r="BX602" s="800" t="s">
        <v>1942</v>
      </c>
      <c r="BY602" s="800" t="s">
        <v>1942</v>
      </c>
      <c r="BZ602" s="800" t="s">
        <v>1942</v>
      </c>
      <c r="CA602" s="808" t="s">
        <v>1942</v>
      </c>
      <c r="CB602" s="800" t="s">
        <v>1942</v>
      </c>
      <c r="CC602" s="800" t="s">
        <v>1942</v>
      </c>
      <c r="CD602" s="800" t="s">
        <v>1942</v>
      </c>
      <c r="CE602" s="805" t="s">
        <v>1942</v>
      </c>
      <c r="CF602" s="800" t="s">
        <v>1942</v>
      </c>
      <c r="CG602" s="800" t="s">
        <v>1942</v>
      </c>
      <c r="CH602" s="800" t="s">
        <v>1942</v>
      </c>
      <c r="CI602" s="800" t="s">
        <v>1942</v>
      </c>
      <c r="CJ602" s="805" t="s">
        <v>1942</v>
      </c>
      <c r="CK602" s="808" t="s">
        <v>1942</v>
      </c>
      <c r="CL602" s="800" t="s">
        <v>1942</v>
      </c>
      <c r="CM602" s="800" t="s">
        <v>1942</v>
      </c>
      <c r="CN602" s="800" t="s">
        <v>1942</v>
      </c>
      <c r="CO602" s="805" t="s">
        <v>1942</v>
      </c>
      <c r="CP602" s="808" t="s">
        <v>1942</v>
      </c>
      <c r="CQ602" s="800" t="s">
        <v>1942</v>
      </c>
      <c r="CR602" s="800" t="s">
        <v>1942</v>
      </c>
      <c r="CS602" s="800" t="s">
        <v>1942</v>
      </c>
      <c r="CT602" s="805" t="s">
        <v>1942</v>
      </c>
      <c r="CU602" s="1284">
        <v>-3.9999999999999998E-6</v>
      </c>
      <c r="CV602" s="1283" t="s">
        <v>1942</v>
      </c>
      <c r="CW602" s="1283" t="s">
        <v>1942</v>
      </c>
      <c r="CX602" s="1285" t="s">
        <v>1942</v>
      </c>
      <c r="CY602" s="1283">
        <v>3.9999999999999998E-6</v>
      </c>
      <c r="CZ602" s="1283" t="s">
        <v>1942</v>
      </c>
      <c r="DA602" s="1283" t="s">
        <v>1942</v>
      </c>
      <c r="DB602" s="1285" t="s">
        <v>1942</v>
      </c>
      <c r="DC602" s="785"/>
      <c r="DD602" s="813">
        <v>1</v>
      </c>
      <c r="DE602" s="814"/>
    </row>
    <row r="603" spans="1:109" ht="15.75" hidden="1" customHeight="1">
      <c r="A603" s="772" t="s">
        <v>1054</v>
      </c>
      <c r="B603" s="773">
        <v>597</v>
      </c>
      <c r="C603" s="789" t="s">
        <v>4447</v>
      </c>
      <c r="D603" s="773" t="s">
        <v>4448</v>
      </c>
      <c r="E603" s="773" t="s">
        <v>1889</v>
      </c>
      <c r="F603" s="785" t="s">
        <v>4449</v>
      </c>
      <c r="G603" s="790" t="s">
        <v>669</v>
      </c>
      <c r="H603" s="791" t="s">
        <v>4450</v>
      </c>
      <c r="I603" s="792"/>
      <c r="J603" s="793">
        <v>1</v>
      </c>
      <c r="K603" s="793"/>
      <c r="L603" s="793"/>
      <c r="M603" s="793"/>
      <c r="N603" s="793"/>
      <c r="O603" s="793"/>
      <c r="P603" s="794"/>
      <c r="Q603" s="795">
        <f t="shared" si="9"/>
        <v>1</v>
      </c>
      <c r="R603" s="789" t="s">
        <v>1030</v>
      </c>
      <c r="S603" s="773" t="s">
        <v>1008</v>
      </c>
      <c r="T603" s="796" t="s">
        <v>1009</v>
      </c>
      <c r="U603" s="773" t="s">
        <v>669</v>
      </c>
      <c r="V603" s="773" t="s">
        <v>278</v>
      </c>
      <c r="W603" s="773" t="s">
        <v>4451</v>
      </c>
      <c r="X603" s="829">
        <v>1</v>
      </c>
      <c r="Y603" s="819" t="s">
        <v>1010</v>
      </c>
      <c r="Z603" s="790" t="s">
        <v>669</v>
      </c>
      <c r="AA603" s="785"/>
      <c r="AB603" s="785"/>
      <c r="AC603" s="785"/>
      <c r="AD603" s="785"/>
      <c r="AE603" s="785"/>
      <c r="AF603" s="799"/>
      <c r="AG603" s="800"/>
      <c r="AH603" s="800"/>
      <c r="AI603" s="800"/>
      <c r="AJ603" s="800"/>
      <c r="AK603" s="800"/>
      <c r="AL603" s="800"/>
      <c r="AM603" s="800"/>
      <c r="AN603" s="800"/>
      <c r="AO603" s="800"/>
      <c r="AP603" s="800"/>
      <c r="AQ603" s="1421"/>
      <c r="AR603" s="1373"/>
      <c r="AS603" s="1373"/>
      <c r="AT603" s="1373"/>
      <c r="AU603" s="1374"/>
      <c r="AV603" s="808"/>
      <c r="AW603" s="800"/>
      <c r="AX603" s="800"/>
      <c r="AY603" s="800"/>
      <c r="AZ603" s="800"/>
      <c r="BA603" s="800"/>
      <c r="BB603" s="800"/>
      <c r="BC603" s="800"/>
      <c r="BD603" s="800"/>
      <c r="BE603" s="800"/>
      <c r="BF603" s="800"/>
      <c r="BG603" s="800"/>
      <c r="BH603" s="800"/>
      <c r="BI603" s="800"/>
      <c r="BJ603" s="800"/>
      <c r="BK603" s="805"/>
      <c r="BL603" s="1376"/>
      <c r="BM603" s="1377"/>
      <c r="BN603" s="1377"/>
      <c r="BO603" s="1377"/>
      <c r="BP603" s="1377"/>
      <c r="BQ603" s="1521"/>
      <c r="BR603" s="1730"/>
      <c r="BS603" s="1730"/>
      <c r="BT603" s="1730"/>
      <c r="BU603" s="1527"/>
      <c r="BV603" s="1521"/>
      <c r="BW603" s="1730"/>
      <c r="BX603" s="1730"/>
      <c r="BY603" s="1730"/>
      <c r="BZ603" s="1730"/>
      <c r="CA603" s="1420"/>
      <c r="CB603" s="1368"/>
      <c r="CC603" s="1368"/>
      <c r="CD603" s="1368"/>
      <c r="CE603" s="1369"/>
      <c r="CF603" s="1368"/>
      <c r="CG603" s="1368"/>
      <c r="CH603" s="1368"/>
      <c r="CI603" s="1368"/>
      <c r="CJ603" s="1369"/>
      <c r="CK603" s="1521"/>
      <c r="CL603" s="1730"/>
      <c r="CM603" s="1730"/>
      <c r="CN603" s="1730"/>
      <c r="CO603" s="1527"/>
      <c r="CP603" s="1421"/>
      <c r="CQ603" s="1373"/>
      <c r="CR603" s="1373"/>
      <c r="CS603" s="1373"/>
      <c r="CT603" s="1374"/>
      <c r="CU603" s="1528"/>
      <c r="CV603" s="1519"/>
      <c r="CW603" s="1519"/>
      <c r="CX603" s="1728"/>
      <c r="CY603" s="1519"/>
      <c r="CZ603" s="1519"/>
      <c r="DA603" s="1519"/>
      <c r="DB603" s="1728"/>
      <c r="DC603" s="1377"/>
      <c r="DD603" s="1729"/>
      <c r="DE603" s="1734"/>
    </row>
    <row r="604" spans="1:109" ht="15.75" hidden="1" customHeight="1">
      <c r="A604" s="772" t="s">
        <v>1054</v>
      </c>
      <c r="B604" s="773">
        <v>598</v>
      </c>
      <c r="C604" s="928" t="s">
        <v>4452</v>
      </c>
      <c r="D604" s="773" t="s">
        <v>4448</v>
      </c>
      <c r="E604" s="773" t="s">
        <v>1889</v>
      </c>
      <c r="F604" s="785" t="s">
        <v>4453</v>
      </c>
      <c r="G604" s="790" t="s">
        <v>1902</v>
      </c>
      <c r="H604" s="791" t="s">
        <v>4454</v>
      </c>
      <c r="I604" s="792"/>
      <c r="J604" s="793">
        <v>1</v>
      </c>
      <c r="K604" s="793"/>
      <c r="L604" s="793"/>
      <c r="M604" s="793"/>
      <c r="N604" s="793"/>
      <c r="O604" s="793"/>
      <c r="P604" s="794"/>
      <c r="Q604" s="795">
        <f t="shared" si="9"/>
        <v>1</v>
      </c>
      <c r="R604" s="789" t="s">
        <v>1030</v>
      </c>
      <c r="S604" s="773" t="s">
        <v>1008</v>
      </c>
      <c r="T604" s="1440" t="s">
        <v>1019</v>
      </c>
      <c r="U604" s="773" t="s">
        <v>2054</v>
      </c>
      <c r="V604" s="773" t="s">
        <v>1033</v>
      </c>
      <c r="W604" s="773" t="s">
        <v>4455</v>
      </c>
      <c r="X604" s="829">
        <v>1</v>
      </c>
      <c r="Y604" s="819" t="s">
        <v>1020</v>
      </c>
      <c r="Z604" s="790" t="s">
        <v>1902</v>
      </c>
      <c r="AA604" s="785"/>
      <c r="AB604" s="785"/>
      <c r="AC604" s="785"/>
      <c r="AD604" s="785"/>
      <c r="AE604" s="785"/>
      <c r="AF604" s="799"/>
      <c r="AG604" s="800"/>
      <c r="AH604" s="800"/>
      <c r="AI604" s="800"/>
      <c r="AJ604" s="800"/>
      <c r="AK604" s="800"/>
      <c r="AL604" s="800"/>
      <c r="AM604" s="800"/>
      <c r="AN604" s="800"/>
      <c r="AO604" s="800"/>
      <c r="AP604" s="800"/>
      <c r="AQ604" s="1420"/>
      <c r="AR604" s="1368"/>
      <c r="AS604" s="1368"/>
      <c r="AT604" s="1368"/>
      <c r="AU604" s="1369"/>
      <c r="AV604" s="808"/>
      <c r="AW604" s="800"/>
      <c r="AX604" s="800"/>
      <c r="AY604" s="800"/>
      <c r="AZ604" s="800"/>
      <c r="BA604" s="800"/>
      <c r="BB604" s="800"/>
      <c r="BC604" s="800"/>
      <c r="BD604" s="800"/>
      <c r="BE604" s="800"/>
      <c r="BF604" s="800"/>
      <c r="BG604" s="800"/>
      <c r="BH604" s="800"/>
      <c r="BI604" s="800"/>
      <c r="BJ604" s="800"/>
      <c r="BK604" s="805"/>
      <c r="BL604" s="1376"/>
      <c r="BM604" s="1377"/>
      <c r="BN604" s="1377"/>
      <c r="BO604" s="1377"/>
      <c r="BP604" s="1377"/>
      <c r="BQ604" s="1420"/>
      <c r="BR604" s="1368"/>
      <c r="BS604" s="1368"/>
      <c r="BT604" s="1368"/>
      <c r="BU604" s="1369"/>
      <c r="BV604" s="1420"/>
      <c r="BW604" s="1368"/>
      <c r="BX604" s="1368"/>
      <c r="BY604" s="1368"/>
      <c r="BZ604" s="1368"/>
      <c r="CA604" s="1420"/>
      <c r="CB604" s="1368"/>
      <c r="CC604" s="1368"/>
      <c r="CD604" s="1368"/>
      <c r="CE604" s="1369"/>
      <c r="CF604" s="1368"/>
      <c r="CG604" s="1368"/>
      <c r="CH604" s="1368"/>
      <c r="CI604" s="1368"/>
      <c r="CJ604" s="1369"/>
      <c r="CK604" s="1421"/>
      <c r="CL604" s="1373"/>
      <c r="CM604" s="1373"/>
      <c r="CN604" s="1373"/>
      <c r="CO604" s="1374"/>
      <c r="CP604" s="1421"/>
      <c r="CQ604" s="1373"/>
      <c r="CR604" s="1373"/>
      <c r="CS604" s="1373"/>
      <c r="CT604" s="1374"/>
      <c r="CU604" s="1528"/>
      <c r="CV604" s="1519"/>
      <c r="CW604" s="1519"/>
      <c r="CX604" s="1728"/>
      <c r="CY604" s="1519"/>
      <c r="CZ604" s="1519"/>
      <c r="DA604" s="1519"/>
      <c r="DB604" s="1728"/>
      <c r="DC604" s="1377"/>
      <c r="DD604" s="1729"/>
      <c r="DE604" s="1734"/>
    </row>
    <row r="605" spans="1:109" ht="15.75" hidden="1" customHeight="1">
      <c r="A605" s="772" t="s">
        <v>1054</v>
      </c>
      <c r="B605" s="773">
        <v>599</v>
      </c>
      <c r="C605" s="789" t="s">
        <v>4456</v>
      </c>
      <c r="D605" s="773" t="s">
        <v>4448</v>
      </c>
      <c r="E605" s="773" t="s">
        <v>1896</v>
      </c>
      <c r="F605" s="785" t="s">
        <v>4457</v>
      </c>
      <c r="G605" s="790" t="s">
        <v>4458</v>
      </c>
      <c r="H605" s="791" t="s">
        <v>4459</v>
      </c>
      <c r="I605" s="792"/>
      <c r="J605" s="793">
        <v>1</v>
      </c>
      <c r="K605" s="793"/>
      <c r="L605" s="793"/>
      <c r="M605" s="793"/>
      <c r="N605" s="793"/>
      <c r="O605" s="793"/>
      <c r="P605" s="794"/>
      <c r="Q605" s="795">
        <f t="shared" si="9"/>
        <v>1</v>
      </c>
      <c r="R605" s="789" t="s">
        <v>1030</v>
      </c>
      <c r="S605" s="773" t="s">
        <v>1008</v>
      </c>
      <c r="T605" s="796" t="s">
        <v>1009</v>
      </c>
      <c r="U605" s="773" t="s">
        <v>669</v>
      </c>
      <c r="V605" s="773" t="s">
        <v>278</v>
      </c>
      <c r="W605" s="773" t="s">
        <v>4460</v>
      </c>
      <c r="X605" s="829">
        <v>0</v>
      </c>
      <c r="Y605" s="826" t="s">
        <v>1010</v>
      </c>
      <c r="Z605" s="790"/>
      <c r="AA605" s="785"/>
      <c r="AB605" s="785"/>
      <c r="AC605" s="785"/>
      <c r="AD605" s="785"/>
      <c r="AE605" s="785"/>
      <c r="AF605" s="799"/>
      <c r="AG605" s="800"/>
      <c r="AH605" s="800"/>
      <c r="AI605" s="800"/>
      <c r="AJ605" s="800"/>
      <c r="AK605" s="800"/>
      <c r="AL605" s="800"/>
      <c r="AM605" s="800"/>
      <c r="AN605" s="800"/>
      <c r="AO605" s="800"/>
      <c r="AP605" s="800"/>
      <c r="AQ605" s="808">
        <v>90</v>
      </c>
      <c r="AR605" s="800">
        <v>90</v>
      </c>
      <c r="AS605" s="800">
        <v>90</v>
      </c>
      <c r="AT605" s="800">
        <v>90</v>
      </c>
      <c r="AU605" s="805">
        <v>90</v>
      </c>
      <c r="AV605" s="808"/>
      <c r="AW605" s="800"/>
      <c r="AX605" s="800"/>
      <c r="AY605" s="800"/>
      <c r="AZ605" s="800"/>
      <c r="BA605" s="800"/>
      <c r="BB605" s="800"/>
      <c r="BC605" s="800"/>
      <c r="BD605" s="800"/>
      <c r="BE605" s="800"/>
      <c r="BF605" s="800"/>
      <c r="BG605" s="800"/>
      <c r="BH605" s="800"/>
      <c r="BI605" s="800"/>
      <c r="BJ605" s="800"/>
      <c r="BK605" s="805"/>
      <c r="BL605" s="789" t="s">
        <v>168</v>
      </c>
      <c r="BM605" s="785" t="s">
        <v>168</v>
      </c>
      <c r="BN605" s="785" t="s">
        <v>168</v>
      </c>
      <c r="BO605" s="785" t="s">
        <v>168</v>
      </c>
      <c r="BP605" s="785" t="s">
        <v>168</v>
      </c>
      <c r="BQ605" s="808" t="s">
        <v>1942</v>
      </c>
      <c r="BR605" s="800" t="s">
        <v>1942</v>
      </c>
      <c r="BS605" s="800" t="s">
        <v>1942</v>
      </c>
      <c r="BT605" s="800" t="s">
        <v>1942</v>
      </c>
      <c r="BU605" s="805" t="s">
        <v>1942</v>
      </c>
      <c r="BV605" s="808">
        <v>75</v>
      </c>
      <c r="BW605" s="800">
        <v>75</v>
      </c>
      <c r="BX605" s="800">
        <v>75</v>
      </c>
      <c r="BY605" s="800">
        <v>75</v>
      </c>
      <c r="BZ605" s="800">
        <v>75</v>
      </c>
      <c r="CA605" s="808" t="s">
        <v>1942</v>
      </c>
      <c r="CB605" s="800" t="s">
        <v>1942</v>
      </c>
      <c r="CC605" s="800" t="s">
        <v>1942</v>
      </c>
      <c r="CD605" s="800" t="s">
        <v>1942</v>
      </c>
      <c r="CE605" s="805" t="s">
        <v>1942</v>
      </c>
      <c r="CF605" s="800" t="s">
        <v>1942</v>
      </c>
      <c r="CG605" s="800" t="s">
        <v>1942</v>
      </c>
      <c r="CH605" s="800" t="s">
        <v>1942</v>
      </c>
      <c r="CI605" s="800" t="s">
        <v>1942</v>
      </c>
      <c r="CJ605" s="805" t="s">
        <v>1942</v>
      </c>
      <c r="CK605" s="808">
        <v>97</v>
      </c>
      <c r="CL605" s="800">
        <v>97</v>
      </c>
      <c r="CM605" s="800">
        <v>97</v>
      </c>
      <c r="CN605" s="800">
        <v>97</v>
      </c>
      <c r="CO605" s="805">
        <v>97</v>
      </c>
      <c r="CP605" s="808" t="s">
        <v>1942</v>
      </c>
      <c r="CQ605" s="800" t="s">
        <v>1942</v>
      </c>
      <c r="CR605" s="800" t="s">
        <v>1942</v>
      </c>
      <c r="CS605" s="800" t="s">
        <v>1942</v>
      </c>
      <c r="CT605" s="805" t="s">
        <v>1942</v>
      </c>
      <c r="CU605" s="1284">
        <v>-0.12</v>
      </c>
      <c r="CV605" s="1283" t="s">
        <v>1942</v>
      </c>
      <c r="CW605" s="1283" t="s">
        <v>1942</v>
      </c>
      <c r="CX605" s="1285" t="s">
        <v>1942</v>
      </c>
      <c r="CY605" s="1283">
        <v>6.3E-2</v>
      </c>
      <c r="CZ605" s="1283" t="s">
        <v>1942</v>
      </c>
      <c r="DA605" s="1283" t="s">
        <v>1942</v>
      </c>
      <c r="DB605" s="1285" t="s">
        <v>1942</v>
      </c>
      <c r="DC605" s="785"/>
      <c r="DD605" s="813">
        <v>1</v>
      </c>
      <c r="DE605" s="814"/>
    </row>
    <row r="606" spans="1:109" ht="15.75" hidden="1" customHeight="1">
      <c r="A606" s="772" t="s">
        <v>1054</v>
      </c>
      <c r="B606" s="773">
        <v>600</v>
      </c>
      <c r="C606" s="789" t="s">
        <v>4461</v>
      </c>
      <c r="D606" s="773" t="s">
        <v>4448</v>
      </c>
      <c r="E606" s="773" t="s">
        <v>1889</v>
      </c>
      <c r="F606" s="785" t="s">
        <v>4462</v>
      </c>
      <c r="G606" s="790" t="s">
        <v>4463</v>
      </c>
      <c r="H606" s="791" t="s">
        <v>4464</v>
      </c>
      <c r="I606" s="792"/>
      <c r="J606" s="793">
        <v>1</v>
      </c>
      <c r="K606" s="793"/>
      <c r="L606" s="793"/>
      <c r="M606" s="793"/>
      <c r="N606" s="793"/>
      <c r="O606" s="793"/>
      <c r="P606" s="794"/>
      <c r="Q606" s="795">
        <f t="shared" si="9"/>
        <v>1</v>
      </c>
      <c r="R606" s="789" t="s">
        <v>1007</v>
      </c>
      <c r="S606" s="773"/>
      <c r="T606" s="796"/>
      <c r="U606" s="773" t="s">
        <v>2054</v>
      </c>
      <c r="V606" s="773" t="s">
        <v>1033</v>
      </c>
      <c r="W606" s="773" t="s">
        <v>4465</v>
      </c>
      <c r="X606" s="829">
        <v>1</v>
      </c>
      <c r="Y606" s="821" t="s">
        <v>1010</v>
      </c>
      <c r="Z606" s="790"/>
      <c r="AA606" s="785"/>
      <c r="AB606" s="785"/>
      <c r="AC606" s="785"/>
      <c r="AD606" s="785"/>
      <c r="AE606" s="785"/>
      <c r="AF606" s="799"/>
      <c r="AG606" s="800"/>
      <c r="AH606" s="800"/>
      <c r="AI606" s="800"/>
      <c r="AJ606" s="800"/>
      <c r="AK606" s="800"/>
      <c r="AL606" s="800"/>
      <c r="AM606" s="800"/>
      <c r="AN606" s="800"/>
      <c r="AO606" s="800"/>
      <c r="AP606" s="800"/>
      <c r="AQ606" s="808">
        <v>1</v>
      </c>
      <c r="AR606" s="800">
        <v>2</v>
      </c>
      <c r="AS606" s="800">
        <v>3</v>
      </c>
      <c r="AT606" s="800">
        <v>4</v>
      </c>
      <c r="AU606" s="805">
        <v>5</v>
      </c>
      <c r="AV606" s="808"/>
      <c r="AW606" s="800"/>
      <c r="AX606" s="800"/>
      <c r="AY606" s="800"/>
      <c r="AZ606" s="800"/>
      <c r="BA606" s="800"/>
      <c r="BB606" s="800"/>
      <c r="BC606" s="800"/>
      <c r="BD606" s="800"/>
      <c r="BE606" s="800"/>
      <c r="BF606" s="800"/>
      <c r="BG606" s="800"/>
      <c r="BH606" s="800"/>
      <c r="BI606" s="800"/>
      <c r="BJ606" s="800"/>
      <c r="BK606" s="805"/>
      <c r="BL606" s="789"/>
      <c r="BM606" s="785"/>
      <c r="BN606" s="785"/>
      <c r="BO606" s="785"/>
      <c r="BP606" s="785"/>
      <c r="BQ606" s="808" t="s">
        <v>1942</v>
      </c>
      <c r="BR606" s="800" t="s">
        <v>1942</v>
      </c>
      <c r="BS606" s="800" t="s">
        <v>1942</v>
      </c>
      <c r="BT606" s="800" t="s">
        <v>1942</v>
      </c>
      <c r="BU606" s="805" t="s">
        <v>1942</v>
      </c>
      <c r="BV606" s="808" t="s">
        <v>1942</v>
      </c>
      <c r="BW606" s="800" t="s">
        <v>1942</v>
      </c>
      <c r="BX606" s="800" t="s">
        <v>1942</v>
      </c>
      <c r="BY606" s="800" t="s">
        <v>1942</v>
      </c>
      <c r="BZ606" s="800" t="s">
        <v>1942</v>
      </c>
      <c r="CA606" s="808" t="s">
        <v>1942</v>
      </c>
      <c r="CB606" s="800" t="s">
        <v>1942</v>
      </c>
      <c r="CC606" s="800" t="s">
        <v>1942</v>
      </c>
      <c r="CD606" s="800" t="s">
        <v>1942</v>
      </c>
      <c r="CE606" s="805" t="s">
        <v>1942</v>
      </c>
      <c r="CF606" s="800" t="s">
        <v>1942</v>
      </c>
      <c r="CG606" s="800" t="s">
        <v>1942</v>
      </c>
      <c r="CH606" s="800" t="s">
        <v>1942</v>
      </c>
      <c r="CI606" s="800" t="s">
        <v>1942</v>
      </c>
      <c r="CJ606" s="805" t="s">
        <v>1942</v>
      </c>
      <c r="CK606" s="808" t="s">
        <v>1942</v>
      </c>
      <c r="CL606" s="800" t="s">
        <v>1942</v>
      </c>
      <c r="CM606" s="800" t="s">
        <v>1942</v>
      </c>
      <c r="CN606" s="800" t="s">
        <v>1942</v>
      </c>
      <c r="CO606" s="805" t="s">
        <v>1942</v>
      </c>
      <c r="CP606" s="808" t="s">
        <v>1942</v>
      </c>
      <c r="CQ606" s="800" t="s">
        <v>1942</v>
      </c>
      <c r="CR606" s="800" t="s">
        <v>1942</v>
      </c>
      <c r="CS606" s="800" t="s">
        <v>1942</v>
      </c>
      <c r="CT606" s="805" t="s">
        <v>1942</v>
      </c>
      <c r="CU606" s="1284" t="s">
        <v>1942</v>
      </c>
      <c r="CV606" s="1283" t="s">
        <v>1942</v>
      </c>
      <c r="CW606" s="1283" t="s">
        <v>1942</v>
      </c>
      <c r="CX606" s="1285" t="s">
        <v>1942</v>
      </c>
      <c r="CY606" s="1283" t="s">
        <v>1942</v>
      </c>
      <c r="CZ606" s="1283" t="s">
        <v>1942</v>
      </c>
      <c r="DA606" s="1283" t="s">
        <v>1942</v>
      </c>
      <c r="DB606" s="1285" t="s">
        <v>1942</v>
      </c>
      <c r="DC606" s="785"/>
      <c r="DD606" s="813">
        <v>1</v>
      </c>
      <c r="DE606" s="814"/>
    </row>
    <row r="607" spans="1:109" ht="15.75" hidden="1" customHeight="1">
      <c r="A607" s="772" t="s">
        <v>1054</v>
      </c>
      <c r="B607" s="773">
        <v>601</v>
      </c>
      <c r="C607" s="789" t="s">
        <v>4466</v>
      </c>
      <c r="D607" s="773" t="s">
        <v>4467</v>
      </c>
      <c r="E607" s="773" t="s">
        <v>1907</v>
      </c>
      <c r="F607" s="785" t="s">
        <v>4468</v>
      </c>
      <c r="G607" s="790" t="s">
        <v>130</v>
      </c>
      <c r="H607" s="791" t="s">
        <v>4469</v>
      </c>
      <c r="I607" s="792"/>
      <c r="J607" s="793">
        <v>1</v>
      </c>
      <c r="K607" s="793"/>
      <c r="L607" s="793"/>
      <c r="M607" s="793"/>
      <c r="N607" s="793"/>
      <c r="O607" s="793"/>
      <c r="P607" s="794"/>
      <c r="Q607" s="795">
        <f t="shared" si="9"/>
        <v>1</v>
      </c>
      <c r="R607" s="789" t="s">
        <v>1026</v>
      </c>
      <c r="S607" s="773" t="s">
        <v>1008</v>
      </c>
      <c r="T607" s="796" t="s">
        <v>1009</v>
      </c>
      <c r="U607" s="773" t="s">
        <v>1926</v>
      </c>
      <c r="V607" s="773" t="s">
        <v>1081</v>
      </c>
      <c r="W607" s="773" t="s">
        <v>2335</v>
      </c>
      <c r="X607" s="1274">
        <v>2</v>
      </c>
      <c r="Y607" s="821" t="s">
        <v>1020</v>
      </c>
      <c r="Z607" s="790" t="s">
        <v>130</v>
      </c>
      <c r="AA607" s="785"/>
      <c r="AB607" s="785"/>
      <c r="AC607" s="785"/>
      <c r="AD607" s="785"/>
      <c r="AE607" s="785"/>
      <c r="AF607" s="799"/>
      <c r="AG607" s="800"/>
      <c r="AH607" s="800"/>
      <c r="AI607" s="800"/>
      <c r="AJ607" s="800"/>
      <c r="AK607" s="800"/>
      <c r="AL607" s="800"/>
      <c r="AM607" s="800"/>
      <c r="AN607" s="800"/>
      <c r="AO607" s="800"/>
      <c r="AP607" s="800"/>
      <c r="AQ607" s="1521"/>
      <c r="AR607" s="1730"/>
      <c r="AS607" s="1730"/>
      <c r="AT607" s="1730"/>
      <c r="AU607" s="1527"/>
      <c r="AV607" s="808"/>
      <c r="AW607" s="800"/>
      <c r="AX607" s="800"/>
      <c r="AY607" s="800"/>
      <c r="AZ607" s="800"/>
      <c r="BA607" s="800"/>
      <c r="BB607" s="800"/>
      <c r="BC607" s="800"/>
      <c r="BD607" s="800"/>
      <c r="BE607" s="800"/>
      <c r="BF607" s="800"/>
      <c r="BG607" s="800"/>
      <c r="BH607" s="800"/>
      <c r="BI607" s="800"/>
      <c r="BJ607" s="800"/>
      <c r="BK607" s="805"/>
      <c r="BL607" s="1376"/>
      <c r="BM607" s="1377"/>
      <c r="BN607" s="1377"/>
      <c r="BO607" s="1377"/>
      <c r="BP607" s="1377"/>
      <c r="BQ607" s="1420"/>
      <c r="BR607" s="1368"/>
      <c r="BS607" s="1368"/>
      <c r="BT607" s="1368"/>
      <c r="BU607" s="1369"/>
      <c r="BV607" s="1420"/>
      <c r="BW607" s="1368"/>
      <c r="BX607" s="1368"/>
      <c r="BY607" s="1368"/>
      <c r="BZ607" s="1368"/>
      <c r="CA607" s="1420"/>
      <c r="CB607" s="1368"/>
      <c r="CC607" s="1368"/>
      <c r="CD607" s="1368"/>
      <c r="CE607" s="1369"/>
      <c r="CF607" s="1368"/>
      <c r="CG607" s="1368"/>
      <c r="CH607" s="1368"/>
      <c r="CI607" s="1368"/>
      <c r="CJ607" s="1369"/>
      <c r="CK607" s="1420"/>
      <c r="CL607" s="1368"/>
      <c r="CM607" s="1368"/>
      <c r="CN607" s="1368"/>
      <c r="CO607" s="1369"/>
      <c r="CP607" s="1420"/>
      <c r="CQ607" s="1368"/>
      <c r="CR607" s="1368"/>
      <c r="CS607" s="1368"/>
      <c r="CT607" s="1369"/>
      <c r="CU607" s="1528"/>
      <c r="CV607" s="1519"/>
      <c r="CW607" s="1519"/>
      <c r="CX607" s="1728"/>
      <c r="CY607" s="1519"/>
      <c r="CZ607" s="1519"/>
      <c r="DA607" s="1519"/>
      <c r="DB607" s="1728"/>
      <c r="DC607" s="1377"/>
      <c r="DD607" s="1729"/>
      <c r="DE607" s="1734"/>
    </row>
    <row r="608" spans="1:109" ht="15.75" hidden="1" customHeight="1">
      <c r="A608" s="772" t="s">
        <v>1054</v>
      </c>
      <c r="B608" s="773">
        <v>602</v>
      </c>
      <c r="C608" s="789" t="s">
        <v>4470</v>
      </c>
      <c r="D608" s="773" t="s">
        <v>4467</v>
      </c>
      <c r="E608" s="773" t="s">
        <v>1889</v>
      </c>
      <c r="F608" s="785" t="s">
        <v>4471</v>
      </c>
      <c r="G608" s="790" t="s">
        <v>4472</v>
      </c>
      <c r="H608" s="791" t="s">
        <v>4473</v>
      </c>
      <c r="I608" s="792"/>
      <c r="J608" s="793">
        <v>1</v>
      </c>
      <c r="K608" s="793"/>
      <c r="L608" s="793"/>
      <c r="M608" s="793"/>
      <c r="N608" s="793"/>
      <c r="O608" s="793"/>
      <c r="P608" s="794"/>
      <c r="Q608" s="795">
        <f t="shared" si="9"/>
        <v>1</v>
      </c>
      <c r="R608" s="789" t="s">
        <v>1030</v>
      </c>
      <c r="S608" s="773" t="s">
        <v>1008</v>
      </c>
      <c r="T608" s="796" t="s">
        <v>1009</v>
      </c>
      <c r="U608" s="773" t="s">
        <v>2149</v>
      </c>
      <c r="V608" s="773" t="s">
        <v>1033</v>
      </c>
      <c r="W608" s="773" t="s">
        <v>4474</v>
      </c>
      <c r="X608" s="829">
        <v>2</v>
      </c>
      <c r="Y608" s="821" t="s">
        <v>1020</v>
      </c>
      <c r="Z608" s="790" t="s">
        <v>2002</v>
      </c>
      <c r="AA608" s="785"/>
      <c r="AB608" s="785"/>
      <c r="AC608" s="785"/>
      <c r="AD608" s="785"/>
      <c r="AE608" s="785"/>
      <c r="AF608" s="799"/>
      <c r="AG608" s="800"/>
      <c r="AH608" s="800"/>
      <c r="AI608" s="800"/>
      <c r="AJ608" s="800"/>
      <c r="AK608" s="800"/>
      <c r="AL608" s="800"/>
      <c r="AM608" s="800"/>
      <c r="AN608" s="800"/>
      <c r="AO608" s="800"/>
      <c r="AP608" s="800"/>
      <c r="AQ608" s="808">
        <v>1.31</v>
      </c>
      <c r="AR608" s="800">
        <v>1.22</v>
      </c>
      <c r="AS608" s="800">
        <v>1.1200000000000001</v>
      </c>
      <c r="AT608" s="800">
        <v>1.03</v>
      </c>
      <c r="AU608" s="805">
        <v>0.93</v>
      </c>
      <c r="AV608" s="808"/>
      <c r="AW608" s="800"/>
      <c r="AX608" s="800"/>
      <c r="AY608" s="800"/>
      <c r="AZ608" s="800"/>
      <c r="BA608" s="800"/>
      <c r="BB608" s="800"/>
      <c r="BC608" s="800"/>
      <c r="BD608" s="800"/>
      <c r="BE608" s="800"/>
      <c r="BF608" s="800"/>
      <c r="BG608" s="800"/>
      <c r="BH608" s="800"/>
      <c r="BI608" s="800"/>
      <c r="BJ608" s="800"/>
      <c r="BK608" s="805"/>
      <c r="BL608" s="789" t="s">
        <v>168</v>
      </c>
      <c r="BM608" s="785" t="s">
        <v>168</v>
      </c>
      <c r="BN608" s="785" t="s">
        <v>168</v>
      </c>
      <c r="BO608" s="785" t="s">
        <v>168</v>
      </c>
      <c r="BP608" s="785" t="s">
        <v>168</v>
      </c>
      <c r="BQ608" s="808" t="s">
        <v>1942</v>
      </c>
      <c r="BR608" s="800" t="s">
        <v>1942</v>
      </c>
      <c r="BS608" s="800" t="s">
        <v>1942</v>
      </c>
      <c r="BT608" s="800" t="s">
        <v>1942</v>
      </c>
      <c r="BU608" s="805" t="s">
        <v>1942</v>
      </c>
      <c r="BV608" s="808" t="s">
        <v>1942</v>
      </c>
      <c r="BW608" s="800" t="s">
        <v>1942</v>
      </c>
      <c r="BX608" s="800" t="s">
        <v>1942</v>
      </c>
      <c r="BY608" s="800" t="s">
        <v>1942</v>
      </c>
      <c r="BZ608" s="800" t="s">
        <v>1942</v>
      </c>
      <c r="CA608" s="808" t="s">
        <v>1942</v>
      </c>
      <c r="CB608" s="800" t="s">
        <v>1942</v>
      </c>
      <c r="CC608" s="800" t="s">
        <v>1942</v>
      </c>
      <c r="CD608" s="800" t="s">
        <v>1942</v>
      </c>
      <c r="CE608" s="805" t="s">
        <v>1942</v>
      </c>
      <c r="CF608" s="800" t="s">
        <v>1942</v>
      </c>
      <c r="CG608" s="800" t="s">
        <v>1942</v>
      </c>
      <c r="CH608" s="800" t="s">
        <v>1942</v>
      </c>
      <c r="CI608" s="800" t="s">
        <v>1942</v>
      </c>
      <c r="CJ608" s="805" t="s">
        <v>1942</v>
      </c>
      <c r="CK608" s="808" t="s">
        <v>1942</v>
      </c>
      <c r="CL608" s="800" t="s">
        <v>1942</v>
      </c>
      <c r="CM608" s="800" t="s">
        <v>1942</v>
      </c>
      <c r="CN608" s="800" t="s">
        <v>1942</v>
      </c>
      <c r="CO608" s="805" t="s">
        <v>1942</v>
      </c>
      <c r="CP608" s="808" t="s">
        <v>1942</v>
      </c>
      <c r="CQ608" s="800" t="s">
        <v>1942</v>
      </c>
      <c r="CR608" s="800" t="s">
        <v>1942</v>
      </c>
      <c r="CS608" s="800" t="s">
        <v>1942</v>
      </c>
      <c r="CT608" s="805" t="s">
        <v>1942</v>
      </c>
      <c r="CU608" s="1284">
        <v>-0.60299999999999998</v>
      </c>
      <c r="CV608" s="1283" t="s">
        <v>1942</v>
      </c>
      <c r="CW608" s="1283" t="s">
        <v>1942</v>
      </c>
      <c r="CX608" s="1285" t="s">
        <v>1942</v>
      </c>
      <c r="CY608" s="1283">
        <v>0.503</v>
      </c>
      <c r="CZ608" s="1283" t="s">
        <v>1942</v>
      </c>
      <c r="DA608" s="1283" t="s">
        <v>1942</v>
      </c>
      <c r="DB608" s="1285" t="s">
        <v>1942</v>
      </c>
      <c r="DC608" s="785"/>
      <c r="DD608" s="813">
        <v>1</v>
      </c>
      <c r="DE608" s="814"/>
    </row>
    <row r="609" spans="1:109" ht="15.75" hidden="1" customHeight="1">
      <c r="A609" s="772" t="s">
        <v>1054</v>
      </c>
      <c r="B609" s="773">
        <v>603</v>
      </c>
      <c r="C609" s="789" t="s">
        <v>4475</v>
      </c>
      <c r="D609" s="773" t="s">
        <v>4467</v>
      </c>
      <c r="E609" s="773" t="s">
        <v>1907</v>
      </c>
      <c r="F609" s="785" t="s">
        <v>4476</v>
      </c>
      <c r="G609" s="790" t="s">
        <v>4477</v>
      </c>
      <c r="H609" s="791" t="s">
        <v>4478</v>
      </c>
      <c r="I609" s="792"/>
      <c r="J609" s="793">
        <v>1</v>
      </c>
      <c r="K609" s="793"/>
      <c r="L609" s="793"/>
      <c r="M609" s="793"/>
      <c r="N609" s="793"/>
      <c r="O609" s="793"/>
      <c r="P609" s="794"/>
      <c r="Q609" s="795">
        <f t="shared" si="9"/>
        <v>1</v>
      </c>
      <c r="R609" s="789" t="s">
        <v>1030</v>
      </c>
      <c r="S609" s="773" t="s">
        <v>1008</v>
      </c>
      <c r="T609" s="796" t="s">
        <v>1009</v>
      </c>
      <c r="U609" s="773" t="s">
        <v>1926</v>
      </c>
      <c r="V609" s="773" t="s">
        <v>1081</v>
      </c>
      <c r="W609" s="773" t="s">
        <v>4479</v>
      </c>
      <c r="X609" s="829">
        <v>0</v>
      </c>
      <c r="Y609" s="821" t="s">
        <v>1010</v>
      </c>
      <c r="Z609" s="790"/>
      <c r="AA609" s="785"/>
      <c r="AB609" s="785"/>
      <c r="AC609" s="785"/>
      <c r="AD609" s="785"/>
      <c r="AE609" s="785"/>
      <c r="AF609" s="799"/>
      <c r="AG609" s="800"/>
      <c r="AH609" s="800"/>
      <c r="AI609" s="800"/>
      <c r="AJ609" s="800"/>
      <c r="AK609" s="800"/>
      <c r="AL609" s="800"/>
      <c r="AM609" s="800"/>
      <c r="AN609" s="800"/>
      <c r="AO609" s="800"/>
      <c r="AP609" s="800"/>
      <c r="AQ609" s="808">
        <v>18297</v>
      </c>
      <c r="AR609" s="800">
        <v>18297</v>
      </c>
      <c r="AS609" s="800">
        <v>18297</v>
      </c>
      <c r="AT609" s="800">
        <v>18297</v>
      </c>
      <c r="AU609" s="805">
        <v>18297</v>
      </c>
      <c r="AV609" s="808"/>
      <c r="AW609" s="800"/>
      <c r="AX609" s="800"/>
      <c r="AY609" s="800"/>
      <c r="AZ609" s="800"/>
      <c r="BA609" s="800"/>
      <c r="BB609" s="800"/>
      <c r="BC609" s="800"/>
      <c r="BD609" s="800"/>
      <c r="BE609" s="800"/>
      <c r="BF609" s="800"/>
      <c r="BG609" s="800"/>
      <c r="BH609" s="800"/>
      <c r="BI609" s="800"/>
      <c r="BJ609" s="800"/>
      <c r="BK609" s="805"/>
      <c r="BL609" s="789" t="s">
        <v>168</v>
      </c>
      <c r="BM609" s="785" t="s">
        <v>168</v>
      </c>
      <c r="BN609" s="785" t="s">
        <v>168</v>
      </c>
      <c r="BO609" s="785" t="s">
        <v>168</v>
      </c>
      <c r="BP609" s="785" t="s">
        <v>168</v>
      </c>
      <c r="BQ609" s="808" t="s">
        <v>1942</v>
      </c>
      <c r="BR609" s="800" t="s">
        <v>1942</v>
      </c>
      <c r="BS609" s="800" t="s">
        <v>1942</v>
      </c>
      <c r="BT609" s="800" t="s">
        <v>1942</v>
      </c>
      <c r="BU609" s="805" t="s">
        <v>1942</v>
      </c>
      <c r="BV609" s="808" t="s">
        <v>1942</v>
      </c>
      <c r="BW609" s="800" t="s">
        <v>1942</v>
      </c>
      <c r="BX609" s="800" t="s">
        <v>1942</v>
      </c>
      <c r="BY609" s="800" t="s">
        <v>1942</v>
      </c>
      <c r="BZ609" s="800" t="s">
        <v>1942</v>
      </c>
      <c r="CA609" s="808" t="s">
        <v>1942</v>
      </c>
      <c r="CB609" s="800" t="s">
        <v>1942</v>
      </c>
      <c r="CC609" s="800" t="s">
        <v>1942</v>
      </c>
      <c r="CD609" s="800" t="s">
        <v>1942</v>
      </c>
      <c r="CE609" s="805" t="s">
        <v>1942</v>
      </c>
      <c r="CF609" s="800" t="s">
        <v>1942</v>
      </c>
      <c r="CG609" s="800" t="s">
        <v>1942</v>
      </c>
      <c r="CH609" s="800" t="s">
        <v>1942</v>
      </c>
      <c r="CI609" s="800" t="s">
        <v>1942</v>
      </c>
      <c r="CJ609" s="800" t="s">
        <v>1942</v>
      </c>
      <c r="CK609" s="808" t="s">
        <v>1942</v>
      </c>
      <c r="CL609" s="800" t="s">
        <v>1942</v>
      </c>
      <c r="CM609" s="800" t="s">
        <v>1942</v>
      </c>
      <c r="CN609" s="800" t="s">
        <v>1942</v>
      </c>
      <c r="CO609" s="805" t="s">
        <v>1942</v>
      </c>
      <c r="CP609" s="808" t="s">
        <v>1942</v>
      </c>
      <c r="CQ609" s="800" t="s">
        <v>1942</v>
      </c>
      <c r="CR609" s="800" t="s">
        <v>1942</v>
      </c>
      <c r="CS609" s="800" t="s">
        <v>1942</v>
      </c>
      <c r="CT609" s="805" t="s">
        <v>1942</v>
      </c>
      <c r="CU609" s="1284">
        <v>-1.2999999999999999E-5</v>
      </c>
      <c r="CV609" s="1283" t="s">
        <v>1942</v>
      </c>
      <c r="CW609" s="1283" t="s">
        <v>1942</v>
      </c>
      <c r="CX609" s="1285" t="s">
        <v>1942</v>
      </c>
      <c r="CY609" s="1283">
        <v>1.1E-5</v>
      </c>
      <c r="CZ609" s="1283" t="s">
        <v>1942</v>
      </c>
      <c r="DA609" s="1283" t="s">
        <v>1942</v>
      </c>
      <c r="DB609" s="1285" t="s">
        <v>1942</v>
      </c>
      <c r="DC609" s="785"/>
      <c r="DD609" s="813">
        <v>1</v>
      </c>
      <c r="DE609" s="814"/>
    </row>
    <row r="610" spans="1:109" ht="15.75" hidden="1" customHeight="1">
      <c r="A610" s="772" t="s">
        <v>1054</v>
      </c>
      <c r="B610" s="773">
        <v>604</v>
      </c>
      <c r="C610" s="789" t="s">
        <v>4480</v>
      </c>
      <c r="D610" s="773" t="s">
        <v>4467</v>
      </c>
      <c r="E610" s="773" t="s">
        <v>1907</v>
      </c>
      <c r="F610" s="785" t="s">
        <v>4481</v>
      </c>
      <c r="G610" s="790" t="s">
        <v>4482</v>
      </c>
      <c r="H610" s="791" t="s">
        <v>4483</v>
      </c>
      <c r="I610" s="792"/>
      <c r="J610" s="793">
        <v>1</v>
      </c>
      <c r="K610" s="793"/>
      <c r="L610" s="793"/>
      <c r="M610" s="793"/>
      <c r="N610" s="793"/>
      <c r="O610" s="793"/>
      <c r="P610" s="794"/>
      <c r="Q610" s="795">
        <f t="shared" si="9"/>
        <v>1</v>
      </c>
      <c r="R610" s="789" t="s">
        <v>1030</v>
      </c>
      <c r="S610" s="773" t="s">
        <v>1008</v>
      </c>
      <c r="T610" s="796" t="s">
        <v>1009</v>
      </c>
      <c r="U610" s="773" t="s">
        <v>1926</v>
      </c>
      <c r="V610" s="773" t="s">
        <v>1033</v>
      </c>
      <c r="W610" s="773" t="s">
        <v>4484</v>
      </c>
      <c r="X610" s="829">
        <v>0</v>
      </c>
      <c r="Y610" s="821" t="s">
        <v>1010</v>
      </c>
      <c r="Z610" s="790"/>
      <c r="AA610" s="785"/>
      <c r="AB610" s="785"/>
      <c r="AC610" s="785"/>
      <c r="AD610" s="785"/>
      <c r="AE610" s="785"/>
      <c r="AF610" s="799"/>
      <c r="AG610" s="800"/>
      <c r="AH610" s="800"/>
      <c r="AI610" s="800"/>
      <c r="AJ610" s="800"/>
      <c r="AK610" s="800"/>
      <c r="AL610" s="800"/>
      <c r="AM610" s="800"/>
      <c r="AN610" s="800"/>
      <c r="AO610" s="800"/>
      <c r="AP610" s="800"/>
      <c r="AQ610" s="808">
        <v>1160</v>
      </c>
      <c r="AR610" s="800">
        <v>1410</v>
      </c>
      <c r="AS610" s="800">
        <v>2010</v>
      </c>
      <c r="AT610" s="800">
        <v>2210</v>
      </c>
      <c r="AU610" s="805">
        <v>2210</v>
      </c>
      <c r="AV610" s="808"/>
      <c r="AW610" s="800"/>
      <c r="AX610" s="800"/>
      <c r="AY610" s="800"/>
      <c r="AZ610" s="800"/>
      <c r="BA610" s="800"/>
      <c r="BB610" s="800"/>
      <c r="BC610" s="800"/>
      <c r="BD610" s="800"/>
      <c r="BE610" s="800"/>
      <c r="BF610" s="800"/>
      <c r="BG610" s="800"/>
      <c r="BH610" s="800"/>
      <c r="BI610" s="800"/>
      <c r="BJ610" s="800"/>
      <c r="BK610" s="805"/>
      <c r="BL610" s="1955" t="s">
        <v>168</v>
      </c>
      <c r="BM610" s="1956" t="s">
        <v>168</v>
      </c>
      <c r="BN610" s="1956" t="s">
        <v>168</v>
      </c>
      <c r="BO610" s="1956" t="s">
        <v>168</v>
      </c>
      <c r="BP610" s="785" t="s">
        <v>168</v>
      </c>
      <c r="BQ610" s="808" t="s">
        <v>1942</v>
      </c>
      <c r="BR610" s="800" t="s">
        <v>1942</v>
      </c>
      <c r="BS610" s="800" t="s">
        <v>1942</v>
      </c>
      <c r="BT610" s="800" t="s">
        <v>1942</v>
      </c>
      <c r="BU610" s="805" t="s">
        <v>1942</v>
      </c>
      <c r="BV610" s="808" t="s">
        <v>1942</v>
      </c>
      <c r="BW610" s="800" t="s">
        <v>1942</v>
      </c>
      <c r="BX610" s="800" t="s">
        <v>1942</v>
      </c>
      <c r="BY610" s="800" t="s">
        <v>1942</v>
      </c>
      <c r="BZ610" s="800" t="s">
        <v>1942</v>
      </c>
      <c r="CA610" s="808" t="s">
        <v>1942</v>
      </c>
      <c r="CB610" s="800" t="s">
        <v>1942</v>
      </c>
      <c r="CC610" s="800" t="s">
        <v>1942</v>
      </c>
      <c r="CD610" s="800" t="s">
        <v>1942</v>
      </c>
      <c r="CE610" s="805" t="s">
        <v>1942</v>
      </c>
      <c r="CF610" s="800" t="s">
        <v>1942</v>
      </c>
      <c r="CG610" s="800" t="s">
        <v>1942</v>
      </c>
      <c r="CH610" s="800" t="s">
        <v>1942</v>
      </c>
      <c r="CI610" s="800" t="s">
        <v>1942</v>
      </c>
      <c r="CJ610" s="805" t="s">
        <v>1942</v>
      </c>
      <c r="CK610" s="808">
        <v>9900</v>
      </c>
      <c r="CL610" s="800">
        <v>9900</v>
      </c>
      <c r="CM610" s="800">
        <v>9900</v>
      </c>
      <c r="CN610" s="800">
        <v>9900</v>
      </c>
      <c r="CO610" s="805">
        <v>9900</v>
      </c>
      <c r="CP610" s="808" t="s">
        <v>1942</v>
      </c>
      <c r="CQ610" s="800" t="s">
        <v>1942</v>
      </c>
      <c r="CR610" s="800" t="s">
        <v>1942</v>
      </c>
      <c r="CS610" s="800" t="s">
        <v>1942</v>
      </c>
      <c r="CT610" s="805" t="s">
        <v>1942</v>
      </c>
      <c r="CU610" s="1284">
        <v>-5.9999999999999995E-4</v>
      </c>
      <c r="CV610" s="1283" t="s">
        <v>1942</v>
      </c>
      <c r="CW610" s="1283" t="s">
        <v>1942</v>
      </c>
      <c r="CX610" s="1285" t="s">
        <v>1942</v>
      </c>
      <c r="CY610" s="1283">
        <v>6.9999999999999999E-4</v>
      </c>
      <c r="CZ610" s="1283" t="s">
        <v>1942</v>
      </c>
      <c r="DA610" s="1283" t="s">
        <v>1942</v>
      </c>
      <c r="DB610" s="1285" t="s">
        <v>1942</v>
      </c>
      <c r="DC610" s="785"/>
      <c r="DD610" s="813">
        <v>1</v>
      </c>
      <c r="DE610" s="814"/>
    </row>
    <row r="611" spans="1:109" ht="15.75" hidden="1" customHeight="1">
      <c r="A611" s="772" t="s">
        <v>1054</v>
      </c>
      <c r="B611" s="773">
        <v>605</v>
      </c>
      <c r="C611" s="789" t="s">
        <v>4485</v>
      </c>
      <c r="D611" s="773" t="s">
        <v>4467</v>
      </c>
      <c r="E611" s="773" t="s">
        <v>1907</v>
      </c>
      <c r="F611" s="785" t="s">
        <v>4486</v>
      </c>
      <c r="G611" s="790" t="s">
        <v>4487</v>
      </c>
      <c r="H611" s="791" t="s">
        <v>4488</v>
      </c>
      <c r="I611" s="792"/>
      <c r="J611" s="793">
        <v>1</v>
      </c>
      <c r="K611" s="793"/>
      <c r="L611" s="793"/>
      <c r="M611" s="793"/>
      <c r="N611" s="793"/>
      <c r="O611" s="793"/>
      <c r="P611" s="794"/>
      <c r="Q611" s="795">
        <f t="shared" si="9"/>
        <v>1</v>
      </c>
      <c r="R611" s="789" t="s">
        <v>1007</v>
      </c>
      <c r="S611" s="773"/>
      <c r="T611" s="796"/>
      <c r="U611" s="773" t="s">
        <v>1926</v>
      </c>
      <c r="V611" s="773" t="s">
        <v>1081</v>
      </c>
      <c r="W611" s="773" t="s">
        <v>2335</v>
      </c>
      <c r="X611" s="829">
        <v>3</v>
      </c>
      <c r="Y611" s="821" t="s">
        <v>1020</v>
      </c>
      <c r="Z611" s="790"/>
      <c r="AA611" s="785"/>
      <c r="AB611" s="785"/>
      <c r="AC611" s="785"/>
      <c r="AD611" s="785"/>
      <c r="AE611" s="785"/>
      <c r="AF611" s="799"/>
      <c r="AG611" s="838"/>
      <c r="AH611" s="838"/>
      <c r="AI611" s="838"/>
      <c r="AJ611" s="838"/>
      <c r="AK611" s="838"/>
      <c r="AL611" s="838"/>
      <c r="AM611" s="838"/>
      <c r="AN611" s="838"/>
      <c r="AO611" s="838"/>
      <c r="AP611" s="838"/>
      <c r="AQ611" s="839">
        <v>12.8</v>
      </c>
      <c r="AR611" s="838">
        <v>12.8</v>
      </c>
      <c r="AS611" s="838">
        <v>12.8</v>
      </c>
      <c r="AT611" s="838">
        <v>12.8</v>
      </c>
      <c r="AU611" s="840">
        <v>12.8</v>
      </c>
      <c r="AV611" s="839"/>
      <c r="AW611" s="838"/>
      <c r="AX611" s="838"/>
      <c r="AY611" s="838"/>
      <c r="AZ611" s="838"/>
      <c r="BA611" s="838"/>
      <c r="BB611" s="838"/>
      <c r="BC611" s="838"/>
      <c r="BD611" s="838"/>
      <c r="BE611" s="838"/>
      <c r="BF611" s="838"/>
      <c r="BG611" s="838"/>
      <c r="BH611" s="838"/>
      <c r="BI611" s="838"/>
      <c r="BJ611" s="838"/>
      <c r="BK611" s="840"/>
      <c r="BL611" s="789" t="s">
        <v>168</v>
      </c>
      <c r="BM611" s="785" t="s">
        <v>168</v>
      </c>
      <c r="BN611" s="785" t="s">
        <v>168</v>
      </c>
      <c r="BO611" s="785" t="s">
        <v>168</v>
      </c>
      <c r="BP611" s="785" t="s">
        <v>168</v>
      </c>
      <c r="BQ611" s="808" t="s">
        <v>1942</v>
      </c>
      <c r="BR611" s="800" t="s">
        <v>1942</v>
      </c>
      <c r="BS611" s="800" t="s">
        <v>1942</v>
      </c>
      <c r="BT611" s="800" t="s">
        <v>1942</v>
      </c>
      <c r="BU611" s="805" t="s">
        <v>1942</v>
      </c>
      <c r="BV611" s="808" t="s">
        <v>1942</v>
      </c>
      <c r="BW611" s="800" t="s">
        <v>1942</v>
      </c>
      <c r="BX611" s="800" t="s">
        <v>1942</v>
      </c>
      <c r="BY611" s="800" t="s">
        <v>1942</v>
      </c>
      <c r="BZ611" s="800" t="s">
        <v>1942</v>
      </c>
      <c r="CA611" s="808" t="s">
        <v>1942</v>
      </c>
      <c r="CB611" s="800" t="s">
        <v>1942</v>
      </c>
      <c r="CC611" s="800" t="s">
        <v>1942</v>
      </c>
      <c r="CD611" s="800" t="s">
        <v>1942</v>
      </c>
      <c r="CE611" s="805" t="s">
        <v>1942</v>
      </c>
      <c r="CF611" s="800" t="s">
        <v>1942</v>
      </c>
      <c r="CG611" s="800" t="s">
        <v>1942</v>
      </c>
      <c r="CH611" s="800" t="s">
        <v>1942</v>
      </c>
      <c r="CI611" s="800" t="s">
        <v>1942</v>
      </c>
      <c r="CJ611" s="805" t="s">
        <v>1942</v>
      </c>
      <c r="CK611" s="808" t="s">
        <v>1942</v>
      </c>
      <c r="CL611" s="800" t="s">
        <v>1942</v>
      </c>
      <c r="CM611" s="800" t="s">
        <v>1942</v>
      </c>
      <c r="CN611" s="800" t="s">
        <v>1942</v>
      </c>
      <c r="CO611" s="805" t="s">
        <v>1942</v>
      </c>
      <c r="CP611" s="808" t="s">
        <v>1942</v>
      </c>
      <c r="CQ611" s="800" t="s">
        <v>1942</v>
      </c>
      <c r="CR611" s="800" t="s">
        <v>1942</v>
      </c>
      <c r="CS611" s="800" t="s">
        <v>1942</v>
      </c>
      <c r="CT611" s="805" t="s">
        <v>1942</v>
      </c>
      <c r="CU611" s="1284" t="s">
        <v>1942</v>
      </c>
      <c r="CV611" s="1283" t="s">
        <v>1942</v>
      </c>
      <c r="CW611" s="1283" t="s">
        <v>1942</v>
      </c>
      <c r="CX611" s="1285" t="s">
        <v>1942</v>
      </c>
      <c r="CY611" s="1283" t="s">
        <v>1942</v>
      </c>
      <c r="CZ611" s="1283" t="s">
        <v>1942</v>
      </c>
      <c r="DA611" s="1283" t="s">
        <v>1942</v>
      </c>
      <c r="DB611" s="1285" t="s">
        <v>1942</v>
      </c>
      <c r="DC611" s="785"/>
      <c r="DD611" s="813">
        <v>1</v>
      </c>
      <c r="DE611" s="814"/>
    </row>
    <row r="612" spans="1:109" ht="15.75" hidden="1" customHeight="1">
      <c r="A612" s="772" t="s">
        <v>1054</v>
      </c>
      <c r="B612" s="773">
        <v>606</v>
      </c>
      <c r="C612" s="789" t="s">
        <v>4489</v>
      </c>
      <c r="D612" s="773" t="s">
        <v>4490</v>
      </c>
      <c r="E612" s="773" t="s">
        <v>1889</v>
      </c>
      <c r="F612" s="785" t="s">
        <v>2427</v>
      </c>
      <c r="G612" s="790" t="s">
        <v>732</v>
      </c>
      <c r="H612" s="791" t="s">
        <v>4491</v>
      </c>
      <c r="I612" s="792"/>
      <c r="J612" s="793"/>
      <c r="K612" s="793">
        <v>1</v>
      </c>
      <c r="L612" s="793"/>
      <c r="M612" s="793"/>
      <c r="N612" s="793"/>
      <c r="O612" s="793"/>
      <c r="P612" s="794"/>
      <c r="Q612" s="795">
        <f t="shared" si="9"/>
        <v>1</v>
      </c>
      <c r="R612" s="789" t="s">
        <v>1030</v>
      </c>
      <c r="S612" s="773" t="s">
        <v>1008</v>
      </c>
      <c r="T612" s="796" t="s">
        <v>1009</v>
      </c>
      <c r="U612" s="773" t="s">
        <v>2058</v>
      </c>
      <c r="V612" s="773" t="s">
        <v>1033</v>
      </c>
      <c r="W612" s="773" t="s">
        <v>4492</v>
      </c>
      <c r="X612" s="829">
        <v>2</v>
      </c>
      <c r="Y612" s="821" t="s">
        <v>1020</v>
      </c>
      <c r="Z612" s="790" t="s">
        <v>732</v>
      </c>
      <c r="AA612" s="785"/>
      <c r="AB612" s="785"/>
      <c r="AC612" s="785"/>
      <c r="AD612" s="785"/>
      <c r="AE612" s="785"/>
      <c r="AF612" s="799"/>
      <c r="AG612" s="800"/>
      <c r="AH612" s="800"/>
      <c r="AI612" s="800"/>
      <c r="AJ612" s="800"/>
      <c r="AK612" s="800"/>
      <c r="AL612" s="800"/>
      <c r="AM612" s="800"/>
      <c r="AN612" s="800"/>
      <c r="AO612" s="800"/>
      <c r="AP612" s="800"/>
      <c r="AQ612" s="1420"/>
      <c r="AR612" s="1368"/>
      <c r="AS612" s="1368"/>
      <c r="AT612" s="1368"/>
      <c r="AU612" s="1369"/>
      <c r="AV612" s="808"/>
      <c r="AW612" s="800"/>
      <c r="AX612" s="800"/>
      <c r="AY612" s="800"/>
      <c r="AZ612" s="800"/>
      <c r="BA612" s="800"/>
      <c r="BB612" s="800"/>
      <c r="BC612" s="800"/>
      <c r="BD612" s="800"/>
      <c r="BE612" s="800"/>
      <c r="BF612" s="800"/>
      <c r="BG612" s="800"/>
      <c r="BH612" s="800"/>
      <c r="BI612" s="800"/>
      <c r="BJ612" s="800"/>
      <c r="BK612" s="805"/>
      <c r="BL612" s="1376"/>
      <c r="BM612" s="1377"/>
      <c r="BN612" s="1377"/>
      <c r="BO612" s="1377"/>
      <c r="BP612" s="1377"/>
      <c r="BQ612" s="1421"/>
      <c r="BR612" s="1373"/>
      <c r="BS612" s="1373"/>
      <c r="BT612" s="1373"/>
      <c r="BU612" s="1374"/>
      <c r="BV612" s="1421"/>
      <c r="BW612" s="1373"/>
      <c r="BX612" s="1373"/>
      <c r="BY612" s="1373"/>
      <c r="BZ612" s="1373"/>
      <c r="CA612" s="1420"/>
      <c r="CB612" s="1368"/>
      <c r="CC612" s="1368"/>
      <c r="CD612" s="1368"/>
      <c r="CE612" s="1369"/>
      <c r="CF612" s="1368"/>
      <c r="CG612" s="1368"/>
      <c r="CH612" s="1368"/>
      <c r="CI612" s="1368"/>
      <c r="CJ612" s="1369"/>
      <c r="CK612" s="1421"/>
      <c r="CL612" s="1373"/>
      <c r="CM612" s="1373"/>
      <c r="CN612" s="1373"/>
      <c r="CO612" s="1374"/>
      <c r="CP612" s="1421"/>
      <c r="CQ612" s="1373"/>
      <c r="CR612" s="1373"/>
      <c r="CS612" s="1373"/>
      <c r="CT612" s="1374"/>
      <c r="CU612" s="1528"/>
      <c r="CV612" s="1519"/>
      <c r="CW612" s="1519"/>
      <c r="CX612" s="1728"/>
      <c r="CY612" s="1519"/>
      <c r="CZ612" s="1519"/>
      <c r="DA612" s="1519"/>
      <c r="DB612" s="1728"/>
      <c r="DC612" s="1377"/>
      <c r="DD612" s="1729"/>
      <c r="DE612" s="1734"/>
    </row>
    <row r="613" spans="1:109" ht="15.75" hidden="1" customHeight="1">
      <c r="A613" s="772" t="s">
        <v>1054</v>
      </c>
      <c r="B613" s="773">
        <v>607</v>
      </c>
      <c r="C613" s="789" t="s">
        <v>4493</v>
      </c>
      <c r="D613" s="773" t="s">
        <v>4490</v>
      </c>
      <c r="E613" s="773" t="s">
        <v>1907</v>
      </c>
      <c r="F613" s="785" t="s">
        <v>3425</v>
      </c>
      <c r="G613" s="790" t="s">
        <v>4494</v>
      </c>
      <c r="H613" s="791" t="s">
        <v>4495</v>
      </c>
      <c r="I613" s="792"/>
      <c r="J613" s="793"/>
      <c r="K613" s="793">
        <v>1</v>
      </c>
      <c r="L613" s="793"/>
      <c r="M613" s="793"/>
      <c r="N613" s="793"/>
      <c r="O613" s="793"/>
      <c r="P613" s="794"/>
      <c r="Q613" s="795">
        <f t="shared" si="9"/>
        <v>1</v>
      </c>
      <c r="R613" s="789" t="s">
        <v>1030</v>
      </c>
      <c r="S613" s="773" t="s">
        <v>1008</v>
      </c>
      <c r="T613" s="796" t="s">
        <v>1009</v>
      </c>
      <c r="U613" s="773" t="s">
        <v>2058</v>
      </c>
      <c r="V613" s="773" t="s">
        <v>1033</v>
      </c>
      <c r="W613" s="773" t="s">
        <v>4492</v>
      </c>
      <c r="X613" s="829">
        <v>2</v>
      </c>
      <c r="Y613" s="821" t="s">
        <v>1020</v>
      </c>
      <c r="Z613" s="790" t="s">
        <v>2098</v>
      </c>
      <c r="AA613" s="785"/>
      <c r="AB613" s="785"/>
      <c r="AC613" s="785"/>
      <c r="AD613" s="785"/>
      <c r="AE613" s="785"/>
      <c r="AF613" s="799"/>
      <c r="AG613" s="800"/>
      <c r="AH613" s="800"/>
      <c r="AI613" s="800"/>
      <c r="AJ613" s="800"/>
      <c r="AK613" s="800"/>
      <c r="AL613" s="800"/>
      <c r="AM613" s="800"/>
      <c r="AN613" s="800"/>
      <c r="AO613" s="800"/>
      <c r="AP613" s="800"/>
      <c r="AQ613" s="808">
        <v>17.07</v>
      </c>
      <c r="AR613" s="800">
        <v>16.73</v>
      </c>
      <c r="AS613" s="800">
        <v>16.38</v>
      </c>
      <c r="AT613" s="800">
        <v>16.03</v>
      </c>
      <c r="AU613" s="805">
        <v>15.68</v>
      </c>
      <c r="AV613" s="808"/>
      <c r="AW613" s="800"/>
      <c r="AX613" s="800"/>
      <c r="AY613" s="800"/>
      <c r="AZ613" s="800"/>
      <c r="BA613" s="800"/>
      <c r="BB613" s="800"/>
      <c r="BC613" s="800"/>
      <c r="BD613" s="800"/>
      <c r="BE613" s="800"/>
      <c r="BF613" s="800"/>
      <c r="BG613" s="800"/>
      <c r="BH613" s="800"/>
      <c r="BI613" s="800"/>
      <c r="BJ613" s="800"/>
      <c r="BK613" s="805"/>
      <c r="BL613" s="789" t="s">
        <v>168</v>
      </c>
      <c r="BM613" s="785" t="s">
        <v>168</v>
      </c>
      <c r="BN613" s="785" t="s">
        <v>168</v>
      </c>
      <c r="BO613" s="785" t="s">
        <v>168</v>
      </c>
      <c r="BP613" s="785" t="s">
        <v>168</v>
      </c>
      <c r="BQ613" s="808" t="s">
        <v>1942</v>
      </c>
      <c r="BR613" s="800" t="s">
        <v>1942</v>
      </c>
      <c r="BS613" s="800" t="s">
        <v>1942</v>
      </c>
      <c r="BT613" s="800" t="s">
        <v>1942</v>
      </c>
      <c r="BU613" s="805" t="s">
        <v>1942</v>
      </c>
      <c r="BV613" s="808">
        <v>25.61</v>
      </c>
      <c r="BW613" s="800">
        <v>25.61</v>
      </c>
      <c r="BX613" s="800">
        <v>25.61</v>
      </c>
      <c r="BY613" s="800">
        <v>25.61</v>
      </c>
      <c r="BZ613" s="800">
        <v>25.61</v>
      </c>
      <c r="CA613" s="808" t="s">
        <v>1942</v>
      </c>
      <c r="CB613" s="800" t="s">
        <v>1942</v>
      </c>
      <c r="CC613" s="800" t="s">
        <v>1942</v>
      </c>
      <c r="CD613" s="800" t="s">
        <v>1942</v>
      </c>
      <c r="CE613" s="805" t="s">
        <v>1942</v>
      </c>
      <c r="CF613" s="800" t="s">
        <v>1942</v>
      </c>
      <c r="CG613" s="800" t="s">
        <v>1942</v>
      </c>
      <c r="CH613" s="800" t="s">
        <v>1942</v>
      </c>
      <c r="CI613" s="800" t="s">
        <v>1942</v>
      </c>
      <c r="CJ613" s="805" t="s">
        <v>1942</v>
      </c>
      <c r="CK613" s="808">
        <v>13.82</v>
      </c>
      <c r="CL613" s="800">
        <v>13.82</v>
      </c>
      <c r="CM613" s="800">
        <v>13.82</v>
      </c>
      <c r="CN613" s="800">
        <v>13.82</v>
      </c>
      <c r="CO613" s="805">
        <v>13.82</v>
      </c>
      <c r="CP613" s="808" t="s">
        <v>1942</v>
      </c>
      <c r="CQ613" s="800" t="s">
        <v>1942</v>
      </c>
      <c r="CR613" s="800" t="s">
        <v>1942</v>
      </c>
      <c r="CS613" s="800" t="s">
        <v>1942</v>
      </c>
      <c r="CT613" s="805" t="s">
        <v>1942</v>
      </c>
      <c r="CU613" s="1284">
        <v>-0.8</v>
      </c>
      <c r="CV613" s="1283" t="s">
        <v>1942</v>
      </c>
      <c r="CW613" s="1283" t="s">
        <v>1942</v>
      </c>
      <c r="CX613" s="1285" t="s">
        <v>1942</v>
      </c>
      <c r="CY613" s="1283">
        <v>0.48</v>
      </c>
      <c r="CZ613" s="1283" t="s">
        <v>1942</v>
      </c>
      <c r="DA613" s="1283" t="s">
        <v>1942</v>
      </c>
      <c r="DB613" s="1285" t="s">
        <v>1942</v>
      </c>
      <c r="DC613" s="785"/>
      <c r="DD613" s="813">
        <v>1</v>
      </c>
      <c r="DE613" s="814"/>
    </row>
    <row r="614" spans="1:109" ht="15.75" hidden="1" customHeight="1">
      <c r="A614" s="772" t="s">
        <v>1054</v>
      </c>
      <c r="B614" s="773">
        <v>608</v>
      </c>
      <c r="C614" s="789" t="s">
        <v>4496</v>
      </c>
      <c r="D614" s="773" t="s">
        <v>4490</v>
      </c>
      <c r="E614" s="773" t="s">
        <v>1896</v>
      </c>
      <c r="F614" s="785" t="s">
        <v>4497</v>
      </c>
      <c r="G614" s="790" t="s">
        <v>4498</v>
      </c>
      <c r="H614" s="791" t="s">
        <v>4499</v>
      </c>
      <c r="I614" s="792"/>
      <c r="J614" s="793"/>
      <c r="K614" s="793">
        <v>1</v>
      </c>
      <c r="L614" s="793"/>
      <c r="M614" s="793"/>
      <c r="N614" s="793"/>
      <c r="O614" s="793"/>
      <c r="P614" s="794"/>
      <c r="Q614" s="795">
        <f t="shared" si="9"/>
        <v>1</v>
      </c>
      <c r="R614" s="789" t="s">
        <v>1026</v>
      </c>
      <c r="S614" s="773" t="s">
        <v>1008</v>
      </c>
      <c r="T614" s="796" t="s">
        <v>1009</v>
      </c>
      <c r="U614" s="773" t="s">
        <v>2058</v>
      </c>
      <c r="V614" s="773" t="s">
        <v>1081</v>
      </c>
      <c r="W614" s="773" t="s">
        <v>2335</v>
      </c>
      <c r="X614" s="829">
        <v>0</v>
      </c>
      <c r="Y614" s="821" t="s">
        <v>1020</v>
      </c>
      <c r="Z614" s="790"/>
      <c r="AA614" s="785"/>
      <c r="AB614" s="785"/>
      <c r="AC614" s="785"/>
      <c r="AD614" s="785"/>
      <c r="AE614" s="785"/>
      <c r="AF614" s="799"/>
      <c r="AG614" s="800"/>
      <c r="AH614" s="800"/>
      <c r="AI614" s="800"/>
      <c r="AJ614" s="800"/>
      <c r="AK614" s="800"/>
      <c r="AL614" s="800"/>
      <c r="AM614" s="800"/>
      <c r="AN614" s="800"/>
      <c r="AO614" s="800"/>
      <c r="AP614" s="800"/>
      <c r="AQ614" s="808">
        <v>50651</v>
      </c>
      <c r="AR614" s="800">
        <v>50651</v>
      </c>
      <c r="AS614" s="800">
        <v>50651</v>
      </c>
      <c r="AT614" s="800">
        <v>50651</v>
      </c>
      <c r="AU614" s="805">
        <v>50651</v>
      </c>
      <c r="AV614" s="808"/>
      <c r="AW614" s="800"/>
      <c r="AX614" s="800"/>
      <c r="AY614" s="800"/>
      <c r="AZ614" s="800"/>
      <c r="BA614" s="800"/>
      <c r="BB614" s="800"/>
      <c r="BC614" s="800"/>
      <c r="BD614" s="800"/>
      <c r="BE614" s="800"/>
      <c r="BF614" s="800"/>
      <c r="BG614" s="800"/>
      <c r="BH614" s="800"/>
      <c r="BI614" s="800"/>
      <c r="BJ614" s="800"/>
      <c r="BK614" s="805"/>
      <c r="BL614" s="789" t="s">
        <v>168</v>
      </c>
      <c r="BM614" s="785" t="s">
        <v>168</v>
      </c>
      <c r="BN614" s="785" t="s">
        <v>168</v>
      </c>
      <c r="BO614" s="785" t="s">
        <v>168</v>
      </c>
      <c r="BP614" s="785" t="s">
        <v>168</v>
      </c>
      <c r="BQ614" s="808" t="s">
        <v>1942</v>
      </c>
      <c r="BR614" s="800" t="s">
        <v>1942</v>
      </c>
      <c r="BS614" s="800" t="s">
        <v>1942</v>
      </c>
      <c r="BT614" s="800" t="s">
        <v>1942</v>
      </c>
      <c r="BU614" s="805" t="s">
        <v>1942</v>
      </c>
      <c r="BV614" s="808" t="s">
        <v>1942</v>
      </c>
      <c r="BW614" s="800" t="s">
        <v>1942</v>
      </c>
      <c r="BX614" s="800" t="s">
        <v>1942</v>
      </c>
      <c r="BY614" s="800" t="s">
        <v>1942</v>
      </c>
      <c r="BZ614" s="800" t="s">
        <v>1942</v>
      </c>
      <c r="CA614" s="808">
        <v>55716</v>
      </c>
      <c r="CB614" s="800">
        <v>55716</v>
      </c>
      <c r="CC614" s="800">
        <v>55716</v>
      </c>
      <c r="CD614" s="800">
        <v>55716</v>
      </c>
      <c r="CE614" s="805">
        <v>55716</v>
      </c>
      <c r="CF614" s="800" t="s">
        <v>1942</v>
      </c>
      <c r="CG614" s="800" t="s">
        <v>1942</v>
      </c>
      <c r="CH614" s="800" t="s">
        <v>1942</v>
      </c>
      <c r="CI614" s="800" t="s">
        <v>1942</v>
      </c>
      <c r="CJ614" s="805" t="s">
        <v>1942</v>
      </c>
      <c r="CK614" s="808" t="s">
        <v>1942</v>
      </c>
      <c r="CL614" s="800" t="s">
        <v>1942</v>
      </c>
      <c r="CM614" s="800" t="s">
        <v>1942</v>
      </c>
      <c r="CN614" s="800" t="s">
        <v>1942</v>
      </c>
      <c r="CO614" s="805" t="s">
        <v>1942</v>
      </c>
      <c r="CP614" s="808" t="s">
        <v>1942</v>
      </c>
      <c r="CQ614" s="800" t="s">
        <v>1942</v>
      </c>
      <c r="CR614" s="800" t="s">
        <v>1942</v>
      </c>
      <c r="CS614" s="800" t="s">
        <v>1942</v>
      </c>
      <c r="CT614" s="805" t="s">
        <v>1942</v>
      </c>
      <c r="CU614" s="1284">
        <v>-1.8000000000000001E-4</v>
      </c>
      <c r="CV614" s="1283" t="s">
        <v>1942</v>
      </c>
      <c r="CW614" s="1283" t="s">
        <v>1942</v>
      </c>
      <c r="CX614" s="1285" t="s">
        <v>1942</v>
      </c>
      <c r="CY614" s="1283" t="s">
        <v>1942</v>
      </c>
      <c r="CZ614" s="1283" t="s">
        <v>1942</v>
      </c>
      <c r="DA614" s="1283" t="s">
        <v>1942</v>
      </c>
      <c r="DB614" s="1285" t="s">
        <v>1942</v>
      </c>
      <c r="DC614" s="785"/>
      <c r="DD614" s="813">
        <v>1</v>
      </c>
      <c r="DE614" s="814"/>
    </row>
    <row r="615" spans="1:109" ht="15.75" hidden="1" customHeight="1">
      <c r="A615" s="772" t="s">
        <v>1054</v>
      </c>
      <c r="B615" s="773">
        <v>609</v>
      </c>
      <c r="C615" s="789" t="s">
        <v>4500</v>
      </c>
      <c r="D615" s="773" t="s">
        <v>4490</v>
      </c>
      <c r="E615" s="773" t="s">
        <v>1896</v>
      </c>
      <c r="F615" s="785" t="s">
        <v>4501</v>
      </c>
      <c r="G615" s="790" t="s">
        <v>4502</v>
      </c>
      <c r="H615" s="791" t="s">
        <v>4503</v>
      </c>
      <c r="I615" s="792"/>
      <c r="J615" s="793"/>
      <c r="K615" s="793">
        <v>1</v>
      </c>
      <c r="L615" s="793"/>
      <c r="M615" s="793"/>
      <c r="N615" s="793"/>
      <c r="O615" s="793"/>
      <c r="P615" s="794"/>
      <c r="Q615" s="795">
        <f t="shared" si="9"/>
        <v>1</v>
      </c>
      <c r="R615" s="789" t="s">
        <v>1026</v>
      </c>
      <c r="S615" s="773" t="s">
        <v>1008</v>
      </c>
      <c r="T615" s="796" t="s">
        <v>1009</v>
      </c>
      <c r="U615" s="773" t="s">
        <v>1910</v>
      </c>
      <c r="V615" s="773" t="s">
        <v>1033</v>
      </c>
      <c r="W615" s="773" t="s">
        <v>4504</v>
      </c>
      <c r="X615" s="829">
        <v>0</v>
      </c>
      <c r="Y615" s="821" t="s">
        <v>1020</v>
      </c>
      <c r="Z615" s="790"/>
      <c r="AA615" s="785"/>
      <c r="AB615" s="785"/>
      <c r="AC615" s="785"/>
      <c r="AD615" s="785"/>
      <c r="AE615" s="785"/>
      <c r="AF615" s="799"/>
      <c r="AG615" s="800"/>
      <c r="AH615" s="800"/>
      <c r="AI615" s="800"/>
      <c r="AJ615" s="800"/>
      <c r="AK615" s="800"/>
      <c r="AL615" s="800"/>
      <c r="AM615" s="800"/>
      <c r="AN615" s="800"/>
      <c r="AO615" s="800"/>
      <c r="AP615" s="800"/>
      <c r="AQ615" s="808">
        <v>0</v>
      </c>
      <c r="AR615" s="800">
        <v>0</v>
      </c>
      <c r="AS615" s="800">
        <v>0</v>
      </c>
      <c r="AT615" s="800">
        <v>0</v>
      </c>
      <c r="AU615" s="805">
        <v>0</v>
      </c>
      <c r="AV615" s="808"/>
      <c r="AW615" s="800"/>
      <c r="AX615" s="800"/>
      <c r="AY615" s="800"/>
      <c r="AZ615" s="800"/>
      <c r="BA615" s="800"/>
      <c r="BB615" s="800"/>
      <c r="BC615" s="800"/>
      <c r="BD615" s="800"/>
      <c r="BE615" s="800"/>
      <c r="BF615" s="800"/>
      <c r="BG615" s="800"/>
      <c r="BH615" s="800"/>
      <c r="BI615" s="800"/>
      <c r="BJ615" s="800"/>
      <c r="BK615" s="805"/>
      <c r="BL615" s="1955" t="s">
        <v>168</v>
      </c>
      <c r="BM615" s="1956" t="s">
        <v>168</v>
      </c>
      <c r="BN615" s="1956" t="s">
        <v>168</v>
      </c>
      <c r="BO615" s="1956" t="s">
        <v>168</v>
      </c>
      <c r="BP615" s="785" t="s">
        <v>168</v>
      </c>
      <c r="BQ615" s="808" t="s">
        <v>1942</v>
      </c>
      <c r="BR615" s="800" t="s">
        <v>1942</v>
      </c>
      <c r="BS615" s="800" t="s">
        <v>1942</v>
      </c>
      <c r="BT615" s="800" t="s">
        <v>1942</v>
      </c>
      <c r="BU615" s="805" t="s">
        <v>1942</v>
      </c>
      <c r="BV615" s="808" t="s">
        <v>1942</v>
      </c>
      <c r="BW615" s="800" t="s">
        <v>1942</v>
      </c>
      <c r="BX615" s="800" t="s">
        <v>1942</v>
      </c>
      <c r="BY615" s="800" t="s">
        <v>1942</v>
      </c>
      <c r="BZ615" s="800" t="s">
        <v>1942</v>
      </c>
      <c r="CA615" s="808" t="s">
        <v>1942</v>
      </c>
      <c r="CB615" s="800" t="s">
        <v>1942</v>
      </c>
      <c r="CC615" s="800" t="s">
        <v>1942</v>
      </c>
      <c r="CD615" s="800" t="s">
        <v>1942</v>
      </c>
      <c r="CE615" s="805" t="s">
        <v>1942</v>
      </c>
      <c r="CF615" s="800" t="s">
        <v>1942</v>
      </c>
      <c r="CG615" s="800" t="s">
        <v>1942</v>
      </c>
      <c r="CH615" s="800" t="s">
        <v>1942</v>
      </c>
      <c r="CI615" s="800" t="s">
        <v>1942</v>
      </c>
      <c r="CJ615" s="805" t="s">
        <v>1942</v>
      </c>
      <c r="CK615" s="808" t="s">
        <v>1942</v>
      </c>
      <c r="CL615" s="800" t="s">
        <v>1942</v>
      </c>
      <c r="CM615" s="800" t="s">
        <v>1942</v>
      </c>
      <c r="CN615" s="800" t="s">
        <v>1942</v>
      </c>
      <c r="CO615" s="805" t="s">
        <v>1942</v>
      </c>
      <c r="CP615" s="808" t="s">
        <v>1942</v>
      </c>
      <c r="CQ615" s="800" t="s">
        <v>1942</v>
      </c>
      <c r="CR615" s="800" t="s">
        <v>1942</v>
      </c>
      <c r="CS615" s="800" t="s">
        <v>1942</v>
      </c>
      <c r="CT615" s="805" t="s">
        <v>1942</v>
      </c>
      <c r="CU615" s="1284">
        <v>-0.1326</v>
      </c>
      <c r="CV615" s="1283" t="s">
        <v>1942</v>
      </c>
      <c r="CW615" s="1283" t="s">
        <v>1942</v>
      </c>
      <c r="CX615" s="1285" t="s">
        <v>1942</v>
      </c>
      <c r="CY615" s="1283" t="s">
        <v>1942</v>
      </c>
      <c r="CZ615" s="1283" t="s">
        <v>1942</v>
      </c>
      <c r="DA615" s="1283" t="s">
        <v>1942</v>
      </c>
      <c r="DB615" s="1285" t="s">
        <v>1942</v>
      </c>
      <c r="DC615" s="785" t="s">
        <v>131</v>
      </c>
      <c r="DD615" s="813">
        <v>1</v>
      </c>
      <c r="DE615" s="814"/>
    </row>
    <row r="616" spans="1:109" ht="15.75" hidden="1" customHeight="1">
      <c r="A616" s="772" t="s">
        <v>1054</v>
      </c>
      <c r="B616" s="773">
        <v>610</v>
      </c>
      <c r="C616" s="789" t="s">
        <v>4505</v>
      </c>
      <c r="D616" s="773" t="s">
        <v>4506</v>
      </c>
      <c r="E616" s="773" t="s">
        <v>1889</v>
      </c>
      <c r="F616" s="785" t="s">
        <v>4507</v>
      </c>
      <c r="G616" s="790" t="s">
        <v>137</v>
      </c>
      <c r="H616" s="791" t="s">
        <v>4508</v>
      </c>
      <c r="I616" s="792"/>
      <c r="J616" s="793">
        <v>1</v>
      </c>
      <c r="K616" s="793"/>
      <c r="L616" s="793"/>
      <c r="M616" s="793"/>
      <c r="N616" s="793"/>
      <c r="O616" s="793"/>
      <c r="P616" s="794"/>
      <c r="Q616" s="795">
        <f t="shared" si="9"/>
        <v>1</v>
      </c>
      <c r="R616" s="789" t="s">
        <v>1030</v>
      </c>
      <c r="S616" s="773" t="s">
        <v>1008</v>
      </c>
      <c r="T616" s="796" t="s">
        <v>1009</v>
      </c>
      <c r="U616" s="773" t="s">
        <v>1892</v>
      </c>
      <c r="V616" s="773" t="s">
        <v>1029</v>
      </c>
      <c r="W616" s="773" t="s">
        <v>2488</v>
      </c>
      <c r="X616" s="1274">
        <v>0</v>
      </c>
      <c r="Y616" s="798" t="s">
        <v>1020</v>
      </c>
      <c r="Z616" s="790" t="s">
        <v>137</v>
      </c>
      <c r="AA616" s="785"/>
      <c r="AB616" s="785"/>
      <c r="AC616" s="785"/>
      <c r="AD616" s="785"/>
      <c r="AE616" s="785"/>
      <c r="AF616" s="799"/>
      <c r="AG616" s="845"/>
      <c r="AH616" s="845"/>
      <c r="AI616" s="845"/>
      <c r="AJ616" s="845"/>
      <c r="AK616" s="845"/>
      <c r="AL616" s="845"/>
      <c r="AM616" s="845"/>
      <c r="AN616" s="845"/>
      <c r="AO616" s="845"/>
      <c r="AP616" s="845"/>
      <c r="AQ616" s="1370"/>
      <c r="AR616" s="1371"/>
      <c r="AS616" s="1371"/>
      <c r="AT616" s="1371"/>
      <c r="AU616" s="1372"/>
      <c r="AV616" s="846"/>
      <c r="AW616" s="845"/>
      <c r="AX616" s="845"/>
      <c r="AY616" s="845"/>
      <c r="AZ616" s="845"/>
      <c r="BA616" s="845"/>
      <c r="BB616" s="845"/>
      <c r="BC616" s="845"/>
      <c r="BD616" s="845"/>
      <c r="BE616" s="845"/>
      <c r="BF616" s="845"/>
      <c r="BG616" s="845"/>
      <c r="BH616" s="845"/>
      <c r="BI616" s="845"/>
      <c r="BJ616" s="845"/>
      <c r="BK616" s="847"/>
      <c r="BL616" s="1376"/>
      <c r="BM616" s="1377"/>
      <c r="BN616" s="1377"/>
      <c r="BO616" s="1377"/>
      <c r="BP616" s="1440"/>
      <c r="BQ616" s="1370"/>
      <c r="BR616" s="1371"/>
      <c r="BS616" s="1371"/>
      <c r="BT616" s="1371"/>
      <c r="BU616" s="1372"/>
      <c r="BV616" s="1370"/>
      <c r="BW616" s="1371"/>
      <c r="BX616" s="1371"/>
      <c r="BY616" s="1371"/>
      <c r="BZ616" s="1371"/>
      <c r="CA616" s="1370"/>
      <c r="CB616" s="1371"/>
      <c r="CC616" s="1371"/>
      <c r="CD616" s="1371"/>
      <c r="CE616" s="1372"/>
      <c r="CF616" s="1371"/>
      <c r="CG616" s="1371"/>
      <c r="CH616" s="1371"/>
      <c r="CI616" s="1371"/>
      <c r="CJ616" s="1372"/>
      <c r="CK616" s="1370"/>
      <c r="CL616" s="1371"/>
      <c r="CM616" s="1371"/>
      <c r="CN616" s="1371"/>
      <c r="CO616" s="1372"/>
      <c r="CP616" s="1370"/>
      <c r="CQ616" s="1371"/>
      <c r="CR616" s="1371"/>
      <c r="CS616" s="1371"/>
      <c r="CT616" s="1372"/>
      <c r="CU616" s="1528"/>
      <c r="CV616" s="1519"/>
      <c r="CW616" s="1519"/>
      <c r="CX616" s="1728"/>
      <c r="CY616" s="1519"/>
      <c r="CZ616" s="1519"/>
      <c r="DA616" s="1519"/>
      <c r="DB616" s="1728"/>
      <c r="DC616" s="1377"/>
      <c r="DD616" s="1729"/>
      <c r="DE616" s="1734"/>
    </row>
    <row r="617" spans="1:109" ht="15.75" hidden="1" customHeight="1">
      <c r="A617" s="772" t="s">
        <v>1054</v>
      </c>
      <c r="B617" s="773">
        <v>611</v>
      </c>
      <c r="C617" s="789" t="s">
        <v>4509</v>
      </c>
      <c r="D617" s="773" t="s">
        <v>4506</v>
      </c>
      <c r="E617" s="773" t="s">
        <v>1907</v>
      </c>
      <c r="F617" s="785" t="s">
        <v>4510</v>
      </c>
      <c r="G617" s="790" t="s">
        <v>535</v>
      </c>
      <c r="H617" s="791" t="s">
        <v>4511</v>
      </c>
      <c r="I617" s="792">
        <v>1</v>
      </c>
      <c r="J617" s="793"/>
      <c r="K617" s="793"/>
      <c r="L617" s="793"/>
      <c r="M617" s="793"/>
      <c r="N617" s="793"/>
      <c r="O617" s="793"/>
      <c r="P617" s="794"/>
      <c r="Q617" s="795">
        <f t="shared" si="9"/>
        <v>1</v>
      </c>
      <c r="R617" s="789" t="s">
        <v>1007</v>
      </c>
      <c r="S617" s="773"/>
      <c r="T617" s="796"/>
      <c r="U617" s="773" t="s">
        <v>2944</v>
      </c>
      <c r="V617" s="773" t="s">
        <v>278</v>
      </c>
      <c r="W617" s="773" t="s">
        <v>2945</v>
      </c>
      <c r="X617" s="1274">
        <v>1</v>
      </c>
      <c r="Y617" s="798" t="s">
        <v>1020</v>
      </c>
      <c r="Z617" s="790" t="s">
        <v>535</v>
      </c>
      <c r="AA617" s="785"/>
      <c r="AB617" s="785"/>
      <c r="AC617" s="785"/>
      <c r="AD617" s="785"/>
      <c r="AE617" s="785"/>
      <c r="AF617" s="799"/>
      <c r="AG617" s="816"/>
      <c r="AH617" s="816"/>
      <c r="AI617" s="816"/>
      <c r="AJ617" s="816"/>
      <c r="AK617" s="816"/>
      <c r="AL617" s="816"/>
      <c r="AM617" s="816"/>
      <c r="AN617" s="816"/>
      <c r="AO617" s="816"/>
      <c r="AP617" s="816"/>
      <c r="AQ617" s="1521"/>
      <c r="AR617" s="1730"/>
      <c r="AS617" s="1730"/>
      <c r="AT617" s="1730"/>
      <c r="AU617" s="1527"/>
      <c r="AV617" s="817"/>
      <c r="AW617" s="816"/>
      <c r="AX617" s="816"/>
      <c r="AY617" s="816"/>
      <c r="AZ617" s="816"/>
      <c r="BA617" s="816"/>
      <c r="BB617" s="816"/>
      <c r="BC617" s="816"/>
      <c r="BD617" s="816"/>
      <c r="BE617" s="816"/>
      <c r="BF617" s="816"/>
      <c r="BG617" s="816"/>
      <c r="BH617" s="816"/>
      <c r="BI617" s="816"/>
      <c r="BJ617" s="816"/>
      <c r="BK617" s="818"/>
      <c r="BL617" s="1376"/>
      <c r="BM617" s="1377"/>
      <c r="BN617" s="1377"/>
      <c r="BO617" s="1377"/>
      <c r="BP617" s="1440"/>
      <c r="BQ617" s="1724"/>
      <c r="BR617" s="1368"/>
      <c r="BS617" s="1368"/>
      <c r="BT617" s="1368"/>
      <c r="BU617" s="1369"/>
      <c r="BV617" s="1724"/>
      <c r="BW617" s="1368"/>
      <c r="BX617" s="1368"/>
      <c r="BY617" s="1368"/>
      <c r="BZ617" s="1368"/>
      <c r="CA617" s="1420"/>
      <c r="CB617" s="1368"/>
      <c r="CC617" s="1368"/>
      <c r="CD617" s="1368"/>
      <c r="CE617" s="1369"/>
      <c r="CF617" s="1368"/>
      <c r="CG617" s="1368"/>
      <c r="CH617" s="1368"/>
      <c r="CI617" s="1368"/>
      <c r="CJ617" s="1369"/>
      <c r="CK617" s="1420"/>
      <c r="CL617" s="1368"/>
      <c r="CM617" s="1368"/>
      <c r="CN617" s="1368"/>
      <c r="CO617" s="1369"/>
      <c r="CP617" s="1420"/>
      <c r="CQ617" s="1368"/>
      <c r="CR617" s="1368"/>
      <c r="CS617" s="1368"/>
      <c r="CT617" s="1369"/>
      <c r="CU617" s="1528"/>
      <c r="CV617" s="1519"/>
      <c r="CW617" s="1519"/>
      <c r="CX617" s="1728"/>
      <c r="CY617" s="1519"/>
      <c r="CZ617" s="1519"/>
      <c r="DA617" s="1519"/>
      <c r="DB617" s="1728"/>
      <c r="DC617" s="1377"/>
      <c r="DD617" s="1729"/>
      <c r="DE617" s="1734"/>
    </row>
    <row r="618" spans="1:109" ht="15.75" hidden="1" customHeight="1">
      <c r="A618" s="772" t="s">
        <v>1054</v>
      </c>
      <c r="B618" s="773">
        <v>612</v>
      </c>
      <c r="C618" s="789" t="s">
        <v>4512</v>
      </c>
      <c r="D618" s="773" t="s">
        <v>4506</v>
      </c>
      <c r="E618" s="773" t="s">
        <v>1907</v>
      </c>
      <c r="F618" s="785" t="s">
        <v>4513</v>
      </c>
      <c r="G618" s="790" t="s">
        <v>839</v>
      </c>
      <c r="H618" s="791" t="s">
        <v>4514</v>
      </c>
      <c r="I618" s="792"/>
      <c r="J618" s="793"/>
      <c r="K618" s="793">
        <v>1</v>
      </c>
      <c r="L618" s="793"/>
      <c r="M618" s="793"/>
      <c r="N618" s="793"/>
      <c r="O618" s="793"/>
      <c r="P618" s="794"/>
      <c r="Q618" s="795">
        <f t="shared" si="9"/>
        <v>1</v>
      </c>
      <c r="R618" s="789" t="s">
        <v>1007</v>
      </c>
      <c r="S618" s="773"/>
      <c r="T618" s="796"/>
      <c r="U618" s="773" t="s">
        <v>2058</v>
      </c>
      <c r="V618" s="773" t="s">
        <v>278</v>
      </c>
      <c r="W618" s="773" t="s">
        <v>2945</v>
      </c>
      <c r="X618" s="829">
        <v>2</v>
      </c>
      <c r="Y618" s="798" t="s">
        <v>1020</v>
      </c>
      <c r="Z618" s="790" t="s">
        <v>839</v>
      </c>
      <c r="AA618" s="785"/>
      <c r="AB618" s="785"/>
      <c r="AC618" s="785"/>
      <c r="AD618" s="785"/>
      <c r="AE618" s="785"/>
      <c r="AF618" s="799"/>
      <c r="AG618" s="800"/>
      <c r="AH618" s="800"/>
      <c r="AI618" s="800"/>
      <c r="AJ618" s="800"/>
      <c r="AK618" s="800"/>
      <c r="AL618" s="800"/>
      <c r="AM618" s="800"/>
      <c r="AN618" s="800"/>
      <c r="AO618" s="800"/>
      <c r="AP618" s="800"/>
      <c r="AQ618" s="1420"/>
      <c r="AR618" s="1368"/>
      <c r="AS618" s="1368"/>
      <c r="AT618" s="1368"/>
      <c r="AU618" s="1369"/>
      <c r="AV618" s="808"/>
      <c r="AW618" s="800"/>
      <c r="AX618" s="800"/>
      <c r="AY618" s="800"/>
      <c r="AZ618" s="800"/>
      <c r="BA618" s="800"/>
      <c r="BB618" s="800"/>
      <c r="BC618" s="800"/>
      <c r="BD618" s="800"/>
      <c r="BE618" s="800"/>
      <c r="BF618" s="800"/>
      <c r="BG618" s="800"/>
      <c r="BH618" s="800"/>
      <c r="BI618" s="800"/>
      <c r="BJ618" s="800"/>
      <c r="BK618" s="805"/>
      <c r="BL618" s="1376"/>
      <c r="BM618" s="1377"/>
      <c r="BN618" s="1377"/>
      <c r="BO618" s="1377"/>
      <c r="BP618" s="1440"/>
      <c r="BQ618" s="1420"/>
      <c r="BR618" s="1368"/>
      <c r="BS618" s="1368"/>
      <c r="BT618" s="1368"/>
      <c r="BU618" s="1369"/>
      <c r="BV618" s="1420"/>
      <c r="BW618" s="1368"/>
      <c r="BX618" s="1368"/>
      <c r="BY618" s="1368"/>
      <c r="BZ618" s="1368"/>
      <c r="CA618" s="1420"/>
      <c r="CB618" s="1368"/>
      <c r="CC618" s="1368"/>
      <c r="CD618" s="1368"/>
      <c r="CE618" s="1369"/>
      <c r="CF618" s="1368"/>
      <c r="CG618" s="1368"/>
      <c r="CH618" s="1368"/>
      <c r="CI618" s="1368"/>
      <c r="CJ618" s="1369"/>
      <c r="CK618" s="1420"/>
      <c r="CL618" s="1368"/>
      <c r="CM618" s="1368"/>
      <c r="CN618" s="1368"/>
      <c r="CO618" s="1369"/>
      <c r="CP618" s="1420"/>
      <c r="CQ618" s="1368"/>
      <c r="CR618" s="1368"/>
      <c r="CS618" s="1368"/>
      <c r="CT618" s="1369"/>
      <c r="CU618" s="1528"/>
      <c r="CV618" s="1519"/>
      <c r="CW618" s="1519"/>
      <c r="CX618" s="1728"/>
      <c r="CY618" s="1519"/>
      <c r="CZ618" s="1519"/>
      <c r="DA618" s="1519"/>
      <c r="DB618" s="1728"/>
      <c r="DC618" s="1377"/>
      <c r="DD618" s="1729"/>
      <c r="DE618" s="1734"/>
    </row>
    <row r="619" spans="1:109" ht="15.75" hidden="1" customHeight="1">
      <c r="A619" s="772" t="s">
        <v>1054</v>
      </c>
      <c r="B619" s="773">
        <v>613</v>
      </c>
      <c r="C619" s="789" t="s">
        <v>4515</v>
      </c>
      <c r="D619" s="773" t="s">
        <v>4506</v>
      </c>
      <c r="E619" s="773" t="s">
        <v>1896</v>
      </c>
      <c r="F619" s="785" t="s">
        <v>4516</v>
      </c>
      <c r="G619" s="790" t="s">
        <v>161</v>
      </c>
      <c r="H619" s="791" t="s">
        <v>4517</v>
      </c>
      <c r="I619" s="792"/>
      <c r="J619" s="793">
        <v>1</v>
      </c>
      <c r="K619" s="793"/>
      <c r="L619" s="793"/>
      <c r="M619" s="793"/>
      <c r="N619" s="793"/>
      <c r="O619" s="793"/>
      <c r="P619" s="794"/>
      <c r="Q619" s="795">
        <f t="shared" si="9"/>
        <v>1</v>
      </c>
      <c r="R619" s="789" t="s">
        <v>1026</v>
      </c>
      <c r="S619" s="773" t="s">
        <v>1008</v>
      </c>
      <c r="T619" s="796" t="s">
        <v>1009</v>
      </c>
      <c r="U619" s="773" t="s">
        <v>2074</v>
      </c>
      <c r="V619" s="773" t="s">
        <v>1033</v>
      </c>
      <c r="W619" s="773" t="s">
        <v>4518</v>
      </c>
      <c r="X619" s="1274">
        <v>1</v>
      </c>
      <c r="Y619" s="798" t="s">
        <v>1020</v>
      </c>
      <c r="Z619" s="790" t="s">
        <v>161</v>
      </c>
      <c r="AA619" s="785"/>
      <c r="AB619" s="785"/>
      <c r="AC619" s="785"/>
      <c r="AD619" s="785"/>
      <c r="AE619" s="785"/>
      <c r="AF619" s="799"/>
      <c r="AG619" s="800"/>
      <c r="AH619" s="800"/>
      <c r="AI619" s="800"/>
      <c r="AJ619" s="800"/>
      <c r="AK619" s="800"/>
      <c r="AL619" s="800"/>
      <c r="AM619" s="800"/>
      <c r="AN619" s="800"/>
      <c r="AO619" s="800"/>
      <c r="AP619" s="800"/>
      <c r="AQ619" s="1421"/>
      <c r="AR619" s="1373"/>
      <c r="AS619" s="1373"/>
      <c r="AT619" s="1373"/>
      <c r="AU619" s="1374"/>
      <c r="AV619" s="808"/>
      <c r="AW619" s="800"/>
      <c r="AX619" s="800"/>
      <c r="AY619" s="800"/>
      <c r="AZ619" s="800"/>
      <c r="BA619" s="800"/>
      <c r="BB619" s="800"/>
      <c r="BC619" s="800"/>
      <c r="BD619" s="800"/>
      <c r="BE619" s="800"/>
      <c r="BF619" s="800"/>
      <c r="BG619" s="800"/>
      <c r="BH619" s="800"/>
      <c r="BI619" s="800"/>
      <c r="BJ619" s="800"/>
      <c r="BK619" s="805"/>
      <c r="BL619" s="1376"/>
      <c r="BM619" s="1377"/>
      <c r="BN619" s="1377"/>
      <c r="BO619" s="1377"/>
      <c r="BP619" s="1440"/>
      <c r="BQ619" s="1420"/>
      <c r="BR619" s="1368"/>
      <c r="BS619" s="1368"/>
      <c r="BT619" s="1368"/>
      <c r="BU619" s="1369"/>
      <c r="BV619" s="1421"/>
      <c r="BW619" s="1373"/>
      <c r="BX619" s="1373"/>
      <c r="BY619" s="1373"/>
      <c r="BZ619" s="1373"/>
      <c r="CA619" s="1420"/>
      <c r="CB619" s="1368"/>
      <c r="CC619" s="1368"/>
      <c r="CD619" s="1368"/>
      <c r="CE619" s="1369"/>
      <c r="CF619" s="1368"/>
      <c r="CG619" s="1368"/>
      <c r="CH619" s="1368"/>
      <c r="CI619" s="1368"/>
      <c r="CJ619" s="1368"/>
      <c r="CK619" s="1420"/>
      <c r="CL619" s="1368"/>
      <c r="CM619" s="1368"/>
      <c r="CN619" s="1368"/>
      <c r="CO619" s="1369"/>
      <c r="CP619" s="1420"/>
      <c r="CQ619" s="1368"/>
      <c r="CR619" s="1368"/>
      <c r="CS619" s="1368"/>
      <c r="CT619" s="1369"/>
      <c r="CU619" s="1528"/>
      <c r="CV619" s="1519"/>
      <c r="CW619" s="1519"/>
      <c r="CX619" s="1728"/>
      <c r="CY619" s="1519"/>
      <c r="CZ619" s="1519"/>
      <c r="DA619" s="1519"/>
      <c r="DB619" s="1728"/>
      <c r="DC619" s="1377"/>
      <c r="DD619" s="1729"/>
      <c r="DE619" s="1734"/>
    </row>
    <row r="620" spans="1:109" ht="15.75" hidden="1" customHeight="1">
      <c r="A620" s="772" t="s">
        <v>1054</v>
      </c>
      <c r="B620" s="773">
        <v>614</v>
      </c>
      <c r="C620" s="789" t="s">
        <v>4519</v>
      </c>
      <c r="D620" s="773" t="s">
        <v>4506</v>
      </c>
      <c r="E620" s="773" t="s">
        <v>1907</v>
      </c>
      <c r="F620" s="785" t="s">
        <v>4520</v>
      </c>
      <c r="G620" s="790" t="s">
        <v>167</v>
      </c>
      <c r="H620" s="791" t="s">
        <v>4521</v>
      </c>
      <c r="I620" s="792"/>
      <c r="J620" s="793">
        <v>1</v>
      </c>
      <c r="K620" s="793"/>
      <c r="L620" s="793"/>
      <c r="M620" s="793"/>
      <c r="N620" s="793"/>
      <c r="O620" s="793"/>
      <c r="P620" s="794"/>
      <c r="Q620" s="795">
        <f t="shared" si="9"/>
        <v>1</v>
      </c>
      <c r="R620" s="789" t="s">
        <v>1026</v>
      </c>
      <c r="S620" s="773" t="s">
        <v>1008</v>
      </c>
      <c r="T620" s="796" t="s">
        <v>1009</v>
      </c>
      <c r="U620" s="773" t="s">
        <v>1915</v>
      </c>
      <c r="V620" s="773" t="s">
        <v>278</v>
      </c>
      <c r="W620" s="773" t="s">
        <v>4522</v>
      </c>
      <c r="X620" s="829">
        <v>2</v>
      </c>
      <c r="Y620" s="819" t="s">
        <v>1020</v>
      </c>
      <c r="Z620" s="790" t="s">
        <v>167</v>
      </c>
      <c r="AA620" s="785"/>
      <c r="AB620" s="785"/>
      <c r="AC620" s="785"/>
      <c r="AD620" s="785"/>
      <c r="AE620" s="785"/>
      <c r="AF620" s="799"/>
      <c r="AG620" s="800"/>
      <c r="AH620" s="800"/>
      <c r="AI620" s="800"/>
      <c r="AJ620" s="800"/>
      <c r="AK620" s="800"/>
      <c r="AL620" s="800"/>
      <c r="AM620" s="800"/>
      <c r="AN620" s="800"/>
      <c r="AO620" s="800"/>
      <c r="AP620" s="800"/>
      <c r="AQ620" s="1421"/>
      <c r="AR620" s="1373"/>
      <c r="AS620" s="1373"/>
      <c r="AT620" s="1373"/>
      <c r="AU620" s="1374"/>
      <c r="AV620" s="808"/>
      <c r="AW620" s="800"/>
      <c r="AX620" s="800"/>
      <c r="AY620" s="800"/>
      <c r="AZ620" s="800"/>
      <c r="BA620" s="800"/>
      <c r="BB620" s="800"/>
      <c r="BC620" s="800"/>
      <c r="BD620" s="800"/>
      <c r="BE620" s="800"/>
      <c r="BF620" s="800"/>
      <c r="BG620" s="800"/>
      <c r="BH620" s="800"/>
      <c r="BI620" s="800"/>
      <c r="BJ620" s="800"/>
      <c r="BK620" s="805"/>
      <c r="BL620" s="1376"/>
      <c r="BM620" s="1377"/>
      <c r="BN620" s="1377"/>
      <c r="BO620" s="1377"/>
      <c r="BP620" s="1440"/>
      <c r="BQ620" s="1420"/>
      <c r="BR620" s="1368"/>
      <c r="BS620" s="1368"/>
      <c r="BT620" s="1368"/>
      <c r="BU620" s="1369"/>
      <c r="BV620" s="1420"/>
      <c r="BW620" s="1368"/>
      <c r="BX620" s="1368"/>
      <c r="BY620" s="1368"/>
      <c r="BZ620" s="1368"/>
      <c r="CA620" s="1420"/>
      <c r="CB620" s="1368"/>
      <c r="CC620" s="1368"/>
      <c r="CD620" s="1368"/>
      <c r="CE620" s="1369"/>
      <c r="CF620" s="1368"/>
      <c r="CG620" s="1368"/>
      <c r="CH620" s="1368"/>
      <c r="CI620" s="1368"/>
      <c r="CJ620" s="1369"/>
      <c r="CK620" s="1420"/>
      <c r="CL620" s="1368"/>
      <c r="CM620" s="1368"/>
      <c r="CN620" s="1368"/>
      <c r="CO620" s="1369"/>
      <c r="CP620" s="1420"/>
      <c r="CQ620" s="1368"/>
      <c r="CR620" s="1368"/>
      <c r="CS620" s="1368"/>
      <c r="CT620" s="1369"/>
      <c r="CU620" s="1528"/>
      <c r="CV620" s="1519"/>
      <c r="CW620" s="1519"/>
      <c r="CX620" s="1728"/>
      <c r="CY620" s="1519"/>
      <c r="CZ620" s="1519"/>
      <c r="DA620" s="1519"/>
      <c r="DB620" s="1728"/>
      <c r="DC620" s="1377"/>
      <c r="DD620" s="1729"/>
      <c r="DE620" s="1734"/>
    </row>
    <row r="621" spans="1:109" ht="15.75" hidden="1" customHeight="1">
      <c r="A621" s="772" t="s">
        <v>1054</v>
      </c>
      <c r="B621" s="773">
        <v>615</v>
      </c>
      <c r="C621" s="789" t="s">
        <v>4523</v>
      </c>
      <c r="D621" s="773" t="s">
        <v>4506</v>
      </c>
      <c r="E621" s="773" t="s">
        <v>1896</v>
      </c>
      <c r="F621" s="785" t="s">
        <v>4524</v>
      </c>
      <c r="G621" s="790" t="s">
        <v>743</v>
      </c>
      <c r="H621" s="791" t="s">
        <v>4525</v>
      </c>
      <c r="I621" s="792"/>
      <c r="J621" s="793"/>
      <c r="K621" s="793">
        <v>1</v>
      </c>
      <c r="L621" s="793"/>
      <c r="M621" s="793"/>
      <c r="N621" s="793"/>
      <c r="O621" s="793"/>
      <c r="P621" s="794"/>
      <c r="Q621" s="795">
        <f t="shared" si="9"/>
        <v>1</v>
      </c>
      <c r="R621" s="789" t="s">
        <v>1026</v>
      </c>
      <c r="S621" s="773" t="s">
        <v>1008</v>
      </c>
      <c r="T621" s="796" t="s">
        <v>1009</v>
      </c>
      <c r="U621" s="773" t="s">
        <v>1910</v>
      </c>
      <c r="V621" s="773" t="s">
        <v>1033</v>
      </c>
      <c r="W621" s="773" t="s">
        <v>4526</v>
      </c>
      <c r="X621" s="1274">
        <v>2</v>
      </c>
      <c r="Y621" s="819" t="s">
        <v>1020</v>
      </c>
      <c r="Z621" s="790" t="s">
        <v>743</v>
      </c>
      <c r="AA621" s="785"/>
      <c r="AB621" s="785"/>
      <c r="AC621" s="785"/>
      <c r="AD621" s="785"/>
      <c r="AE621" s="785"/>
      <c r="AF621" s="799"/>
      <c r="AG621" s="800"/>
      <c r="AH621" s="800"/>
      <c r="AI621" s="800"/>
      <c r="AJ621" s="800"/>
      <c r="AK621" s="800"/>
      <c r="AL621" s="800"/>
      <c r="AM621" s="800"/>
      <c r="AN621" s="800"/>
      <c r="AO621" s="800"/>
      <c r="AP621" s="800"/>
      <c r="AQ621" s="1420"/>
      <c r="AR621" s="1368"/>
      <c r="AS621" s="1368"/>
      <c r="AT621" s="1368"/>
      <c r="AU621" s="1369"/>
      <c r="AV621" s="808"/>
      <c r="AW621" s="800"/>
      <c r="AX621" s="800"/>
      <c r="AY621" s="800"/>
      <c r="AZ621" s="800"/>
      <c r="BA621" s="800"/>
      <c r="BB621" s="800"/>
      <c r="BC621" s="800"/>
      <c r="BD621" s="800"/>
      <c r="BE621" s="800"/>
      <c r="BF621" s="800"/>
      <c r="BG621" s="800"/>
      <c r="BH621" s="800"/>
      <c r="BI621" s="800"/>
      <c r="BJ621" s="800"/>
      <c r="BK621" s="805"/>
      <c r="BL621" s="1376"/>
      <c r="BM621" s="1377"/>
      <c r="BN621" s="1377"/>
      <c r="BO621" s="1377"/>
      <c r="BP621" s="1440"/>
      <c r="BQ621" s="1420"/>
      <c r="BR621" s="1368"/>
      <c r="BS621" s="1368"/>
      <c r="BT621" s="1368"/>
      <c r="BU621" s="1369"/>
      <c r="BV621" s="1421"/>
      <c r="BW621" s="1373"/>
      <c r="BX621" s="1373"/>
      <c r="BY621" s="1373"/>
      <c r="BZ621" s="1373"/>
      <c r="CA621" s="1420"/>
      <c r="CB621" s="1368"/>
      <c r="CC621" s="1368"/>
      <c r="CD621" s="1368"/>
      <c r="CE621" s="1369"/>
      <c r="CF621" s="1368"/>
      <c r="CG621" s="1368"/>
      <c r="CH621" s="1368"/>
      <c r="CI621" s="1368"/>
      <c r="CJ621" s="1369"/>
      <c r="CK621" s="1420"/>
      <c r="CL621" s="1368"/>
      <c r="CM621" s="1368"/>
      <c r="CN621" s="1368"/>
      <c r="CO621" s="1369"/>
      <c r="CP621" s="1420"/>
      <c r="CQ621" s="1368"/>
      <c r="CR621" s="1368"/>
      <c r="CS621" s="1368"/>
      <c r="CT621" s="1369"/>
      <c r="CU621" s="1528"/>
      <c r="CV621" s="1519"/>
      <c r="CW621" s="1519"/>
      <c r="CX621" s="1728"/>
      <c r="CY621" s="1519"/>
      <c r="CZ621" s="1519"/>
      <c r="DA621" s="1519"/>
      <c r="DB621" s="1728"/>
      <c r="DC621" s="1377"/>
      <c r="DD621" s="1729"/>
      <c r="DE621" s="1734"/>
    </row>
    <row r="622" spans="1:109" ht="15.75" hidden="1" customHeight="1">
      <c r="A622" s="772" t="s">
        <v>1054</v>
      </c>
      <c r="B622" s="773">
        <v>616</v>
      </c>
      <c r="C622" s="789" t="s">
        <v>4527</v>
      </c>
      <c r="D622" s="773" t="s">
        <v>4506</v>
      </c>
      <c r="E622" s="773" t="s">
        <v>1896</v>
      </c>
      <c r="F622" s="785" t="s">
        <v>4528</v>
      </c>
      <c r="G622" s="790" t="s">
        <v>4529</v>
      </c>
      <c r="H622" s="791" t="s">
        <v>4530</v>
      </c>
      <c r="I622" s="792">
        <v>1</v>
      </c>
      <c r="J622" s="793"/>
      <c r="K622" s="793"/>
      <c r="L622" s="793"/>
      <c r="M622" s="793"/>
      <c r="N622" s="793"/>
      <c r="O622" s="793"/>
      <c r="P622" s="794"/>
      <c r="Q622" s="795">
        <f t="shared" si="9"/>
        <v>1</v>
      </c>
      <c r="R622" s="789" t="s">
        <v>1026</v>
      </c>
      <c r="S622" s="773" t="s">
        <v>1008</v>
      </c>
      <c r="T622" s="796" t="s">
        <v>1009</v>
      </c>
      <c r="U622" s="773" t="s">
        <v>2944</v>
      </c>
      <c r="V622" s="773" t="s">
        <v>1033</v>
      </c>
      <c r="W622" s="773" t="s">
        <v>4531</v>
      </c>
      <c r="X622" s="829">
        <v>0</v>
      </c>
      <c r="Y622" s="819" t="s">
        <v>1020</v>
      </c>
      <c r="Z622" s="790"/>
      <c r="AA622" s="785"/>
      <c r="AB622" s="785"/>
      <c r="AC622" s="785"/>
      <c r="AD622" s="785"/>
      <c r="AE622" s="785"/>
      <c r="AF622" s="799"/>
      <c r="AG622" s="800"/>
      <c r="AH622" s="800"/>
      <c r="AI622" s="800"/>
      <c r="AJ622" s="800"/>
      <c r="AK622" s="800"/>
      <c r="AL622" s="800"/>
      <c r="AM622" s="800"/>
      <c r="AN622" s="800"/>
      <c r="AO622" s="800"/>
      <c r="AP622" s="800"/>
      <c r="AQ622" s="808">
        <v>0</v>
      </c>
      <c r="AR622" s="800">
        <v>0</v>
      </c>
      <c r="AS622" s="800">
        <v>0</v>
      </c>
      <c r="AT622" s="800">
        <v>0</v>
      </c>
      <c r="AU622" s="805">
        <v>0</v>
      </c>
      <c r="AV622" s="808"/>
      <c r="AW622" s="800"/>
      <c r="AX622" s="800"/>
      <c r="AY622" s="800"/>
      <c r="AZ622" s="800"/>
      <c r="BA622" s="800"/>
      <c r="BB622" s="800"/>
      <c r="BC622" s="800"/>
      <c r="BD622" s="800"/>
      <c r="BE622" s="800"/>
      <c r="BF622" s="800"/>
      <c r="BG622" s="800"/>
      <c r="BH622" s="800"/>
      <c r="BI622" s="800"/>
      <c r="BJ622" s="800"/>
      <c r="BK622" s="805"/>
      <c r="BL622" s="789" t="s">
        <v>168</v>
      </c>
      <c r="BM622" s="785" t="s">
        <v>168</v>
      </c>
      <c r="BN622" s="785" t="s">
        <v>168</v>
      </c>
      <c r="BO622" s="785" t="s">
        <v>168</v>
      </c>
      <c r="BP622" s="796" t="s">
        <v>168</v>
      </c>
      <c r="BQ622" s="808" t="s">
        <v>1942</v>
      </c>
      <c r="BR622" s="800" t="s">
        <v>1942</v>
      </c>
      <c r="BS622" s="800" t="s">
        <v>1942</v>
      </c>
      <c r="BT622" s="800" t="s">
        <v>1942</v>
      </c>
      <c r="BU622" s="805" t="s">
        <v>1942</v>
      </c>
      <c r="BV622" s="808" t="s">
        <v>1942</v>
      </c>
      <c r="BW622" s="800" t="s">
        <v>1942</v>
      </c>
      <c r="BX622" s="800" t="s">
        <v>1942</v>
      </c>
      <c r="BY622" s="800" t="s">
        <v>1942</v>
      </c>
      <c r="BZ622" s="800" t="s">
        <v>1942</v>
      </c>
      <c r="CA622" s="808">
        <v>0</v>
      </c>
      <c r="CB622" s="800">
        <v>0</v>
      </c>
      <c r="CC622" s="800">
        <v>0</v>
      </c>
      <c r="CD622" s="800">
        <v>0</v>
      </c>
      <c r="CE622" s="805">
        <v>0</v>
      </c>
      <c r="CF622" s="800" t="s">
        <v>1942</v>
      </c>
      <c r="CG622" s="800" t="s">
        <v>1942</v>
      </c>
      <c r="CH622" s="800" t="s">
        <v>1942</v>
      </c>
      <c r="CI622" s="800" t="s">
        <v>1942</v>
      </c>
      <c r="CJ622" s="805" t="s">
        <v>1942</v>
      </c>
      <c r="CK622" s="808" t="s">
        <v>1942</v>
      </c>
      <c r="CL622" s="800" t="s">
        <v>1942</v>
      </c>
      <c r="CM622" s="800" t="s">
        <v>1942</v>
      </c>
      <c r="CN622" s="800" t="s">
        <v>1942</v>
      </c>
      <c r="CO622" s="805" t="s">
        <v>1942</v>
      </c>
      <c r="CP622" s="808" t="s">
        <v>1942</v>
      </c>
      <c r="CQ622" s="800" t="s">
        <v>1942</v>
      </c>
      <c r="CR622" s="800" t="s">
        <v>1942</v>
      </c>
      <c r="CS622" s="800" t="s">
        <v>1942</v>
      </c>
      <c r="CT622" s="805" t="s">
        <v>1942</v>
      </c>
      <c r="CU622" s="1284">
        <v>-0.16</v>
      </c>
      <c r="CV622" s="1283" t="s">
        <v>1942</v>
      </c>
      <c r="CW622" s="1283" t="s">
        <v>1942</v>
      </c>
      <c r="CX622" s="1285" t="s">
        <v>1942</v>
      </c>
      <c r="CY622" s="1283" t="s">
        <v>1942</v>
      </c>
      <c r="CZ622" s="1283" t="s">
        <v>1942</v>
      </c>
      <c r="DA622" s="1283" t="s">
        <v>1942</v>
      </c>
      <c r="DB622" s="1285" t="s">
        <v>1942</v>
      </c>
      <c r="DC622" s="785"/>
      <c r="DD622" s="813">
        <v>1</v>
      </c>
      <c r="DE622" s="814"/>
    </row>
    <row r="623" spans="1:109" ht="15.75" hidden="1" customHeight="1">
      <c r="A623" s="772" t="s">
        <v>1054</v>
      </c>
      <c r="B623" s="773">
        <v>617</v>
      </c>
      <c r="C623" s="789" t="s">
        <v>4532</v>
      </c>
      <c r="D623" s="773" t="s">
        <v>4533</v>
      </c>
      <c r="E623" s="773" t="s">
        <v>1889</v>
      </c>
      <c r="F623" s="785" t="s">
        <v>2404</v>
      </c>
      <c r="G623" s="790" t="s">
        <v>1058</v>
      </c>
      <c r="H623" s="791" t="s">
        <v>4534</v>
      </c>
      <c r="I623" s="792"/>
      <c r="J623" s="793"/>
      <c r="K623" s="793">
        <v>1</v>
      </c>
      <c r="L623" s="793"/>
      <c r="M623" s="793"/>
      <c r="N623" s="793"/>
      <c r="O623" s="793"/>
      <c r="P623" s="794"/>
      <c r="Q623" s="795">
        <f t="shared" si="9"/>
        <v>1</v>
      </c>
      <c r="R623" s="789" t="s">
        <v>1026</v>
      </c>
      <c r="S623" s="773" t="s">
        <v>1008</v>
      </c>
      <c r="T623" s="796" t="s">
        <v>1009</v>
      </c>
      <c r="U623" s="773" t="s">
        <v>2106</v>
      </c>
      <c r="V623" s="773" t="s">
        <v>278</v>
      </c>
      <c r="W623" s="773" t="s">
        <v>4535</v>
      </c>
      <c r="X623" s="1274">
        <v>2</v>
      </c>
      <c r="Y623" s="821" t="s">
        <v>1010</v>
      </c>
      <c r="Z623" s="790" t="s">
        <v>1058</v>
      </c>
      <c r="AA623" s="785"/>
      <c r="AB623" s="785"/>
      <c r="AC623" s="785"/>
      <c r="AD623" s="785"/>
      <c r="AE623" s="785"/>
      <c r="AF623" s="799"/>
      <c r="AG623" s="800"/>
      <c r="AH623" s="800"/>
      <c r="AI623" s="800"/>
      <c r="AJ623" s="800"/>
      <c r="AK623" s="800"/>
      <c r="AL623" s="800"/>
      <c r="AM623" s="800"/>
      <c r="AN623" s="800"/>
      <c r="AO623" s="800"/>
      <c r="AP623" s="800"/>
      <c r="AQ623" s="1420"/>
      <c r="AR623" s="1368"/>
      <c r="AS623" s="1368"/>
      <c r="AT623" s="1368"/>
      <c r="AU623" s="1369"/>
      <c r="AV623" s="808"/>
      <c r="AW623" s="800"/>
      <c r="AX623" s="800"/>
      <c r="AY623" s="800"/>
      <c r="AZ623" s="800"/>
      <c r="BA623" s="800"/>
      <c r="BB623" s="800"/>
      <c r="BC623" s="800"/>
      <c r="BD623" s="800"/>
      <c r="BE623" s="800"/>
      <c r="BF623" s="800"/>
      <c r="BG623" s="800"/>
      <c r="BH623" s="800"/>
      <c r="BI623" s="800"/>
      <c r="BJ623" s="800"/>
      <c r="BK623" s="805"/>
      <c r="BL623" s="1376"/>
      <c r="BM623" s="1377"/>
      <c r="BN623" s="1377"/>
      <c r="BO623" s="1377"/>
      <c r="BP623" s="1440"/>
      <c r="BQ623" s="1420"/>
      <c r="BR623" s="1368"/>
      <c r="BS623" s="1368"/>
      <c r="BT623" s="1368"/>
      <c r="BU623" s="1369"/>
      <c r="BV623" s="1420"/>
      <c r="BW623" s="1368"/>
      <c r="BX623" s="1368"/>
      <c r="BY623" s="1368"/>
      <c r="BZ623" s="1368"/>
      <c r="CA623" s="1420"/>
      <c r="CB623" s="1368"/>
      <c r="CC623" s="1368"/>
      <c r="CD623" s="1368"/>
      <c r="CE623" s="1369"/>
      <c r="CF623" s="1368"/>
      <c r="CG623" s="1368"/>
      <c r="CH623" s="1368"/>
      <c r="CI623" s="1368"/>
      <c r="CJ623" s="1369"/>
      <c r="CK623" s="1420"/>
      <c r="CL623" s="1368"/>
      <c r="CM623" s="1368"/>
      <c r="CN623" s="1368"/>
      <c r="CO623" s="1369"/>
      <c r="CP623" s="1420"/>
      <c r="CQ623" s="1368"/>
      <c r="CR623" s="1368"/>
      <c r="CS623" s="1368"/>
      <c r="CT623" s="1369"/>
      <c r="CU623" s="1528"/>
      <c r="CV623" s="1519"/>
      <c r="CW623" s="1519"/>
      <c r="CX623" s="1728"/>
      <c r="CY623" s="1519"/>
      <c r="CZ623" s="1519"/>
      <c r="DA623" s="1519"/>
      <c r="DB623" s="1728"/>
      <c r="DC623" s="1377"/>
      <c r="DD623" s="1729"/>
      <c r="DE623" s="1734"/>
    </row>
    <row r="624" spans="1:109" ht="15.75" hidden="1" customHeight="1">
      <c r="A624" s="772" t="s">
        <v>1054</v>
      </c>
      <c r="B624" s="773">
        <v>618</v>
      </c>
      <c r="C624" s="789" t="s">
        <v>4536</v>
      </c>
      <c r="D624" s="773" t="s">
        <v>4533</v>
      </c>
      <c r="E624" s="773" t="s">
        <v>1889</v>
      </c>
      <c r="F624" s="785" t="s">
        <v>2408</v>
      </c>
      <c r="G624" s="790" t="s">
        <v>736</v>
      </c>
      <c r="H624" s="791" t="s">
        <v>4537</v>
      </c>
      <c r="I624" s="792"/>
      <c r="J624" s="793"/>
      <c r="K624" s="793">
        <v>1</v>
      </c>
      <c r="L624" s="793"/>
      <c r="M624" s="793"/>
      <c r="N624" s="793"/>
      <c r="O624" s="793"/>
      <c r="P624" s="794"/>
      <c r="Q624" s="795">
        <f t="shared" si="9"/>
        <v>1</v>
      </c>
      <c r="R624" s="789" t="s">
        <v>1030</v>
      </c>
      <c r="S624" s="773" t="s">
        <v>1008</v>
      </c>
      <c r="T624" s="796" t="s">
        <v>1009</v>
      </c>
      <c r="U624" s="773" t="s">
        <v>736</v>
      </c>
      <c r="V624" s="773" t="s">
        <v>1033</v>
      </c>
      <c r="W624" s="773" t="s">
        <v>4538</v>
      </c>
      <c r="X624" s="1274">
        <v>2</v>
      </c>
      <c r="Y624" s="819" t="s">
        <v>1020</v>
      </c>
      <c r="Z624" s="790" t="s">
        <v>736</v>
      </c>
      <c r="AA624" s="785"/>
      <c r="AB624" s="785"/>
      <c r="AC624" s="785"/>
      <c r="AD624" s="785"/>
      <c r="AE624" s="785"/>
      <c r="AF624" s="799"/>
      <c r="AG624" s="800"/>
      <c r="AH624" s="800"/>
      <c r="AI624" s="800"/>
      <c r="AJ624" s="800"/>
      <c r="AK624" s="800"/>
      <c r="AL624" s="800"/>
      <c r="AM624" s="800"/>
      <c r="AN624" s="800"/>
      <c r="AO624" s="800"/>
      <c r="AP624" s="800"/>
      <c r="AQ624" s="1421"/>
      <c r="AR624" s="1373"/>
      <c r="AS624" s="1373"/>
      <c r="AT624" s="1373"/>
      <c r="AU624" s="1374"/>
      <c r="AV624" s="808"/>
      <c r="AW624" s="800"/>
      <c r="AX624" s="800"/>
      <c r="AY624" s="800"/>
      <c r="AZ624" s="800"/>
      <c r="BA624" s="800"/>
      <c r="BB624" s="800"/>
      <c r="BC624" s="800"/>
      <c r="BD624" s="800"/>
      <c r="BE624" s="800"/>
      <c r="BF624" s="800"/>
      <c r="BG624" s="800"/>
      <c r="BH624" s="800"/>
      <c r="BI624" s="800"/>
      <c r="BJ624" s="800"/>
      <c r="BK624" s="805"/>
      <c r="BL624" s="1376"/>
      <c r="BM624" s="1377"/>
      <c r="BN624" s="1377"/>
      <c r="BO624" s="1377"/>
      <c r="BP624" s="1440"/>
      <c r="BQ624" s="1421"/>
      <c r="BR624" s="1373"/>
      <c r="BS624" s="1373"/>
      <c r="BT624" s="1373"/>
      <c r="BU624" s="1374"/>
      <c r="BV624" s="1421"/>
      <c r="BW624" s="1373"/>
      <c r="BX624" s="1373"/>
      <c r="BY624" s="1373"/>
      <c r="BZ624" s="1373"/>
      <c r="CA624" s="1420"/>
      <c r="CB624" s="1368"/>
      <c r="CC624" s="1368"/>
      <c r="CD624" s="1368"/>
      <c r="CE624" s="1369"/>
      <c r="CF624" s="1368"/>
      <c r="CG624" s="1368"/>
      <c r="CH624" s="1368"/>
      <c r="CI624" s="1368"/>
      <c r="CJ624" s="1369"/>
      <c r="CK624" s="1421"/>
      <c r="CL624" s="1373"/>
      <c r="CM624" s="1373"/>
      <c r="CN624" s="1373"/>
      <c r="CO624" s="1374"/>
      <c r="CP624" s="1421"/>
      <c r="CQ624" s="1373"/>
      <c r="CR624" s="1373"/>
      <c r="CS624" s="1373"/>
      <c r="CT624" s="1374"/>
      <c r="CU624" s="1528"/>
      <c r="CV624" s="1519"/>
      <c r="CW624" s="1519"/>
      <c r="CX624" s="1728"/>
      <c r="CY624" s="1519"/>
      <c r="CZ624" s="1519"/>
      <c r="DA624" s="1519"/>
      <c r="DB624" s="1728"/>
      <c r="DC624" s="1377"/>
      <c r="DD624" s="1729"/>
      <c r="DE624" s="1734"/>
    </row>
    <row r="625" spans="1:109" ht="15.75" hidden="1" customHeight="1">
      <c r="A625" s="772" t="s">
        <v>1054</v>
      </c>
      <c r="B625" s="773">
        <v>619</v>
      </c>
      <c r="C625" s="789" t="s">
        <v>4539</v>
      </c>
      <c r="D625" s="773" t="s">
        <v>4533</v>
      </c>
      <c r="E625" s="773" t="s">
        <v>1896</v>
      </c>
      <c r="F625" s="785" t="s">
        <v>2412</v>
      </c>
      <c r="G625" s="790" t="s">
        <v>4540</v>
      </c>
      <c r="H625" s="791" t="s">
        <v>4541</v>
      </c>
      <c r="I625" s="792">
        <v>1</v>
      </c>
      <c r="J625" s="793"/>
      <c r="K625" s="793"/>
      <c r="L625" s="793"/>
      <c r="M625" s="793"/>
      <c r="N625" s="793"/>
      <c r="O625" s="793"/>
      <c r="P625" s="794"/>
      <c r="Q625" s="795">
        <f t="shared" si="9"/>
        <v>1</v>
      </c>
      <c r="R625" s="789" t="s">
        <v>1030</v>
      </c>
      <c r="S625" s="773" t="s">
        <v>1008</v>
      </c>
      <c r="T625" s="796" t="s">
        <v>1009</v>
      </c>
      <c r="U625" s="773" t="s">
        <v>1979</v>
      </c>
      <c r="V625" s="773" t="s">
        <v>1033</v>
      </c>
      <c r="W625" s="773" t="s">
        <v>4542</v>
      </c>
      <c r="X625" s="829">
        <v>0</v>
      </c>
      <c r="Y625" s="822" t="s">
        <v>1020</v>
      </c>
      <c r="Z625" s="790"/>
      <c r="AA625" s="785"/>
      <c r="AB625" s="785"/>
      <c r="AC625" s="785"/>
      <c r="AD625" s="785"/>
      <c r="AE625" s="785"/>
      <c r="AF625" s="799"/>
      <c r="AG625" s="800"/>
      <c r="AH625" s="800"/>
      <c r="AI625" s="800"/>
      <c r="AJ625" s="800"/>
      <c r="AK625" s="800"/>
      <c r="AL625" s="800"/>
      <c r="AM625" s="800"/>
      <c r="AN625" s="800"/>
      <c r="AO625" s="800"/>
      <c r="AP625" s="800"/>
      <c r="AQ625" s="808">
        <v>-100</v>
      </c>
      <c r="AR625" s="800">
        <v>-100</v>
      </c>
      <c r="AS625" s="800">
        <v>-100</v>
      </c>
      <c r="AT625" s="800">
        <v>-100</v>
      </c>
      <c r="AU625" s="805">
        <v>-100</v>
      </c>
      <c r="AV625" s="808"/>
      <c r="AW625" s="800"/>
      <c r="AX625" s="800"/>
      <c r="AY625" s="800"/>
      <c r="AZ625" s="800"/>
      <c r="BA625" s="800"/>
      <c r="BB625" s="800"/>
      <c r="BC625" s="800"/>
      <c r="BD625" s="800"/>
      <c r="BE625" s="800"/>
      <c r="BF625" s="800"/>
      <c r="BG625" s="800"/>
      <c r="BH625" s="800"/>
      <c r="BI625" s="800"/>
      <c r="BJ625" s="800"/>
      <c r="BK625" s="805"/>
      <c r="BL625" s="789" t="s">
        <v>168</v>
      </c>
      <c r="BM625" s="785" t="s">
        <v>168</v>
      </c>
      <c r="BN625" s="785" t="s">
        <v>168</v>
      </c>
      <c r="BO625" s="785" t="s">
        <v>168</v>
      </c>
      <c r="BP625" s="796" t="s">
        <v>168</v>
      </c>
      <c r="BQ625" s="808" t="s">
        <v>1942</v>
      </c>
      <c r="BR625" s="800" t="s">
        <v>1942</v>
      </c>
      <c r="BS625" s="800" t="s">
        <v>1942</v>
      </c>
      <c r="BT625" s="800" t="s">
        <v>1942</v>
      </c>
      <c r="BU625" s="805" t="s">
        <v>1942</v>
      </c>
      <c r="BV625" s="808" t="s">
        <v>1942</v>
      </c>
      <c r="BW625" s="800" t="s">
        <v>1942</v>
      </c>
      <c r="BX625" s="800" t="s">
        <v>1942</v>
      </c>
      <c r="BY625" s="800" t="s">
        <v>1942</v>
      </c>
      <c r="BZ625" s="800" t="s">
        <v>1942</v>
      </c>
      <c r="CA625" s="808" t="s">
        <v>1942</v>
      </c>
      <c r="CB625" s="800" t="s">
        <v>1942</v>
      </c>
      <c r="CC625" s="800" t="s">
        <v>1942</v>
      </c>
      <c r="CD625" s="800" t="s">
        <v>1942</v>
      </c>
      <c r="CE625" s="805" t="s">
        <v>1942</v>
      </c>
      <c r="CF625" s="800" t="s">
        <v>1942</v>
      </c>
      <c r="CG625" s="800" t="s">
        <v>1942</v>
      </c>
      <c r="CH625" s="800" t="s">
        <v>1942</v>
      </c>
      <c r="CI625" s="800" t="s">
        <v>1942</v>
      </c>
      <c r="CJ625" s="805" t="s">
        <v>1942</v>
      </c>
      <c r="CK625" s="808" t="s">
        <v>1942</v>
      </c>
      <c r="CL625" s="800" t="s">
        <v>1942</v>
      </c>
      <c r="CM625" s="800" t="s">
        <v>1942</v>
      </c>
      <c r="CN625" s="800" t="s">
        <v>1942</v>
      </c>
      <c r="CO625" s="805" t="s">
        <v>1942</v>
      </c>
      <c r="CP625" s="808" t="s">
        <v>1942</v>
      </c>
      <c r="CQ625" s="800" t="s">
        <v>1942</v>
      </c>
      <c r="CR625" s="800" t="s">
        <v>1942</v>
      </c>
      <c r="CS625" s="800" t="s">
        <v>1942</v>
      </c>
      <c r="CT625" s="805" t="s">
        <v>1942</v>
      </c>
      <c r="CU625" s="1284">
        <v>-2.6999999999999999E-5</v>
      </c>
      <c r="CV625" s="1283" t="s">
        <v>1942</v>
      </c>
      <c r="CW625" s="1283" t="s">
        <v>1942</v>
      </c>
      <c r="CX625" s="1285" t="s">
        <v>1942</v>
      </c>
      <c r="CY625" s="1283">
        <v>2.6999999999999999E-5</v>
      </c>
      <c r="CZ625" s="1283" t="s">
        <v>1942</v>
      </c>
      <c r="DA625" s="1283" t="s">
        <v>1942</v>
      </c>
      <c r="DB625" s="1285" t="s">
        <v>1942</v>
      </c>
      <c r="DC625" s="785"/>
      <c r="DD625" s="813">
        <v>1</v>
      </c>
      <c r="DE625" s="814"/>
    </row>
    <row r="626" spans="1:109" ht="15.75" hidden="1" customHeight="1">
      <c r="A626" s="772" t="s">
        <v>1054</v>
      </c>
      <c r="B626" s="773">
        <v>620</v>
      </c>
      <c r="C626" s="789" t="s">
        <v>4543</v>
      </c>
      <c r="D626" s="773" t="s">
        <v>4533</v>
      </c>
      <c r="E626" s="773" t="s">
        <v>1907</v>
      </c>
      <c r="F626" s="785" t="s">
        <v>2418</v>
      </c>
      <c r="G626" s="790" t="s">
        <v>4544</v>
      </c>
      <c r="H626" s="791" t="s">
        <v>4545</v>
      </c>
      <c r="I626" s="792">
        <v>1</v>
      </c>
      <c r="J626" s="793"/>
      <c r="K626" s="793"/>
      <c r="L626" s="793"/>
      <c r="M626" s="793"/>
      <c r="N626" s="793"/>
      <c r="O626" s="793"/>
      <c r="P626" s="794"/>
      <c r="Q626" s="795">
        <f t="shared" si="9"/>
        <v>1</v>
      </c>
      <c r="R626" s="789" t="s">
        <v>1030</v>
      </c>
      <c r="S626" s="773" t="s">
        <v>1008</v>
      </c>
      <c r="T626" s="796" t="s">
        <v>1009</v>
      </c>
      <c r="U626" s="773" t="s">
        <v>2289</v>
      </c>
      <c r="V626" s="773" t="s">
        <v>278</v>
      </c>
      <c r="W626" s="773" t="s">
        <v>4546</v>
      </c>
      <c r="X626" s="829">
        <v>0</v>
      </c>
      <c r="Y626" s="826" t="s">
        <v>1010</v>
      </c>
      <c r="Z626" s="790"/>
      <c r="AA626" s="785"/>
      <c r="AB626" s="785"/>
      <c r="AC626" s="785"/>
      <c r="AD626" s="785"/>
      <c r="AE626" s="785"/>
      <c r="AF626" s="799"/>
      <c r="AG626" s="800"/>
      <c r="AH626" s="800"/>
      <c r="AI626" s="800"/>
      <c r="AJ626" s="800"/>
      <c r="AK626" s="800"/>
      <c r="AL626" s="800"/>
      <c r="AM626" s="800"/>
      <c r="AN626" s="800"/>
      <c r="AO626" s="800"/>
      <c r="AP626" s="800"/>
      <c r="AQ626" s="808">
        <v>20</v>
      </c>
      <c r="AR626" s="800">
        <v>40</v>
      </c>
      <c r="AS626" s="800">
        <v>60</v>
      </c>
      <c r="AT626" s="800">
        <v>80</v>
      </c>
      <c r="AU626" s="805">
        <v>100</v>
      </c>
      <c r="AV626" s="808"/>
      <c r="AW626" s="800"/>
      <c r="AX626" s="800"/>
      <c r="AY626" s="800"/>
      <c r="AZ626" s="800"/>
      <c r="BA626" s="800"/>
      <c r="BB626" s="800"/>
      <c r="BC626" s="800"/>
      <c r="BD626" s="800"/>
      <c r="BE626" s="800"/>
      <c r="BF626" s="800"/>
      <c r="BG626" s="800"/>
      <c r="BH626" s="800"/>
      <c r="BI626" s="800"/>
      <c r="BJ626" s="800"/>
      <c r="BK626" s="805"/>
      <c r="BL626" s="789" t="s">
        <v>168</v>
      </c>
      <c r="BM626" s="785" t="s">
        <v>168</v>
      </c>
      <c r="BN626" s="785" t="s">
        <v>168</v>
      </c>
      <c r="BO626" s="785" t="s">
        <v>168</v>
      </c>
      <c r="BP626" s="796" t="s">
        <v>168</v>
      </c>
      <c r="BQ626" s="808" t="s">
        <v>1942</v>
      </c>
      <c r="BR626" s="800" t="s">
        <v>1942</v>
      </c>
      <c r="BS626" s="800" t="s">
        <v>1942</v>
      </c>
      <c r="BT626" s="800" t="s">
        <v>1942</v>
      </c>
      <c r="BU626" s="805" t="s">
        <v>1942</v>
      </c>
      <c r="BV626" s="808" t="s">
        <v>1942</v>
      </c>
      <c r="BW626" s="800" t="s">
        <v>1942</v>
      </c>
      <c r="BX626" s="800" t="s">
        <v>1942</v>
      </c>
      <c r="BY626" s="800" t="s">
        <v>1942</v>
      </c>
      <c r="BZ626" s="800" t="s">
        <v>1942</v>
      </c>
      <c r="CA626" s="808" t="s">
        <v>1942</v>
      </c>
      <c r="CB626" s="800" t="s">
        <v>1942</v>
      </c>
      <c r="CC626" s="800" t="s">
        <v>1942</v>
      </c>
      <c r="CD626" s="800" t="s">
        <v>1942</v>
      </c>
      <c r="CE626" s="805" t="s">
        <v>1942</v>
      </c>
      <c r="CF626" s="800" t="s">
        <v>1942</v>
      </c>
      <c r="CG626" s="800" t="s">
        <v>1942</v>
      </c>
      <c r="CH626" s="800" t="s">
        <v>1942</v>
      </c>
      <c r="CI626" s="800" t="s">
        <v>1942</v>
      </c>
      <c r="CJ626" s="805" t="s">
        <v>1942</v>
      </c>
      <c r="CK626" s="808" t="s">
        <v>1942</v>
      </c>
      <c r="CL626" s="800" t="s">
        <v>1942</v>
      </c>
      <c r="CM626" s="800" t="s">
        <v>1942</v>
      </c>
      <c r="CN626" s="800" t="s">
        <v>1942</v>
      </c>
      <c r="CO626" s="805" t="s">
        <v>1942</v>
      </c>
      <c r="CP626" s="808" t="s">
        <v>1942</v>
      </c>
      <c r="CQ626" s="800" t="s">
        <v>1942</v>
      </c>
      <c r="CR626" s="800" t="s">
        <v>1942</v>
      </c>
      <c r="CS626" s="800" t="s">
        <v>1942</v>
      </c>
      <c r="CT626" s="805" t="s">
        <v>1942</v>
      </c>
      <c r="CU626" s="1284">
        <v>-2.0000000000000001E-4</v>
      </c>
      <c r="CV626" s="1283" t="s">
        <v>1942</v>
      </c>
      <c r="CW626" s="1283" t="s">
        <v>1942</v>
      </c>
      <c r="CX626" s="1285" t="s">
        <v>1942</v>
      </c>
      <c r="CY626" s="1283">
        <v>1.7000000000000001E-4</v>
      </c>
      <c r="CZ626" s="1283" t="s">
        <v>1942</v>
      </c>
      <c r="DA626" s="1283" t="s">
        <v>1942</v>
      </c>
      <c r="DB626" s="1285" t="s">
        <v>1942</v>
      </c>
      <c r="DC626" s="785"/>
      <c r="DD626" s="813">
        <v>1</v>
      </c>
      <c r="DE626" s="814"/>
    </row>
    <row r="627" spans="1:109" ht="15.75" hidden="1" customHeight="1">
      <c r="A627" s="772" t="s">
        <v>1054</v>
      </c>
      <c r="B627" s="773">
        <v>621</v>
      </c>
      <c r="C627" s="789" t="s">
        <v>4547</v>
      </c>
      <c r="D627" s="773" t="s">
        <v>4533</v>
      </c>
      <c r="E627" s="773" t="s">
        <v>1889</v>
      </c>
      <c r="F627" s="785" t="s">
        <v>2422</v>
      </c>
      <c r="G627" s="790" t="s">
        <v>2882</v>
      </c>
      <c r="H627" s="791" t="s">
        <v>4548</v>
      </c>
      <c r="I627" s="792">
        <v>0.03</v>
      </c>
      <c r="J627" s="793">
        <v>0.25</v>
      </c>
      <c r="K627" s="793">
        <v>0.54</v>
      </c>
      <c r="L627" s="793">
        <v>0.18</v>
      </c>
      <c r="M627" s="793"/>
      <c r="N627" s="793"/>
      <c r="O627" s="793"/>
      <c r="P627" s="794"/>
      <c r="Q627" s="795">
        <f t="shared" si="9"/>
        <v>1</v>
      </c>
      <c r="R627" s="789" t="s">
        <v>1026</v>
      </c>
      <c r="S627" s="773" t="s">
        <v>1008</v>
      </c>
      <c r="T627" s="796" t="s">
        <v>1009</v>
      </c>
      <c r="U627" s="773" t="s">
        <v>2132</v>
      </c>
      <c r="V627" s="773" t="s">
        <v>1033</v>
      </c>
      <c r="W627" s="773" t="s">
        <v>4549</v>
      </c>
      <c r="X627" s="829">
        <v>0</v>
      </c>
      <c r="Y627" s="821" t="s">
        <v>1020</v>
      </c>
      <c r="Z627" s="790"/>
      <c r="AA627" s="785"/>
      <c r="AB627" s="785"/>
      <c r="AC627" s="785"/>
      <c r="AD627" s="785"/>
      <c r="AE627" s="785"/>
      <c r="AF627" s="799"/>
      <c r="AG627" s="800"/>
      <c r="AH627" s="800"/>
      <c r="AI627" s="800"/>
      <c r="AJ627" s="800"/>
      <c r="AK627" s="800"/>
      <c r="AL627" s="800"/>
      <c r="AM627" s="800"/>
      <c r="AN627" s="800"/>
      <c r="AO627" s="800"/>
      <c r="AP627" s="800"/>
      <c r="AQ627" s="808">
        <v>111</v>
      </c>
      <c r="AR627" s="800">
        <v>110</v>
      </c>
      <c r="AS627" s="800">
        <v>107</v>
      </c>
      <c r="AT627" s="800">
        <v>105</v>
      </c>
      <c r="AU627" s="805">
        <v>101</v>
      </c>
      <c r="AV627" s="808"/>
      <c r="AW627" s="800"/>
      <c r="AX627" s="800"/>
      <c r="AY627" s="800"/>
      <c r="AZ627" s="800"/>
      <c r="BA627" s="800"/>
      <c r="BB627" s="800"/>
      <c r="BC627" s="800"/>
      <c r="BD627" s="800"/>
      <c r="BE627" s="800"/>
      <c r="BF627" s="800"/>
      <c r="BG627" s="800"/>
      <c r="BH627" s="800"/>
      <c r="BI627" s="800"/>
      <c r="BJ627" s="800"/>
      <c r="BK627" s="805"/>
      <c r="BL627" s="789" t="s">
        <v>168</v>
      </c>
      <c r="BM627" s="785" t="s">
        <v>168</v>
      </c>
      <c r="BN627" s="785" t="s">
        <v>168</v>
      </c>
      <c r="BO627" s="785" t="s">
        <v>168</v>
      </c>
      <c r="BP627" s="796" t="s">
        <v>168</v>
      </c>
      <c r="BQ627" s="808" t="s">
        <v>1942</v>
      </c>
      <c r="BR627" s="800" t="s">
        <v>1942</v>
      </c>
      <c r="BS627" s="800" t="s">
        <v>1942</v>
      </c>
      <c r="BT627" s="800" t="s">
        <v>1942</v>
      </c>
      <c r="BU627" s="805" t="s">
        <v>1942</v>
      </c>
      <c r="BV627" s="808" t="s">
        <v>1942</v>
      </c>
      <c r="BW627" s="800" t="s">
        <v>1942</v>
      </c>
      <c r="BX627" s="800" t="s">
        <v>1942</v>
      </c>
      <c r="BY627" s="800" t="s">
        <v>1942</v>
      </c>
      <c r="BZ627" s="800" t="s">
        <v>1942</v>
      </c>
      <c r="CA627" s="808" t="s">
        <v>1942</v>
      </c>
      <c r="CB627" s="800" t="s">
        <v>1942</v>
      </c>
      <c r="CC627" s="800" t="s">
        <v>1942</v>
      </c>
      <c r="CD627" s="800" t="s">
        <v>1942</v>
      </c>
      <c r="CE627" s="805" t="s">
        <v>1942</v>
      </c>
      <c r="CF627" s="800" t="s">
        <v>1942</v>
      </c>
      <c r="CG627" s="800" t="s">
        <v>1942</v>
      </c>
      <c r="CH627" s="800" t="s">
        <v>1942</v>
      </c>
      <c r="CI627" s="800" t="s">
        <v>1942</v>
      </c>
      <c r="CJ627" s="805" t="s">
        <v>1942</v>
      </c>
      <c r="CK627" s="808" t="s">
        <v>1942</v>
      </c>
      <c r="CL627" s="800" t="s">
        <v>1942</v>
      </c>
      <c r="CM627" s="800" t="s">
        <v>1942</v>
      </c>
      <c r="CN627" s="800" t="s">
        <v>1942</v>
      </c>
      <c r="CO627" s="805" t="s">
        <v>1942</v>
      </c>
      <c r="CP627" s="808" t="s">
        <v>1942</v>
      </c>
      <c r="CQ627" s="800" t="s">
        <v>1942</v>
      </c>
      <c r="CR627" s="800" t="s">
        <v>1942</v>
      </c>
      <c r="CS627" s="800" t="s">
        <v>1942</v>
      </c>
      <c r="CT627" s="805" t="s">
        <v>1942</v>
      </c>
      <c r="CU627" s="1284">
        <v>-1.95E-2</v>
      </c>
      <c r="CV627" s="1283" t="s">
        <v>1942</v>
      </c>
      <c r="CW627" s="1283" t="s">
        <v>1942</v>
      </c>
      <c r="CX627" s="1285" t="s">
        <v>1942</v>
      </c>
      <c r="CY627" s="1283" t="s">
        <v>1942</v>
      </c>
      <c r="CZ627" s="1283" t="s">
        <v>1942</v>
      </c>
      <c r="DA627" s="1283" t="s">
        <v>1942</v>
      </c>
      <c r="DB627" s="1285" t="s">
        <v>1942</v>
      </c>
      <c r="DC627" s="785"/>
      <c r="DD627" s="813">
        <v>1</v>
      </c>
      <c r="DE627" s="814"/>
    </row>
    <row r="628" spans="1:109" ht="15.75" hidden="1" customHeight="1">
      <c r="A628" s="772" t="s">
        <v>1054</v>
      </c>
      <c r="B628" s="773">
        <v>622</v>
      </c>
      <c r="C628" s="789" t="s">
        <v>4550</v>
      </c>
      <c r="D628" s="773" t="s">
        <v>4533</v>
      </c>
      <c r="E628" s="773" t="s">
        <v>1907</v>
      </c>
      <c r="F628" s="785" t="s">
        <v>4551</v>
      </c>
      <c r="G628" s="790" t="s">
        <v>4552</v>
      </c>
      <c r="H628" s="791" t="s">
        <v>4553</v>
      </c>
      <c r="I628" s="792"/>
      <c r="J628" s="793"/>
      <c r="K628" s="793">
        <v>1</v>
      </c>
      <c r="L628" s="793"/>
      <c r="M628" s="793"/>
      <c r="N628" s="793"/>
      <c r="O628" s="793"/>
      <c r="P628" s="794"/>
      <c r="Q628" s="795">
        <f t="shared" si="9"/>
        <v>1</v>
      </c>
      <c r="R628" s="789" t="s">
        <v>1030</v>
      </c>
      <c r="S628" s="773" t="s">
        <v>1008</v>
      </c>
      <c r="T628" s="796" t="s">
        <v>1009</v>
      </c>
      <c r="U628" s="773" t="s">
        <v>2306</v>
      </c>
      <c r="V628" s="773" t="s">
        <v>1033</v>
      </c>
      <c r="W628" s="773" t="s">
        <v>4554</v>
      </c>
      <c r="X628" s="829">
        <v>0</v>
      </c>
      <c r="Y628" s="826" t="s">
        <v>1010</v>
      </c>
      <c r="Z628" s="790"/>
      <c r="AA628" s="785"/>
      <c r="AB628" s="785"/>
      <c r="AC628" s="785"/>
      <c r="AD628" s="785"/>
      <c r="AE628" s="785"/>
      <c r="AF628" s="799"/>
      <c r="AG628" s="800"/>
      <c r="AH628" s="800"/>
      <c r="AI628" s="800"/>
      <c r="AJ628" s="800"/>
      <c r="AK628" s="800"/>
      <c r="AL628" s="800"/>
      <c r="AM628" s="800"/>
      <c r="AN628" s="800"/>
      <c r="AO628" s="800"/>
      <c r="AP628" s="800"/>
      <c r="AQ628" s="808">
        <v>20</v>
      </c>
      <c r="AR628" s="800">
        <v>26</v>
      </c>
      <c r="AS628" s="800">
        <v>33</v>
      </c>
      <c r="AT628" s="800">
        <v>40</v>
      </c>
      <c r="AU628" s="805">
        <v>47</v>
      </c>
      <c r="AV628" s="808"/>
      <c r="AW628" s="800"/>
      <c r="AX628" s="800"/>
      <c r="AY628" s="800"/>
      <c r="AZ628" s="800"/>
      <c r="BA628" s="800"/>
      <c r="BB628" s="800"/>
      <c r="BC628" s="800"/>
      <c r="BD628" s="800"/>
      <c r="BE628" s="800"/>
      <c r="BF628" s="800"/>
      <c r="BG628" s="800"/>
      <c r="BH628" s="800"/>
      <c r="BI628" s="800"/>
      <c r="BJ628" s="800"/>
      <c r="BK628" s="805"/>
      <c r="BL628" s="789" t="s">
        <v>168</v>
      </c>
      <c r="BM628" s="785" t="s">
        <v>168</v>
      </c>
      <c r="BN628" s="785" t="s">
        <v>168</v>
      </c>
      <c r="BO628" s="785" t="s">
        <v>168</v>
      </c>
      <c r="BP628" s="796" t="s">
        <v>168</v>
      </c>
      <c r="BQ628" s="808" t="s">
        <v>1942</v>
      </c>
      <c r="BR628" s="800" t="s">
        <v>1942</v>
      </c>
      <c r="BS628" s="800" t="s">
        <v>1942</v>
      </c>
      <c r="BT628" s="800" t="s">
        <v>1942</v>
      </c>
      <c r="BU628" s="805" t="s">
        <v>1942</v>
      </c>
      <c r="BV628" s="808" t="s">
        <v>1942</v>
      </c>
      <c r="BW628" s="800" t="s">
        <v>1942</v>
      </c>
      <c r="BX628" s="800" t="s">
        <v>1942</v>
      </c>
      <c r="BY628" s="800" t="s">
        <v>1942</v>
      </c>
      <c r="BZ628" s="800" t="s">
        <v>1942</v>
      </c>
      <c r="CA628" s="808" t="s">
        <v>1942</v>
      </c>
      <c r="CB628" s="800" t="s">
        <v>1942</v>
      </c>
      <c r="CC628" s="800" t="s">
        <v>1942</v>
      </c>
      <c r="CD628" s="800" t="s">
        <v>1942</v>
      </c>
      <c r="CE628" s="805" t="s">
        <v>1942</v>
      </c>
      <c r="CF628" s="800" t="s">
        <v>1942</v>
      </c>
      <c r="CG628" s="800" t="s">
        <v>1942</v>
      </c>
      <c r="CH628" s="800" t="s">
        <v>1942</v>
      </c>
      <c r="CI628" s="800" t="s">
        <v>1942</v>
      </c>
      <c r="CJ628" s="805" t="s">
        <v>1942</v>
      </c>
      <c r="CK628" s="808" t="s">
        <v>1942</v>
      </c>
      <c r="CL628" s="800" t="s">
        <v>1942</v>
      </c>
      <c r="CM628" s="800" t="s">
        <v>1942</v>
      </c>
      <c r="CN628" s="800" t="s">
        <v>1942</v>
      </c>
      <c r="CO628" s="805" t="s">
        <v>1942</v>
      </c>
      <c r="CP628" s="808" t="s">
        <v>1942</v>
      </c>
      <c r="CQ628" s="800" t="s">
        <v>1942</v>
      </c>
      <c r="CR628" s="800" t="s">
        <v>1942</v>
      </c>
      <c r="CS628" s="800" t="s">
        <v>1942</v>
      </c>
      <c r="CT628" s="805" t="s">
        <v>1942</v>
      </c>
      <c r="CU628" s="1284">
        <v>-8.4999999999999995E-4</v>
      </c>
      <c r="CV628" s="1283" t="s">
        <v>1942</v>
      </c>
      <c r="CW628" s="1283" t="s">
        <v>1942</v>
      </c>
      <c r="CX628" s="1285" t="s">
        <v>1942</v>
      </c>
      <c r="CY628" s="1283">
        <v>6.9999999999999999E-4</v>
      </c>
      <c r="CZ628" s="1283" t="s">
        <v>1942</v>
      </c>
      <c r="DA628" s="1283" t="s">
        <v>1942</v>
      </c>
      <c r="DB628" s="1285" t="s">
        <v>1942</v>
      </c>
      <c r="DC628" s="785"/>
      <c r="DD628" s="813">
        <v>1</v>
      </c>
      <c r="DE628" s="814"/>
    </row>
    <row r="629" spans="1:109" ht="15.75" hidden="1" customHeight="1">
      <c r="A629" s="772" t="s">
        <v>1054</v>
      </c>
      <c r="B629" s="773">
        <v>623</v>
      </c>
      <c r="C629" s="789" t="s">
        <v>4555</v>
      </c>
      <c r="D629" s="773" t="s">
        <v>4533</v>
      </c>
      <c r="E629" s="773" t="s">
        <v>1907</v>
      </c>
      <c r="F629" s="785" t="s">
        <v>4556</v>
      </c>
      <c r="G629" s="790" t="s">
        <v>4557</v>
      </c>
      <c r="H629" s="791" t="s">
        <v>4558</v>
      </c>
      <c r="I629" s="792"/>
      <c r="J629" s="793"/>
      <c r="K629" s="793">
        <v>1</v>
      </c>
      <c r="L629" s="793"/>
      <c r="M629" s="793"/>
      <c r="N629" s="793"/>
      <c r="O629" s="793"/>
      <c r="P629" s="794"/>
      <c r="Q629" s="795">
        <f t="shared" si="9"/>
        <v>1</v>
      </c>
      <c r="R629" s="789" t="s">
        <v>1030</v>
      </c>
      <c r="S629" s="773" t="s">
        <v>1008</v>
      </c>
      <c r="T629" s="796" t="s">
        <v>1009</v>
      </c>
      <c r="U629" s="773" t="s">
        <v>2306</v>
      </c>
      <c r="V629" s="773" t="s">
        <v>1033</v>
      </c>
      <c r="W629" s="773" t="s">
        <v>4559</v>
      </c>
      <c r="X629" s="829">
        <v>0</v>
      </c>
      <c r="Y629" s="826" t="s">
        <v>1010</v>
      </c>
      <c r="Z629" s="790"/>
      <c r="AA629" s="785"/>
      <c r="AB629" s="785"/>
      <c r="AC629" s="785"/>
      <c r="AD629" s="785"/>
      <c r="AE629" s="785"/>
      <c r="AF629" s="799"/>
      <c r="AG629" s="800"/>
      <c r="AH629" s="800"/>
      <c r="AI629" s="800"/>
      <c r="AJ629" s="800"/>
      <c r="AK629" s="800"/>
      <c r="AL629" s="800"/>
      <c r="AM629" s="800"/>
      <c r="AN629" s="800"/>
      <c r="AO629" s="800"/>
      <c r="AP629" s="800"/>
      <c r="AQ629" s="808">
        <v>29</v>
      </c>
      <c r="AR629" s="800">
        <v>37</v>
      </c>
      <c r="AS629" s="800">
        <v>37</v>
      </c>
      <c r="AT629" s="800">
        <v>37</v>
      </c>
      <c r="AU629" s="805">
        <v>37</v>
      </c>
      <c r="AV629" s="808"/>
      <c r="AW629" s="800"/>
      <c r="AX629" s="800"/>
      <c r="AY629" s="800"/>
      <c r="AZ629" s="800"/>
      <c r="BA629" s="800"/>
      <c r="BB629" s="800"/>
      <c r="BC629" s="800"/>
      <c r="BD629" s="800"/>
      <c r="BE629" s="800"/>
      <c r="BF629" s="800"/>
      <c r="BG629" s="800"/>
      <c r="BH629" s="800"/>
      <c r="BI629" s="800"/>
      <c r="BJ629" s="800"/>
      <c r="BK629" s="805"/>
      <c r="BL629" s="789" t="s">
        <v>168</v>
      </c>
      <c r="BM629" s="785" t="s">
        <v>168</v>
      </c>
      <c r="BN629" s="785" t="s">
        <v>168</v>
      </c>
      <c r="BO629" s="785" t="s">
        <v>168</v>
      </c>
      <c r="BP629" s="796" t="s">
        <v>168</v>
      </c>
      <c r="BQ629" s="808" t="s">
        <v>1942</v>
      </c>
      <c r="BR629" s="800" t="s">
        <v>1942</v>
      </c>
      <c r="BS629" s="800" t="s">
        <v>1942</v>
      </c>
      <c r="BT629" s="800" t="s">
        <v>1942</v>
      </c>
      <c r="BU629" s="805" t="s">
        <v>1942</v>
      </c>
      <c r="BV629" s="808" t="s">
        <v>1942</v>
      </c>
      <c r="BW629" s="800" t="s">
        <v>1942</v>
      </c>
      <c r="BX629" s="800" t="s">
        <v>1942</v>
      </c>
      <c r="BY629" s="800" t="s">
        <v>1942</v>
      </c>
      <c r="BZ629" s="800" t="s">
        <v>1942</v>
      </c>
      <c r="CA629" s="808" t="s">
        <v>1942</v>
      </c>
      <c r="CB629" s="800" t="s">
        <v>1942</v>
      </c>
      <c r="CC629" s="800" t="s">
        <v>1942</v>
      </c>
      <c r="CD629" s="800" t="s">
        <v>1942</v>
      </c>
      <c r="CE629" s="805" t="s">
        <v>1942</v>
      </c>
      <c r="CF629" s="800" t="s">
        <v>1942</v>
      </c>
      <c r="CG629" s="800" t="s">
        <v>1942</v>
      </c>
      <c r="CH629" s="800" t="s">
        <v>1942</v>
      </c>
      <c r="CI629" s="800" t="s">
        <v>1942</v>
      </c>
      <c r="CJ629" s="800" t="s">
        <v>1942</v>
      </c>
      <c r="CK629" s="808" t="s">
        <v>1942</v>
      </c>
      <c r="CL629" s="800" t="s">
        <v>1942</v>
      </c>
      <c r="CM629" s="800" t="s">
        <v>1942</v>
      </c>
      <c r="CN629" s="800" t="s">
        <v>1942</v>
      </c>
      <c r="CO629" s="805" t="s">
        <v>1942</v>
      </c>
      <c r="CP629" s="808" t="s">
        <v>1942</v>
      </c>
      <c r="CQ629" s="800" t="s">
        <v>1942</v>
      </c>
      <c r="CR629" s="800" t="s">
        <v>1942</v>
      </c>
      <c r="CS629" s="800" t="s">
        <v>1942</v>
      </c>
      <c r="CT629" s="805" t="s">
        <v>1942</v>
      </c>
      <c r="CU629" s="1284">
        <v>-4.0000000000000001E-3</v>
      </c>
      <c r="CV629" s="1283" t="s">
        <v>1942</v>
      </c>
      <c r="CW629" s="1283" t="s">
        <v>1942</v>
      </c>
      <c r="CX629" s="1285" t="s">
        <v>1942</v>
      </c>
      <c r="CY629" s="1283">
        <v>3.3E-3</v>
      </c>
      <c r="CZ629" s="1283" t="s">
        <v>1942</v>
      </c>
      <c r="DA629" s="1283" t="s">
        <v>1942</v>
      </c>
      <c r="DB629" s="1285" t="s">
        <v>1942</v>
      </c>
      <c r="DC629" s="785"/>
      <c r="DD629" s="813">
        <v>1</v>
      </c>
      <c r="DE629" s="814"/>
    </row>
    <row r="630" spans="1:109" ht="15.75" hidden="1" customHeight="1">
      <c r="A630" s="772" t="s">
        <v>1054</v>
      </c>
      <c r="B630" s="773">
        <v>624</v>
      </c>
      <c r="C630" s="789" t="s">
        <v>4560</v>
      </c>
      <c r="D630" s="773" t="s">
        <v>4533</v>
      </c>
      <c r="E630" s="773" t="s">
        <v>1889</v>
      </c>
      <c r="F630" s="785" t="s">
        <v>4561</v>
      </c>
      <c r="G630" s="790" t="s">
        <v>2388</v>
      </c>
      <c r="H630" s="791" t="s">
        <v>4562</v>
      </c>
      <c r="I630" s="792"/>
      <c r="J630" s="793"/>
      <c r="K630" s="793"/>
      <c r="L630" s="793">
        <v>1</v>
      </c>
      <c r="M630" s="793"/>
      <c r="N630" s="793"/>
      <c r="O630" s="793"/>
      <c r="P630" s="794"/>
      <c r="Q630" s="795">
        <f t="shared" si="9"/>
        <v>1</v>
      </c>
      <c r="R630" s="789" t="s">
        <v>1026</v>
      </c>
      <c r="S630" s="773" t="s">
        <v>1008</v>
      </c>
      <c r="T630" s="796" t="s">
        <v>1009</v>
      </c>
      <c r="U630" s="773" t="s">
        <v>763</v>
      </c>
      <c r="V630" s="773" t="s">
        <v>278</v>
      </c>
      <c r="W630" s="773" t="s">
        <v>4563</v>
      </c>
      <c r="X630" s="829">
        <v>2</v>
      </c>
      <c r="Y630" s="826" t="s">
        <v>1010</v>
      </c>
      <c r="Z630" s="790"/>
      <c r="AA630" s="785"/>
      <c r="AB630" s="785"/>
      <c r="AC630" s="785"/>
      <c r="AD630" s="785"/>
      <c r="AE630" s="785"/>
      <c r="AF630" s="799"/>
      <c r="AG630" s="800"/>
      <c r="AH630" s="800"/>
      <c r="AI630" s="800"/>
      <c r="AJ630" s="800"/>
      <c r="AK630" s="800"/>
      <c r="AL630" s="800"/>
      <c r="AM630" s="800"/>
      <c r="AN630" s="800"/>
      <c r="AO630" s="800"/>
      <c r="AP630" s="800"/>
      <c r="AQ630" s="808">
        <v>100</v>
      </c>
      <c r="AR630" s="800">
        <v>100</v>
      </c>
      <c r="AS630" s="800">
        <v>100</v>
      </c>
      <c r="AT630" s="800">
        <v>100</v>
      </c>
      <c r="AU630" s="805">
        <v>100</v>
      </c>
      <c r="AV630" s="808"/>
      <c r="AW630" s="800"/>
      <c r="AX630" s="800"/>
      <c r="AY630" s="800"/>
      <c r="AZ630" s="800"/>
      <c r="BA630" s="800"/>
      <c r="BB630" s="800"/>
      <c r="BC630" s="800"/>
      <c r="BD630" s="800"/>
      <c r="BE630" s="800"/>
      <c r="BF630" s="800"/>
      <c r="BG630" s="800"/>
      <c r="BH630" s="800"/>
      <c r="BI630" s="800"/>
      <c r="BJ630" s="800"/>
      <c r="BK630" s="805"/>
      <c r="BL630" s="789" t="s">
        <v>168</v>
      </c>
      <c r="BM630" s="785" t="s">
        <v>168</v>
      </c>
      <c r="BN630" s="785" t="s">
        <v>168</v>
      </c>
      <c r="BO630" s="785" t="s">
        <v>168</v>
      </c>
      <c r="BP630" s="796" t="s">
        <v>168</v>
      </c>
      <c r="BQ630" s="808" t="s">
        <v>1942</v>
      </c>
      <c r="BR630" s="800" t="s">
        <v>1942</v>
      </c>
      <c r="BS630" s="800" t="s">
        <v>1942</v>
      </c>
      <c r="BT630" s="800" t="s">
        <v>1942</v>
      </c>
      <c r="BU630" s="805" t="s">
        <v>1942</v>
      </c>
      <c r="BV630" s="808" t="s">
        <v>1942</v>
      </c>
      <c r="BW630" s="800" t="s">
        <v>1942</v>
      </c>
      <c r="BX630" s="800" t="s">
        <v>1942</v>
      </c>
      <c r="BY630" s="800" t="s">
        <v>1942</v>
      </c>
      <c r="BZ630" s="800" t="s">
        <v>1942</v>
      </c>
      <c r="CA630" s="808" t="s">
        <v>1942</v>
      </c>
      <c r="CB630" s="800" t="s">
        <v>1942</v>
      </c>
      <c r="CC630" s="800" t="s">
        <v>1942</v>
      </c>
      <c r="CD630" s="800" t="s">
        <v>1942</v>
      </c>
      <c r="CE630" s="805" t="s">
        <v>1942</v>
      </c>
      <c r="CF630" s="800" t="s">
        <v>1942</v>
      </c>
      <c r="CG630" s="800" t="s">
        <v>1942</v>
      </c>
      <c r="CH630" s="800" t="s">
        <v>1942</v>
      </c>
      <c r="CI630" s="800" t="s">
        <v>1942</v>
      </c>
      <c r="CJ630" s="800" t="s">
        <v>1942</v>
      </c>
      <c r="CK630" s="808" t="s">
        <v>1942</v>
      </c>
      <c r="CL630" s="800" t="s">
        <v>1942</v>
      </c>
      <c r="CM630" s="800" t="s">
        <v>1942</v>
      </c>
      <c r="CN630" s="800" t="s">
        <v>1942</v>
      </c>
      <c r="CO630" s="805" t="s">
        <v>1942</v>
      </c>
      <c r="CP630" s="808" t="s">
        <v>1942</v>
      </c>
      <c r="CQ630" s="800" t="s">
        <v>1942</v>
      </c>
      <c r="CR630" s="800" t="s">
        <v>1942</v>
      </c>
      <c r="CS630" s="800" t="s">
        <v>1942</v>
      </c>
      <c r="CT630" s="805" t="s">
        <v>1942</v>
      </c>
      <c r="CU630" s="1284">
        <v>-9.8000000000000004E-2</v>
      </c>
      <c r="CV630" s="1283" t="s">
        <v>1942</v>
      </c>
      <c r="CW630" s="1283" t="s">
        <v>1942</v>
      </c>
      <c r="CX630" s="1285" t="s">
        <v>1942</v>
      </c>
      <c r="CY630" s="1283" t="s">
        <v>1942</v>
      </c>
      <c r="CZ630" s="1283" t="s">
        <v>1942</v>
      </c>
      <c r="DA630" s="1283" t="s">
        <v>1942</v>
      </c>
      <c r="DB630" s="1285" t="s">
        <v>1942</v>
      </c>
      <c r="DC630" s="785"/>
      <c r="DD630" s="813">
        <v>1</v>
      </c>
      <c r="DE630" s="814"/>
    </row>
    <row r="631" spans="1:109" ht="15.75" hidden="1" customHeight="1">
      <c r="A631" s="772" t="s">
        <v>1054</v>
      </c>
      <c r="B631" s="773">
        <v>625</v>
      </c>
      <c r="C631" s="789" t="s">
        <v>4564</v>
      </c>
      <c r="D631" s="773" t="s">
        <v>4533</v>
      </c>
      <c r="E631" s="773" t="s">
        <v>1907</v>
      </c>
      <c r="F631" s="785" t="s">
        <v>4565</v>
      </c>
      <c r="G631" s="790" t="s">
        <v>4566</v>
      </c>
      <c r="H631" s="791" t="s">
        <v>4567</v>
      </c>
      <c r="I631" s="792"/>
      <c r="J631" s="793"/>
      <c r="K631" s="793">
        <v>1</v>
      </c>
      <c r="L631" s="793"/>
      <c r="M631" s="793"/>
      <c r="N631" s="793"/>
      <c r="O631" s="793"/>
      <c r="P631" s="794"/>
      <c r="Q631" s="795">
        <f t="shared" si="9"/>
        <v>1</v>
      </c>
      <c r="R631" s="789" t="s">
        <v>1017</v>
      </c>
      <c r="S631" s="773" t="s">
        <v>1008</v>
      </c>
      <c r="T631" s="796" t="s">
        <v>1009</v>
      </c>
      <c r="U631" s="773" t="s">
        <v>2106</v>
      </c>
      <c r="V631" s="773" t="s">
        <v>1033</v>
      </c>
      <c r="W631" s="773" t="s">
        <v>2178</v>
      </c>
      <c r="X631" s="829">
        <v>0</v>
      </c>
      <c r="Y631" s="826" t="s">
        <v>1010</v>
      </c>
      <c r="Z631" s="790"/>
      <c r="AA631" s="785"/>
      <c r="AB631" s="785"/>
      <c r="AC631" s="785"/>
      <c r="AD631" s="785"/>
      <c r="AE631" s="785"/>
      <c r="AF631" s="799"/>
      <c r="AG631" s="800"/>
      <c r="AH631" s="800"/>
      <c r="AI631" s="800"/>
      <c r="AJ631" s="800"/>
      <c r="AK631" s="800"/>
      <c r="AL631" s="800"/>
      <c r="AM631" s="800"/>
      <c r="AN631" s="800"/>
      <c r="AO631" s="800"/>
      <c r="AP631" s="800"/>
      <c r="AQ631" s="808">
        <v>0</v>
      </c>
      <c r="AR631" s="800">
        <v>0</v>
      </c>
      <c r="AS631" s="800">
        <v>0</v>
      </c>
      <c r="AT631" s="800">
        <v>0</v>
      </c>
      <c r="AU631" s="805">
        <v>0</v>
      </c>
      <c r="AV631" s="808"/>
      <c r="AW631" s="800"/>
      <c r="AX631" s="800"/>
      <c r="AY631" s="800"/>
      <c r="AZ631" s="800"/>
      <c r="BA631" s="800"/>
      <c r="BB631" s="800"/>
      <c r="BC631" s="800"/>
      <c r="BD631" s="800"/>
      <c r="BE631" s="800"/>
      <c r="BF631" s="800"/>
      <c r="BG631" s="800"/>
      <c r="BH631" s="800"/>
      <c r="BI631" s="800"/>
      <c r="BJ631" s="800"/>
      <c r="BK631" s="805"/>
      <c r="BL631" s="789" t="s">
        <v>168</v>
      </c>
      <c r="BM631" s="785" t="s">
        <v>168</v>
      </c>
      <c r="BN631" s="785" t="s">
        <v>168</v>
      </c>
      <c r="BO631" s="785" t="s">
        <v>168</v>
      </c>
      <c r="BP631" s="796" t="s">
        <v>168</v>
      </c>
      <c r="BQ631" s="808" t="s">
        <v>1942</v>
      </c>
      <c r="BR631" s="800" t="s">
        <v>1942</v>
      </c>
      <c r="BS631" s="800" t="s">
        <v>1942</v>
      </c>
      <c r="BT631" s="800" t="s">
        <v>1942</v>
      </c>
      <c r="BU631" s="805" t="s">
        <v>1942</v>
      </c>
      <c r="BV631" s="808" t="s">
        <v>1942</v>
      </c>
      <c r="BW631" s="800" t="s">
        <v>1942</v>
      </c>
      <c r="BX631" s="800" t="s">
        <v>1942</v>
      </c>
      <c r="BY631" s="800" t="s">
        <v>1942</v>
      </c>
      <c r="BZ631" s="800" t="s">
        <v>1942</v>
      </c>
      <c r="CA631" s="808" t="s">
        <v>1942</v>
      </c>
      <c r="CB631" s="800" t="s">
        <v>1942</v>
      </c>
      <c r="CC631" s="800" t="s">
        <v>1942</v>
      </c>
      <c r="CD631" s="800" t="s">
        <v>1942</v>
      </c>
      <c r="CE631" s="805" t="s">
        <v>1942</v>
      </c>
      <c r="CF631" s="800" t="s">
        <v>1942</v>
      </c>
      <c r="CG631" s="800" t="s">
        <v>1942</v>
      </c>
      <c r="CH631" s="800" t="s">
        <v>1942</v>
      </c>
      <c r="CI631" s="800" t="s">
        <v>1942</v>
      </c>
      <c r="CJ631" s="800" t="s">
        <v>1942</v>
      </c>
      <c r="CK631" s="808">
        <v>0</v>
      </c>
      <c r="CL631" s="800">
        <v>0</v>
      </c>
      <c r="CM631" s="800">
        <v>0</v>
      </c>
      <c r="CN631" s="800">
        <v>0</v>
      </c>
      <c r="CO631" s="805">
        <v>13</v>
      </c>
      <c r="CP631" s="808" t="s">
        <v>1942</v>
      </c>
      <c r="CQ631" s="800" t="s">
        <v>1942</v>
      </c>
      <c r="CR631" s="800" t="s">
        <v>1942</v>
      </c>
      <c r="CS631" s="800" t="s">
        <v>1942</v>
      </c>
      <c r="CT631" s="805" t="s">
        <v>1942</v>
      </c>
      <c r="CU631" s="1284" t="s">
        <v>1942</v>
      </c>
      <c r="CV631" s="1283" t="s">
        <v>1942</v>
      </c>
      <c r="CW631" s="1283" t="s">
        <v>1942</v>
      </c>
      <c r="CX631" s="1285" t="s">
        <v>1942</v>
      </c>
      <c r="CY631" s="1283">
        <v>5.5E-2</v>
      </c>
      <c r="CZ631" s="1283">
        <v>0.78</v>
      </c>
      <c r="DA631" s="1283" t="s">
        <v>1942</v>
      </c>
      <c r="DB631" s="1285" t="s">
        <v>1942</v>
      </c>
      <c r="DC631" s="785"/>
      <c r="DD631" s="813">
        <v>1</v>
      </c>
      <c r="DE631" s="814"/>
    </row>
    <row r="632" spans="1:109" ht="15.75" hidden="1" customHeight="1">
      <c r="A632" s="772" t="s">
        <v>1054</v>
      </c>
      <c r="B632" s="773">
        <v>626</v>
      </c>
      <c r="C632" s="789" t="s">
        <v>4568</v>
      </c>
      <c r="D632" s="773" t="s">
        <v>4533</v>
      </c>
      <c r="E632" s="773" t="s">
        <v>1907</v>
      </c>
      <c r="F632" s="785" t="s">
        <v>4569</v>
      </c>
      <c r="G632" s="790" t="s">
        <v>4570</v>
      </c>
      <c r="H632" s="791" t="s">
        <v>4570</v>
      </c>
      <c r="I632" s="792"/>
      <c r="J632" s="793"/>
      <c r="K632" s="793">
        <v>1</v>
      </c>
      <c r="L632" s="793"/>
      <c r="M632" s="793"/>
      <c r="N632" s="793"/>
      <c r="O632" s="793"/>
      <c r="P632" s="794"/>
      <c r="Q632" s="795">
        <f t="shared" si="9"/>
        <v>1</v>
      </c>
      <c r="R632" s="789" t="s">
        <v>1026</v>
      </c>
      <c r="S632" s="773" t="s">
        <v>1008</v>
      </c>
      <c r="T632" s="796" t="s">
        <v>1009</v>
      </c>
      <c r="U632" s="773" t="s">
        <v>2106</v>
      </c>
      <c r="V632" s="856" t="s">
        <v>1037</v>
      </c>
      <c r="W632" s="773" t="s">
        <v>4571</v>
      </c>
      <c r="X632" s="829">
        <v>1</v>
      </c>
      <c r="Y632" s="826" t="s">
        <v>1010</v>
      </c>
      <c r="Z632" s="790"/>
      <c r="AA632" s="785"/>
      <c r="AB632" s="785"/>
      <c r="AC632" s="785"/>
      <c r="AD632" s="785"/>
      <c r="AE632" s="785"/>
      <c r="AF632" s="799"/>
      <c r="AG632" s="800"/>
      <c r="AH632" s="800"/>
      <c r="AI632" s="800"/>
      <c r="AJ632" s="800"/>
      <c r="AK632" s="800"/>
      <c r="AL632" s="800"/>
      <c r="AM632" s="800"/>
      <c r="AN632" s="800"/>
      <c r="AO632" s="800"/>
      <c r="AP632" s="800"/>
      <c r="AQ632" s="808">
        <v>0</v>
      </c>
      <c r="AR632" s="800">
        <v>159.4</v>
      </c>
      <c r="AS632" s="800">
        <v>167.4</v>
      </c>
      <c r="AT632" s="800">
        <v>167.4</v>
      </c>
      <c r="AU632" s="805">
        <v>399.9</v>
      </c>
      <c r="AV632" s="808"/>
      <c r="AW632" s="800"/>
      <c r="AX632" s="800"/>
      <c r="AY632" s="800"/>
      <c r="AZ632" s="800"/>
      <c r="BA632" s="800"/>
      <c r="BB632" s="800"/>
      <c r="BC632" s="800"/>
      <c r="BD632" s="800"/>
      <c r="BE632" s="800"/>
      <c r="BF632" s="800"/>
      <c r="BG632" s="800"/>
      <c r="BH632" s="800"/>
      <c r="BI632" s="800"/>
      <c r="BJ632" s="800"/>
      <c r="BK632" s="805"/>
      <c r="BL632" s="789" t="s">
        <v>168</v>
      </c>
      <c r="BM632" s="785" t="s">
        <v>168</v>
      </c>
      <c r="BN632" s="785" t="s">
        <v>168</v>
      </c>
      <c r="BO632" s="785" t="s">
        <v>168</v>
      </c>
      <c r="BP632" s="796" t="s">
        <v>168</v>
      </c>
      <c r="BQ632" s="808" t="s">
        <v>1942</v>
      </c>
      <c r="BR632" s="800" t="s">
        <v>1942</v>
      </c>
      <c r="BS632" s="800" t="s">
        <v>1942</v>
      </c>
      <c r="BT632" s="800" t="s">
        <v>1942</v>
      </c>
      <c r="BU632" s="805" t="s">
        <v>1942</v>
      </c>
      <c r="BV632" s="808" t="s">
        <v>1942</v>
      </c>
      <c r="BW632" s="800" t="s">
        <v>1942</v>
      </c>
      <c r="BX632" s="800" t="s">
        <v>1942</v>
      </c>
      <c r="BY632" s="800" t="s">
        <v>1942</v>
      </c>
      <c r="BZ632" s="800" t="s">
        <v>1942</v>
      </c>
      <c r="CA632" s="808" t="s">
        <v>1942</v>
      </c>
      <c r="CB632" s="800" t="s">
        <v>1942</v>
      </c>
      <c r="CC632" s="800" t="s">
        <v>1942</v>
      </c>
      <c r="CD632" s="800" t="s">
        <v>1942</v>
      </c>
      <c r="CE632" s="805" t="s">
        <v>1942</v>
      </c>
      <c r="CF632" s="800" t="s">
        <v>1942</v>
      </c>
      <c r="CG632" s="800" t="s">
        <v>1942</v>
      </c>
      <c r="CH632" s="800" t="s">
        <v>1942</v>
      </c>
      <c r="CI632" s="800" t="s">
        <v>1942</v>
      </c>
      <c r="CJ632" s="800" t="s">
        <v>1942</v>
      </c>
      <c r="CK632" s="808" t="s">
        <v>1942</v>
      </c>
      <c r="CL632" s="800" t="s">
        <v>1942</v>
      </c>
      <c r="CM632" s="800" t="s">
        <v>1942</v>
      </c>
      <c r="CN632" s="800" t="s">
        <v>1942</v>
      </c>
      <c r="CO632" s="805" t="s">
        <v>1942</v>
      </c>
      <c r="CP632" s="808" t="s">
        <v>1942</v>
      </c>
      <c r="CQ632" s="800" t="s">
        <v>1942</v>
      </c>
      <c r="CR632" s="800" t="s">
        <v>1942</v>
      </c>
      <c r="CS632" s="800" t="s">
        <v>1942</v>
      </c>
      <c r="CT632" s="805" t="s">
        <v>1942</v>
      </c>
      <c r="CU632" s="1284">
        <v>-1.7000000000000001E-2</v>
      </c>
      <c r="CV632" s="1283" t="s">
        <v>1942</v>
      </c>
      <c r="CW632" s="1283" t="s">
        <v>1942</v>
      </c>
      <c r="CX632" s="1285" t="s">
        <v>1942</v>
      </c>
      <c r="CY632" s="1283" t="s">
        <v>1942</v>
      </c>
      <c r="CZ632" s="1283" t="s">
        <v>1942</v>
      </c>
      <c r="DA632" s="1283" t="s">
        <v>1942</v>
      </c>
      <c r="DB632" s="1285" t="s">
        <v>1942</v>
      </c>
      <c r="DC632" s="785"/>
      <c r="DD632" s="813">
        <v>1</v>
      </c>
      <c r="DE632" s="814"/>
    </row>
    <row r="633" spans="1:109" ht="15.75" hidden="1" customHeight="1">
      <c r="A633" s="772" t="s">
        <v>1054</v>
      </c>
      <c r="B633" s="773">
        <v>627</v>
      </c>
      <c r="C633" s="789" t="s">
        <v>4572</v>
      </c>
      <c r="D633" s="773" t="s">
        <v>4533</v>
      </c>
      <c r="E633" s="773" t="s">
        <v>1907</v>
      </c>
      <c r="F633" s="785" t="s">
        <v>4573</v>
      </c>
      <c r="G633" s="790" t="s">
        <v>4574</v>
      </c>
      <c r="H633" s="791" t="s">
        <v>4575</v>
      </c>
      <c r="I633" s="792"/>
      <c r="J633" s="793"/>
      <c r="K633" s="793">
        <v>1</v>
      </c>
      <c r="L633" s="793"/>
      <c r="M633" s="793"/>
      <c r="N633" s="793"/>
      <c r="O633" s="793"/>
      <c r="P633" s="794"/>
      <c r="Q633" s="795">
        <f t="shared" si="9"/>
        <v>1</v>
      </c>
      <c r="R633" s="789" t="s">
        <v>1017</v>
      </c>
      <c r="S633" s="773" t="s">
        <v>1008</v>
      </c>
      <c r="T633" s="796" t="s">
        <v>1009</v>
      </c>
      <c r="U633" s="773" t="s">
        <v>2106</v>
      </c>
      <c r="V633" s="856" t="s">
        <v>1037</v>
      </c>
      <c r="W633" s="773" t="s">
        <v>4576</v>
      </c>
      <c r="X633" s="829">
        <v>1</v>
      </c>
      <c r="Y633" s="826" t="s">
        <v>1010</v>
      </c>
      <c r="Z633" s="790"/>
      <c r="AA633" s="785"/>
      <c r="AB633" s="785"/>
      <c r="AC633" s="785"/>
      <c r="AD633" s="785"/>
      <c r="AE633" s="785"/>
      <c r="AF633" s="799"/>
      <c r="AG633" s="800"/>
      <c r="AH633" s="800"/>
      <c r="AI633" s="800"/>
      <c r="AJ633" s="800"/>
      <c r="AK633" s="800"/>
      <c r="AL633" s="800"/>
      <c r="AM633" s="800"/>
      <c r="AN633" s="800"/>
      <c r="AO633" s="800"/>
      <c r="AP633" s="800"/>
      <c r="AQ633" s="808">
        <v>0</v>
      </c>
      <c r="AR633" s="800">
        <v>0</v>
      </c>
      <c r="AS633" s="800">
        <v>0</v>
      </c>
      <c r="AT633" s="800">
        <v>0</v>
      </c>
      <c r="AU633" s="805">
        <v>0</v>
      </c>
      <c r="AV633" s="808"/>
      <c r="AW633" s="800"/>
      <c r="AX633" s="800"/>
      <c r="AY633" s="800"/>
      <c r="AZ633" s="800"/>
      <c r="BA633" s="800"/>
      <c r="BB633" s="800"/>
      <c r="BC633" s="800"/>
      <c r="BD633" s="800"/>
      <c r="BE633" s="800"/>
      <c r="BF633" s="800"/>
      <c r="BG633" s="800"/>
      <c r="BH633" s="800"/>
      <c r="BI633" s="800"/>
      <c r="BJ633" s="800"/>
      <c r="BK633" s="805"/>
      <c r="BL633" s="789" t="s">
        <v>168</v>
      </c>
      <c r="BM633" s="785" t="s">
        <v>168</v>
      </c>
      <c r="BN633" s="785" t="s">
        <v>168</v>
      </c>
      <c r="BO633" s="785" t="s">
        <v>168</v>
      </c>
      <c r="BP633" s="796" t="s">
        <v>168</v>
      </c>
      <c r="BQ633" s="808" t="s">
        <v>1942</v>
      </c>
      <c r="BR633" s="800" t="s">
        <v>1942</v>
      </c>
      <c r="BS633" s="800" t="s">
        <v>1942</v>
      </c>
      <c r="BT633" s="800" t="s">
        <v>1942</v>
      </c>
      <c r="BU633" s="805" t="s">
        <v>1942</v>
      </c>
      <c r="BV633" s="808" t="s">
        <v>1942</v>
      </c>
      <c r="BW633" s="800" t="s">
        <v>1942</v>
      </c>
      <c r="BX633" s="800" t="s">
        <v>1942</v>
      </c>
      <c r="BY633" s="800" t="s">
        <v>1942</v>
      </c>
      <c r="BZ633" s="800" t="s">
        <v>1942</v>
      </c>
      <c r="CA633" s="808" t="s">
        <v>1942</v>
      </c>
      <c r="CB633" s="800" t="s">
        <v>1942</v>
      </c>
      <c r="CC633" s="800" t="s">
        <v>1942</v>
      </c>
      <c r="CD633" s="800" t="s">
        <v>1942</v>
      </c>
      <c r="CE633" s="805" t="s">
        <v>1942</v>
      </c>
      <c r="CF633" s="800" t="s">
        <v>1942</v>
      </c>
      <c r="CG633" s="800" t="s">
        <v>1942</v>
      </c>
      <c r="CH633" s="800" t="s">
        <v>1942</v>
      </c>
      <c r="CI633" s="800" t="s">
        <v>1942</v>
      </c>
      <c r="CJ633" s="800" t="s">
        <v>1942</v>
      </c>
      <c r="CK633" s="808" t="s">
        <v>1942</v>
      </c>
      <c r="CL633" s="800" t="s">
        <v>1942</v>
      </c>
      <c r="CM633" s="800" t="s">
        <v>1942</v>
      </c>
      <c r="CN633" s="800" t="s">
        <v>1942</v>
      </c>
      <c r="CO633" s="805" t="s">
        <v>1942</v>
      </c>
      <c r="CP633" s="808" t="s">
        <v>1942</v>
      </c>
      <c r="CQ633" s="800" t="s">
        <v>1942</v>
      </c>
      <c r="CR633" s="800" t="s">
        <v>1942</v>
      </c>
      <c r="CS633" s="800" t="s">
        <v>1942</v>
      </c>
      <c r="CT633" s="805" t="s">
        <v>1942</v>
      </c>
      <c r="CU633" s="1284" t="s">
        <v>1942</v>
      </c>
      <c r="CV633" s="1283" t="s">
        <v>1942</v>
      </c>
      <c r="CW633" s="1283" t="s">
        <v>1942</v>
      </c>
      <c r="CX633" s="1285" t="s">
        <v>1942</v>
      </c>
      <c r="CY633" s="1283">
        <v>0.01</v>
      </c>
      <c r="CZ633" s="1283" t="s">
        <v>1942</v>
      </c>
      <c r="DA633" s="1283" t="s">
        <v>1942</v>
      </c>
      <c r="DB633" s="1285" t="s">
        <v>1942</v>
      </c>
      <c r="DC633" s="785"/>
      <c r="DD633" s="813">
        <v>1</v>
      </c>
      <c r="DE633" s="814"/>
    </row>
    <row r="634" spans="1:109" ht="15.75" hidden="1" customHeight="1">
      <c r="A634" s="772" t="s">
        <v>1054</v>
      </c>
      <c r="B634" s="773">
        <v>628</v>
      </c>
      <c r="C634" s="789" t="s">
        <v>4577</v>
      </c>
      <c r="D634" s="773" t="s">
        <v>4533</v>
      </c>
      <c r="E634" s="773" t="s">
        <v>1907</v>
      </c>
      <c r="F634" s="785" t="s">
        <v>4578</v>
      </c>
      <c r="G634" s="790" t="s">
        <v>4579</v>
      </c>
      <c r="H634" s="791" t="s">
        <v>4580</v>
      </c>
      <c r="I634" s="792">
        <v>1</v>
      </c>
      <c r="J634" s="793"/>
      <c r="K634" s="793"/>
      <c r="L634" s="793"/>
      <c r="M634" s="793"/>
      <c r="N634" s="793"/>
      <c r="O634" s="793"/>
      <c r="P634" s="794"/>
      <c r="Q634" s="795">
        <f t="shared" si="9"/>
        <v>1</v>
      </c>
      <c r="R634" s="789" t="s">
        <v>1030</v>
      </c>
      <c r="S634" s="773" t="s">
        <v>1008</v>
      </c>
      <c r="T634" s="796" t="s">
        <v>1009</v>
      </c>
      <c r="U634" s="773" t="s">
        <v>1979</v>
      </c>
      <c r="V634" s="856" t="s">
        <v>4581</v>
      </c>
      <c r="W634" s="773" t="s">
        <v>4542</v>
      </c>
      <c r="X634" s="829">
        <v>0</v>
      </c>
      <c r="Y634" s="826" t="s">
        <v>1020</v>
      </c>
      <c r="Z634" s="790"/>
      <c r="AA634" s="785"/>
      <c r="AB634" s="785"/>
      <c r="AC634" s="785"/>
      <c r="AD634" s="785"/>
      <c r="AE634" s="785"/>
      <c r="AF634" s="799"/>
      <c r="AG634" s="800"/>
      <c r="AH634" s="800"/>
      <c r="AI634" s="800"/>
      <c r="AJ634" s="800"/>
      <c r="AK634" s="800"/>
      <c r="AL634" s="800"/>
      <c r="AM634" s="800"/>
      <c r="AN634" s="800"/>
      <c r="AO634" s="800"/>
      <c r="AP634" s="800"/>
      <c r="AQ634" s="808">
        <v>-45</v>
      </c>
      <c r="AR634" s="800">
        <v>-45</v>
      </c>
      <c r="AS634" s="800">
        <v>-45</v>
      </c>
      <c r="AT634" s="800">
        <v>-45</v>
      </c>
      <c r="AU634" s="805">
        <v>-45</v>
      </c>
      <c r="AV634" s="808"/>
      <c r="AW634" s="800"/>
      <c r="AX634" s="800"/>
      <c r="AY634" s="800"/>
      <c r="AZ634" s="800"/>
      <c r="BA634" s="800"/>
      <c r="BB634" s="800"/>
      <c r="BC634" s="800"/>
      <c r="BD634" s="800"/>
      <c r="BE634" s="800"/>
      <c r="BF634" s="800"/>
      <c r="BG634" s="800"/>
      <c r="BH634" s="800"/>
      <c r="BI634" s="800"/>
      <c r="BJ634" s="800"/>
      <c r="BK634" s="805"/>
      <c r="BL634" s="789" t="s">
        <v>168</v>
      </c>
      <c r="BM634" s="785" t="s">
        <v>168</v>
      </c>
      <c r="BN634" s="785" t="s">
        <v>168</v>
      </c>
      <c r="BO634" s="785" t="s">
        <v>168</v>
      </c>
      <c r="BP634" s="796" t="s">
        <v>168</v>
      </c>
      <c r="BQ634" s="808" t="s">
        <v>1942</v>
      </c>
      <c r="BR634" s="800" t="s">
        <v>1942</v>
      </c>
      <c r="BS634" s="800" t="s">
        <v>1942</v>
      </c>
      <c r="BT634" s="800" t="s">
        <v>1942</v>
      </c>
      <c r="BU634" s="805" t="s">
        <v>1942</v>
      </c>
      <c r="BV634" s="808" t="s">
        <v>1942</v>
      </c>
      <c r="BW634" s="800" t="s">
        <v>1942</v>
      </c>
      <c r="BX634" s="800" t="s">
        <v>1942</v>
      </c>
      <c r="BY634" s="800" t="s">
        <v>1942</v>
      </c>
      <c r="BZ634" s="800" t="s">
        <v>1942</v>
      </c>
      <c r="CA634" s="808" t="s">
        <v>1942</v>
      </c>
      <c r="CB634" s="800" t="s">
        <v>1942</v>
      </c>
      <c r="CC634" s="800" t="s">
        <v>1942</v>
      </c>
      <c r="CD634" s="800" t="s">
        <v>1942</v>
      </c>
      <c r="CE634" s="805" t="s">
        <v>1942</v>
      </c>
      <c r="CF634" s="800" t="s">
        <v>1942</v>
      </c>
      <c r="CG634" s="800" t="s">
        <v>1942</v>
      </c>
      <c r="CH634" s="800" t="s">
        <v>1942</v>
      </c>
      <c r="CI634" s="800" t="s">
        <v>1942</v>
      </c>
      <c r="CJ634" s="800" t="s">
        <v>1942</v>
      </c>
      <c r="CK634" s="808" t="s">
        <v>1942</v>
      </c>
      <c r="CL634" s="800" t="s">
        <v>1942</v>
      </c>
      <c r="CM634" s="800" t="s">
        <v>1942</v>
      </c>
      <c r="CN634" s="800" t="s">
        <v>1942</v>
      </c>
      <c r="CO634" s="805" t="s">
        <v>1942</v>
      </c>
      <c r="CP634" s="808" t="s">
        <v>1942</v>
      </c>
      <c r="CQ634" s="800" t="s">
        <v>1942</v>
      </c>
      <c r="CR634" s="800" t="s">
        <v>1942</v>
      </c>
      <c r="CS634" s="800" t="s">
        <v>1942</v>
      </c>
      <c r="CT634" s="805" t="s">
        <v>1942</v>
      </c>
      <c r="CU634" s="1284">
        <v>-2.0999999999999999E-5</v>
      </c>
      <c r="CV634" s="1283" t="s">
        <v>1942</v>
      </c>
      <c r="CW634" s="1283" t="s">
        <v>1942</v>
      </c>
      <c r="CX634" s="1285" t="s">
        <v>1942</v>
      </c>
      <c r="CY634" s="1283">
        <v>2.0999999999999999E-5</v>
      </c>
      <c r="CZ634" s="1283" t="s">
        <v>1942</v>
      </c>
      <c r="DA634" s="1283" t="s">
        <v>1942</v>
      </c>
      <c r="DB634" s="1285" t="s">
        <v>1942</v>
      </c>
      <c r="DC634" s="785"/>
      <c r="DD634" s="813">
        <v>1</v>
      </c>
      <c r="DE634" s="814"/>
    </row>
    <row r="635" spans="1:109" ht="15.75" hidden="1" customHeight="1">
      <c r="A635" s="772" t="s">
        <v>1054</v>
      </c>
      <c r="B635" s="773">
        <v>629</v>
      </c>
      <c r="C635" s="789" t="s">
        <v>4582</v>
      </c>
      <c r="D635" s="773"/>
      <c r="E635" s="773"/>
      <c r="F635" s="785" t="s">
        <v>2032</v>
      </c>
      <c r="G635" s="790" t="s">
        <v>2033</v>
      </c>
      <c r="H635" s="791"/>
      <c r="I635" s="792"/>
      <c r="J635" s="793"/>
      <c r="K635" s="793"/>
      <c r="L635" s="793"/>
      <c r="M635" s="793"/>
      <c r="N635" s="793"/>
      <c r="O635" s="793"/>
      <c r="P635" s="794"/>
      <c r="Q635" s="795">
        <f t="shared" si="9"/>
        <v>0</v>
      </c>
      <c r="R635" s="789" t="s">
        <v>1007</v>
      </c>
      <c r="S635" s="773"/>
      <c r="T635" s="796"/>
      <c r="U635" s="773"/>
      <c r="V635" s="773" t="s">
        <v>1072</v>
      </c>
      <c r="W635" s="773" t="s">
        <v>2034</v>
      </c>
      <c r="X635" s="1275">
        <v>0</v>
      </c>
      <c r="Y635" s="819"/>
      <c r="Z635" s="790"/>
      <c r="AA635" s="785"/>
      <c r="AB635" s="785"/>
      <c r="AC635" s="785"/>
      <c r="AD635" s="785"/>
      <c r="AE635" s="785"/>
      <c r="AF635" s="799"/>
      <c r="AG635" s="800"/>
      <c r="AH635" s="800"/>
      <c r="AI635" s="800"/>
      <c r="AJ635" s="800"/>
      <c r="AK635" s="800"/>
      <c r="AL635" s="800"/>
      <c r="AM635" s="800"/>
      <c r="AN635" s="800"/>
      <c r="AO635" s="800"/>
      <c r="AP635" s="800"/>
      <c r="AQ635" s="808" t="s">
        <v>591</v>
      </c>
      <c r="AR635" s="800" t="s">
        <v>591</v>
      </c>
      <c r="AS635" s="800" t="s">
        <v>591</v>
      </c>
      <c r="AT635" s="800" t="s">
        <v>591</v>
      </c>
      <c r="AU635" s="805" t="s">
        <v>591</v>
      </c>
      <c r="AV635" s="808"/>
      <c r="AW635" s="800"/>
      <c r="AX635" s="800"/>
      <c r="AY635" s="800"/>
      <c r="AZ635" s="800"/>
      <c r="BA635" s="800"/>
      <c r="BB635" s="800"/>
      <c r="BC635" s="800"/>
      <c r="BD635" s="800"/>
      <c r="BE635" s="800"/>
      <c r="BF635" s="800"/>
      <c r="BG635" s="800"/>
      <c r="BH635" s="800"/>
      <c r="BI635" s="800"/>
      <c r="BJ635" s="800"/>
      <c r="BK635" s="805"/>
      <c r="BL635" s="789"/>
      <c r="BM635" s="785"/>
      <c r="BN635" s="785"/>
      <c r="BO635" s="785"/>
      <c r="BP635" s="796"/>
      <c r="BQ635" s="808" t="s">
        <v>1942</v>
      </c>
      <c r="BR635" s="800" t="s">
        <v>1942</v>
      </c>
      <c r="BS635" s="800" t="s">
        <v>1942</v>
      </c>
      <c r="BT635" s="800" t="s">
        <v>1942</v>
      </c>
      <c r="BU635" s="805" t="s">
        <v>1942</v>
      </c>
      <c r="BV635" s="808" t="s">
        <v>1942</v>
      </c>
      <c r="BW635" s="800" t="s">
        <v>1942</v>
      </c>
      <c r="BX635" s="800" t="s">
        <v>1942</v>
      </c>
      <c r="BY635" s="800" t="s">
        <v>1942</v>
      </c>
      <c r="BZ635" s="800" t="s">
        <v>1942</v>
      </c>
      <c r="CA635" s="808" t="s">
        <v>1942</v>
      </c>
      <c r="CB635" s="800" t="s">
        <v>1942</v>
      </c>
      <c r="CC635" s="800" t="s">
        <v>1942</v>
      </c>
      <c r="CD635" s="800" t="s">
        <v>1942</v>
      </c>
      <c r="CE635" s="805" t="s">
        <v>1942</v>
      </c>
      <c r="CF635" s="800" t="s">
        <v>1942</v>
      </c>
      <c r="CG635" s="800" t="s">
        <v>1942</v>
      </c>
      <c r="CH635" s="800" t="s">
        <v>1942</v>
      </c>
      <c r="CI635" s="800" t="s">
        <v>1942</v>
      </c>
      <c r="CJ635" s="800" t="s">
        <v>1942</v>
      </c>
      <c r="CK635" s="808" t="s">
        <v>1942</v>
      </c>
      <c r="CL635" s="800" t="s">
        <v>1942</v>
      </c>
      <c r="CM635" s="800" t="s">
        <v>1942</v>
      </c>
      <c r="CN635" s="800" t="s">
        <v>1942</v>
      </c>
      <c r="CO635" s="805" t="s">
        <v>1942</v>
      </c>
      <c r="CP635" s="808" t="s">
        <v>1942</v>
      </c>
      <c r="CQ635" s="800" t="s">
        <v>1942</v>
      </c>
      <c r="CR635" s="800" t="s">
        <v>1942</v>
      </c>
      <c r="CS635" s="800" t="s">
        <v>1942</v>
      </c>
      <c r="CT635" s="805" t="s">
        <v>1942</v>
      </c>
      <c r="CU635" s="1284" t="s">
        <v>1942</v>
      </c>
      <c r="CV635" s="1283" t="s">
        <v>1942</v>
      </c>
      <c r="CW635" s="1283" t="s">
        <v>1942</v>
      </c>
      <c r="CX635" s="1285" t="s">
        <v>1942</v>
      </c>
      <c r="CY635" s="1283" t="s">
        <v>1942</v>
      </c>
      <c r="CZ635" s="1283" t="s">
        <v>1942</v>
      </c>
      <c r="DA635" s="1283" t="s">
        <v>1942</v>
      </c>
      <c r="DB635" s="1285" t="s">
        <v>1942</v>
      </c>
      <c r="DC635" s="785"/>
      <c r="DD635" s="813"/>
      <c r="DE635" s="814"/>
    </row>
    <row r="636" spans="1:109" ht="15.75" hidden="1" customHeight="1">
      <c r="A636" s="772" t="s">
        <v>1054</v>
      </c>
      <c r="B636" s="773">
        <v>630</v>
      </c>
      <c r="C636" s="789" t="s">
        <v>4583</v>
      </c>
      <c r="D636" s="773"/>
      <c r="E636" s="773"/>
      <c r="F636" s="785" t="s">
        <v>4584</v>
      </c>
      <c r="G636" s="790" t="s">
        <v>4585</v>
      </c>
      <c r="H636" s="791"/>
      <c r="I636" s="792"/>
      <c r="J636" s="793">
        <v>1</v>
      </c>
      <c r="K636" s="793"/>
      <c r="L636" s="793"/>
      <c r="M636" s="793"/>
      <c r="N636" s="793"/>
      <c r="O636" s="793"/>
      <c r="P636" s="794"/>
      <c r="Q636" s="795">
        <f t="shared" si="9"/>
        <v>1</v>
      </c>
      <c r="R636" s="789" t="s">
        <v>1026</v>
      </c>
      <c r="S636" s="773" t="s">
        <v>1008</v>
      </c>
      <c r="T636" s="796" t="s">
        <v>1009</v>
      </c>
      <c r="U636" s="773"/>
      <c r="V636" s="1248" t="s">
        <v>2702</v>
      </c>
      <c r="W636" s="773" t="s">
        <v>4586</v>
      </c>
      <c r="X636" s="829">
        <v>0</v>
      </c>
      <c r="Y636" s="1303" t="s">
        <v>1020</v>
      </c>
      <c r="Z636" s="790"/>
      <c r="AA636" s="785"/>
      <c r="AB636" s="785"/>
      <c r="AC636" s="785"/>
      <c r="AD636" s="785"/>
      <c r="AE636" s="785"/>
      <c r="AF636" s="799"/>
      <c r="AG636" s="800"/>
      <c r="AH636" s="800"/>
      <c r="AI636" s="800"/>
      <c r="AJ636" s="800"/>
      <c r="AK636" s="800"/>
      <c r="AL636" s="800"/>
      <c r="AM636" s="800"/>
      <c r="AN636" s="800"/>
      <c r="AO636" s="800"/>
      <c r="AP636" s="800"/>
      <c r="AQ636" s="808">
        <v>0</v>
      </c>
      <c r="AR636" s="800">
        <v>0</v>
      </c>
      <c r="AS636" s="800">
        <v>0</v>
      </c>
      <c r="AT636" s="800">
        <v>0</v>
      </c>
      <c r="AU636" s="805">
        <v>0</v>
      </c>
      <c r="AV636" s="808"/>
      <c r="AW636" s="800"/>
      <c r="AX636" s="800"/>
      <c r="AY636" s="800"/>
      <c r="AZ636" s="800"/>
      <c r="BA636" s="800"/>
      <c r="BB636" s="800"/>
      <c r="BC636" s="800"/>
      <c r="BD636" s="800"/>
      <c r="BE636" s="800"/>
      <c r="BF636" s="800"/>
      <c r="BG636" s="800"/>
      <c r="BH636" s="800"/>
      <c r="BI636" s="800"/>
      <c r="BJ636" s="800"/>
      <c r="BK636" s="805"/>
      <c r="BL636" s="789"/>
      <c r="BM636" s="785"/>
      <c r="BN636" s="785"/>
      <c r="BO636" s="785"/>
      <c r="BP636" s="796" t="s">
        <v>168</v>
      </c>
      <c r="BQ636" s="808" t="s">
        <v>1942</v>
      </c>
      <c r="BR636" s="800" t="s">
        <v>1942</v>
      </c>
      <c r="BS636" s="800" t="s">
        <v>1942</v>
      </c>
      <c r="BT636" s="800" t="s">
        <v>1942</v>
      </c>
      <c r="BU636" s="805" t="s">
        <v>1942</v>
      </c>
      <c r="BV636" s="808" t="s">
        <v>1942</v>
      </c>
      <c r="BW636" s="800" t="s">
        <v>1942</v>
      </c>
      <c r="BX636" s="800" t="s">
        <v>1942</v>
      </c>
      <c r="BY636" s="800" t="s">
        <v>1942</v>
      </c>
      <c r="BZ636" s="800" t="s">
        <v>1942</v>
      </c>
      <c r="CA636" s="808" t="s">
        <v>1942</v>
      </c>
      <c r="CB636" s="800" t="s">
        <v>1942</v>
      </c>
      <c r="CC636" s="800" t="s">
        <v>1942</v>
      </c>
      <c r="CD636" s="800" t="s">
        <v>1942</v>
      </c>
      <c r="CE636" s="805" t="s">
        <v>1942</v>
      </c>
      <c r="CF636" s="800" t="s">
        <v>1942</v>
      </c>
      <c r="CG636" s="800" t="s">
        <v>1942</v>
      </c>
      <c r="CH636" s="800" t="s">
        <v>1942</v>
      </c>
      <c r="CI636" s="800" t="s">
        <v>1942</v>
      </c>
      <c r="CJ636" s="800" t="s">
        <v>1942</v>
      </c>
      <c r="CK636" s="808" t="s">
        <v>1942</v>
      </c>
      <c r="CL636" s="800" t="s">
        <v>1942</v>
      </c>
      <c r="CM636" s="800" t="s">
        <v>1942</v>
      </c>
      <c r="CN636" s="800" t="s">
        <v>1942</v>
      </c>
      <c r="CO636" s="805" t="s">
        <v>1942</v>
      </c>
      <c r="CP636" s="808" t="s">
        <v>1942</v>
      </c>
      <c r="CQ636" s="800" t="s">
        <v>1942</v>
      </c>
      <c r="CR636" s="800" t="s">
        <v>1942</v>
      </c>
      <c r="CS636" s="800" t="s">
        <v>1942</v>
      </c>
      <c r="CT636" s="805" t="s">
        <v>1942</v>
      </c>
      <c r="CU636" s="1284">
        <v>-8.8999999999999996E-2</v>
      </c>
      <c r="CV636" s="1283" t="s">
        <v>1942</v>
      </c>
      <c r="CW636" s="1283" t="s">
        <v>1942</v>
      </c>
      <c r="CX636" s="1285" t="s">
        <v>1942</v>
      </c>
      <c r="CY636" s="1283" t="s">
        <v>1942</v>
      </c>
      <c r="CZ636" s="1283" t="s">
        <v>1942</v>
      </c>
      <c r="DA636" s="1283" t="s">
        <v>1942</v>
      </c>
      <c r="DB636" s="1285" t="s">
        <v>1942</v>
      </c>
      <c r="DC636" s="785"/>
      <c r="DD636" s="813"/>
      <c r="DE636" s="814"/>
    </row>
    <row r="637" spans="1:109" ht="15.75" hidden="1" customHeight="1">
      <c r="A637" s="772" t="s">
        <v>1054</v>
      </c>
      <c r="B637" s="773">
        <v>631</v>
      </c>
      <c r="C637" s="789" t="s">
        <v>4587</v>
      </c>
      <c r="D637" s="773"/>
      <c r="E637" s="773"/>
      <c r="F637" s="785" t="s">
        <v>3977</v>
      </c>
      <c r="G637" s="790" t="s">
        <v>2697</v>
      </c>
      <c r="H637" s="791"/>
      <c r="I637" s="792"/>
      <c r="J637" s="793"/>
      <c r="K637" s="793"/>
      <c r="L637" s="793"/>
      <c r="M637" s="793"/>
      <c r="N637" s="793"/>
      <c r="O637" s="793"/>
      <c r="P637" s="794"/>
      <c r="Q637" s="795">
        <f t="shared" si="9"/>
        <v>0</v>
      </c>
      <c r="R637" s="789" t="s">
        <v>1007</v>
      </c>
      <c r="S637" s="773"/>
      <c r="T637" s="796"/>
      <c r="U637" s="773"/>
      <c r="V637" s="773" t="s">
        <v>278</v>
      </c>
      <c r="W637" s="773" t="s">
        <v>2698</v>
      </c>
      <c r="X637" s="1276">
        <v>0</v>
      </c>
      <c r="Y637" s="819" t="s">
        <v>1010</v>
      </c>
      <c r="Z637" s="790"/>
      <c r="AA637" s="785"/>
      <c r="AB637" s="785"/>
      <c r="AC637" s="785"/>
      <c r="AD637" s="785"/>
      <c r="AE637" s="785"/>
      <c r="AF637" s="799"/>
      <c r="AG637" s="800"/>
      <c r="AH637" s="800"/>
      <c r="AI637" s="800"/>
      <c r="AJ637" s="800"/>
      <c r="AK637" s="800"/>
      <c r="AL637" s="800"/>
      <c r="AM637" s="800"/>
      <c r="AN637" s="800"/>
      <c r="AO637" s="800"/>
      <c r="AP637" s="800"/>
      <c r="AQ637" s="808">
        <v>0</v>
      </c>
      <c r="AR637" s="800">
        <v>0</v>
      </c>
      <c r="AS637" s="800">
        <v>100</v>
      </c>
      <c r="AT637" s="800">
        <v>100</v>
      </c>
      <c r="AU637" s="805">
        <v>100</v>
      </c>
      <c r="AV637" s="808"/>
      <c r="AW637" s="800"/>
      <c r="AX637" s="800"/>
      <c r="AY637" s="800"/>
      <c r="AZ637" s="800"/>
      <c r="BA637" s="800"/>
      <c r="BB637" s="800"/>
      <c r="BC637" s="800"/>
      <c r="BD637" s="800"/>
      <c r="BE637" s="800"/>
      <c r="BF637" s="800"/>
      <c r="BG637" s="800"/>
      <c r="BH637" s="800"/>
      <c r="BI637" s="800"/>
      <c r="BJ637" s="800"/>
      <c r="BK637" s="805"/>
      <c r="BL637" s="789"/>
      <c r="BM637" s="785"/>
      <c r="BN637" s="785"/>
      <c r="BO637" s="785"/>
      <c r="BP637" s="796"/>
      <c r="BQ637" s="808" t="s">
        <v>1942</v>
      </c>
      <c r="BR637" s="800" t="s">
        <v>1942</v>
      </c>
      <c r="BS637" s="800" t="s">
        <v>1942</v>
      </c>
      <c r="BT637" s="800" t="s">
        <v>1942</v>
      </c>
      <c r="BU637" s="805" t="s">
        <v>1942</v>
      </c>
      <c r="BV637" s="808" t="s">
        <v>1942</v>
      </c>
      <c r="BW637" s="800" t="s">
        <v>1942</v>
      </c>
      <c r="BX637" s="800" t="s">
        <v>1942</v>
      </c>
      <c r="BY637" s="800" t="s">
        <v>1942</v>
      </c>
      <c r="BZ637" s="800" t="s">
        <v>1942</v>
      </c>
      <c r="CA637" s="808" t="s">
        <v>1942</v>
      </c>
      <c r="CB637" s="800" t="s">
        <v>1942</v>
      </c>
      <c r="CC637" s="800" t="s">
        <v>1942</v>
      </c>
      <c r="CD637" s="800" t="s">
        <v>1942</v>
      </c>
      <c r="CE637" s="805" t="s">
        <v>1942</v>
      </c>
      <c r="CF637" s="800" t="s">
        <v>1942</v>
      </c>
      <c r="CG637" s="800" t="s">
        <v>1942</v>
      </c>
      <c r="CH637" s="800" t="s">
        <v>1942</v>
      </c>
      <c r="CI637" s="800" t="s">
        <v>1942</v>
      </c>
      <c r="CJ637" s="800" t="s">
        <v>1942</v>
      </c>
      <c r="CK637" s="808" t="s">
        <v>1942</v>
      </c>
      <c r="CL637" s="800" t="s">
        <v>1942</v>
      </c>
      <c r="CM637" s="800" t="s">
        <v>1942</v>
      </c>
      <c r="CN637" s="800" t="s">
        <v>1942</v>
      </c>
      <c r="CO637" s="805" t="s">
        <v>1942</v>
      </c>
      <c r="CP637" s="808" t="s">
        <v>1942</v>
      </c>
      <c r="CQ637" s="800" t="s">
        <v>1942</v>
      </c>
      <c r="CR637" s="800" t="s">
        <v>1942</v>
      </c>
      <c r="CS637" s="800" t="s">
        <v>1942</v>
      </c>
      <c r="CT637" s="805" t="s">
        <v>1942</v>
      </c>
      <c r="CU637" s="1284" t="s">
        <v>1942</v>
      </c>
      <c r="CV637" s="1283" t="s">
        <v>1942</v>
      </c>
      <c r="CW637" s="1283" t="s">
        <v>1942</v>
      </c>
      <c r="CX637" s="1285" t="s">
        <v>1942</v>
      </c>
      <c r="CY637" s="1283" t="s">
        <v>1942</v>
      </c>
      <c r="CZ637" s="1283" t="s">
        <v>1942</v>
      </c>
      <c r="DA637" s="1283" t="s">
        <v>1942</v>
      </c>
      <c r="DB637" s="1285" t="s">
        <v>1942</v>
      </c>
      <c r="DC637" s="785"/>
      <c r="DD637" s="813"/>
      <c r="DE637" s="814"/>
    </row>
    <row r="638" spans="1:109" ht="15.75" hidden="1" customHeight="1">
      <c r="A638" s="772" t="s">
        <v>1054</v>
      </c>
      <c r="B638" s="773">
        <v>632</v>
      </c>
      <c r="C638" s="789" t="s">
        <v>4588</v>
      </c>
      <c r="D638" s="773"/>
      <c r="E638" s="773"/>
      <c r="F638" s="785" t="s">
        <v>4589</v>
      </c>
      <c r="G638" s="790" t="s">
        <v>4590</v>
      </c>
      <c r="H638" s="791"/>
      <c r="I638" s="792"/>
      <c r="J638" s="793"/>
      <c r="K638" s="793">
        <v>1</v>
      </c>
      <c r="L638" s="793"/>
      <c r="M638" s="793"/>
      <c r="N638" s="793"/>
      <c r="O638" s="793"/>
      <c r="P638" s="794"/>
      <c r="Q638" s="795">
        <f t="shared" si="9"/>
        <v>1</v>
      </c>
      <c r="R638" s="789" t="s">
        <v>1026</v>
      </c>
      <c r="S638" s="773" t="s">
        <v>1008</v>
      </c>
      <c r="T638" s="796" t="s">
        <v>1019</v>
      </c>
      <c r="U638" s="773"/>
      <c r="V638" s="773" t="s">
        <v>2702</v>
      </c>
      <c r="W638" s="773"/>
      <c r="X638" s="829">
        <v>0</v>
      </c>
      <c r="Y638" s="819" t="s">
        <v>1020</v>
      </c>
      <c r="Z638" s="790"/>
      <c r="AA638" s="785"/>
      <c r="AB638" s="785"/>
      <c r="AC638" s="785"/>
      <c r="AD638" s="785"/>
      <c r="AE638" s="785"/>
      <c r="AF638" s="799"/>
      <c r="AG638" s="800"/>
      <c r="AH638" s="800"/>
      <c r="AI638" s="800"/>
      <c r="AJ638" s="800"/>
      <c r="AK638" s="800"/>
      <c r="AL638" s="800"/>
      <c r="AM638" s="800"/>
      <c r="AN638" s="800"/>
      <c r="AO638" s="800"/>
      <c r="AP638" s="800"/>
      <c r="AQ638" s="808">
        <v>0</v>
      </c>
      <c r="AR638" s="800">
        <v>0</v>
      </c>
      <c r="AS638" s="800">
        <v>0</v>
      </c>
      <c r="AT638" s="800">
        <v>0</v>
      </c>
      <c r="AU638" s="805">
        <v>0</v>
      </c>
      <c r="AV638" s="808"/>
      <c r="AW638" s="800"/>
      <c r="AX638" s="800"/>
      <c r="AY638" s="800"/>
      <c r="AZ638" s="800"/>
      <c r="BA638" s="800"/>
      <c r="BB638" s="800"/>
      <c r="BC638" s="800"/>
      <c r="BD638" s="800"/>
      <c r="BE638" s="800"/>
      <c r="BF638" s="800"/>
      <c r="BG638" s="800"/>
      <c r="BH638" s="800"/>
      <c r="BI638" s="800"/>
      <c r="BJ638" s="800"/>
      <c r="BK638" s="805"/>
      <c r="BL638" s="789"/>
      <c r="BM638" s="785"/>
      <c r="BN638" s="785"/>
      <c r="BO638" s="785"/>
      <c r="BP638" s="785" t="s">
        <v>168</v>
      </c>
      <c r="BQ638" s="808" t="s">
        <v>1942</v>
      </c>
      <c r="BR638" s="800" t="s">
        <v>1942</v>
      </c>
      <c r="BS638" s="800" t="s">
        <v>1942</v>
      </c>
      <c r="BT638" s="800" t="s">
        <v>1942</v>
      </c>
      <c r="BU638" s="805" t="s">
        <v>1942</v>
      </c>
      <c r="BV638" s="808" t="s">
        <v>1942</v>
      </c>
      <c r="BW638" s="800" t="s">
        <v>1942</v>
      </c>
      <c r="BX638" s="800" t="s">
        <v>1942</v>
      </c>
      <c r="BY638" s="800" t="s">
        <v>1942</v>
      </c>
      <c r="BZ638" s="800" t="s">
        <v>1942</v>
      </c>
      <c r="CA638" s="808" t="s">
        <v>1942</v>
      </c>
      <c r="CB638" s="800" t="s">
        <v>1942</v>
      </c>
      <c r="CC638" s="800" t="s">
        <v>1942</v>
      </c>
      <c r="CD638" s="800" t="s">
        <v>1942</v>
      </c>
      <c r="CE638" s="805" t="s">
        <v>1942</v>
      </c>
      <c r="CF638" s="800" t="s">
        <v>1942</v>
      </c>
      <c r="CG638" s="800" t="s">
        <v>1942</v>
      </c>
      <c r="CH638" s="800" t="s">
        <v>1942</v>
      </c>
      <c r="CI638" s="800" t="s">
        <v>1942</v>
      </c>
      <c r="CJ638" s="800" t="s">
        <v>1942</v>
      </c>
      <c r="CK638" s="808" t="s">
        <v>1942</v>
      </c>
      <c r="CL638" s="800" t="s">
        <v>1942</v>
      </c>
      <c r="CM638" s="800" t="s">
        <v>1942</v>
      </c>
      <c r="CN638" s="800" t="s">
        <v>1942</v>
      </c>
      <c r="CO638" s="805" t="s">
        <v>1942</v>
      </c>
      <c r="CP638" s="808" t="s">
        <v>1942</v>
      </c>
      <c r="CQ638" s="800" t="s">
        <v>1942</v>
      </c>
      <c r="CR638" s="800" t="s">
        <v>1942</v>
      </c>
      <c r="CS638" s="800" t="s">
        <v>1942</v>
      </c>
      <c r="CT638" s="805" t="s">
        <v>1942</v>
      </c>
      <c r="CU638" s="1291">
        <v>-4.2500000000000003E-2</v>
      </c>
      <c r="CV638" s="1283" t="s">
        <v>1942</v>
      </c>
      <c r="CW638" s="1283" t="s">
        <v>1942</v>
      </c>
      <c r="CX638" s="1285" t="s">
        <v>1942</v>
      </c>
      <c r="CY638" s="1283" t="s">
        <v>1942</v>
      </c>
      <c r="CZ638" s="1283" t="s">
        <v>1942</v>
      </c>
      <c r="DA638" s="1283" t="s">
        <v>1942</v>
      </c>
      <c r="DB638" s="1285" t="s">
        <v>1942</v>
      </c>
      <c r="DC638" s="785"/>
      <c r="DD638" s="813"/>
      <c r="DE638" s="814"/>
    </row>
    <row r="639" spans="1:109" ht="15.75" hidden="1" customHeight="1">
      <c r="A639" s="772" t="s">
        <v>1057</v>
      </c>
      <c r="B639" s="773">
        <v>633</v>
      </c>
      <c r="C639" s="789" t="s">
        <v>4591</v>
      </c>
      <c r="D639" s="773" t="s">
        <v>4592</v>
      </c>
      <c r="E639" s="773" t="s">
        <v>1896</v>
      </c>
      <c r="F639" s="785">
        <v>1</v>
      </c>
      <c r="G639" s="790" t="s">
        <v>4593</v>
      </c>
      <c r="H639" s="791" t="s">
        <v>4594</v>
      </c>
      <c r="I639" s="792">
        <v>0.57999999999999996</v>
      </c>
      <c r="J639" s="793">
        <v>0</v>
      </c>
      <c r="K639" s="793">
        <v>0.42</v>
      </c>
      <c r="L639" s="793">
        <v>0</v>
      </c>
      <c r="M639" s="793">
        <v>0</v>
      </c>
      <c r="N639" s="793">
        <v>0</v>
      </c>
      <c r="O639" s="793">
        <v>0</v>
      </c>
      <c r="P639" s="794">
        <v>0</v>
      </c>
      <c r="Q639" s="795">
        <f t="shared" si="9"/>
        <v>1</v>
      </c>
      <c r="R639" s="789" t="s">
        <v>1017</v>
      </c>
      <c r="S639" s="773" t="s">
        <v>1008</v>
      </c>
      <c r="T639" s="796" t="s">
        <v>1019</v>
      </c>
      <c r="U639" s="773" t="s">
        <v>2306</v>
      </c>
      <c r="V639" s="773" t="s">
        <v>1033</v>
      </c>
      <c r="W639" s="773" t="s">
        <v>4595</v>
      </c>
      <c r="X639" s="829">
        <v>0</v>
      </c>
      <c r="Y639" s="826" t="s">
        <v>1010</v>
      </c>
      <c r="Z639" s="790"/>
      <c r="AA639" s="785"/>
      <c r="AB639" s="785"/>
      <c r="AC639" s="785"/>
      <c r="AD639" s="785"/>
      <c r="AE639" s="785"/>
      <c r="AF639" s="799"/>
      <c r="AG639" s="800"/>
      <c r="AH639" s="800"/>
      <c r="AI639" s="800"/>
      <c r="AJ639" s="800"/>
      <c r="AK639" s="800"/>
      <c r="AL639" s="800"/>
      <c r="AM639" s="800"/>
      <c r="AN639" s="800"/>
      <c r="AO639" s="800"/>
      <c r="AP639" s="800"/>
      <c r="AQ639" s="808">
        <v>3</v>
      </c>
      <c r="AR639" s="800">
        <v>9</v>
      </c>
      <c r="AS639" s="800">
        <v>18</v>
      </c>
      <c r="AT639" s="800">
        <v>30</v>
      </c>
      <c r="AU639" s="805">
        <v>45</v>
      </c>
      <c r="AV639" s="808"/>
      <c r="AW639" s="800"/>
      <c r="AX639" s="800"/>
      <c r="AY639" s="800"/>
      <c r="AZ639" s="800"/>
      <c r="BA639" s="800"/>
      <c r="BB639" s="800"/>
      <c r="BC639" s="800"/>
      <c r="BD639" s="800"/>
      <c r="BE639" s="800"/>
      <c r="BF639" s="800"/>
      <c r="BG639" s="800"/>
      <c r="BH639" s="800"/>
      <c r="BI639" s="800"/>
      <c r="BJ639" s="800"/>
      <c r="BK639" s="805"/>
      <c r="BL639" s="1955"/>
      <c r="BM639" s="1956"/>
      <c r="BN639" s="1956"/>
      <c r="BO639" s="1956"/>
      <c r="BP639" s="785" t="s">
        <v>168</v>
      </c>
      <c r="BQ639" s="808" t="s">
        <v>1942</v>
      </c>
      <c r="BR639" s="800" t="s">
        <v>1942</v>
      </c>
      <c r="BS639" s="800" t="s">
        <v>1942</v>
      </c>
      <c r="BT639" s="800" t="s">
        <v>1942</v>
      </c>
      <c r="BU639" s="805" t="s">
        <v>1942</v>
      </c>
      <c r="BV639" s="808" t="s">
        <v>1942</v>
      </c>
      <c r="BW639" s="800" t="s">
        <v>1942</v>
      </c>
      <c r="BX639" s="800" t="s">
        <v>1942</v>
      </c>
      <c r="BY639" s="800" t="s">
        <v>1942</v>
      </c>
      <c r="BZ639" s="800" t="s">
        <v>1942</v>
      </c>
      <c r="CA639" s="808" t="s">
        <v>1942</v>
      </c>
      <c r="CB639" s="800" t="s">
        <v>1942</v>
      </c>
      <c r="CC639" s="800" t="s">
        <v>1942</v>
      </c>
      <c r="CD639" s="800" t="s">
        <v>1942</v>
      </c>
      <c r="CE639" s="805" t="s">
        <v>1942</v>
      </c>
      <c r="CF639" s="800" t="s">
        <v>1942</v>
      </c>
      <c r="CG639" s="800" t="s">
        <v>1942</v>
      </c>
      <c r="CH639" s="800" t="s">
        <v>1942</v>
      </c>
      <c r="CI639" s="800" t="s">
        <v>1942</v>
      </c>
      <c r="CJ639" s="800" t="s">
        <v>1942</v>
      </c>
      <c r="CK639" s="808" t="s">
        <v>1942</v>
      </c>
      <c r="CL639" s="800" t="s">
        <v>1942</v>
      </c>
      <c r="CM639" s="800" t="s">
        <v>1942</v>
      </c>
      <c r="CN639" s="800" t="s">
        <v>1942</v>
      </c>
      <c r="CO639" s="805" t="s">
        <v>1942</v>
      </c>
      <c r="CP639" s="808" t="s">
        <v>1942</v>
      </c>
      <c r="CQ639" s="800" t="s">
        <v>1942</v>
      </c>
      <c r="CR639" s="800" t="s">
        <v>1942</v>
      </c>
      <c r="CS639" s="800" t="s">
        <v>1942</v>
      </c>
      <c r="CT639" s="805" t="s">
        <v>1942</v>
      </c>
      <c r="CU639" s="1284" t="s">
        <v>1942</v>
      </c>
      <c r="CV639" s="1283" t="s">
        <v>1942</v>
      </c>
      <c r="CW639" s="1283" t="s">
        <v>1942</v>
      </c>
      <c r="CX639" s="1285" t="s">
        <v>1942</v>
      </c>
      <c r="CY639" s="1283" t="s">
        <v>1942</v>
      </c>
      <c r="CZ639" s="1283" t="s">
        <v>1942</v>
      </c>
      <c r="DA639" s="1283" t="s">
        <v>1942</v>
      </c>
      <c r="DB639" s="1285" t="s">
        <v>1942</v>
      </c>
      <c r="DC639" s="785" t="s">
        <v>131</v>
      </c>
      <c r="DD639" s="813">
        <v>1</v>
      </c>
      <c r="DE639" s="814"/>
    </row>
    <row r="640" spans="1:109" ht="15.75" hidden="1" customHeight="1">
      <c r="A640" s="772" t="s">
        <v>1057</v>
      </c>
      <c r="B640" s="773">
        <v>634</v>
      </c>
      <c r="C640" s="789" t="s">
        <v>4596</v>
      </c>
      <c r="D640" s="773" t="s">
        <v>4597</v>
      </c>
      <c r="E640" s="773" t="s">
        <v>1889</v>
      </c>
      <c r="F640" s="785">
        <v>2</v>
      </c>
      <c r="G640" s="790" t="s">
        <v>4598</v>
      </c>
      <c r="H640" s="791" t="s">
        <v>4599</v>
      </c>
      <c r="I640" s="792">
        <v>0.7</v>
      </c>
      <c r="J640" s="793">
        <v>0</v>
      </c>
      <c r="K640" s="793">
        <v>0.3</v>
      </c>
      <c r="L640" s="793">
        <v>0</v>
      </c>
      <c r="M640" s="793">
        <v>0</v>
      </c>
      <c r="N640" s="793">
        <v>0</v>
      </c>
      <c r="O640" s="793">
        <v>0</v>
      </c>
      <c r="P640" s="794">
        <v>0</v>
      </c>
      <c r="Q640" s="795">
        <f t="shared" si="9"/>
        <v>1</v>
      </c>
      <c r="R640" s="789" t="s">
        <v>1030</v>
      </c>
      <c r="S640" s="773" t="s">
        <v>1008</v>
      </c>
      <c r="T640" s="796" t="s">
        <v>1019</v>
      </c>
      <c r="U640" s="773" t="s">
        <v>2106</v>
      </c>
      <c r="V640" s="773" t="s">
        <v>1033</v>
      </c>
      <c r="W640" s="773" t="s">
        <v>4600</v>
      </c>
      <c r="X640" s="829">
        <v>0</v>
      </c>
      <c r="Y640" s="826" t="s">
        <v>1010</v>
      </c>
      <c r="Z640" s="790"/>
      <c r="AA640" s="785"/>
      <c r="AB640" s="785"/>
      <c r="AC640" s="785"/>
      <c r="AD640" s="785"/>
      <c r="AE640" s="785"/>
      <c r="AF640" s="799"/>
      <c r="AG640" s="800"/>
      <c r="AH640" s="800"/>
      <c r="AI640" s="800"/>
      <c r="AJ640" s="800"/>
      <c r="AK640" s="800"/>
      <c r="AL640" s="800"/>
      <c r="AM640" s="800"/>
      <c r="AN640" s="800"/>
      <c r="AO640" s="800"/>
      <c r="AP640" s="800"/>
      <c r="AQ640" s="808">
        <v>3048</v>
      </c>
      <c r="AR640" s="800">
        <v>6096</v>
      </c>
      <c r="AS640" s="800">
        <v>9143</v>
      </c>
      <c r="AT640" s="800">
        <v>12191</v>
      </c>
      <c r="AU640" s="805">
        <v>15239</v>
      </c>
      <c r="AV640" s="808"/>
      <c r="AW640" s="800"/>
      <c r="AX640" s="800"/>
      <c r="AY640" s="800"/>
      <c r="AZ640" s="800"/>
      <c r="BA640" s="800"/>
      <c r="BB640" s="800"/>
      <c r="BC640" s="800"/>
      <c r="BD640" s="800"/>
      <c r="BE640" s="800"/>
      <c r="BF640" s="800"/>
      <c r="BG640" s="800"/>
      <c r="BH640" s="800"/>
      <c r="BI640" s="800"/>
      <c r="BJ640" s="800"/>
      <c r="BK640" s="805"/>
      <c r="BL640" s="789" t="s">
        <v>131</v>
      </c>
      <c r="BM640" s="785" t="s">
        <v>131</v>
      </c>
      <c r="BN640" s="785" t="s">
        <v>131</v>
      </c>
      <c r="BO640" s="785" t="s">
        <v>131</v>
      </c>
      <c r="BP640" s="796" t="s">
        <v>168</v>
      </c>
      <c r="BQ640" s="808" t="s">
        <v>1942</v>
      </c>
      <c r="BR640" s="800" t="s">
        <v>1942</v>
      </c>
      <c r="BS640" s="800" t="s">
        <v>1942</v>
      </c>
      <c r="BT640" s="800" t="s">
        <v>1942</v>
      </c>
      <c r="BU640" s="805" t="s">
        <v>1942</v>
      </c>
      <c r="BV640" s="808" t="s">
        <v>1942</v>
      </c>
      <c r="BW640" s="800" t="s">
        <v>1942</v>
      </c>
      <c r="BX640" s="800" t="s">
        <v>1942</v>
      </c>
      <c r="BY640" s="800" t="s">
        <v>1942</v>
      </c>
      <c r="BZ640" s="800" t="s">
        <v>1942</v>
      </c>
      <c r="CA640" s="808" t="s">
        <v>1942</v>
      </c>
      <c r="CB640" s="800" t="s">
        <v>1942</v>
      </c>
      <c r="CC640" s="800" t="s">
        <v>1942</v>
      </c>
      <c r="CD640" s="800" t="s">
        <v>1942</v>
      </c>
      <c r="CE640" s="805" t="s">
        <v>1942</v>
      </c>
      <c r="CF640" s="800" t="s">
        <v>1942</v>
      </c>
      <c r="CG640" s="800" t="s">
        <v>1942</v>
      </c>
      <c r="CH640" s="800" t="s">
        <v>1942</v>
      </c>
      <c r="CI640" s="800" t="s">
        <v>1942</v>
      </c>
      <c r="CJ640" s="800" t="s">
        <v>1942</v>
      </c>
      <c r="CK640" s="808" t="s">
        <v>1942</v>
      </c>
      <c r="CL640" s="800" t="s">
        <v>1942</v>
      </c>
      <c r="CM640" s="800" t="s">
        <v>1942</v>
      </c>
      <c r="CN640" s="800" t="s">
        <v>1942</v>
      </c>
      <c r="CO640" s="805" t="s">
        <v>1942</v>
      </c>
      <c r="CP640" s="808" t="s">
        <v>1942</v>
      </c>
      <c r="CQ640" s="800" t="s">
        <v>1942</v>
      </c>
      <c r="CR640" s="800" t="s">
        <v>1942</v>
      </c>
      <c r="CS640" s="800" t="s">
        <v>1942</v>
      </c>
      <c r="CT640" s="805" t="s">
        <v>1942</v>
      </c>
      <c r="CU640" s="1284">
        <v>-1.132E-3</v>
      </c>
      <c r="CV640" s="1283" t="s">
        <v>1942</v>
      </c>
      <c r="CW640" s="1283" t="s">
        <v>1942</v>
      </c>
      <c r="CX640" s="1285" t="s">
        <v>1942</v>
      </c>
      <c r="CY640" s="1283">
        <v>1.132E-3</v>
      </c>
      <c r="CZ640" s="1283" t="s">
        <v>1942</v>
      </c>
      <c r="DA640" s="1283" t="s">
        <v>1942</v>
      </c>
      <c r="DB640" s="1285" t="s">
        <v>1942</v>
      </c>
      <c r="DC640" s="785"/>
      <c r="DD640" s="813">
        <v>1</v>
      </c>
      <c r="DE640" s="814"/>
    </row>
    <row r="641" spans="1:109" ht="15.75" hidden="1" customHeight="1">
      <c r="A641" s="772" t="s">
        <v>1057</v>
      </c>
      <c r="B641" s="773">
        <v>635</v>
      </c>
      <c r="C641" s="789" t="s">
        <v>4601</v>
      </c>
      <c r="D641" s="773" t="s">
        <v>4597</v>
      </c>
      <c r="E641" s="773" t="s">
        <v>1907</v>
      </c>
      <c r="F641" s="785">
        <v>3</v>
      </c>
      <c r="G641" s="790" t="s">
        <v>4602</v>
      </c>
      <c r="H641" s="791" t="s">
        <v>4603</v>
      </c>
      <c r="I641" s="792">
        <v>0.69</v>
      </c>
      <c r="J641" s="793">
        <v>0</v>
      </c>
      <c r="K641" s="793">
        <v>0.31</v>
      </c>
      <c r="L641" s="793">
        <v>0</v>
      </c>
      <c r="M641" s="793">
        <v>0</v>
      </c>
      <c r="N641" s="793">
        <v>0</v>
      </c>
      <c r="O641" s="793">
        <v>0</v>
      </c>
      <c r="P641" s="794">
        <v>0</v>
      </c>
      <c r="Q641" s="795">
        <f t="shared" si="9"/>
        <v>1</v>
      </c>
      <c r="R641" s="789" t="s">
        <v>1007</v>
      </c>
      <c r="S641" s="773"/>
      <c r="T641" s="796"/>
      <c r="U641" s="773" t="s">
        <v>1967</v>
      </c>
      <c r="V641" s="773" t="s">
        <v>278</v>
      </c>
      <c r="W641" s="773" t="s">
        <v>4604</v>
      </c>
      <c r="X641" s="1309">
        <v>1</v>
      </c>
      <c r="Y641" s="826" t="s">
        <v>1010</v>
      </c>
      <c r="Z641" s="790"/>
      <c r="AA641" s="785"/>
      <c r="AB641" s="785"/>
      <c r="AC641" s="785"/>
      <c r="AD641" s="785"/>
      <c r="AE641" s="785"/>
      <c r="AF641" s="799"/>
      <c r="AG641" s="800"/>
      <c r="AH641" s="800"/>
      <c r="AI641" s="800"/>
      <c r="AJ641" s="800"/>
      <c r="AK641" s="800"/>
      <c r="AL641" s="800"/>
      <c r="AM641" s="800"/>
      <c r="AN641" s="800"/>
      <c r="AO641" s="800"/>
      <c r="AP641" s="800"/>
      <c r="AQ641" s="808">
        <v>0</v>
      </c>
      <c r="AR641" s="800">
        <v>0</v>
      </c>
      <c r="AS641" s="800">
        <v>2.6</v>
      </c>
      <c r="AT641" s="800">
        <v>2.6</v>
      </c>
      <c r="AU641" s="805">
        <v>7.7</v>
      </c>
      <c r="AV641" s="808"/>
      <c r="AW641" s="800"/>
      <c r="AX641" s="800"/>
      <c r="AY641" s="800"/>
      <c r="AZ641" s="800"/>
      <c r="BA641" s="800"/>
      <c r="BB641" s="800"/>
      <c r="BC641" s="800"/>
      <c r="BD641" s="800"/>
      <c r="BE641" s="800"/>
      <c r="BF641" s="800"/>
      <c r="BG641" s="800"/>
      <c r="BH641" s="800"/>
      <c r="BI641" s="800"/>
      <c r="BJ641" s="800"/>
      <c r="BK641" s="805"/>
      <c r="BL641" s="789"/>
      <c r="BM641" s="785"/>
      <c r="BN641" s="785"/>
      <c r="BO641" s="785"/>
      <c r="BP641" s="796"/>
      <c r="BQ641" s="808" t="s">
        <v>1942</v>
      </c>
      <c r="BR641" s="800" t="s">
        <v>1942</v>
      </c>
      <c r="BS641" s="800" t="s">
        <v>1942</v>
      </c>
      <c r="BT641" s="800" t="s">
        <v>1942</v>
      </c>
      <c r="BU641" s="805" t="s">
        <v>1942</v>
      </c>
      <c r="BV641" s="808" t="s">
        <v>1942</v>
      </c>
      <c r="BW641" s="800" t="s">
        <v>1942</v>
      </c>
      <c r="BX641" s="800" t="s">
        <v>1942</v>
      </c>
      <c r="BY641" s="800" t="s">
        <v>1942</v>
      </c>
      <c r="BZ641" s="800" t="s">
        <v>1942</v>
      </c>
      <c r="CA641" s="808" t="s">
        <v>1942</v>
      </c>
      <c r="CB641" s="800" t="s">
        <v>1942</v>
      </c>
      <c r="CC641" s="800" t="s">
        <v>1942</v>
      </c>
      <c r="CD641" s="800" t="s">
        <v>1942</v>
      </c>
      <c r="CE641" s="805" t="s">
        <v>1942</v>
      </c>
      <c r="CF641" s="800" t="s">
        <v>1942</v>
      </c>
      <c r="CG641" s="800" t="s">
        <v>1942</v>
      </c>
      <c r="CH641" s="800" t="s">
        <v>1942</v>
      </c>
      <c r="CI641" s="800" t="s">
        <v>1942</v>
      </c>
      <c r="CJ641" s="800" t="s">
        <v>1942</v>
      </c>
      <c r="CK641" s="808" t="s">
        <v>1942</v>
      </c>
      <c r="CL641" s="800" t="s">
        <v>1942</v>
      </c>
      <c r="CM641" s="800" t="s">
        <v>1942</v>
      </c>
      <c r="CN641" s="800" t="s">
        <v>1942</v>
      </c>
      <c r="CO641" s="805" t="s">
        <v>1942</v>
      </c>
      <c r="CP641" s="808" t="s">
        <v>1942</v>
      </c>
      <c r="CQ641" s="800" t="s">
        <v>1942</v>
      </c>
      <c r="CR641" s="800" t="s">
        <v>1942</v>
      </c>
      <c r="CS641" s="800" t="s">
        <v>1942</v>
      </c>
      <c r="CT641" s="805" t="s">
        <v>1942</v>
      </c>
      <c r="CU641" s="1284" t="s">
        <v>1942</v>
      </c>
      <c r="CV641" s="1283" t="s">
        <v>1942</v>
      </c>
      <c r="CW641" s="1283" t="s">
        <v>1942</v>
      </c>
      <c r="CX641" s="1285" t="s">
        <v>1942</v>
      </c>
      <c r="CY641" s="1283" t="s">
        <v>1942</v>
      </c>
      <c r="CZ641" s="1283" t="s">
        <v>1942</v>
      </c>
      <c r="DA641" s="1283" t="s">
        <v>1942</v>
      </c>
      <c r="DB641" s="1285" t="s">
        <v>1942</v>
      </c>
      <c r="DC641" s="785"/>
      <c r="DD641" s="813">
        <v>1</v>
      </c>
      <c r="DE641" s="814"/>
    </row>
    <row r="642" spans="1:109" ht="15.75" hidden="1" customHeight="1">
      <c r="A642" s="772" t="s">
        <v>1057</v>
      </c>
      <c r="B642" s="773">
        <v>636</v>
      </c>
      <c r="C642" s="789" t="s">
        <v>4605</v>
      </c>
      <c r="D642" s="773" t="s">
        <v>4597</v>
      </c>
      <c r="E642" s="773" t="s">
        <v>1889</v>
      </c>
      <c r="F642" s="785">
        <v>4</v>
      </c>
      <c r="G642" s="790" t="s">
        <v>4606</v>
      </c>
      <c r="H642" s="791" t="s">
        <v>4607</v>
      </c>
      <c r="I642" s="792">
        <v>0.04</v>
      </c>
      <c r="J642" s="793">
        <v>0</v>
      </c>
      <c r="K642" s="793">
        <v>0.96</v>
      </c>
      <c r="L642" s="793">
        <v>0</v>
      </c>
      <c r="M642" s="793">
        <v>0</v>
      </c>
      <c r="N642" s="793">
        <v>0</v>
      </c>
      <c r="O642" s="793">
        <v>0</v>
      </c>
      <c r="P642" s="794">
        <v>0</v>
      </c>
      <c r="Q642" s="795">
        <f t="shared" si="9"/>
        <v>1</v>
      </c>
      <c r="R642" s="789" t="s">
        <v>1030</v>
      </c>
      <c r="S642" s="773" t="s">
        <v>1008</v>
      </c>
      <c r="T642" s="796" t="s">
        <v>1019</v>
      </c>
      <c r="U642" s="773" t="s">
        <v>2106</v>
      </c>
      <c r="V642" s="773" t="s">
        <v>1037</v>
      </c>
      <c r="W642" s="773" t="s">
        <v>4608</v>
      </c>
      <c r="X642" s="1274">
        <v>2</v>
      </c>
      <c r="Y642" s="826" t="s">
        <v>1010</v>
      </c>
      <c r="Z642" s="790"/>
      <c r="AA642" s="785"/>
      <c r="AB642" s="785"/>
      <c r="AC642" s="785"/>
      <c r="AD642" s="785"/>
      <c r="AE642" s="785"/>
      <c r="AF642" s="799"/>
      <c r="AG642" s="800"/>
      <c r="AH642" s="800"/>
      <c r="AI642" s="800"/>
      <c r="AJ642" s="800"/>
      <c r="AK642" s="800"/>
      <c r="AL642" s="800"/>
      <c r="AM642" s="800"/>
      <c r="AN642" s="800"/>
      <c r="AO642" s="800"/>
      <c r="AP642" s="800"/>
      <c r="AQ642" s="808">
        <v>0</v>
      </c>
      <c r="AR642" s="800">
        <v>45.6</v>
      </c>
      <c r="AS642" s="800">
        <v>47.3</v>
      </c>
      <c r="AT642" s="800">
        <v>69.7</v>
      </c>
      <c r="AU642" s="805">
        <v>741.6</v>
      </c>
      <c r="AV642" s="808"/>
      <c r="AW642" s="800"/>
      <c r="AX642" s="800"/>
      <c r="AY642" s="800"/>
      <c r="AZ642" s="800"/>
      <c r="BA642" s="800"/>
      <c r="BB642" s="800"/>
      <c r="BC642" s="800"/>
      <c r="BD642" s="800"/>
      <c r="BE642" s="800"/>
      <c r="BF642" s="800"/>
      <c r="BG642" s="800"/>
      <c r="BH642" s="800"/>
      <c r="BI642" s="800"/>
      <c r="BJ642" s="800"/>
      <c r="BK642" s="805"/>
      <c r="BL642" s="789" t="s">
        <v>131</v>
      </c>
      <c r="BM642" s="785" t="s">
        <v>131</v>
      </c>
      <c r="BN642" s="785" t="s">
        <v>131</v>
      </c>
      <c r="BO642" s="785" t="s">
        <v>131</v>
      </c>
      <c r="BP642" s="796" t="s">
        <v>168</v>
      </c>
      <c r="BQ642" s="808" t="s">
        <v>1942</v>
      </c>
      <c r="BR642" s="800" t="s">
        <v>1942</v>
      </c>
      <c r="BS642" s="800" t="s">
        <v>1942</v>
      </c>
      <c r="BT642" s="800" t="s">
        <v>1942</v>
      </c>
      <c r="BU642" s="805" t="s">
        <v>1942</v>
      </c>
      <c r="BV642" s="808" t="s">
        <v>1942</v>
      </c>
      <c r="BW642" s="800" t="s">
        <v>1942</v>
      </c>
      <c r="BX642" s="800" t="s">
        <v>1942</v>
      </c>
      <c r="BY642" s="800" t="s">
        <v>1942</v>
      </c>
      <c r="BZ642" s="800" t="s">
        <v>1942</v>
      </c>
      <c r="CA642" s="808" t="s">
        <v>1942</v>
      </c>
      <c r="CB642" s="800" t="s">
        <v>1942</v>
      </c>
      <c r="CC642" s="800" t="s">
        <v>1942</v>
      </c>
      <c r="CD642" s="800" t="s">
        <v>1942</v>
      </c>
      <c r="CE642" s="805" t="s">
        <v>1942</v>
      </c>
      <c r="CF642" s="800" t="s">
        <v>1942</v>
      </c>
      <c r="CG642" s="800" t="s">
        <v>1942</v>
      </c>
      <c r="CH642" s="800" t="s">
        <v>1942</v>
      </c>
      <c r="CI642" s="800" t="s">
        <v>1942</v>
      </c>
      <c r="CJ642" s="800" t="s">
        <v>1942</v>
      </c>
      <c r="CK642" s="843">
        <v>0</v>
      </c>
      <c r="CL642" s="800">
        <v>0</v>
      </c>
      <c r="CM642" s="800">
        <v>0</v>
      </c>
      <c r="CN642" s="800">
        <v>0</v>
      </c>
      <c r="CO642" s="805">
        <v>1131.3399999999999</v>
      </c>
      <c r="CP642" s="808" t="s">
        <v>1942</v>
      </c>
      <c r="CQ642" s="800" t="s">
        <v>1942</v>
      </c>
      <c r="CR642" s="800" t="s">
        <v>1942</v>
      </c>
      <c r="CS642" s="800" t="s">
        <v>1942</v>
      </c>
      <c r="CT642" s="805" t="s">
        <v>1942</v>
      </c>
      <c r="CU642" s="1284">
        <v>-5.5800000000000002E-2</v>
      </c>
      <c r="CV642" s="1283" t="s">
        <v>1942</v>
      </c>
      <c r="CW642" s="1283" t="s">
        <v>1942</v>
      </c>
      <c r="CX642" s="1285" t="s">
        <v>1942</v>
      </c>
      <c r="CY642" s="1283">
        <v>5.5800000000000002E-2</v>
      </c>
      <c r="CZ642" s="1283" t="s">
        <v>1942</v>
      </c>
      <c r="DA642" s="1283" t="s">
        <v>1942</v>
      </c>
      <c r="DB642" s="1285" t="s">
        <v>1942</v>
      </c>
      <c r="DC642" s="785"/>
      <c r="DD642" s="813">
        <v>1</v>
      </c>
      <c r="DE642" s="814"/>
    </row>
    <row r="643" spans="1:109" ht="15.75" hidden="1" customHeight="1">
      <c r="A643" s="772" t="s">
        <v>1057</v>
      </c>
      <c r="B643" s="773">
        <v>637</v>
      </c>
      <c r="C643" s="789" t="s">
        <v>4609</v>
      </c>
      <c r="D643" s="773" t="s">
        <v>4597</v>
      </c>
      <c r="E643" s="773" t="s">
        <v>1907</v>
      </c>
      <c r="F643" s="785">
        <v>5</v>
      </c>
      <c r="G643" s="790" t="s">
        <v>4610</v>
      </c>
      <c r="H643" s="791" t="s">
        <v>4611</v>
      </c>
      <c r="I643" s="792">
        <v>0.7</v>
      </c>
      <c r="J643" s="793">
        <v>0</v>
      </c>
      <c r="K643" s="793">
        <v>0</v>
      </c>
      <c r="L643" s="793">
        <v>0.3</v>
      </c>
      <c r="M643" s="793">
        <v>0</v>
      </c>
      <c r="N643" s="793">
        <v>0</v>
      </c>
      <c r="O643" s="793">
        <v>0</v>
      </c>
      <c r="P643" s="794">
        <v>0</v>
      </c>
      <c r="Q643" s="795">
        <f t="shared" si="9"/>
        <v>1</v>
      </c>
      <c r="R643" s="789" t="s">
        <v>1007</v>
      </c>
      <c r="S643" s="773"/>
      <c r="T643" s="796"/>
      <c r="U643" s="773" t="s">
        <v>2106</v>
      </c>
      <c r="V643" s="773" t="s">
        <v>1033</v>
      </c>
      <c r="W643" s="773" t="s">
        <v>4612</v>
      </c>
      <c r="X643" s="1309">
        <v>0</v>
      </c>
      <c r="Y643" s="826" t="s">
        <v>1010</v>
      </c>
      <c r="Z643" s="790"/>
      <c r="AA643" s="785"/>
      <c r="AB643" s="785"/>
      <c r="AC643" s="785"/>
      <c r="AD643" s="785"/>
      <c r="AE643" s="785"/>
      <c r="AF643" s="799"/>
      <c r="AG643" s="800"/>
      <c r="AH643" s="800"/>
      <c r="AI643" s="800"/>
      <c r="AJ643" s="800"/>
      <c r="AK643" s="800"/>
      <c r="AL643" s="800"/>
      <c r="AM643" s="800"/>
      <c r="AN643" s="800"/>
      <c r="AO643" s="800"/>
      <c r="AP643" s="800"/>
      <c r="AQ643" s="808">
        <v>0</v>
      </c>
      <c r="AR643" s="800">
        <v>3</v>
      </c>
      <c r="AS643" s="800">
        <v>6</v>
      </c>
      <c r="AT643" s="800">
        <v>9</v>
      </c>
      <c r="AU643" s="805">
        <v>12</v>
      </c>
      <c r="AV643" s="808"/>
      <c r="AW643" s="800"/>
      <c r="AX643" s="800"/>
      <c r="AY643" s="800"/>
      <c r="AZ643" s="800"/>
      <c r="BA643" s="800"/>
      <c r="BB643" s="800"/>
      <c r="BC643" s="800"/>
      <c r="BD643" s="800"/>
      <c r="BE643" s="800"/>
      <c r="BF643" s="800"/>
      <c r="BG643" s="800"/>
      <c r="BH643" s="800"/>
      <c r="BI643" s="800"/>
      <c r="BJ643" s="800"/>
      <c r="BK643" s="805"/>
      <c r="BL643" s="789"/>
      <c r="BM643" s="785"/>
      <c r="BN643" s="785"/>
      <c r="BO643" s="785"/>
      <c r="BP643" s="796"/>
      <c r="BQ643" s="808" t="s">
        <v>1942</v>
      </c>
      <c r="BR643" s="800" t="s">
        <v>1942</v>
      </c>
      <c r="BS643" s="800" t="s">
        <v>1942</v>
      </c>
      <c r="BT643" s="800" t="s">
        <v>1942</v>
      </c>
      <c r="BU643" s="805" t="s">
        <v>1942</v>
      </c>
      <c r="BV643" s="808" t="s">
        <v>1942</v>
      </c>
      <c r="BW643" s="800" t="s">
        <v>1942</v>
      </c>
      <c r="BX643" s="800" t="s">
        <v>1942</v>
      </c>
      <c r="BY643" s="800" t="s">
        <v>1942</v>
      </c>
      <c r="BZ643" s="800" t="s">
        <v>1942</v>
      </c>
      <c r="CA643" s="808" t="s">
        <v>1942</v>
      </c>
      <c r="CB643" s="800" t="s">
        <v>1942</v>
      </c>
      <c r="CC643" s="800" t="s">
        <v>1942</v>
      </c>
      <c r="CD643" s="800" t="s">
        <v>1942</v>
      </c>
      <c r="CE643" s="805" t="s">
        <v>1942</v>
      </c>
      <c r="CF643" s="800" t="s">
        <v>1942</v>
      </c>
      <c r="CG643" s="800" t="s">
        <v>1942</v>
      </c>
      <c r="CH643" s="800" t="s">
        <v>1942</v>
      </c>
      <c r="CI643" s="800" t="s">
        <v>1942</v>
      </c>
      <c r="CJ643" s="800" t="s">
        <v>1942</v>
      </c>
      <c r="CK643" s="808" t="s">
        <v>1942</v>
      </c>
      <c r="CL643" s="800" t="s">
        <v>1942</v>
      </c>
      <c r="CM643" s="800" t="s">
        <v>1942</v>
      </c>
      <c r="CN643" s="800" t="s">
        <v>1942</v>
      </c>
      <c r="CO643" s="805" t="s">
        <v>1942</v>
      </c>
      <c r="CP643" s="808" t="s">
        <v>1942</v>
      </c>
      <c r="CQ643" s="800" t="s">
        <v>1942</v>
      </c>
      <c r="CR643" s="800" t="s">
        <v>1942</v>
      </c>
      <c r="CS643" s="800" t="s">
        <v>1942</v>
      </c>
      <c r="CT643" s="805" t="s">
        <v>1942</v>
      </c>
      <c r="CU643" s="1284" t="s">
        <v>1942</v>
      </c>
      <c r="CV643" s="1283" t="s">
        <v>1942</v>
      </c>
      <c r="CW643" s="1283" t="s">
        <v>1942</v>
      </c>
      <c r="CX643" s="1285" t="s">
        <v>1942</v>
      </c>
      <c r="CY643" s="1283" t="s">
        <v>1942</v>
      </c>
      <c r="CZ643" s="1283" t="s">
        <v>1942</v>
      </c>
      <c r="DA643" s="1283" t="s">
        <v>1942</v>
      </c>
      <c r="DB643" s="1285" t="s">
        <v>1942</v>
      </c>
      <c r="DC643" s="785"/>
      <c r="DD643" s="813">
        <v>1</v>
      </c>
      <c r="DE643" s="814"/>
    </row>
    <row r="644" spans="1:109" ht="15.75" hidden="1" customHeight="1">
      <c r="A644" s="772" t="s">
        <v>1057</v>
      </c>
      <c r="B644" s="773">
        <v>638</v>
      </c>
      <c r="C644" s="789" t="s">
        <v>4613</v>
      </c>
      <c r="D644" s="773" t="s">
        <v>4597</v>
      </c>
      <c r="E644" s="773" t="s">
        <v>1907</v>
      </c>
      <c r="F644" s="785" t="s">
        <v>4614</v>
      </c>
      <c r="G644" s="790" t="s">
        <v>4615</v>
      </c>
      <c r="H644" s="791" t="s">
        <v>4616</v>
      </c>
      <c r="I644" s="792">
        <v>0.09</v>
      </c>
      <c r="J644" s="793">
        <v>0.12</v>
      </c>
      <c r="K644" s="793">
        <v>0.24</v>
      </c>
      <c r="L644" s="793">
        <v>0.55000000000000004</v>
      </c>
      <c r="M644" s="793">
        <v>0</v>
      </c>
      <c r="N644" s="793">
        <v>0</v>
      </c>
      <c r="O644" s="793">
        <v>0</v>
      </c>
      <c r="P644" s="794">
        <v>0</v>
      </c>
      <c r="Q644" s="795">
        <f t="shared" si="9"/>
        <v>1</v>
      </c>
      <c r="R644" s="789" t="s">
        <v>1030</v>
      </c>
      <c r="S644" s="773" t="s">
        <v>1008</v>
      </c>
      <c r="T644" s="796" t="s">
        <v>1009</v>
      </c>
      <c r="U644" s="773" t="s">
        <v>2132</v>
      </c>
      <c r="V644" s="773" t="s">
        <v>278</v>
      </c>
      <c r="W644" s="773" t="s">
        <v>2795</v>
      </c>
      <c r="X644" s="1274">
        <v>1</v>
      </c>
      <c r="Y644" s="826" t="s">
        <v>1010</v>
      </c>
      <c r="Z644" s="790"/>
      <c r="AA644" s="785"/>
      <c r="AB644" s="785"/>
      <c r="AC644" s="785"/>
      <c r="AD644" s="785"/>
      <c r="AE644" s="785"/>
      <c r="AF644" s="799"/>
      <c r="AG644" s="800"/>
      <c r="AH644" s="800"/>
      <c r="AI644" s="800"/>
      <c r="AJ644" s="800"/>
      <c r="AK644" s="800"/>
      <c r="AL644" s="800"/>
      <c r="AM644" s="800"/>
      <c r="AN644" s="800"/>
      <c r="AO644" s="800"/>
      <c r="AP644" s="800"/>
      <c r="AQ644" s="808">
        <v>2.4</v>
      </c>
      <c r="AR644" s="800">
        <v>4.8</v>
      </c>
      <c r="AS644" s="800">
        <v>7.2</v>
      </c>
      <c r="AT644" s="800">
        <v>9.6</v>
      </c>
      <c r="AU644" s="805">
        <v>12</v>
      </c>
      <c r="AV644" s="808"/>
      <c r="AW644" s="800"/>
      <c r="AX644" s="800"/>
      <c r="AY644" s="800"/>
      <c r="AZ644" s="800"/>
      <c r="BA644" s="800"/>
      <c r="BB644" s="800"/>
      <c r="BC644" s="800"/>
      <c r="BD644" s="800"/>
      <c r="BE644" s="800"/>
      <c r="BF644" s="800"/>
      <c r="BG644" s="800"/>
      <c r="BH644" s="800"/>
      <c r="BI644" s="800"/>
      <c r="BJ644" s="800"/>
      <c r="BK644" s="805"/>
      <c r="BL644" s="789" t="s">
        <v>168</v>
      </c>
      <c r="BM644" s="785" t="s">
        <v>168</v>
      </c>
      <c r="BN644" s="785" t="s">
        <v>168</v>
      </c>
      <c r="BO644" s="785" t="s">
        <v>168</v>
      </c>
      <c r="BP644" s="796" t="s">
        <v>168</v>
      </c>
      <c r="BQ644" s="808" t="s">
        <v>1942</v>
      </c>
      <c r="BR644" s="800" t="s">
        <v>1942</v>
      </c>
      <c r="BS644" s="800" t="s">
        <v>1942</v>
      </c>
      <c r="BT644" s="800" t="s">
        <v>1942</v>
      </c>
      <c r="BU644" s="805" t="s">
        <v>1942</v>
      </c>
      <c r="BV644" s="808">
        <v>-2</v>
      </c>
      <c r="BW644" s="800">
        <v>-2</v>
      </c>
      <c r="BX644" s="800">
        <v>-2</v>
      </c>
      <c r="BY644" s="800">
        <v>-2</v>
      </c>
      <c r="BZ644" s="800">
        <v>-2</v>
      </c>
      <c r="CA644" s="808" t="s">
        <v>1942</v>
      </c>
      <c r="CB644" s="800" t="s">
        <v>1942</v>
      </c>
      <c r="CC644" s="800" t="s">
        <v>1942</v>
      </c>
      <c r="CD644" s="800" t="s">
        <v>1942</v>
      </c>
      <c r="CE644" s="805" t="s">
        <v>1942</v>
      </c>
      <c r="CF644" s="800" t="s">
        <v>1942</v>
      </c>
      <c r="CG644" s="800" t="s">
        <v>1942</v>
      </c>
      <c r="CH644" s="800" t="s">
        <v>1942</v>
      </c>
      <c r="CI644" s="800" t="s">
        <v>1942</v>
      </c>
      <c r="CJ644" s="800" t="s">
        <v>1942</v>
      </c>
      <c r="CK644" s="808">
        <v>5</v>
      </c>
      <c r="CL644" s="800">
        <v>10</v>
      </c>
      <c r="CM644" s="800">
        <v>15</v>
      </c>
      <c r="CN644" s="800">
        <v>20</v>
      </c>
      <c r="CO644" s="805">
        <v>25</v>
      </c>
      <c r="CP644" s="808" t="s">
        <v>1942</v>
      </c>
      <c r="CQ644" s="800" t="s">
        <v>1942</v>
      </c>
      <c r="CR644" s="800" t="s">
        <v>1942</v>
      </c>
      <c r="CS644" s="800" t="s">
        <v>1942</v>
      </c>
      <c r="CT644" s="805" t="s">
        <v>1942</v>
      </c>
      <c r="CU644" s="1284">
        <v>-0.23599999999999999</v>
      </c>
      <c r="CV644" s="1283" t="s">
        <v>1942</v>
      </c>
      <c r="CW644" s="1283" t="s">
        <v>1942</v>
      </c>
      <c r="CX644" s="1285" t="s">
        <v>1942</v>
      </c>
      <c r="CY644" s="1283">
        <v>0.23599999999999999</v>
      </c>
      <c r="CZ644" s="1283" t="s">
        <v>1942</v>
      </c>
      <c r="DA644" s="1283" t="s">
        <v>1942</v>
      </c>
      <c r="DB644" s="1285" t="s">
        <v>1942</v>
      </c>
      <c r="DC644" s="785"/>
      <c r="DD644" s="813">
        <v>1</v>
      </c>
      <c r="DE644" s="814"/>
    </row>
    <row r="645" spans="1:109" ht="15.75" hidden="1" customHeight="1">
      <c r="A645" s="772" t="s">
        <v>1057</v>
      </c>
      <c r="B645" s="773">
        <v>639</v>
      </c>
      <c r="C645" s="789" t="s">
        <v>4617</v>
      </c>
      <c r="D645" s="773"/>
      <c r="E645" s="773"/>
      <c r="F645" s="785" t="s">
        <v>4618</v>
      </c>
      <c r="G645" s="790" t="s">
        <v>4619</v>
      </c>
      <c r="H645" s="791"/>
      <c r="I645" s="792">
        <v>0.09</v>
      </c>
      <c r="J645" s="793">
        <v>0.12</v>
      </c>
      <c r="K645" s="793">
        <v>0.24</v>
      </c>
      <c r="L645" s="793">
        <v>0.55000000000000004</v>
      </c>
      <c r="M645" s="793">
        <v>0</v>
      </c>
      <c r="N645" s="793">
        <v>0</v>
      </c>
      <c r="O645" s="793">
        <v>0</v>
      </c>
      <c r="P645" s="794">
        <v>0</v>
      </c>
      <c r="Q645" s="795">
        <f t="shared" si="9"/>
        <v>1</v>
      </c>
      <c r="R645" s="789" t="s">
        <v>1007</v>
      </c>
      <c r="S645" s="773"/>
      <c r="T645" s="796"/>
      <c r="U645" s="773"/>
      <c r="V645" s="773" t="s">
        <v>278</v>
      </c>
      <c r="W645" s="773" t="s">
        <v>4620</v>
      </c>
      <c r="X645" s="1308">
        <v>1</v>
      </c>
      <c r="Y645" s="826"/>
      <c r="Z645" s="790"/>
      <c r="AA645" s="785"/>
      <c r="AB645" s="785"/>
      <c r="AC645" s="785"/>
      <c r="AD645" s="785"/>
      <c r="AE645" s="785"/>
      <c r="AF645" s="799"/>
      <c r="AG645" s="800"/>
      <c r="AH645" s="800"/>
      <c r="AI645" s="800"/>
      <c r="AJ645" s="800"/>
      <c r="AK645" s="800"/>
      <c r="AL645" s="800"/>
      <c r="AM645" s="800"/>
      <c r="AN645" s="800"/>
      <c r="AO645" s="800"/>
      <c r="AP645" s="800"/>
      <c r="AQ645" s="808" t="s">
        <v>1942</v>
      </c>
      <c r="AR645" s="800" t="s">
        <v>1942</v>
      </c>
      <c r="AS645" s="800" t="s">
        <v>1942</v>
      </c>
      <c r="AT645" s="800" t="s">
        <v>1942</v>
      </c>
      <c r="AU645" s="805">
        <v>23</v>
      </c>
      <c r="AV645" s="808"/>
      <c r="AW645" s="800"/>
      <c r="AX645" s="800"/>
      <c r="AY645" s="800"/>
      <c r="AZ645" s="800"/>
      <c r="BA645" s="800"/>
      <c r="BB645" s="800"/>
      <c r="BC645" s="800"/>
      <c r="BD645" s="800"/>
      <c r="BE645" s="800"/>
      <c r="BF645" s="800"/>
      <c r="BG645" s="800"/>
      <c r="BH645" s="800"/>
      <c r="BI645" s="800"/>
      <c r="BJ645" s="800"/>
      <c r="BK645" s="805"/>
      <c r="BL645" s="789"/>
      <c r="BM645" s="785"/>
      <c r="BN645" s="785"/>
      <c r="BO645" s="785"/>
      <c r="BP645" s="796"/>
      <c r="BQ645" s="808" t="s">
        <v>1942</v>
      </c>
      <c r="BR645" s="800" t="s">
        <v>1942</v>
      </c>
      <c r="BS645" s="800" t="s">
        <v>1942</v>
      </c>
      <c r="BT645" s="800" t="s">
        <v>1942</v>
      </c>
      <c r="BU645" s="805" t="s">
        <v>1942</v>
      </c>
      <c r="BV645" s="808" t="s">
        <v>1942</v>
      </c>
      <c r="BW645" s="800" t="s">
        <v>1942</v>
      </c>
      <c r="BX645" s="800" t="s">
        <v>1942</v>
      </c>
      <c r="BY645" s="800" t="s">
        <v>1942</v>
      </c>
      <c r="BZ645" s="800" t="s">
        <v>1942</v>
      </c>
      <c r="CA645" s="808" t="s">
        <v>1942</v>
      </c>
      <c r="CB645" s="800" t="s">
        <v>1942</v>
      </c>
      <c r="CC645" s="800" t="s">
        <v>1942</v>
      </c>
      <c r="CD645" s="800" t="s">
        <v>1942</v>
      </c>
      <c r="CE645" s="805" t="s">
        <v>1942</v>
      </c>
      <c r="CF645" s="800" t="s">
        <v>1942</v>
      </c>
      <c r="CG645" s="800" t="s">
        <v>1942</v>
      </c>
      <c r="CH645" s="800" t="s">
        <v>1942</v>
      </c>
      <c r="CI645" s="800" t="s">
        <v>1942</v>
      </c>
      <c r="CJ645" s="800" t="s">
        <v>1942</v>
      </c>
      <c r="CK645" s="808" t="s">
        <v>1942</v>
      </c>
      <c r="CL645" s="800" t="s">
        <v>1942</v>
      </c>
      <c r="CM645" s="800" t="s">
        <v>1942</v>
      </c>
      <c r="CN645" s="800" t="s">
        <v>1942</v>
      </c>
      <c r="CO645" s="805" t="s">
        <v>1942</v>
      </c>
      <c r="CP645" s="808" t="s">
        <v>1942</v>
      </c>
      <c r="CQ645" s="800" t="s">
        <v>1942</v>
      </c>
      <c r="CR645" s="800" t="s">
        <v>1942</v>
      </c>
      <c r="CS645" s="800" t="s">
        <v>1942</v>
      </c>
      <c r="CT645" s="805" t="s">
        <v>1942</v>
      </c>
      <c r="CU645" s="1284" t="s">
        <v>1942</v>
      </c>
      <c r="CV645" s="1283" t="s">
        <v>1942</v>
      </c>
      <c r="CW645" s="1283" t="s">
        <v>1942</v>
      </c>
      <c r="CX645" s="1285" t="s">
        <v>1942</v>
      </c>
      <c r="CY645" s="1283" t="s">
        <v>1942</v>
      </c>
      <c r="CZ645" s="1283" t="s">
        <v>1942</v>
      </c>
      <c r="DA645" s="1283" t="s">
        <v>1942</v>
      </c>
      <c r="DB645" s="1285" t="s">
        <v>1942</v>
      </c>
      <c r="DC645" s="785"/>
      <c r="DD645" s="813"/>
      <c r="DE645" s="814"/>
    </row>
    <row r="646" spans="1:109" ht="15.75" hidden="1" customHeight="1">
      <c r="A646" s="772" t="s">
        <v>1057</v>
      </c>
      <c r="B646" s="773">
        <v>640</v>
      </c>
      <c r="C646" s="789" t="s">
        <v>4621</v>
      </c>
      <c r="D646" s="773" t="s">
        <v>4622</v>
      </c>
      <c r="E646" s="773" t="s">
        <v>1907</v>
      </c>
      <c r="F646" s="785">
        <v>7</v>
      </c>
      <c r="G646" s="790" t="s">
        <v>4623</v>
      </c>
      <c r="H646" s="791" t="s">
        <v>4624</v>
      </c>
      <c r="I646" s="792">
        <v>0.36</v>
      </c>
      <c r="J646" s="793">
        <v>0.26</v>
      </c>
      <c r="K646" s="793">
        <v>0.24</v>
      </c>
      <c r="L646" s="793">
        <v>0.14000000000000001</v>
      </c>
      <c r="M646" s="793">
        <v>0</v>
      </c>
      <c r="N646" s="793">
        <v>0</v>
      </c>
      <c r="O646" s="793">
        <v>0</v>
      </c>
      <c r="P646" s="794">
        <v>0</v>
      </c>
      <c r="Q646" s="795">
        <f t="shared" si="9"/>
        <v>1</v>
      </c>
      <c r="R646" s="789" t="s">
        <v>1026</v>
      </c>
      <c r="S646" s="773" t="s">
        <v>1008</v>
      </c>
      <c r="T646" s="796" t="s">
        <v>1009</v>
      </c>
      <c r="U646" s="773" t="s">
        <v>2400</v>
      </c>
      <c r="V646" s="773" t="s">
        <v>1033</v>
      </c>
      <c r="W646" s="773" t="s">
        <v>4625</v>
      </c>
      <c r="X646" s="829">
        <v>0</v>
      </c>
      <c r="Y646" s="826" t="s">
        <v>1010</v>
      </c>
      <c r="Z646" s="790"/>
      <c r="AA646" s="785"/>
      <c r="AB646" s="785"/>
      <c r="AC646" s="785"/>
      <c r="AD646" s="785"/>
      <c r="AE646" s="785"/>
      <c r="AF646" s="799"/>
      <c r="AG646" s="800"/>
      <c r="AH646" s="800"/>
      <c r="AI646" s="800"/>
      <c r="AJ646" s="800"/>
      <c r="AK646" s="800"/>
      <c r="AL646" s="800"/>
      <c r="AM646" s="800"/>
      <c r="AN646" s="800"/>
      <c r="AO646" s="800"/>
      <c r="AP646" s="800"/>
      <c r="AQ646" s="808">
        <v>20000</v>
      </c>
      <c r="AR646" s="800">
        <v>20000</v>
      </c>
      <c r="AS646" s="800">
        <v>20000</v>
      </c>
      <c r="AT646" s="800">
        <v>20000</v>
      </c>
      <c r="AU646" s="805">
        <v>20000</v>
      </c>
      <c r="AV646" s="808"/>
      <c r="AW646" s="800"/>
      <c r="AX646" s="800"/>
      <c r="AY646" s="800"/>
      <c r="AZ646" s="800"/>
      <c r="BA646" s="800"/>
      <c r="BB646" s="800"/>
      <c r="BC646" s="800"/>
      <c r="BD646" s="800"/>
      <c r="BE646" s="800"/>
      <c r="BF646" s="800"/>
      <c r="BG646" s="800"/>
      <c r="BH646" s="800"/>
      <c r="BI646" s="800"/>
      <c r="BJ646" s="800"/>
      <c r="BK646" s="805"/>
      <c r="BL646" s="789" t="s">
        <v>168</v>
      </c>
      <c r="BM646" s="785" t="s">
        <v>168</v>
      </c>
      <c r="BN646" s="785" t="s">
        <v>168</v>
      </c>
      <c r="BO646" s="785" t="s">
        <v>168</v>
      </c>
      <c r="BP646" s="796" t="s">
        <v>168</v>
      </c>
      <c r="BQ646" s="808" t="s">
        <v>1942</v>
      </c>
      <c r="BR646" s="800" t="s">
        <v>1942</v>
      </c>
      <c r="BS646" s="800" t="s">
        <v>1942</v>
      </c>
      <c r="BT646" s="800" t="s">
        <v>1942</v>
      </c>
      <c r="BU646" s="805" t="s">
        <v>1942</v>
      </c>
      <c r="BV646" s="808" t="s">
        <v>1942</v>
      </c>
      <c r="BW646" s="800" t="s">
        <v>1942</v>
      </c>
      <c r="BX646" s="800" t="s">
        <v>1942</v>
      </c>
      <c r="BY646" s="800" t="s">
        <v>1942</v>
      </c>
      <c r="BZ646" s="800" t="s">
        <v>1942</v>
      </c>
      <c r="CA646" s="808" t="s">
        <v>1942</v>
      </c>
      <c r="CB646" s="800" t="s">
        <v>1942</v>
      </c>
      <c r="CC646" s="800" t="s">
        <v>1942</v>
      </c>
      <c r="CD646" s="800" t="s">
        <v>1942</v>
      </c>
      <c r="CE646" s="805" t="s">
        <v>1942</v>
      </c>
      <c r="CF646" s="800" t="s">
        <v>1942</v>
      </c>
      <c r="CG646" s="800" t="s">
        <v>1942</v>
      </c>
      <c r="CH646" s="800" t="s">
        <v>1942</v>
      </c>
      <c r="CI646" s="800" t="s">
        <v>1942</v>
      </c>
      <c r="CJ646" s="800" t="s">
        <v>1942</v>
      </c>
      <c r="CK646" s="808" t="s">
        <v>1942</v>
      </c>
      <c r="CL646" s="800" t="s">
        <v>1942</v>
      </c>
      <c r="CM646" s="800" t="s">
        <v>1942</v>
      </c>
      <c r="CN646" s="800" t="s">
        <v>1942</v>
      </c>
      <c r="CO646" s="805" t="s">
        <v>1942</v>
      </c>
      <c r="CP646" s="808" t="s">
        <v>1942</v>
      </c>
      <c r="CQ646" s="800" t="s">
        <v>1942</v>
      </c>
      <c r="CR646" s="800" t="s">
        <v>1942</v>
      </c>
      <c r="CS646" s="800" t="s">
        <v>1942</v>
      </c>
      <c r="CT646" s="805" t="s">
        <v>1942</v>
      </c>
      <c r="CU646" s="1284">
        <v>-1.9999999999999999E-6</v>
      </c>
      <c r="CV646" s="1283" t="s">
        <v>1942</v>
      </c>
      <c r="CW646" s="1283" t="s">
        <v>1942</v>
      </c>
      <c r="CX646" s="1285" t="s">
        <v>1942</v>
      </c>
      <c r="CY646" s="1283" t="s">
        <v>1942</v>
      </c>
      <c r="CZ646" s="1283" t="s">
        <v>1942</v>
      </c>
      <c r="DA646" s="1283" t="s">
        <v>1942</v>
      </c>
      <c r="DB646" s="1285" t="s">
        <v>1942</v>
      </c>
      <c r="DC646" s="785"/>
      <c r="DD646" s="813">
        <v>1</v>
      </c>
      <c r="DE646" s="814"/>
    </row>
    <row r="647" spans="1:109" ht="15.75" hidden="1" customHeight="1">
      <c r="A647" s="772" t="s">
        <v>1057</v>
      </c>
      <c r="B647" s="773">
        <v>641</v>
      </c>
      <c r="C647" s="789" t="s">
        <v>4626</v>
      </c>
      <c r="D647" s="773" t="s">
        <v>4592</v>
      </c>
      <c r="E647" s="773" t="s">
        <v>1889</v>
      </c>
      <c r="F647" s="785">
        <v>8</v>
      </c>
      <c r="G647" s="790" t="s">
        <v>4627</v>
      </c>
      <c r="H647" s="791" t="s">
        <v>4628</v>
      </c>
      <c r="I647" s="792">
        <v>0</v>
      </c>
      <c r="J647" s="793">
        <v>7.0000000000000007E-2</v>
      </c>
      <c r="K647" s="793">
        <v>0.28999999999999998</v>
      </c>
      <c r="L647" s="793">
        <v>0.64</v>
      </c>
      <c r="M647" s="793">
        <v>0</v>
      </c>
      <c r="N647" s="793">
        <v>0</v>
      </c>
      <c r="O647" s="793">
        <v>0</v>
      </c>
      <c r="P647" s="794">
        <v>0</v>
      </c>
      <c r="Q647" s="795">
        <f t="shared" si="9"/>
        <v>1</v>
      </c>
      <c r="R647" s="789" t="s">
        <v>1007</v>
      </c>
      <c r="S647" s="773"/>
      <c r="T647" s="796"/>
      <c r="U647" s="773" t="s">
        <v>1904</v>
      </c>
      <c r="V647" s="773" t="s">
        <v>123</v>
      </c>
      <c r="W647" s="773" t="s">
        <v>4629</v>
      </c>
      <c r="X647" s="1309">
        <v>0</v>
      </c>
      <c r="Y647" s="826" t="s">
        <v>1010</v>
      </c>
      <c r="Z647" s="790"/>
      <c r="AA647" s="785"/>
      <c r="AB647" s="785"/>
      <c r="AC647" s="785"/>
      <c r="AD647" s="785"/>
      <c r="AE647" s="785"/>
      <c r="AF647" s="799"/>
      <c r="AG647" s="800"/>
      <c r="AH647" s="800"/>
      <c r="AI647" s="800"/>
      <c r="AJ647" s="800"/>
      <c r="AK647" s="800"/>
      <c r="AL647" s="800"/>
      <c r="AM647" s="800"/>
      <c r="AN647" s="800"/>
      <c r="AO647" s="800"/>
      <c r="AP647" s="800"/>
      <c r="AQ647" s="808">
        <v>0</v>
      </c>
      <c r="AR647" s="800">
        <v>5</v>
      </c>
      <c r="AS647" s="800">
        <v>10</v>
      </c>
      <c r="AT647" s="800">
        <v>20</v>
      </c>
      <c r="AU647" s="805">
        <v>65</v>
      </c>
      <c r="AV647" s="808"/>
      <c r="AW647" s="800"/>
      <c r="AX647" s="800"/>
      <c r="AY647" s="800"/>
      <c r="AZ647" s="800"/>
      <c r="BA647" s="800"/>
      <c r="BB647" s="800"/>
      <c r="BC647" s="800"/>
      <c r="BD647" s="800"/>
      <c r="BE647" s="800"/>
      <c r="BF647" s="800"/>
      <c r="BG647" s="800"/>
      <c r="BH647" s="800"/>
      <c r="BI647" s="800"/>
      <c r="BJ647" s="800"/>
      <c r="BK647" s="805"/>
      <c r="BL647" s="789"/>
      <c r="BM647" s="785"/>
      <c r="BN647" s="785"/>
      <c r="BO647" s="785"/>
      <c r="BP647" s="796"/>
      <c r="BQ647" s="808" t="s">
        <v>1942</v>
      </c>
      <c r="BR647" s="800" t="s">
        <v>1942</v>
      </c>
      <c r="BS647" s="800" t="s">
        <v>1942</v>
      </c>
      <c r="BT647" s="800" t="s">
        <v>1942</v>
      </c>
      <c r="BU647" s="805" t="s">
        <v>1942</v>
      </c>
      <c r="BV647" s="808" t="s">
        <v>1942</v>
      </c>
      <c r="BW647" s="800" t="s">
        <v>1942</v>
      </c>
      <c r="BX647" s="800" t="s">
        <v>1942</v>
      </c>
      <c r="BY647" s="800" t="s">
        <v>1942</v>
      </c>
      <c r="BZ647" s="800" t="s">
        <v>1942</v>
      </c>
      <c r="CA647" s="808" t="s">
        <v>1942</v>
      </c>
      <c r="CB647" s="800" t="s">
        <v>1942</v>
      </c>
      <c r="CC647" s="800" t="s">
        <v>1942</v>
      </c>
      <c r="CD647" s="800" t="s">
        <v>1942</v>
      </c>
      <c r="CE647" s="805" t="s">
        <v>1942</v>
      </c>
      <c r="CF647" s="800" t="s">
        <v>1942</v>
      </c>
      <c r="CG647" s="800" t="s">
        <v>1942</v>
      </c>
      <c r="CH647" s="800" t="s">
        <v>1942</v>
      </c>
      <c r="CI647" s="800" t="s">
        <v>1942</v>
      </c>
      <c r="CJ647" s="800" t="s">
        <v>1942</v>
      </c>
      <c r="CK647" s="808" t="s">
        <v>1942</v>
      </c>
      <c r="CL647" s="800" t="s">
        <v>1942</v>
      </c>
      <c r="CM647" s="800" t="s">
        <v>1942</v>
      </c>
      <c r="CN647" s="800" t="s">
        <v>1942</v>
      </c>
      <c r="CO647" s="805" t="s">
        <v>1942</v>
      </c>
      <c r="CP647" s="808" t="s">
        <v>1942</v>
      </c>
      <c r="CQ647" s="800" t="s">
        <v>1942</v>
      </c>
      <c r="CR647" s="800" t="s">
        <v>1942</v>
      </c>
      <c r="CS647" s="800" t="s">
        <v>1942</v>
      </c>
      <c r="CT647" s="805" t="s">
        <v>1942</v>
      </c>
      <c r="CU647" s="1284" t="s">
        <v>1942</v>
      </c>
      <c r="CV647" s="1283" t="s">
        <v>1942</v>
      </c>
      <c r="CW647" s="1283" t="s">
        <v>1942</v>
      </c>
      <c r="CX647" s="1285" t="s">
        <v>1942</v>
      </c>
      <c r="CY647" s="1283" t="s">
        <v>1942</v>
      </c>
      <c r="CZ647" s="1283" t="s">
        <v>1942</v>
      </c>
      <c r="DA647" s="1283" t="s">
        <v>1942</v>
      </c>
      <c r="DB647" s="1285" t="s">
        <v>1942</v>
      </c>
      <c r="DC647" s="785"/>
      <c r="DD647" s="813">
        <v>1</v>
      </c>
      <c r="DE647" s="814"/>
    </row>
    <row r="648" spans="1:109" ht="15.75" hidden="1" customHeight="1">
      <c r="A648" s="772" t="s">
        <v>1057</v>
      </c>
      <c r="B648" s="773">
        <v>642</v>
      </c>
      <c r="C648" s="789" t="s">
        <v>4630</v>
      </c>
      <c r="D648" s="773" t="s">
        <v>4622</v>
      </c>
      <c r="E648" s="773" t="s">
        <v>1907</v>
      </c>
      <c r="F648" s="785">
        <v>9</v>
      </c>
      <c r="G648" s="790" t="s">
        <v>4631</v>
      </c>
      <c r="H648" s="791" t="s">
        <v>4632</v>
      </c>
      <c r="I648" s="792">
        <v>0</v>
      </c>
      <c r="J648" s="793">
        <v>0.32</v>
      </c>
      <c r="K648" s="793">
        <v>0.68</v>
      </c>
      <c r="L648" s="793">
        <v>0</v>
      </c>
      <c r="M648" s="793">
        <v>0</v>
      </c>
      <c r="N648" s="793">
        <v>0</v>
      </c>
      <c r="O648" s="793">
        <v>0</v>
      </c>
      <c r="P648" s="794">
        <v>0</v>
      </c>
      <c r="Q648" s="795">
        <f t="shared" si="9"/>
        <v>1</v>
      </c>
      <c r="R648" s="789" t="s">
        <v>1030</v>
      </c>
      <c r="S648" s="773" t="s">
        <v>1008</v>
      </c>
      <c r="T648" s="796" t="s">
        <v>1009</v>
      </c>
      <c r="U648" s="773" t="s">
        <v>2054</v>
      </c>
      <c r="V648" s="773" t="s">
        <v>1033</v>
      </c>
      <c r="W648" s="773" t="s">
        <v>4633</v>
      </c>
      <c r="X648" s="829">
        <v>2</v>
      </c>
      <c r="Y648" s="826" t="s">
        <v>1010</v>
      </c>
      <c r="Z648" s="790"/>
      <c r="AA648" s="785"/>
      <c r="AB648" s="785"/>
      <c r="AC648" s="785"/>
      <c r="AD648" s="785"/>
      <c r="AE648" s="785"/>
      <c r="AF648" s="799"/>
      <c r="AG648" s="800"/>
      <c r="AH648" s="800"/>
      <c r="AI648" s="800"/>
      <c r="AJ648" s="800"/>
      <c r="AK648" s="800"/>
      <c r="AL648" s="800"/>
      <c r="AM648" s="800"/>
      <c r="AN648" s="800"/>
      <c r="AO648" s="800"/>
      <c r="AP648" s="800"/>
      <c r="AQ648" s="808">
        <v>0</v>
      </c>
      <c r="AR648" s="800">
        <v>2.77</v>
      </c>
      <c r="AS648" s="800">
        <v>5.79</v>
      </c>
      <c r="AT648" s="800">
        <v>6.04</v>
      </c>
      <c r="AU648" s="805">
        <v>6.29</v>
      </c>
      <c r="AV648" s="808"/>
      <c r="AW648" s="800"/>
      <c r="AX648" s="800"/>
      <c r="AY648" s="800"/>
      <c r="AZ648" s="800"/>
      <c r="BA648" s="800"/>
      <c r="BB648" s="800"/>
      <c r="BC648" s="800"/>
      <c r="BD648" s="800"/>
      <c r="BE648" s="800"/>
      <c r="BF648" s="800"/>
      <c r="BG648" s="800"/>
      <c r="BH648" s="800"/>
      <c r="BI648" s="800"/>
      <c r="BJ648" s="800"/>
      <c r="BK648" s="805"/>
      <c r="BL648" s="789" t="s">
        <v>168</v>
      </c>
      <c r="BM648" s="785" t="s">
        <v>168</v>
      </c>
      <c r="BN648" s="785" t="s">
        <v>168</v>
      </c>
      <c r="BO648" s="785" t="s">
        <v>168</v>
      </c>
      <c r="BP648" s="796" t="s">
        <v>168</v>
      </c>
      <c r="BQ648" s="808" t="s">
        <v>1942</v>
      </c>
      <c r="BR648" s="800" t="s">
        <v>1942</v>
      </c>
      <c r="BS648" s="800" t="s">
        <v>1942</v>
      </c>
      <c r="BT648" s="800" t="s">
        <v>1942</v>
      </c>
      <c r="BU648" s="805" t="s">
        <v>1942</v>
      </c>
      <c r="BV648" s="808" t="s">
        <v>1942</v>
      </c>
      <c r="BW648" s="800" t="s">
        <v>1942</v>
      </c>
      <c r="BX648" s="800" t="s">
        <v>1942</v>
      </c>
      <c r="BY648" s="800" t="s">
        <v>1942</v>
      </c>
      <c r="BZ648" s="800" t="s">
        <v>1942</v>
      </c>
      <c r="CA648" s="808" t="s">
        <v>1942</v>
      </c>
      <c r="CB648" s="800" t="s">
        <v>1942</v>
      </c>
      <c r="CC648" s="800" t="s">
        <v>1942</v>
      </c>
      <c r="CD648" s="800" t="s">
        <v>1942</v>
      </c>
      <c r="CE648" s="805" t="s">
        <v>1942</v>
      </c>
      <c r="CF648" s="800" t="s">
        <v>1942</v>
      </c>
      <c r="CG648" s="800" t="s">
        <v>1942</v>
      </c>
      <c r="CH648" s="800" t="s">
        <v>1942</v>
      </c>
      <c r="CI648" s="800" t="s">
        <v>1942</v>
      </c>
      <c r="CJ648" s="800" t="s">
        <v>1942</v>
      </c>
      <c r="CK648" s="808" t="s">
        <v>1942</v>
      </c>
      <c r="CL648" s="800" t="s">
        <v>1942</v>
      </c>
      <c r="CM648" s="800" t="s">
        <v>1942</v>
      </c>
      <c r="CN648" s="800" t="s">
        <v>1942</v>
      </c>
      <c r="CO648" s="805" t="s">
        <v>1942</v>
      </c>
      <c r="CP648" s="808" t="s">
        <v>1942</v>
      </c>
      <c r="CQ648" s="800" t="s">
        <v>1942</v>
      </c>
      <c r="CR648" s="800" t="s">
        <v>1942</v>
      </c>
      <c r="CS648" s="800" t="s">
        <v>1942</v>
      </c>
      <c r="CT648" s="805" t="s">
        <v>1942</v>
      </c>
      <c r="CU648" s="1284">
        <v>-1.47E-2</v>
      </c>
      <c r="CV648" s="1283" t="s">
        <v>1942</v>
      </c>
      <c r="CW648" s="1283" t="s">
        <v>1942</v>
      </c>
      <c r="CX648" s="1285" t="s">
        <v>1942</v>
      </c>
      <c r="CY648" s="1283">
        <v>1.47E-2</v>
      </c>
      <c r="CZ648" s="1283" t="s">
        <v>1942</v>
      </c>
      <c r="DA648" s="1283" t="s">
        <v>1942</v>
      </c>
      <c r="DB648" s="1285" t="s">
        <v>1942</v>
      </c>
      <c r="DC648" s="785"/>
      <c r="DD648" s="813">
        <v>1</v>
      </c>
      <c r="DE648" s="814"/>
    </row>
    <row r="649" spans="1:109" ht="15.75" hidden="1" customHeight="1">
      <c r="A649" s="772" t="s">
        <v>1057</v>
      </c>
      <c r="B649" s="773">
        <v>643</v>
      </c>
      <c r="C649" s="789" t="s">
        <v>4634</v>
      </c>
      <c r="D649" s="773" t="s">
        <v>4635</v>
      </c>
      <c r="E649" s="773" t="s">
        <v>1907</v>
      </c>
      <c r="F649" s="785">
        <v>10</v>
      </c>
      <c r="G649" s="790" t="s">
        <v>1935</v>
      </c>
      <c r="H649" s="791" t="s">
        <v>4636</v>
      </c>
      <c r="I649" s="792">
        <v>0</v>
      </c>
      <c r="J649" s="793">
        <v>0.26</v>
      </c>
      <c r="K649" s="793">
        <v>0.74</v>
      </c>
      <c r="L649" s="793">
        <v>0</v>
      </c>
      <c r="M649" s="793">
        <v>0</v>
      </c>
      <c r="N649" s="793">
        <v>0</v>
      </c>
      <c r="O649" s="793">
        <v>0</v>
      </c>
      <c r="P649" s="794">
        <v>0</v>
      </c>
      <c r="Q649" s="795">
        <f t="shared" ref="Q649:Q712" si="10">SUM(I649:P649)</f>
        <v>1</v>
      </c>
      <c r="R649" s="789" t="s">
        <v>1030</v>
      </c>
      <c r="S649" s="773" t="s">
        <v>1008</v>
      </c>
      <c r="T649" s="796" t="s">
        <v>1009</v>
      </c>
      <c r="U649" s="773" t="s">
        <v>1073</v>
      </c>
      <c r="V649" s="773" t="s">
        <v>1081</v>
      </c>
      <c r="W649" s="773" t="s">
        <v>3159</v>
      </c>
      <c r="X649" s="1274">
        <v>2</v>
      </c>
      <c r="Y649" s="826" t="s">
        <v>1010</v>
      </c>
      <c r="Z649" s="790" t="s">
        <v>1935</v>
      </c>
      <c r="AA649" s="785"/>
      <c r="AB649" s="785"/>
      <c r="AC649" s="785"/>
      <c r="AD649" s="785"/>
      <c r="AE649" s="785"/>
      <c r="AF649" s="799"/>
      <c r="AG649" s="800"/>
      <c r="AH649" s="800"/>
      <c r="AI649" s="800"/>
      <c r="AJ649" s="800"/>
      <c r="AK649" s="800"/>
      <c r="AL649" s="800"/>
      <c r="AM649" s="800"/>
      <c r="AN649" s="800"/>
      <c r="AO649" s="800"/>
      <c r="AP649" s="800"/>
      <c r="AQ649" s="1420"/>
      <c r="AR649" s="1368"/>
      <c r="AS649" s="1368"/>
      <c r="AT649" s="1368"/>
      <c r="AU649" s="1369"/>
      <c r="AV649" s="808"/>
      <c r="AW649" s="800"/>
      <c r="AX649" s="800"/>
      <c r="AY649" s="800"/>
      <c r="AZ649" s="800"/>
      <c r="BA649" s="800"/>
      <c r="BB649" s="800"/>
      <c r="BC649" s="800"/>
      <c r="BD649" s="800"/>
      <c r="BE649" s="800"/>
      <c r="BF649" s="800"/>
      <c r="BG649" s="800"/>
      <c r="BH649" s="800"/>
      <c r="BI649" s="800"/>
      <c r="BJ649" s="800"/>
      <c r="BK649" s="805"/>
      <c r="BL649" s="1376"/>
      <c r="BM649" s="1377"/>
      <c r="BN649" s="1377"/>
      <c r="BO649" s="1377"/>
      <c r="BP649" s="1440"/>
      <c r="BQ649" s="1420"/>
      <c r="BR649" s="1368"/>
      <c r="BS649" s="1368"/>
      <c r="BT649" s="1368"/>
      <c r="BU649" s="1369"/>
      <c r="BV649" s="1420"/>
      <c r="BW649" s="1368"/>
      <c r="BX649" s="1368"/>
      <c r="BY649" s="1368"/>
      <c r="BZ649" s="1368"/>
      <c r="CA649" s="1420"/>
      <c r="CB649" s="1368"/>
      <c r="CC649" s="1368"/>
      <c r="CD649" s="1368"/>
      <c r="CE649" s="1369"/>
      <c r="CF649" s="1368"/>
      <c r="CG649" s="1368"/>
      <c r="CH649" s="1368"/>
      <c r="CI649" s="1368"/>
      <c r="CJ649" s="1368"/>
      <c r="CK649" s="1420"/>
      <c r="CL649" s="1368"/>
      <c r="CM649" s="1368"/>
      <c r="CN649" s="1368"/>
      <c r="CO649" s="1369"/>
      <c r="CP649" s="1420"/>
      <c r="CQ649" s="1368"/>
      <c r="CR649" s="1368"/>
      <c r="CS649" s="1368"/>
      <c r="CT649" s="1369"/>
      <c r="CU649" s="1528"/>
      <c r="CV649" s="1519"/>
      <c r="CW649" s="1519"/>
      <c r="CX649" s="1728"/>
      <c r="CY649" s="1519"/>
      <c r="CZ649" s="1519"/>
      <c r="DA649" s="1519"/>
      <c r="DB649" s="1728"/>
      <c r="DC649" s="1377"/>
      <c r="DD649" s="1729"/>
      <c r="DE649" s="1734"/>
    </row>
    <row r="650" spans="1:109" ht="15.75" hidden="1" customHeight="1">
      <c r="A650" s="772" t="s">
        <v>1057</v>
      </c>
      <c r="B650" s="773">
        <v>644</v>
      </c>
      <c r="C650" s="789" t="s">
        <v>4637</v>
      </c>
      <c r="D650" s="773" t="s">
        <v>4592</v>
      </c>
      <c r="E650" s="773" t="s">
        <v>1907</v>
      </c>
      <c r="F650" s="785">
        <v>11</v>
      </c>
      <c r="G650" s="790" t="s">
        <v>4638</v>
      </c>
      <c r="H650" s="791" t="s">
        <v>4639</v>
      </c>
      <c r="I650" s="792">
        <v>0</v>
      </c>
      <c r="J650" s="793">
        <v>0</v>
      </c>
      <c r="K650" s="793">
        <v>0</v>
      </c>
      <c r="L650" s="793">
        <v>0</v>
      </c>
      <c r="M650" s="793">
        <v>1</v>
      </c>
      <c r="N650" s="793">
        <v>0</v>
      </c>
      <c r="O650" s="793">
        <v>0</v>
      </c>
      <c r="P650" s="794">
        <v>0</v>
      </c>
      <c r="Q650" s="795">
        <f t="shared" si="10"/>
        <v>1</v>
      </c>
      <c r="R650" s="789" t="s">
        <v>1007</v>
      </c>
      <c r="S650" s="773"/>
      <c r="T650" s="796"/>
      <c r="U650" s="773" t="s">
        <v>2117</v>
      </c>
      <c r="V650" s="773" t="s">
        <v>278</v>
      </c>
      <c r="W650" s="773" t="s">
        <v>4640</v>
      </c>
      <c r="X650" s="1309">
        <v>0</v>
      </c>
      <c r="Y650" s="826" t="s">
        <v>1010</v>
      </c>
      <c r="Z650" s="790"/>
      <c r="AA650" s="785"/>
      <c r="AB650" s="785"/>
      <c r="AC650" s="785"/>
      <c r="AD650" s="785"/>
      <c r="AE650" s="785"/>
      <c r="AF650" s="799"/>
      <c r="AG650" s="800"/>
      <c r="AH650" s="800"/>
      <c r="AI650" s="800"/>
      <c r="AJ650" s="800"/>
      <c r="AK650" s="800"/>
      <c r="AL650" s="800"/>
      <c r="AM650" s="800"/>
      <c r="AN650" s="800"/>
      <c r="AO650" s="800"/>
      <c r="AP650" s="800"/>
      <c r="AQ650" s="808">
        <v>81</v>
      </c>
      <c r="AR650" s="800">
        <v>82</v>
      </c>
      <c r="AS650" s="800">
        <v>83</v>
      </c>
      <c r="AT650" s="800">
        <v>84</v>
      </c>
      <c r="AU650" s="805">
        <v>85</v>
      </c>
      <c r="AV650" s="808"/>
      <c r="AW650" s="800"/>
      <c r="AX650" s="800"/>
      <c r="AY650" s="800"/>
      <c r="AZ650" s="800"/>
      <c r="BA650" s="800"/>
      <c r="BB650" s="800"/>
      <c r="BC650" s="800"/>
      <c r="BD650" s="800"/>
      <c r="BE650" s="800"/>
      <c r="BF650" s="800"/>
      <c r="BG650" s="800"/>
      <c r="BH650" s="800"/>
      <c r="BI650" s="800"/>
      <c r="BJ650" s="800"/>
      <c r="BK650" s="805"/>
      <c r="BL650" s="789"/>
      <c r="BM650" s="785"/>
      <c r="BN650" s="785"/>
      <c r="BO650" s="785"/>
      <c r="BP650" s="796"/>
      <c r="BQ650" s="808" t="s">
        <v>1942</v>
      </c>
      <c r="BR650" s="800" t="s">
        <v>1942</v>
      </c>
      <c r="BS650" s="800" t="s">
        <v>1942</v>
      </c>
      <c r="BT650" s="800" t="s">
        <v>1942</v>
      </c>
      <c r="BU650" s="805" t="s">
        <v>1942</v>
      </c>
      <c r="BV650" s="808" t="s">
        <v>1942</v>
      </c>
      <c r="BW650" s="800" t="s">
        <v>1942</v>
      </c>
      <c r="BX650" s="800" t="s">
        <v>1942</v>
      </c>
      <c r="BY650" s="800" t="s">
        <v>1942</v>
      </c>
      <c r="BZ650" s="800" t="s">
        <v>1942</v>
      </c>
      <c r="CA650" s="808" t="s">
        <v>1942</v>
      </c>
      <c r="CB650" s="800" t="s">
        <v>1942</v>
      </c>
      <c r="CC650" s="800" t="s">
        <v>1942</v>
      </c>
      <c r="CD650" s="800" t="s">
        <v>1942</v>
      </c>
      <c r="CE650" s="805" t="s">
        <v>1942</v>
      </c>
      <c r="CF650" s="800" t="s">
        <v>1942</v>
      </c>
      <c r="CG650" s="800" t="s">
        <v>1942</v>
      </c>
      <c r="CH650" s="800" t="s">
        <v>1942</v>
      </c>
      <c r="CI650" s="800" t="s">
        <v>1942</v>
      </c>
      <c r="CJ650" s="800" t="s">
        <v>1942</v>
      </c>
      <c r="CK650" s="808" t="s">
        <v>1942</v>
      </c>
      <c r="CL650" s="800" t="s">
        <v>1942</v>
      </c>
      <c r="CM650" s="800" t="s">
        <v>1942</v>
      </c>
      <c r="CN650" s="800" t="s">
        <v>1942</v>
      </c>
      <c r="CO650" s="805" t="s">
        <v>1942</v>
      </c>
      <c r="CP650" s="808" t="s">
        <v>1942</v>
      </c>
      <c r="CQ650" s="800" t="s">
        <v>1942</v>
      </c>
      <c r="CR650" s="800" t="s">
        <v>1942</v>
      </c>
      <c r="CS650" s="800" t="s">
        <v>1942</v>
      </c>
      <c r="CT650" s="805" t="s">
        <v>1942</v>
      </c>
      <c r="CU650" s="1284" t="s">
        <v>1942</v>
      </c>
      <c r="CV650" s="1283" t="s">
        <v>1942</v>
      </c>
      <c r="CW650" s="1283" t="s">
        <v>1942</v>
      </c>
      <c r="CX650" s="1285" t="s">
        <v>1942</v>
      </c>
      <c r="CY650" s="1283" t="s">
        <v>1942</v>
      </c>
      <c r="CZ650" s="1283" t="s">
        <v>1942</v>
      </c>
      <c r="DA650" s="1283" t="s">
        <v>1942</v>
      </c>
      <c r="DB650" s="1285" t="s">
        <v>1942</v>
      </c>
      <c r="DC650" s="785"/>
      <c r="DD650" s="813">
        <v>1</v>
      </c>
      <c r="DE650" s="814"/>
    </row>
    <row r="651" spans="1:109" ht="15.75" hidden="1" customHeight="1">
      <c r="A651" s="772" t="s">
        <v>1057</v>
      </c>
      <c r="B651" s="773">
        <v>645</v>
      </c>
      <c r="C651" s="789" t="s">
        <v>4641</v>
      </c>
      <c r="D651" s="773" t="s">
        <v>4635</v>
      </c>
      <c r="E651" s="773" t="s">
        <v>1896</v>
      </c>
      <c r="F651" s="785">
        <v>12</v>
      </c>
      <c r="G651" s="790" t="s">
        <v>4642</v>
      </c>
      <c r="H651" s="791" t="s">
        <v>4643</v>
      </c>
      <c r="I651" s="792">
        <v>0</v>
      </c>
      <c r="J651" s="793">
        <v>0</v>
      </c>
      <c r="K651" s="793">
        <v>0</v>
      </c>
      <c r="L651" s="793">
        <v>0</v>
      </c>
      <c r="M651" s="793">
        <v>1</v>
      </c>
      <c r="N651" s="793">
        <v>0</v>
      </c>
      <c r="O651" s="793">
        <v>0</v>
      </c>
      <c r="P651" s="794">
        <v>0</v>
      </c>
      <c r="Q651" s="795">
        <f t="shared" si="10"/>
        <v>1</v>
      </c>
      <c r="R651" s="789" t="s">
        <v>1007</v>
      </c>
      <c r="S651" s="773"/>
      <c r="T651" s="796"/>
      <c r="U651" s="773" t="s">
        <v>2117</v>
      </c>
      <c r="V651" s="773" t="s">
        <v>1033</v>
      </c>
      <c r="W651" s="773" t="s">
        <v>4644</v>
      </c>
      <c r="X651" s="829">
        <v>0</v>
      </c>
      <c r="Y651" s="826" t="s">
        <v>1010</v>
      </c>
      <c r="Z651" s="790"/>
      <c r="AA651" s="785"/>
      <c r="AB651" s="785"/>
      <c r="AC651" s="785"/>
      <c r="AD651" s="785"/>
      <c r="AE651" s="785"/>
      <c r="AF651" s="799"/>
      <c r="AG651" s="800"/>
      <c r="AH651" s="800"/>
      <c r="AI651" s="800"/>
      <c r="AJ651" s="800"/>
      <c r="AK651" s="800"/>
      <c r="AL651" s="800"/>
      <c r="AM651" s="800"/>
      <c r="AN651" s="800"/>
      <c r="AO651" s="800"/>
      <c r="AP651" s="800"/>
      <c r="AQ651" s="808">
        <v>58000</v>
      </c>
      <c r="AR651" s="800">
        <v>69000</v>
      </c>
      <c r="AS651" s="800">
        <v>75000</v>
      </c>
      <c r="AT651" s="800">
        <v>79000</v>
      </c>
      <c r="AU651" s="805">
        <v>83000</v>
      </c>
      <c r="AV651" s="808"/>
      <c r="AW651" s="800"/>
      <c r="AX651" s="800"/>
      <c r="AY651" s="800"/>
      <c r="AZ651" s="800"/>
      <c r="BA651" s="800"/>
      <c r="BB651" s="800"/>
      <c r="BC651" s="800"/>
      <c r="BD651" s="800"/>
      <c r="BE651" s="800"/>
      <c r="BF651" s="800"/>
      <c r="BG651" s="800"/>
      <c r="BH651" s="800"/>
      <c r="BI651" s="800"/>
      <c r="BJ651" s="800"/>
      <c r="BK651" s="805"/>
      <c r="BL651" s="789"/>
      <c r="BM651" s="785"/>
      <c r="BN651" s="785"/>
      <c r="BO651" s="785"/>
      <c r="BP651" s="796"/>
      <c r="BQ651" s="808" t="s">
        <v>1942</v>
      </c>
      <c r="BR651" s="800" t="s">
        <v>1942</v>
      </c>
      <c r="BS651" s="800" t="s">
        <v>1942</v>
      </c>
      <c r="BT651" s="800" t="s">
        <v>1942</v>
      </c>
      <c r="BU651" s="805" t="s">
        <v>1942</v>
      </c>
      <c r="BV651" s="808" t="s">
        <v>1942</v>
      </c>
      <c r="BW651" s="800" t="s">
        <v>1942</v>
      </c>
      <c r="BX651" s="800" t="s">
        <v>1942</v>
      </c>
      <c r="BY651" s="800" t="s">
        <v>1942</v>
      </c>
      <c r="BZ651" s="800" t="s">
        <v>1942</v>
      </c>
      <c r="CA651" s="808" t="s">
        <v>1942</v>
      </c>
      <c r="CB651" s="800" t="s">
        <v>1942</v>
      </c>
      <c r="CC651" s="800" t="s">
        <v>1942</v>
      </c>
      <c r="CD651" s="800" t="s">
        <v>1942</v>
      </c>
      <c r="CE651" s="805" t="s">
        <v>1942</v>
      </c>
      <c r="CF651" s="800" t="s">
        <v>1942</v>
      </c>
      <c r="CG651" s="800" t="s">
        <v>1942</v>
      </c>
      <c r="CH651" s="800" t="s">
        <v>1942</v>
      </c>
      <c r="CI651" s="800" t="s">
        <v>1942</v>
      </c>
      <c r="CJ651" s="800" t="s">
        <v>1942</v>
      </c>
      <c r="CK651" s="808" t="s">
        <v>1942</v>
      </c>
      <c r="CL651" s="800" t="s">
        <v>1942</v>
      </c>
      <c r="CM651" s="800" t="s">
        <v>1942</v>
      </c>
      <c r="CN651" s="800" t="s">
        <v>1942</v>
      </c>
      <c r="CO651" s="805" t="s">
        <v>1942</v>
      </c>
      <c r="CP651" s="808" t="s">
        <v>1942</v>
      </c>
      <c r="CQ651" s="800" t="s">
        <v>1942</v>
      </c>
      <c r="CR651" s="800" t="s">
        <v>1942</v>
      </c>
      <c r="CS651" s="800" t="s">
        <v>1942</v>
      </c>
      <c r="CT651" s="805" t="s">
        <v>1942</v>
      </c>
      <c r="CU651" s="1284" t="s">
        <v>1942</v>
      </c>
      <c r="CV651" s="1283" t="s">
        <v>1942</v>
      </c>
      <c r="CW651" s="1283" t="s">
        <v>1942</v>
      </c>
      <c r="CX651" s="1285" t="s">
        <v>1942</v>
      </c>
      <c r="CY651" s="1283" t="s">
        <v>1942</v>
      </c>
      <c r="CZ651" s="1283" t="s">
        <v>1942</v>
      </c>
      <c r="DA651" s="1283" t="s">
        <v>1942</v>
      </c>
      <c r="DB651" s="1285" t="s">
        <v>1942</v>
      </c>
      <c r="DC651" s="785"/>
      <c r="DD651" s="813">
        <v>1</v>
      </c>
      <c r="DE651" s="814"/>
    </row>
    <row r="652" spans="1:109" ht="15.75" hidden="1" customHeight="1">
      <c r="A652" s="772" t="s">
        <v>1057</v>
      </c>
      <c r="B652" s="773">
        <v>646</v>
      </c>
      <c r="C652" s="789" t="s">
        <v>4645</v>
      </c>
      <c r="D652" s="773" t="s">
        <v>4592</v>
      </c>
      <c r="E652" s="773" t="s">
        <v>1896</v>
      </c>
      <c r="F652" s="785">
        <v>13</v>
      </c>
      <c r="G652" s="790" t="s">
        <v>4646</v>
      </c>
      <c r="H652" s="791" t="s">
        <v>4647</v>
      </c>
      <c r="I652" s="792">
        <v>0</v>
      </c>
      <c r="J652" s="793">
        <v>0</v>
      </c>
      <c r="K652" s="793">
        <v>0</v>
      </c>
      <c r="L652" s="793">
        <v>0</v>
      </c>
      <c r="M652" s="793">
        <v>1</v>
      </c>
      <c r="N652" s="793">
        <v>0</v>
      </c>
      <c r="O652" s="793">
        <v>0</v>
      </c>
      <c r="P652" s="794">
        <v>0</v>
      </c>
      <c r="Q652" s="795">
        <f t="shared" si="10"/>
        <v>1</v>
      </c>
      <c r="R652" s="789" t="s">
        <v>1007</v>
      </c>
      <c r="S652" s="773"/>
      <c r="T652" s="796"/>
      <c r="U652" s="773" t="s">
        <v>2117</v>
      </c>
      <c r="V652" s="773" t="s">
        <v>278</v>
      </c>
      <c r="W652" s="773" t="s">
        <v>4648</v>
      </c>
      <c r="X652" s="829">
        <v>2</v>
      </c>
      <c r="Y652" s="826" t="s">
        <v>1020</v>
      </c>
      <c r="Z652" s="790"/>
      <c r="AA652" s="785"/>
      <c r="AB652" s="785"/>
      <c r="AC652" s="785"/>
      <c r="AD652" s="785"/>
      <c r="AE652" s="785"/>
      <c r="AF652" s="799"/>
      <c r="AG652" s="800"/>
      <c r="AH652" s="800"/>
      <c r="AI652" s="800"/>
      <c r="AJ652" s="800"/>
      <c r="AK652" s="800"/>
      <c r="AL652" s="800"/>
      <c r="AM652" s="800"/>
      <c r="AN652" s="800"/>
      <c r="AO652" s="800"/>
      <c r="AP652" s="800"/>
      <c r="AQ652" s="808">
        <v>3.23</v>
      </c>
      <c r="AR652" s="800">
        <v>3.37</v>
      </c>
      <c r="AS652" s="800">
        <v>3.48</v>
      </c>
      <c r="AT652" s="800">
        <v>3.61</v>
      </c>
      <c r="AU652" s="805">
        <v>3.75</v>
      </c>
      <c r="AV652" s="808"/>
      <c r="AW652" s="800"/>
      <c r="AX652" s="800"/>
      <c r="AY652" s="800"/>
      <c r="AZ652" s="800"/>
      <c r="BA652" s="800"/>
      <c r="BB652" s="800"/>
      <c r="BC652" s="800"/>
      <c r="BD652" s="800"/>
      <c r="BE652" s="800"/>
      <c r="BF652" s="800"/>
      <c r="BG652" s="800"/>
      <c r="BH652" s="800"/>
      <c r="BI652" s="800"/>
      <c r="BJ652" s="800"/>
      <c r="BK652" s="805"/>
      <c r="BL652" s="789"/>
      <c r="BM652" s="785"/>
      <c r="BN652" s="785"/>
      <c r="BO652" s="785"/>
      <c r="BP652" s="796"/>
      <c r="BQ652" s="808" t="s">
        <v>1942</v>
      </c>
      <c r="BR652" s="800" t="s">
        <v>1942</v>
      </c>
      <c r="BS652" s="800" t="s">
        <v>1942</v>
      </c>
      <c r="BT652" s="800" t="s">
        <v>1942</v>
      </c>
      <c r="BU652" s="805" t="s">
        <v>1942</v>
      </c>
      <c r="BV652" s="808" t="s">
        <v>1942</v>
      </c>
      <c r="BW652" s="800" t="s">
        <v>1942</v>
      </c>
      <c r="BX652" s="800" t="s">
        <v>1942</v>
      </c>
      <c r="BY652" s="800" t="s">
        <v>1942</v>
      </c>
      <c r="BZ652" s="800" t="s">
        <v>1942</v>
      </c>
      <c r="CA652" s="808" t="s">
        <v>1942</v>
      </c>
      <c r="CB652" s="800" t="s">
        <v>1942</v>
      </c>
      <c r="CC652" s="800" t="s">
        <v>1942</v>
      </c>
      <c r="CD652" s="800" t="s">
        <v>1942</v>
      </c>
      <c r="CE652" s="805" t="s">
        <v>1942</v>
      </c>
      <c r="CF652" s="800" t="s">
        <v>1942</v>
      </c>
      <c r="CG652" s="800" t="s">
        <v>1942</v>
      </c>
      <c r="CH652" s="800" t="s">
        <v>1942</v>
      </c>
      <c r="CI652" s="800" t="s">
        <v>1942</v>
      </c>
      <c r="CJ652" s="800" t="s">
        <v>1942</v>
      </c>
      <c r="CK652" s="808" t="s">
        <v>1942</v>
      </c>
      <c r="CL652" s="800" t="s">
        <v>1942</v>
      </c>
      <c r="CM652" s="800" t="s">
        <v>1942</v>
      </c>
      <c r="CN652" s="800" t="s">
        <v>1942</v>
      </c>
      <c r="CO652" s="805" t="s">
        <v>1942</v>
      </c>
      <c r="CP652" s="808" t="s">
        <v>1942</v>
      </c>
      <c r="CQ652" s="800" t="s">
        <v>1942</v>
      </c>
      <c r="CR652" s="800" t="s">
        <v>1942</v>
      </c>
      <c r="CS652" s="800" t="s">
        <v>1942</v>
      </c>
      <c r="CT652" s="805" t="s">
        <v>1942</v>
      </c>
      <c r="CU652" s="1284" t="s">
        <v>1942</v>
      </c>
      <c r="CV652" s="1283" t="s">
        <v>1942</v>
      </c>
      <c r="CW652" s="1283" t="s">
        <v>1942</v>
      </c>
      <c r="CX652" s="1285" t="s">
        <v>1942</v>
      </c>
      <c r="CY652" s="1283" t="s">
        <v>1942</v>
      </c>
      <c r="CZ652" s="1283" t="s">
        <v>1942</v>
      </c>
      <c r="DA652" s="1283" t="s">
        <v>1942</v>
      </c>
      <c r="DB652" s="1285" t="s">
        <v>1942</v>
      </c>
      <c r="DC652" s="785"/>
      <c r="DD652" s="813">
        <v>1</v>
      </c>
      <c r="DE652" s="814"/>
    </row>
    <row r="653" spans="1:109" ht="15.75" hidden="1" customHeight="1">
      <c r="A653" s="772" t="s">
        <v>1057</v>
      </c>
      <c r="B653" s="773">
        <v>647</v>
      </c>
      <c r="C653" s="789" t="s">
        <v>4649</v>
      </c>
      <c r="D653" s="773" t="s">
        <v>4635</v>
      </c>
      <c r="E653" s="773" t="s">
        <v>1907</v>
      </c>
      <c r="F653" s="785">
        <v>14</v>
      </c>
      <c r="G653" s="790" t="s">
        <v>4650</v>
      </c>
      <c r="H653" s="791" t="s">
        <v>4651</v>
      </c>
      <c r="I653" s="792">
        <v>0</v>
      </c>
      <c r="J653" s="793">
        <v>0</v>
      </c>
      <c r="K653" s="793">
        <v>0</v>
      </c>
      <c r="L653" s="793">
        <v>0</v>
      </c>
      <c r="M653" s="793">
        <v>1</v>
      </c>
      <c r="N653" s="793">
        <v>0</v>
      </c>
      <c r="O653" s="793">
        <v>0</v>
      </c>
      <c r="P653" s="794">
        <v>0</v>
      </c>
      <c r="Q653" s="795">
        <f t="shared" si="10"/>
        <v>1</v>
      </c>
      <c r="R653" s="789" t="s">
        <v>1007</v>
      </c>
      <c r="S653" s="773"/>
      <c r="T653" s="796"/>
      <c r="U653" s="773" t="s">
        <v>2117</v>
      </c>
      <c r="V653" s="773" t="s">
        <v>278</v>
      </c>
      <c r="W653" s="773" t="s">
        <v>2119</v>
      </c>
      <c r="X653" s="829">
        <v>0</v>
      </c>
      <c r="Y653" s="826" t="s">
        <v>1010</v>
      </c>
      <c r="Z653" s="790"/>
      <c r="AA653" s="785"/>
      <c r="AB653" s="785"/>
      <c r="AC653" s="785"/>
      <c r="AD653" s="785"/>
      <c r="AE653" s="785"/>
      <c r="AF653" s="799"/>
      <c r="AG653" s="800"/>
      <c r="AH653" s="800"/>
      <c r="AI653" s="800"/>
      <c r="AJ653" s="800"/>
      <c r="AK653" s="800"/>
      <c r="AL653" s="800"/>
      <c r="AM653" s="800"/>
      <c r="AN653" s="800"/>
      <c r="AO653" s="800"/>
      <c r="AP653" s="800"/>
      <c r="AQ653" s="808">
        <v>50</v>
      </c>
      <c r="AR653" s="800">
        <v>54</v>
      </c>
      <c r="AS653" s="800">
        <v>58</v>
      </c>
      <c r="AT653" s="800">
        <v>62</v>
      </c>
      <c r="AU653" s="805">
        <v>65</v>
      </c>
      <c r="AV653" s="808"/>
      <c r="AW653" s="800"/>
      <c r="AX653" s="800"/>
      <c r="AY653" s="800"/>
      <c r="AZ653" s="800"/>
      <c r="BA653" s="800"/>
      <c r="BB653" s="800"/>
      <c r="BC653" s="800"/>
      <c r="BD653" s="800"/>
      <c r="BE653" s="800"/>
      <c r="BF653" s="800"/>
      <c r="BG653" s="800"/>
      <c r="BH653" s="800"/>
      <c r="BI653" s="800"/>
      <c r="BJ653" s="800"/>
      <c r="BK653" s="805"/>
      <c r="BL653" s="789"/>
      <c r="BM653" s="785"/>
      <c r="BN653" s="785"/>
      <c r="BO653" s="785"/>
      <c r="BP653" s="796"/>
      <c r="BQ653" s="808" t="s">
        <v>1942</v>
      </c>
      <c r="BR653" s="800" t="s">
        <v>1942</v>
      </c>
      <c r="BS653" s="800" t="s">
        <v>1942</v>
      </c>
      <c r="BT653" s="800" t="s">
        <v>1942</v>
      </c>
      <c r="BU653" s="805" t="s">
        <v>1942</v>
      </c>
      <c r="BV653" s="808" t="s">
        <v>1942</v>
      </c>
      <c r="BW653" s="800" t="s">
        <v>1942</v>
      </c>
      <c r="BX653" s="800" t="s">
        <v>1942</v>
      </c>
      <c r="BY653" s="800" t="s">
        <v>1942</v>
      </c>
      <c r="BZ653" s="800" t="s">
        <v>1942</v>
      </c>
      <c r="CA653" s="808" t="s">
        <v>1942</v>
      </c>
      <c r="CB653" s="800" t="s">
        <v>1942</v>
      </c>
      <c r="CC653" s="800" t="s">
        <v>1942</v>
      </c>
      <c r="CD653" s="800" t="s">
        <v>1942</v>
      </c>
      <c r="CE653" s="805" t="s">
        <v>1942</v>
      </c>
      <c r="CF653" s="800" t="s">
        <v>1942</v>
      </c>
      <c r="CG653" s="800" t="s">
        <v>1942</v>
      </c>
      <c r="CH653" s="800" t="s">
        <v>1942</v>
      </c>
      <c r="CI653" s="800" t="s">
        <v>1942</v>
      </c>
      <c r="CJ653" s="800" t="s">
        <v>1942</v>
      </c>
      <c r="CK653" s="808" t="s">
        <v>1942</v>
      </c>
      <c r="CL653" s="800" t="s">
        <v>1942</v>
      </c>
      <c r="CM653" s="800" t="s">
        <v>1942</v>
      </c>
      <c r="CN653" s="800" t="s">
        <v>1942</v>
      </c>
      <c r="CO653" s="805" t="s">
        <v>1942</v>
      </c>
      <c r="CP653" s="808" t="s">
        <v>1942</v>
      </c>
      <c r="CQ653" s="800" t="s">
        <v>1942</v>
      </c>
      <c r="CR653" s="800" t="s">
        <v>1942</v>
      </c>
      <c r="CS653" s="800" t="s">
        <v>1942</v>
      </c>
      <c r="CT653" s="805" t="s">
        <v>1942</v>
      </c>
      <c r="CU653" s="1284" t="s">
        <v>1942</v>
      </c>
      <c r="CV653" s="1283" t="s">
        <v>1942</v>
      </c>
      <c r="CW653" s="1283" t="s">
        <v>1942</v>
      </c>
      <c r="CX653" s="1285" t="s">
        <v>1942</v>
      </c>
      <c r="CY653" s="1283" t="s">
        <v>1942</v>
      </c>
      <c r="CZ653" s="1283" t="s">
        <v>1942</v>
      </c>
      <c r="DA653" s="1283" t="s">
        <v>1942</v>
      </c>
      <c r="DB653" s="1285" t="s">
        <v>1942</v>
      </c>
      <c r="DC653" s="785"/>
      <c r="DD653" s="813">
        <v>1</v>
      </c>
      <c r="DE653" s="814"/>
    </row>
    <row r="654" spans="1:109" ht="15.75" hidden="1" customHeight="1">
      <c r="A654" s="772" t="s">
        <v>1057</v>
      </c>
      <c r="B654" s="773">
        <v>648</v>
      </c>
      <c r="C654" s="789" t="s">
        <v>4652</v>
      </c>
      <c r="D654" s="773" t="s">
        <v>4635</v>
      </c>
      <c r="E654" s="773" t="s">
        <v>1907</v>
      </c>
      <c r="F654" s="785">
        <v>15</v>
      </c>
      <c r="G654" s="790" t="s">
        <v>4653</v>
      </c>
      <c r="H654" s="791" t="s">
        <v>4654</v>
      </c>
      <c r="I654" s="792">
        <v>0</v>
      </c>
      <c r="J654" s="793">
        <v>0</v>
      </c>
      <c r="K654" s="793">
        <v>0</v>
      </c>
      <c r="L654" s="793">
        <v>0</v>
      </c>
      <c r="M654" s="793">
        <v>1</v>
      </c>
      <c r="N654" s="793">
        <v>0</v>
      </c>
      <c r="O654" s="793">
        <v>0</v>
      </c>
      <c r="P654" s="794">
        <v>0</v>
      </c>
      <c r="Q654" s="795">
        <f t="shared" si="10"/>
        <v>1</v>
      </c>
      <c r="R654" s="789" t="s">
        <v>1007</v>
      </c>
      <c r="S654" s="773"/>
      <c r="T654" s="796"/>
      <c r="U654" s="773" t="s">
        <v>2117</v>
      </c>
      <c r="V654" s="773" t="s">
        <v>278</v>
      </c>
      <c r="W654" s="773" t="s">
        <v>4655</v>
      </c>
      <c r="X654" s="829">
        <v>0</v>
      </c>
      <c r="Y654" s="826" t="s">
        <v>1010</v>
      </c>
      <c r="Z654" s="790"/>
      <c r="AA654" s="785"/>
      <c r="AB654" s="785"/>
      <c r="AC654" s="785"/>
      <c r="AD654" s="785"/>
      <c r="AE654" s="785"/>
      <c r="AF654" s="799"/>
      <c r="AG654" s="800"/>
      <c r="AH654" s="800"/>
      <c r="AI654" s="800"/>
      <c r="AJ654" s="800"/>
      <c r="AK654" s="800"/>
      <c r="AL654" s="800"/>
      <c r="AM654" s="800"/>
      <c r="AN654" s="800"/>
      <c r="AO654" s="800"/>
      <c r="AP654" s="800"/>
      <c r="AQ654" s="808">
        <v>82</v>
      </c>
      <c r="AR654" s="800">
        <v>84</v>
      </c>
      <c r="AS654" s="800">
        <v>88</v>
      </c>
      <c r="AT654" s="800">
        <v>92</v>
      </c>
      <c r="AU654" s="805">
        <v>95</v>
      </c>
      <c r="AV654" s="808"/>
      <c r="AW654" s="800"/>
      <c r="AX654" s="800"/>
      <c r="AY654" s="800"/>
      <c r="AZ654" s="800"/>
      <c r="BA654" s="800"/>
      <c r="BB654" s="800"/>
      <c r="BC654" s="800"/>
      <c r="BD654" s="800"/>
      <c r="BE654" s="800"/>
      <c r="BF654" s="800"/>
      <c r="BG654" s="800"/>
      <c r="BH654" s="800"/>
      <c r="BI654" s="800"/>
      <c r="BJ654" s="800"/>
      <c r="BK654" s="805"/>
      <c r="BL654" s="789"/>
      <c r="BM654" s="785"/>
      <c r="BN654" s="785"/>
      <c r="BO654" s="785"/>
      <c r="BP654" s="796"/>
      <c r="BQ654" s="808" t="s">
        <v>1942</v>
      </c>
      <c r="BR654" s="800" t="s">
        <v>1942</v>
      </c>
      <c r="BS654" s="800" t="s">
        <v>1942</v>
      </c>
      <c r="BT654" s="800" t="s">
        <v>1942</v>
      </c>
      <c r="BU654" s="805" t="s">
        <v>1942</v>
      </c>
      <c r="BV654" s="808" t="s">
        <v>1942</v>
      </c>
      <c r="BW654" s="800" t="s">
        <v>1942</v>
      </c>
      <c r="BX654" s="800" t="s">
        <v>1942</v>
      </c>
      <c r="BY654" s="800" t="s">
        <v>1942</v>
      </c>
      <c r="BZ654" s="800" t="s">
        <v>1942</v>
      </c>
      <c r="CA654" s="808" t="s">
        <v>1942</v>
      </c>
      <c r="CB654" s="800" t="s">
        <v>1942</v>
      </c>
      <c r="CC654" s="800" t="s">
        <v>1942</v>
      </c>
      <c r="CD654" s="800" t="s">
        <v>1942</v>
      </c>
      <c r="CE654" s="805" t="s">
        <v>1942</v>
      </c>
      <c r="CF654" s="800" t="s">
        <v>1942</v>
      </c>
      <c r="CG654" s="800" t="s">
        <v>1942</v>
      </c>
      <c r="CH654" s="800" t="s">
        <v>1942</v>
      </c>
      <c r="CI654" s="800" t="s">
        <v>1942</v>
      </c>
      <c r="CJ654" s="800" t="s">
        <v>1942</v>
      </c>
      <c r="CK654" s="808" t="s">
        <v>1942</v>
      </c>
      <c r="CL654" s="800" t="s">
        <v>1942</v>
      </c>
      <c r="CM654" s="800" t="s">
        <v>1942</v>
      </c>
      <c r="CN654" s="800" t="s">
        <v>1942</v>
      </c>
      <c r="CO654" s="805" t="s">
        <v>1942</v>
      </c>
      <c r="CP654" s="808" t="s">
        <v>1942</v>
      </c>
      <c r="CQ654" s="800" t="s">
        <v>1942</v>
      </c>
      <c r="CR654" s="800" t="s">
        <v>1942</v>
      </c>
      <c r="CS654" s="800" t="s">
        <v>1942</v>
      </c>
      <c r="CT654" s="805" t="s">
        <v>1942</v>
      </c>
      <c r="CU654" s="1284" t="s">
        <v>1942</v>
      </c>
      <c r="CV654" s="1283" t="s">
        <v>1942</v>
      </c>
      <c r="CW654" s="1283" t="s">
        <v>1942</v>
      </c>
      <c r="CX654" s="1285" t="s">
        <v>1942</v>
      </c>
      <c r="CY654" s="1283" t="s">
        <v>1942</v>
      </c>
      <c r="CZ654" s="1283" t="s">
        <v>1942</v>
      </c>
      <c r="DA654" s="1283" t="s">
        <v>1942</v>
      </c>
      <c r="DB654" s="1285" t="s">
        <v>1942</v>
      </c>
      <c r="DC654" s="785"/>
      <c r="DD654" s="813">
        <v>1</v>
      </c>
      <c r="DE654" s="814"/>
    </row>
    <row r="655" spans="1:109" ht="15.75" hidden="1" customHeight="1">
      <c r="A655" s="772" t="s">
        <v>1057</v>
      </c>
      <c r="B655" s="773">
        <v>649</v>
      </c>
      <c r="C655" s="789" t="s">
        <v>4656</v>
      </c>
      <c r="D655" s="773" t="s">
        <v>4635</v>
      </c>
      <c r="E655" s="773" t="s">
        <v>1907</v>
      </c>
      <c r="F655" s="785">
        <v>16</v>
      </c>
      <c r="G655" s="790" t="s">
        <v>4657</v>
      </c>
      <c r="H655" s="791" t="s">
        <v>4658</v>
      </c>
      <c r="I655" s="792">
        <v>0</v>
      </c>
      <c r="J655" s="793">
        <v>0</v>
      </c>
      <c r="K655" s="793">
        <v>0</v>
      </c>
      <c r="L655" s="793">
        <v>0</v>
      </c>
      <c r="M655" s="793">
        <v>1</v>
      </c>
      <c r="N655" s="793">
        <v>0</v>
      </c>
      <c r="O655" s="793">
        <v>0</v>
      </c>
      <c r="P655" s="794">
        <v>0</v>
      </c>
      <c r="Q655" s="795">
        <f t="shared" si="10"/>
        <v>1</v>
      </c>
      <c r="R655" s="789" t="s">
        <v>1007</v>
      </c>
      <c r="S655" s="773"/>
      <c r="T655" s="796"/>
      <c r="U655" s="773" t="s">
        <v>2117</v>
      </c>
      <c r="V655" s="773" t="s">
        <v>278</v>
      </c>
      <c r="W655" s="773" t="s">
        <v>4659</v>
      </c>
      <c r="X655" s="829">
        <v>0</v>
      </c>
      <c r="Y655" s="826" t="s">
        <v>1010</v>
      </c>
      <c r="Z655" s="790"/>
      <c r="AA655" s="785"/>
      <c r="AB655" s="785"/>
      <c r="AC655" s="785"/>
      <c r="AD655" s="785"/>
      <c r="AE655" s="785"/>
      <c r="AF655" s="799"/>
      <c r="AG655" s="800"/>
      <c r="AH655" s="800"/>
      <c r="AI655" s="800"/>
      <c r="AJ655" s="800"/>
      <c r="AK655" s="800"/>
      <c r="AL655" s="800"/>
      <c r="AM655" s="800"/>
      <c r="AN655" s="800"/>
      <c r="AO655" s="800"/>
      <c r="AP655" s="800"/>
      <c r="AQ655" s="808">
        <v>4</v>
      </c>
      <c r="AR655" s="800">
        <v>8</v>
      </c>
      <c r="AS655" s="800">
        <v>12</v>
      </c>
      <c r="AT655" s="800">
        <v>16</v>
      </c>
      <c r="AU655" s="805">
        <v>20</v>
      </c>
      <c r="AV655" s="808"/>
      <c r="AW655" s="800"/>
      <c r="AX655" s="800"/>
      <c r="AY655" s="800"/>
      <c r="AZ655" s="800"/>
      <c r="BA655" s="800"/>
      <c r="BB655" s="800"/>
      <c r="BC655" s="800"/>
      <c r="BD655" s="800"/>
      <c r="BE655" s="800"/>
      <c r="BF655" s="800"/>
      <c r="BG655" s="800"/>
      <c r="BH655" s="800"/>
      <c r="BI655" s="800"/>
      <c r="BJ655" s="800"/>
      <c r="BK655" s="805"/>
      <c r="BL655" s="789"/>
      <c r="BM655" s="785"/>
      <c r="BN655" s="785"/>
      <c r="BO655" s="785"/>
      <c r="BP655" s="796"/>
      <c r="BQ655" s="808" t="s">
        <v>1942</v>
      </c>
      <c r="BR655" s="800" t="s">
        <v>1942</v>
      </c>
      <c r="BS655" s="800" t="s">
        <v>1942</v>
      </c>
      <c r="BT655" s="800" t="s">
        <v>1942</v>
      </c>
      <c r="BU655" s="805" t="s">
        <v>1942</v>
      </c>
      <c r="BV655" s="808" t="s">
        <v>1942</v>
      </c>
      <c r="BW655" s="800" t="s">
        <v>1942</v>
      </c>
      <c r="BX655" s="800" t="s">
        <v>1942</v>
      </c>
      <c r="BY655" s="800" t="s">
        <v>1942</v>
      </c>
      <c r="BZ655" s="800" t="s">
        <v>1942</v>
      </c>
      <c r="CA655" s="808" t="s">
        <v>1942</v>
      </c>
      <c r="CB655" s="800" t="s">
        <v>1942</v>
      </c>
      <c r="CC655" s="800" t="s">
        <v>1942</v>
      </c>
      <c r="CD655" s="800" t="s">
        <v>1942</v>
      </c>
      <c r="CE655" s="805" t="s">
        <v>1942</v>
      </c>
      <c r="CF655" s="800" t="s">
        <v>1942</v>
      </c>
      <c r="CG655" s="800" t="s">
        <v>1942</v>
      </c>
      <c r="CH655" s="800" t="s">
        <v>1942</v>
      </c>
      <c r="CI655" s="800" t="s">
        <v>1942</v>
      </c>
      <c r="CJ655" s="800" t="s">
        <v>1942</v>
      </c>
      <c r="CK655" s="808" t="s">
        <v>1942</v>
      </c>
      <c r="CL655" s="800" t="s">
        <v>1942</v>
      </c>
      <c r="CM655" s="800" t="s">
        <v>1942</v>
      </c>
      <c r="CN655" s="800" t="s">
        <v>1942</v>
      </c>
      <c r="CO655" s="805" t="s">
        <v>1942</v>
      </c>
      <c r="CP655" s="808" t="s">
        <v>1942</v>
      </c>
      <c r="CQ655" s="800" t="s">
        <v>1942</v>
      </c>
      <c r="CR655" s="800" t="s">
        <v>1942</v>
      </c>
      <c r="CS655" s="800" t="s">
        <v>1942</v>
      </c>
      <c r="CT655" s="805" t="s">
        <v>1942</v>
      </c>
      <c r="CU655" s="1284" t="s">
        <v>1942</v>
      </c>
      <c r="CV655" s="1283" t="s">
        <v>1942</v>
      </c>
      <c r="CW655" s="1283" t="s">
        <v>1942</v>
      </c>
      <c r="CX655" s="1285" t="s">
        <v>1942</v>
      </c>
      <c r="CY655" s="1283" t="s">
        <v>1942</v>
      </c>
      <c r="CZ655" s="1283" t="s">
        <v>1942</v>
      </c>
      <c r="DA655" s="1283" t="s">
        <v>1942</v>
      </c>
      <c r="DB655" s="1285" t="s">
        <v>1942</v>
      </c>
      <c r="DC655" s="785"/>
      <c r="DD655" s="813">
        <v>1</v>
      </c>
      <c r="DE655" s="814"/>
    </row>
    <row r="656" spans="1:109" ht="15.75" hidden="1" customHeight="1">
      <c r="A656" s="772" t="s">
        <v>1057</v>
      </c>
      <c r="B656" s="773">
        <v>650</v>
      </c>
      <c r="C656" s="789" t="s">
        <v>4660</v>
      </c>
      <c r="D656" s="773" t="s">
        <v>4592</v>
      </c>
      <c r="E656" s="773" t="s">
        <v>1907</v>
      </c>
      <c r="F656" s="785">
        <v>17</v>
      </c>
      <c r="G656" s="790" t="s">
        <v>2574</v>
      </c>
      <c r="H656" s="791" t="s">
        <v>4661</v>
      </c>
      <c r="I656" s="792">
        <v>0</v>
      </c>
      <c r="J656" s="793">
        <v>0</v>
      </c>
      <c r="K656" s="793">
        <v>0</v>
      </c>
      <c r="L656" s="793">
        <v>0</v>
      </c>
      <c r="M656" s="793">
        <v>1</v>
      </c>
      <c r="N656" s="793">
        <v>0</v>
      </c>
      <c r="O656" s="793">
        <v>0</v>
      </c>
      <c r="P656" s="794">
        <v>0</v>
      </c>
      <c r="Q656" s="795">
        <f t="shared" si="10"/>
        <v>1</v>
      </c>
      <c r="R656" s="789" t="s">
        <v>1026</v>
      </c>
      <c r="S656" s="773" t="s">
        <v>1008</v>
      </c>
      <c r="T656" s="796" t="s">
        <v>1009</v>
      </c>
      <c r="U656" s="773" t="s">
        <v>2117</v>
      </c>
      <c r="V656" s="773" t="s">
        <v>278</v>
      </c>
      <c r="W656" s="773" t="s">
        <v>4662</v>
      </c>
      <c r="X656" s="829">
        <v>0</v>
      </c>
      <c r="Y656" s="826" t="s">
        <v>1010</v>
      </c>
      <c r="Z656" s="790"/>
      <c r="AA656" s="785"/>
      <c r="AB656" s="785"/>
      <c r="AC656" s="785"/>
      <c r="AD656" s="785"/>
      <c r="AE656" s="785"/>
      <c r="AF656" s="799"/>
      <c r="AG656" s="800"/>
      <c r="AH656" s="800"/>
      <c r="AI656" s="800"/>
      <c r="AJ656" s="800"/>
      <c r="AK656" s="800"/>
      <c r="AL656" s="800"/>
      <c r="AM656" s="800"/>
      <c r="AN656" s="800"/>
      <c r="AO656" s="800"/>
      <c r="AP656" s="800"/>
      <c r="AQ656" s="808">
        <v>80</v>
      </c>
      <c r="AR656" s="800">
        <v>83</v>
      </c>
      <c r="AS656" s="800">
        <v>86</v>
      </c>
      <c r="AT656" s="800">
        <v>90</v>
      </c>
      <c r="AU656" s="805">
        <v>94</v>
      </c>
      <c r="AV656" s="808"/>
      <c r="AW656" s="800"/>
      <c r="AX656" s="800"/>
      <c r="AY656" s="800"/>
      <c r="AZ656" s="800"/>
      <c r="BA656" s="800"/>
      <c r="BB656" s="800"/>
      <c r="BC656" s="800"/>
      <c r="BD656" s="800"/>
      <c r="BE656" s="800"/>
      <c r="BF656" s="800"/>
      <c r="BG656" s="800"/>
      <c r="BH656" s="800"/>
      <c r="BI656" s="800"/>
      <c r="BJ656" s="800"/>
      <c r="BK656" s="805"/>
      <c r="BL656" s="789" t="s">
        <v>168</v>
      </c>
      <c r="BM656" s="785" t="s">
        <v>168</v>
      </c>
      <c r="BN656" s="785" t="s">
        <v>168</v>
      </c>
      <c r="BO656" s="785" t="s">
        <v>168</v>
      </c>
      <c r="BP656" s="796" t="s">
        <v>168</v>
      </c>
      <c r="BQ656" s="808" t="s">
        <v>1942</v>
      </c>
      <c r="BR656" s="800" t="s">
        <v>1942</v>
      </c>
      <c r="BS656" s="800" t="s">
        <v>1942</v>
      </c>
      <c r="BT656" s="800" t="s">
        <v>1942</v>
      </c>
      <c r="BU656" s="805" t="s">
        <v>1942</v>
      </c>
      <c r="BV656" s="808" t="s">
        <v>1942</v>
      </c>
      <c r="BW656" s="800" t="s">
        <v>1942</v>
      </c>
      <c r="BX656" s="800" t="s">
        <v>1942</v>
      </c>
      <c r="BY656" s="800" t="s">
        <v>1942</v>
      </c>
      <c r="BZ656" s="800" t="s">
        <v>1942</v>
      </c>
      <c r="CA656" s="808" t="s">
        <v>1942</v>
      </c>
      <c r="CB656" s="800" t="s">
        <v>1942</v>
      </c>
      <c r="CC656" s="800" t="s">
        <v>1942</v>
      </c>
      <c r="CD656" s="800" t="s">
        <v>1942</v>
      </c>
      <c r="CE656" s="805" t="s">
        <v>1942</v>
      </c>
      <c r="CF656" s="800" t="s">
        <v>1942</v>
      </c>
      <c r="CG656" s="800" t="s">
        <v>1942</v>
      </c>
      <c r="CH656" s="800" t="s">
        <v>1942</v>
      </c>
      <c r="CI656" s="800" t="s">
        <v>1942</v>
      </c>
      <c r="CJ656" s="800" t="s">
        <v>1942</v>
      </c>
      <c r="CK656" s="808" t="s">
        <v>1942</v>
      </c>
      <c r="CL656" s="800" t="s">
        <v>1942</v>
      </c>
      <c r="CM656" s="800" t="s">
        <v>1942</v>
      </c>
      <c r="CN656" s="800" t="s">
        <v>1942</v>
      </c>
      <c r="CO656" s="805" t="s">
        <v>1942</v>
      </c>
      <c r="CP656" s="808" t="s">
        <v>1942</v>
      </c>
      <c r="CQ656" s="800" t="s">
        <v>1942</v>
      </c>
      <c r="CR656" s="800" t="s">
        <v>1942</v>
      </c>
      <c r="CS656" s="800" t="s">
        <v>1942</v>
      </c>
      <c r="CT656" s="805" t="s">
        <v>1942</v>
      </c>
      <c r="CU656" s="1284">
        <v>-1.84E-2</v>
      </c>
      <c r="CV656" s="1283" t="s">
        <v>1942</v>
      </c>
      <c r="CW656" s="1283" t="s">
        <v>1942</v>
      </c>
      <c r="CX656" s="1285" t="s">
        <v>1942</v>
      </c>
      <c r="CY656" s="1283" t="s">
        <v>1942</v>
      </c>
      <c r="CZ656" s="1283" t="s">
        <v>1942</v>
      </c>
      <c r="DA656" s="1283" t="s">
        <v>1942</v>
      </c>
      <c r="DB656" s="1285" t="s">
        <v>1942</v>
      </c>
      <c r="DC656" s="785"/>
      <c r="DD656" s="813">
        <v>1</v>
      </c>
      <c r="DE656" s="814"/>
    </row>
    <row r="657" spans="1:109" ht="15.75" hidden="1" customHeight="1">
      <c r="A657" s="772" t="s">
        <v>1057</v>
      </c>
      <c r="B657" s="773">
        <v>651</v>
      </c>
      <c r="C657" s="789" t="s">
        <v>4663</v>
      </c>
      <c r="D657" s="773" t="s">
        <v>4592</v>
      </c>
      <c r="E657" s="773" t="s">
        <v>1907</v>
      </c>
      <c r="F657" s="785">
        <v>18</v>
      </c>
      <c r="G657" s="790" t="s">
        <v>2125</v>
      </c>
      <c r="H657" s="791" t="s">
        <v>4664</v>
      </c>
      <c r="I657" s="792">
        <v>0</v>
      </c>
      <c r="J657" s="793">
        <v>0</v>
      </c>
      <c r="K657" s="793">
        <v>0</v>
      </c>
      <c r="L657" s="793">
        <v>0</v>
      </c>
      <c r="M657" s="793">
        <v>1</v>
      </c>
      <c r="N657" s="793">
        <v>0</v>
      </c>
      <c r="O657" s="793">
        <v>0</v>
      </c>
      <c r="P657" s="794">
        <v>0</v>
      </c>
      <c r="Q657" s="795">
        <f t="shared" si="10"/>
        <v>1</v>
      </c>
      <c r="R657" s="789" t="s">
        <v>1030</v>
      </c>
      <c r="S657" s="773" t="s">
        <v>1008</v>
      </c>
      <c r="T657" s="796" t="s">
        <v>1009</v>
      </c>
      <c r="U657" s="773" t="s">
        <v>2117</v>
      </c>
      <c r="V657" s="773" t="s">
        <v>278</v>
      </c>
      <c r="W657" s="773" t="s">
        <v>4665</v>
      </c>
      <c r="X657" s="1274">
        <v>2</v>
      </c>
      <c r="Y657" s="826" t="s">
        <v>1020</v>
      </c>
      <c r="Z657" s="790"/>
      <c r="AA657" s="785"/>
      <c r="AB657" s="785"/>
      <c r="AC657" s="785"/>
      <c r="AD657" s="785"/>
      <c r="AE657" s="785"/>
      <c r="AF657" s="799"/>
      <c r="AG657" s="800"/>
      <c r="AH657" s="800"/>
      <c r="AI657" s="800"/>
      <c r="AJ657" s="800"/>
      <c r="AK657" s="800"/>
      <c r="AL657" s="800"/>
      <c r="AM657" s="800"/>
      <c r="AN657" s="800"/>
      <c r="AO657" s="800"/>
      <c r="AP657" s="800"/>
      <c r="AQ657" s="806">
        <v>4.5</v>
      </c>
      <c r="AR657" s="807">
        <v>4.33</v>
      </c>
      <c r="AS657" s="807">
        <v>4.1500000000000004</v>
      </c>
      <c r="AT657" s="807">
        <v>3.98</v>
      </c>
      <c r="AU657" s="820">
        <v>3.8</v>
      </c>
      <c r="AV657" s="808"/>
      <c r="AW657" s="800"/>
      <c r="AX657" s="800"/>
      <c r="AY657" s="800"/>
      <c r="AZ657" s="800"/>
      <c r="BA657" s="800"/>
      <c r="BB657" s="800"/>
      <c r="BC657" s="800"/>
      <c r="BD657" s="800"/>
      <c r="BE657" s="800"/>
      <c r="BF657" s="800"/>
      <c r="BG657" s="800"/>
      <c r="BH657" s="800"/>
      <c r="BI657" s="800"/>
      <c r="BJ657" s="800"/>
      <c r="BK657" s="805"/>
      <c r="BL657" s="789" t="s">
        <v>168</v>
      </c>
      <c r="BM657" s="785" t="s">
        <v>168</v>
      </c>
      <c r="BN657" s="785" t="s">
        <v>168</v>
      </c>
      <c r="BO657" s="785" t="s">
        <v>168</v>
      </c>
      <c r="BP657" s="796" t="s">
        <v>168</v>
      </c>
      <c r="BQ657" s="808" t="s">
        <v>1942</v>
      </c>
      <c r="BR657" s="800" t="s">
        <v>1942</v>
      </c>
      <c r="BS657" s="800" t="s">
        <v>1942</v>
      </c>
      <c r="BT657" s="800" t="s">
        <v>1942</v>
      </c>
      <c r="BU657" s="805" t="s">
        <v>1942</v>
      </c>
      <c r="BV657" s="806">
        <v>5.13</v>
      </c>
      <c r="BW657" s="807">
        <v>5.13</v>
      </c>
      <c r="BX657" s="807">
        <v>5.13</v>
      </c>
      <c r="BY657" s="807">
        <v>5.13</v>
      </c>
      <c r="BZ657" s="807">
        <v>5.13</v>
      </c>
      <c r="CA657" s="808" t="s">
        <v>1942</v>
      </c>
      <c r="CB657" s="800" t="s">
        <v>1942</v>
      </c>
      <c r="CC657" s="800" t="s">
        <v>1942</v>
      </c>
      <c r="CD657" s="800" t="s">
        <v>1942</v>
      </c>
      <c r="CE657" s="805" t="s">
        <v>1942</v>
      </c>
      <c r="CF657" s="800" t="s">
        <v>1942</v>
      </c>
      <c r="CG657" s="800" t="s">
        <v>1942</v>
      </c>
      <c r="CH657" s="800" t="s">
        <v>1942</v>
      </c>
      <c r="CI657" s="800" t="s">
        <v>1942</v>
      </c>
      <c r="CJ657" s="800" t="s">
        <v>1942</v>
      </c>
      <c r="CK657" s="808">
        <v>3.87</v>
      </c>
      <c r="CL657" s="800">
        <v>3.53</v>
      </c>
      <c r="CM657" s="800">
        <v>3.17</v>
      </c>
      <c r="CN657" s="800">
        <v>2.83</v>
      </c>
      <c r="CO657" s="805">
        <v>2.4700000000000002</v>
      </c>
      <c r="CP657" s="808" t="s">
        <v>1942</v>
      </c>
      <c r="CQ657" s="800" t="s">
        <v>1942</v>
      </c>
      <c r="CR657" s="800" t="s">
        <v>1942</v>
      </c>
      <c r="CS657" s="800" t="s">
        <v>1942</v>
      </c>
      <c r="CT657" s="805" t="s">
        <v>1942</v>
      </c>
      <c r="CU657" s="1284">
        <v>-3.6160000000000001</v>
      </c>
      <c r="CV657" s="1283" t="s">
        <v>1942</v>
      </c>
      <c r="CW657" s="1283" t="s">
        <v>1942</v>
      </c>
      <c r="CX657" s="1285" t="s">
        <v>1942</v>
      </c>
      <c r="CY657" s="1283">
        <v>3.6160000000000001</v>
      </c>
      <c r="CZ657" s="1283" t="s">
        <v>1942</v>
      </c>
      <c r="DA657" s="1283" t="s">
        <v>1942</v>
      </c>
      <c r="DB657" s="1285" t="s">
        <v>1942</v>
      </c>
      <c r="DC657" s="785"/>
      <c r="DD657" s="813">
        <v>1</v>
      </c>
      <c r="DE657" s="814"/>
    </row>
    <row r="658" spans="1:109" ht="15.75" hidden="1" customHeight="1">
      <c r="A658" s="772" t="s">
        <v>1057</v>
      </c>
      <c r="B658" s="773">
        <v>652</v>
      </c>
      <c r="C658" s="789" t="s">
        <v>4666</v>
      </c>
      <c r="D658" s="773" t="s">
        <v>4635</v>
      </c>
      <c r="E658" s="773" t="s">
        <v>1907</v>
      </c>
      <c r="F658" s="785">
        <v>19</v>
      </c>
      <c r="G658" s="790" t="s">
        <v>1931</v>
      </c>
      <c r="H658" s="791" t="s">
        <v>4667</v>
      </c>
      <c r="I658" s="792">
        <v>0</v>
      </c>
      <c r="J658" s="793">
        <v>0</v>
      </c>
      <c r="K658" s="793">
        <v>0</v>
      </c>
      <c r="L658" s="793">
        <v>0</v>
      </c>
      <c r="M658" s="793">
        <v>1</v>
      </c>
      <c r="N658" s="793">
        <v>0</v>
      </c>
      <c r="O658" s="793">
        <v>0</v>
      </c>
      <c r="P658" s="794">
        <v>0</v>
      </c>
      <c r="Q658" s="795">
        <f t="shared" si="10"/>
        <v>1</v>
      </c>
      <c r="R658" s="789" t="s">
        <v>1030</v>
      </c>
      <c r="S658" s="773" t="s">
        <v>1008</v>
      </c>
      <c r="T658" s="796" t="s">
        <v>1009</v>
      </c>
      <c r="U658" s="773" t="s">
        <v>1069</v>
      </c>
      <c r="V658" s="773" t="s">
        <v>1081</v>
      </c>
      <c r="W658" s="773" t="s">
        <v>3170</v>
      </c>
      <c r="X658" s="1274">
        <v>2</v>
      </c>
      <c r="Y658" s="826" t="s">
        <v>1010</v>
      </c>
      <c r="Z658" s="790" t="s">
        <v>1931</v>
      </c>
      <c r="AA658" s="785"/>
      <c r="AB658" s="785"/>
      <c r="AC658" s="785"/>
      <c r="AD658" s="785"/>
      <c r="AE658" s="785"/>
      <c r="AF658" s="799"/>
      <c r="AG658" s="800"/>
      <c r="AH658" s="800"/>
      <c r="AI658" s="800"/>
      <c r="AJ658" s="800"/>
      <c r="AK658" s="800"/>
      <c r="AL658" s="800"/>
      <c r="AM658" s="800"/>
      <c r="AN658" s="800"/>
      <c r="AO658" s="800"/>
      <c r="AP658" s="800"/>
      <c r="AQ658" s="1420"/>
      <c r="AR658" s="1368"/>
      <c r="AS658" s="1368"/>
      <c r="AT658" s="1368"/>
      <c r="AU658" s="1369"/>
      <c r="AV658" s="808"/>
      <c r="AW658" s="800"/>
      <c r="AX658" s="800"/>
      <c r="AY658" s="800"/>
      <c r="AZ658" s="800"/>
      <c r="BA658" s="800"/>
      <c r="BB658" s="800"/>
      <c r="BC658" s="800"/>
      <c r="BD658" s="800"/>
      <c r="BE658" s="800"/>
      <c r="BF658" s="800"/>
      <c r="BG658" s="800"/>
      <c r="BH658" s="800"/>
      <c r="BI658" s="800"/>
      <c r="BJ658" s="800"/>
      <c r="BK658" s="805"/>
      <c r="BL658" s="1376"/>
      <c r="BM658" s="1377"/>
      <c r="BN658" s="1377"/>
      <c r="BO658" s="1377"/>
      <c r="BP658" s="1440"/>
      <c r="BQ658" s="1420"/>
      <c r="BR658" s="1368"/>
      <c r="BS658" s="1368"/>
      <c r="BT658" s="1368"/>
      <c r="BU658" s="1369"/>
      <c r="BV658" s="1420"/>
      <c r="BW658" s="1368"/>
      <c r="BX658" s="1368"/>
      <c r="BY658" s="1368"/>
      <c r="BZ658" s="1368"/>
      <c r="CA658" s="1420"/>
      <c r="CB658" s="1368"/>
      <c r="CC658" s="1368"/>
      <c r="CD658" s="1368"/>
      <c r="CE658" s="1369"/>
      <c r="CF658" s="1368"/>
      <c r="CG658" s="1368"/>
      <c r="CH658" s="1368"/>
      <c r="CI658" s="1368"/>
      <c r="CJ658" s="1368"/>
      <c r="CK658" s="1420"/>
      <c r="CL658" s="1368"/>
      <c r="CM658" s="1368"/>
      <c r="CN658" s="1368"/>
      <c r="CO658" s="1369"/>
      <c r="CP658" s="1420"/>
      <c r="CQ658" s="1368"/>
      <c r="CR658" s="1368"/>
      <c r="CS658" s="1368"/>
      <c r="CT658" s="1369"/>
      <c r="CU658" s="1528"/>
      <c r="CV658" s="1519"/>
      <c r="CW658" s="1519"/>
      <c r="CX658" s="1728"/>
      <c r="CY658" s="1519"/>
      <c r="CZ658" s="1519"/>
      <c r="DA658" s="1519"/>
      <c r="DB658" s="1728"/>
      <c r="DC658" s="1377"/>
      <c r="DD658" s="1729"/>
      <c r="DE658" s="1734"/>
    </row>
    <row r="659" spans="1:109" ht="15.75" hidden="1" customHeight="1">
      <c r="A659" s="772" t="s">
        <v>1057</v>
      </c>
      <c r="B659" s="773">
        <v>653</v>
      </c>
      <c r="C659" s="789" t="s">
        <v>4668</v>
      </c>
      <c r="D659" s="773" t="s">
        <v>4622</v>
      </c>
      <c r="E659" s="773" t="s">
        <v>1889</v>
      </c>
      <c r="F659" s="785">
        <v>20</v>
      </c>
      <c r="G659" s="790" t="s">
        <v>130</v>
      </c>
      <c r="H659" s="791" t="s">
        <v>4669</v>
      </c>
      <c r="I659" s="792">
        <v>0</v>
      </c>
      <c r="J659" s="793">
        <v>1</v>
      </c>
      <c r="K659" s="793">
        <v>0</v>
      </c>
      <c r="L659" s="793">
        <v>0</v>
      </c>
      <c r="M659" s="793">
        <v>0</v>
      </c>
      <c r="N659" s="793">
        <v>0</v>
      </c>
      <c r="O659" s="793">
        <v>0</v>
      </c>
      <c r="P659" s="794">
        <v>0</v>
      </c>
      <c r="Q659" s="795">
        <f t="shared" si="10"/>
        <v>1</v>
      </c>
      <c r="R659" s="789" t="s">
        <v>1026</v>
      </c>
      <c r="S659" s="773" t="s">
        <v>1008</v>
      </c>
      <c r="T659" s="796" t="s">
        <v>1009</v>
      </c>
      <c r="U659" s="773" t="s">
        <v>1926</v>
      </c>
      <c r="V659" s="773" t="s">
        <v>1081</v>
      </c>
      <c r="W659" s="773" t="s">
        <v>4670</v>
      </c>
      <c r="X659" s="829">
        <v>2</v>
      </c>
      <c r="Y659" s="826" t="s">
        <v>1020</v>
      </c>
      <c r="Z659" s="790" t="s">
        <v>130</v>
      </c>
      <c r="AA659" s="785"/>
      <c r="AB659" s="785"/>
      <c r="AC659" s="785"/>
      <c r="AD659" s="785"/>
      <c r="AE659" s="785"/>
      <c r="AF659" s="799"/>
      <c r="AG659" s="800"/>
      <c r="AH659" s="800"/>
      <c r="AI659" s="800"/>
      <c r="AJ659" s="800"/>
      <c r="AK659" s="800"/>
      <c r="AL659" s="800"/>
      <c r="AM659" s="800"/>
      <c r="AN659" s="800"/>
      <c r="AO659" s="800"/>
      <c r="AP659" s="800"/>
      <c r="AQ659" s="1421"/>
      <c r="AR659" s="1373"/>
      <c r="AS659" s="1373"/>
      <c r="AT659" s="1373"/>
      <c r="AU659" s="1374"/>
      <c r="AV659" s="808"/>
      <c r="AW659" s="800"/>
      <c r="AX659" s="800"/>
      <c r="AY659" s="800"/>
      <c r="AZ659" s="800"/>
      <c r="BA659" s="800"/>
      <c r="BB659" s="800"/>
      <c r="BC659" s="800"/>
      <c r="BD659" s="800"/>
      <c r="BE659" s="800"/>
      <c r="BF659" s="800"/>
      <c r="BG659" s="800"/>
      <c r="BH659" s="800"/>
      <c r="BI659" s="800"/>
      <c r="BJ659" s="800"/>
      <c r="BK659" s="805"/>
      <c r="BL659" s="1376"/>
      <c r="BM659" s="1377"/>
      <c r="BN659" s="1377"/>
      <c r="BO659" s="1377"/>
      <c r="BP659" s="1440"/>
      <c r="BQ659" s="1420"/>
      <c r="BR659" s="1368"/>
      <c r="BS659" s="1368"/>
      <c r="BT659" s="1368"/>
      <c r="BU659" s="1369"/>
      <c r="BV659" s="1420"/>
      <c r="BW659" s="1368"/>
      <c r="BX659" s="1368"/>
      <c r="BY659" s="1368"/>
      <c r="BZ659" s="1368"/>
      <c r="CA659" s="1420"/>
      <c r="CB659" s="1368"/>
      <c r="CC659" s="1368"/>
      <c r="CD659" s="1368"/>
      <c r="CE659" s="1369"/>
      <c r="CF659" s="1368"/>
      <c r="CG659" s="1368"/>
      <c r="CH659" s="1368"/>
      <c r="CI659" s="1368"/>
      <c r="CJ659" s="1368"/>
      <c r="CK659" s="1420"/>
      <c r="CL659" s="1368"/>
      <c r="CM659" s="1368"/>
      <c r="CN659" s="1368"/>
      <c r="CO659" s="1369"/>
      <c r="CP659" s="1420"/>
      <c r="CQ659" s="1368"/>
      <c r="CR659" s="1368"/>
      <c r="CS659" s="1368"/>
      <c r="CT659" s="1369"/>
      <c r="CU659" s="1528"/>
      <c r="CV659" s="1519"/>
      <c r="CW659" s="1519"/>
      <c r="CX659" s="1728"/>
      <c r="CY659" s="1519"/>
      <c r="CZ659" s="1519"/>
      <c r="DA659" s="1519"/>
      <c r="DB659" s="1728"/>
      <c r="DC659" s="1377"/>
      <c r="DD659" s="1729"/>
      <c r="DE659" s="1734"/>
    </row>
    <row r="660" spans="1:109" ht="15.75" hidden="1" customHeight="1">
      <c r="A660" s="772" t="s">
        <v>1057</v>
      </c>
      <c r="B660" s="773">
        <v>654</v>
      </c>
      <c r="C660" s="789" t="s">
        <v>4671</v>
      </c>
      <c r="D660" s="773" t="s">
        <v>4622</v>
      </c>
      <c r="E660" s="773" t="s">
        <v>1889</v>
      </c>
      <c r="F660" s="785">
        <v>21</v>
      </c>
      <c r="G660" s="790" t="s">
        <v>137</v>
      </c>
      <c r="H660" s="791" t="s">
        <v>4672</v>
      </c>
      <c r="I660" s="792">
        <v>0</v>
      </c>
      <c r="J660" s="793">
        <v>1</v>
      </c>
      <c r="K660" s="793">
        <v>0</v>
      </c>
      <c r="L660" s="793">
        <v>0</v>
      </c>
      <c r="M660" s="793">
        <v>0</v>
      </c>
      <c r="N660" s="793">
        <v>0</v>
      </c>
      <c r="O660" s="793">
        <v>0</v>
      </c>
      <c r="P660" s="794">
        <v>0</v>
      </c>
      <c r="Q660" s="795">
        <f t="shared" si="10"/>
        <v>1</v>
      </c>
      <c r="R660" s="789" t="s">
        <v>1030</v>
      </c>
      <c r="S660" s="773" t="s">
        <v>1008</v>
      </c>
      <c r="T660" s="796" t="s">
        <v>1009</v>
      </c>
      <c r="U660" s="773" t="s">
        <v>1892</v>
      </c>
      <c r="V660" s="773" t="s">
        <v>1029</v>
      </c>
      <c r="W660" s="773" t="s">
        <v>4673</v>
      </c>
      <c r="X660" s="833">
        <v>0</v>
      </c>
      <c r="Y660" s="826" t="s">
        <v>1020</v>
      </c>
      <c r="Z660" s="790" t="s">
        <v>137</v>
      </c>
      <c r="AA660" s="785"/>
      <c r="AB660" s="785"/>
      <c r="AC660" s="785"/>
      <c r="AD660" s="785"/>
      <c r="AE660" s="785"/>
      <c r="AF660" s="799"/>
      <c r="AG660" s="800"/>
      <c r="AH660" s="800"/>
      <c r="AI660" s="800"/>
      <c r="AJ660" s="800"/>
      <c r="AK660" s="800"/>
      <c r="AL660" s="800"/>
      <c r="AM660" s="845"/>
      <c r="AN660" s="845"/>
      <c r="AO660" s="845"/>
      <c r="AP660" s="845"/>
      <c r="AQ660" s="1370"/>
      <c r="AR660" s="1371"/>
      <c r="AS660" s="1371"/>
      <c r="AT660" s="1371"/>
      <c r="AU660" s="1372"/>
      <c r="AV660" s="846"/>
      <c r="AW660" s="845"/>
      <c r="AX660" s="845"/>
      <c r="AY660" s="845"/>
      <c r="AZ660" s="845"/>
      <c r="BA660" s="845"/>
      <c r="BB660" s="845"/>
      <c r="BC660" s="845"/>
      <c r="BD660" s="845"/>
      <c r="BE660" s="845"/>
      <c r="BF660" s="845"/>
      <c r="BG660" s="845"/>
      <c r="BH660" s="845"/>
      <c r="BI660" s="845"/>
      <c r="BJ660" s="845"/>
      <c r="BK660" s="847"/>
      <c r="BL660" s="1376"/>
      <c r="BM660" s="1377"/>
      <c r="BN660" s="1377"/>
      <c r="BO660" s="1377"/>
      <c r="BP660" s="1440"/>
      <c r="BQ660" s="1370"/>
      <c r="BR660" s="1371"/>
      <c r="BS660" s="1371"/>
      <c r="BT660" s="1371"/>
      <c r="BU660" s="1372"/>
      <c r="BV660" s="1370"/>
      <c r="BW660" s="1371"/>
      <c r="BX660" s="1371"/>
      <c r="BY660" s="1371"/>
      <c r="BZ660" s="1371"/>
      <c r="CA660" s="1370"/>
      <c r="CB660" s="1371"/>
      <c r="CC660" s="1371"/>
      <c r="CD660" s="1371"/>
      <c r="CE660" s="1372"/>
      <c r="CF660" s="1368"/>
      <c r="CG660" s="1368"/>
      <c r="CH660" s="1368"/>
      <c r="CI660" s="1368"/>
      <c r="CJ660" s="1368"/>
      <c r="CK660" s="1370"/>
      <c r="CL660" s="1371"/>
      <c r="CM660" s="1371"/>
      <c r="CN660" s="1371"/>
      <c r="CO660" s="1372"/>
      <c r="CP660" s="1370"/>
      <c r="CQ660" s="1371"/>
      <c r="CR660" s="1371"/>
      <c r="CS660" s="1371"/>
      <c r="CT660" s="1372"/>
      <c r="CU660" s="1528"/>
      <c r="CV660" s="1519"/>
      <c r="CW660" s="1519"/>
      <c r="CX660" s="1728"/>
      <c r="CY660" s="1519"/>
      <c r="CZ660" s="1519"/>
      <c r="DA660" s="1519"/>
      <c r="DB660" s="1728"/>
      <c r="DC660" s="1377"/>
      <c r="DD660" s="1729"/>
      <c r="DE660" s="1734"/>
    </row>
    <row r="661" spans="1:109" ht="15" hidden="1" customHeight="1">
      <c r="A661" s="772" t="s">
        <v>1057</v>
      </c>
      <c r="B661" s="773">
        <v>655</v>
      </c>
      <c r="C661" s="789" t="s">
        <v>4674</v>
      </c>
      <c r="D661" s="773" t="s">
        <v>4622</v>
      </c>
      <c r="E661" s="773" t="s">
        <v>1889</v>
      </c>
      <c r="F661" s="785">
        <v>22</v>
      </c>
      <c r="G661" s="790" t="s">
        <v>669</v>
      </c>
      <c r="H661" s="791" t="s">
        <v>4675</v>
      </c>
      <c r="I661" s="792">
        <v>0</v>
      </c>
      <c r="J661" s="793">
        <v>1</v>
      </c>
      <c r="K661" s="793">
        <v>0</v>
      </c>
      <c r="L661" s="793">
        <v>0</v>
      </c>
      <c r="M661" s="793">
        <v>0</v>
      </c>
      <c r="N661" s="793">
        <v>0</v>
      </c>
      <c r="O661" s="793">
        <v>0</v>
      </c>
      <c r="P661" s="794">
        <v>0</v>
      </c>
      <c r="Q661" s="795">
        <f t="shared" si="10"/>
        <v>1</v>
      </c>
      <c r="R661" s="789" t="s">
        <v>1030</v>
      </c>
      <c r="S661" s="773" t="s">
        <v>1008</v>
      </c>
      <c r="T661" s="796" t="s">
        <v>1009</v>
      </c>
      <c r="U661" s="773" t="s">
        <v>669</v>
      </c>
      <c r="V661" s="773" t="s">
        <v>1033</v>
      </c>
      <c r="W661" s="773" t="s">
        <v>4676</v>
      </c>
      <c r="X661" s="829">
        <v>1</v>
      </c>
      <c r="Y661" s="821" t="s">
        <v>1020</v>
      </c>
      <c r="Z661" s="790" t="s">
        <v>669</v>
      </c>
      <c r="AA661" s="785"/>
      <c r="AB661" s="785"/>
      <c r="AC661" s="785"/>
      <c r="AD661" s="785"/>
      <c r="AE661" s="785"/>
      <c r="AF661" s="799"/>
      <c r="AG661" s="800"/>
      <c r="AH661" s="800"/>
      <c r="AI661" s="800"/>
      <c r="AJ661" s="800"/>
      <c r="AK661" s="800"/>
      <c r="AL661" s="800"/>
      <c r="AM661" s="800"/>
      <c r="AN661" s="800"/>
      <c r="AO661" s="800"/>
      <c r="AP661" s="800"/>
      <c r="AQ661" s="1421"/>
      <c r="AR661" s="1373"/>
      <c r="AS661" s="1373"/>
      <c r="AT661" s="1373"/>
      <c r="AU661" s="1374"/>
      <c r="AV661" s="808"/>
      <c r="AW661" s="800"/>
      <c r="AX661" s="800"/>
      <c r="AY661" s="800"/>
      <c r="AZ661" s="800"/>
      <c r="BA661" s="800"/>
      <c r="BB661" s="800"/>
      <c r="BC661" s="800"/>
      <c r="BD661" s="800"/>
      <c r="BE661" s="800"/>
      <c r="BF661" s="800"/>
      <c r="BG661" s="800"/>
      <c r="BH661" s="800"/>
      <c r="BI661" s="800"/>
      <c r="BJ661" s="800"/>
      <c r="BK661" s="805"/>
      <c r="BL661" s="1376"/>
      <c r="BM661" s="1377"/>
      <c r="BN661" s="1377"/>
      <c r="BO661" s="1377"/>
      <c r="BP661" s="1440"/>
      <c r="BQ661" s="1793"/>
      <c r="BR661" s="1794"/>
      <c r="BS661" s="1794"/>
      <c r="BT661" s="1794"/>
      <c r="BU661" s="1795"/>
      <c r="BV661" s="1421"/>
      <c r="BW661" s="1373"/>
      <c r="BX661" s="1373"/>
      <c r="BY661" s="1373"/>
      <c r="BZ661" s="1373"/>
      <c r="CA661" s="1420"/>
      <c r="CB661" s="1368"/>
      <c r="CC661" s="1368"/>
      <c r="CD661" s="1368"/>
      <c r="CE661" s="1369"/>
      <c r="CF661" s="1368"/>
      <c r="CG661" s="1368"/>
      <c r="CH661" s="1368"/>
      <c r="CI661" s="1368"/>
      <c r="CJ661" s="1368"/>
      <c r="CK661" s="1421"/>
      <c r="CL661" s="1373"/>
      <c r="CM661" s="1373"/>
      <c r="CN661" s="1373"/>
      <c r="CO661" s="1374"/>
      <c r="CP661" s="1370"/>
      <c r="CQ661" s="1371"/>
      <c r="CR661" s="1371"/>
      <c r="CS661" s="1371"/>
      <c r="CT661" s="1372"/>
      <c r="CU661" s="1528"/>
      <c r="CV661" s="1519"/>
      <c r="CW661" s="1519"/>
      <c r="CX661" s="1728"/>
      <c r="CY661" s="1519"/>
      <c r="CZ661" s="1519"/>
      <c r="DA661" s="1519"/>
      <c r="DB661" s="1728"/>
      <c r="DC661" s="1377"/>
      <c r="DD661" s="1729"/>
      <c r="DE661" s="1734"/>
    </row>
    <row r="662" spans="1:109" ht="15.75" hidden="1" customHeight="1">
      <c r="A662" s="772" t="s">
        <v>1057</v>
      </c>
      <c r="B662" s="773">
        <v>656</v>
      </c>
      <c r="C662" s="789" t="s">
        <v>4677</v>
      </c>
      <c r="D662" s="773" t="s">
        <v>4622</v>
      </c>
      <c r="E662" s="773" t="s">
        <v>1907</v>
      </c>
      <c r="F662" s="785">
        <v>23</v>
      </c>
      <c r="G662" s="790" t="s">
        <v>167</v>
      </c>
      <c r="H662" s="791" t="s">
        <v>4678</v>
      </c>
      <c r="I662" s="792">
        <v>0</v>
      </c>
      <c r="J662" s="793">
        <v>1</v>
      </c>
      <c r="K662" s="793">
        <v>0</v>
      </c>
      <c r="L662" s="793">
        <v>0</v>
      </c>
      <c r="M662" s="793">
        <v>0</v>
      </c>
      <c r="N662" s="793">
        <v>0</v>
      </c>
      <c r="O662" s="793">
        <v>0</v>
      </c>
      <c r="P662" s="794">
        <v>0</v>
      </c>
      <c r="Q662" s="795">
        <f t="shared" si="10"/>
        <v>1</v>
      </c>
      <c r="R662" s="789" t="s">
        <v>1026</v>
      </c>
      <c r="S662" s="773" t="s">
        <v>1008</v>
      </c>
      <c r="T662" s="796" t="s">
        <v>1009</v>
      </c>
      <c r="U662" s="773" t="s">
        <v>1915</v>
      </c>
      <c r="V662" s="773" t="s">
        <v>278</v>
      </c>
      <c r="W662" s="773" t="s">
        <v>4679</v>
      </c>
      <c r="X662" s="829">
        <v>2</v>
      </c>
      <c r="Y662" s="819" t="s">
        <v>1020</v>
      </c>
      <c r="Z662" s="790" t="s">
        <v>167</v>
      </c>
      <c r="AA662" s="785"/>
      <c r="AB662" s="785"/>
      <c r="AC662" s="785"/>
      <c r="AD662" s="785"/>
      <c r="AE662" s="785"/>
      <c r="AF662" s="799"/>
      <c r="AG662" s="800"/>
      <c r="AH662" s="800"/>
      <c r="AI662" s="800"/>
      <c r="AJ662" s="800"/>
      <c r="AK662" s="800"/>
      <c r="AL662" s="800"/>
      <c r="AM662" s="800"/>
      <c r="AN662" s="800"/>
      <c r="AO662" s="800"/>
      <c r="AP662" s="800"/>
      <c r="AQ662" s="1421"/>
      <c r="AR662" s="1373"/>
      <c r="AS662" s="1373"/>
      <c r="AT662" s="1373"/>
      <c r="AU662" s="1374"/>
      <c r="AV662" s="808"/>
      <c r="AW662" s="800"/>
      <c r="AX662" s="800"/>
      <c r="AY662" s="800"/>
      <c r="AZ662" s="800"/>
      <c r="BA662" s="800"/>
      <c r="BB662" s="800"/>
      <c r="BC662" s="800"/>
      <c r="BD662" s="800"/>
      <c r="BE662" s="800"/>
      <c r="BF662" s="800"/>
      <c r="BG662" s="800"/>
      <c r="BH662" s="800"/>
      <c r="BI662" s="800"/>
      <c r="BJ662" s="800"/>
      <c r="BK662" s="805"/>
      <c r="BL662" s="1376"/>
      <c r="BM662" s="1377"/>
      <c r="BN662" s="1377"/>
      <c r="BO662" s="1377"/>
      <c r="BP662" s="1440"/>
      <c r="BQ662" s="1420"/>
      <c r="BR662" s="1368"/>
      <c r="BS662" s="1368"/>
      <c r="BT662" s="1368"/>
      <c r="BU662" s="1369"/>
      <c r="BV662" s="1420"/>
      <c r="BW662" s="1368"/>
      <c r="BX662" s="1368"/>
      <c r="BY662" s="1368"/>
      <c r="BZ662" s="1368"/>
      <c r="CA662" s="1421"/>
      <c r="CB662" s="1373"/>
      <c r="CC662" s="1373"/>
      <c r="CD662" s="1373"/>
      <c r="CE662" s="1374"/>
      <c r="CF662" s="1368"/>
      <c r="CG662" s="1368"/>
      <c r="CH662" s="1368"/>
      <c r="CI662" s="1368"/>
      <c r="CJ662" s="1369"/>
      <c r="CK662" s="1420"/>
      <c r="CL662" s="1368"/>
      <c r="CM662" s="1368"/>
      <c r="CN662" s="1368"/>
      <c r="CO662" s="1369"/>
      <c r="CP662" s="1420"/>
      <c r="CQ662" s="1368"/>
      <c r="CR662" s="1368"/>
      <c r="CS662" s="1368"/>
      <c r="CT662" s="1369"/>
      <c r="CU662" s="1528"/>
      <c r="CV662" s="1519"/>
      <c r="CW662" s="1519"/>
      <c r="CX662" s="1728"/>
      <c r="CY662" s="1519"/>
      <c r="CZ662" s="1519"/>
      <c r="DA662" s="1519"/>
      <c r="DB662" s="1728"/>
      <c r="DC662" s="1377"/>
      <c r="DD662" s="1729"/>
      <c r="DE662" s="1734"/>
    </row>
    <row r="663" spans="1:109" ht="15.75" hidden="1" customHeight="1">
      <c r="A663" s="772" t="s">
        <v>1057</v>
      </c>
      <c r="B663" s="773">
        <v>657</v>
      </c>
      <c r="C663" s="789" t="s">
        <v>4680</v>
      </c>
      <c r="D663" s="773" t="s">
        <v>4622</v>
      </c>
      <c r="E663" s="773" t="s">
        <v>1889</v>
      </c>
      <c r="F663" s="785">
        <v>24</v>
      </c>
      <c r="G663" s="790" t="s">
        <v>161</v>
      </c>
      <c r="H663" s="791" t="s">
        <v>4681</v>
      </c>
      <c r="I663" s="792">
        <v>0</v>
      </c>
      <c r="J663" s="793">
        <v>1</v>
      </c>
      <c r="K663" s="793">
        <v>0</v>
      </c>
      <c r="L663" s="793">
        <v>0</v>
      </c>
      <c r="M663" s="793">
        <v>0</v>
      </c>
      <c r="N663" s="793">
        <v>0</v>
      </c>
      <c r="O663" s="793">
        <v>0</v>
      </c>
      <c r="P663" s="794">
        <v>0</v>
      </c>
      <c r="Q663" s="795">
        <f t="shared" si="10"/>
        <v>1</v>
      </c>
      <c r="R663" s="789" t="s">
        <v>1026</v>
      </c>
      <c r="S663" s="773" t="s">
        <v>1008</v>
      </c>
      <c r="T663" s="796" t="s">
        <v>1009</v>
      </c>
      <c r="U663" s="773" t="s">
        <v>2074</v>
      </c>
      <c r="V663" s="773" t="s">
        <v>1033</v>
      </c>
      <c r="W663" s="773" t="s">
        <v>4682</v>
      </c>
      <c r="X663" s="829">
        <v>1</v>
      </c>
      <c r="Y663" s="819" t="s">
        <v>1020</v>
      </c>
      <c r="Z663" s="790" t="s">
        <v>161</v>
      </c>
      <c r="AA663" s="785"/>
      <c r="AB663" s="785"/>
      <c r="AC663" s="785"/>
      <c r="AD663" s="785"/>
      <c r="AE663" s="785"/>
      <c r="AF663" s="799"/>
      <c r="AG663" s="800"/>
      <c r="AH663" s="800"/>
      <c r="AI663" s="800"/>
      <c r="AJ663" s="800"/>
      <c r="AK663" s="800"/>
      <c r="AL663" s="800"/>
      <c r="AM663" s="800"/>
      <c r="AN663" s="800"/>
      <c r="AO663" s="800"/>
      <c r="AP663" s="800"/>
      <c r="AQ663" s="1421"/>
      <c r="AR663" s="1373"/>
      <c r="AS663" s="1373"/>
      <c r="AT663" s="1373"/>
      <c r="AU663" s="1374"/>
      <c r="AV663" s="808"/>
      <c r="AW663" s="800"/>
      <c r="AX663" s="800"/>
      <c r="AY663" s="800"/>
      <c r="AZ663" s="800"/>
      <c r="BA663" s="800"/>
      <c r="BB663" s="800"/>
      <c r="BC663" s="800"/>
      <c r="BD663" s="800"/>
      <c r="BE663" s="800"/>
      <c r="BF663" s="800"/>
      <c r="BG663" s="800"/>
      <c r="BH663" s="800"/>
      <c r="BI663" s="800"/>
      <c r="BJ663" s="800"/>
      <c r="BK663" s="805"/>
      <c r="BL663" s="1376"/>
      <c r="BM663" s="1377"/>
      <c r="BN663" s="1377"/>
      <c r="BO663" s="1377"/>
      <c r="BP663" s="1440"/>
      <c r="BQ663" s="1420"/>
      <c r="BR663" s="1368"/>
      <c r="BS663" s="1368"/>
      <c r="BT663" s="1368"/>
      <c r="BU663" s="1369"/>
      <c r="BV663" s="1420"/>
      <c r="BW663" s="1368"/>
      <c r="BX663" s="1368"/>
      <c r="BY663" s="1368"/>
      <c r="BZ663" s="1368"/>
      <c r="CA663" s="1521"/>
      <c r="CB663" s="1730"/>
      <c r="CC663" s="1730"/>
      <c r="CD663" s="1730"/>
      <c r="CE663" s="1527"/>
      <c r="CF663" s="1368"/>
      <c r="CG663" s="1368"/>
      <c r="CH663" s="1368"/>
      <c r="CI663" s="1368"/>
      <c r="CJ663" s="1369"/>
      <c r="CK663" s="1420"/>
      <c r="CL663" s="1368"/>
      <c r="CM663" s="1368"/>
      <c r="CN663" s="1368"/>
      <c r="CO663" s="1369"/>
      <c r="CP663" s="1420"/>
      <c r="CQ663" s="1368"/>
      <c r="CR663" s="1368"/>
      <c r="CS663" s="1368"/>
      <c r="CT663" s="1369"/>
      <c r="CU663" s="1528"/>
      <c r="CV663" s="1519"/>
      <c r="CW663" s="1519"/>
      <c r="CX663" s="1728"/>
      <c r="CY663" s="1519"/>
      <c r="CZ663" s="1519"/>
      <c r="DA663" s="1519"/>
      <c r="DB663" s="1728"/>
      <c r="DC663" s="1377"/>
      <c r="DD663" s="1729"/>
      <c r="DE663" s="1734"/>
    </row>
    <row r="664" spans="1:109" ht="15.75" hidden="1" customHeight="1">
      <c r="A664" s="772" t="s">
        <v>1057</v>
      </c>
      <c r="B664" s="773">
        <v>658</v>
      </c>
      <c r="C664" s="789" t="s">
        <v>4683</v>
      </c>
      <c r="D664" s="773" t="s">
        <v>4622</v>
      </c>
      <c r="E664" s="773" t="s">
        <v>1889</v>
      </c>
      <c r="F664" s="785">
        <v>25</v>
      </c>
      <c r="G664" s="790" t="s">
        <v>1902</v>
      </c>
      <c r="H664" s="791" t="s">
        <v>4684</v>
      </c>
      <c r="I664" s="792">
        <v>0</v>
      </c>
      <c r="J664" s="793">
        <v>1</v>
      </c>
      <c r="K664" s="793">
        <v>0</v>
      </c>
      <c r="L664" s="793">
        <v>0</v>
      </c>
      <c r="M664" s="793">
        <v>0</v>
      </c>
      <c r="N664" s="793">
        <v>0</v>
      </c>
      <c r="O664" s="793">
        <v>0</v>
      </c>
      <c r="P664" s="794">
        <v>0</v>
      </c>
      <c r="Q664" s="795">
        <f t="shared" si="10"/>
        <v>1</v>
      </c>
      <c r="R664" s="789" t="s">
        <v>1030</v>
      </c>
      <c r="S664" s="773" t="s">
        <v>1008</v>
      </c>
      <c r="T664" s="1440" t="s">
        <v>1019</v>
      </c>
      <c r="U664" s="773" t="s">
        <v>2054</v>
      </c>
      <c r="V664" s="773" t="s">
        <v>1033</v>
      </c>
      <c r="W664" s="773" t="s">
        <v>4685</v>
      </c>
      <c r="X664" s="829">
        <v>1</v>
      </c>
      <c r="Y664" s="819" t="s">
        <v>1020</v>
      </c>
      <c r="Z664" s="790" t="s">
        <v>1902</v>
      </c>
      <c r="AA664" s="785"/>
      <c r="AB664" s="785"/>
      <c r="AC664" s="785"/>
      <c r="AD664" s="785"/>
      <c r="AE664" s="785"/>
      <c r="AF664" s="799"/>
      <c r="AG664" s="800"/>
      <c r="AH664" s="800"/>
      <c r="AI664" s="800"/>
      <c r="AJ664" s="800"/>
      <c r="AK664" s="800"/>
      <c r="AL664" s="800"/>
      <c r="AM664" s="800"/>
      <c r="AN664" s="800"/>
      <c r="AO664" s="800"/>
      <c r="AP664" s="800"/>
      <c r="AQ664" s="1420"/>
      <c r="AR664" s="1368"/>
      <c r="AS664" s="1368"/>
      <c r="AT664" s="1368"/>
      <c r="AU664" s="1369"/>
      <c r="AV664" s="808"/>
      <c r="AW664" s="800"/>
      <c r="AX664" s="800"/>
      <c r="AY664" s="800"/>
      <c r="AZ664" s="800"/>
      <c r="BA664" s="800"/>
      <c r="BB664" s="800"/>
      <c r="BC664" s="800"/>
      <c r="BD664" s="800"/>
      <c r="BE664" s="800"/>
      <c r="BF664" s="800"/>
      <c r="BG664" s="800"/>
      <c r="BH664" s="800"/>
      <c r="BI664" s="800"/>
      <c r="BJ664" s="800"/>
      <c r="BK664" s="805"/>
      <c r="BL664" s="1376"/>
      <c r="BM664" s="1377"/>
      <c r="BN664" s="1377"/>
      <c r="BO664" s="1377"/>
      <c r="BP664" s="1440"/>
      <c r="BQ664" s="1420"/>
      <c r="BR664" s="1368"/>
      <c r="BS664" s="1368"/>
      <c r="BT664" s="1368"/>
      <c r="BU664" s="1369"/>
      <c r="BV664" s="1420"/>
      <c r="BW664" s="1368"/>
      <c r="BX664" s="1368"/>
      <c r="BY664" s="1368"/>
      <c r="BZ664" s="1368"/>
      <c r="CA664" s="1420"/>
      <c r="CB664" s="1368"/>
      <c r="CC664" s="1368"/>
      <c r="CD664" s="1368"/>
      <c r="CE664" s="1369"/>
      <c r="CF664" s="1368"/>
      <c r="CG664" s="1368"/>
      <c r="CH664" s="1368"/>
      <c r="CI664" s="1368"/>
      <c r="CJ664" s="1369"/>
      <c r="CK664" s="1421"/>
      <c r="CL664" s="1373"/>
      <c r="CM664" s="1373"/>
      <c r="CN664" s="1373"/>
      <c r="CO664" s="1374"/>
      <c r="CP664" s="1421"/>
      <c r="CQ664" s="1373"/>
      <c r="CR664" s="1373"/>
      <c r="CS664" s="1373"/>
      <c r="CT664" s="1374"/>
      <c r="CU664" s="1528"/>
      <c r="CV664" s="1519"/>
      <c r="CW664" s="1519"/>
      <c r="CX664" s="1728"/>
      <c r="CY664" s="1519"/>
      <c r="CZ664" s="1519"/>
      <c r="DA664" s="1519"/>
      <c r="DB664" s="1728"/>
      <c r="DC664" s="1377"/>
      <c r="DD664" s="1729"/>
      <c r="DE664" s="1734"/>
    </row>
    <row r="665" spans="1:109" ht="15.75" hidden="1" customHeight="1">
      <c r="A665" s="772" t="s">
        <v>1057</v>
      </c>
      <c r="B665" s="773">
        <v>659</v>
      </c>
      <c r="C665" s="789" t="s">
        <v>4686</v>
      </c>
      <c r="D665" s="773" t="s">
        <v>4622</v>
      </c>
      <c r="E665" s="773" t="s">
        <v>1889</v>
      </c>
      <c r="F665" s="785">
        <v>26</v>
      </c>
      <c r="G665" s="790" t="s">
        <v>4687</v>
      </c>
      <c r="H665" s="791" t="s">
        <v>4688</v>
      </c>
      <c r="I665" s="792">
        <v>0</v>
      </c>
      <c r="J665" s="793">
        <v>1</v>
      </c>
      <c r="K665" s="793">
        <v>0</v>
      </c>
      <c r="L665" s="793">
        <v>0</v>
      </c>
      <c r="M665" s="793">
        <v>0</v>
      </c>
      <c r="N665" s="793">
        <v>0</v>
      </c>
      <c r="O665" s="793">
        <v>0</v>
      </c>
      <c r="P665" s="794">
        <v>0</v>
      </c>
      <c r="Q665" s="795">
        <f t="shared" si="10"/>
        <v>1</v>
      </c>
      <c r="R665" s="789" t="s">
        <v>1030</v>
      </c>
      <c r="S665" s="773" t="s">
        <v>1008</v>
      </c>
      <c r="T665" s="796" t="s">
        <v>1009</v>
      </c>
      <c r="U665" s="773" t="s">
        <v>2149</v>
      </c>
      <c r="V665" s="773" t="s">
        <v>1033</v>
      </c>
      <c r="W665" s="773" t="s">
        <v>4689</v>
      </c>
      <c r="X665" s="829">
        <v>1</v>
      </c>
      <c r="Y665" s="819" t="s">
        <v>1020</v>
      </c>
      <c r="Z665" s="790" t="s">
        <v>2002</v>
      </c>
      <c r="AA665" s="785"/>
      <c r="AB665" s="785"/>
      <c r="AC665" s="785"/>
      <c r="AD665" s="785"/>
      <c r="AE665" s="785"/>
      <c r="AF665" s="799"/>
      <c r="AG665" s="800"/>
      <c r="AH665" s="800"/>
      <c r="AI665" s="800"/>
      <c r="AJ665" s="800"/>
      <c r="AK665" s="800"/>
      <c r="AL665" s="800"/>
      <c r="AM665" s="800"/>
      <c r="AN665" s="800"/>
      <c r="AO665" s="800"/>
      <c r="AP665" s="800"/>
      <c r="AQ665" s="808">
        <v>11.4</v>
      </c>
      <c r="AR665" s="800">
        <v>10.6</v>
      </c>
      <c r="AS665" s="800">
        <v>9.6999999999999993</v>
      </c>
      <c r="AT665" s="800">
        <v>8.9</v>
      </c>
      <c r="AU665" s="805">
        <v>8.1</v>
      </c>
      <c r="AV665" s="808"/>
      <c r="AW665" s="800"/>
      <c r="AX665" s="800"/>
      <c r="AY665" s="800"/>
      <c r="AZ665" s="800"/>
      <c r="BA665" s="800"/>
      <c r="BB665" s="800"/>
      <c r="BC665" s="800"/>
      <c r="BD665" s="800"/>
      <c r="BE665" s="800"/>
      <c r="BF665" s="800"/>
      <c r="BG665" s="800"/>
      <c r="BH665" s="800"/>
      <c r="BI665" s="800"/>
      <c r="BJ665" s="800"/>
      <c r="BK665" s="805"/>
      <c r="BL665" s="789" t="s">
        <v>168</v>
      </c>
      <c r="BM665" s="785" t="s">
        <v>168</v>
      </c>
      <c r="BN665" s="785" t="s">
        <v>168</v>
      </c>
      <c r="BO665" s="785" t="s">
        <v>168</v>
      </c>
      <c r="BP665" s="796" t="s">
        <v>168</v>
      </c>
      <c r="BQ665" s="808" t="s">
        <v>1942</v>
      </c>
      <c r="BR665" s="800" t="s">
        <v>1942</v>
      </c>
      <c r="BS665" s="800" t="s">
        <v>1942</v>
      </c>
      <c r="BT665" s="800" t="s">
        <v>1942</v>
      </c>
      <c r="BU665" s="805" t="s">
        <v>1942</v>
      </c>
      <c r="BV665" s="808">
        <v>22.8</v>
      </c>
      <c r="BW665" s="800">
        <v>22.8</v>
      </c>
      <c r="BX665" s="800">
        <v>22.8</v>
      </c>
      <c r="BY665" s="800">
        <v>22.8</v>
      </c>
      <c r="BZ665" s="800">
        <v>22.8</v>
      </c>
      <c r="CA665" s="808" t="s">
        <v>1942</v>
      </c>
      <c r="CB665" s="800" t="s">
        <v>1942</v>
      </c>
      <c r="CC665" s="800" t="s">
        <v>1942</v>
      </c>
      <c r="CD665" s="800" t="s">
        <v>1942</v>
      </c>
      <c r="CE665" s="805" t="s">
        <v>1942</v>
      </c>
      <c r="CF665" s="800" t="s">
        <v>1942</v>
      </c>
      <c r="CG665" s="800" t="s">
        <v>1942</v>
      </c>
      <c r="CH665" s="800" t="s">
        <v>1942</v>
      </c>
      <c r="CI665" s="800" t="s">
        <v>1942</v>
      </c>
      <c r="CJ665" s="805" t="s">
        <v>1942</v>
      </c>
      <c r="CK665" s="808">
        <v>3.7</v>
      </c>
      <c r="CL665" s="800">
        <v>2.9</v>
      </c>
      <c r="CM665" s="800">
        <v>2</v>
      </c>
      <c r="CN665" s="800">
        <v>1.2</v>
      </c>
      <c r="CO665" s="805">
        <v>0.4</v>
      </c>
      <c r="CP665" s="808" t="s">
        <v>1942</v>
      </c>
      <c r="CQ665" s="800" t="s">
        <v>1942</v>
      </c>
      <c r="CR665" s="800" t="s">
        <v>1942</v>
      </c>
      <c r="CS665" s="800" t="s">
        <v>1942</v>
      </c>
      <c r="CT665" s="805" t="s">
        <v>1942</v>
      </c>
      <c r="CU665" s="1284">
        <v>-1.2290000000000001</v>
      </c>
      <c r="CV665" s="1283" t="s">
        <v>1942</v>
      </c>
      <c r="CW665" s="1283" t="s">
        <v>1942</v>
      </c>
      <c r="CX665" s="1285" t="s">
        <v>1942</v>
      </c>
      <c r="CY665" s="1283">
        <v>1.024</v>
      </c>
      <c r="CZ665" s="1283" t="s">
        <v>1942</v>
      </c>
      <c r="DA665" s="1283" t="s">
        <v>1942</v>
      </c>
      <c r="DB665" s="1285" t="s">
        <v>1942</v>
      </c>
      <c r="DC665" s="785"/>
      <c r="DD665" s="813">
        <v>1</v>
      </c>
      <c r="DE665" s="814"/>
    </row>
    <row r="666" spans="1:109" ht="15.75" hidden="1" customHeight="1">
      <c r="A666" s="772" t="s">
        <v>1057</v>
      </c>
      <c r="B666" s="773">
        <v>660</v>
      </c>
      <c r="C666" s="789" t="s">
        <v>4690</v>
      </c>
      <c r="D666" s="773" t="s">
        <v>4622</v>
      </c>
      <c r="E666" s="773" t="s">
        <v>1889</v>
      </c>
      <c r="F666" s="785">
        <v>27</v>
      </c>
      <c r="G666" s="790" t="s">
        <v>4691</v>
      </c>
      <c r="H666" s="791" t="s">
        <v>4692</v>
      </c>
      <c r="I666" s="792">
        <v>0</v>
      </c>
      <c r="J666" s="793">
        <v>1</v>
      </c>
      <c r="K666" s="793">
        <v>0</v>
      </c>
      <c r="L666" s="793">
        <v>0</v>
      </c>
      <c r="M666" s="793">
        <v>0</v>
      </c>
      <c r="N666" s="793">
        <v>0</v>
      </c>
      <c r="O666" s="793">
        <v>0</v>
      </c>
      <c r="P666" s="794">
        <v>0</v>
      </c>
      <c r="Q666" s="795">
        <f t="shared" si="10"/>
        <v>1</v>
      </c>
      <c r="R666" s="789" t="s">
        <v>1030</v>
      </c>
      <c r="S666" s="773" t="s">
        <v>1008</v>
      </c>
      <c r="T666" s="796" t="s">
        <v>1009</v>
      </c>
      <c r="U666" s="773" t="s">
        <v>1892</v>
      </c>
      <c r="V666" s="773" t="s">
        <v>1033</v>
      </c>
      <c r="W666" s="773" t="s">
        <v>4693</v>
      </c>
      <c r="X666" s="829">
        <v>0</v>
      </c>
      <c r="Y666" s="821" t="s">
        <v>1020</v>
      </c>
      <c r="Z666" s="790"/>
      <c r="AA666" s="785"/>
      <c r="AB666" s="785"/>
      <c r="AC666" s="785"/>
      <c r="AD666" s="785"/>
      <c r="AE666" s="785"/>
      <c r="AF666" s="799"/>
      <c r="AG666" s="800"/>
      <c r="AH666" s="800"/>
      <c r="AI666" s="800"/>
      <c r="AJ666" s="800"/>
      <c r="AK666" s="800"/>
      <c r="AL666" s="800"/>
      <c r="AM666" s="800"/>
      <c r="AN666" s="800"/>
      <c r="AO666" s="800"/>
      <c r="AP666" s="800"/>
      <c r="AQ666" s="808">
        <v>14</v>
      </c>
      <c r="AR666" s="800">
        <v>13</v>
      </c>
      <c r="AS666" s="800">
        <v>12</v>
      </c>
      <c r="AT666" s="800">
        <v>12</v>
      </c>
      <c r="AU666" s="805">
        <v>12</v>
      </c>
      <c r="AV666" s="808"/>
      <c r="AW666" s="800"/>
      <c r="AX666" s="800"/>
      <c r="AY666" s="800"/>
      <c r="AZ666" s="800"/>
      <c r="BA666" s="800"/>
      <c r="BB666" s="800"/>
      <c r="BC666" s="800"/>
      <c r="BD666" s="800"/>
      <c r="BE666" s="800"/>
      <c r="BF666" s="800"/>
      <c r="BG666" s="800"/>
      <c r="BH666" s="800"/>
      <c r="BI666" s="800"/>
      <c r="BJ666" s="800"/>
      <c r="BK666" s="805"/>
      <c r="BL666" s="789" t="s">
        <v>168</v>
      </c>
      <c r="BM666" s="785" t="s">
        <v>168</v>
      </c>
      <c r="BN666" s="785" t="s">
        <v>168</v>
      </c>
      <c r="BO666" s="785" t="s">
        <v>168</v>
      </c>
      <c r="BP666" s="796" t="s">
        <v>168</v>
      </c>
      <c r="BQ666" s="808" t="s">
        <v>1942</v>
      </c>
      <c r="BR666" s="800" t="s">
        <v>1942</v>
      </c>
      <c r="BS666" s="800" t="s">
        <v>1942</v>
      </c>
      <c r="BT666" s="800" t="s">
        <v>1942</v>
      </c>
      <c r="BU666" s="805" t="s">
        <v>1942</v>
      </c>
      <c r="BV666" s="808" t="s">
        <v>1942</v>
      </c>
      <c r="BW666" s="800" t="s">
        <v>1942</v>
      </c>
      <c r="BX666" s="800" t="s">
        <v>1942</v>
      </c>
      <c r="BY666" s="800" t="s">
        <v>1942</v>
      </c>
      <c r="BZ666" s="800" t="s">
        <v>1942</v>
      </c>
      <c r="CA666" s="808" t="s">
        <v>1942</v>
      </c>
      <c r="CB666" s="800" t="s">
        <v>1942</v>
      </c>
      <c r="CC666" s="800" t="s">
        <v>1942</v>
      </c>
      <c r="CD666" s="800" t="s">
        <v>1942</v>
      </c>
      <c r="CE666" s="805" t="s">
        <v>1942</v>
      </c>
      <c r="CF666" s="800" t="s">
        <v>1942</v>
      </c>
      <c r="CG666" s="800" t="s">
        <v>1942</v>
      </c>
      <c r="CH666" s="800" t="s">
        <v>1942</v>
      </c>
      <c r="CI666" s="800" t="s">
        <v>1942</v>
      </c>
      <c r="CJ666" s="805" t="s">
        <v>1942</v>
      </c>
      <c r="CK666" s="808" t="s">
        <v>1942</v>
      </c>
      <c r="CL666" s="800" t="s">
        <v>1942</v>
      </c>
      <c r="CM666" s="800" t="s">
        <v>1942</v>
      </c>
      <c r="CN666" s="800" t="s">
        <v>1942</v>
      </c>
      <c r="CO666" s="805" t="s">
        <v>1942</v>
      </c>
      <c r="CP666" s="808" t="s">
        <v>1942</v>
      </c>
      <c r="CQ666" s="800" t="s">
        <v>1942</v>
      </c>
      <c r="CR666" s="800" t="s">
        <v>1942</v>
      </c>
      <c r="CS666" s="800" t="s">
        <v>1942</v>
      </c>
      <c r="CT666" s="805" t="s">
        <v>1942</v>
      </c>
      <c r="CU666" s="1284">
        <v>-0.26500000000000001</v>
      </c>
      <c r="CV666" s="1283" t="s">
        <v>1942</v>
      </c>
      <c r="CW666" s="1283" t="s">
        <v>1942</v>
      </c>
      <c r="CX666" s="1285" t="s">
        <v>1942</v>
      </c>
      <c r="CY666" s="1283">
        <v>0.26500000000000001</v>
      </c>
      <c r="CZ666" s="1283" t="s">
        <v>1942</v>
      </c>
      <c r="DA666" s="1283" t="s">
        <v>1942</v>
      </c>
      <c r="DB666" s="1285" t="s">
        <v>1942</v>
      </c>
      <c r="DC666" s="785"/>
      <c r="DD666" s="813">
        <v>1</v>
      </c>
      <c r="DE666" s="814"/>
    </row>
    <row r="667" spans="1:109" ht="15.75" hidden="1" customHeight="1">
      <c r="A667" s="772" t="s">
        <v>1057</v>
      </c>
      <c r="B667" s="773">
        <v>661</v>
      </c>
      <c r="C667" s="789" t="s">
        <v>4694</v>
      </c>
      <c r="D667" s="773" t="s">
        <v>4622</v>
      </c>
      <c r="E667" s="773" t="s">
        <v>1896</v>
      </c>
      <c r="F667" s="785">
        <v>28</v>
      </c>
      <c r="G667" s="790" t="s">
        <v>1987</v>
      </c>
      <c r="H667" s="791" t="s">
        <v>4695</v>
      </c>
      <c r="I667" s="792">
        <v>0</v>
      </c>
      <c r="J667" s="793">
        <v>1</v>
      </c>
      <c r="K667" s="793">
        <v>0</v>
      </c>
      <c r="L667" s="793">
        <v>0</v>
      </c>
      <c r="M667" s="793">
        <v>0</v>
      </c>
      <c r="N667" s="793">
        <v>0</v>
      </c>
      <c r="O667" s="793">
        <v>0</v>
      </c>
      <c r="P667" s="794">
        <v>0</v>
      </c>
      <c r="Q667" s="795">
        <f t="shared" si="10"/>
        <v>1</v>
      </c>
      <c r="R667" s="789" t="s">
        <v>1030</v>
      </c>
      <c r="S667" s="773" t="s">
        <v>1008</v>
      </c>
      <c r="T667" s="796" t="s">
        <v>1009</v>
      </c>
      <c r="U667" s="773" t="s">
        <v>1987</v>
      </c>
      <c r="V667" s="773" t="s">
        <v>1033</v>
      </c>
      <c r="W667" s="773" t="s">
        <v>4696</v>
      </c>
      <c r="X667" s="829">
        <v>0</v>
      </c>
      <c r="Y667" s="821" t="s">
        <v>1020</v>
      </c>
      <c r="Z667" s="790" t="s">
        <v>1987</v>
      </c>
      <c r="AA667" s="785"/>
      <c r="AB667" s="785"/>
      <c r="AC667" s="785"/>
      <c r="AD667" s="785"/>
      <c r="AE667" s="785"/>
      <c r="AF667" s="799"/>
      <c r="AG667" s="800"/>
      <c r="AH667" s="800"/>
      <c r="AI667" s="800"/>
      <c r="AJ667" s="800"/>
      <c r="AK667" s="800"/>
      <c r="AL667" s="800"/>
      <c r="AM667" s="800"/>
      <c r="AN667" s="800"/>
      <c r="AO667" s="800"/>
      <c r="AP667" s="800"/>
      <c r="AQ667" s="808">
        <v>14</v>
      </c>
      <c r="AR667" s="800">
        <v>13</v>
      </c>
      <c r="AS667" s="800">
        <v>12</v>
      </c>
      <c r="AT667" s="800">
        <v>12</v>
      </c>
      <c r="AU667" s="805">
        <v>12</v>
      </c>
      <c r="AV667" s="808"/>
      <c r="AW667" s="800"/>
      <c r="AX667" s="800"/>
      <c r="AY667" s="800"/>
      <c r="AZ667" s="800"/>
      <c r="BA667" s="800"/>
      <c r="BB667" s="800"/>
      <c r="BC667" s="800"/>
      <c r="BD667" s="800"/>
      <c r="BE667" s="800"/>
      <c r="BF667" s="800"/>
      <c r="BG667" s="800"/>
      <c r="BH667" s="800"/>
      <c r="BI667" s="800"/>
      <c r="BJ667" s="800"/>
      <c r="BK667" s="805"/>
      <c r="BL667" s="789" t="s">
        <v>168</v>
      </c>
      <c r="BM667" s="785" t="s">
        <v>168</v>
      </c>
      <c r="BN667" s="785" t="s">
        <v>168</v>
      </c>
      <c r="BO667" s="785" t="s">
        <v>168</v>
      </c>
      <c r="BP667" s="796" t="s">
        <v>168</v>
      </c>
      <c r="BQ667" s="808" t="s">
        <v>1942</v>
      </c>
      <c r="BR667" s="800" t="s">
        <v>1942</v>
      </c>
      <c r="BS667" s="800" t="s">
        <v>1942</v>
      </c>
      <c r="BT667" s="800" t="s">
        <v>1942</v>
      </c>
      <c r="BU667" s="805" t="s">
        <v>1942</v>
      </c>
      <c r="BV667" s="808" t="s">
        <v>1942</v>
      </c>
      <c r="BW667" s="800" t="s">
        <v>1942</v>
      </c>
      <c r="BX667" s="800" t="s">
        <v>1942</v>
      </c>
      <c r="BY667" s="800" t="s">
        <v>1942</v>
      </c>
      <c r="BZ667" s="800" t="s">
        <v>1942</v>
      </c>
      <c r="CA667" s="808" t="s">
        <v>1942</v>
      </c>
      <c r="CB667" s="800" t="s">
        <v>1942</v>
      </c>
      <c r="CC667" s="800" t="s">
        <v>1942</v>
      </c>
      <c r="CD667" s="800" t="s">
        <v>1942</v>
      </c>
      <c r="CE667" s="805" t="s">
        <v>1942</v>
      </c>
      <c r="CF667" s="1210"/>
      <c r="CG667" s="1210"/>
      <c r="CH667" s="1210"/>
      <c r="CI667" s="1210"/>
      <c r="CJ667" s="1211"/>
      <c r="CK667" s="808" t="s">
        <v>1942</v>
      </c>
      <c r="CL667" s="800" t="s">
        <v>1942</v>
      </c>
      <c r="CM667" s="800" t="s">
        <v>1942</v>
      </c>
      <c r="CN667" s="800" t="s">
        <v>1942</v>
      </c>
      <c r="CO667" s="805" t="s">
        <v>1942</v>
      </c>
      <c r="CP667" s="808" t="s">
        <v>1942</v>
      </c>
      <c r="CQ667" s="800" t="s">
        <v>1942</v>
      </c>
      <c r="CR667" s="800" t="s">
        <v>1942</v>
      </c>
      <c r="CS667" s="800" t="s">
        <v>1942</v>
      </c>
      <c r="CT667" s="805" t="s">
        <v>1942</v>
      </c>
      <c r="CU667" s="1284">
        <v>-0.13900000000000001</v>
      </c>
      <c r="CV667" s="1283" t="s">
        <v>1942</v>
      </c>
      <c r="CW667" s="1283" t="s">
        <v>1942</v>
      </c>
      <c r="CX667" s="1285" t="s">
        <v>1942</v>
      </c>
      <c r="CY667" s="1286" t="s">
        <v>1942</v>
      </c>
      <c r="CZ667" s="1283" t="s">
        <v>1942</v>
      </c>
      <c r="DA667" s="1283" t="s">
        <v>1942</v>
      </c>
      <c r="DB667" s="1285" t="s">
        <v>1942</v>
      </c>
      <c r="DC667" s="785"/>
      <c r="DD667" s="813">
        <v>1</v>
      </c>
      <c r="DE667" s="814"/>
    </row>
    <row r="668" spans="1:109" ht="15.75" hidden="1" customHeight="1">
      <c r="A668" s="772" t="s">
        <v>1057</v>
      </c>
      <c r="B668" s="773">
        <v>662</v>
      </c>
      <c r="C668" s="789" t="s">
        <v>4697</v>
      </c>
      <c r="D668" s="773" t="s">
        <v>4622</v>
      </c>
      <c r="E668" s="773" t="s">
        <v>1907</v>
      </c>
      <c r="F668" s="785">
        <v>29</v>
      </c>
      <c r="G668" s="790" t="s">
        <v>4698</v>
      </c>
      <c r="H668" s="791" t="s">
        <v>4699</v>
      </c>
      <c r="I668" s="792">
        <v>0</v>
      </c>
      <c r="J668" s="793">
        <v>1</v>
      </c>
      <c r="K668" s="793">
        <v>0</v>
      </c>
      <c r="L668" s="793">
        <v>0</v>
      </c>
      <c r="M668" s="793">
        <v>0</v>
      </c>
      <c r="N668" s="793">
        <v>0</v>
      </c>
      <c r="O668" s="793">
        <v>0</v>
      </c>
      <c r="P668" s="794">
        <v>0</v>
      </c>
      <c r="Q668" s="795">
        <f t="shared" si="10"/>
        <v>1</v>
      </c>
      <c r="R668" s="789" t="s">
        <v>1030</v>
      </c>
      <c r="S668" s="773" t="s">
        <v>1008</v>
      </c>
      <c r="T668" s="796" t="s">
        <v>1009</v>
      </c>
      <c r="U668" s="773" t="s">
        <v>1892</v>
      </c>
      <c r="V668" s="773" t="s">
        <v>1033</v>
      </c>
      <c r="W668" s="773" t="s">
        <v>4700</v>
      </c>
      <c r="X668" s="829">
        <v>0</v>
      </c>
      <c r="Y668" s="821" t="s">
        <v>1010</v>
      </c>
      <c r="Z668" s="790"/>
      <c r="AA668" s="785"/>
      <c r="AB668" s="785"/>
      <c r="AC668" s="785"/>
      <c r="AD668" s="785"/>
      <c r="AE668" s="785"/>
      <c r="AF668" s="799"/>
      <c r="AG668" s="797"/>
      <c r="AH668" s="797"/>
      <c r="AI668" s="797"/>
      <c r="AJ668" s="797"/>
      <c r="AK668" s="797"/>
      <c r="AL668" s="797"/>
      <c r="AM668" s="797"/>
      <c r="AN668" s="797"/>
      <c r="AO668" s="797"/>
      <c r="AP668" s="797"/>
      <c r="AQ668" s="827">
        <v>6882</v>
      </c>
      <c r="AR668" s="797">
        <v>7109</v>
      </c>
      <c r="AS668" s="797">
        <v>7386</v>
      </c>
      <c r="AT668" s="797">
        <v>7687</v>
      </c>
      <c r="AU668" s="841">
        <v>8013</v>
      </c>
      <c r="AV668" s="827"/>
      <c r="AW668" s="797"/>
      <c r="AX668" s="797"/>
      <c r="AY668" s="797"/>
      <c r="AZ668" s="797"/>
      <c r="BA668" s="797"/>
      <c r="BB668" s="797"/>
      <c r="BC668" s="797"/>
      <c r="BD668" s="797"/>
      <c r="BE668" s="797"/>
      <c r="BF668" s="797"/>
      <c r="BG668" s="797"/>
      <c r="BH668" s="797"/>
      <c r="BI668" s="797"/>
      <c r="BJ668" s="797"/>
      <c r="BK668" s="841"/>
      <c r="BL668" s="789" t="s">
        <v>168</v>
      </c>
      <c r="BM668" s="785" t="s">
        <v>168</v>
      </c>
      <c r="BN668" s="785" t="s">
        <v>168</v>
      </c>
      <c r="BO668" s="785" t="s">
        <v>168</v>
      </c>
      <c r="BP668" s="796" t="s">
        <v>168</v>
      </c>
      <c r="BQ668" s="808" t="s">
        <v>1942</v>
      </c>
      <c r="BR668" s="800" t="s">
        <v>1942</v>
      </c>
      <c r="BS668" s="800" t="s">
        <v>1942</v>
      </c>
      <c r="BT668" s="800" t="s">
        <v>1942</v>
      </c>
      <c r="BU668" s="805" t="s">
        <v>1942</v>
      </c>
      <c r="BV668" s="808" t="s">
        <v>1942</v>
      </c>
      <c r="BW668" s="800" t="s">
        <v>1942</v>
      </c>
      <c r="BX668" s="800" t="s">
        <v>1942</v>
      </c>
      <c r="BY668" s="800" t="s">
        <v>1942</v>
      </c>
      <c r="BZ668" s="800" t="s">
        <v>1942</v>
      </c>
      <c r="CA668" s="823" t="s">
        <v>1942</v>
      </c>
      <c r="CB668" s="824" t="s">
        <v>1942</v>
      </c>
      <c r="CC668" s="824" t="s">
        <v>1942</v>
      </c>
      <c r="CD668" s="824" t="s">
        <v>1942</v>
      </c>
      <c r="CE668" s="825" t="s">
        <v>1942</v>
      </c>
      <c r="CF668" s="800" t="s">
        <v>1942</v>
      </c>
      <c r="CG668" s="800" t="s">
        <v>1942</v>
      </c>
      <c r="CH668" s="800" t="s">
        <v>1942</v>
      </c>
      <c r="CI668" s="800" t="s">
        <v>1942</v>
      </c>
      <c r="CJ668" s="805" t="s">
        <v>1942</v>
      </c>
      <c r="CK668" s="823" t="s">
        <v>1942</v>
      </c>
      <c r="CL668" s="824" t="s">
        <v>1942</v>
      </c>
      <c r="CM668" s="824" t="s">
        <v>1942</v>
      </c>
      <c r="CN668" s="824" t="s">
        <v>1942</v>
      </c>
      <c r="CO668" s="825" t="s">
        <v>1942</v>
      </c>
      <c r="CP668" s="823" t="s">
        <v>1942</v>
      </c>
      <c r="CQ668" s="824" t="s">
        <v>1942</v>
      </c>
      <c r="CR668" s="824" t="s">
        <v>1942</v>
      </c>
      <c r="CS668" s="824" t="s">
        <v>1942</v>
      </c>
      <c r="CT668" s="824" t="s">
        <v>1942</v>
      </c>
      <c r="CU668" s="1284">
        <v>-4.4900000000000002E-4</v>
      </c>
      <c r="CV668" s="1283" t="s">
        <v>1942</v>
      </c>
      <c r="CW668" s="1283" t="s">
        <v>1942</v>
      </c>
      <c r="CX668" s="1285" t="s">
        <v>1942</v>
      </c>
      <c r="CY668" s="1283">
        <v>4.4900000000000002E-4</v>
      </c>
      <c r="CZ668" s="1283" t="s">
        <v>1942</v>
      </c>
      <c r="DA668" s="1283" t="s">
        <v>1942</v>
      </c>
      <c r="DB668" s="1285" t="s">
        <v>1942</v>
      </c>
      <c r="DC668" s="785"/>
      <c r="DD668" s="813">
        <v>1</v>
      </c>
      <c r="DE668" s="814"/>
    </row>
    <row r="669" spans="1:109" ht="15.75" hidden="1" customHeight="1">
      <c r="A669" s="772" t="s">
        <v>1057</v>
      </c>
      <c r="B669" s="773">
        <v>663</v>
      </c>
      <c r="C669" s="789" t="s">
        <v>4701</v>
      </c>
      <c r="D669" s="773" t="s">
        <v>4597</v>
      </c>
      <c r="E669" s="773" t="s">
        <v>1889</v>
      </c>
      <c r="F669" s="785">
        <v>30</v>
      </c>
      <c r="G669" s="790" t="s">
        <v>736</v>
      </c>
      <c r="H669" s="791" t="s">
        <v>4702</v>
      </c>
      <c r="I669" s="792">
        <v>0</v>
      </c>
      <c r="J669" s="793">
        <v>0</v>
      </c>
      <c r="K669" s="793">
        <v>1</v>
      </c>
      <c r="L669" s="793">
        <v>0</v>
      </c>
      <c r="M669" s="793">
        <v>0</v>
      </c>
      <c r="N669" s="793">
        <v>0</v>
      </c>
      <c r="O669" s="793">
        <v>0</v>
      </c>
      <c r="P669" s="794">
        <v>0</v>
      </c>
      <c r="Q669" s="795">
        <f t="shared" si="10"/>
        <v>1</v>
      </c>
      <c r="R669" s="789" t="s">
        <v>1030</v>
      </c>
      <c r="S669" s="773" t="s">
        <v>1008</v>
      </c>
      <c r="T669" s="796" t="s">
        <v>1009</v>
      </c>
      <c r="U669" s="773" t="s">
        <v>736</v>
      </c>
      <c r="V669" s="773" t="s">
        <v>1033</v>
      </c>
      <c r="W669" s="773" t="s">
        <v>4703</v>
      </c>
      <c r="X669" s="1274">
        <v>2</v>
      </c>
      <c r="Y669" s="821" t="s">
        <v>1020</v>
      </c>
      <c r="Z669" s="790" t="s">
        <v>736</v>
      </c>
      <c r="AA669" s="785"/>
      <c r="AB669" s="785"/>
      <c r="AC669" s="785"/>
      <c r="AD669" s="785"/>
      <c r="AE669" s="785"/>
      <c r="AF669" s="799"/>
      <c r="AG669" s="800"/>
      <c r="AH669" s="800"/>
      <c r="AI669" s="800"/>
      <c r="AJ669" s="800"/>
      <c r="AK669" s="800"/>
      <c r="AL669" s="800"/>
      <c r="AM669" s="800"/>
      <c r="AN669" s="829"/>
      <c r="AO669" s="829"/>
      <c r="AP669" s="829"/>
      <c r="AQ669" s="1755"/>
      <c r="AR669" s="1754"/>
      <c r="AS669" s="1754"/>
      <c r="AT669" s="1754"/>
      <c r="AU669" s="1756"/>
      <c r="AV669" s="828"/>
      <c r="AW669" s="829"/>
      <c r="AX669" s="829"/>
      <c r="AY669" s="829"/>
      <c r="AZ669" s="829"/>
      <c r="BA669" s="829"/>
      <c r="BB669" s="829"/>
      <c r="BC669" s="829"/>
      <c r="BD669" s="829"/>
      <c r="BE669" s="829"/>
      <c r="BF669" s="829"/>
      <c r="BG669" s="829"/>
      <c r="BH669" s="829"/>
      <c r="BI669" s="829"/>
      <c r="BJ669" s="829"/>
      <c r="BK669" s="830"/>
      <c r="BL669" s="1376"/>
      <c r="BM669" s="1377"/>
      <c r="BN669" s="1377"/>
      <c r="BO669" s="1377"/>
      <c r="BP669" s="1440"/>
      <c r="BQ669" s="1725"/>
      <c r="BR669" s="1726"/>
      <c r="BS669" s="1726"/>
      <c r="BT669" s="1726"/>
      <c r="BU669" s="1727"/>
      <c r="BV669" s="1421"/>
      <c r="BW669" s="1373"/>
      <c r="BX669" s="1373"/>
      <c r="BY669" s="1373"/>
      <c r="BZ669" s="1373"/>
      <c r="CA669" s="1420"/>
      <c r="CB669" s="1368"/>
      <c r="CC669" s="1368"/>
      <c r="CD669" s="1368"/>
      <c r="CE669" s="1369"/>
      <c r="CF669" s="1368"/>
      <c r="CG669" s="1368"/>
      <c r="CH669" s="1368"/>
      <c r="CI669" s="1368"/>
      <c r="CJ669" s="1369"/>
      <c r="CK669" s="1421"/>
      <c r="CL669" s="1373"/>
      <c r="CM669" s="1373"/>
      <c r="CN669" s="1373"/>
      <c r="CO669" s="1374"/>
      <c r="CP669" s="1421"/>
      <c r="CQ669" s="1373"/>
      <c r="CR669" s="1373"/>
      <c r="CS669" s="1373"/>
      <c r="CT669" s="1374"/>
      <c r="CU669" s="1528"/>
      <c r="CV669" s="1519"/>
      <c r="CW669" s="1519"/>
      <c r="CX669" s="1728"/>
      <c r="CY669" s="1519"/>
      <c r="CZ669" s="1519"/>
      <c r="DA669" s="1519"/>
      <c r="DB669" s="1728"/>
      <c r="DC669" s="1377"/>
      <c r="DD669" s="1729"/>
      <c r="DE669" s="1734"/>
    </row>
    <row r="670" spans="1:109" ht="15.75" hidden="1" customHeight="1">
      <c r="A670" s="772" t="s">
        <v>1057</v>
      </c>
      <c r="B670" s="773">
        <v>664</v>
      </c>
      <c r="C670" s="789" t="s">
        <v>4704</v>
      </c>
      <c r="D670" s="773" t="s">
        <v>4597</v>
      </c>
      <c r="E670" s="773" t="s">
        <v>1889</v>
      </c>
      <c r="F670" s="785">
        <v>31</v>
      </c>
      <c r="G670" s="790" t="s">
        <v>732</v>
      </c>
      <c r="H670" s="791" t="s">
        <v>4705</v>
      </c>
      <c r="I670" s="792">
        <v>0</v>
      </c>
      <c r="J670" s="793">
        <v>0</v>
      </c>
      <c r="K670" s="793">
        <v>1</v>
      </c>
      <c r="L670" s="793">
        <v>0</v>
      </c>
      <c r="M670" s="793">
        <v>0</v>
      </c>
      <c r="N670" s="793">
        <v>0</v>
      </c>
      <c r="O670" s="793">
        <v>0</v>
      </c>
      <c r="P670" s="794">
        <v>0</v>
      </c>
      <c r="Q670" s="795">
        <f t="shared" si="10"/>
        <v>1</v>
      </c>
      <c r="R670" s="789" t="s">
        <v>1030</v>
      </c>
      <c r="S670" s="773" t="s">
        <v>1008</v>
      </c>
      <c r="T670" s="796" t="s">
        <v>1009</v>
      </c>
      <c r="U670" s="773" t="s">
        <v>2058</v>
      </c>
      <c r="V670" s="773" t="s">
        <v>1033</v>
      </c>
      <c r="W670" s="773" t="s">
        <v>4706</v>
      </c>
      <c r="X670" s="1274">
        <v>2</v>
      </c>
      <c r="Y670" s="821" t="s">
        <v>1020</v>
      </c>
      <c r="Z670" s="790" t="s">
        <v>732</v>
      </c>
      <c r="AA670" s="785"/>
      <c r="AB670" s="785"/>
      <c r="AC670" s="785"/>
      <c r="AD670" s="785"/>
      <c r="AE670" s="785"/>
      <c r="AF670" s="799"/>
      <c r="AG670" s="800"/>
      <c r="AH670" s="800"/>
      <c r="AI670" s="800"/>
      <c r="AJ670" s="800"/>
      <c r="AK670" s="800"/>
      <c r="AL670" s="800"/>
      <c r="AM670" s="800"/>
      <c r="AN670" s="800"/>
      <c r="AO670" s="800"/>
      <c r="AP670" s="800"/>
      <c r="AQ670" s="1421"/>
      <c r="AR670" s="1373"/>
      <c r="AS670" s="1373"/>
      <c r="AT670" s="1373"/>
      <c r="AU670" s="1374"/>
      <c r="AV670" s="808"/>
      <c r="AW670" s="800"/>
      <c r="AX670" s="800"/>
      <c r="AY670" s="800"/>
      <c r="AZ670" s="800"/>
      <c r="BA670" s="800"/>
      <c r="BB670" s="800"/>
      <c r="BC670" s="800"/>
      <c r="BD670" s="800"/>
      <c r="BE670" s="800"/>
      <c r="BF670" s="800"/>
      <c r="BG670" s="800"/>
      <c r="BH670" s="800"/>
      <c r="BI670" s="800"/>
      <c r="BJ670" s="800"/>
      <c r="BK670" s="805"/>
      <c r="BL670" s="1376"/>
      <c r="BM670" s="1377"/>
      <c r="BN670" s="1377"/>
      <c r="BO670" s="1377"/>
      <c r="BP670" s="1440"/>
      <c r="BQ670" s="1421"/>
      <c r="BR670" s="1373"/>
      <c r="BS670" s="1373"/>
      <c r="BT670" s="1373"/>
      <c r="BU670" s="1374"/>
      <c r="BV670" s="1421"/>
      <c r="BW670" s="1373"/>
      <c r="BX670" s="1373"/>
      <c r="BY670" s="1373"/>
      <c r="BZ670" s="1373"/>
      <c r="CA670" s="1420"/>
      <c r="CB670" s="1368"/>
      <c r="CC670" s="1368"/>
      <c r="CD670" s="1368"/>
      <c r="CE670" s="1369"/>
      <c r="CF670" s="1368"/>
      <c r="CG670" s="1368"/>
      <c r="CH670" s="1368"/>
      <c r="CI670" s="1368"/>
      <c r="CJ670" s="1368"/>
      <c r="CK670" s="1421"/>
      <c r="CL670" s="1373"/>
      <c r="CM670" s="1373"/>
      <c r="CN670" s="1373"/>
      <c r="CO670" s="1374"/>
      <c r="CP670" s="1421"/>
      <c r="CQ670" s="1373"/>
      <c r="CR670" s="1373"/>
      <c r="CS670" s="1373"/>
      <c r="CT670" s="1374"/>
      <c r="CU670" s="1528"/>
      <c r="CV670" s="1519"/>
      <c r="CW670" s="1519"/>
      <c r="CX670" s="1728"/>
      <c r="CY670" s="1519"/>
      <c r="CZ670" s="1519"/>
      <c r="DA670" s="1519"/>
      <c r="DB670" s="1728"/>
      <c r="DC670" s="1377"/>
      <c r="DD670" s="1729"/>
      <c r="DE670" s="1734"/>
    </row>
    <row r="671" spans="1:109" ht="15.75" hidden="1" customHeight="1">
      <c r="A671" s="772" t="s">
        <v>1057</v>
      </c>
      <c r="B671" s="773">
        <v>665</v>
      </c>
      <c r="C671" s="789" t="s">
        <v>4707</v>
      </c>
      <c r="D671" s="773" t="s">
        <v>4597</v>
      </c>
      <c r="E671" s="773" t="s">
        <v>1907</v>
      </c>
      <c r="F671" s="785">
        <v>32</v>
      </c>
      <c r="G671" s="790" t="s">
        <v>1058</v>
      </c>
      <c r="H671" s="791" t="s">
        <v>4708</v>
      </c>
      <c r="I671" s="792">
        <v>0</v>
      </c>
      <c r="J671" s="793">
        <v>0.05</v>
      </c>
      <c r="K671" s="793">
        <v>0.95</v>
      </c>
      <c r="L671" s="793">
        <v>0</v>
      </c>
      <c r="M671" s="793">
        <v>0</v>
      </c>
      <c r="N671" s="793">
        <v>0</v>
      </c>
      <c r="O671" s="793">
        <v>0</v>
      </c>
      <c r="P671" s="794">
        <v>0</v>
      </c>
      <c r="Q671" s="795">
        <f t="shared" si="10"/>
        <v>1</v>
      </c>
      <c r="R671" s="789" t="s">
        <v>1026</v>
      </c>
      <c r="S671" s="773" t="s">
        <v>1008</v>
      </c>
      <c r="T671" s="796" t="s">
        <v>1009</v>
      </c>
      <c r="U671" s="773" t="s">
        <v>2536</v>
      </c>
      <c r="V671" s="773" t="s">
        <v>278</v>
      </c>
      <c r="W671" s="773" t="s">
        <v>4709</v>
      </c>
      <c r="X671" s="829">
        <v>2</v>
      </c>
      <c r="Y671" s="821" t="s">
        <v>1010</v>
      </c>
      <c r="Z671" s="790" t="s">
        <v>1058</v>
      </c>
      <c r="AA671" s="785"/>
      <c r="AB671" s="785"/>
      <c r="AC671" s="785"/>
      <c r="AD671" s="785"/>
      <c r="AE671" s="785"/>
      <c r="AF671" s="799"/>
      <c r="AG671" s="800"/>
      <c r="AH671" s="800"/>
      <c r="AI671" s="800"/>
      <c r="AJ671" s="800"/>
      <c r="AK671" s="800"/>
      <c r="AL671" s="800"/>
      <c r="AM671" s="800"/>
      <c r="AN671" s="800"/>
      <c r="AO671" s="800"/>
      <c r="AP671" s="800"/>
      <c r="AQ671" s="1420"/>
      <c r="AR671" s="1368"/>
      <c r="AS671" s="1368"/>
      <c r="AT671" s="1368"/>
      <c r="AU671" s="1369"/>
      <c r="AV671" s="808"/>
      <c r="AW671" s="800"/>
      <c r="AX671" s="800"/>
      <c r="AY671" s="800"/>
      <c r="AZ671" s="800"/>
      <c r="BA671" s="800"/>
      <c r="BB671" s="800"/>
      <c r="BC671" s="800"/>
      <c r="BD671" s="800"/>
      <c r="BE671" s="800"/>
      <c r="BF671" s="800"/>
      <c r="BG671" s="800"/>
      <c r="BH671" s="800"/>
      <c r="BI671" s="800"/>
      <c r="BJ671" s="800"/>
      <c r="BK671" s="805"/>
      <c r="BL671" s="1376"/>
      <c r="BM671" s="1377"/>
      <c r="BN671" s="1377"/>
      <c r="BO671" s="1377"/>
      <c r="BP671" s="1440"/>
      <c r="BQ671" s="1420"/>
      <c r="BR671" s="1368"/>
      <c r="BS671" s="1368"/>
      <c r="BT671" s="1368"/>
      <c r="BU671" s="1369"/>
      <c r="BV671" s="1420"/>
      <c r="BW671" s="1368"/>
      <c r="BX671" s="1368"/>
      <c r="BY671" s="1368"/>
      <c r="BZ671" s="1368"/>
      <c r="CA671" s="1420"/>
      <c r="CB671" s="1368"/>
      <c r="CC671" s="1368"/>
      <c r="CD671" s="1368"/>
      <c r="CE671" s="1369"/>
      <c r="CF671" s="1368"/>
      <c r="CG671" s="1368"/>
      <c r="CH671" s="1368"/>
      <c r="CI671" s="1368"/>
      <c r="CJ671" s="1369"/>
      <c r="CK671" s="1420"/>
      <c r="CL671" s="1368"/>
      <c r="CM671" s="1368"/>
      <c r="CN671" s="1368"/>
      <c r="CO671" s="1369"/>
      <c r="CP671" s="1420"/>
      <c r="CQ671" s="1368"/>
      <c r="CR671" s="1368"/>
      <c r="CS671" s="1368"/>
      <c r="CT671" s="1369"/>
      <c r="CU671" s="1528"/>
      <c r="CV671" s="1519"/>
      <c r="CW671" s="1519"/>
      <c r="CX671" s="1728"/>
      <c r="CY671" s="1519"/>
      <c r="CZ671" s="1519"/>
      <c r="DA671" s="1519"/>
      <c r="DB671" s="1728"/>
      <c r="DC671" s="1377"/>
      <c r="DD671" s="1729"/>
      <c r="DE671" s="1734"/>
    </row>
    <row r="672" spans="1:109" ht="15.75" hidden="1" customHeight="1">
      <c r="A672" s="772" t="s">
        <v>1057</v>
      </c>
      <c r="B672" s="773">
        <v>666</v>
      </c>
      <c r="C672" s="789" t="s">
        <v>4710</v>
      </c>
      <c r="D672" s="773" t="s">
        <v>4597</v>
      </c>
      <c r="E672" s="773" t="s">
        <v>1889</v>
      </c>
      <c r="F672" s="785">
        <v>33</v>
      </c>
      <c r="G672" s="790" t="s">
        <v>743</v>
      </c>
      <c r="H672" s="791" t="s">
        <v>4711</v>
      </c>
      <c r="I672" s="792">
        <v>0</v>
      </c>
      <c r="J672" s="793">
        <v>0</v>
      </c>
      <c r="K672" s="793">
        <v>1</v>
      </c>
      <c r="L672" s="793">
        <v>0</v>
      </c>
      <c r="M672" s="793">
        <v>0</v>
      </c>
      <c r="N672" s="793">
        <v>0</v>
      </c>
      <c r="O672" s="793">
        <v>0</v>
      </c>
      <c r="P672" s="794">
        <v>0</v>
      </c>
      <c r="Q672" s="795">
        <f t="shared" si="10"/>
        <v>1</v>
      </c>
      <c r="R672" s="789" t="s">
        <v>1026</v>
      </c>
      <c r="S672" s="773" t="s">
        <v>1008</v>
      </c>
      <c r="T672" s="796" t="s">
        <v>1009</v>
      </c>
      <c r="U672" s="773" t="s">
        <v>2081</v>
      </c>
      <c r="V672" s="773" t="s">
        <v>1033</v>
      </c>
      <c r="W672" s="773" t="s">
        <v>4712</v>
      </c>
      <c r="X672" s="829">
        <v>2</v>
      </c>
      <c r="Y672" s="821" t="s">
        <v>1020</v>
      </c>
      <c r="Z672" s="790" t="s">
        <v>743</v>
      </c>
      <c r="AA672" s="785"/>
      <c r="AB672" s="785"/>
      <c r="AC672" s="785"/>
      <c r="AD672" s="785"/>
      <c r="AE672" s="785"/>
      <c r="AF672" s="799"/>
      <c r="AG672" s="800"/>
      <c r="AH672" s="800"/>
      <c r="AI672" s="800"/>
      <c r="AJ672" s="800"/>
      <c r="AK672" s="800"/>
      <c r="AL672" s="800"/>
      <c r="AM672" s="800"/>
      <c r="AN672" s="800"/>
      <c r="AO672" s="800"/>
      <c r="AP672" s="800"/>
      <c r="AQ672" s="1420"/>
      <c r="AR672" s="1368"/>
      <c r="AS672" s="1368"/>
      <c r="AT672" s="1368"/>
      <c r="AU672" s="1369"/>
      <c r="AV672" s="808"/>
      <c r="AW672" s="800"/>
      <c r="AX672" s="800"/>
      <c r="AY672" s="800"/>
      <c r="AZ672" s="800"/>
      <c r="BA672" s="800"/>
      <c r="BB672" s="800"/>
      <c r="BC672" s="800"/>
      <c r="BD672" s="800"/>
      <c r="BE672" s="800"/>
      <c r="BF672" s="800"/>
      <c r="BG672" s="800"/>
      <c r="BH672" s="800"/>
      <c r="BI672" s="800"/>
      <c r="BJ672" s="800"/>
      <c r="BK672" s="805"/>
      <c r="BL672" s="1376"/>
      <c r="BM672" s="1377"/>
      <c r="BN672" s="1377"/>
      <c r="BO672" s="1377"/>
      <c r="BP672" s="1440"/>
      <c r="BQ672" s="1420"/>
      <c r="BR672" s="1368"/>
      <c r="BS672" s="1368"/>
      <c r="BT672" s="1368"/>
      <c r="BU672" s="1369"/>
      <c r="BV672" s="1420"/>
      <c r="BW672" s="1368"/>
      <c r="BX672" s="1368"/>
      <c r="BY672" s="1368"/>
      <c r="BZ672" s="1368"/>
      <c r="CA672" s="1420"/>
      <c r="CB672" s="1368"/>
      <c r="CC672" s="1368"/>
      <c r="CD672" s="1368"/>
      <c r="CE672" s="1369"/>
      <c r="CF672" s="1368"/>
      <c r="CG672" s="1368"/>
      <c r="CH672" s="1368"/>
      <c r="CI672" s="1368"/>
      <c r="CJ672" s="1369"/>
      <c r="CK672" s="1420"/>
      <c r="CL672" s="1368"/>
      <c r="CM672" s="1368"/>
      <c r="CN672" s="1368"/>
      <c r="CO672" s="1369"/>
      <c r="CP672" s="1420"/>
      <c r="CQ672" s="1368"/>
      <c r="CR672" s="1368"/>
      <c r="CS672" s="1368"/>
      <c r="CT672" s="1369"/>
      <c r="CU672" s="1528"/>
      <c r="CV672" s="1519"/>
      <c r="CW672" s="1519"/>
      <c r="CX672" s="1728"/>
      <c r="CY672" s="1519"/>
      <c r="CZ672" s="1519"/>
      <c r="DA672" s="1519"/>
      <c r="DB672" s="1728"/>
      <c r="DC672" s="1377"/>
      <c r="DD672" s="1729"/>
      <c r="DE672" s="1734"/>
    </row>
    <row r="673" spans="1:109" ht="15.75" hidden="1" customHeight="1">
      <c r="A673" s="772" t="s">
        <v>1057</v>
      </c>
      <c r="B673" s="773">
        <v>667</v>
      </c>
      <c r="C673" s="789" t="s">
        <v>4713</v>
      </c>
      <c r="D673" s="773" t="s">
        <v>4597</v>
      </c>
      <c r="E673" s="773" t="s">
        <v>1907</v>
      </c>
      <c r="F673" s="785">
        <v>34</v>
      </c>
      <c r="G673" s="790" t="s">
        <v>839</v>
      </c>
      <c r="H673" s="791" t="s">
        <v>4714</v>
      </c>
      <c r="I673" s="792">
        <v>0</v>
      </c>
      <c r="J673" s="793">
        <v>0</v>
      </c>
      <c r="K673" s="793">
        <v>1</v>
      </c>
      <c r="L673" s="793">
        <v>0</v>
      </c>
      <c r="M673" s="793">
        <v>0</v>
      </c>
      <c r="N673" s="793">
        <v>0</v>
      </c>
      <c r="O673" s="793">
        <v>0</v>
      </c>
      <c r="P673" s="794">
        <v>0</v>
      </c>
      <c r="Q673" s="795">
        <f t="shared" si="10"/>
        <v>1</v>
      </c>
      <c r="R673" s="789" t="s">
        <v>1007</v>
      </c>
      <c r="S673" s="773"/>
      <c r="T673" s="796"/>
      <c r="U673" s="773" t="s">
        <v>1910</v>
      </c>
      <c r="V673" s="773" t="s">
        <v>278</v>
      </c>
      <c r="W673" s="773" t="s">
        <v>4715</v>
      </c>
      <c r="X673" s="1308">
        <v>2</v>
      </c>
      <c r="Y673" s="821" t="s">
        <v>1020</v>
      </c>
      <c r="Z673" s="790" t="s">
        <v>839</v>
      </c>
      <c r="AA673" s="785"/>
      <c r="AB673" s="785"/>
      <c r="AC673" s="785"/>
      <c r="AD673" s="785"/>
      <c r="AE673" s="785"/>
      <c r="AF673" s="799"/>
      <c r="AG673" s="800"/>
      <c r="AH673" s="800"/>
      <c r="AI673" s="800"/>
      <c r="AJ673" s="800"/>
      <c r="AK673" s="800"/>
      <c r="AL673" s="800"/>
      <c r="AM673" s="800"/>
      <c r="AN673" s="800"/>
      <c r="AO673" s="800"/>
      <c r="AP673" s="800"/>
      <c r="AQ673" s="1420"/>
      <c r="AR673" s="1368"/>
      <c r="AS673" s="1368"/>
      <c r="AT673" s="1368"/>
      <c r="AU673" s="1369"/>
      <c r="AV673" s="808"/>
      <c r="AW673" s="800"/>
      <c r="AX673" s="800"/>
      <c r="AY673" s="800"/>
      <c r="AZ673" s="800"/>
      <c r="BA673" s="800"/>
      <c r="BB673" s="800"/>
      <c r="BC673" s="800"/>
      <c r="BD673" s="800"/>
      <c r="BE673" s="800"/>
      <c r="BF673" s="800"/>
      <c r="BG673" s="800"/>
      <c r="BH673" s="800"/>
      <c r="BI673" s="800"/>
      <c r="BJ673" s="800"/>
      <c r="BK673" s="805"/>
      <c r="BL673" s="1376"/>
      <c r="BM673" s="1377"/>
      <c r="BN673" s="1377"/>
      <c r="BO673" s="1377"/>
      <c r="BP673" s="1440"/>
      <c r="BQ673" s="1420"/>
      <c r="BR673" s="1368"/>
      <c r="BS673" s="1368"/>
      <c r="BT673" s="1368"/>
      <c r="BU673" s="1369"/>
      <c r="BV673" s="1420"/>
      <c r="BW673" s="1368"/>
      <c r="BX673" s="1368"/>
      <c r="BY673" s="1368"/>
      <c r="BZ673" s="1368"/>
      <c r="CA673" s="1420"/>
      <c r="CB673" s="1368"/>
      <c r="CC673" s="1368"/>
      <c r="CD673" s="1368"/>
      <c r="CE673" s="1369"/>
      <c r="CF673" s="1368"/>
      <c r="CG673" s="1368"/>
      <c r="CH673" s="1368"/>
      <c r="CI673" s="1368"/>
      <c r="CJ673" s="1369"/>
      <c r="CK673" s="1420"/>
      <c r="CL673" s="1368"/>
      <c r="CM673" s="1368"/>
      <c r="CN673" s="1368"/>
      <c r="CO673" s="1369"/>
      <c r="CP673" s="1420"/>
      <c r="CQ673" s="1368"/>
      <c r="CR673" s="1368"/>
      <c r="CS673" s="1368"/>
      <c r="CT673" s="1369"/>
      <c r="CU673" s="1528"/>
      <c r="CV673" s="1519"/>
      <c r="CW673" s="1519"/>
      <c r="CX673" s="1728"/>
      <c r="CY673" s="1519"/>
      <c r="CZ673" s="1519"/>
      <c r="DA673" s="1519"/>
      <c r="DB673" s="1728"/>
      <c r="DC673" s="1377"/>
      <c r="DD673" s="1729"/>
      <c r="DE673" s="1734"/>
    </row>
    <row r="674" spans="1:109" ht="15.75" hidden="1" customHeight="1">
      <c r="A674" s="772" t="s">
        <v>1057</v>
      </c>
      <c r="B674" s="773">
        <v>668</v>
      </c>
      <c r="C674" s="789" t="s">
        <v>4716</v>
      </c>
      <c r="D674" s="773" t="s">
        <v>4597</v>
      </c>
      <c r="E674" s="773" t="s">
        <v>1889</v>
      </c>
      <c r="F674" s="785">
        <v>35</v>
      </c>
      <c r="G674" s="790" t="s">
        <v>2098</v>
      </c>
      <c r="H674" s="791" t="s">
        <v>4717</v>
      </c>
      <c r="I674" s="792">
        <v>0</v>
      </c>
      <c r="J674" s="793">
        <v>0</v>
      </c>
      <c r="K674" s="793">
        <v>1</v>
      </c>
      <c r="L674" s="793">
        <v>0</v>
      </c>
      <c r="M674" s="793">
        <v>0</v>
      </c>
      <c r="N674" s="793">
        <v>0</v>
      </c>
      <c r="O674" s="793">
        <v>0</v>
      </c>
      <c r="P674" s="794">
        <v>0</v>
      </c>
      <c r="Q674" s="795">
        <f t="shared" si="10"/>
        <v>1</v>
      </c>
      <c r="R674" s="789" t="s">
        <v>1030</v>
      </c>
      <c r="S674" s="773" t="s">
        <v>1008</v>
      </c>
      <c r="T674" s="796" t="s">
        <v>1009</v>
      </c>
      <c r="U674" s="773" t="s">
        <v>2058</v>
      </c>
      <c r="V674" s="773" t="s">
        <v>1033</v>
      </c>
      <c r="W674" s="773" t="s">
        <v>4718</v>
      </c>
      <c r="X674" s="829">
        <v>0</v>
      </c>
      <c r="Y674" s="821" t="s">
        <v>1020</v>
      </c>
      <c r="Z674" s="790" t="s">
        <v>2098</v>
      </c>
      <c r="AA674" s="785"/>
      <c r="AB674" s="785"/>
      <c r="AC674" s="785"/>
      <c r="AD674" s="785"/>
      <c r="AE674" s="785"/>
      <c r="AF674" s="799"/>
      <c r="AG674" s="800"/>
      <c r="AH674" s="800"/>
      <c r="AI674" s="800"/>
      <c r="AJ674" s="800"/>
      <c r="AK674" s="800"/>
      <c r="AL674" s="800"/>
      <c r="AM674" s="800"/>
      <c r="AN674" s="800"/>
      <c r="AO674" s="800"/>
      <c r="AP674" s="800"/>
      <c r="AQ674" s="808">
        <v>7188</v>
      </c>
      <c r="AR674" s="800">
        <v>6809</v>
      </c>
      <c r="AS674" s="800">
        <v>6431</v>
      </c>
      <c r="AT674" s="800">
        <v>6053</v>
      </c>
      <c r="AU674" s="805">
        <v>5675</v>
      </c>
      <c r="AV674" s="808"/>
      <c r="AW674" s="800"/>
      <c r="AX674" s="800"/>
      <c r="AY674" s="800"/>
      <c r="AZ674" s="800"/>
      <c r="BA674" s="800"/>
      <c r="BB674" s="800"/>
      <c r="BC674" s="800"/>
      <c r="BD674" s="800"/>
      <c r="BE674" s="800"/>
      <c r="BF674" s="800"/>
      <c r="BG674" s="800"/>
      <c r="BH674" s="800"/>
      <c r="BI674" s="800"/>
      <c r="BJ674" s="800"/>
      <c r="BK674" s="805"/>
      <c r="BL674" s="789" t="s">
        <v>168</v>
      </c>
      <c r="BM674" s="785" t="s">
        <v>168</v>
      </c>
      <c r="BN674" s="785" t="s">
        <v>168</v>
      </c>
      <c r="BO674" s="785" t="s">
        <v>168</v>
      </c>
      <c r="BP674" s="796" t="s">
        <v>168</v>
      </c>
      <c r="BQ674" s="808" t="s">
        <v>1942</v>
      </c>
      <c r="BR674" s="800" t="s">
        <v>1942</v>
      </c>
      <c r="BS674" s="800" t="s">
        <v>1942</v>
      </c>
      <c r="BT674" s="800" t="s">
        <v>1942</v>
      </c>
      <c r="BU674" s="805" t="s">
        <v>1942</v>
      </c>
      <c r="BV674" s="808">
        <v>10782</v>
      </c>
      <c r="BW674" s="800">
        <v>10782</v>
      </c>
      <c r="BX674" s="800">
        <v>10782</v>
      </c>
      <c r="BY674" s="800">
        <v>10782</v>
      </c>
      <c r="BZ674" s="800">
        <v>10782</v>
      </c>
      <c r="CA674" s="808" t="s">
        <v>1942</v>
      </c>
      <c r="CB674" s="800" t="s">
        <v>1942</v>
      </c>
      <c r="CC674" s="800" t="s">
        <v>1942</v>
      </c>
      <c r="CD674" s="800" t="s">
        <v>1942</v>
      </c>
      <c r="CE674" s="805" t="s">
        <v>1942</v>
      </c>
      <c r="CF674" s="800" t="s">
        <v>1942</v>
      </c>
      <c r="CG674" s="800" t="s">
        <v>1942</v>
      </c>
      <c r="CH674" s="800" t="s">
        <v>1942</v>
      </c>
      <c r="CI674" s="800" t="s">
        <v>1942</v>
      </c>
      <c r="CJ674" s="805" t="s">
        <v>1942</v>
      </c>
      <c r="CK674" s="1301">
        <v>3924</v>
      </c>
      <c r="CL674" s="1070">
        <v>3702</v>
      </c>
      <c r="CM674" s="1070">
        <v>3519</v>
      </c>
      <c r="CN674" s="1070">
        <v>3248</v>
      </c>
      <c r="CO674" s="1302">
        <v>2957</v>
      </c>
      <c r="CP674" s="808" t="s">
        <v>1942</v>
      </c>
      <c r="CQ674" s="800" t="s">
        <v>1942</v>
      </c>
      <c r="CR674" s="800" t="s">
        <v>1942</v>
      </c>
      <c r="CS674" s="800" t="s">
        <v>1942</v>
      </c>
      <c r="CT674" s="805" t="s">
        <v>1942</v>
      </c>
      <c r="CU674" s="1284">
        <v>-9.4800000000000006E-3</v>
      </c>
      <c r="CV674" s="1283" t="s">
        <v>1942</v>
      </c>
      <c r="CW674" s="1283" t="s">
        <v>1942</v>
      </c>
      <c r="CX674" s="1285" t="s">
        <v>1942</v>
      </c>
      <c r="CY674" s="1283">
        <v>7.9000000000000008E-3</v>
      </c>
      <c r="CZ674" s="1283" t="s">
        <v>1942</v>
      </c>
      <c r="DA674" s="1283" t="s">
        <v>1942</v>
      </c>
      <c r="DB674" s="1285" t="s">
        <v>1942</v>
      </c>
      <c r="DC674" s="785"/>
      <c r="DD674" s="813">
        <v>1</v>
      </c>
      <c r="DE674" s="814"/>
    </row>
    <row r="675" spans="1:109" ht="15.75" hidden="1" customHeight="1">
      <c r="A675" s="772" t="s">
        <v>1057</v>
      </c>
      <c r="B675" s="773">
        <v>669</v>
      </c>
      <c r="C675" s="789" t="s">
        <v>4719</v>
      </c>
      <c r="D675" s="773" t="s">
        <v>4597</v>
      </c>
      <c r="E675" s="773" t="s">
        <v>1896</v>
      </c>
      <c r="F675" s="785">
        <v>36</v>
      </c>
      <c r="G675" s="790" t="s">
        <v>3728</v>
      </c>
      <c r="H675" s="791" t="s">
        <v>4720</v>
      </c>
      <c r="I675" s="792">
        <v>0</v>
      </c>
      <c r="J675" s="793">
        <v>0</v>
      </c>
      <c r="K675" s="793">
        <v>1</v>
      </c>
      <c r="L675" s="793">
        <v>0</v>
      </c>
      <c r="M675" s="793">
        <v>0</v>
      </c>
      <c r="N675" s="793">
        <v>0</v>
      </c>
      <c r="O675" s="793">
        <v>0</v>
      </c>
      <c r="P675" s="794">
        <v>0</v>
      </c>
      <c r="Q675" s="795">
        <f t="shared" si="10"/>
        <v>1</v>
      </c>
      <c r="R675" s="789" t="s">
        <v>1030</v>
      </c>
      <c r="S675" s="773" t="s">
        <v>1008</v>
      </c>
      <c r="T675" s="796" t="s">
        <v>1009</v>
      </c>
      <c r="U675" s="773" t="s">
        <v>2106</v>
      </c>
      <c r="V675" s="773" t="s">
        <v>1033</v>
      </c>
      <c r="W675" s="773" t="s">
        <v>4721</v>
      </c>
      <c r="X675" s="829">
        <v>0</v>
      </c>
      <c r="Y675" s="821" t="s">
        <v>1010</v>
      </c>
      <c r="Z675" s="790"/>
      <c r="AA675" s="785"/>
      <c r="AB675" s="785"/>
      <c r="AC675" s="785"/>
      <c r="AD675" s="785"/>
      <c r="AE675" s="785"/>
      <c r="AF675" s="799"/>
      <c r="AG675" s="800"/>
      <c r="AH675" s="800"/>
      <c r="AI675" s="800"/>
      <c r="AJ675" s="800"/>
      <c r="AK675" s="800"/>
      <c r="AL675" s="800"/>
      <c r="AM675" s="800"/>
      <c r="AN675" s="800"/>
      <c r="AO675" s="800"/>
      <c r="AP675" s="800"/>
      <c r="AQ675" s="808">
        <v>18</v>
      </c>
      <c r="AR675" s="800">
        <v>18</v>
      </c>
      <c r="AS675" s="800">
        <v>18</v>
      </c>
      <c r="AT675" s="800">
        <v>18</v>
      </c>
      <c r="AU675" s="805">
        <v>18</v>
      </c>
      <c r="AV675" s="808"/>
      <c r="AW675" s="800"/>
      <c r="AX675" s="800"/>
      <c r="AY675" s="800"/>
      <c r="AZ675" s="800"/>
      <c r="BA675" s="800"/>
      <c r="BB675" s="800"/>
      <c r="BC675" s="800"/>
      <c r="BD675" s="800"/>
      <c r="BE675" s="800"/>
      <c r="BF675" s="800"/>
      <c r="BG675" s="800"/>
      <c r="BH675" s="800"/>
      <c r="BI675" s="800"/>
      <c r="BJ675" s="800"/>
      <c r="BK675" s="805"/>
      <c r="BL675" s="789" t="s">
        <v>168</v>
      </c>
      <c r="BM675" s="785" t="s">
        <v>168</v>
      </c>
      <c r="BN675" s="785" t="s">
        <v>168</v>
      </c>
      <c r="BO675" s="785" t="s">
        <v>168</v>
      </c>
      <c r="BP675" s="796" t="s">
        <v>168</v>
      </c>
      <c r="BQ675" s="808" t="s">
        <v>1942</v>
      </c>
      <c r="BR675" s="800" t="s">
        <v>1942</v>
      </c>
      <c r="BS675" s="800" t="s">
        <v>1942</v>
      </c>
      <c r="BT675" s="800" t="s">
        <v>1942</v>
      </c>
      <c r="BU675" s="805" t="s">
        <v>1942</v>
      </c>
      <c r="BV675" s="808">
        <v>10</v>
      </c>
      <c r="BW675" s="800">
        <v>10</v>
      </c>
      <c r="BX675" s="800">
        <v>10</v>
      </c>
      <c r="BY675" s="800">
        <v>10</v>
      </c>
      <c r="BZ675" s="800">
        <v>10</v>
      </c>
      <c r="CA675" s="808" t="s">
        <v>1942</v>
      </c>
      <c r="CB675" s="800" t="s">
        <v>1942</v>
      </c>
      <c r="CC675" s="800" t="s">
        <v>1942</v>
      </c>
      <c r="CD675" s="800" t="s">
        <v>1942</v>
      </c>
      <c r="CE675" s="805" t="s">
        <v>1942</v>
      </c>
      <c r="CF675" s="800" t="s">
        <v>1942</v>
      </c>
      <c r="CG675" s="800" t="s">
        <v>1942</v>
      </c>
      <c r="CH675" s="800" t="s">
        <v>1942</v>
      </c>
      <c r="CI675" s="800" t="s">
        <v>1942</v>
      </c>
      <c r="CJ675" s="805" t="s">
        <v>1942</v>
      </c>
      <c r="CK675" s="808">
        <v>26</v>
      </c>
      <c r="CL675" s="800">
        <v>26</v>
      </c>
      <c r="CM675" s="800">
        <v>26</v>
      </c>
      <c r="CN675" s="800">
        <v>26</v>
      </c>
      <c r="CO675" s="805">
        <v>26</v>
      </c>
      <c r="CP675" s="808" t="s">
        <v>1942</v>
      </c>
      <c r="CQ675" s="800" t="s">
        <v>1942</v>
      </c>
      <c r="CR675" s="800" t="s">
        <v>1942</v>
      </c>
      <c r="CS675" s="800" t="s">
        <v>1942</v>
      </c>
      <c r="CT675" s="805" t="s">
        <v>1942</v>
      </c>
      <c r="CU675" s="1284">
        <v>-1.2350000000000001</v>
      </c>
      <c r="CV675" s="1283" t="s">
        <v>1942</v>
      </c>
      <c r="CW675" s="1283" t="s">
        <v>1942</v>
      </c>
      <c r="CX675" s="1285" t="s">
        <v>1942</v>
      </c>
      <c r="CY675" s="1283">
        <v>0.63600000000000001</v>
      </c>
      <c r="CZ675" s="1283" t="s">
        <v>1942</v>
      </c>
      <c r="DA675" s="1283" t="s">
        <v>1942</v>
      </c>
      <c r="DB675" s="1285" t="s">
        <v>1942</v>
      </c>
      <c r="DC675" s="785"/>
      <c r="DD675" s="813">
        <v>1</v>
      </c>
      <c r="DE675" s="814"/>
    </row>
    <row r="676" spans="1:109" ht="15.75" hidden="1" customHeight="1">
      <c r="A676" s="772" t="s">
        <v>1057</v>
      </c>
      <c r="B676" s="773">
        <v>670</v>
      </c>
      <c r="C676" s="789" t="s">
        <v>4722</v>
      </c>
      <c r="D676" s="773" t="s">
        <v>4597</v>
      </c>
      <c r="E676" s="773" t="s">
        <v>1907</v>
      </c>
      <c r="F676" s="785">
        <v>37</v>
      </c>
      <c r="G676" s="790" t="s">
        <v>3198</v>
      </c>
      <c r="H676" s="791" t="s">
        <v>4723</v>
      </c>
      <c r="I676" s="792">
        <v>0</v>
      </c>
      <c r="J676" s="793">
        <v>0.16</v>
      </c>
      <c r="K676" s="793">
        <v>0.84</v>
      </c>
      <c r="L676" s="793">
        <v>0</v>
      </c>
      <c r="M676" s="793">
        <v>0</v>
      </c>
      <c r="N676" s="793">
        <v>0</v>
      </c>
      <c r="O676" s="793">
        <v>0</v>
      </c>
      <c r="P676" s="794">
        <v>0</v>
      </c>
      <c r="Q676" s="795">
        <f t="shared" si="10"/>
        <v>1</v>
      </c>
      <c r="R676" s="789" t="s">
        <v>1030</v>
      </c>
      <c r="S676" s="773" t="s">
        <v>1008</v>
      </c>
      <c r="T676" s="796" t="s">
        <v>1009</v>
      </c>
      <c r="U676" s="773" t="s">
        <v>2106</v>
      </c>
      <c r="V676" s="773" t="s">
        <v>1033</v>
      </c>
      <c r="W676" s="773" t="s">
        <v>4724</v>
      </c>
      <c r="X676" s="829">
        <v>0</v>
      </c>
      <c r="Y676" s="819" t="s">
        <v>1010</v>
      </c>
      <c r="Z676" s="790"/>
      <c r="AA676" s="785"/>
      <c r="AB676" s="785"/>
      <c r="AC676" s="785"/>
      <c r="AD676" s="785"/>
      <c r="AE676" s="785"/>
      <c r="AF676" s="799"/>
      <c r="AG676" s="800"/>
      <c r="AH676" s="800"/>
      <c r="AI676" s="800"/>
      <c r="AJ676" s="800"/>
      <c r="AK676" s="800"/>
      <c r="AL676" s="800"/>
      <c r="AM676" s="800"/>
      <c r="AN676" s="800"/>
      <c r="AO676" s="800"/>
      <c r="AP676" s="800"/>
      <c r="AQ676" s="808">
        <v>1</v>
      </c>
      <c r="AR676" s="800">
        <v>4</v>
      </c>
      <c r="AS676" s="800">
        <v>5</v>
      </c>
      <c r="AT676" s="800">
        <v>10</v>
      </c>
      <c r="AU676" s="805">
        <v>20</v>
      </c>
      <c r="AV676" s="808"/>
      <c r="AW676" s="800"/>
      <c r="AX676" s="800"/>
      <c r="AY676" s="800"/>
      <c r="AZ676" s="800"/>
      <c r="BA676" s="800"/>
      <c r="BB676" s="800"/>
      <c r="BC676" s="800"/>
      <c r="BD676" s="800"/>
      <c r="BE676" s="800"/>
      <c r="BF676" s="800"/>
      <c r="BG676" s="800"/>
      <c r="BH676" s="800"/>
      <c r="BI676" s="800"/>
      <c r="BJ676" s="800"/>
      <c r="BK676" s="805"/>
      <c r="BL676" s="789" t="s">
        <v>168</v>
      </c>
      <c r="BM676" s="785" t="s">
        <v>168</v>
      </c>
      <c r="BN676" s="785" t="s">
        <v>168</v>
      </c>
      <c r="BO676" s="785" t="s">
        <v>168</v>
      </c>
      <c r="BP676" s="796" t="s">
        <v>168</v>
      </c>
      <c r="BQ676" s="808" t="s">
        <v>1942</v>
      </c>
      <c r="BR676" s="800" t="s">
        <v>1942</v>
      </c>
      <c r="BS676" s="800" t="s">
        <v>1942</v>
      </c>
      <c r="BT676" s="800" t="s">
        <v>1942</v>
      </c>
      <c r="BU676" s="805" t="s">
        <v>1942</v>
      </c>
      <c r="BV676" s="808" t="s">
        <v>1942</v>
      </c>
      <c r="BW676" s="800" t="s">
        <v>1942</v>
      </c>
      <c r="BX676" s="800" t="s">
        <v>1942</v>
      </c>
      <c r="BY676" s="800" t="s">
        <v>1942</v>
      </c>
      <c r="BZ676" s="800" t="s">
        <v>1942</v>
      </c>
      <c r="CA676" s="808" t="s">
        <v>1942</v>
      </c>
      <c r="CB676" s="800" t="s">
        <v>1942</v>
      </c>
      <c r="CC676" s="800" t="s">
        <v>1942</v>
      </c>
      <c r="CD676" s="800" t="s">
        <v>1942</v>
      </c>
      <c r="CE676" s="805" t="s">
        <v>1942</v>
      </c>
      <c r="CF676" s="800" t="s">
        <v>1942</v>
      </c>
      <c r="CG676" s="800" t="s">
        <v>1942</v>
      </c>
      <c r="CH676" s="800" t="s">
        <v>1942</v>
      </c>
      <c r="CI676" s="800" t="s">
        <v>1942</v>
      </c>
      <c r="CJ676" s="805" t="s">
        <v>1942</v>
      </c>
      <c r="CK676" s="808" t="s">
        <v>1942</v>
      </c>
      <c r="CL676" s="800" t="s">
        <v>1942</v>
      </c>
      <c r="CM676" s="800" t="s">
        <v>1942</v>
      </c>
      <c r="CN676" s="800" t="s">
        <v>1942</v>
      </c>
      <c r="CO676" s="805" t="s">
        <v>1942</v>
      </c>
      <c r="CP676" s="808" t="s">
        <v>1942</v>
      </c>
      <c r="CQ676" s="800" t="s">
        <v>1942</v>
      </c>
      <c r="CR676" s="800" t="s">
        <v>1942</v>
      </c>
      <c r="CS676" s="800" t="s">
        <v>1942</v>
      </c>
      <c r="CT676" s="805" t="s">
        <v>1942</v>
      </c>
      <c r="CU676" s="1284">
        <v>-4.8650000000000004E-3</v>
      </c>
      <c r="CV676" s="1283" t="s">
        <v>1942</v>
      </c>
      <c r="CW676" s="1283" t="s">
        <v>1942</v>
      </c>
      <c r="CX676" s="1285" t="s">
        <v>1942</v>
      </c>
      <c r="CY676" s="1283">
        <v>4.8650000000000004E-3</v>
      </c>
      <c r="CZ676" s="1283" t="s">
        <v>1942</v>
      </c>
      <c r="DA676" s="1283" t="s">
        <v>1942</v>
      </c>
      <c r="DB676" s="1285" t="s">
        <v>1942</v>
      </c>
      <c r="DC676" s="785"/>
      <c r="DD676" s="813">
        <v>1</v>
      </c>
      <c r="DE676" s="814"/>
    </row>
    <row r="677" spans="1:109" ht="15.75" hidden="1" customHeight="1">
      <c r="A677" s="772" t="s">
        <v>1057</v>
      </c>
      <c r="B677" s="773">
        <v>671</v>
      </c>
      <c r="C677" s="789" t="s">
        <v>4725</v>
      </c>
      <c r="D677" s="773" t="s">
        <v>4622</v>
      </c>
      <c r="E677" s="773" t="s">
        <v>1907</v>
      </c>
      <c r="F677" s="785">
        <v>38</v>
      </c>
      <c r="G677" s="790" t="s">
        <v>535</v>
      </c>
      <c r="H677" s="791" t="s">
        <v>4726</v>
      </c>
      <c r="I677" s="792">
        <v>1</v>
      </c>
      <c r="J677" s="793">
        <v>0</v>
      </c>
      <c r="K677" s="793">
        <v>0</v>
      </c>
      <c r="L677" s="793">
        <v>0</v>
      </c>
      <c r="M677" s="793">
        <v>0</v>
      </c>
      <c r="N677" s="793">
        <v>0</v>
      </c>
      <c r="O677" s="793">
        <v>0</v>
      </c>
      <c r="P677" s="794">
        <v>0</v>
      </c>
      <c r="Q677" s="795">
        <f t="shared" si="10"/>
        <v>1</v>
      </c>
      <c r="R677" s="789" t="s">
        <v>1007</v>
      </c>
      <c r="S677" s="773"/>
      <c r="T677" s="796"/>
      <c r="U677" s="773" t="s">
        <v>1910</v>
      </c>
      <c r="V677" s="773" t="s">
        <v>278</v>
      </c>
      <c r="W677" s="773" t="s">
        <v>4727</v>
      </c>
      <c r="X677" s="1308">
        <v>1</v>
      </c>
      <c r="Y677" s="819" t="s">
        <v>1020</v>
      </c>
      <c r="Z677" s="790" t="s">
        <v>535</v>
      </c>
      <c r="AA677" s="785"/>
      <c r="AB677" s="785"/>
      <c r="AC677" s="785"/>
      <c r="AD677" s="785"/>
      <c r="AE677" s="785"/>
      <c r="AF677" s="799"/>
      <c r="AG677" s="816"/>
      <c r="AH677" s="816"/>
      <c r="AI677" s="816"/>
      <c r="AJ677" s="816"/>
      <c r="AK677" s="816"/>
      <c r="AL677" s="816"/>
      <c r="AM677" s="816"/>
      <c r="AN677" s="816"/>
      <c r="AO677" s="816"/>
      <c r="AP677" s="816"/>
      <c r="AQ677" s="1521"/>
      <c r="AR677" s="1730"/>
      <c r="AS677" s="1730"/>
      <c r="AT677" s="1730"/>
      <c r="AU677" s="1527"/>
      <c r="AV677" s="817"/>
      <c r="AW677" s="816"/>
      <c r="AX677" s="816"/>
      <c r="AY677" s="816"/>
      <c r="AZ677" s="816"/>
      <c r="BA677" s="816"/>
      <c r="BB677" s="816"/>
      <c r="BC677" s="816"/>
      <c r="BD677" s="816"/>
      <c r="BE677" s="816"/>
      <c r="BF677" s="816"/>
      <c r="BG677" s="816"/>
      <c r="BH677" s="816"/>
      <c r="BI677" s="816"/>
      <c r="BJ677" s="816"/>
      <c r="BK677" s="818"/>
      <c r="BL677" s="1376"/>
      <c r="BM677" s="1377"/>
      <c r="BN677" s="1377"/>
      <c r="BO677" s="1377"/>
      <c r="BP677" s="1440"/>
      <c r="BQ677" s="1420"/>
      <c r="BR677" s="1368"/>
      <c r="BS677" s="1368"/>
      <c r="BT677" s="1368"/>
      <c r="BU677" s="1369"/>
      <c r="BV677" s="1420"/>
      <c r="BW677" s="1368"/>
      <c r="BX677" s="1368"/>
      <c r="BY677" s="1368"/>
      <c r="BZ677" s="1368"/>
      <c r="CA677" s="1420"/>
      <c r="CB677" s="1368"/>
      <c r="CC677" s="1368"/>
      <c r="CD677" s="1368"/>
      <c r="CE677" s="1369"/>
      <c r="CF677" s="1368"/>
      <c r="CG677" s="1368"/>
      <c r="CH677" s="1368"/>
      <c r="CI677" s="1368"/>
      <c r="CJ677" s="1369"/>
      <c r="CK677" s="1420"/>
      <c r="CL677" s="1368"/>
      <c r="CM677" s="1368"/>
      <c r="CN677" s="1368"/>
      <c r="CO677" s="1369"/>
      <c r="CP677" s="1420"/>
      <c r="CQ677" s="1368"/>
      <c r="CR677" s="1368"/>
      <c r="CS677" s="1368"/>
      <c r="CT677" s="1369"/>
      <c r="CU677" s="1528"/>
      <c r="CV677" s="1519"/>
      <c r="CW677" s="1519"/>
      <c r="CX677" s="1728"/>
      <c r="CY677" s="1519"/>
      <c r="CZ677" s="1519"/>
      <c r="DA677" s="1519"/>
      <c r="DB677" s="1728"/>
      <c r="DC677" s="1377"/>
      <c r="DD677" s="1729"/>
      <c r="DE677" s="1734"/>
    </row>
    <row r="678" spans="1:109" ht="15.75" hidden="1" customHeight="1">
      <c r="A678" s="772" t="s">
        <v>1057</v>
      </c>
      <c r="B678" s="773">
        <v>672</v>
      </c>
      <c r="C678" s="789" t="s">
        <v>4728</v>
      </c>
      <c r="D678" s="773" t="s">
        <v>4597</v>
      </c>
      <c r="E678" s="773" t="s">
        <v>1907</v>
      </c>
      <c r="F678" s="785">
        <v>40</v>
      </c>
      <c r="G678" s="790" t="s">
        <v>4729</v>
      </c>
      <c r="H678" s="791" t="s">
        <v>4730</v>
      </c>
      <c r="I678" s="792">
        <v>0</v>
      </c>
      <c r="J678" s="793">
        <v>0</v>
      </c>
      <c r="K678" s="793">
        <v>0</v>
      </c>
      <c r="L678" s="793">
        <v>1</v>
      </c>
      <c r="M678" s="793">
        <v>0</v>
      </c>
      <c r="N678" s="793">
        <v>0</v>
      </c>
      <c r="O678" s="793">
        <v>0</v>
      </c>
      <c r="P678" s="794">
        <v>0</v>
      </c>
      <c r="Q678" s="795">
        <f t="shared" si="10"/>
        <v>1</v>
      </c>
      <c r="R678" s="789" t="s">
        <v>1026</v>
      </c>
      <c r="S678" s="773" t="s">
        <v>1008</v>
      </c>
      <c r="T678" s="796" t="s">
        <v>1009</v>
      </c>
      <c r="U678" s="773" t="s">
        <v>763</v>
      </c>
      <c r="V678" s="773" t="s">
        <v>278</v>
      </c>
      <c r="W678" s="773" t="s">
        <v>4731</v>
      </c>
      <c r="X678" s="829">
        <v>0</v>
      </c>
      <c r="Y678" s="821" t="s">
        <v>1010</v>
      </c>
      <c r="Z678" s="790"/>
      <c r="AA678" s="785"/>
      <c r="AB678" s="785"/>
      <c r="AC678" s="785"/>
      <c r="AD678" s="785"/>
      <c r="AE678" s="785"/>
      <c r="AF678" s="799"/>
      <c r="AG678" s="800"/>
      <c r="AH678" s="800"/>
      <c r="AI678" s="800"/>
      <c r="AJ678" s="800"/>
      <c r="AK678" s="800"/>
      <c r="AL678" s="800"/>
      <c r="AM678" s="800"/>
      <c r="AN678" s="800"/>
      <c r="AO678" s="800"/>
      <c r="AP678" s="800"/>
      <c r="AQ678" s="808">
        <v>100</v>
      </c>
      <c r="AR678" s="800">
        <v>100</v>
      </c>
      <c r="AS678" s="800">
        <v>100</v>
      </c>
      <c r="AT678" s="800">
        <v>100</v>
      </c>
      <c r="AU678" s="805">
        <v>100</v>
      </c>
      <c r="AV678" s="808"/>
      <c r="AW678" s="800"/>
      <c r="AX678" s="800"/>
      <c r="AY678" s="800"/>
      <c r="AZ678" s="800"/>
      <c r="BA678" s="800"/>
      <c r="BB678" s="800"/>
      <c r="BC678" s="800"/>
      <c r="BD678" s="800"/>
      <c r="BE678" s="800"/>
      <c r="BF678" s="800"/>
      <c r="BG678" s="800"/>
      <c r="BH678" s="800"/>
      <c r="BI678" s="800"/>
      <c r="BJ678" s="800"/>
      <c r="BK678" s="805"/>
      <c r="BL678" s="789" t="s">
        <v>168</v>
      </c>
      <c r="BM678" s="785" t="s">
        <v>168</v>
      </c>
      <c r="BN678" s="785" t="s">
        <v>168</v>
      </c>
      <c r="BO678" s="785" t="s">
        <v>168</v>
      </c>
      <c r="BP678" s="796" t="s">
        <v>168</v>
      </c>
      <c r="BQ678" s="808" t="s">
        <v>1942</v>
      </c>
      <c r="BR678" s="800" t="s">
        <v>1942</v>
      </c>
      <c r="BS678" s="800" t="s">
        <v>1942</v>
      </c>
      <c r="BT678" s="800" t="s">
        <v>1942</v>
      </c>
      <c r="BU678" s="805" t="s">
        <v>1942</v>
      </c>
      <c r="BV678" s="808" t="s">
        <v>1942</v>
      </c>
      <c r="BW678" s="800" t="s">
        <v>1942</v>
      </c>
      <c r="BX678" s="800" t="s">
        <v>1942</v>
      </c>
      <c r="BY678" s="800" t="s">
        <v>1942</v>
      </c>
      <c r="BZ678" s="800" t="s">
        <v>1942</v>
      </c>
      <c r="CA678" s="808" t="s">
        <v>1942</v>
      </c>
      <c r="CB678" s="800" t="s">
        <v>1942</v>
      </c>
      <c r="CC678" s="800" t="s">
        <v>1942</v>
      </c>
      <c r="CD678" s="800" t="s">
        <v>1942</v>
      </c>
      <c r="CE678" s="805" t="s">
        <v>1942</v>
      </c>
      <c r="CF678" s="800" t="s">
        <v>1942</v>
      </c>
      <c r="CG678" s="800" t="s">
        <v>1942</v>
      </c>
      <c r="CH678" s="800" t="s">
        <v>1942</v>
      </c>
      <c r="CI678" s="800" t="s">
        <v>1942</v>
      </c>
      <c r="CJ678" s="805" t="s">
        <v>1942</v>
      </c>
      <c r="CK678" s="808" t="s">
        <v>1942</v>
      </c>
      <c r="CL678" s="800" t="s">
        <v>1942</v>
      </c>
      <c r="CM678" s="800" t="s">
        <v>1942</v>
      </c>
      <c r="CN678" s="800" t="s">
        <v>1942</v>
      </c>
      <c r="CO678" s="805" t="s">
        <v>1942</v>
      </c>
      <c r="CP678" s="808" t="s">
        <v>1942</v>
      </c>
      <c r="CQ678" s="800" t="s">
        <v>1942</v>
      </c>
      <c r="CR678" s="800" t="s">
        <v>1942</v>
      </c>
      <c r="CS678" s="800" t="s">
        <v>1942</v>
      </c>
      <c r="CT678" s="805" t="s">
        <v>1942</v>
      </c>
      <c r="CU678" s="1284">
        <v>-0.502</v>
      </c>
      <c r="CV678" s="1283" t="s">
        <v>1942</v>
      </c>
      <c r="CW678" s="1283" t="s">
        <v>1942</v>
      </c>
      <c r="CX678" s="1285" t="s">
        <v>1942</v>
      </c>
      <c r="CY678" s="1283" t="s">
        <v>1942</v>
      </c>
      <c r="CZ678" s="1283" t="s">
        <v>1942</v>
      </c>
      <c r="DA678" s="1283" t="s">
        <v>1942</v>
      </c>
      <c r="DB678" s="1285" t="s">
        <v>1942</v>
      </c>
      <c r="DC678" s="785"/>
      <c r="DD678" s="813">
        <v>1</v>
      </c>
      <c r="DE678" s="814"/>
    </row>
    <row r="679" spans="1:109" ht="15.75" hidden="1" customHeight="1">
      <c r="A679" s="772" t="s">
        <v>1057</v>
      </c>
      <c r="B679" s="773">
        <v>673</v>
      </c>
      <c r="C679" s="789" t="s">
        <v>4732</v>
      </c>
      <c r="D679" s="773" t="s">
        <v>4597</v>
      </c>
      <c r="E679" s="773" t="s">
        <v>1889</v>
      </c>
      <c r="F679" s="785">
        <v>41</v>
      </c>
      <c r="G679" s="790" t="s">
        <v>4733</v>
      </c>
      <c r="H679" s="791" t="s">
        <v>4734</v>
      </c>
      <c r="I679" s="792">
        <v>0</v>
      </c>
      <c r="J679" s="793">
        <v>0</v>
      </c>
      <c r="K679" s="793">
        <v>0</v>
      </c>
      <c r="L679" s="793">
        <v>1</v>
      </c>
      <c r="M679" s="793">
        <v>0</v>
      </c>
      <c r="N679" s="793">
        <v>0</v>
      </c>
      <c r="O679" s="793">
        <v>0</v>
      </c>
      <c r="P679" s="794">
        <v>0</v>
      </c>
      <c r="Q679" s="795">
        <f t="shared" si="10"/>
        <v>1</v>
      </c>
      <c r="R679" s="789" t="s">
        <v>1007</v>
      </c>
      <c r="S679" s="773"/>
      <c r="T679" s="796"/>
      <c r="U679" s="773" t="s">
        <v>2132</v>
      </c>
      <c r="V679" s="773" t="s">
        <v>1033</v>
      </c>
      <c r="W679" s="773" t="s">
        <v>4735</v>
      </c>
      <c r="X679" s="1309">
        <v>0</v>
      </c>
      <c r="Y679" s="821" t="s">
        <v>1010</v>
      </c>
      <c r="Z679" s="790"/>
      <c r="AA679" s="785"/>
      <c r="AB679" s="785"/>
      <c r="AC679" s="785"/>
      <c r="AD679" s="785"/>
      <c r="AE679" s="785"/>
      <c r="AF679" s="799"/>
      <c r="AG679" s="800"/>
      <c r="AH679" s="800"/>
      <c r="AI679" s="800"/>
      <c r="AJ679" s="800"/>
      <c r="AK679" s="800"/>
      <c r="AL679" s="800"/>
      <c r="AM679" s="800"/>
      <c r="AN679" s="800"/>
      <c r="AO679" s="800"/>
      <c r="AP679" s="800"/>
      <c r="AQ679" s="808">
        <v>269</v>
      </c>
      <c r="AR679" s="800">
        <v>284</v>
      </c>
      <c r="AS679" s="800">
        <v>286</v>
      </c>
      <c r="AT679" s="800">
        <v>290</v>
      </c>
      <c r="AU679" s="805">
        <v>290</v>
      </c>
      <c r="AV679" s="808"/>
      <c r="AW679" s="800"/>
      <c r="AX679" s="800"/>
      <c r="AY679" s="800"/>
      <c r="AZ679" s="800"/>
      <c r="BA679" s="800"/>
      <c r="BB679" s="800"/>
      <c r="BC679" s="800"/>
      <c r="BD679" s="800"/>
      <c r="BE679" s="800"/>
      <c r="BF679" s="800"/>
      <c r="BG679" s="800"/>
      <c r="BH679" s="800"/>
      <c r="BI679" s="800"/>
      <c r="BJ679" s="800"/>
      <c r="BK679" s="805"/>
      <c r="BL679" s="789"/>
      <c r="BM679" s="785"/>
      <c r="BN679" s="785"/>
      <c r="BO679" s="785"/>
      <c r="BP679" s="796"/>
      <c r="BQ679" s="808" t="s">
        <v>1942</v>
      </c>
      <c r="BR679" s="800" t="s">
        <v>1942</v>
      </c>
      <c r="BS679" s="800" t="s">
        <v>1942</v>
      </c>
      <c r="BT679" s="800" t="s">
        <v>1942</v>
      </c>
      <c r="BU679" s="805" t="s">
        <v>1942</v>
      </c>
      <c r="BV679" s="808" t="s">
        <v>1942</v>
      </c>
      <c r="BW679" s="800" t="s">
        <v>1942</v>
      </c>
      <c r="BX679" s="800" t="s">
        <v>1942</v>
      </c>
      <c r="BY679" s="800" t="s">
        <v>1942</v>
      </c>
      <c r="BZ679" s="800" t="s">
        <v>1942</v>
      </c>
      <c r="CA679" s="808" t="s">
        <v>1942</v>
      </c>
      <c r="CB679" s="800" t="s">
        <v>1942</v>
      </c>
      <c r="CC679" s="800" t="s">
        <v>1942</v>
      </c>
      <c r="CD679" s="800" t="s">
        <v>1942</v>
      </c>
      <c r="CE679" s="805" t="s">
        <v>1942</v>
      </c>
      <c r="CF679" s="800" t="s">
        <v>1942</v>
      </c>
      <c r="CG679" s="800" t="s">
        <v>1942</v>
      </c>
      <c r="CH679" s="800" t="s">
        <v>1942</v>
      </c>
      <c r="CI679" s="800" t="s">
        <v>1942</v>
      </c>
      <c r="CJ679" s="805" t="s">
        <v>1942</v>
      </c>
      <c r="CK679" s="808" t="s">
        <v>1942</v>
      </c>
      <c r="CL679" s="800" t="s">
        <v>1942</v>
      </c>
      <c r="CM679" s="800" t="s">
        <v>1942</v>
      </c>
      <c r="CN679" s="800" t="s">
        <v>1942</v>
      </c>
      <c r="CO679" s="805" t="s">
        <v>1942</v>
      </c>
      <c r="CP679" s="808" t="s">
        <v>1942</v>
      </c>
      <c r="CQ679" s="800" t="s">
        <v>1942</v>
      </c>
      <c r="CR679" s="800" t="s">
        <v>1942</v>
      </c>
      <c r="CS679" s="800" t="s">
        <v>1942</v>
      </c>
      <c r="CT679" s="805" t="s">
        <v>1942</v>
      </c>
      <c r="CU679" s="1284" t="s">
        <v>1942</v>
      </c>
      <c r="CV679" s="1283" t="s">
        <v>1942</v>
      </c>
      <c r="CW679" s="1283" t="s">
        <v>1942</v>
      </c>
      <c r="CX679" s="1285" t="s">
        <v>1942</v>
      </c>
      <c r="CY679" s="1283" t="s">
        <v>1942</v>
      </c>
      <c r="CZ679" s="1283" t="s">
        <v>1942</v>
      </c>
      <c r="DA679" s="1283" t="s">
        <v>1942</v>
      </c>
      <c r="DB679" s="1285" t="s">
        <v>1942</v>
      </c>
      <c r="DC679" s="785"/>
      <c r="DD679" s="813">
        <v>1</v>
      </c>
      <c r="DE679" s="814"/>
    </row>
    <row r="680" spans="1:109" ht="15.75" hidden="1" customHeight="1">
      <c r="A680" s="772" t="s">
        <v>1057</v>
      </c>
      <c r="B680" s="773">
        <v>674</v>
      </c>
      <c r="C680" s="789" t="s">
        <v>4736</v>
      </c>
      <c r="D680" s="773"/>
      <c r="E680" s="773"/>
      <c r="F680" s="785" t="s">
        <v>2032</v>
      </c>
      <c r="G680" s="790" t="s">
        <v>2033</v>
      </c>
      <c r="H680" s="791"/>
      <c r="I680" s="792"/>
      <c r="J680" s="793"/>
      <c r="K680" s="793"/>
      <c r="L680" s="793"/>
      <c r="M680" s="793"/>
      <c r="N680" s="793"/>
      <c r="O680" s="793"/>
      <c r="P680" s="794"/>
      <c r="Q680" s="795">
        <f t="shared" si="10"/>
        <v>0</v>
      </c>
      <c r="R680" s="789" t="s">
        <v>1007</v>
      </c>
      <c r="S680" s="773"/>
      <c r="T680" s="796"/>
      <c r="U680" s="773"/>
      <c r="V680" s="773" t="s">
        <v>1072</v>
      </c>
      <c r="W680" s="773" t="s">
        <v>2034</v>
      </c>
      <c r="X680" s="829">
        <v>0</v>
      </c>
      <c r="Y680" s="819"/>
      <c r="Z680" s="790"/>
      <c r="AA680" s="785"/>
      <c r="AB680" s="785"/>
      <c r="AC680" s="785"/>
      <c r="AD680" s="785"/>
      <c r="AE680" s="785"/>
      <c r="AF680" s="799"/>
      <c r="AG680" s="800"/>
      <c r="AH680" s="800"/>
      <c r="AI680" s="800"/>
      <c r="AJ680" s="800"/>
      <c r="AK680" s="800"/>
      <c r="AL680" s="800"/>
      <c r="AM680" s="800"/>
      <c r="AN680" s="800"/>
      <c r="AO680" s="800"/>
      <c r="AP680" s="800"/>
      <c r="AQ680" s="808" t="s">
        <v>591</v>
      </c>
      <c r="AR680" s="800" t="s">
        <v>591</v>
      </c>
      <c r="AS680" s="800" t="s">
        <v>591</v>
      </c>
      <c r="AT680" s="800" t="s">
        <v>591</v>
      </c>
      <c r="AU680" s="805" t="s">
        <v>591</v>
      </c>
      <c r="AV680" s="808"/>
      <c r="AW680" s="800"/>
      <c r="AX680" s="800"/>
      <c r="AY680" s="800"/>
      <c r="AZ680" s="800"/>
      <c r="BA680" s="800"/>
      <c r="BB680" s="800"/>
      <c r="BC680" s="800"/>
      <c r="BD680" s="800"/>
      <c r="BE680" s="800"/>
      <c r="BF680" s="800"/>
      <c r="BG680" s="800"/>
      <c r="BH680" s="800"/>
      <c r="BI680" s="800"/>
      <c r="BJ680" s="800"/>
      <c r="BK680" s="805"/>
      <c r="BL680" s="789"/>
      <c r="BM680" s="785"/>
      <c r="BN680" s="785"/>
      <c r="BO680" s="785"/>
      <c r="BP680" s="796"/>
      <c r="BQ680" s="808" t="s">
        <v>1942</v>
      </c>
      <c r="BR680" s="800" t="s">
        <v>1942</v>
      </c>
      <c r="BS680" s="800" t="s">
        <v>1942</v>
      </c>
      <c r="BT680" s="800" t="s">
        <v>1942</v>
      </c>
      <c r="BU680" s="805" t="s">
        <v>1942</v>
      </c>
      <c r="BV680" s="808" t="s">
        <v>1942</v>
      </c>
      <c r="BW680" s="800" t="s">
        <v>1942</v>
      </c>
      <c r="BX680" s="800" t="s">
        <v>1942</v>
      </c>
      <c r="BY680" s="800" t="s">
        <v>1942</v>
      </c>
      <c r="BZ680" s="800" t="s">
        <v>1942</v>
      </c>
      <c r="CA680" s="808" t="s">
        <v>1942</v>
      </c>
      <c r="CB680" s="800" t="s">
        <v>1942</v>
      </c>
      <c r="CC680" s="800" t="s">
        <v>1942</v>
      </c>
      <c r="CD680" s="800" t="s">
        <v>1942</v>
      </c>
      <c r="CE680" s="805" t="s">
        <v>1942</v>
      </c>
      <c r="CF680" s="800" t="s">
        <v>1942</v>
      </c>
      <c r="CG680" s="800" t="s">
        <v>1942</v>
      </c>
      <c r="CH680" s="800" t="s">
        <v>1942</v>
      </c>
      <c r="CI680" s="800" t="s">
        <v>1942</v>
      </c>
      <c r="CJ680" s="805" t="s">
        <v>1942</v>
      </c>
      <c r="CK680" s="808" t="s">
        <v>1942</v>
      </c>
      <c r="CL680" s="800" t="s">
        <v>1942</v>
      </c>
      <c r="CM680" s="800" t="s">
        <v>1942</v>
      </c>
      <c r="CN680" s="800" t="s">
        <v>1942</v>
      </c>
      <c r="CO680" s="805" t="s">
        <v>1942</v>
      </c>
      <c r="CP680" s="808" t="s">
        <v>1942</v>
      </c>
      <c r="CQ680" s="800" t="s">
        <v>1942</v>
      </c>
      <c r="CR680" s="800" t="s">
        <v>1942</v>
      </c>
      <c r="CS680" s="800" t="s">
        <v>1942</v>
      </c>
      <c r="CT680" s="805" t="s">
        <v>1942</v>
      </c>
      <c r="CU680" s="1284" t="s">
        <v>1942</v>
      </c>
      <c r="CV680" s="1283" t="s">
        <v>1942</v>
      </c>
      <c r="CW680" s="1283" t="s">
        <v>1942</v>
      </c>
      <c r="CX680" s="1285" t="s">
        <v>1942</v>
      </c>
      <c r="CY680" s="1283" t="s">
        <v>1942</v>
      </c>
      <c r="CZ680" s="1283" t="s">
        <v>1942</v>
      </c>
      <c r="DA680" s="1283" t="s">
        <v>1942</v>
      </c>
      <c r="DB680" s="1285" t="s">
        <v>1942</v>
      </c>
      <c r="DC680" s="785"/>
      <c r="DD680" s="813"/>
      <c r="DE680" s="814"/>
    </row>
    <row r="681" spans="1:109" ht="15.75" hidden="1" customHeight="1" thickBot="1">
      <c r="A681" s="951" t="s">
        <v>1057</v>
      </c>
      <c r="B681" s="952">
        <v>675</v>
      </c>
      <c r="C681" s="953" t="s">
        <v>4737</v>
      </c>
      <c r="D681" s="952" t="s">
        <v>4635</v>
      </c>
      <c r="E681" s="952" t="s">
        <v>1907</v>
      </c>
      <c r="F681" s="954">
        <v>42</v>
      </c>
      <c r="G681" s="955" t="s">
        <v>703</v>
      </c>
      <c r="H681" s="956" t="s">
        <v>4738</v>
      </c>
      <c r="I681" s="957">
        <v>0</v>
      </c>
      <c r="J681" s="958">
        <v>0</v>
      </c>
      <c r="K681" s="958">
        <v>0</v>
      </c>
      <c r="L681" s="958">
        <v>0</v>
      </c>
      <c r="M681" s="958">
        <v>1</v>
      </c>
      <c r="N681" s="958">
        <v>0</v>
      </c>
      <c r="O681" s="958">
        <v>0</v>
      </c>
      <c r="P681" s="959">
        <v>0</v>
      </c>
      <c r="Q681" s="960">
        <f t="shared" si="10"/>
        <v>1</v>
      </c>
      <c r="R681" s="953" t="s">
        <v>1007</v>
      </c>
      <c r="S681" s="952"/>
      <c r="T681" s="961"/>
      <c r="U681" s="952" t="s">
        <v>2677</v>
      </c>
      <c r="V681" s="952" t="s">
        <v>278</v>
      </c>
      <c r="W681" s="952" t="s">
        <v>4739</v>
      </c>
      <c r="X681" s="1272">
        <v>1</v>
      </c>
      <c r="Y681" s="963" t="s">
        <v>1010</v>
      </c>
      <c r="Z681" s="955" t="s">
        <v>703</v>
      </c>
      <c r="AA681" s="954"/>
      <c r="AB681" s="954"/>
      <c r="AC681" s="954"/>
      <c r="AD681" s="954"/>
      <c r="AE681" s="954"/>
      <c r="AF681" s="964"/>
      <c r="AG681" s="962"/>
      <c r="AH681" s="962"/>
      <c r="AI681" s="962"/>
      <c r="AJ681" s="962"/>
      <c r="AK681" s="962"/>
      <c r="AL681" s="962"/>
      <c r="AM681" s="962"/>
      <c r="AN681" s="962"/>
      <c r="AO681" s="962"/>
      <c r="AP681" s="962"/>
      <c r="AQ681" s="1796"/>
      <c r="AR681" s="1797"/>
      <c r="AS681" s="1797"/>
      <c r="AT681" s="1797"/>
      <c r="AU681" s="1798"/>
      <c r="AV681" s="965"/>
      <c r="AW681" s="962"/>
      <c r="AX681" s="962"/>
      <c r="AY681" s="962"/>
      <c r="AZ681" s="962"/>
      <c r="BA681" s="962"/>
      <c r="BB681" s="962"/>
      <c r="BC681" s="962"/>
      <c r="BD681" s="962"/>
      <c r="BE681" s="962"/>
      <c r="BF681" s="962"/>
      <c r="BG681" s="962"/>
      <c r="BH681" s="962"/>
      <c r="BI681" s="962"/>
      <c r="BJ681" s="962"/>
      <c r="BK681" s="966"/>
      <c r="BL681" s="1799"/>
      <c r="BM681" s="1800"/>
      <c r="BN681" s="1800"/>
      <c r="BO681" s="1800"/>
      <c r="BP681" s="1801"/>
      <c r="BQ681" s="1796"/>
      <c r="BR681" s="1797"/>
      <c r="BS681" s="1797"/>
      <c r="BT681" s="1797"/>
      <c r="BU681" s="1798"/>
      <c r="BV681" s="1796"/>
      <c r="BW681" s="1797"/>
      <c r="BX681" s="1797"/>
      <c r="BY681" s="1797"/>
      <c r="BZ681" s="1797"/>
      <c r="CA681" s="1796"/>
      <c r="CB681" s="1797"/>
      <c r="CC681" s="1797"/>
      <c r="CD681" s="1797"/>
      <c r="CE681" s="1798"/>
      <c r="CF681" s="1797"/>
      <c r="CG681" s="1797"/>
      <c r="CH681" s="1797"/>
      <c r="CI681" s="1797"/>
      <c r="CJ681" s="1798"/>
      <c r="CK681" s="1796"/>
      <c r="CL681" s="1797"/>
      <c r="CM681" s="1797"/>
      <c r="CN681" s="1797"/>
      <c r="CO681" s="1798"/>
      <c r="CP681" s="1796"/>
      <c r="CQ681" s="1797"/>
      <c r="CR681" s="1797"/>
      <c r="CS681" s="1797"/>
      <c r="CT681" s="1798"/>
      <c r="CU681" s="1802"/>
      <c r="CV681" s="1803"/>
      <c r="CW681" s="1803"/>
      <c r="CX681" s="1804"/>
      <c r="CY681" s="1802"/>
      <c r="CZ681" s="1803"/>
      <c r="DA681" s="1803"/>
      <c r="DB681" s="1804"/>
      <c r="DC681" s="1800"/>
      <c r="DD681" s="1805"/>
      <c r="DE681" s="1806"/>
    </row>
    <row r="682" spans="1:109" ht="25.9" hidden="1" customHeight="1">
      <c r="A682" s="1250" t="s">
        <v>1057</v>
      </c>
      <c r="B682" s="1251">
        <v>676</v>
      </c>
      <c r="C682" s="1252" t="s">
        <v>4740</v>
      </c>
      <c r="D682" s="1251" t="s">
        <v>4741</v>
      </c>
      <c r="E682" s="1251" t="s">
        <v>4742</v>
      </c>
      <c r="F682" s="1253"/>
      <c r="G682" s="1254" t="s">
        <v>4741</v>
      </c>
      <c r="H682" s="1255" t="s">
        <v>4743</v>
      </c>
      <c r="I682" s="1256"/>
      <c r="J682" s="1257"/>
      <c r="K682" s="1257">
        <v>1</v>
      </c>
      <c r="L682" s="1257"/>
      <c r="M682" s="1257"/>
      <c r="N682" s="1257"/>
      <c r="O682" s="1257"/>
      <c r="P682" s="1258"/>
      <c r="Q682" s="795">
        <f t="shared" si="10"/>
        <v>1</v>
      </c>
      <c r="R682" s="1252" t="s">
        <v>1026</v>
      </c>
      <c r="S682" s="1529" t="s">
        <v>1008</v>
      </c>
      <c r="T682" s="1260" t="s">
        <v>1019</v>
      </c>
      <c r="U682" s="1251" t="s">
        <v>2058</v>
      </c>
      <c r="V682" s="1251" t="s">
        <v>123</v>
      </c>
      <c r="W682" s="1251"/>
      <c r="X682" s="1530">
        <v>3</v>
      </c>
      <c r="Y682" s="1262" t="s">
        <v>1010</v>
      </c>
      <c r="Z682" s="1254"/>
      <c r="AA682" s="1253"/>
      <c r="AB682" s="1253"/>
      <c r="AC682" s="1253"/>
      <c r="AD682" s="1253"/>
      <c r="AE682" s="1253"/>
      <c r="AF682" s="1263"/>
      <c r="AG682" s="1261"/>
      <c r="AH682" s="1261"/>
      <c r="AI682" s="1261"/>
      <c r="AJ682" s="1261"/>
      <c r="AK682" s="1261"/>
      <c r="AL682" s="1261"/>
      <c r="AM682" s="1261"/>
      <c r="AN682" s="1261"/>
      <c r="AO682" s="1261"/>
      <c r="AP682" s="1261"/>
      <c r="AQ682" s="1264" t="s">
        <v>1942</v>
      </c>
      <c r="AR682" s="1261" t="s">
        <v>1942</v>
      </c>
      <c r="AS682" s="1261" t="s">
        <v>1942</v>
      </c>
      <c r="AT682" s="1261" t="s">
        <v>1942</v>
      </c>
      <c r="AU682" s="1520" t="s">
        <v>4744</v>
      </c>
      <c r="AV682" s="1264"/>
      <c r="AW682" s="1261"/>
      <c r="AX682" s="1261"/>
      <c r="AY682" s="1261"/>
      <c r="AZ682" s="1261"/>
      <c r="BA682" s="1261"/>
      <c r="BB682" s="1261"/>
      <c r="BC682" s="1261"/>
      <c r="BD682" s="1261"/>
      <c r="BE682" s="1261"/>
      <c r="BF682" s="1261"/>
      <c r="BG682" s="1261"/>
      <c r="BH682" s="1261"/>
      <c r="BI682" s="1261"/>
      <c r="BJ682" s="1261"/>
      <c r="BK682" s="1265"/>
      <c r="BL682" s="1252"/>
      <c r="BM682" s="1253"/>
      <c r="BN682" s="1253"/>
      <c r="BO682" s="1253"/>
      <c r="BP682" s="1260" t="s">
        <v>168</v>
      </c>
      <c r="BQ682" s="1264" t="s">
        <v>1942</v>
      </c>
      <c r="BR682" s="1261" t="s">
        <v>1942</v>
      </c>
      <c r="BS682" s="1261" t="s">
        <v>1942</v>
      </c>
      <c r="BT682" s="1261" t="s">
        <v>1942</v>
      </c>
      <c r="BU682" s="1265" t="s">
        <v>1942</v>
      </c>
      <c r="BV682" s="1264" t="s">
        <v>1942</v>
      </c>
      <c r="BW682" s="1261" t="s">
        <v>1942</v>
      </c>
      <c r="BX682" s="1261" t="s">
        <v>1942</v>
      </c>
      <c r="BY682" s="1261" t="s">
        <v>1942</v>
      </c>
      <c r="BZ682" s="1261" t="s">
        <v>1942</v>
      </c>
      <c r="CA682" s="1264" t="s">
        <v>1942</v>
      </c>
      <c r="CB682" s="1261" t="s">
        <v>1942</v>
      </c>
      <c r="CC682" s="1261" t="s">
        <v>1942</v>
      </c>
      <c r="CD682" s="1261" t="s">
        <v>1942</v>
      </c>
      <c r="CE682" s="1265" t="s">
        <v>1942</v>
      </c>
      <c r="CF682" s="1261" t="s">
        <v>1942</v>
      </c>
      <c r="CG682" s="1261" t="s">
        <v>1942</v>
      </c>
      <c r="CH682" s="1261" t="s">
        <v>1942</v>
      </c>
      <c r="CI682" s="1261" t="s">
        <v>1942</v>
      </c>
      <c r="CJ682" s="1265" t="s">
        <v>1942</v>
      </c>
      <c r="CK682" s="1264" t="s">
        <v>1942</v>
      </c>
      <c r="CL682" s="1261" t="s">
        <v>1942</v>
      </c>
      <c r="CM682" s="1261" t="s">
        <v>1942</v>
      </c>
      <c r="CN682" s="1261" t="s">
        <v>1942</v>
      </c>
      <c r="CO682" s="1265" t="s">
        <v>1942</v>
      </c>
      <c r="CP682" s="1264" t="s">
        <v>1942</v>
      </c>
      <c r="CQ682" s="1261" t="s">
        <v>1942</v>
      </c>
      <c r="CR682" s="1261" t="s">
        <v>1942</v>
      </c>
      <c r="CS682" s="1261" t="s">
        <v>1942</v>
      </c>
      <c r="CT682" s="1265" t="s">
        <v>1942</v>
      </c>
      <c r="CU682" s="1292" t="s">
        <v>1942</v>
      </c>
      <c r="CV682" s="1293" t="s">
        <v>1942</v>
      </c>
      <c r="CW682" s="1293" t="s">
        <v>1942</v>
      </c>
      <c r="CX682" s="1294" t="s">
        <v>1942</v>
      </c>
      <c r="CY682" s="1293" t="s">
        <v>1942</v>
      </c>
      <c r="CZ682" s="1293" t="s">
        <v>1942</v>
      </c>
      <c r="DA682" s="1293" t="s">
        <v>1942</v>
      </c>
      <c r="DB682" s="1294" t="s">
        <v>1942</v>
      </c>
      <c r="DC682" s="1253"/>
      <c r="DD682" s="1269">
        <v>1</v>
      </c>
      <c r="DE682" s="1270"/>
    </row>
    <row r="683" spans="1:109" ht="15.75" hidden="1" customHeight="1">
      <c r="A683" s="1250" t="s">
        <v>1015</v>
      </c>
      <c r="B683" s="1251">
        <v>677</v>
      </c>
      <c r="C683" s="1252" t="s">
        <v>4745</v>
      </c>
      <c r="D683" s="1251" t="s">
        <v>4746</v>
      </c>
      <c r="E683" s="1251" t="s">
        <v>4742</v>
      </c>
      <c r="F683" s="1260"/>
      <c r="G683" s="1254" t="s">
        <v>4746</v>
      </c>
      <c r="H683" s="1251" t="s">
        <v>4746</v>
      </c>
      <c r="I683" s="1256"/>
      <c r="J683" s="1257"/>
      <c r="K683" s="1257"/>
      <c r="L683" s="1257">
        <v>1</v>
      </c>
      <c r="M683" s="1257"/>
      <c r="N683" s="1257"/>
      <c r="O683" s="1257"/>
      <c r="P683" s="1258"/>
      <c r="Q683" s="795">
        <f t="shared" si="10"/>
        <v>1</v>
      </c>
      <c r="R683" s="1252" t="s">
        <v>1026</v>
      </c>
      <c r="S683" s="1251" t="s">
        <v>1018</v>
      </c>
      <c r="T683" s="1260" t="s">
        <v>1019</v>
      </c>
      <c r="U683" s="1251" t="s">
        <v>763</v>
      </c>
      <c r="V683" s="1251" t="s">
        <v>278</v>
      </c>
      <c r="W683" s="1251" t="s">
        <v>4747</v>
      </c>
      <c r="X683" s="1273">
        <v>1</v>
      </c>
      <c r="Y683" s="1262" t="s">
        <v>1010</v>
      </c>
      <c r="Z683" s="1254"/>
      <c r="AA683" s="1253"/>
      <c r="AB683" s="1253"/>
      <c r="AC683" s="1253"/>
      <c r="AD683" s="1253"/>
      <c r="AE683" s="1253"/>
      <c r="AF683" s="1263"/>
      <c r="AG683" s="1261"/>
      <c r="AH683" s="1261"/>
      <c r="AI683" s="1261"/>
      <c r="AJ683" s="1261"/>
      <c r="AK683" s="1261"/>
      <c r="AL683" s="1261"/>
      <c r="AM683" s="1261"/>
      <c r="AN683" s="1261"/>
      <c r="AO683" s="1261"/>
      <c r="AP683" s="1261"/>
      <c r="AQ683" s="1264" t="s">
        <v>1942</v>
      </c>
      <c r="AR683" s="1261" t="s">
        <v>1942</v>
      </c>
      <c r="AS683" s="1261" t="s">
        <v>1942</v>
      </c>
      <c r="AT683" s="1261" t="s">
        <v>1942</v>
      </c>
      <c r="AU683" s="1265">
        <v>100</v>
      </c>
      <c r="AV683" s="1264"/>
      <c r="AW683" s="1261"/>
      <c r="AX683" s="1261"/>
      <c r="AY683" s="1261"/>
      <c r="AZ683" s="1261"/>
      <c r="BA683" s="1261"/>
      <c r="BB683" s="1261"/>
      <c r="BC683" s="1261"/>
      <c r="BD683" s="1261"/>
      <c r="BE683" s="1261"/>
      <c r="BF683" s="1261"/>
      <c r="BG683" s="1261"/>
      <c r="BH683" s="1261"/>
      <c r="BI683" s="1261"/>
      <c r="BJ683" s="1261"/>
      <c r="BK683" s="1265"/>
      <c r="BL683" s="1252"/>
      <c r="BM683" s="1253"/>
      <c r="BN683" s="1253"/>
      <c r="BO683" s="1253"/>
      <c r="BP683" s="1260" t="s">
        <v>168</v>
      </c>
      <c r="BQ683" s="1264" t="s">
        <v>1942</v>
      </c>
      <c r="BR683" s="1261" t="s">
        <v>1942</v>
      </c>
      <c r="BS683" s="1261" t="s">
        <v>1942</v>
      </c>
      <c r="BT683" s="1261" t="s">
        <v>1942</v>
      </c>
      <c r="BU683" s="1265" t="s">
        <v>1942</v>
      </c>
      <c r="BV683" s="1264" t="s">
        <v>1942</v>
      </c>
      <c r="BW683" s="1261" t="s">
        <v>1942</v>
      </c>
      <c r="BX683" s="1261" t="s">
        <v>1942</v>
      </c>
      <c r="BY683" s="1261" t="s">
        <v>1942</v>
      </c>
      <c r="BZ683" s="1261" t="s">
        <v>1942</v>
      </c>
      <c r="CA683" s="1264" t="s">
        <v>1942</v>
      </c>
      <c r="CB683" s="1261" t="s">
        <v>1942</v>
      </c>
      <c r="CC683" s="1261" t="s">
        <v>1942</v>
      </c>
      <c r="CD683" s="1261" t="s">
        <v>1942</v>
      </c>
      <c r="CE683" s="1265" t="s">
        <v>1942</v>
      </c>
      <c r="CF683" s="1261" t="s">
        <v>1942</v>
      </c>
      <c r="CG683" s="1261" t="s">
        <v>1942</v>
      </c>
      <c r="CH683" s="1261" t="s">
        <v>1942</v>
      </c>
      <c r="CI683" s="1261" t="s">
        <v>1942</v>
      </c>
      <c r="CJ683" s="1265" t="s">
        <v>1942</v>
      </c>
      <c r="CK683" s="1264" t="s">
        <v>1942</v>
      </c>
      <c r="CL683" s="1261" t="s">
        <v>1942</v>
      </c>
      <c r="CM683" s="1261" t="s">
        <v>1942</v>
      </c>
      <c r="CN683" s="1261" t="s">
        <v>1942</v>
      </c>
      <c r="CO683" s="1265" t="s">
        <v>1942</v>
      </c>
      <c r="CP683" s="1264" t="s">
        <v>1942</v>
      </c>
      <c r="CQ683" s="1261" t="s">
        <v>1942</v>
      </c>
      <c r="CR683" s="1261" t="s">
        <v>1942</v>
      </c>
      <c r="CS683" s="1261" t="s">
        <v>1942</v>
      </c>
      <c r="CT683" s="1265" t="s">
        <v>1942</v>
      </c>
      <c r="CU683" s="2001">
        <v>-4.7699999999999999E-2</v>
      </c>
      <c r="CV683" s="1293" t="s">
        <v>1942</v>
      </c>
      <c r="CW683" s="1293" t="s">
        <v>1942</v>
      </c>
      <c r="CX683" s="1294" t="s">
        <v>1942</v>
      </c>
      <c r="CY683" s="1293" t="s">
        <v>1942</v>
      </c>
      <c r="CZ683" s="1293" t="s">
        <v>1942</v>
      </c>
      <c r="DA683" s="1293" t="s">
        <v>1942</v>
      </c>
      <c r="DB683" s="1294" t="s">
        <v>1942</v>
      </c>
      <c r="DC683" s="1253"/>
      <c r="DD683" s="1269">
        <v>1</v>
      </c>
      <c r="DE683" s="1270"/>
    </row>
    <row r="684" spans="1:109" ht="15.75" hidden="1" customHeight="1">
      <c r="A684" s="1964" t="s">
        <v>1036</v>
      </c>
      <c r="B684" s="1965">
        <v>678</v>
      </c>
      <c r="C684" s="1966" t="s">
        <v>4748</v>
      </c>
      <c r="D684" s="1965" t="s">
        <v>4749</v>
      </c>
      <c r="E684" s="1965" t="s">
        <v>4750</v>
      </c>
      <c r="F684" s="1967"/>
      <c r="G684" s="1968" t="s">
        <v>4751</v>
      </c>
      <c r="H684" s="1969" t="s">
        <v>4752</v>
      </c>
      <c r="I684" s="1970">
        <v>0.1</v>
      </c>
      <c r="J684" s="1971"/>
      <c r="K684" s="1971">
        <v>0.9</v>
      </c>
      <c r="L684" s="1971"/>
      <c r="M684" s="1971"/>
      <c r="N684" s="1971"/>
      <c r="O684" s="1971"/>
      <c r="P684" s="1972"/>
      <c r="Q684" s="1973">
        <f t="shared" si="10"/>
        <v>1</v>
      </c>
      <c r="R684" s="1966" t="s">
        <v>1030</v>
      </c>
      <c r="S684" s="1965" t="s">
        <v>1008</v>
      </c>
      <c r="T684" s="1967" t="s">
        <v>1019</v>
      </c>
      <c r="U684" s="1965" t="s">
        <v>2106</v>
      </c>
      <c r="V684" s="1965" t="s">
        <v>1033</v>
      </c>
      <c r="W684" s="1965" t="s">
        <v>3458</v>
      </c>
      <c r="X684" s="1974">
        <v>0</v>
      </c>
      <c r="Y684" s="1975" t="s">
        <v>1010</v>
      </c>
      <c r="Z684" s="1968"/>
      <c r="AA684" s="1976"/>
      <c r="AB684" s="1976"/>
      <c r="AC684" s="1976"/>
      <c r="AD684" s="1976"/>
      <c r="AE684" s="1976"/>
      <c r="AF684" s="1977"/>
      <c r="AG684" s="1974"/>
      <c r="AH684" s="1974"/>
      <c r="AI684" s="1974"/>
      <c r="AJ684" s="1974"/>
      <c r="AK684" s="1974"/>
      <c r="AL684" s="1974"/>
      <c r="AM684" s="1974"/>
      <c r="AN684" s="1974"/>
      <c r="AO684" s="1974"/>
      <c r="AP684" s="1974"/>
      <c r="AQ684" s="1978"/>
      <c r="AR684" s="1974"/>
      <c r="AS684" s="1974"/>
      <c r="AT684" s="1974"/>
      <c r="AU684" s="1979">
        <v>7</v>
      </c>
      <c r="AV684" s="1978"/>
      <c r="AW684" s="1974"/>
      <c r="AX684" s="1974"/>
      <c r="AY684" s="1974"/>
      <c r="AZ684" s="1974"/>
      <c r="BA684" s="1974"/>
      <c r="BB684" s="1974"/>
      <c r="BC684" s="1974"/>
      <c r="BD684" s="1974"/>
      <c r="BE684" s="1974"/>
      <c r="BF684" s="1974"/>
      <c r="BG684" s="1974"/>
      <c r="BH684" s="1974"/>
      <c r="BI684" s="1974"/>
      <c r="BJ684" s="1974"/>
      <c r="BK684" s="1979"/>
      <c r="BL684" s="1966"/>
      <c r="BM684" s="1976"/>
      <c r="BN684" s="1976"/>
      <c r="BO684" s="1976"/>
      <c r="BP684" s="1967" t="s">
        <v>168</v>
      </c>
      <c r="BQ684" s="1978"/>
      <c r="BR684" s="1974"/>
      <c r="BS684" s="1974"/>
      <c r="BT684" s="1974"/>
      <c r="BU684" s="1979"/>
      <c r="BV684" s="1978"/>
      <c r="BW684" s="1974"/>
      <c r="BX684" s="1974"/>
      <c r="BY684" s="1974"/>
      <c r="BZ684" s="1974"/>
      <c r="CA684" s="1978"/>
      <c r="CB684" s="1974"/>
      <c r="CC684" s="1974"/>
      <c r="CD684" s="1974"/>
      <c r="CE684" s="1979"/>
      <c r="CF684" s="1974"/>
      <c r="CG684" s="1974"/>
      <c r="CH684" s="1974"/>
      <c r="CI684" s="1974"/>
      <c r="CJ684" s="1979"/>
      <c r="CK684" s="1978"/>
      <c r="CL684" s="1974"/>
      <c r="CM684" s="1974"/>
      <c r="CN684" s="1974"/>
      <c r="CO684" s="1979"/>
      <c r="CP684" s="1978"/>
      <c r="CQ684" s="1974"/>
      <c r="CR684" s="1974"/>
      <c r="CS684" s="1974"/>
      <c r="CT684" s="1979"/>
      <c r="CU684" s="1980">
        <v>-0.81499999999999995</v>
      </c>
      <c r="CV684" s="1981"/>
      <c r="CW684" s="1981"/>
      <c r="CX684" s="1982"/>
      <c r="CY684" s="1981">
        <v>0.81499999999999995</v>
      </c>
      <c r="CZ684" s="1981"/>
      <c r="DA684" s="1981"/>
      <c r="DB684" s="1982"/>
      <c r="DC684" s="1976"/>
      <c r="DD684" s="1983">
        <v>1</v>
      </c>
      <c r="DE684" s="1984"/>
    </row>
    <row r="685" spans="1:109" ht="15.75" hidden="1" customHeight="1">
      <c r="A685" s="1964" t="s">
        <v>1045</v>
      </c>
      <c r="B685" s="1965">
        <v>679</v>
      </c>
      <c r="C685" s="1966" t="s">
        <v>4753</v>
      </c>
      <c r="D685" s="1965" t="s">
        <v>4754</v>
      </c>
      <c r="E685" s="1965" t="s">
        <v>4755</v>
      </c>
      <c r="F685" s="1976"/>
      <c r="G685" s="1968" t="s">
        <v>4756</v>
      </c>
      <c r="H685" s="1969" t="s">
        <v>4757</v>
      </c>
      <c r="I685" s="1970"/>
      <c r="J685" s="1971">
        <v>1</v>
      </c>
      <c r="K685" s="1971"/>
      <c r="L685" s="1971"/>
      <c r="M685" s="1971"/>
      <c r="N685" s="1971"/>
      <c r="O685" s="1971"/>
      <c r="P685" s="1972"/>
      <c r="Q685" s="1973">
        <f t="shared" si="10"/>
        <v>1</v>
      </c>
      <c r="R685" s="1966" t="s">
        <v>1026</v>
      </c>
      <c r="S685" s="1965" t="s">
        <v>1008</v>
      </c>
      <c r="T685" s="1967" t="s">
        <v>1009</v>
      </c>
      <c r="U685" s="1965" t="s">
        <v>4758</v>
      </c>
      <c r="V685" s="1965" t="s">
        <v>1037</v>
      </c>
      <c r="W685" s="1965" t="s">
        <v>4759</v>
      </c>
      <c r="X685" s="1974">
        <v>1</v>
      </c>
      <c r="Y685" s="1975" t="s">
        <v>1010</v>
      </c>
      <c r="Z685" s="1968"/>
      <c r="AA685" s="1976"/>
      <c r="AB685" s="1976"/>
      <c r="AC685" s="1976"/>
      <c r="AD685" s="1976"/>
      <c r="AE685" s="1976"/>
      <c r="AF685" s="1977"/>
      <c r="AG685" s="1974"/>
      <c r="AH685" s="1974"/>
      <c r="AI685" s="1974"/>
      <c r="AJ685" s="1974"/>
      <c r="AK685" s="1974"/>
      <c r="AL685" s="1974"/>
      <c r="AM685" s="1974"/>
      <c r="AN685" s="1974"/>
      <c r="AO685" s="1974"/>
      <c r="AP685" s="1974"/>
      <c r="AQ685" s="1978"/>
      <c r="AR685" s="1974"/>
      <c r="AS685" s="1974"/>
      <c r="AT685" s="1974">
        <v>4.0999999999999996</v>
      </c>
      <c r="AU685" s="1979">
        <v>14.4</v>
      </c>
      <c r="AV685" s="1978"/>
      <c r="AW685" s="1974"/>
      <c r="AX685" s="1974"/>
      <c r="AY685" s="1974"/>
      <c r="AZ685" s="1974"/>
      <c r="BA685" s="1974"/>
      <c r="BB685" s="1974"/>
      <c r="BC685" s="1974"/>
      <c r="BD685" s="1974"/>
      <c r="BE685" s="1974"/>
      <c r="BF685" s="1974"/>
      <c r="BG685" s="1974"/>
      <c r="BH685" s="1974"/>
      <c r="BI685" s="1974"/>
      <c r="BJ685" s="1974"/>
      <c r="BK685" s="1979"/>
      <c r="BL685" s="1966"/>
      <c r="BM685" s="1976"/>
      <c r="BN685" s="1976"/>
      <c r="BO685" s="1976"/>
      <c r="BP685" s="1967" t="s">
        <v>168</v>
      </c>
      <c r="BQ685" s="1978"/>
      <c r="BR685" s="1974"/>
      <c r="BS685" s="1974"/>
      <c r="BT685" s="1974"/>
      <c r="BU685" s="1979"/>
      <c r="BV685" s="1978"/>
      <c r="BW685" s="1974"/>
      <c r="BX685" s="1974"/>
      <c r="BY685" s="1974"/>
      <c r="BZ685" s="1974"/>
      <c r="CA685" s="1978"/>
      <c r="CB685" s="1974"/>
      <c r="CC685" s="1974"/>
      <c r="CD685" s="1974"/>
      <c r="CE685" s="1979"/>
      <c r="CF685" s="1974"/>
      <c r="CG685" s="1974"/>
      <c r="CH685" s="1974"/>
      <c r="CI685" s="1974"/>
      <c r="CJ685" s="1979"/>
      <c r="CK685" s="1978"/>
      <c r="CL685" s="1974"/>
      <c r="CM685" s="1974"/>
      <c r="CN685" s="1974"/>
      <c r="CO685" s="1979"/>
      <c r="CP685" s="1978"/>
      <c r="CQ685" s="1974"/>
      <c r="CR685" s="1974"/>
      <c r="CS685" s="1974"/>
      <c r="CT685" s="1979"/>
      <c r="CU685" s="1980">
        <v>-0.39100000000000001</v>
      </c>
      <c r="CV685" s="1981"/>
      <c r="CW685" s="1981"/>
      <c r="CX685" s="1982"/>
      <c r="CY685" s="1981"/>
      <c r="CZ685" s="1981"/>
      <c r="DA685" s="1981"/>
      <c r="DB685" s="1982"/>
      <c r="DC685" s="1976"/>
      <c r="DD685" s="1983">
        <v>1</v>
      </c>
      <c r="DE685" s="1984"/>
    </row>
    <row r="686" spans="1:109" ht="40.15" hidden="1" customHeight="1">
      <c r="A686" s="1964" t="s">
        <v>1045</v>
      </c>
      <c r="B686" s="1965">
        <v>680</v>
      </c>
      <c r="C686" s="1966" t="s">
        <v>4760</v>
      </c>
      <c r="D686" s="1965" t="s">
        <v>4761</v>
      </c>
      <c r="E686" s="1965" t="s">
        <v>4755</v>
      </c>
      <c r="F686" s="1976"/>
      <c r="G686" s="1968" t="s">
        <v>4762</v>
      </c>
      <c r="H686" s="1969" t="s">
        <v>4763</v>
      </c>
      <c r="I686" s="1970"/>
      <c r="J686" s="1971"/>
      <c r="K686" s="1971"/>
      <c r="L686" s="1971"/>
      <c r="M686" s="1971"/>
      <c r="N686" s="1971"/>
      <c r="O686" s="1971"/>
      <c r="P686" s="1972"/>
      <c r="Q686" s="1973">
        <f t="shared" si="10"/>
        <v>0</v>
      </c>
      <c r="R686" s="1966" t="s">
        <v>1007</v>
      </c>
      <c r="S686" s="1965"/>
      <c r="T686" s="1967"/>
      <c r="U686" s="1965" t="s">
        <v>4758</v>
      </c>
      <c r="V686" s="1965" t="s">
        <v>1072</v>
      </c>
      <c r="W686" s="1965" t="s">
        <v>4764</v>
      </c>
      <c r="X686" s="1974">
        <v>0</v>
      </c>
      <c r="Y686" s="1975" t="s">
        <v>1010</v>
      </c>
      <c r="Z686" s="1968"/>
      <c r="AA686" s="1976"/>
      <c r="AB686" s="1976"/>
      <c r="AC686" s="1976"/>
      <c r="AD686" s="1976"/>
      <c r="AE686" s="1976"/>
      <c r="AF686" s="1977"/>
      <c r="AG686" s="1974"/>
      <c r="AH686" s="1974"/>
      <c r="AI686" s="1974"/>
      <c r="AJ686" s="1974"/>
      <c r="AK686" s="1974"/>
      <c r="AL686" s="1974"/>
      <c r="AM686" s="1974"/>
      <c r="AN686" s="1974"/>
      <c r="AO686" s="1974"/>
      <c r="AP686" s="1974"/>
      <c r="AQ686" s="1978"/>
      <c r="AR686" s="1974"/>
      <c r="AS686" s="1974"/>
      <c r="AT686" s="1974"/>
      <c r="AU686" s="1979" t="s">
        <v>4765</v>
      </c>
      <c r="AV686" s="1978"/>
      <c r="AW686" s="1974"/>
      <c r="AX686" s="1974"/>
      <c r="AY686" s="1974"/>
      <c r="AZ686" s="1974"/>
      <c r="BA686" s="1974"/>
      <c r="BB686" s="1974"/>
      <c r="BC686" s="1974"/>
      <c r="BD686" s="1974"/>
      <c r="BE686" s="1974"/>
      <c r="BF686" s="1974"/>
      <c r="BG686" s="1974"/>
      <c r="BH686" s="1974"/>
      <c r="BI686" s="1974"/>
      <c r="BJ686" s="1974"/>
      <c r="BK686" s="1979"/>
      <c r="BL686" s="1966"/>
      <c r="BM686" s="1976"/>
      <c r="BN686" s="1976"/>
      <c r="BO686" s="1976"/>
      <c r="BP686" s="1967"/>
      <c r="BQ686" s="1978"/>
      <c r="BR686" s="1974"/>
      <c r="BS686" s="1974"/>
      <c r="BT686" s="1974"/>
      <c r="BU686" s="1979"/>
      <c r="BV686" s="1978"/>
      <c r="BW686" s="1974"/>
      <c r="BX686" s="1974"/>
      <c r="BY686" s="1974"/>
      <c r="BZ686" s="1974"/>
      <c r="CA686" s="1978"/>
      <c r="CB686" s="1974"/>
      <c r="CC686" s="1974"/>
      <c r="CD686" s="1974"/>
      <c r="CE686" s="1979"/>
      <c r="CF686" s="1974"/>
      <c r="CG686" s="1974"/>
      <c r="CH686" s="1974"/>
      <c r="CI686" s="1974"/>
      <c r="CJ686" s="1979"/>
      <c r="CK686" s="1978"/>
      <c r="CL686" s="1974"/>
      <c r="CM686" s="1974"/>
      <c r="CN686" s="1974"/>
      <c r="CO686" s="1979"/>
      <c r="CP686" s="1978"/>
      <c r="CQ686" s="1974"/>
      <c r="CR686" s="1974"/>
      <c r="CS686" s="1974"/>
      <c r="CT686" s="1979"/>
      <c r="CU686" s="1980"/>
      <c r="CV686" s="1981"/>
      <c r="CW686" s="1981"/>
      <c r="CX686" s="1982"/>
      <c r="CY686" s="1981"/>
      <c r="CZ686" s="1981"/>
      <c r="DA686" s="1981"/>
      <c r="DB686" s="1982"/>
      <c r="DC686" s="1976"/>
      <c r="DD686" s="1983">
        <v>1</v>
      </c>
      <c r="DE686" s="1984"/>
    </row>
    <row r="687" spans="1:109" ht="40.15" hidden="1" customHeight="1">
      <c r="A687" s="1964" t="s">
        <v>1045</v>
      </c>
      <c r="B687" s="1965">
        <v>681</v>
      </c>
      <c r="C687" s="1966" t="s">
        <v>4766</v>
      </c>
      <c r="D687" s="1965" t="s">
        <v>4767</v>
      </c>
      <c r="E687" s="1965" t="s">
        <v>4755</v>
      </c>
      <c r="F687" s="1976"/>
      <c r="G687" s="1968" t="s">
        <v>4768</v>
      </c>
      <c r="H687" s="1969" t="s">
        <v>4769</v>
      </c>
      <c r="I687" s="1970"/>
      <c r="J687" s="1971"/>
      <c r="K687" s="1971"/>
      <c r="L687" s="1971"/>
      <c r="M687" s="1971"/>
      <c r="N687" s="1971"/>
      <c r="O687" s="1971"/>
      <c r="P687" s="1972"/>
      <c r="Q687" s="1973">
        <f t="shared" si="10"/>
        <v>0</v>
      </c>
      <c r="R687" s="1966" t="s">
        <v>1007</v>
      </c>
      <c r="S687" s="1965"/>
      <c r="T687" s="1967"/>
      <c r="U687" s="1965" t="s">
        <v>4758</v>
      </c>
      <c r="V687" s="1965" t="s">
        <v>1072</v>
      </c>
      <c r="W687" s="1965" t="s">
        <v>4764</v>
      </c>
      <c r="X687" s="1974">
        <v>0</v>
      </c>
      <c r="Y687" s="1975" t="s">
        <v>1010</v>
      </c>
      <c r="Z687" s="1968"/>
      <c r="AA687" s="1976"/>
      <c r="AB687" s="1976"/>
      <c r="AC687" s="1976"/>
      <c r="AD687" s="1976"/>
      <c r="AE687" s="1976"/>
      <c r="AF687" s="1977"/>
      <c r="AG687" s="1974"/>
      <c r="AH687" s="1974"/>
      <c r="AI687" s="1974"/>
      <c r="AJ687" s="1974"/>
      <c r="AK687" s="1974"/>
      <c r="AL687" s="1974"/>
      <c r="AM687" s="1974"/>
      <c r="AN687" s="1974"/>
      <c r="AO687" s="1974"/>
      <c r="AP687" s="1974"/>
      <c r="AQ687" s="1978"/>
      <c r="AR687" s="1974"/>
      <c r="AS687" s="1974"/>
      <c r="AT687" s="1974" t="s">
        <v>4770</v>
      </c>
      <c r="AU687" s="1979" t="s">
        <v>4771</v>
      </c>
      <c r="AV687" s="1978"/>
      <c r="AW687" s="1974"/>
      <c r="AX687" s="1974"/>
      <c r="AY687" s="1974"/>
      <c r="AZ687" s="1974"/>
      <c r="BA687" s="1974"/>
      <c r="BB687" s="1974"/>
      <c r="BC687" s="1974"/>
      <c r="BD687" s="1974"/>
      <c r="BE687" s="1974"/>
      <c r="BF687" s="1974"/>
      <c r="BG687" s="1974"/>
      <c r="BH687" s="1974"/>
      <c r="BI687" s="1974"/>
      <c r="BJ687" s="1974"/>
      <c r="BK687" s="1979"/>
      <c r="BL687" s="1966"/>
      <c r="BM687" s="1976"/>
      <c r="BN687" s="1976"/>
      <c r="BO687" s="1976"/>
      <c r="BP687" s="1967"/>
      <c r="BQ687" s="1978"/>
      <c r="BR687" s="1974"/>
      <c r="BS687" s="1974"/>
      <c r="BT687" s="1974"/>
      <c r="BU687" s="1979"/>
      <c r="BV687" s="1978"/>
      <c r="BW687" s="1974"/>
      <c r="BX687" s="1974"/>
      <c r="BY687" s="1974"/>
      <c r="BZ687" s="1974"/>
      <c r="CA687" s="1978"/>
      <c r="CB687" s="1974"/>
      <c r="CC687" s="1974"/>
      <c r="CD687" s="1974"/>
      <c r="CE687" s="1979"/>
      <c r="CF687" s="1974"/>
      <c r="CG687" s="1974"/>
      <c r="CH687" s="1974"/>
      <c r="CI687" s="1974"/>
      <c r="CJ687" s="1979"/>
      <c r="CK687" s="1978"/>
      <c r="CL687" s="1974"/>
      <c r="CM687" s="1974"/>
      <c r="CN687" s="1974"/>
      <c r="CO687" s="1979"/>
      <c r="CP687" s="1978"/>
      <c r="CQ687" s="1974"/>
      <c r="CR687" s="1974"/>
      <c r="CS687" s="1974"/>
      <c r="CT687" s="1979"/>
      <c r="CU687" s="1980"/>
      <c r="CV687" s="1981"/>
      <c r="CW687" s="1981"/>
      <c r="CX687" s="1982"/>
      <c r="CY687" s="1981"/>
      <c r="CZ687" s="1981"/>
      <c r="DA687" s="1981"/>
      <c r="DB687" s="1982"/>
      <c r="DC687" s="1976"/>
      <c r="DD687" s="1983">
        <v>1</v>
      </c>
      <c r="DE687" s="1984"/>
    </row>
    <row r="688" spans="1:109" ht="65.650000000000006" hidden="1">
      <c r="A688" s="1250" t="s">
        <v>1050</v>
      </c>
      <c r="B688" s="1251">
        <v>682</v>
      </c>
      <c r="C688" s="1252" t="s">
        <v>4772</v>
      </c>
      <c r="D688" s="1251" t="s">
        <v>4773</v>
      </c>
      <c r="E688" s="1251" t="s">
        <v>1907</v>
      </c>
      <c r="F688" s="1253"/>
      <c r="G688" s="1254" t="s">
        <v>4774</v>
      </c>
      <c r="H688" s="1255" t="s">
        <v>4775</v>
      </c>
      <c r="I688" s="1256"/>
      <c r="J688" s="1257">
        <v>1</v>
      </c>
      <c r="K688" s="1257"/>
      <c r="L688" s="1257"/>
      <c r="M688" s="1257"/>
      <c r="N688" s="1257"/>
      <c r="O688" s="1257"/>
      <c r="P688" s="1258"/>
      <c r="Q688" s="795">
        <f t="shared" si="10"/>
        <v>1</v>
      </c>
      <c r="R688" s="1252" t="s">
        <v>1017</v>
      </c>
      <c r="S688" s="1251" t="s">
        <v>1008</v>
      </c>
      <c r="T688" s="1260" t="s">
        <v>1019</v>
      </c>
      <c r="U688" s="1251" t="s">
        <v>1910</v>
      </c>
      <c r="V688" s="1251" t="s">
        <v>123</v>
      </c>
      <c r="W688" s="1251" t="s">
        <v>4776</v>
      </c>
      <c r="X688" s="1261">
        <v>0</v>
      </c>
      <c r="Y688" s="1262" t="s">
        <v>1010</v>
      </c>
      <c r="Z688" s="1254"/>
      <c r="AA688" s="1253"/>
      <c r="AB688" s="1253"/>
      <c r="AC688" s="1253"/>
      <c r="AD688" s="1253"/>
      <c r="AE688" s="1253"/>
      <c r="AF688" s="1263"/>
      <c r="AG688" s="1261"/>
      <c r="AH688" s="1261"/>
      <c r="AI688" s="1261"/>
      <c r="AJ688" s="1261"/>
      <c r="AK688" s="1261"/>
      <c r="AL688" s="1261"/>
      <c r="AM688" s="1261"/>
      <c r="AN688" s="1261"/>
      <c r="AO688" s="1261"/>
      <c r="AP688" s="1261"/>
      <c r="AQ688" s="1264"/>
      <c r="AR688" s="1261"/>
      <c r="AS688" s="1261"/>
      <c r="AT688" s="1261"/>
      <c r="AU688" s="1265"/>
      <c r="AV688" s="1264"/>
      <c r="AW688" s="1261"/>
      <c r="AX688" s="1261"/>
      <c r="AY688" s="1261"/>
      <c r="AZ688" s="1261"/>
      <c r="BA688" s="1261"/>
      <c r="BB688" s="1261"/>
      <c r="BC688" s="1261"/>
      <c r="BD688" s="1261"/>
      <c r="BE688" s="1261"/>
      <c r="BF688" s="1261"/>
      <c r="BG688" s="1261"/>
      <c r="BH688" s="1261"/>
      <c r="BI688" s="1261"/>
      <c r="BJ688" s="1261"/>
      <c r="BK688" s="1265"/>
      <c r="BL688" s="1252"/>
      <c r="BM688" s="1253"/>
      <c r="BN688" s="1253"/>
      <c r="BO688" s="1253"/>
      <c r="BP688" s="1260"/>
      <c r="BQ688" s="1264"/>
      <c r="BR688" s="1261"/>
      <c r="BS688" s="1261"/>
      <c r="BT688" s="1261"/>
      <c r="BU688" s="1265"/>
      <c r="BV688" s="1264"/>
      <c r="BW688" s="1261"/>
      <c r="BX688" s="1261"/>
      <c r="BY688" s="1261"/>
      <c r="BZ688" s="1261"/>
      <c r="CA688" s="1264"/>
      <c r="CB688" s="1261"/>
      <c r="CC688" s="1261"/>
      <c r="CD688" s="1261"/>
      <c r="CE688" s="1265"/>
      <c r="CF688" s="1261"/>
      <c r="CG688" s="1261"/>
      <c r="CH688" s="1261"/>
      <c r="CI688" s="1261"/>
      <c r="CJ688" s="1265"/>
      <c r="CK688" s="1264"/>
      <c r="CL688" s="1261"/>
      <c r="CM688" s="1261"/>
      <c r="CN688" s="1261"/>
      <c r="CO688" s="1265">
        <v>14</v>
      </c>
      <c r="CP688" s="1264"/>
      <c r="CQ688" s="1261"/>
      <c r="CR688" s="1261"/>
      <c r="CS688" s="1261"/>
      <c r="CT688" s="1265"/>
      <c r="CU688" s="1266"/>
      <c r="CV688" s="1267"/>
      <c r="CW688" s="1267"/>
      <c r="CX688" s="1268"/>
      <c r="CY688" s="1267"/>
      <c r="CZ688" s="1267"/>
      <c r="DA688" s="1267"/>
      <c r="DB688" s="1268"/>
      <c r="DC688" s="1253"/>
      <c r="DD688" s="1269">
        <v>1</v>
      </c>
      <c r="DE688" s="1270"/>
    </row>
    <row r="689" spans="1:109" ht="15.75" hidden="1" customHeight="1">
      <c r="A689" s="1250"/>
      <c r="B689" s="1251"/>
      <c r="C689" s="1252"/>
      <c r="D689" s="1251"/>
      <c r="E689" s="1251"/>
      <c r="F689" s="1253"/>
      <c r="G689" s="1254"/>
      <c r="H689" s="1255"/>
      <c r="I689" s="1256"/>
      <c r="J689" s="1257"/>
      <c r="K689" s="1257"/>
      <c r="L689" s="1257"/>
      <c r="M689" s="1257"/>
      <c r="N689" s="1257"/>
      <c r="O689" s="1257"/>
      <c r="P689" s="1258"/>
      <c r="Q689" s="795">
        <f t="shared" si="10"/>
        <v>0</v>
      </c>
      <c r="R689" s="1252"/>
      <c r="S689" s="1251"/>
      <c r="T689" s="1260"/>
      <c r="U689" s="1251"/>
      <c r="V689" s="1251"/>
      <c r="W689" s="1251"/>
      <c r="X689" s="1261"/>
      <c r="Y689" s="1262"/>
      <c r="Z689" s="1254"/>
      <c r="AA689" s="1253"/>
      <c r="AB689" s="1253"/>
      <c r="AC689" s="1253"/>
      <c r="AD689" s="1253"/>
      <c r="AE689" s="1253"/>
      <c r="AF689" s="1263"/>
      <c r="AG689" s="1261"/>
      <c r="AH689" s="1261"/>
      <c r="AI689" s="1261"/>
      <c r="AJ689" s="1261"/>
      <c r="AK689" s="1261"/>
      <c r="AL689" s="1261"/>
      <c r="AM689" s="1261"/>
      <c r="AN689" s="1261"/>
      <c r="AO689" s="1261"/>
      <c r="AP689" s="1261"/>
      <c r="AQ689" s="1264"/>
      <c r="AR689" s="1261"/>
      <c r="AS689" s="1261"/>
      <c r="AT689" s="1261"/>
      <c r="AU689" s="1265"/>
      <c r="AV689" s="1264"/>
      <c r="AW689" s="1261"/>
      <c r="AX689" s="1261"/>
      <c r="AY689" s="1261"/>
      <c r="AZ689" s="1261"/>
      <c r="BA689" s="1261"/>
      <c r="BB689" s="1261"/>
      <c r="BC689" s="1261"/>
      <c r="BD689" s="1261"/>
      <c r="BE689" s="1261"/>
      <c r="BF689" s="1261"/>
      <c r="BG689" s="1261"/>
      <c r="BH689" s="1261"/>
      <c r="BI689" s="1261"/>
      <c r="BJ689" s="1261"/>
      <c r="BK689" s="1265"/>
      <c r="BL689" s="1252"/>
      <c r="BM689" s="1253"/>
      <c r="BN689" s="1253"/>
      <c r="BO689" s="1253"/>
      <c r="BP689" s="1260"/>
      <c r="BQ689" s="1264"/>
      <c r="BR689" s="1261"/>
      <c r="BS689" s="1261"/>
      <c r="BT689" s="1261"/>
      <c r="BU689" s="1265"/>
      <c r="BV689" s="1264"/>
      <c r="BW689" s="1261"/>
      <c r="BX689" s="1261"/>
      <c r="BY689" s="1261"/>
      <c r="BZ689" s="1261"/>
      <c r="CA689" s="1264"/>
      <c r="CB689" s="1261"/>
      <c r="CC689" s="1261"/>
      <c r="CD689" s="1261"/>
      <c r="CE689" s="1265"/>
      <c r="CF689" s="1261"/>
      <c r="CG689" s="1261"/>
      <c r="CH689" s="1261"/>
      <c r="CI689" s="1261"/>
      <c r="CJ689" s="1265"/>
      <c r="CK689" s="1264"/>
      <c r="CL689" s="1261"/>
      <c r="CM689" s="1261"/>
      <c r="CN689" s="1261"/>
      <c r="CO689" s="1265"/>
      <c r="CP689" s="1264"/>
      <c r="CQ689" s="1261"/>
      <c r="CR689" s="1261"/>
      <c r="CS689" s="1261"/>
      <c r="CT689" s="1265"/>
      <c r="CU689" s="1266"/>
      <c r="CV689" s="1267"/>
      <c r="CW689" s="1267"/>
      <c r="CX689" s="1268"/>
      <c r="CY689" s="1267"/>
      <c r="CZ689" s="1267"/>
      <c r="DA689" s="1267"/>
      <c r="DB689" s="1268"/>
      <c r="DC689" s="1253"/>
      <c r="DD689" s="1269">
        <v>1</v>
      </c>
      <c r="DE689" s="1270"/>
    </row>
    <row r="690" spans="1:109" ht="15.75" hidden="1" customHeight="1">
      <c r="A690" s="1250"/>
      <c r="B690" s="1251"/>
      <c r="C690" s="1252"/>
      <c r="D690" s="1251"/>
      <c r="E690" s="1251"/>
      <c r="F690" s="1253"/>
      <c r="G690" s="1254"/>
      <c r="H690" s="1255"/>
      <c r="I690" s="1256"/>
      <c r="J690" s="1257"/>
      <c r="K690" s="1257"/>
      <c r="L690" s="1257"/>
      <c r="M690" s="1257"/>
      <c r="N690" s="1257"/>
      <c r="O690" s="1257"/>
      <c r="P690" s="1258"/>
      <c r="Q690" s="795">
        <f t="shared" si="10"/>
        <v>0</v>
      </c>
      <c r="R690" s="1252"/>
      <c r="S690" s="1251"/>
      <c r="T690" s="1260"/>
      <c r="U690" s="1251"/>
      <c r="V690" s="1251"/>
      <c r="W690" s="1251"/>
      <c r="X690" s="1261"/>
      <c r="Y690" s="1262"/>
      <c r="Z690" s="1254"/>
      <c r="AA690" s="1253"/>
      <c r="AB690" s="1253"/>
      <c r="AC690" s="1253"/>
      <c r="AD690" s="1253"/>
      <c r="AE690" s="1253"/>
      <c r="AF690" s="1263"/>
      <c r="AG690" s="1261"/>
      <c r="AH690" s="1261"/>
      <c r="AI690" s="1261"/>
      <c r="AJ690" s="1261"/>
      <c r="AK690" s="1261"/>
      <c r="AL690" s="1261"/>
      <c r="AM690" s="1261"/>
      <c r="AN690" s="1261"/>
      <c r="AO690" s="1261"/>
      <c r="AP690" s="1261"/>
      <c r="AQ690" s="1264"/>
      <c r="AR690" s="1261"/>
      <c r="AS690" s="1261"/>
      <c r="AT690" s="1261"/>
      <c r="AU690" s="1265"/>
      <c r="AV690" s="1264"/>
      <c r="AW690" s="1261"/>
      <c r="AX690" s="1261"/>
      <c r="AY690" s="1261"/>
      <c r="AZ690" s="1261"/>
      <c r="BA690" s="1261"/>
      <c r="BB690" s="1261"/>
      <c r="BC690" s="1261"/>
      <c r="BD690" s="1261"/>
      <c r="BE690" s="1261"/>
      <c r="BF690" s="1261"/>
      <c r="BG690" s="1261"/>
      <c r="BH690" s="1261"/>
      <c r="BI690" s="1261"/>
      <c r="BJ690" s="1261"/>
      <c r="BK690" s="1265"/>
      <c r="BL690" s="1252"/>
      <c r="BM690" s="1253"/>
      <c r="BN690" s="1253"/>
      <c r="BO690" s="1253"/>
      <c r="BP690" s="1260"/>
      <c r="BQ690" s="1264"/>
      <c r="BR690" s="1261"/>
      <c r="BS690" s="1261"/>
      <c r="BT690" s="1261"/>
      <c r="BU690" s="1265"/>
      <c r="BV690" s="1264"/>
      <c r="BW690" s="1261"/>
      <c r="BX690" s="1261"/>
      <c r="BY690" s="1261"/>
      <c r="BZ690" s="1261"/>
      <c r="CA690" s="1264"/>
      <c r="CB690" s="1261"/>
      <c r="CC690" s="1261"/>
      <c r="CD690" s="1261"/>
      <c r="CE690" s="1265"/>
      <c r="CF690" s="1261"/>
      <c r="CG690" s="1261"/>
      <c r="CH690" s="1261"/>
      <c r="CI690" s="1261"/>
      <c r="CJ690" s="1265"/>
      <c r="CK690" s="1264"/>
      <c r="CL690" s="1261"/>
      <c r="CM690" s="1261"/>
      <c r="CN690" s="1261"/>
      <c r="CO690" s="1265"/>
      <c r="CP690" s="1264"/>
      <c r="CQ690" s="1261"/>
      <c r="CR690" s="1261"/>
      <c r="CS690" s="1261"/>
      <c r="CT690" s="1265"/>
      <c r="CU690" s="1266"/>
      <c r="CV690" s="1267"/>
      <c r="CW690" s="1267"/>
      <c r="CX690" s="1268"/>
      <c r="CY690" s="1267"/>
      <c r="CZ690" s="1267"/>
      <c r="DA690" s="1267"/>
      <c r="DB690" s="1268"/>
      <c r="DC690" s="1253"/>
      <c r="DD690" s="1269">
        <v>1</v>
      </c>
      <c r="DE690" s="1270"/>
    </row>
    <row r="691" spans="1:109" ht="15.75" hidden="1" customHeight="1">
      <c r="A691" s="1250"/>
      <c r="B691" s="1251"/>
      <c r="C691" s="1252"/>
      <c r="D691" s="1251"/>
      <c r="E691" s="1251"/>
      <c r="F691" s="1253"/>
      <c r="G691" s="1254"/>
      <c r="H691" s="1255"/>
      <c r="I691" s="1256"/>
      <c r="J691" s="1257"/>
      <c r="K691" s="1257"/>
      <c r="L691" s="1257"/>
      <c r="M691" s="1257"/>
      <c r="N691" s="1257"/>
      <c r="O691" s="1257"/>
      <c r="P691" s="1258"/>
      <c r="Q691" s="795">
        <f t="shared" si="10"/>
        <v>0</v>
      </c>
      <c r="R691" s="1252"/>
      <c r="S691" s="1251"/>
      <c r="T691" s="1260"/>
      <c r="U691" s="1251"/>
      <c r="V691" s="1251"/>
      <c r="W691" s="1251"/>
      <c r="X691" s="1261"/>
      <c r="Y691" s="1262"/>
      <c r="Z691" s="1254"/>
      <c r="AA691" s="1253"/>
      <c r="AB691" s="1253"/>
      <c r="AC691" s="1253"/>
      <c r="AD691" s="1253"/>
      <c r="AE691" s="1253"/>
      <c r="AF691" s="1263"/>
      <c r="AG691" s="1261"/>
      <c r="AH691" s="1261"/>
      <c r="AI691" s="1261"/>
      <c r="AJ691" s="1261"/>
      <c r="AK691" s="1261"/>
      <c r="AL691" s="1261"/>
      <c r="AM691" s="1261"/>
      <c r="AN691" s="1261"/>
      <c r="AO691" s="1261"/>
      <c r="AP691" s="1261"/>
      <c r="AQ691" s="1264"/>
      <c r="AR691" s="1261"/>
      <c r="AS691" s="1261"/>
      <c r="AT691" s="1261"/>
      <c r="AU691" s="1265"/>
      <c r="AV691" s="1264"/>
      <c r="AW691" s="1261"/>
      <c r="AX691" s="1261"/>
      <c r="AY691" s="1261"/>
      <c r="AZ691" s="1261"/>
      <c r="BA691" s="1261"/>
      <c r="BB691" s="1261"/>
      <c r="BC691" s="1261"/>
      <c r="BD691" s="1261"/>
      <c r="BE691" s="1261"/>
      <c r="BF691" s="1261"/>
      <c r="BG691" s="1261"/>
      <c r="BH691" s="1261"/>
      <c r="BI691" s="1261"/>
      <c r="BJ691" s="1261"/>
      <c r="BK691" s="1265"/>
      <c r="BL691" s="1252"/>
      <c r="BM691" s="1253"/>
      <c r="BN691" s="1253"/>
      <c r="BO691" s="1253"/>
      <c r="BP691" s="1260"/>
      <c r="BQ691" s="1264"/>
      <c r="BR691" s="1261"/>
      <c r="BS691" s="1261"/>
      <c r="BT691" s="1261"/>
      <c r="BU691" s="1265"/>
      <c r="BV691" s="1264"/>
      <c r="BW691" s="1261"/>
      <c r="BX691" s="1261"/>
      <c r="BY691" s="1261"/>
      <c r="BZ691" s="1261"/>
      <c r="CA691" s="1264"/>
      <c r="CB691" s="1261"/>
      <c r="CC691" s="1261"/>
      <c r="CD691" s="1261"/>
      <c r="CE691" s="1265"/>
      <c r="CF691" s="1261"/>
      <c r="CG691" s="1261"/>
      <c r="CH691" s="1261"/>
      <c r="CI691" s="1261"/>
      <c r="CJ691" s="1265"/>
      <c r="CK691" s="1264"/>
      <c r="CL691" s="1261"/>
      <c r="CM691" s="1261"/>
      <c r="CN691" s="1261"/>
      <c r="CO691" s="1265"/>
      <c r="CP691" s="1264"/>
      <c r="CQ691" s="1261"/>
      <c r="CR691" s="1261"/>
      <c r="CS691" s="1261"/>
      <c r="CT691" s="1265"/>
      <c r="CU691" s="1266"/>
      <c r="CV691" s="1267"/>
      <c r="CW691" s="1267"/>
      <c r="CX691" s="1268"/>
      <c r="CY691" s="1267"/>
      <c r="CZ691" s="1267"/>
      <c r="DA691" s="1267"/>
      <c r="DB691" s="1268"/>
      <c r="DC691" s="1253"/>
      <c r="DD691" s="1269">
        <v>1</v>
      </c>
      <c r="DE691" s="1270"/>
    </row>
    <row r="692" spans="1:109" ht="15.75" hidden="1" customHeight="1">
      <c r="A692" s="1250"/>
      <c r="B692" s="1251"/>
      <c r="C692" s="1252"/>
      <c r="D692" s="1251"/>
      <c r="E692" s="1251"/>
      <c r="F692" s="1253"/>
      <c r="G692" s="1254"/>
      <c r="H692" s="1255"/>
      <c r="I692" s="1256"/>
      <c r="J692" s="1257"/>
      <c r="K692" s="1257"/>
      <c r="L692" s="1257"/>
      <c r="M692" s="1257"/>
      <c r="N692" s="1257"/>
      <c r="O692" s="1257"/>
      <c r="P692" s="1258"/>
      <c r="Q692" s="795">
        <f t="shared" si="10"/>
        <v>0</v>
      </c>
      <c r="R692" s="1252"/>
      <c r="S692" s="1251"/>
      <c r="T692" s="1260"/>
      <c r="U692" s="1251"/>
      <c r="V692" s="1251"/>
      <c r="W692" s="1251"/>
      <c r="X692" s="1261"/>
      <c r="Y692" s="1262"/>
      <c r="Z692" s="1254"/>
      <c r="AA692" s="1253"/>
      <c r="AB692" s="1253"/>
      <c r="AC692" s="1253"/>
      <c r="AD692" s="1253"/>
      <c r="AE692" s="1253"/>
      <c r="AF692" s="1263"/>
      <c r="AG692" s="1261"/>
      <c r="AH692" s="1261"/>
      <c r="AI692" s="1261"/>
      <c r="AJ692" s="1261"/>
      <c r="AK692" s="1261"/>
      <c r="AL692" s="1261"/>
      <c r="AM692" s="1261"/>
      <c r="AN692" s="1261"/>
      <c r="AO692" s="1261"/>
      <c r="AP692" s="1261"/>
      <c r="AQ692" s="1264"/>
      <c r="AR692" s="1261"/>
      <c r="AS692" s="1261"/>
      <c r="AT692" s="1261"/>
      <c r="AU692" s="1265"/>
      <c r="AV692" s="1264"/>
      <c r="AW692" s="1261"/>
      <c r="AX692" s="1261"/>
      <c r="AY692" s="1261"/>
      <c r="AZ692" s="1261"/>
      <c r="BA692" s="1261"/>
      <c r="BB692" s="1261"/>
      <c r="BC692" s="1261"/>
      <c r="BD692" s="1261"/>
      <c r="BE692" s="1261"/>
      <c r="BF692" s="1261"/>
      <c r="BG692" s="1261"/>
      <c r="BH692" s="1261"/>
      <c r="BI692" s="1261"/>
      <c r="BJ692" s="1261"/>
      <c r="BK692" s="1265"/>
      <c r="BL692" s="1252"/>
      <c r="BM692" s="1253"/>
      <c r="BN692" s="1253"/>
      <c r="BO692" s="1253"/>
      <c r="BP692" s="1260"/>
      <c r="BQ692" s="1264"/>
      <c r="BR692" s="1261"/>
      <c r="BS692" s="1261"/>
      <c r="BT692" s="1261"/>
      <c r="BU692" s="1265"/>
      <c r="BV692" s="1264"/>
      <c r="BW692" s="1261"/>
      <c r="BX692" s="1261"/>
      <c r="BY692" s="1261"/>
      <c r="BZ692" s="1261"/>
      <c r="CA692" s="1264"/>
      <c r="CB692" s="1261"/>
      <c r="CC692" s="1261"/>
      <c r="CD692" s="1261"/>
      <c r="CE692" s="1265"/>
      <c r="CF692" s="1261"/>
      <c r="CG692" s="1261"/>
      <c r="CH692" s="1261"/>
      <c r="CI692" s="1261"/>
      <c r="CJ692" s="1265"/>
      <c r="CK692" s="1264"/>
      <c r="CL692" s="1261"/>
      <c r="CM692" s="1261"/>
      <c r="CN692" s="1261"/>
      <c r="CO692" s="1265"/>
      <c r="CP692" s="1264"/>
      <c r="CQ692" s="1261"/>
      <c r="CR692" s="1261"/>
      <c r="CS692" s="1261"/>
      <c r="CT692" s="1265"/>
      <c r="CU692" s="1266"/>
      <c r="CV692" s="1267"/>
      <c r="CW692" s="1267"/>
      <c r="CX692" s="1268"/>
      <c r="CY692" s="1267"/>
      <c r="CZ692" s="1267"/>
      <c r="DA692" s="1267"/>
      <c r="DB692" s="1268"/>
      <c r="DC692" s="1253"/>
      <c r="DD692" s="1269">
        <v>1</v>
      </c>
      <c r="DE692" s="1270"/>
    </row>
    <row r="693" spans="1:109" ht="15.75" hidden="1" customHeight="1">
      <c r="A693" s="1250"/>
      <c r="B693" s="1251"/>
      <c r="C693" s="1252"/>
      <c r="D693" s="1251"/>
      <c r="E693" s="1251"/>
      <c r="F693" s="1253"/>
      <c r="G693" s="1254"/>
      <c r="H693" s="1255"/>
      <c r="I693" s="1256"/>
      <c r="J693" s="1257"/>
      <c r="K693" s="1257"/>
      <c r="L693" s="1257"/>
      <c r="M693" s="1257"/>
      <c r="N693" s="1257"/>
      <c r="O693" s="1257"/>
      <c r="P693" s="1258"/>
      <c r="Q693" s="795">
        <f t="shared" si="10"/>
        <v>0</v>
      </c>
      <c r="R693" s="1252"/>
      <c r="S693" s="1251"/>
      <c r="T693" s="1260"/>
      <c r="U693" s="1251"/>
      <c r="V693" s="1251"/>
      <c r="W693" s="1251"/>
      <c r="X693" s="1261"/>
      <c r="Y693" s="1262"/>
      <c r="Z693" s="1254"/>
      <c r="AA693" s="1253"/>
      <c r="AB693" s="1253"/>
      <c r="AC693" s="1253"/>
      <c r="AD693" s="1253"/>
      <c r="AE693" s="1253"/>
      <c r="AF693" s="1263"/>
      <c r="AG693" s="1261"/>
      <c r="AH693" s="1261"/>
      <c r="AI693" s="1261"/>
      <c r="AJ693" s="1261"/>
      <c r="AK693" s="1261"/>
      <c r="AL693" s="1261"/>
      <c r="AM693" s="1261"/>
      <c r="AN693" s="1261"/>
      <c r="AO693" s="1261"/>
      <c r="AP693" s="1261"/>
      <c r="AQ693" s="1264"/>
      <c r="AR693" s="1261"/>
      <c r="AS693" s="1261"/>
      <c r="AT693" s="1261"/>
      <c r="AU693" s="1265"/>
      <c r="AV693" s="1264"/>
      <c r="AW693" s="1261"/>
      <c r="AX693" s="1261"/>
      <c r="AY693" s="1261"/>
      <c r="AZ693" s="1261"/>
      <c r="BA693" s="1261"/>
      <c r="BB693" s="1261"/>
      <c r="BC693" s="1261"/>
      <c r="BD693" s="1261"/>
      <c r="BE693" s="1261"/>
      <c r="BF693" s="1261"/>
      <c r="BG693" s="1261"/>
      <c r="BH693" s="1261"/>
      <c r="BI693" s="1261"/>
      <c r="BJ693" s="1261"/>
      <c r="BK693" s="1265"/>
      <c r="BL693" s="1252"/>
      <c r="BM693" s="1253"/>
      <c r="BN693" s="1253"/>
      <c r="BO693" s="1253"/>
      <c r="BP693" s="1260"/>
      <c r="BQ693" s="1264"/>
      <c r="BR693" s="1261"/>
      <c r="BS693" s="1261"/>
      <c r="BT693" s="1261"/>
      <c r="BU693" s="1265"/>
      <c r="BV693" s="1264"/>
      <c r="BW693" s="1261"/>
      <c r="BX693" s="1261"/>
      <c r="BY693" s="1261"/>
      <c r="BZ693" s="1261"/>
      <c r="CA693" s="1264"/>
      <c r="CB693" s="1261"/>
      <c r="CC693" s="1261"/>
      <c r="CD693" s="1261"/>
      <c r="CE693" s="1265"/>
      <c r="CF693" s="1261"/>
      <c r="CG693" s="1261"/>
      <c r="CH693" s="1261"/>
      <c r="CI693" s="1261"/>
      <c r="CJ693" s="1265"/>
      <c r="CK693" s="1264"/>
      <c r="CL693" s="1261"/>
      <c r="CM693" s="1261"/>
      <c r="CN693" s="1261"/>
      <c r="CO693" s="1265"/>
      <c r="CP693" s="1264"/>
      <c r="CQ693" s="1261"/>
      <c r="CR693" s="1261"/>
      <c r="CS693" s="1261"/>
      <c r="CT693" s="1265"/>
      <c r="CU693" s="1266"/>
      <c r="CV693" s="1267"/>
      <c r="CW693" s="1267"/>
      <c r="CX693" s="1268"/>
      <c r="CY693" s="1267"/>
      <c r="CZ693" s="1267"/>
      <c r="DA693" s="1267"/>
      <c r="DB693" s="1268"/>
      <c r="DC693" s="1253"/>
      <c r="DD693" s="1269">
        <v>1</v>
      </c>
      <c r="DE693" s="1270"/>
    </row>
    <row r="694" spans="1:109" ht="15.75" hidden="1" customHeight="1">
      <c r="A694" s="1250"/>
      <c r="B694" s="1251"/>
      <c r="C694" s="1252"/>
      <c r="D694" s="1251"/>
      <c r="E694" s="1251"/>
      <c r="F694" s="1253"/>
      <c r="G694" s="1254"/>
      <c r="H694" s="1255"/>
      <c r="I694" s="1256"/>
      <c r="J694" s="1257"/>
      <c r="K694" s="1257"/>
      <c r="L694" s="1257"/>
      <c r="M694" s="1257"/>
      <c r="N694" s="1257"/>
      <c r="O694" s="1257"/>
      <c r="P694" s="1258"/>
      <c r="Q694" s="795">
        <f t="shared" si="10"/>
        <v>0</v>
      </c>
      <c r="R694" s="1252"/>
      <c r="S694" s="1251"/>
      <c r="T694" s="1260"/>
      <c r="U694" s="1251"/>
      <c r="V694" s="1251"/>
      <c r="W694" s="1251"/>
      <c r="X694" s="1261"/>
      <c r="Y694" s="1262"/>
      <c r="Z694" s="1254"/>
      <c r="AA694" s="1253"/>
      <c r="AB694" s="1253"/>
      <c r="AC694" s="1253"/>
      <c r="AD694" s="1253"/>
      <c r="AE694" s="1253"/>
      <c r="AF694" s="1263"/>
      <c r="AG694" s="1261"/>
      <c r="AH694" s="1261"/>
      <c r="AI694" s="1261"/>
      <c r="AJ694" s="1261"/>
      <c r="AK694" s="1261"/>
      <c r="AL694" s="1261"/>
      <c r="AM694" s="1261"/>
      <c r="AN694" s="1261"/>
      <c r="AO694" s="1261"/>
      <c r="AP694" s="1261"/>
      <c r="AQ694" s="1264"/>
      <c r="AR694" s="1261"/>
      <c r="AS694" s="1261"/>
      <c r="AT694" s="1261"/>
      <c r="AU694" s="1265"/>
      <c r="AV694" s="1264"/>
      <c r="AW694" s="1261"/>
      <c r="AX694" s="1261"/>
      <c r="AY694" s="1261"/>
      <c r="AZ694" s="1261"/>
      <c r="BA694" s="1261"/>
      <c r="BB694" s="1261"/>
      <c r="BC694" s="1261"/>
      <c r="BD694" s="1261"/>
      <c r="BE694" s="1261"/>
      <c r="BF694" s="1261"/>
      <c r="BG694" s="1261"/>
      <c r="BH694" s="1261"/>
      <c r="BI694" s="1261"/>
      <c r="BJ694" s="1261"/>
      <c r="BK694" s="1265"/>
      <c r="BL694" s="1252"/>
      <c r="BM694" s="1253"/>
      <c r="BN694" s="1253"/>
      <c r="BO694" s="1253"/>
      <c r="BP694" s="1260"/>
      <c r="BQ694" s="1264"/>
      <c r="BR694" s="1261"/>
      <c r="BS694" s="1261"/>
      <c r="BT694" s="1261"/>
      <c r="BU694" s="1265"/>
      <c r="BV694" s="1264"/>
      <c r="BW694" s="1261"/>
      <c r="BX694" s="1261"/>
      <c r="BY694" s="1261"/>
      <c r="BZ694" s="1261"/>
      <c r="CA694" s="1264"/>
      <c r="CB694" s="1261"/>
      <c r="CC694" s="1261"/>
      <c r="CD694" s="1261"/>
      <c r="CE694" s="1265"/>
      <c r="CF694" s="1261"/>
      <c r="CG694" s="1261"/>
      <c r="CH694" s="1261"/>
      <c r="CI694" s="1261"/>
      <c r="CJ694" s="1265"/>
      <c r="CK694" s="1264"/>
      <c r="CL694" s="1261"/>
      <c r="CM694" s="1261"/>
      <c r="CN694" s="1261"/>
      <c r="CO694" s="1265"/>
      <c r="CP694" s="1264"/>
      <c r="CQ694" s="1261"/>
      <c r="CR694" s="1261"/>
      <c r="CS694" s="1261"/>
      <c r="CT694" s="1265"/>
      <c r="CU694" s="1266"/>
      <c r="CV694" s="1267"/>
      <c r="CW694" s="1267"/>
      <c r="CX694" s="1268"/>
      <c r="CY694" s="1267"/>
      <c r="CZ694" s="1267"/>
      <c r="DA694" s="1267"/>
      <c r="DB694" s="1268"/>
      <c r="DC694" s="1253"/>
      <c r="DD694" s="1269">
        <v>1</v>
      </c>
      <c r="DE694" s="1270"/>
    </row>
    <row r="695" spans="1:109" ht="15.75" hidden="1" customHeight="1">
      <c r="A695" s="1250"/>
      <c r="B695" s="1251"/>
      <c r="C695" s="1252"/>
      <c r="D695" s="1251"/>
      <c r="E695" s="1251"/>
      <c r="F695" s="1253"/>
      <c r="G695" s="1254"/>
      <c r="H695" s="1255"/>
      <c r="I695" s="1256"/>
      <c r="J695" s="1257"/>
      <c r="K695" s="1257"/>
      <c r="L695" s="1257"/>
      <c r="M695" s="1257"/>
      <c r="N695" s="1257"/>
      <c r="O695" s="1257"/>
      <c r="P695" s="1258"/>
      <c r="Q695" s="795">
        <f t="shared" si="10"/>
        <v>0</v>
      </c>
      <c r="R695" s="1252"/>
      <c r="S695" s="1251"/>
      <c r="T695" s="1260"/>
      <c r="U695" s="1251"/>
      <c r="V695" s="1251"/>
      <c r="W695" s="1251"/>
      <c r="X695" s="1261"/>
      <c r="Y695" s="1262"/>
      <c r="Z695" s="1254"/>
      <c r="AA695" s="1253"/>
      <c r="AB695" s="1253"/>
      <c r="AC695" s="1253"/>
      <c r="AD695" s="1253"/>
      <c r="AE695" s="1253"/>
      <c r="AF695" s="1263"/>
      <c r="AG695" s="1261"/>
      <c r="AH695" s="1261"/>
      <c r="AI695" s="1261"/>
      <c r="AJ695" s="1261"/>
      <c r="AK695" s="1261"/>
      <c r="AL695" s="1261"/>
      <c r="AM695" s="1261"/>
      <c r="AN695" s="1261"/>
      <c r="AO695" s="1261"/>
      <c r="AP695" s="1261"/>
      <c r="AQ695" s="1264"/>
      <c r="AR695" s="1261"/>
      <c r="AS695" s="1261"/>
      <c r="AT695" s="1261"/>
      <c r="AU695" s="1265"/>
      <c r="AV695" s="1264"/>
      <c r="AW695" s="1261"/>
      <c r="AX695" s="1261"/>
      <c r="AY695" s="1261"/>
      <c r="AZ695" s="1261"/>
      <c r="BA695" s="1261"/>
      <c r="BB695" s="1261"/>
      <c r="BC695" s="1261"/>
      <c r="BD695" s="1261"/>
      <c r="BE695" s="1261"/>
      <c r="BF695" s="1261"/>
      <c r="BG695" s="1261"/>
      <c r="BH695" s="1261"/>
      <c r="BI695" s="1261"/>
      <c r="BJ695" s="1261"/>
      <c r="BK695" s="1265"/>
      <c r="BL695" s="1252"/>
      <c r="BM695" s="1253"/>
      <c r="BN695" s="1253"/>
      <c r="BO695" s="1253"/>
      <c r="BP695" s="1260"/>
      <c r="BQ695" s="1264"/>
      <c r="BR695" s="1261"/>
      <c r="BS695" s="1261"/>
      <c r="BT695" s="1261"/>
      <c r="BU695" s="1265"/>
      <c r="BV695" s="1264"/>
      <c r="BW695" s="1261"/>
      <c r="BX695" s="1261"/>
      <c r="BY695" s="1261"/>
      <c r="BZ695" s="1261"/>
      <c r="CA695" s="1264"/>
      <c r="CB695" s="1261"/>
      <c r="CC695" s="1261"/>
      <c r="CD695" s="1261"/>
      <c r="CE695" s="1265"/>
      <c r="CF695" s="1261"/>
      <c r="CG695" s="1261"/>
      <c r="CH695" s="1261"/>
      <c r="CI695" s="1261"/>
      <c r="CJ695" s="1265"/>
      <c r="CK695" s="1264"/>
      <c r="CL695" s="1261"/>
      <c r="CM695" s="1261"/>
      <c r="CN695" s="1261"/>
      <c r="CO695" s="1265"/>
      <c r="CP695" s="1264"/>
      <c r="CQ695" s="1261"/>
      <c r="CR695" s="1261"/>
      <c r="CS695" s="1261"/>
      <c r="CT695" s="1265"/>
      <c r="CU695" s="1266"/>
      <c r="CV695" s="1267"/>
      <c r="CW695" s="1267"/>
      <c r="CX695" s="1268"/>
      <c r="CY695" s="1267"/>
      <c r="CZ695" s="1267"/>
      <c r="DA695" s="1267"/>
      <c r="DB695" s="1268"/>
      <c r="DC695" s="1253"/>
      <c r="DD695" s="1269">
        <v>1</v>
      </c>
      <c r="DE695" s="1270"/>
    </row>
    <row r="696" spans="1:109" ht="15.75" hidden="1" customHeight="1">
      <c r="A696" s="1250"/>
      <c r="B696" s="1251"/>
      <c r="C696" s="1252"/>
      <c r="D696" s="1251"/>
      <c r="E696" s="1251"/>
      <c r="F696" s="1253"/>
      <c r="G696" s="1254"/>
      <c r="H696" s="1255"/>
      <c r="I696" s="1256"/>
      <c r="J696" s="1257"/>
      <c r="K696" s="1257"/>
      <c r="L696" s="1257"/>
      <c r="M696" s="1257"/>
      <c r="N696" s="1257"/>
      <c r="O696" s="1257"/>
      <c r="P696" s="1258"/>
      <c r="Q696" s="795">
        <f t="shared" si="10"/>
        <v>0</v>
      </c>
      <c r="R696" s="1252"/>
      <c r="S696" s="1251"/>
      <c r="T696" s="1260"/>
      <c r="U696" s="1251"/>
      <c r="V696" s="1251"/>
      <c r="W696" s="1251"/>
      <c r="X696" s="1261"/>
      <c r="Y696" s="1262"/>
      <c r="Z696" s="1254"/>
      <c r="AA696" s="1253"/>
      <c r="AB696" s="1253"/>
      <c r="AC696" s="1253"/>
      <c r="AD696" s="1253"/>
      <c r="AE696" s="1253"/>
      <c r="AF696" s="1263"/>
      <c r="AG696" s="1261"/>
      <c r="AH696" s="1261"/>
      <c r="AI696" s="1261"/>
      <c r="AJ696" s="1261"/>
      <c r="AK696" s="1261"/>
      <c r="AL696" s="1261"/>
      <c r="AM696" s="1261"/>
      <c r="AN696" s="1261"/>
      <c r="AO696" s="1261"/>
      <c r="AP696" s="1261"/>
      <c r="AQ696" s="1264"/>
      <c r="AR696" s="1261"/>
      <c r="AS696" s="1261"/>
      <c r="AT696" s="1261"/>
      <c r="AU696" s="1265"/>
      <c r="AV696" s="1264"/>
      <c r="AW696" s="1261"/>
      <c r="AX696" s="1261"/>
      <c r="AY696" s="1261"/>
      <c r="AZ696" s="1261"/>
      <c r="BA696" s="1261"/>
      <c r="BB696" s="1261"/>
      <c r="BC696" s="1261"/>
      <c r="BD696" s="1261"/>
      <c r="BE696" s="1261"/>
      <c r="BF696" s="1261"/>
      <c r="BG696" s="1261"/>
      <c r="BH696" s="1261"/>
      <c r="BI696" s="1261"/>
      <c r="BJ696" s="1261"/>
      <c r="BK696" s="1265"/>
      <c r="BL696" s="1252"/>
      <c r="BM696" s="1253"/>
      <c r="BN696" s="1253"/>
      <c r="BO696" s="1253"/>
      <c r="BP696" s="1260"/>
      <c r="BQ696" s="1264"/>
      <c r="BR696" s="1261"/>
      <c r="BS696" s="1261"/>
      <c r="BT696" s="1261"/>
      <c r="BU696" s="1265"/>
      <c r="BV696" s="1264"/>
      <c r="BW696" s="1261"/>
      <c r="BX696" s="1261"/>
      <c r="BY696" s="1261"/>
      <c r="BZ696" s="1261"/>
      <c r="CA696" s="1264"/>
      <c r="CB696" s="1261"/>
      <c r="CC696" s="1261"/>
      <c r="CD696" s="1261"/>
      <c r="CE696" s="1265"/>
      <c r="CF696" s="1261"/>
      <c r="CG696" s="1261"/>
      <c r="CH696" s="1261"/>
      <c r="CI696" s="1261"/>
      <c r="CJ696" s="1265"/>
      <c r="CK696" s="1264"/>
      <c r="CL696" s="1261"/>
      <c r="CM696" s="1261"/>
      <c r="CN696" s="1261"/>
      <c r="CO696" s="1265"/>
      <c r="CP696" s="1264"/>
      <c r="CQ696" s="1261"/>
      <c r="CR696" s="1261"/>
      <c r="CS696" s="1261"/>
      <c r="CT696" s="1265"/>
      <c r="CU696" s="1266"/>
      <c r="CV696" s="1267"/>
      <c r="CW696" s="1267"/>
      <c r="CX696" s="1268"/>
      <c r="CY696" s="1267"/>
      <c r="CZ696" s="1267"/>
      <c r="DA696" s="1267"/>
      <c r="DB696" s="1268"/>
      <c r="DC696" s="1253"/>
      <c r="DD696" s="1269">
        <v>1</v>
      </c>
      <c r="DE696" s="1270"/>
    </row>
    <row r="697" spans="1:109" ht="15.75" hidden="1" customHeight="1">
      <c r="A697" s="1250"/>
      <c r="B697" s="1251"/>
      <c r="C697" s="1252"/>
      <c r="D697" s="1251"/>
      <c r="E697" s="1251"/>
      <c r="F697" s="1253"/>
      <c r="G697" s="1254"/>
      <c r="H697" s="1255"/>
      <c r="I697" s="1256"/>
      <c r="J697" s="1257"/>
      <c r="K697" s="1257"/>
      <c r="L697" s="1257"/>
      <c r="M697" s="1257"/>
      <c r="N697" s="1257"/>
      <c r="O697" s="1257"/>
      <c r="P697" s="1258"/>
      <c r="Q697" s="795">
        <f t="shared" si="10"/>
        <v>0</v>
      </c>
      <c r="R697" s="1252"/>
      <c r="S697" s="1251"/>
      <c r="T697" s="1260"/>
      <c r="U697" s="1251"/>
      <c r="V697" s="1251"/>
      <c r="W697" s="1251"/>
      <c r="X697" s="1261"/>
      <c r="Y697" s="1262"/>
      <c r="Z697" s="1254"/>
      <c r="AA697" s="1253"/>
      <c r="AB697" s="1253"/>
      <c r="AC697" s="1253"/>
      <c r="AD697" s="1253"/>
      <c r="AE697" s="1253"/>
      <c r="AF697" s="1263"/>
      <c r="AG697" s="1261"/>
      <c r="AH697" s="1261"/>
      <c r="AI697" s="1261"/>
      <c r="AJ697" s="1261"/>
      <c r="AK697" s="1261"/>
      <c r="AL697" s="1261"/>
      <c r="AM697" s="1261"/>
      <c r="AN697" s="1261"/>
      <c r="AO697" s="1261"/>
      <c r="AP697" s="1261"/>
      <c r="AQ697" s="1264"/>
      <c r="AR697" s="1261"/>
      <c r="AS697" s="1261"/>
      <c r="AT697" s="1261"/>
      <c r="AU697" s="1265"/>
      <c r="AV697" s="1264"/>
      <c r="AW697" s="1261"/>
      <c r="AX697" s="1261"/>
      <c r="AY697" s="1261"/>
      <c r="AZ697" s="1261"/>
      <c r="BA697" s="1261"/>
      <c r="BB697" s="1261"/>
      <c r="BC697" s="1261"/>
      <c r="BD697" s="1261"/>
      <c r="BE697" s="1261"/>
      <c r="BF697" s="1261"/>
      <c r="BG697" s="1261"/>
      <c r="BH697" s="1261"/>
      <c r="BI697" s="1261"/>
      <c r="BJ697" s="1261"/>
      <c r="BK697" s="1265"/>
      <c r="BL697" s="1252"/>
      <c r="BM697" s="1253"/>
      <c r="BN697" s="1253"/>
      <c r="BO697" s="1253"/>
      <c r="BP697" s="1260"/>
      <c r="BQ697" s="1264"/>
      <c r="BR697" s="1261"/>
      <c r="BS697" s="1261"/>
      <c r="BT697" s="1261"/>
      <c r="BU697" s="1265"/>
      <c r="BV697" s="1264"/>
      <c r="BW697" s="1261"/>
      <c r="BX697" s="1261"/>
      <c r="BY697" s="1261"/>
      <c r="BZ697" s="1261"/>
      <c r="CA697" s="1264"/>
      <c r="CB697" s="1261"/>
      <c r="CC697" s="1261"/>
      <c r="CD697" s="1261"/>
      <c r="CE697" s="1265"/>
      <c r="CF697" s="1261"/>
      <c r="CG697" s="1261"/>
      <c r="CH697" s="1261"/>
      <c r="CI697" s="1261"/>
      <c r="CJ697" s="1265"/>
      <c r="CK697" s="1264"/>
      <c r="CL697" s="1261"/>
      <c r="CM697" s="1261"/>
      <c r="CN697" s="1261"/>
      <c r="CO697" s="1265"/>
      <c r="CP697" s="1264"/>
      <c r="CQ697" s="1261"/>
      <c r="CR697" s="1261"/>
      <c r="CS697" s="1261"/>
      <c r="CT697" s="1265"/>
      <c r="CU697" s="1266"/>
      <c r="CV697" s="1267"/>
      <c r="CW697" s="1267"/>
      <c r="CX697" s="1268"/>
      <c r="CY697" s="1267"/>
      <c r="CZ697" s="1267"/>
      <c r="DA697" s="1267"/>
      <c r="DB697" s="1268"/>
      <c r="DC697" s="1253"/>
      <c r="DD697" s="1269">
        <v>1</v>
      </c>
      <c r="DE697" s="1270"/>
    </row>
    <row r="698" spans="1:109" ht="15.75" hidden="1" customHeight="1">
      <c r="A698" s="1250"/>
      <c r="B698" s="1251"/>
      <c r="C698" s="1252"/>
      <c r="D698" s="1251"/>
      <c r="E698" s="1251"/>
      <c r="F698" s="1253"/>
      <c r="G698" s="1254"/>
      <c r="H698" s="1255"/>
      <c r="I698" s="1256"/>
      <c r="J698" s="1257"/>
      <c r="K698" s="1257"/>
      <c r="L698" s="1257"/>
      <c r="M698" s="1257"/>
      <c r="N698" s="1257"/>
      <c r="O698" s="1257"/>
      <c r="P698" s="1258"/>
      <c r="Q698" s="795">
        <f t="shared" si="10"/>
        <v>0</v>
      </c>
      <c r="R698" s="1252"/>
      <c r="S698" s="1251"/>
      <c r="T698" s="1260"/>
      <c r="U698" s="1251"/>
      <c r="V698" s="1251"/>
      <c r="W698" s="1251"/>
      <c r="X698" s="1261"/>
      <c r="Y698" s="1262"/>
      <c r="Z698" s="1254"/>
      <c r="AA698" s="1253"/>
      <c r="AB698" s="1253"/>
      <c r="AC698" s="1253"/>
      <c r="AD698" s="1253"/>
      <c r="AE698" s="1253"/>
      <c r="AF698" s="1263"/>
      <c r="AG698" s="1261"/>
      <c r="AH698" s="1261"/>
      <c r="AI698" s="1261"/>
      <c r="AJ698" s="1261"/>
      <c r="AK698" s="1261"/>
      <c r="AL698" s="1261"/>
      <c r="AM698" s="1261"/>
      <c r="AN698" s="1261"/>
      <c r="AO698" s="1261"/>
      <c r="AP698" s="1261"/>
      <c r="AQ698" s="1264"/>
      <c r="AR698" s="1261"/>
      <c r="AS698" s="1261"/>
      <c r="AT698" s="1261"/>
      <c r="AU698" s="1265"/>
      <c r="AV698" s="1264"/>
      <c r="AW698" s="1261"/>
      <c r="AX698" s="1261"/>
      <c r="AY698" s="1261"/>
      <c r="AZ698" s="1261"/>
      <c r="BA698" s="1261"/>
      <c r="BB698" s="1261"/>
      <c r="BC698" s="1261"/>
      <c r="BD698" s="1261"/>
      <c r="BE698" s="1261"/>
      <c r="BF698" s="1261"/>
      <c r="BG698" s="1261"/>
      <c r="BH698" s="1261"/>
      <c r="BI698" s="1261"/>
      <c r="BJ698" s="1261"/>
      <c r="BK698" s="1265"/>
      <c r="BL698" s="1252"/>
      <c r="BM698" s="1253"/>
      <c r="BN698" s="1253"/>
      <c r="BO698" s="1253"/>
      <c r="BP698" s="1260"/>
      <c r="BQ698" s="1264"/>
      <c r="BR698" s="1261"/>
      <c r="BS698" s="1261"/>
      <c r="BT698" s="1261"/>
      <c r="BU698" s="1265"/>
      <c r="BV698" s="1264"/>
      <c r="BW698" s="1261"/>
      <c r="BX698" s="1261"/>
      <c r="BY698" s="1261"/>
      <c r="BZ698" s="1261"/>
      <c r="CA698" s="1264"/>
      <c r="CB698" s="1261"/>
      <c r="CC698" s="1261"/>
      <c r="CD698" s="1261"/>
      <c r="CE698" s="1265"/>
      <c r="CF698" s="1261"/>
      <c r="CG698" s="1261"/>
      <c r="CH698" s="1261"/>
      <c r="CI698" s="1261"/>
      <c r="CJ698" s="1265"/>
      <c r="CK698" s="1264"/>
      <c r="CL698" s="1261"/>
      <c r="CM698" s="1261"/>
      <c r="CN698" s="1261"/>
      <c r="CO698" s="1265"/>
      <c r="CP698" s="1264"/>
      <c r="CQ698" s="1261"/>
      <c r="CR698" s="1261"/>
      <c r="CS698" s="1261"/>
      <c r="CT698" s="1265"/>
      <c r="CU698" s="1266"/>
      <c r="CV698" s="1267"/>
      <c r="CW698" s="1267"/>
      <c r="CX698" s="1268"/>
      <c r="CY698" s="1267"/>
      <c r="CZ698" s="1267"/>
      <c r="DA698" s="1267"/>
      <c r="DB698" s="1268"/>
      <c r="DC698" s="1253"/>
      <c r="DD698" s="1269">
        <v>1</v>
      </c>
      <c r="DE698" s="1270"/>
    </row>
    <row r="699" spans="1:109" ht="15.75" hidden="1" customHeight="1">
      <c r="A699" s="1250"/>
      <c r="B699" s="1251"/>
      <c r="C699" s="1252"/>
      <c r="D699" s="1251"/>
      <c r="E699" s="1251"/>
      <c r="F699" s="1253"/>
      <c r="G699" s="1254"/>
      <c r="H699" s="1255"/>
      <c r="I699" s="1256"/>
      <c r="J699" s="1257"/>
      <c r="K699" s="1257"/>
      <c r="L699" s="1257"/>
      <c r="M699" s="1257"/>
      <c r="N699" s="1257"/>
      <c r="O699" s="1257"/>
      <c r="P699" s="1258"/>
      <c r="Q699" s="795">
        <f t="shared" si="10"/>
        <v>0</v>
      </c>
      <c r="R699" s="1252"/>
      <c r="S699" s="1251"/>
      <c r="T699" s="1260"/>
      <c r="U699" s="1251"/>
      <c r="V699" s="1251"/>
      <c r="W699" s="1251"/>
      <c r="X699" s="1261"/>
      <c r="Y699" s="1262"/>
      <c r="Z699" s="1254"/>
      <c r="AA699" s="1253"/>
      <c r="AB699" s="1253"/>
      <c r="AC699" s="1253"/>
      <c r="AD699" s="1253"/>
      <c r="AE699" s="1253"/>
      <c r="AF699" s="1263"/>
      <c r="AG699" s="1261"/>
      <c r="AH699" s="1261"/>
      <c r="AI699" s="1261"/>
      <c r="AJ699" s="1261"/>
      <c r="AK699" s="1261"/>
      <c r="AL699" s="1261"/>
      <c r="AM699" s="1261"/>
      <c r="AN699" s="1261"/>
      <c r="AO699" s="1261"/>
      <c r="AP699" s="1261"/>
      <c r="AQ699" s="1264"/>
      <c r="AR699" s="1261"/>
      <c r="AS699" s="1261"/>
      <c r="AT699" s="1261"/>
      <c r="AU699" s="1265"/>
      <c r="AV699" s="1264"/>
      <c r="AW699" s="1261"/>
      <c r="AX699" s="1261"/>
      <c r="AY699" s="1261"/>
      <c r="AZ699" s="1261"/>
      <c r="BA699" s="1261"/>
      <c r="BB699" s="1261"/>
      <c r="BC699" s="1261"/>
      <c r="BD699" s="1261"/>
      <c r="BE699" s="1261"/>
      <c r="BF699" s="1261"/>
      <c r="BG699" s="1261"/>
      <c r="BH699" s="1261"/>
      <c r="BI699" s="1261"/>
      <c r="BJ699" s="1261"/>
      <c r="BK699" s="1265"/>
      <c r="BL699" s="1252"/>
      <c r="BM699" s="1253"/>
      <c r="BN699" s="1253"/>
      <c r="BO699" s="1253"/>
      <c r="BP699" s="1260"/>
      <c r="BQ699" s="1264"/>
      <c r="BR699" s="1261"/>
      <c r="BS699" s="1261"/>
      <c r="BT699" s="1261"/>
      <c r="BU699" s="1265"/>
      <c r="BV699" s="1264"/>
      <c r="BW699" s="1261"/>
      <c r="BX699" s="1261"/>
      <c r="BY699" s="1261"/>
      <c r="BZ699" s="1261"/>
      <c r="CA699" s="1264"/>
      <c r="CB699" s="1261"/>
      <c r="CC699" s="1261"/>
      <c r="CD699" s="1261"/>
      <c r="CE699" s="1265"/>
      <c r="CF699" s="1261"/>
      <c r="CG699" s="1261"/>
      <c r="CH699" s="1261"/>
      <c r="CI699" s="1261"/>
      <c r="CJ699" s="1265"/>
      <c r="CK699" s="1264"/>
      <c r="CL699" s="1261"/>
      <c r="CM699" s="1261"/>
      <c r="CN699" s="1261"/>
      <c r="CO699" s="1265"/>
      <c r="CP699" s="1264"/>
      <c r="CQ699" s="1261"/>
      <c r="CR699" s="1261"/>
      <c r="CS699" s="1261"/>
      <c r="CT699" s="1265"/>
      <c r="CU699" s="1266"/>
      <c r="CV699" s="1267"/>
      <c r="CW699" s="1267"/>
      <c r="CX699" s="1268"/>
      <c r="CY699" s="1267"/>
      <c r="CZ699" s="1267"/>
      <c r="DA699" s="1267"/>
      <c r="DB699" s="1268"/>
      <c r="DC699" s="1253"/>
      <c r="DD699" s="1269">
        <v>1</v>
      </c>
      <c r="DE699" s="1270"/>
    </row>
    <row r="700" spans="1:109" ht="15.75" hidden="1" customHeight="1">
      <c r="A700" s="1250"/>
      <c r="B700" s="1251"/>
      <c r="C700" s="1252"/>
      <c r="D700" s="1251"/>
      <c r="E700" s="1251"/>
      <c r="F700" s="1253"/>
      <c r="G700" s="1254"/>
      <c r="H700" s="1255"/>
      <c r="I700" s="1256"/>
      <c r="J700" s="1257"/>
      <c r="K700" s="1257"/>
      <c r="L700" s="1257"/>
      <c r="M700" s="1257"/>
      <c r="N700" s="1257"/>
      <c r="O700" s="1257"/>
      <c r="P700" s="1258"/>
      <c r="Q700" s="795">
        <f t="shared" si="10"/>
        <v>0</v>
      </c>
      <c r="R700" s="1252"/>
      <c r="S700" s="1251"/>
      <c r="T700" s="1260"/>
      <c r="U700" s="1251"/>
      <c r="V700" s="1251"/>
      <c r="W700" s="1251"/>
      <c r="X700" s="1261"/>
      <c r="Y700" s="1262"/>
      <c r="Z700" s="1254"/>
      <c r="AA700" s="1253"/>
      <c r="AB700" s="1253"/>
      <c r="AC700" s="1253"/>
      <c r="AD700" s="1253"/>
      <c r="AE700" s="1253"/>
      <c r="AF700" s="1263"/>
      <c r="AG700" s="1261"/>
      <c r="AH700" s="1261"/>
      <c r="AI700" s="1261"/>
      <c r="AJ700" s="1261"/>
      <c r="AK700" s="1261"/>
      <c r="AL700" s="1261"/>
      <c r="AM700" s="1261"/>
      <c r="AN700" s="1261"/>
      <c r="AO700" s="1261"/>
      <c r="AP700" s="1261"/>
      <c r="AQ700" s="1264"/>
      <c r="AR700" s="1261"/>
      <c r="AS700" s="1261"/>
      <c r="AT700" s="1261"/>
      <c r="AU700" s="1265"/>
      <c r="AV700" s="1264"/>
      <c r="AW700" s="1261"/>
      <c r="AX700" s="1261"/>
      <c r="AY700" s="1261"/>
      <c r="AZ700" s="1261"/>
      <c r="BA700" s="1261"/>
      <c r="BB700" s="1261"/>
      <c r="BC700" s="1261"/>
      <c r="BD700" s="1261"/>
      <c r="BE700" s="1261"/>
      <c r="BF700" s="1261"/>
      <c r="BG700" s="1261"/>
      <c r="BH700" s="1261"/>
      <c r="BI700" s="1261"/>
      <c r="BJ700" s="1261"/>
      <c r="BK700" s="1265"/>
      <c r="BL700" s="1252"/>
      <c r="BM700" s="1253"/>
      <c r="BN700" s="1253"/>
      <c r="BO700" s="1253"/>
      <c r="BP700" s="1260"/>
      <c r="BQ700" s="1264"/>
      <c r="BR700" s="1261"/>
      <c r="BS700" s="1261"/>
      <c r="BT700" s="1261"/>
      <c r="BU700" s="1265"/>
      <c r="BV700" s="1264"/>
      <c r="BW700" s="1261"/>
      <c r="BX700" s="1261"/>
      <c r="BY700" s="1261"/>
      <c r="BZ700" s="1261"/>
      <c r="CA700" s="1264"/>
      <c r="CB700" s="1261"/>
      <c r="CC700" s="1261"/>
      <c r="CD700" s="1261"/>
      <c r="CE700" s="1265"/>
      <c r="CF700" s="1261"/>
      <c r="CG700" s="1261"/>
      <c r="CH700" s="1261"/>
      <c r="CI700" s="1261"/>
      <c r="CJ700" s="1265"/>
      <c r="CK700" s="1264"/>
      <c r="CL700" s="1261"/>
      <c r="CM700" s="1261"/>
      <c r="CN700" s="1261"/>
      <c r="CO700" s="1265"/>
      <c r="CP700" s="1264"/>
      <c r="CQ700" s="1261"/>
      <c r="CR700" s="1261"/>
      <c r="CS700" s="1261"/>
      <c r="CT700" s="1265"/>
      <c r="CU700" s="1266"/>
      <c r="CV700" s="1267"/>
      <c r="CW700" s="1267"/>
      <c r="CX700" s="1268"/>
      <c r="CY700" s="1267"/>
      <c r="CZ700" s="1267"/>
      <c r="DA700" s="1267"/>
      <c r="DB700" s="1268"/>
      <c r="DC700" s="1253"/>
      <c r="DD700" s="1269">
        <v>1</v>
      </c>
      <c r="DE700" s="1270"/>
    </row>
    <row r="701" spans="1:109" ht="15.75" hidden="1" customHeight="1">
      <c r="A701" s="1250"/>
      <c r="B701" s="1251"/>
      <c r="C701" s="1252"/>
      <c r="D701" s="1251"/>
      <c r="E701" s="1251"/>
      <c r="F701" s="1253"/>
      <c r="G701" s="1254"/>
      <c r="H701" s="1255"/>
      <c r="I701" s="1256"/>
      <c r="J701" s="1257"/>
      <c r="K701" s="1257"/>
      <c r="L701" s="1257"/>
      <c r="M701" s="1257"/>
      <c r="N701" s="1257"/>
      <c r="O701" s="1257"/>
      <c r="P701" s="1258"/>
      <c r="Q701" s="795">
        <f t="shared" si="10"/>
        <v>0</v>
      </c>
      <c r="R701" s="1252"/>
      <c r="S701" s="1251"/>
      <c r="T701" s="1260"/>
      <c r="U701" s="1251"/>
      <c r="V701" s="1251"/>
      <c r="W701" s="1251"/>
      <c r="X701" s="1261"/>
      <c r="Y701" s="1262"/>
      <c r="Z701" s="1254"/>
      <c r="AA701" s="1253"/>
      <c r="AB701" s="1253"/>
      <c r="AC701" s="1253"/>
      <c r="AD701" s="1253"/>
      <c r="AE701" s="1253"/>
      <c r="AF701" s="1263"/>
      <c r="AG701" s="1261"/>
      <c r="AH701" s="1261"/>
      <c r="AI701" s="1261"/>
      <c r="AJ701" s="1261"/>
      <c r="AK701" s="1261"/>
      <c r="AL701" s="1261"/>
      <c r="AM701" s="1261"/>
      <c r="AN701" s="1261"/>
      <c r="AO701" s="1261"/>
      <c r="AP701" s="1261"/>
      <c r="AQ701" s="1264"/>
      <c r="AR701" s="1261"/>
      <c r="AS701" s="1261"/>
      <c r="AT701" s="1261"/>
      <c r="AU701" s="1265"/>
      <c r="AV701" s="1264"/>
      <c r="AW701" s="1261"/>
      <c r="AX701" s="1261"/>
      <c r="AY701" s="1261"/>
      <c r="AZ701" s="1261"/>
      <c r="BA701" s="1261"/>
      <c r="BB701" s="1261"/>
      <c r="BC701" s="1261"/>
      <c r="BD701" s="1261"/>
      <c r="BE701" s="1261"/>
      <c r="BF701" s="1261"/>
      <c r="BG701" s="1261"/>
      <c r="BH701" s="1261"/>
      <c r="BI701" s="1261"/>
      <c r="BJ701" s="1261"/>
      <c r="BK701" s="1265"/>
      <c r="BL701" s="1252"/>
      <c r="BM701" s="1253"/>
      <c r="BN701" s="1253"/>
      <c r="BO701" s="1253"/>
      <c r="BP701" s="1260"/>
      <c r="BQ701" s="1264"/>
      <c r="BR701" s="1261"/>
      <c r="BS701" s="1261"/>
      <c r="BT701" s="1261"/>
      <c r="BU701" s="1265"/>
      <c r="BV701" s="1264"/>
      <c r="BW701" s="1261"/>
      <c r="BX701" s="1261"/>
      <c r="BY701" s="1261"/>
      <c r="BZ701" s="1261"/>
      <c r="CA701" s="1264"/>
      <c r="CB701" s="1261"/>
      <c r="CC701" s="1261"/>
      <c r="CD701" s="1261"/>
      <c r="CE701" s="1265"/>
      <c r="CF701" s="1261"/>
      <c r="CG701" s="1261"/>
      <c r="CH701" s="1261"/>
      <c r="CI701" s="1261"/>
      <c r="CJ701" s="1265"/>
      <c r="CK701" s="1264"/>
      <c r="CL701" s="1261"/>
      <c r="CM701" s="1261"/>
      <c r="CN701" s="1261"/>
      <c r="CO701" s="1265"/>
      <c r="CP701" s="1264"/>
      <c r="CQ701" s="1261"/>
      <c r="CR701" s="1261"/>
      <c r="CS701" s="1261"/>
      <c r="CT701" s="1265"/>
      <c r="CU701" s="1266"/>
      <c r="CV701" s="1267"/>
      <c r="CW701" s="1267"/>
      <c r="CX701" s="1268"/>
      <c r="CY701" s="1267"/>
      <c r="CZ701" s="1267"/>
      <c r="DA701" s="1267"/>
      <c r="DB701" s="1268"/>
      <c r="DC701" s="1253"/>
      <c r="DD701" s="1269">
        <v>1</v>
      </c>
      <c r="DE701" s="1270"/>
    </row>
    <row r="702" spans="1:109" ht="15.75" hidden="1" customHeight="1">
      <c r="A702" s="1250"/>
      <c r="B702" s="1251"/>
      <c r="C702" s="1252"/>
      <c r="D702" s="1251"/>
      <c r="E702" s="1251"/>
      <c r="F702" s="1253"/>
      <c r="G702" s="1254"/>
      <c r="H702" s="1255"/>
      <c r="I702" s="1256"/>
      <c r="J702" s="1257"/>
      <c r="K702" s="1257"/>
      <c r="L702" s="1257"/>
      <c r="M702" s="1257"/>
      <c r="N702" s="1257"/>
      <c r="O702" s="1257"/>
      <c r="P702" s="1258"/>
      <c r="Q702" s="795">
        <f t="shared" si="10"/>
        <v>0</v>
      </c>
      <c r="R702" s="1252"/>
      <c r="S702" s="1251"/>
      <c r="T702" s="1260"/>
      <c r="U702" s="1251"/>
      <c r="V702" s="1251"/>
      <c r="W702" s="1251"/>
      <c r="X702" s="1261"/>
      <c r="Y702" s="1262"/>
      <c r="Z702" s="1254"/>
      <c r="AA702" s="1253"/>
      <c r="AB702" s="1253"/>
      <c r="AC702" s="1253"/>
      <c r="AD702" s="1253"/>
      <c r="AE702" s="1253"/>
      <c r="AF702" s="1263"/>
      <c r="AG702" s="1261"/>
      <c r="AH702" s="1261"/>
      <c r="AI702" s="1261"/>
      <c r="AJ702" s="1261"/>
      <c r="AK702" s="1261"/>
      <c r="AL702" s="1261"/>
      <c r="AM702" s="1261"/>
      <c r="AN702" s="1261"/>
      <c r="AO702" s="1261"/>
      <c r="AP702" s="1261"/>
      <c r="AQ702" s="1264"/>
      <c r="AR702" s="1261"/>
      <c r="AS702" s="1261"/>
      <c r="AT702" s="1261"/>
      <c r="AU702" s="1265"/>
      <c r="AV702" s="1264"/>
      <c r="AW702" s="1261"/>
      <c r="AX702" s="1261"/>
      <c r="AY702" s="1261"/>
      <c r="AZ702" s="1261"/>
      <c r="BA702" s="1261"/>
      <c r="BB702" s="1261"/>
      <c r="BC702" s="1261"/>
      <c r="BD702" s="1261"/>
      <c r="BE702" s="1261"/>
      <c r="BF702" s="1261"/>
      <c r="BG702" s="1261"/>
      <c r="BH702" s="1261"/>
      <c r="BI702" s="1261"/>
      <c r="BJ702" s="1261"/>
      <c r="BK702" s="1265"/>
      <c r="BL702" s="1252"/>
      <c r="BM702" s="1253"/>
      <c r="BN702" s="1253"/>
      <c r="BO702" s="1253"/>
      <c r="BP702" s="1260"/>
      <c r="BQ702" s="1264"/>
      <c r="BR702" s="1261"/>
      <c r="BS702" s="1261"/>
      <c r="BT702" s="1261"/>
      <c r="BU702" s="1265"/>
      <c r="BV702" s="1264"/>
      <c r="BW702" s="1261"/>
      <c r="BX702" s="1261"/>
      <c r="BY702" s="1261"/>
      <c r="BZ702" s="1261"/>
      <c r="CA702" s="1264"/>
      <c r="CB702" s="1261"/>
      <c r="CC702" s="1261"/>
      <c r="CD702" s="1261"/>
      <c r="CE702" s="1265"/>
      <c r="CF702" s="1261"/>
      <c r="CG702" s="1261"/>
      <c r="CH702" s="1261"/>
      <c r="CI702" s="1261"/>
      <c r="CJ702" s="1265"/>
      <c r="CK702" s="1264"/>
      <c r="CL702" s="1261"/>
      <c r="CM702" s="1261"/>
      <c r="CN702" s="1261"/>
      <c r="CO702" s="1265"/>
      <c r="CP702" s="1264"/>
      <c r="CQ702" s="1261"/>
      <c r="CR702" s="1261"/>
      <c r="CS702" s="1261"/>
      <c r="CT702" s="1265"/>
      <c r="CU702" s="1266"/>
      <c r="CV702" s="1267"/>
      <c r="CW702" s="1267"/>
      <c r="CX702" s="1268"/>
      <c r="CY702" s="1267"/>
      <c r="CZ702" s="1267"/>
      <c r="DA702" s="1267"/>
      <c r="DB702" s="1268"/>
      <c r="DC702" s="1253"/>
      <c r="DD702" s="1269">
        <v>1</v>
      </c>
      <c r="DE702" s="1270"/>
    </row>
    <row r="703" spans="1:109" ht="13.15" hidden="1">
      <c r="A703" s="1250"/>
      <c r="B703" s="1251"/>
      <c r="C703" s="1252"/>
      <c r="D703" s="1251"/>
      <c r="E703" s="1251"/>
      <c r="F703" s="1253"/>
      <c r="G703" s="1254"/>
      <c r="H703" s="1255"/>
      <c r="I703" s="1256"/>
      <c r="J703" s="1257"/>
      <c r="K703" s="1257"/>
      <c r="L703" s="1257"/>
      <c r="M703" s="1257"/>
      <c r="N703" s="1257"/>
      <c r="O703" s="1257"/>
      <c r="P703" s="1258"/>
      <c r="Q703" s="795">
        <f t="shared" si="10"/>
        <v>0</v>
      </c>
      <c r="R703" s="1252"/>
      <c r="S703" s="1251"/>
      <c r="T703" s="1260"/>
      <c r="U703" s="1251"/>
      <c r="V703" s="1251"/>
      <c r="W703" s="1251"/>
      <c r="X703" s="1261"/>
      <c r="Y703" s="1262"/>
      <c r="Z703" s="1254"/>
      <c r="AA703" s="1253"/>
      <c r="AB703" s="1253"/>
      <c r="AC703" s="1253"/>
      <c r="AD703" s="1253"/>
      <c r="AE703" s="1253"/>
      <c r="AF703" s="1263"/>
      <c r="AG703" s="1261"/>
      <c r="AH703" s="1261"/>
      <c r="AI703" s="1261"/>
      <c r="AJ703" s="1261"/>
      <c r="AK703" s="1261"/>
      <c r="AL703" s="1261"/>
      <c r="AM703" s="1261"/>
      <c r="AN703" s="1261"/>
      <c r="AO703" s="1261"/>
      <c r="AP703" s="1261"/>
      <c r="AQ703" s="1264"/>
      <c r="AR703" s="1261"/>
      <c r="AS703" s="1261"/>
      <c r="AT703" s="1261"/>
      <c r="AU703" s="1265"/>
      <c r="AV703" s="1264"/>
      <c r="AW703" s="1261"/>
      <c r="AX703" s="1261"/>
      <c r="AY703" s="1261"/>
      <c r="AZ703" s="1261"/>
      <c r="BA703" s="1261"/>
      <c r="BB703" s="1261"/>
      <c r="BC703" s="1261"/>
      <c r="BD703" s="1261"/>
      <c r="BE703" s="1261"/>
      <c r="BF703" s="1261"/>
      <c r="BG703" s="1261"/>
      <c r="BH703" s="1261"/>
      <c r="BI703" s="1261"/>
      <c r="BJ703" s="1261"/>
      <c r="BK703" s="1265"/>
      <c r="BL703" s="1252"/>
      <c r="BM703" s="1253"/>
      <c r="BN703" s="1253"/>
      <c r="BO703" s="1253"/>
      <c r="BP703" s="1260"/>
      <c r="BQ703" s="1264"/>
      <c r="BR703" s="1261"/>
      <c r="BS703" s="1261"/>
      <c r="BT703" s="1261"/>
      <c r="BU703" s="1265"/>
      <c r="BV703" s="1264"/>
      <c r="BW703" s="1261"/>
      <c r="BX703" s="1261"/>
      <c r="BY703" s="1261"/>
      <c r="BZ703" s="1261"/>
      <c r="CA703" s="1264"/>
      <c r="CB703" s="1261"/>
      <c r="CC703" s="1261"/>
      <c r="CD703" s="1261"/>
      <c r="CE703" s="1265"/>
      <c r="CF703" s="1261"/>
      <c r="CG703" s="1261"/>
      <c r="CH703" s="1261"/>
      <c r="CI703" s="1261"/>
      <c r="CJ703" s="1265"/>
      <c r="CK703" s="1264"/>
      <c r="CL703" s="1261"/>
      <c r="CM703" s="1261"/>
      <c r="CN703" s="1261"/>
      <c r="CO703" s="1265"/>
      <c r="CP703" s="1264"/>
      <c r="CQ703" s="1261"/>
      <c r="CR703" s="1261"/>
      <c r="CS703" s="1261"/>
      <c r="CT703" s="1265"/>
      <c r="CU703" s="1266"/>
      <c r="CV703" s="1267"/>
      <c r="CW703" s="1267"/>
      <c r="CX703" s="1268"/>
      <c r="CY703" s="1267"/>
      <c r="CZ703" s="1267"/>
      <c r="DA703" s="1267"/>
      <c r="DB703" s="1268"/>
      <c r="DC703" s="1253"/>
      <c r="DD703" s="1269">
        <v>1</v>
      </c>
      <c r="DE703" s="1270"/>
    </row>
    <row r="704" spans="1:109" ht="13.15" hidden="1">
      <c r="A704" s="1250"/>
      <c r="B704" s="1251"/>
      <c r="C704" s="1252"/>
      <c r="D704" s="1251"/>
      <c r="E704" s="1251"/>
      <c r="F704" s="1253"/>
      <c r="G704" s="1254"/>
      <c r="H704" s="1255"/>
      <c r="I704" s="1256"/>
      <c r="J704" s="1257"/>
      <c r="K704" s="1257"/>
      <c r="L704" s="1257"/>
      <c r="M704" s="1257"/>
      <c r="N704" s="1257"/>
      <c r="O704" s="1257"/>
      <c r="P704" s="1258"/>
      <c r="Q704" s="795">
        <f t="shared" si="10"/>
        <v>0</v>
      </c>
      <c r="R704" s="1252"/>
      <c r="S704" s="1251"/>
      <c r="T704" s="1260"/>
      <c r="U704" s="1251"/>
      <c r="V704" s="1251"/>
      <c r="W704" s="1251"/>
      <c r="X704" s="1261"/>
      <c r="Y704" s="1262"/>
      <c r="Z704" s="1254"/>
      <c r="AA704" s="1253"/>
      <c r="AB704" s="1253"/>
      <c r="AC704" s="1253"/>
      <c r="AD704" s="1253"/>
      <c r="AE704" s="1253"/>
      <c r="AF704" s="1263"/>
      <c r="AG704" s="1261"/>
      <c r="AH704" s="1261"/>
      <c r="AI704" s="1261"/>
      <c r="AJ704" s="1261"/>
      <c r="AK704" s="1261"/>
      <c r="AL704" s="1261"/>
      <c r="AM704" s="1261"/>
      <c r="AN704" s="1261"/>
      <c r="AO704" s="1261"/>
      <c r="AP704" s="1261"/>
      <c r="AQ704" s="1264"/>
      <c r="AR704" s="1261"/>
      <c r="AS704" s="1261"/>
      <c r="AT704" s="1261"/>
      <c r="AU704" s="1265"/>
      <c r="AV704" s="1264"/>
      <c r="AW704" s="1261"/>
      <c r="AX704" s="1261"/>
      <c r="AY704" s="1261"/>
      <c r="AZ704" s="1261"/>
      <c r="BA704" s="1261"/>
      <c r="BB704" s="1261"/>
      <c r="BC704" s="1261"/>
      <c r="BD704" s="1261"/>
      <c r="BE704" s="1261"/>
      <c r="BF704" s="1261"/>
      <c r="BG704" s="1261"/>
      <c r="BH704" s="1261"/>
      <c r="BI704" s="1261"/>
      <c r="BJ704" s="1261"/>
      <c r="BK704" s="1265"/>
      <c r="BL704" s="1252"/>
      <c r="BM704" s="1253"/>
      <c r="BN704" s="1253"/>
      <c r="BO704" s="1253"/>
      <c r="BP704" s="1260"/>
      <c r="BQ704" s="1264"/>
      <c r="BR704" s="1261"/>
      <c r="BS704" s="1261"/>
      <c r="BT704" s="1261"/>
      <c r="BU704" s="1265"/>
      <c r="BV704" s="1264"/>
      <c r="BW704" s="1261"/>
      <c r="BX704" s="1261"/>
      <c r="BY704" s="1261"/>
      <c r="BZ704" s="1261"/>
      <c r="CA704" s="1264"/>
      <c r="CB704" s="1261"/>
      <c r="CC704" s="1261"/>
      <c r="CD704" s="1261"/>
      <c r="CE704" s="1265"/>
      <c r="CF704" s="1261"/>
      <c r="CG704" s="1261"/>
      <c r="CH704" s="1261"/>
      <c r="CI704" s="1261"/>
      <c r="CJ704" s="1265"/>
      <c r="CK704" s="1264"/>
      <c r="CL704" s="1261"/>
      <c r="CM704" s="1261"/>
      <c r="CN704" s="1261"/>
      <c r="CO704" s="1265"/>
      <c r="CP704" s="1264"/>
      <c r="CQ704" s="1261"/>
      <c r="CR704" s="1261"/>
      <c r="CS704" s="1261"/>
      <c r="CT704" s="1265"/>
      <c r="CU704" s="1266"/>
      <c r="CV704" s="1267"/>
      <c r="CW704" s="1267"/>
      <c r="CX704" s="1268"/>
      <c r="CY704" s="1267"/>
      <c r="CZ704" s="1267"/>
      <c r="DA704" s="1267"/>
      <c r="DB704" s="1268"/>
      <c r="DC704" s="1253"/>
      <c r="DD704" s="1269">
        <v>1</v>
      </c>
      <c r="DE704" s="1270"/>
    </row>
    <row r="705" spans="1:109" s="59" customFormat="1" ht="15" hidden="1">
      <c r="A705" s="1250"/>
      <c r="B705" s="1251"/>
      <c r="C705" s="1252"/>
      <c r="D705" s="1251"/>
      <c r="E705" s="1251"/>
      <c r="F705" s="1253"/>
      <c r="G705" s="1254"/>
      <c r="H705" s="1255"/>
      <c r="I705" s="1256"/>
      <c r="J705" s="1257"/>
      <c r="K705" s="1257"/>
      <c r="L705" s="1257"/>
      <c r="M705" s="1257"/>
      <c r="N705" s="1257"/>
      <c r="O705" s="1257"/>
      <c r="P705" s="1258"/>
      <c r="Q705" s="795">
        <f t="shared" si="10"/>
        <v>0</v>
      </c>
      <c r="R705" s="1252"/>
      <c r="S705" s="1251"/>
      <c r="T705" s="1260"/>
      <c r="U705" s="1251"/>
      <c r="V705" s="1251"/>
      <c r="W705" s="1251"/>
      <c r="X705" s="1261"/>
      <c r="Y705" s="1262"/>
      <c r="Z705" s="1254"/>
      <c r="AA705" s="1253"/>
      <c r="AB705" s="1253"/>
      <c r="AC705" s="1253"/>
      <c r="AD705" s="1253"/>
      <c r="AE705" s="1253"/>
      <c r="AF705" s="1263"/>
      <c r="AG705" s="1261"/>
      <c r="AH705" s="1261"/>
      <c r="AI705" s="1261"/>
      <c r="AJ705" s="1261"/>
      <c r="AK705" s="1261"/>
      <c r="AL705" s="1261"/>
      <c r="AM705" s="1261"/>
      <c r="AN705" s="1261"/>
      <c r="AO705" s="1261"/>
      <c r="AP705" s="1261"/>
      <c r="AQ705" s="1264"/>
      <c r="AR705" s="1261"/>
      <c r="AS705" s="1261"/>
      <c r="AT705" s="1261"/>
      <c r="AU705" s="1265"/>
      <c r="AV705" s="1264"/>
      <c r="AW705" s="1261"/>
      <c r="AX705" s="1261"/>
      <c r="AY705" s="1261"/>
      <c r="AZ705" s="1261"/>
      <c r="BA705" s="1261"/>
      <c r="BB705" s="1261"/>
      <c r="BC705" s="1261"/>
      <c r="BD705" s="1261"/>
      <c r="BE705" s="1261"/>
      <c r="BF705" s="1261"/>
      <c r="BG705" s="1261"/>
      <c r="BH705" s="1261"/>
      <c r="BI705" s="1261"/>
      <c r="BJ705" s="1261"/>
      <c r="BK705" s="1265"/>
      <c r="BL705" s="1252"/>
      <c r="BM705" s="1253"/>
      <c r="BN705" s="1253"/>
      <c r="BO705" s="1253"/>
      <c r="BP705" s="1260"/>
      <c r="BQ705" s="1264"/>
      <c r="BR705" s="1261"/>
      <c r="BS705" s="1261"/>
      <c r="BT705" s="1261"/>
      <c r="BU705" s="1265"/>
      <c r="BV705" s="1264"/>
      <c r="BW705" s="1261"/>
      <c r="BX705" s="1261"/>
      <c r="BY705" s="1261"/>
      <c r="BZ705" s="1261"/>
      <c r="CA705" s="1264"/>
      <c r="CB705" s="1261"/>
      <c r="CC705" s="1261"/>
      <c r="CD705" s="1261"/>
      <c r="CE705" s="1265"/>
      <c r="CF705" s="1261"/>
      <c r="CG705" s="1261"/>
      <c r="CH705" s="1261"/>
      <c r="CI705" s="1261"/>
      <c r="CJ705" s="1265"/>
      <c r="CK705" s="1264"/>
      <c r="CL705" s="1261"/>
      <c r="CM705" s="1261"/>
      <c r="CN705" s="1261"/>
      <c r="CO705" s="1265"/>
      <c r="CP705" s="1264"/>
      <c r="CQ705" s="1261"/>
      <c r="CR705" s="1261"/>
      <c r="CS705" s="1261"/>
      <c r="CT705" s="1265"/>
      <c r="CU705" s="1266"/>
      <c r="CV705" s="1267"/>
      <c r="CW705" s="1267"/>
      <c r="CX705" s="1268"/>
      <c r="CY705" s="1267"/>
      <c r="CZ705" s="1267"/>
      <c r="DA705" s="1267"/>
      <c r="DB705" s="1268"/>
      <c r="DC705" s="1253"/>
      <c r="DD705" s="1269">
        <v>1</v>
      </c>
      <c r="DE705" s="1270"/>
    </row>
    <row r="706" spans="1:109" s="59" customFormat="1" ht="15" hidden="1">
      <c r="A706" s="1250"/>
      <c r="B706" s="1251"/>
      <c r="C706" s="1252"/>
      <c r="D706" s="1251"/>
      <c r="E706" s="1251"/>
      <c r="F706" s="1253"/>
      <c r="G706" s="1254"/>
      <c r="H706" s="1255"/>
      <c r="I706" s="1256"/>
      <c r="J706" s="1257"/>
      <c r="K706" s="1257"/>
      <c r="L706" s="1257"/>
      <c r="M706" s="1257"/>
      <c r="N706" s="1257"/>
      <c r="O706" s="1257"/>
      <c r="P706" s="1258"/>
      <c r="Q706" s="795">
        <f t="shared" si="10"/>
        <v>0</v>
      </c>
      <c r="R706" s="1252"/>
      <c r="S706" s="1251"/>
      <c r="T706" s="1260"/>
      <c r="U706" s="1251"/>
      <c r="V706" s="1251"/>
      <c r="W706" s="1251"/>
      <c r="X706" s="1261"/>
      <c r="Y706" s="1262"/>
      <c r="Z706" s="1254"/>
      <c r="AA706" s="1253"/>
      <c r="AB706" s="1253"/>
      <c r="AC706" s="1253"/>
      <c r="AD706" s="1253"/>
      <c r="AE706" s="1253"/>
      <c r="AF706" s="1263"/>
      <c r="AG706" s="1261"/>
      <c r="AH706" s="1261"/>
      <c r="AI706" s="1261"/>
      <c r="AJ706" s="1261"/>
      <c r="AK706" s="1261"/>
      <c r="AL706" s="1261"/>
      <c r="AM706" s="1261"/>
      <c r="AN706" s="1261"/>
      <c r="AO706" s="1261"/>
      <c r="AP706" s="1261"/>
      <c r="AQ706" s="1264"/>
      <c r="AR706" s="1261"/>
      <c r="AS706" s="1261"/>
      <c r="AT706" s="1261"/>
      <c r="AU706" s="1265"/>
      <c r="AV706" s="1264"/>
      <c r="AW706" s="1261"/>
      <c r="AX706" s="1261"/>
      <c r="AY706" s="1261"/>
      <c r="AZ706" s="1261"/>
      <c r="BA706" s="1261"/>
      <c r="BB706" s="1261"/>
      <c r="BC706" s="1261"/>
      <c r="BD706" s="1261"/>
      <c r="BE706" s="1261"/>
      <c r="BF706" s="1261"/>
      <c r="BG706" s="1261"/>
      <c r="BH706" s="1261"/>
      <c r="BI706" s="1261"/>
      <c r="BJ706" s="1261"/>
      <c r="BK706" s="1265"/>
      <c r="BL706" s="1252"/>
      <c r="BM706" s="1253"/>
      <c r="BN706" s="1253"/>
      <c r="BO706" s="1253"/>
      <c r="BP706" s="1260"/>
      <c r="BQ706" s="1264"/>
      <c r="BR706" s="1261"/>
      <c r="BS706" s="1261"/>
      <c r="BT706" s="1261"/>
      <c r="BU706" s="1265"/>
      <c r="BV706" s="1264"/>
      <c r="BW706" s="1261"/>
      <c r="BX706" s="1261"/>
      <c r="BY706" s="1261"/>
      <c r="BZ706" s="1261"/>
      <c r="CA706" s="1264"/>
      <c r="CB706" s="1261"/>
      <c r="CC706" s="1261"/>
      <c r="CD706" s="1261"/>
      <c r="CE706" s="1265"/>
      <c r="CF706" s="1261"/>
      <c r="CG706" s="1261"/>
      <c r="CH706" s="1261"/>
      <c r="CI706" s="1261"/>
      <c r="CJ706" s="1265"/>
      <c r="CK706" s="1264"/>
      <c r="CL706" s="1261"/>
      <c r="CM706" s="1261"/>
      <c r="CN706" s="1261"/>
      <c r="CO706" s="1265"/>
      <c r="CP706" s="1264"/>
      <c r="CQ706" s="1261"/>
      <c r="CR706" s="1261"/>
      <c r="CS706" s="1261"/>
      <c r="CT706" s="1265"/>
      <c r="CU706" s="1266"/>
      <c r="CV706" s="1267"/>
      <c r="CW706" s="1267"/>
      <c r="CX706" s="1268"/>
      <c r="CY706" s="1267"/>
      <c r="CZ706" s="1267"/>
      <c r="DA706" s="1267"/>
      <c r="DB706" s="1268"/>
      <c r="DC706" s="1253"/>
      <c r="DD706" s="1269">
        <v>1</v>
      </c>
      <c r="DE706" s="1270"/>
    </row>
    <row r="707" spans="1:109" s="59" customFormat="1" ht="15" hidden="1">
      <c r="A707" s="1250"/>
      <c r="B707" s="1251"/>
      <c r="C707" s="1252"/>
      <c r="D707" s="1251"/>
      <c r="E707" s="1251"/>
      <c r="F707" s="1253"/>
      <c r="G707" s="1254"/>
      <c r="H707" s="1255"/>
      <c r="I707" s="1256"/>
      <c r="J707" s="1257"/>
      <c r="K707" s="1257"/>
      <c r="L707" s="1257"/>
      <c r="M707" s="1257"/>
      <c r="N707" s="1257"/>
      <c r="O707" s="1257"/>
      <c r="P707" s="1258"/>
      <c r="Q707" s="795">
        <f t="shared" si="10"/>
        <v>0</v>
      </c>
      <c r="R707" s="1252"/>
      <c r="S707" s="1251"/>
      <c r="T707" s="1260"/>
      <c r="U707" s="1251"/>
      <c r="V707" s="1251"/>
      <c r="W707" s="1251"/>
      <c r="X707" s="1261"/>
      <c r="Y707" s="1262"/>
      <c r="Z707" s="1254"/>
      <c r="AA707" s="1253"/>
      <c r="AB707" s="1253"/>
      <c r="AC707" s="1253"/>
      <c r="AD707" s="1253"/>
      <c r="AE707" s="1253"/>
      <c r="AF707" s="1263"/>
      <c r="AG707" s="1261"/>
      <c r="AH707" s="1261"/>
      <c r="AI707" s="1261"/>
      <c r="AJ707" s="1261"/>
      <c r="AK707" s="1261"/>
      <c r="AL707" s="1261"/>
      <c r="AM707" s="1261"/>
      <c r="AN707" s="1261"/>
      <c r="AO707" s="1261"/>
      <c r="AP707" s="1261"/>
      <c r="AQ707" s="1264"/>
      <c r="AR707" s="1261"/>
      <c r="AS707" s="1261"/>
      <c r="AT707" s="1261"/>
      <c r="AU707" s="1265"/>
      <c r="AV707" s="1264"/>
      <c r="AW707" s="1261"/>
      <c r="AX707" s="1261"/>
      <c r="AY707" s="1261"/>
      <c r="AZ707" s="1261"/>
      <c r="BA707" s="1261"/>
      <c r="BB707" s="1261"/>
      <c r="BC707" s="1261"/>
      <c r="BD707" s="1261"/>
      <c r="BE707" s="1261"/>
      <c r="BF707" s="1261"/>
      <c r="BG707" s="1261"/>
      <c r="BH707" s="1261"/>
      <c r="BI707" s="1261"/>
      <c r="BJ707" s="1261"/>
      <c r="BK707" s="1265"/>
      <c r="BL707" s="1252"/>
      <c r="BM707" s="1253"/>
      <c r="BN707" s="1253"/>
      <c r="BO707" s="1253"/>
      <c r="BP707" s="1260"/>
      <c r="BQ707" s="1264"/>
      <c r="BR707" s="1261"/>
      <c r="BS707" s="1261"/>
      <c r="BT707" s="1261"/>
      <c r="BU707" s="1265"/>
      <c r="BV707" s="1264"/>
      <c r="BW707" s="1261"/>
      <c r="BX707" s="1261"/>
      <c r="BY707" s="1261"/>
      <c r="BZ707" s="1261"/>
      <c r="CA707" s="1264"/>
      <c r="CB707" s="1261"/>
      <c r="CC707" s="1261"/>
      <c r="CD707" s="1261"/>
      <c r="CE707" s="1265"/>
      <c r="CF707" s="1261"/>
      <c r="CG707" s="1261"/>
      <c r="CH707" s="1261"/>
      <c r="CI707" s="1261"/>
      <c r="CJ707" s="1265"/>
      <c r="CK707" s="1264"/>
      <c r="CL707" s="1261"/>
      <c r="CM707" s="1261"/>
      <c r="CN707" s="1261"/>
      <c r="CO707" s="1265"/>
      <c r="CP707" s="1264"/>
      <c r="CQ707" s="1261"/>
      <c r="CR707" s="1261"/>
      <c r="CS707" s="1261"/>
      <c r="CT707" s="1265"/>
      <c r="CU707" s="1266"/>
      <c r="CV707" s="1267"/>
      <c r="CW707" s="1267"/>
      <c r="CX707" s="1268"/>
      <c r="CY707" s="1267"/>
      <c r="CZ707" s="1267"/>
      <c r="DA707" s="1267"/>
      <c r="DB707" s="1268"/>
      <c r="DC707" s="1253"/>
      <c r="DD707" s="1269">
        <v>1</v>
      </c>
      <c r="DE707" s="1270"/>
    </row>
    <row r="708" spans="1:109" s="59" customFormat="1" ht="15" hidden="1">
      <c r="A708" s="1250"/>
      <c r="B708" s="1251"/>
      <c r="C708" s="1252"/>
      <c r="D708" s="1251"/>
      <c r="E708" s="1251"/>
      <c r="F708" s="1253"/>
      <c r="G708" s="1254"/>
      <c r="H708" s="1255"/>
      <c r="I708" s="1256"/>
      <c r="J708" s="1257"/>
      <c r="K708" s="1257"/>
      <c r="L708" s="1257"/>
      <c r="M708" s="1257"/>
      <c r="N708" s="1257"/>
      <c r="O708" s="1257"/>
      <c r="P708" s="1258"/>
      <c r="Q708" s="795">
        <f t="shared" si="10"/>
        <v>0</v>
      </c>
      <c r="R708" s="1252"/>
      <c r="S708" s="1251"/>
      <c r="T708" s="1260"/>
      <c r="U708" s="1251"/>
      <c r="V708" s="1251"/>
      <c r="W708" s="1251"/>
      <c r="X708" s="1261"/>
      <c r="Y708" s="1262"/>
      <c r="Z708" s="1254"/>
      <c r="AA708" s="1253"/>
      <c r="AB708" s="1253"/>
      <c r="AC708" s="1253"/>
      <c r="AD708" s="1253"/>
      <c r="AE708" s="1253"/>
      <c r="AF708" s="1263"/>
      <c r="AG708" s="1261"/>
      <c r="AH708" s="1261"/>
      <c r="AI708" s="1261"/>
      <c r="AJ708" s="1261"/>
      <c r="AK708" s="1261"/>
      <c r="AL708" s="1261"/>
      <c r="AM708" s="1261"/>
      <c r="AN708" s="1261"/>
      <c r="AO708" s="1261"/>
      <c r="AP708" s="1261"/>
      <c r="AQ708" s="1264"/>
      <c r="AR708" s="1261"/>
      <c r="AS708" s="1261"/>
      <c r="AT708" s="1261"/>
      <c r="AU708" s="1265"/>
      <c r="AV708" s="1264"/>
      <c r="AW708" s="1261"/>
      <c r="AX708" s="1261"/>
      <c r="AY708" s="1261"/>
      <c r="AZ708" s="1261"/>
      <c r="BA708" s="1261"/>
      <c r="BB708" s="1261"/>
      <c r="BC708" s="1261"/>
      <c r="BD708" s="1261"/>
      <c r="BE708" s="1261"/>
      <c r="BF708" s="1261"/>
      <c r="BG708" s="1261"/>
      <c r="BH708" s="1261"/>
      <c r="BI708" s="1261"/>
      <c r="BJ708" s="1261"/>
      <c r="BK708" s="1265"/>
      <c r="BL708" s="1252"/>
      <c r="BM708" s="1253"/>
      <c r="BN708" s="1253"/>
      <c r="BO708" s="1253"/>
      <c r="BP708" s="1260"/>
      <c r="BQ708" s="1264"/>
      <c r="BR708" s="1261"/>
      <c r="BS708" s="1261"/>
      <c r="BT708" s="1261"/>
      <c r="BU708" s="1265"/>
      <c r="BV708" s="1264"/>
      <c r="BW708" s="1261"/>
      <c r="BX708" s="1261"/>
      <c r="BY708" s="1261"/>
      <c r="BZ708" s="1261"/>
      <c r="CA708" s="1264"/>
      <c r="CB708" s="1261"/>
      <c r="CC708" s="1261"/>
      <c r="CD708" s="1261"/>
      <c r="CE708" s="1265"/>
      <c r="CF708" s="1261"/>
      <c r="CG708" s="1261"/>
      <c r="CH708" s="1261"/>
      <c r="CI708" s="1261"/>
      <c r="CJ708" s="1265"/>
      <c r="CK708" s="1264"/>
      <c r="CL708" s="1261"/>
      <c r="CM708" s="1261"/>
      <c r="CN708" s="1261"/>
      <c r="CO708" s="1265"/>
      <c r="CP708" s="1264"/>
      <c r="CQ708" s="1261"/>
      <c r="CR708" s="1261"/>
      <c r="CS708" s="1261"/>
      <c r="CT708" s="1265"/>
      <c r="CU708" s="1266"/>
      <c r="CV708" s="1267"/>
      <c r="CW708" s="1267"/>
      <c r="CX708" s="1268"/>
      <c r="CY708" s="1267"/>
      <c r="CZ708" s="1267"/>
      <c r="DA708" s="1267"/>
      <c r="DB708" s="1268"/>
      <c r="DC708" s="1253"/>
      <c r="DD708" s="1269">
        <v>1</v>
      </c>
      <c r="DE708" s="1270"/>
    </row>
    <row r="709" spans="1:109" s="59" customFormat="1" ht="15" hidden="1">
      <c r="A709" s="1250"/>
      <c r="B709" s="1251"/>
      <c r="C709" s="1252"/>
      <c r="D709" s="1251"/>
      <c r="E709" s="1251"/>
      <c r="F709" s="1253"/>
      <c r="G709" s="1254"/>
      <c r="H709" s="1255"/>
      <c r="I709" s="1256"/>
      <c r="J709" s="1257"/>
      <c r="K709" s="1257"/>
      <c r="L709" s="1257"/>
      <c r="M709" s="1257"/>
      <c r="N709" s="1257"/>
      <c r="O709" s="1257"/>
      <c r="P709" s="1258"/>
      <c r="Q709" s="795">
        <f t="shared" si="10"/>
        <v>0</v>
      </c>
      <c r="R709" s="1252"/>
      <c r="S709" s="1251"/>
      <c r="T709" s="1260"/>
      <c r="U709" s="1251"/>
      <c r="V709" s="1251"/>
      <c r="W709" s="1251"/>
      <c r="X709" s="1261"/>
      <c r="Y709" s="1262"/>
      <c r="Z709" s="1254"/>
      <c r="AA709" s="1253"/>
      <c r="AB709" s="1253"/>
      <c r="AC709" s="1253"/>
      <c r="AD709" s="1253"/>
      <c r="AE709" s="1253"/>
      <c r="AF709" s="1263"/>
      <c r="AG709" s="1261"/>
      <c r="AH709" s="1261"/>
      <c r="AI709" s="1261"/>
      <c r="AJ709" s="1261"/>
      <c r="AK709" s="1261"/>
      <c r="AL709" s="1261"/>
      <c r="AM709" s="1261"/>
      <c r="AN709" s="1261"/>
      <c r="AO709" s="1261"/>
      <c r="AP709" s="1261"/>
      <c r="AQ709" s="1264"/>
      <c r="AR709" s="1261"/>
      <c r="AS709" s="1261"/>
      <c r="AT709" s="1261"/>
      <c r="AU709" s="1265"/>
      <c r="AV709" s="1264"/>
      <c r="AW709" s="1261"/>
      <c r="AX709" s="1261"/>
      <c r="AY709" s="1261"/>
      <c r="AZ709" s="1261"/>
      <c r="BA709" s="1261"/>
      <c r="BB709" s="1261"/>
      <c r="BC709" s="1261"/>
      <c r="BD709" s="1261"/>
      <c r="BE709" s="1261"/>
      <c r="BF709" s="1261"/>
      <c r="BG709" s="1261"/>
      <c r="BH709" s="1261"/>
      <c r="BI709" s="1261"/>
      <c r="BJ709" s="1261"/>
      <c r="BK709" s="1265"/>
      <c r="BL709" s="1252"/>
      <c r="BM709" s="1253"/>
      <c r="BN709" s="1253"/>
      <c r="BO709" s="1253"/>
      <c r="BP709" s="1260"/>
      <c r="BQ709" s="1264"/>
      <c r="BR709" s="1261"/>
      <c r="BS709" s="1261"/>
      <c r="BT709" s="1261"/>
      <c r="BU709" s="1265"/>
      <c r="BV709" s="1264"/>
      <c r="BW709" s="1261"/>
      <c r="BX709" s="1261"/>
      <c r="BY709" s="1261"/>
      <c r="BZ709" s="1261"/>
      <c r="CA709" s="1264"/>
      <c r="CB709" s="1261"/>
      <c r="CC709" s="1261"/>
      <c r="CD709" s="1261"/>
      <c r="CE709" s="1265"/>
      <c r="CF709" s="1261"/>
      <c r="CG709" s="1261"/>
      <c r="CH709" s="1261"/>
      <c r="CI709" s="1261"/>
      <c r="CJ709" s="1265"/>
      <c r="CK709" s="1264"/>
      <c r="CL709" s="1261"/>
      <c r="CM709" s="1261"/>
      <c r="CN709" s="1261"/>
      <c r="CO709" s="1265"/>
      <c r="CP709" s="1264"/>
      <c r="CQ709" s="1261"/>
      <c r="CR709" s="1261"/>
      <c r="CS709" s="1261"/>
      <c r="CT709" s="1265"/>
      <c r="CU709" s="1266"/>
      <c r="CV709" s="1267"/>
      <c r="CW709" s="1267"/>
      <c r="CX709" s="1268"/>
      <c r="CY709" s="1267"/>
      <c r="CZ709" s="1267"/>
      <c r="DA709" s="1267"/>
      <c r="DB709" s="1268"/>
      <c r="DC709" s="1253"/>
      <c r="DD709" s="1269">
        <v>1</v>
      </c>
      <c r="DE709" s="1270"/>
    </row>
    <row r="710" spans="1:109" s="59" customFormat="1" ht="15" hidden="1">
      <c r="A710" s="1250"/>
      <c r="B710" s="1251"/>
      <c r="C710" s="1252"/>
      <c r="D710" s="1251"/>
      <c r="E710" s="1251"/>
      <c r="F710" s="1253"/>
      <c r="G710" s="1254"/>
      <c r="H710" s="1255"/>
      <c r="I710" s="1256"/>
      <c r="J710" s="1257"/>
      <c r="K710" s="1257"/>
      <c r="L710" s="1257"/>
      <c r="M710" s="1257"/>
      <c r="N710" s="1257"/>
      <c r="O710" s="1257"/>
      <c r="P710" s="1258"/>
      <c r="Q710" s="795">
        <f t="shared" si="10"/>
        <v>0</v>
      </c>
      <c r="R710" s="1252"/>
      <c r="S710" s="1251"/>
      <c r="T710" s="1260"/>
      <c r="U710" s="1251"/>
      <c r="V710" s="1251"/>
      <c r="W710" s="1251"/>
      <c r="X710" s="1261"/>
      <c r="Y710" s="1262"/>
      <c r="Z710" s="1254"/>
      <c r="AA710" s="1253"/>
      <c r="AB710" s="1253"/>
      <c r="AC710" s="1253"/>
      <c r="AD710" s="1253"/>
      <c r="AE710" s="1253"/>
      <c r="AF710" s="1263"/>
      <c r="AG710" s="1261"/>
      <c r="AH710" s="1261"/>
      <c r="AI710" s="1261"/>
      <c r="AJ710" s="1261"/>
      <c r="AK710" s="1261"/>
      <c r="AL710" s="1261"/>
      <c r="AM710" s="1261"/>
      <c r="AN710" s="1261"/>
      <c r="AO710" s="1261"/>
      <c r="AP710" s="1261"/>
      <c r="AQ710" s="1264"/>
      <c r="AR710" s="1261"/>
      <c r="AS710" s="1261"/>
      <c r="AT710" s="1261"/>
      <c r="AU710" s="1265"/>
      <c r="AV710" s="1264"/>
      <c r="AW710" s="1261"/>
      <c r="AX710" s="1261"/>
      <c r="AY710" s="1261"/>
      <c r="AZ710" s="1261"/>
      <c r="BA710" s="1261"/>
      <c r="BB710" s="1261"/>
      <c r="BC710" s="1261"/>
      <c r="BD710" s="1261"/>
      <c r="BE710" s="1261"/>
      <c r="BF710" s="1261"/>
      <c r="BG710" s="1261"/>
      <c r="BH710" s="1261"/>
      <c r="BI710" s="1261"/>
      <c r="BJ710" s="1261"/>
      <c r="BK710" s="1265"/>
      <c r="BL710" s="1252"/>
      <c r="BM710" s="1253"/>
      <c r="BN710" s="1253"/>
      <c r="BO710" s="1253"/>
      <c r="BP710" s="1260"/>
      <c r="BQ710" s="1264"/>
      <c r="BR710" s="1261"/>
      <c r="BS710" s="1261"/>
      <c r="BT710" s="1261"/>
      <c r="BU710" s="1265"/>
      <c r="BV710" s="1264"/>
      <c r="BW710" s="1261"/>
      <c r="BX710" s="1261"/>
      <c r="BY710" s="1261"/>
      <c r="BZ710" s="1261"/>
      <c r="CA710" s="1264"/>
      <c r="CB710" s="1261"/>
      <c r="CC710" s="1261"/>
      <c r="CD710" s="1261"/>
      <c r="CE710" s="1265"/>
      <c r="CF710" s="1261"/>
      <c r="CG710" s="1261"/>
      <c r="CH710" s="1261"/>
      <c r="CI710" s="1261"/>
      <c r="CJ710" s="1265"/>
      <c r="CK710" s="1264"/>
      <c r="CL710" s="1261"/>
      <c r="CM710" s="1261"/>
      <c r="CN710" s="1261"/>
      <c r="CO710" s="1265"/>
      <c r="CP710" s="1264"/>
      <c r="CQ710" s="1261"/>
      <c r="CR710" s="1261"/>
      <c r="CS710" s="1261"/>
      <c r="CT710" s="1265"/>
      <c r="CU710" s="1266"/>
      <c r="CV710" s="1267"/>
      <c r="CW710" s="1267"/>
      <c r="CX710" s="1268"/>
      <c r="CY710" s="1267"/>
      <c r="CZ710" s="1267"/>
      <c r="DA710" s="1267"/>
      <c r="DB710" s="1268"/>
      <c r="DC710" s="1253"/>
      <c r="DD710" s="1269">
        <v>1</v>
      </c>
      <c r="DE710" s="1270"/>
    </row>
    <row r="711" spans="1:109" s="59" customFormat="1" ht="15" hidden="1">
      <c r="A711" s="1250"/>
      <c r="B711" s="1251"/>
      <c r="C711" s="1252"/>
      <c r="D711" s="1251"/>
      <c r="E711" s="1251"/>
      <c r="F711" s="1253"/>
      <c r="G711" s="1254"/>
      <c r="H711" s="1255"/>
      <c r="I711" s="1256"/>
      <c r="J711" s="1257"/>
      <c r="K711" s="1257"/>
      <c r="L711" s="1257"/>
      <c r="M711" s="1257"/>
      <c r="N711" s="1257"/>
      <c r="O711" s="1257"/>
      <c r="P711" s="1258"/>
      <c r="Q711" s="795">
        <f t="shared" si="10"/>
        <v>0</v>
      </c>
      <c r="R711" s="1252"/>
      <c r="S711" s="1251"/>
      <c r="T711" s="1260"/>
      <c r="U711" s="1251"/>
      <c r="V711" s="1251"/>
      <c r="W711" s="1251"/>
      <c r="X711" s="1261"/>
      <c r="Y711" s="1262"/>
      <c r="Z711" s="1254"/>
      <c r="AA711" s="1253"/>
      <c r="AB711" s="1253"/>
      <c r="AC711" s="1253"/>
      <c r="AD711" s="1253"/>
      <c r="AE711" s="1253"/>
      <c r="AF711" s="1263"/>
      <c r="AG711" s="1261"/>
      <c r="AH711" s="1261"/>
      <c r="AI711" s="1261"/>
      <c r="AJ711" s="1261"/>
      <c r="AK711" s="1261"/>
      <c r="AL711" s="1261"/>
      <c r="AM711" s="1261"/>
      <c r="AN711" s="1261"/>
      <c r="AO711" s="1261"/>
      <c r="AP711" s="1261"/>
      <c r="AQ711" s="1264"/>
      <c r="AR711" s="1261"/>
      <c r="AS711" s="1261"/>
      <c r="AT711" s="1261"/>
      <c r="AU711" s="1265"/>
      <c r="AV711" s="1264"/>
      <c r="AW711" s="1261"/>
      <c r="AX711" s="1261"/>
      <c r="AY711" s="1261"/>
      <c r="AZ711" s="1261"/>
      <c r="BA711" s="1261"/>
      <c r="BB711" s="1261"/>
      <c r="BC711" s="1261"/>
      <c r="BD711" s="1261"/>
      <c r="BE711" s="1261"/>
      <c r="BF711" s="1261"/>
      <c r="BG711" s="1261"/>
      <c r="BH711" s="1261"/>
      <c r="BI711" s="1261"/>
      <c r="BJ711" s="1261"/>
      <c r="BK711" s="1265"/>
      <c r="BL711" s="1252"/>
      <c r="BM711" s="1253"/>
      <c r="BN711" s="1253"/>
      <c r="BO711" s="1253"/>
      <c r="BP711" s="1260"/>
      <c r="BQ711" s="1264"/>
      <c r="BR711" s="1261"/>
      <c r="BS711" s="1261"/>
      <c r="BT711" s="1261"/>
      <c r="BU711" s="1265"/>
      <c r="BV711" s="1264"/>
      <c r="BW711" s="1261"/>
      <c r="BX711" s="1261"/>
      <c r="BY711" s="1261"/>
      <c r="BZ711" s="1261"/>
      <c r="CA711" s="1264"/>
      <c r="CB711" s="1261"/>
      <c r="CC711" s="1261"/>
      <c r="CD711" s="1261"/>
      <c r="CE711" s="1265"/>
      <c r="CF711" s="1261"/>
      <c r="CG711" s="1261"/>
      <c r="CH711" s="1261"/>
      <c r="CI711" s="1261"/>
      <c r="CJ711" s="1265"/>
      <c r="CK711" s="1264"/>
      <c r="CL711" s="1261"/>
      <c r="CM711" s="1261"/>
      <c r="CN711" s="1261"/>
      <c r="CO711" s="1265"/>
      <c r="CP711" s="1264"/>
      <c r="CQ711" s="1261"/>
      <c r="CR711" s="1261"/>
      <c r="CS711" s="1261"/>
      <c r="CT711" s="1265"/>
      <c r="CU711" s="1266"/>
      <c r="CV711" s="1267"/>
      <c r="CW711" s="1267"/>
      <c r="CX711" s="1268"/>
      <c r="CY711" s="1267"/>
      <c r="CZ711" s="1267"/>
      <c r="DA711" s="1267"/>
      <c r="DB711" s="1268"/>
      <c r="DC711" s="1253"/>
      <c r="DD711" s="1269">
        <v>1</v>
      </c>
      <c r="DE711" s="1270"/>
    </row>
    <row r="712" spans="1:109" ht="13.15" hidden="1">
      <c r="A712" s="1250"/>
      <c r="B712" s="1251"/>
      <c r="C712" s="1252"/>
      <c r="D712" s="1251"/>
      <c r="E712" s="1251"/>
      <c r="F712" s="1253"/>
      <c r="G712" s="1254"/>
      <c r="H712" s="1255"/>
      <c r="I712" s="1256"/>
      <c r="J712" s="1257"/>
      <c r="K712" s="1257"/>
      <c r="L712" s="1257"/>
      <c r="M712" s="1257"/>
      <c r="N712" s="1257"/>
      <c r="O712" s="1257"/>
      <c r="P712" s="1258"/>
      <c r="Q712" s="795">
        <f t="shared" si="10"/>
        <v>0</v>
      </c>
      <c r="R712" s="1252"/>
      <c r="S712" s="1251"/>
      <c r="T712" s="1260"/>
      <c r="U712" s="1251"/>
      <c r="V712" s="1251"/>
      <c r="W712" s="1251"/>
      <c r="X712" s="1261"/>
      <c r="Y712" s="1262"/>
      <c r="Z712" s="1254"/>
      <c r="AA712" s="1253"/>
      <c r="AB712" s="1253"/>
      <c r="AC712" s="1253"/>
      <c r="AD712" s="1253"/>
      <c r="AE712" s="1253"/>
      <c r="AF712" s="1263"/>
      <c r="AG712" s="1261"/>
      <c r="AH712" s="1261"/>
      <c r="AI712" s="1261"/>
      <c r="AJ712" s="1261"/>
      <c r="AK712" s="1261"/>
      <c r="AL712" s="1261"/>
      <c r="AM712" s="1261"/>
      <c r="AN712" s="1261"/>
      <c r="AO712" s="1261"/>
      <c r="AP712" s="1261"/>
      <c r="AQ712" s="1264"/>
      <c r="AR712" s="1261"/>
      <c r="AS712" s="1261"/>
      <c r="AT712" s="1261"/>
      <c r="AU712" s="1265"/>
      <c r="AV712" s="1264"/>
      <c r="AW712" s="1261"/>
      <c r="AX712" s="1261"/>
      <c r="AY712" s="1261"/>
      <c r="AZ712" s="1261"/>
      <c r="BA712" s="1261"/>
      <c r="BB712" s="1261"/>
      <c r="BC712" s="1261"/>
      <c r="BD712" s="1261"/>
      <c r="BE712" s="1261"/>
      <c r="BF712" s="1261"/>
      <c r="BG712" s="1261"/>
      <c r="BH712" s="1261"/>
      <c r="BI712" s="1261"/>
      <c r="BJ712" s="1261"/>
      <c r="BK712" s="1265"/>
      <c r="BL712" s="1252"/>
      <c r="BM712" s="1253"/>
      <c r="BN712" s="1253"/>
      <c r="BO712" s="1253"/>
      <c r="BP712" s="1260"/>
      <c r="BQ712" s="1264"/>
      <c r="BR712" s="1261"/>
      <c r="BS712" s="1261"/>
      <c r="BT712" s="1261"/>
      <c r="BU712" s="1265"/>
      <c r="BV712" s="1264"/>
      <c r="BW712" s="1261"/>
      <c r="BX712" s="1261"/>
      <c r="BY712" s="1261"/>
      <c r="BZ712" s="1261"/>
      <c r="CA712" s="1264"/>
      <c r="CB712" s="1261"/>
      <c r="CC712" s="1261"/>
      <c r="CD712" s="1261"/>
      <c r="CE712" s="1265"/>
      <c r="CF712" s="1261"/>
      <c r="CG712" s="1261"/>
      <c r="CH712" s="1261"/>
      <c r="CI712" s="1261"/>
      <c r="CJ712" s="1265"/>
      <c r="CK712" s="1264"/>
      <c r="CL712" s="1261"/>
      <c r="CM712" s="1261"/>
      <c r="CN712" s="1261"/>
      <c r="CO712" s="1265"/>
      <c r="CP712" s="1264"/>
      <c r="CQ712" s="1261"/>
      <c r="CR712" s="1261"/>
      <c r="CS712" s="1261"/>
      <c r="CT712" s="1265"/>
      <c r="CU712" s="1266"/>
      <c r="CV712" s="1267"/>
      <c r="CW712" s="1267"/>
      <c r="CX712" s="1268"/>
      <c r="CY712" s="1267"/>
      <c r="CZ712" s="1267"/>
      <c r="DA712" s="1267"/>
      <c r="DB712" s="1268"/>
      <c r="DC712" s="1253"/>
      <c r="DD712" s="1269">
        <v>1</v>
      </c>
      <c r="DE712" s="1270"/>
    </row>
    <row r="713" spans="1:109" ht="13.15" hidden="1">
      <c r="A713" s="1250"/>
      <c r="B713" s="1251"/>
      <c r="C713" s="1252"/>
      <c r="D713" s="1251"/>
      <c r="E713" s="1251"/>
      <c r="F713" s="1253"/>
      <c r="G713" s="1254"/>
      <c r="H713" s="1255"/>
      <c r="I713" s="1256"/>
      <c r="J713" s="1257"/>
      <c r="K713" s="1257"/>
      <c r="L713" s="1257"/>
      <c r="M713" s="1257"/>
      <c r="N713" s="1257"/>
      <c r="O713" s="1257"/>
      <c r="P713" s="1258"/>
      <c r="Q713" s="795">
        <f t="shared" ref="Q713:Q776" si="11">SUM(I713:P713)</f>
        <v>0</v>
      </c>
      <c r="R713" s="1252"/>
      <c r="S713" s="1251"/>
      <c r="T713" s="1260"/>
      <c r="U713" s="1251"/>
      <c r="V713" s="1251"/>
      <c r="W713" s="1251"/>
      <c r="X713" s="1261"/>
      <c r="Y713" s="1262"/>
      <c r="Z713" s="1254"/>
      <c r="AA713" s="1253"/>
      <c r="AB713" s="1253"/>
      <c r="AC713" s="1253"/>
      <c r="AD713" s="1253"/>
      <c r="AE713" s="1253"/>
      <c r="AF713" s="1263"/>
      <c r="AG713" s="1261"/>
      <c r="AH713" s="1261"/>
      <c r="AI713" s="1261"/>
      <c r="AJ713" s="1261"/>
      <c r="AK713" s="1261"/>
      <c r="AL713" s="1261"/>
      <c r="AM713" s="1261"/>
      <c r="AN713" s="1261"/>
      <c r="AO713" s="1261"/>
      <c r="AP713" s="1261"/>
      <c r="AQ713" s="1264"/>
      <c r="AR713" s="1261"/>
      <c r="AS713" s="1261"/>
      <c r="AT713" s="1261"/>
      <c r="AU713" s="1265"/>
      <c r="AV713" s="1264"/>
      <c r="AW713" s="1261"/>
      <c r="AX713" s="1261"/>
      <c r="AY713" s="1261"/>
      <c r="AZ713" s="1261"/>
      <c r="BA713" s="1261"/>
      <c r="BB713" s="1261"/>
      <c r="BC713" s="1261"/>
      <c r="BD713" s="1261"/>
      <c r="BE713" s="1261"/>
      <c r="BF713" s="1261"/>
      <c r="BG713" s="1261"/>
      <c r="BH713" s="1261"/>
      <c r="BI713" s="1261"/>
      <c r="BJ713" s="1261"/>
      <c r="BK713" s="1265"/>
      <c r="BL713" s="1252"/>
      <c r="BM713" s="1253"/>
      <c r="BN713" s="1253"/>
      <c r="BO713" s="1253"/>
      <c r="BP713" s="1260"/>
      <c r="BQ713" s="1264"/>
      <c r="BR713" s="1261"/>
      <c r="BS713" s="1261"/>
      <c r="BT713" s="1261"/>
      <c r="BU713" s="1265"/>
      <c r="BV713" s="1264"/>
      <c r="BW713" s="1261"/>
      <c r="BX713" s="1261"/>
      <c r="BY713" s="1261"/>
      <c r="BZ713" s="1261"/>
      <c r="CA713" s="1264"/>
      <c r="CB713" s="1261"/>
      <c r="CC713" s="1261"/>
      <c r="CD713" s="1261"/>
      <c r="CE713" s="1265"/>
      <c r="CF713" s="1261"/>
      <c r="CG713" s="1261"/>
      <c r="CH713" s="1261"/>
      <c r="CI713" s="1261"/>
      <c r="CJ713" s="1265"/>
      <c r="CK713" s="1264"/>
      <c r="CL713" s="1261"/>
      <c r="CM713" s="1261"/>
      <c r="CN713" s="1261"/>
      <c r="CO713" s="1265"/>
      <c r="CP713" s="1264"/>
      <c r="CQ713" s="1261"/>
      <c r="CR713" s="1261"/>
      <c r="CS713" s="1261"/>
      <c r="CT713" s="1265"/>
      <c r="CU713" s="1266"/>
      <c r="CV713" s="1267"/>
      <c r="CW713" s="1267"/>
      <c r="CX713" s="1268"/>
      <c r="CY713" s="1267"/>
      <c r="CZ713" s="1267"/>
      <c r="DA713" s="1267"/>
      <c r="DB713" s="1268"/>
      <c r="DC713" s="1253"/>
      <c r="DD713" s="1269">
        <v>1</v>
      </c>
      <c r="DE713" s="1270"/>
    </row>
    <row r="714" spans="1:109" ht="13.15" hidden="1">
      <c r="A714" s="1250"/>
      <c r="B714" s="1251"/>
      <c r="C714" s="1252"/>
      <c r="D714" s="1251"/>
      <c r="E714" s="1251"/>
      <c r="F714" s="1253"/>
      <c r="G714" s="1254"/>
      <c r="H714" s="1255"/>
      <c r="I714" s="1256"/>
      <c r="J714" s="1257"/>
      <c r="K714" s="1257"/>
      <c r="L714" s="1257"/>
      <c r="M714" s="1257"/>
      <c r="N714" s="1257"/>
      <c r="O714" s="1257"/>
      <c r="P714" s="1258"/>
      <c r="Q714" s="795">
        <f t="shared" si="11"/>
        <v>0</v>
      </c>
      <c r="R714" s="1252"/>
      <c r="S714" s="1251"/>
      <c r="T714" s="1260"/>
      <c r="U714" s="1251"/>
      <c r="V714" s="1251"/>
      <c r="W714" s="1251"/>
      <c r="X714" s="1261"/>
      <c r="Y714" s="1262"/>
      <c r="Z714" s="1254"/>
      <c r="AA714" s="1253"/>
      <c r="AB714" s="1253"/>
      <c r="AC714" s="1253"/>
      <c r="AD714" s="1253"/>
      <c r="AE714" s="1253"/>
      <c r="AF714" s="1263"/>
      <c r="AG714" s="1261"/>
      <c r="AH714" s="1261"/>
      <c r="AI714" s="1261"/>
      <c r="AJ714" s="1261"/>
      <c r="AK714" s="1261"/>
      <c r="AL714" s="1261"/>
      <c r="AM714" s="1261"/>
      <c r="AN714" s="1261"/>
      <c r="AO714" s="1261"/>
      <c r="AP714" s="1261"/>
      <c r="AQ714" s="1264"/>
      <c r="AR714" s="1261"/>
      <c r="AS714" s="1261"/>
      <c r="AT714" s="1261"/>
      <c r="AU714" s="1265"/>
      <c r="AV714" s="1264"/>
      <c r="AW714" s="1261"/>
      <c r="AX714" s="1261"/>
      <c r="AY714" s="1261"/>
      <c r="AZ714" s="1261"/>
      <c r="BA714" s="1261"/>
      <c r="BB714" s="1261"/>
      <c r="BC714" s="1261"/>
      <c r="BD714" s="1261"/>
      <c r="BE714" s="1261"/>
      <c r="BF714" s="1261"/>
      <c r="BG714" s="1261"/>
      <c r="BH714" s="1261"/>
      <c r="BI714" s="1261"/>
      <c r="BJ714" s="1261"/>
      <c r="BK714" s="1265"/>
      <c r="BL714" s="1252"/>
      <c r="BM714" s="1253"/>
      <c r="BN714" s="1253"/>
      <c r="BO714" s="1253"/>
      <c r="BP714" s="1260"/>
      <c r="BQ714" s="1264"/>
      <c r="BR714" s="1261"/>
      <c r="BS714" s="1261"/>
      <c r="BT714" s="1261"/>
      <c r="BU714" s="1265"/>
      <c r="BV714" s="1264"/>
      <c r="BW714" s="1261"/>
      <c r="BX714" s="1261"/>
      <c r="BY714" s="1261"/>
      <c r="BZ714" s="1261"/>
      <c r="CA714" s="1264"/>
      <c r="CB714" s="1261"/>
      <c r="CC714" s="1261"/>
      <c r="CD714" s="1261"/>
      <c r="CE714" s="1265"/>
      <c r="CF714" s="1261"/>
      <c r="CG714" s="1261"/>
      <c r="CH714" s="1261"/>
      <c r="CI714" s="1261"/>
      <c r="CJ714" s="1265"/>
      <c r="CK714" s="1264"/>
      <c r="CL714" s="1261"/>
      <c r="CM714" s="1261"/>
      <c r="CN714" s="1261"/>
      <c r="CO714" s="1265"/>
      <c r="CP714" s="1264"/>
      <c r="CQ714" s="1261"/>
      <c r="CR714" s="1261"/>
      <c r="CS714" s="1261"/>
      <c r="CT714" s="1265"/>
      <c r="CU714" s="1266"/>
      <c r="CV714" s="1267"/>
      <c r="CW714" s="1267"/>
      <c r="CX714" s="1268"/>
      <c r="CY714" s="1267"/>
      <c r="CZ714" s="1267"/>
      <c r="DA714" s="1267"/>
      <c r="DB714" s="1268"/>
      <c r="DC714" s="1253"/>
      <c r="DD714" s="1269">
        <v>1</v>
      </c>
      <c r="DE714" s="1270"/>
    </row>
    <row r="715" spans="1:109" ht="13.15" hidden="1">
      <c r="A715" s="1250"/>
      <c r="B715" s="1251"/>
      <c r="C715" s="1252"/>
      <c r="D715" s="1251"/>
      <c r="E715" s="1251"/>
      <c r="F715" s="1253"/>
      <c r="G715" s="1254"/>
      <c r="H715" s="1255"/>
      <c r="I715" s="1256"/>
      <c r="J715" s="1257"/>
      <c r="K715" s="1257"/>
      <c r="L715" s="1257"/>
      <c r="M715" s="1257"/>
      <c r="N715" s="1257"/>
      <c r="O715" s="1257"/>
      <c r="P715" s="1258"/>
      <c r="Q715" s="795">
        <f t="shared" si="11"/>
        <v>0</v>
      </c>
      <c r="R715" s="1252"/>
      <c r="S715" s="1251"/>
      <c r="T715" s="1260"/>
      <c r="U715" s="1251"/>
      <c r="V715" s="1251"/>
      <c r="W715" s="1251"/>
      <c r="X715" s="1261"/>
      <c r="Y715" s="1262"/>
      <c r="Z715" s="1254"/>
      <c r="AA715" s="1253"/>
      <c r="AB715" s="1253"/>
      <c r="AC715" s="1253"/>
      <c r="AD715" s="1253"/>
      <c r="AE715" s="1253"/>
      <c r="AF715" s="1263"/>
      <c r="AG715" s="1261"/>
      <c r="AH715" s="1261"/>
      <c r="AI715" s="1261"/>
      <c r="AJ715" s="1261"/>
      <c r="AK715" s="1261"/>
      <c r="AL715" s="1261"/>
      <c r="AM715" s="1261"/>
      <c r="AN715" s="1261"/>
      <c r="AO715" s="1261"/>
      <c r="AP715" s="1261"/>
      <c r="AQ715" s="1264"/>
      <c r="AR715" s="1261"/>
      <c r="AS715" s="1261"/>
      <c r="AT715" s="1261"/>
      <c r="AU715" s="1265"/>
      <c r="AV715" s="1264"/>
      <c r="AW715" s="1261"/>
      <c r="AX715" s="1261"/>
      <c r="AY715" s="1261"/>
      <c r="AZ715" s="1261"/>
      <c r="BA715" s="1261"/>
      <c r="BB715" s="1261"/>
      <c r="BC715" s="1261"/>
      <c r="BD715" s="1261"/>
      <c r="BE715" s="1261"/>
      <c r="BF715" s="1261"/>
      <c r="BG715" s="1261"/>
      <c r="BH715" s="1261"/>
      <c r="BI715" s="1261"/>
      <c r="BJ715" s="1261"/>
      <c r="BK715" s="1265"/>
      <c r="BL715" s="1252"/>
      <c r="BM715" s="1253"/>
      <c r="BN715" s="1253"/>
      <c r="BO715" s="1253"/>
      <c r="BP715" s="1260"/>
      <c r="BQ715" s="1264"/>
      <c r="BR715" s="1261"/>
      <c r="BS715" s="1261"/>
      <c r="BT715" s="1261"/>
      <c r="BU715" s="1265"/>
      <c r="BV715" s="1264"/>
      <c r="BW715" s="1261"/>
      <c r="BX715" s="1261"/>
      <c r="BY715" s="1261"/>
      <c r="BZ715" s="1261"/>
      <c r="CA715" s="1264"/>
      <c r="CB715" s="1261"/>
      <c r="CC715" s="1261"/>
      <c r="CD715" s="1261"/>
      <c r="CE715" s="1265"/>
      <c r="CF715" s="1261"/>
      <c r="CG715" s="1261"/>
      <c r="CH715" s="1261"/>
      <c r="CI715" s="1261"/>
      <c r="CJ715" s="1265"/>
      <c r="CK715" s="1264"/>
      <c r="CL715" s="1261"/>
      <c r="CM715" s="1261"/>
      <c r="CN715" s="1261"/>
      <c r="CO715" s="1265"/>
      <c r="CP715" s="1264"/>
      <c r="CQ715" s="1261"/>
      <c r="CR715" s="1261"/>
      <c r="CS715" s="1261"/>
      <c r="CT715" s="1265"/>
      <c r="CU715" s="1266"/>
      <c r="CV715" s="1267"/>
      <c r="CW715" s="1267"/>
      <c r="CX715" s="1268"/>
      <c r="CY715" s="1267"/>
      <c r="CZ715" s="1267"/>
      <c r="DA715" s="1267"/>
      <c r="DB715" s="1268"/>
      <c r="DC715" s="1253"/>
      <c r="DD715" s="1269">
        <v>1</v>
      </c>
      <c r="DE715" s="1270"/>
    </row>
    <row r="716" spans="1:109" ht="13.15" hidden="1">
      <c r="A716" s="1250"/>
      <c r="B716" s="1251"/>
      <c r="C716" s="1252"/>
      <c r="D716" s="1251"/>
      <c r="E716" s="1251"/>
      <c r="F716" s="1253"/>
      <c r="G716" s="1254"/>
      <c r="H716" s="1255"/>
      <c r="I716" s="1256"/>
      <c r="J716" s="1257"/>
      <c r="K716" s="1257"/>
      <c r="L716" s="1257"/>
      <c r="M716" s="1257"/>
      <c r="N716" s="1257"/>
      <c r="O716" s="1257"/>
      <c r="P716" s="1258"/>
      <c r="Q716" s="795">
        <f t="shared" si="11"/>
        <v>0</v>
      </c>
      <c r="R716" s="1252"/>
      <c r="S716" s="1251"/>
      <c r="T716" s="1260"/>
      <c r="U716" s="1251"/>
      <c r="V716" s="1251"/>
      <c r="W716" s="1251"/>
      <c r="X716" s="1261"/>
      <c r="Y716" s="1262"/>
      <c r="Z716" s="1254"/>
      <c r="AA716" s="1253"/>
      <c r="AB716" s="1253"/>
      <c r="AC716" s="1253"/>
      <c r="AD716" s="1253"/>
      <c r="AE716" s="1253"/>
      <c r="AF716" s="1263"/>
      <c r="AG716" s="1261"/>
      <c r="AH716" s="1261"/>
      <c r="AI716" s="1261"/>
      <c r="AJ716" s="1261"/>
      <c r="AK716" s="1261"/>
      <c r="AL716" s="1261"/>
      <c r="AM716" s="1261"/>
      <c r="AN716" s="1261"/>
      <c r="AO716" s="1261"/>
      <c r="AP716" s="1261"/>
      <c r="AQ716" s="1264"/>
      <c r="AR716" s="1261"/>
      <c r="AS716" s="1261"/>
      <c r="AT716" s="1261"/>
      <c r="AU716" s="1265"/>
      <c r="AV716" s="1264"/>
      <c r="AW716" s="1261"/>
      <c r="AX716" s="1261"/>
      <c r="AY716" s="1261"/>
      <c r="AZ716" s="1261"/>
      <c r="BA716" s="1261"/>
      <c r="BB716" s="1261"/>
      <c r="BC716" s="1261"/>
      <c r="BD716" s="1261"/>
      <c r="BE716" s="1261"/>
      <c r="BF716" s="1261"/>
      <c r="BG716" s="1261"/>
      <c r="BH716" s="1261"/>
      <c r="BI716" s="1261"/>
      <c r="BJ716" s="1261"/>
      <c r="BK716" s="1265"/>
      <c r="BL716" s="1252"/>
      <c r="BM716" s="1253"/>
      <c r="BN716" s="1253"/>
      <c r="BO716" s="1253"/>
      <c r="BP716" s="1260"/>
      <c r="BQ716" s="1264"/>
      <c r="BR716" s="1261"/>
      <c r="BS716" s="1261"/>
      <c r="BT716" s="1261"/>
      <c r="BU716" s="1265"/>
      <c r="BV716" s="1264"/>
      <c r="BW716" s="1261"/>
      <c r="BX716" s="1261"/>
      <c r="BY716" s="1261"/>
      <c r="BZ716" s="1261"/>
      <c r="CA716" s="1264"/>
      <c r="CB716" s="1261"/>
      <c r="CC716" s="1261"/>
      <c r="CD716" s="1261"/>
      <c r="CE716" s="1265"/>
      <c r="CF716" s="1261"/>
      <c r="CG716" s="1261"/>
      <c r="CH716" s="1261"/>
      <c r="CI716" s="1261"/>
      <c r="CJ716" s="1265"/>
      <c r="CK716" s="1264"/>
      <c r="CL716" s="1261"/>
      <c r="CM716" s="1261"/>
      <c r="CN716" s="1261"/>
      <c r="CO716" s="1265"/>
      <c r="CP716" s="1264"/>
      <c r="CQ716" s="1261"/>
      <c r="CR716" s="1261"/>
      <c r="CS716" s="1261"/>
      <c r="CT716" s="1265"/>
      <c r="CU716" s="1266"/>
      <c r="CV716" s="1267"/>
      <c r="CW716" s="1267"/>
      <c r="CX716" s="1268"/>
      <c r="CY716" s="1267"/>
      <c r="CZ716" s="1267"/>
      <c r="DA716" s="1267"/>
      <c r="DB716" s="1268"/>
      <c r="DC716" s="1253"/>
      <c r="DD716" s="1269">
        <v>1</v>
      </c>
      <c r="DE716" s="1270"/>
    </row>
    <row r="717" spans="1:109" ht="13.15" hidden="1">
      <c r="A717" s="1250"/>
      <c r="B717" s="1251"/>
      <c r="C717" s="1252"/>
      <c r="D717" s="1251"/>
      <c r="E717" s="1251"/>
      <c r="F717" s="1253"/>
      <c r="G717" s="1254"/>
      <c r="H717" s="1255"/>
      <c r="I717" s="1256"/>
      <c r="J717" s="1257"/>
      <c r="K717" s="1257"/>
      <c r="L717" s="1257"/>
      <c r="M717" s="1257"/>
      <c r="N717" s="1257"/>
      <c r="O717" s="1257"/>
      <c r="P717" s="1258"/>
      <c r="Q717" s="795">
        <f t="shared" si="11"/>
        <v>0</v>
      </c>
      <c r="R717" s="1252"/>
      <c r="S717" s="1251"/>
      <c r="T717" s="1260"/>
      <c r="U717" s="1251"/>
      <c r="V717" s="1251"/>
      <c r="W717" s="1251"/>
      <c r="X717" s="1261"/>
      <c r="Y717" s="1262"/>
      <c r="Z717" s="1254"/>
      <c r="AA717" s="1253"/>
      <c r="AB717" s="1253"/>
      <c r="AC717" s="1253"/>
      <c r="AD717" s="1253"/>
      <c r="AE717" s="1253"/>
      <c r="AF717" s="1263"/>
      <c r="AG717" s="1261"/>
      <c r="AH717" s="1261"/>
      <c r="AI717" s="1261"/>
      <c r="AJ717" s="1261"/>
      <c r="AK717" s="1261"/>
      <c r="AL717" s="1261"/>
      <c r="AM717" s="1261"/>
      <c r="AN717" s="1261"/>
      <c r="AO717" s="1261"/>
      <c r="AP717" s="1261"/>
      <c r="AQ717" s="1264"/>
      <c r="AR717" s="1261"/>
      <c r="AS717" s="1261"/>
      <c r="AT717" s="1261"/>
      <c r="AU717" s="1265"/>
      <c r="AV717" s="1264"/>
      <c r="AW717" s="1261"/>
      <c r="AX717" s="1261"/>
      <c r="AY717" s="1261"/>
      <c r="AZ717" s="1261"/>
      <c r="BA717" s="1261"/>
      <c r="BB717" s="1261"/>
      <c r="BC717" s="1261"/>
      <c r="BD717" s="1261"/>
      <c r="BE717" s="1261"/>
      <c r="BF717" s="1261"/>
      <c r="BG717" s="1261"/>
      <c r="BH717" s="1261"/>
      <c r="BI717" s="1261"/>
      <c r="BJ717" s="1261"/>
      <c r="BK717" s="1265"/>
      <c r="BL717" s="1252"/>
      <c r="BM717" s="1253"/>
      <c r="BN717" s="1253"/>
      <c r="BO717" s="1253"/>
      <c r="BP717" s="1260"/>
      <c r="BQ717" s="1264"/>
      <c r="BR717" s="1261"/>
      <c r="BS717" s="1261"/>
      <c r="BT717" s="1261"/>
      <c r="BU717" s="1265"/>
      <c r="BV717" s="1264"/>
      <c r="BW717" s="1261"/>
      <c r="BX717" s="1261"/>
      <c r="BY717" s="1261"/>
      <c r="BZ717" s="1261"/>
      <c r="CA717" s="1264"/>
      <c r="CB717" s="1261"/>
      <c r="CC717" s="1261"/>
      <c r="CD717" s="1261"/>
      <c r="CE717" s="1265"/>
      <c r="CF717" s="1261"/>
      <c r="CG717" s="1261"/>
      <c r="CH717" s="1261"/>
      <c r="CI717" s="1261"/>
      <c r="CJ717" s="1265"/>
      <c r="CK717" s="1264"/>
      <c r="CL717" s="1261"/>
      <c r="CM717" s="1261"/>
      <c r="CN717" s="1261"/>
      <c r="CO717" s="1265"/>
      <c r="CP717" s="1264"/>
      <c r="CQ717" s="1261"/>
      <c r="CR717" s="1261"/>
      <c r="CS717" s="1261"/>
      <c r="CT717" s="1265"/>
      <c r="CU717" s="1266"/>
      <c r="CV717" s="1267"/>
      <c r="CW717" s="1267"/>
      <c r="CX717" s="1268"/>
      <c r="CY717" s="1267"/>
      <c r="CZ717" s="1267"/>
      <c r="DA717" s="1267"/>
      <c r="DB717" s="1268"/>
      <c r="DC717" s="1253"/>
      <c r="DD717" s="1269">
        <v>1</v>
      </c>
      <c r="DE717" s="1270"/>
    </row>
    <row r="718" spans="1:109" ht="13.15" hidden="1">
      <c r="A718" s="1250"/>
      <c r="B718" s="1251"/>
      <c r="C718" s="1252"/>
      <c r="D718" s="1251"/>
      <c r="E718" s="1251"/>
      <c r="F718" s="1253"/>
      <c r="G718" s="1254"/>
      <c r="H718" s="1255"/>
      <c r="I718" s="1256"/>
      <c r="J718" s="1257"/>
      <c r="K718" s="1257"/>
      <c r="L718" s="1257"/>
      <c r="M718" s="1257"/>
      <c r="N718" s="1257"/>
      <c r="O718" s="1257"/>
      <c r="P718" s="1258"/>
      <c r="Q718" s="795">
        <f t="shared" si="11"/>
        <v>0</v>
      </c>
      <c r="R718" s="1252"/>
      <c r="S718" s="1251"/>
      <c r="T718" s="1260"/>
      <c r="U718" s="1251"/>
      <c r="V718" s="1251"/>
      <c r="W718" s="1251"/>
      <c r="X718" s="1261"/>
      <c r="Y718" s="1262"/>
      <c r="Z718" s="1254"/>
      <c r="AA718" s="1253"/>
      <c r="AB718" s="1253"/>
      <c r="AC718" s="1253"/>
      <c r="AD718" s="1253"/>
      <c r="AE718" s="1253"/>
      <c r="AF718" s="1263"/>
      <c r="AG718" s="1261"/>
      <c r="AH718" s="1261"/>
      <c r="AI718" s="1261"/>
      <c r="AJ718" s="1261"/>
      <c r="AK718" s="1261"/>
      <c r="AL718" s="1261"/>
      <c r="AM718" s="1261"/>
      <c r="AN718" s="1261"/>
      <c r="AO718" s="1261"/>
      <c r="AP718" s="1261"/>
      <c r="AQ718" s="1264"/>
      <c r="AR718" s="1261"/>
      <c r="AS718" s="1261"/>
      <c r="AT718" s="1261"/>
      <c r="AU718" s="1265"/>
      <c r="AV718" s="1264"/>
      <c r="AW718" s="1261"/>
      <c r="AX718" s="1261"/>
      <c r="AY718" s="1261"/>
      <c r="AZ718" s="1261"/>
      <c r="BA718" s="1261"/>
      <c r="BB718" s="1261"/>
      <c r="BC718" s="1261"/>
      <c r="BD718" s="1261"/>
      <c r="BE718" s="1261"/>
      <c r="BF718" s="1261"/>
      <c r="BG718" s="1261"/>
      <c r="BH718" s="1261"/>
      <c r="BI718" s="1261"/>
      <c r="BJ718" s="1261"/>
      <c r="BK718" s="1265"/>
      <c r="BL718" s="1252"/>
      <c r="BM718" s="1253"/>
      <c r="BN718" s="1253"/>
      <c r="BO718" s="1253"/>
      <c r="BP718" s="1260"/>
      <c r="BQ718" s="1264"/>
      <c r="BR718" s="1261"/>
      <c r="BS718" s="1261"/>
      <c r="BT718" s="1261"/>
      <c r="BU718" s="1265"/>
      <c r="BV718" s="1264"/>
      <c r="BW718" s="1261"/>
      <c r="BX718" s="1261"/>
      <c r="BY718" s="1261"/>
      <c r="BZ718" s="1261"/>
      <c r="CA718" s="1264"/>
      <c r="CB718" s="1261"/>
      <c r="CC718" s="1261"/>
      <c r="CD718" s="1261"/>
      <c r="CE718" s="1265"/>
      <c r="CF718" s="1261"/>
      <c r="CG718" s="1261"/>
      <c r="CH718" s="1261"/>
      <c r="CI718" s="1261"/>
      <c r="CJ718" s="1265"/>
      <c r="CK718" s="1264"/>
      <c r="CL718" s="1261"/>
      <c r="CM718" s="1261"/>
      <c r="CN718" s="1261"/>
      <c r="CO718" s="1265"/>
      <c r="CP718" s="1264"/>
      <c r="CQ718" s="1261"/>
      <c r="CR718" s="1261"/>
      <c r="CS718" s="1261"/>
      <c r="CT718" s="1265"/>
      <c r="CU718" s="1266"/>
      <c r="CV718" s="1267"/>
      <c r="CW718" s="1267"/>
      <c r="CX718" s="1268"/>
      <c r="CY718" s="1267"/>
      <c r="CZ718" s="1267"/>
      <c r="DA718" s="1267"/>
      <c r="DB718" s="1268"/>
      <c r="DC718" s="1253"/>
      <c r="DD718" s="1269">
        <v>1</v>
      </c>
      <c r="DE718" s="1270"/>
    </row>
    <row r="719" spans="1:109" ht="13.15" hidden="1">
      <c r="A719" s="1250"/>
      <c r="B719" s="1251"/>
      <c r="C719" s="1252"/>
      <c r="D719" s="1251"/>
      <c r="E719" s="1251"/>
      <c r="F719" s="1253"/>
      <c r="G719" s="1254"/>
      <c r="H719" s="1255"/>
      <c r="I719" s="1256"/>
      <c r="J719" s="1257"/>
      <c r="K719" s="1257"/>
      <c r="L719" s="1257"/>
      <c r="M719" s="1257"/>
      <c r="N719" s="1257"/>
      <c r="O719" s="1257"/>
      <c r="P719" s="1258"/>
      <c r="Q719" s="795">
        <f t="shared" si="11"/>
        <v>0</v>
      </c>
      <c r="R719" s="1252"/>
      <c r="S719" s="1251"/>
      <c r="T719" s="1260"/>
      <c r="U719" s="1251"/>
      <c r="V719" s="1251"/>
      <c r="W719" s="1251"/>
      <c r="X719" s="1261"/>
      <c r="Y719" s="1262"/>
      <c r="Z719" s="1254"/>
      <c r="AA719" s="1253"/>
      <c r="AB719" s="1253"/>
      <c r="AC719" s="1253"/>
      <c r="AD719" s="1253"/>
      <c r="AE719" s="1253"/>
      <c r="AF719" s="1263"/>
      <c r="AG719" s="1261"/>
      <c r="AH719" s="1261"/>
      <c r="AI719" s="1261"/>
      <c r="AJ719" s="1261"/>
      <c r="AK719" s="1261"/>
      <c r="AL719" s="1261"/>
      <c r="AM719" s="1261"/>
      <c r="AN719" s="1261"/>
      <c r="AO719" s="1261"/>
      <c r="AP719" s="1261"/>
      <c r="AQ719" s="1264"/>
      <c r="AR719" s="1261"/>
      <c r="AS719" s="1261"/>
      <c r="AT719" s="1261"/>
      <c r="AU719" s="1265"/>
      <c r="AV719" s="1264"/>
      <c r="AW719" s="1261"/>
      <c r="AX719" s="1261"/>
      <c r="AY719" s="1261"/>
      <c r="AZ719" s="1261"/>
      <c r="BA719" s="1261"/>
      <c r="BB719" s="1261"/>
      <c r="BC719" s="1261"/>
      <c r="BD719" s="1261"/>
      <c r="BE719" s="1261"/>
      <c r="BF719" s="1261"/>
      <c r="BG719" s="1261"/>
      <c r="BH719" s="1261"/>
      <c r="BI719" s="1261"/>
      <c r="BJ719" s="1261"/>
      <c r="BK719" s="1265"/>
      <c r="BL719" s="1252"/>
      <c r="BM719" s="1253"/>
      <c r="BN719" s="1253"/>
      <c r="BO719" s="1253"/>
      <c r="BP719" s="1260"/>
      <c r="BQ719" s="1264"/>
      <c r="BR719" s="1261"/>
      <c r="BS719" s="1261"/>
      <c r="BT719" s="1261"/>
      <c r="BU719" s="1265"/>
      <c r="BV719" s="1264"/>
      <c r="BW719" s="1261"/>
      <c r="BX719" s="1261"/>
      <c r="BY719" s="1261"/>
      <c r="BZ719" s="1261"/>
      <c r="CA719" s="1264"/>
      <c r="CB719" s="1261"/>
      <c r="CC719" s="1261"/>
      <c r="CD719" s="1261"/>
      <c r="CE719" s="1265"/>
      <c r="CF719" s="1261"/>
      <c r="CG719" s="1261"/>
      <c r="CH719" s="1261"/>
      <c r="CI719" s="1261"/>
      <c r="CJ719" s="1265"/>
      <c r="CK719" s="1264"/>
      <c r="CL719" s="1261"/>
      <c r="CM719" s="1261"/>
      <c r="CN719" s="1261"/>
      <c r="CO719" s="1265"/>
      <c r="CP719" s="1264"/>
      <c r="CQ719" s="1261"/>
      <c r="CR719" s="1261"/>
      <c r="CS719" s="1261"/>
      <c r="CT719" s="1265"/>
      <c r="CU719" s="1266"/>
      <c r="CV719" s="1267"/>
      <c r="CW719" s="1267"/>
      <c r="CX719" s="1268"/>
      <c r="CY719" s="1267"/>
      <c r="CZ719" s="1267"/>
      <c r="DA719" s="1267"/>
      <c r="DB719" s="1268"/>
      <c r="DC719" s="1253"/>
      <c r="DD719" s="1269">
        <v>1</v>
      </c>
      <c r="DE719" s="1270"/>
    </row>
    <row r="720" spans="1:109" ht="13.15" hidden="1">
      <c r="A720" s="1250"/>
      <c r="B720" s="1251"/>
      <c r="C720" s="1252"/>
      <c r="D720" s="1251"/>
      <c r="E720" s="1251"/>
      <c r="F720" s="1253"/>
      <c r="G720" s="1254"/>
      <c r="H720" s="1255"/>
      <c r="I720" s="1256"/>
      <c r="J720" s="1257"/>
      <c r="K720" s="1257"/>
      <c r="L720" s="1257"/>
      <c r="M720" s="1257"/>
      <c r="N720" s="1257"/>
      <c r="O720" s="1257"/>
      <c r="P720" s="1258"/>
      <c r="Q720" s="795">
        <f t="shared" si="11"/>
        <v>0</v>
      </c>
      <c r="R720" s="1252"/>
      <c r="S720" s="1251"/>
      <c r="T720" s="1260"/>
      <c r="U720" s="1251"/>
      <c r="V720" s="1251"/>
      <c r="W720" s="1251"/>
      <c r="X720" s="1261"/>
      <c r="Y720" s="1262"/>
      <c r="Z720" s="1254"/>
      <c r="AA720" s="1253"/>
      <c r="AB720" s="1253"/>
      <c r="AC720" s="1253"/>
      <c r="AD720" s="1253"/>
      <c r="AE720" s="1253"/>
      <c r="AF720" s="1263"/>
      <c r="AG720" s="1261"/>
      <c r="AH720" s="1261"/>
      <c r="AI720" s="1261"/>
      <c r="AJ720" s="1261"/>
      <c r="AK720" s="1261"/>
      <c r="AL720" s="1261"/>
      <c r="AM720" s="1261"/>
      <c r="AN720" s="1261"/>
      <c r="AO720" s="1261"/>
      <c r="AP720" s="1261"/>
      <c r="AQ720" s="1264"/>
      <c r="AR720" s="1261"/>
      <c r="AS720" s="1261"/>
      <c r="AT720" s="1261"/>
      <c r="AU720" s="1265"/>
      <c r="AV720" s="1264"/>
      <c r="AW720" s="1261"/>
      <c r="AX720" s="1261"/>
      <c r="AY720" s="1261"/>
      <c r="AZ720" s="1261"/>
      <c r="BA720" s="1261"/>
      <c r="BB720" s="1261"/>
      <c r="BC720" s="1261"/>
      <c r="BD720" s="1261"/>
      <c r="BE720" s="1261"/>
      <c r="BF720" s="1261"/>
      <c r="BG720" s="1261"/>
      <c r="BH720" s="1261"/>
      <c r="BI720" s="1261"/>
      <c r="BJ720" s="1261"/>
      <c r="BK720" s="1265"/>
      <c r="BL720" s="1252"/>
      <c r="BM720" s="1253"/>
      <c r="BN720" s="1253"/>
      <c r="BO720" s="1253"/>
      <c r="BP720" s="1260"/>
      <c r="BQ720" s="1264"/>
      <c r="BR720" s="1261"/>
      <c r="BS720" s="1261"/>
      <c r="BT720" s="1261"/>
      <c r="BU720" s="1265"/>
      <c r="BV720" s="1264"/>
      <c r="BW720" s="1261"/>
      <c r="BX720" s="1261"/>
      <c r="BY720" s="1261"/>
      <c r="BZ720" s="1261"/>
      <c r="CA720" s="1264"/>
      <c r="CB720" s="1261"/>
      <c r="CC720" s="1261"/>
      <c r="CD720" s="1261"/>
      <c r="CE720" s="1265"/>
      <c r="CF720" s="1261"/>
      <c r="CG720" s="1261"/>
      <c r="CH720" s="1261"/>
      <c r="CI720" s="1261"/>
      <c r="CJ720" s="1265"/>
      <c r="CK720" s="1264"/>
      <c r="CL720" s="1261"/>
      <c r="CM720" s="1261"/>
      <c r="CN720" s="1261"/>
      <c r="CO720" s="1265"/>
      <c r="CP720" s="1264"/>
      <c r="CQ720" s="1261"/>
      <c r="CR720" s="1261"/>
      <c r="CS720" s="1261"/>
      <c r="CT720" s="1265"/>
      <c r="CU720" s="1266"/>
      <c r="CV720" s="1267"/>
      <c r="CW720" s="1267"/>
      <c r="CX720" s="1268"/>
      <c r="CY720" s="1267"/>
      <c r="CZ720" s="1267"/>
      <c r="DA720" s="1267"/>
      <c r="DB720" s="1268"/>
      <c r="DC720" s="1253"/>
      <c r="DD720" s="1269">
        <v>1</v>
      </c>
      <c r="DE720" s="1270"/>
    </row>
    <row r="721" spans="1:109" ht="13.15" hidden="1">
      <c r="A721" s="1250"/>
      <c r="B721" s="1251"/>
      <c r="C721" s="1252"/>
      <c r="D721" s="1251"/>
      <c r="E721" s="1251"/>
      <c r="F721" s="1253"/>
      <c r="G721" s="1254"/>
      <c r="H721" s="1255"/>
      <c r="I721" s="1256"/>
      <c r="J721" s="1257"/>
      <c r="K721" s="1257"/>
      <c r="L721" s="1257"/>
      <c r="M721" s="1257"/>
      <c r="N721" s="1257"/>
      <c r="O721" s="1257"/>
      <c r="P721" s="1258"/>
      <c r="Q721" s="795">
        <f t="shared" si="11"/>
        <v>0</v>
      </c>
      <c r="R721" s="1252"/>
      <c r="S721" s="1251"/>
      <c r="T721" s="1260"/>
      <c r="U721" s="1251"/>
      <c r="V721" s="1251"/>
      <c r="W721" s="1251"/>
      <c r="X721" s="1261"/>
      <c r="Y721" s="1262"/>
      <c r="Z721" s="1254"/>
      <c r="AA721" s="1253"/>
      <c r="AB721" s="1253"/>
      <c r="AC721" s="1253"/>
      <c r="AD721" s="1253"/>
      <c r="AE721" s="1253"/>
      <c r="AF721" s="1263"/>
      <c r="AG721" s="1261"/>
      <c r="AH721" s="1261"/>
      <c r="AI721" s="1261"/>
      <c r="AJ721" s="1261"/>
      <c r="AK721" s="1261"/>
      <c r="AL721" s="1261"/>
      <c r="AM721" s="1261"/>
      <c r="AN721" s="1261"/>
      <c r="AO721" s="1261"/>
      <c r="AP721" s="1261"/>
      <c r="AQ721" s="1264"/>
      <c r="AR721" s="1261"/>
      <c r="AS721" s="1261"/>
      <c r="AT721" s="1261"/>
      <c r="AU721" s="1265"/>
      <c r="AV721" s="1264"/>
      <c r="AW721" s="1261"/>
      <c r="AX721" s="1261"/>
      <c r="AY721" s="1261"/>
      <c r="AZ721" s="1261"/>
      <c r="BA721" s="1261"/>
      <c r="BB721" s="1261"/>
      <c r="BC721" s="1261"/>
      <c r="BD721" s="1261"/>
      <c r="BE721" s="1261"/>
      <c r="BF721" s="1261"/>
      <c r="BG721" s="1261"/>
      <c r="BH721" s="1261"/>
      <c r="BI721" s="1261"/>
      <c r="BJ721" s="1261"/>
      <c r="BK721" s="1265"/>
      <c r="BL721" s="1252"/>
      <c r="BM721" s="1253"/>
      <c r="BN721" s="1253"/>
      <c r="BO721" s="1253"/>
      <c r="BP721" s="1260"/>
      <c r="BQ721" s="1264"/>
      <c r="BR721" s="1261"/>
      <c r="BS721" s="1261"/>
      <c r="BT721" s="1261"/>
      <c r="BU721" s="1265"/>
      <c r="BV721" s="1264"/>
      <c r="BW721" s="1261"/>
      <c r="BX721" s="1261"/>
      <c r="BY721" s="1261"/>
      <c r="BZ721" s="1261"/>
      <c r="CA721" s="1264"/>
      <c r="CB721" s="1261"/>
      <c r="CC721" s="1261"/>
      <c r="CD721" s="1261"/>
      <c r="CE721" s="1265"/>
      <c r="CF721" s="1261"/>
      <c r="CG721" s="1261"/>
      <c r="CH721" s="1261"/>
      <c r="CI721" s="1261"/>
      <c r="CJ721" s="1265"/>
      <c r="CK721" s="1264"/>
      <c r="CL721" s="1261"/>
      <c r="CM721" s="1261"/>
      <c r="CN721" s="1261"/>
      <c r="CO721" s="1265"/>
      <c r="CP721" s="1264"/>
      <c r="CQ721" s="1261"/>
      <c r="CR721" s="1261"/>
      <c r="CS721" s="1261"/>
      <c r="CT721" s="1265"/>
      <c r="CU721" s="1266"/>
      <c r="CV721" s="1267"/>
      <c r="CW721" s="1267"/>
      <c r="CX721" s="1268"/>
      <c r="CY721" s="1267"/>
      <c r="CZ721" s="1267"/>
      <c r="DA721" s="1267"/>
      <c r="DB721" s="1268"/>
      <c r="DC721" s="1253"/>
      <c r="DD721" s="1269">
        <v>1</v>
      </c>
      <c r="DE721" s="1270"/>
    </row>
    <row r="722" spans="1:109" ht="13.15" hidden="1">
      <c r="A722" s="1250"/>
      <c r="B722" s="1251"/>
      <c r="C722" s="1252"/>
      <c r="D722" s="1251"/>
      <c r="E722" s="1251"/>
      <c r="F722" s="1253"/>
      <c r="G722" s="1254"/>
      <c r="H722" s="1255"/>
      <c r="I722" s="1256"/>
      <c r="J722" s="1257"/>
      <c r="K722" s="1257"/>
      <c r="L722" s="1257"/>
      <c r="M722" s="1257"/>
      <c r="N722" s="1257"/>
      <c r="O722" s="1257"/>
      <c r="P722" s="1258"/>
      <c r="Q722" s="795">
        <f t="shared" si="11"/>
        <v>0</v>
      </c>
      <c r="R722" s="1252"/>
      <c r="S722" s="1251"/>
      <c r="T722" s="1260"/>
      <c r="U722" s="1251"/>
      <c r="V722" s="1251"/>
      <c r="W722" s="1251"/>
      <c r="X722" s="1261"/>
      <c r="Y722" s="1262"/>
      <c r="Z722" s="1254"/>
      <c r="AA722" s="1253"/>
      <c r="AB722" s="1253"/>
      <c r="AC722" s="1253"/>
      <c r="AD722" s="1253"/>
      <c r="AE722" s="1253"/>
      <c r="AF722" s="1263"/>
      <c r="AG722" s="1261"/>
      <c r="AH722" s="1261"/>
      <c r="AI722" s="1261"/>
      <c r="AJ722" s="1261"/>
      <c r="AK722" s="1261"/>
      <c r="AL722" s="1261"/>
      <c r="AM722" s="1261"/>
      <c r="AN722" s="1261"/>
      <c r="AO722" s="1261"/>
      <c r="AP722" s="1261"/>
      <c r="AQ722" s="1264"/>
      <c r="AR722" s="1261"/>
      <c r="AS722" s="1261"/>
      <c r="AT722" s="1261"/>
      <c r="AU722" s="1265"/>
      <c r="AV722" s="1264"/>
      <c r="AW722" s="1261"/>
      <c r="AX722" s="1261"/>
      <c r="AY722" s="1261"/>
      <c r="AZ722" s="1261"/>
      <c r="BA722" s="1261"/>
      <c r="BB722" s="1261"/>
      <c r="BC722" s="1261"/>
      <c r="BD722" s="1261"/>
      <c r="BE722" s="1261"/>
      <c r="BF722" s="1261"/>
      <c r="BG722" s="1261"/>
      <c r="BH722" s="1261"/>
      <c r="BI722" s="1261"/>
      <c r="BJ722" s="1261"/>
      <c r="BK722" s="1265"/>
      <c r="BL722" s="1252"/>
      <c r="BM722" s="1253"/>
      <c r="BN722" s="1253"/>
      <c r="BO722" s="1253"/>
      <c r="BP722" s="1260"/>
      <c r="BQ722" s="1264"/>
      <c r="BR722" s="1261"/>
      <c r="BS722" s="1261"/>
      <c r="BT722" s="1261"/>
      <c r="BU722" s="1265"/>
      <c r="BV722" s="1264"/>
      <c r="BW722" s="1261"/>
      <c r="BX722" s="1261"/>
      <c r="BY722" s="1261"/>
      <c r="BZ722" s="1261"/>
      <c r="CA722" s="1264"/>
      <c r="CB722" s="1261"/>
      <c r="CC722" s="1261"/>
      <c r="CD722" s="1261"/>
      <c r="CE722" s="1265"/>
      <c r="CF722" s="1261"/>
      <c r="CG722" s="1261"/>
      <c r="CH722" s="1261"/>
      <c r="CI722" s="1261"/>
      <c r="CJ722" s="1265"/>
      <c r="CK722" s="1264"/>
      <c r="CL722" s="1261"/>
      <c r="CM722" s="1261"/>
      <c r="CN722" s="1261"/>
      <c r="CO722" s="1265"/>
      <c r="CP722" s="1264"/>
      <c r="CQ722" s="1261"/>
      <c r="CR722" s="1261"/>
      <c r="CS722" s="1261"/>
      <c r="CT722" s="1265"/>
      <c r="CU722" s="1266"/>
      <c r="CV722" s="1267"/>
      <c r="CW722" s="1267"/>
      <c r="CX722" s="1268"/>
      <c r="CY722" s="1267"/>
      <c r="CZ722" s="1267"/>
      <c r="DA722" s="1267"/>
      <c r="DB722" s="1268"/>
      <c r="DC722" s="1253"/>
      <c r="DD722" s="1269">
        <v>1</v>
      </c>
      <c r="DE722" s="1270"/>
    </row>
    <row r="723" spans="1:109" ht="13.15" hidden="1">
      <c r="A723" s="1250"/>
      <c r="B723" s="1251"/>
      <c r="C723" s="1252"/>
      <c r="D723" s="1251"/>
      <c r="E723" s="1251"/>
      <c r="F723" s="1253"/>
      <c r="G723" s="1254"/>
      <c r="H723" s="1255"/>
      <c r="I723" s="1256"/>
      <c r="J723" s="1257"/>
      <c r="K723" s="1257"/>
      <c r="L723" s="1257"/>
      <c r="M723" s="1257"/>
      <c r="N723" s="1257"/>
      <c r="O723" s="1257"/>
      <c r="P723" s="1258"/>
      <c r="Q723" s="795">
        <f t="shared" si="11"/>
        <v>0</v>
      </c>
      <c r="R723" s="1252"/>
      <c r="S723" s="1251"/>
      <c r="T723" s="1260"/>
      <c r="U723" s="1251"/>
      <c r="V723" s="1251"/>
      <c r="W723" s="1251"/>
      <c r="X723" s="1261"/>
      <c r="Y723" s="1262"/>
      <c r="Z723" s="1254"/>
      <c r="AA723" s="1253"/>
      <c r="AB723" s="1253"/>
      <c r="AC723" s="1253"/>
      <c r="AD723" s="1253"/>
      <c r="AE723" s="1253"/>
      <c r="AF723" s="1263"/>
      <c r="AG723" s="1261"/>
      <c r="AH723" s="1261"/>
      <c r="AI723" s="1261"/>
      <c r="AJ723" s="1261"/>
      <c r="AK723" s="1261"/>
      <c r="AL723" s="1261"/>
      <c r="AM723" s="1261"/>
      <c r="AN723" s="1261"/>
      <c r="AO723" s="1261"/>
      <c r="AP723" s="1261"/>
      <c r="AQ723" s="1264"/>
      <c r="AR723" s="1261"/>
      <c r="AS723" s="1261"/>
      <c r="AT723" s="1261"/>
      <c r="AU723" s="1265"/>
      <c r="AV723" s="1264"/>
      <c r="AW723" s="1261"/>
      <c r="AX723" s="1261"/>
      <c r="AY723" s="1261"/>
      <c r="AZ723" s="1261"/>
      <c r="BA723" s="1261"/>
      <c r="BB723" s="1261"/>
      <c r="BC723" s="1261"/>
      <c r="BD723" s="1261"/>
      <c r="BE723" s="1261"/>
      <c r="BF723" s="1261"/>
      <c r="BG723" s="1261"/>
      <c r="BH723" s="1261"/>
      <c r="BI723" s="1261"/>
      <c r="BJ723" s="1261"/>
      <c r="BK723" s="1265"/>
      <c r="BL723" s="1252"/>
      <c r="BM723" s="1253"/>
      <c r="BN723" s="1253"/>
      <c r="BO723" s="1253"/>
      <c r="BP723" s="1260"/>
      <c r="BQ723" s="1264"/>
      <c r="BR723" s="1261"/>
      <c r="BS723" s="1261"/>
      <c r="BT723" s="1261"/>
      <c r="BU723" s="1265"/>
      <c r="BV723" s="1264"/>
      <c r="BW723" s="1261"/>
      <c r="BX723" s="1261"/>
      <c r="BY723" s="1261"/>
      <c r="BZ723" s="1261"/>
      <c r="CA723" s="1264"/>
      <c r="CB723" s="1261"/>
      <c r="CC723" s="1261"/>
      <c r="CD723" s="1261"/>
      <c r="CE723" s="1265"/>
      <c r="CF723" s="1261"/>
      <c r="CG723" s="1261"/>
      <c r="CH723" s="1261"/>
      <c r="CI723" s="1261"/>
      <c r="CJ723" s="1265"/>
      <c r="CK723" s="1264"/>
      <c r="CL723" s="1261"/>
      <c r="CM723" s="1261"/>
      <c r="CN723" s="1261"/>
      <c r="CO723" s="1265"/>
      <c r="CP723" s="1264"/>
      <c r="CQ723" s="1261"/>
      <c r="CR723" s="1261"/>
      <c r="CS723" s="1261"/>
      <c r="CT723" s="1265"/>
      <c r="CU723" s="1266"/>
      <c r="CV723" s="1267"/>
      <c r="CW723" s="1267"/>
      <c r="CX723" s="1268"/>
      <c r="CY723" s="1267"/>
      <c r="CZ723" s="1267"/>
      <c r="DA723" s="1267"/>
      <c r="DB723" s="1268"/>
      <c r="DC723" s="1253"/>
      <c r="DD723" s="1269">
        <v>1</v>
      </c>
      <c r="DE723" s="1270"/>
    </row>
    <row r="724" spans="1:109" ht="13.15" hidden="1">
      <c r="A724" s="1250"/>
      <c r="B724" s="1251"/>
      <c r="C724" s="1252"/>
      <c r="D724" s="1251"/>
      <c r="E724" s="1251"/>
      <c r="F724" s="1253"/>
      <c r="G724" s="1254"/>
      <c r="H724" s="1255"/>
      <c r="I724" s="1256"/>
      <c r="J724" s="1257"/>
      <c r="K724" s="1257"/>
      <c r="L724" s="1257"/>
      <c r="M724" s="1257"/>
      <c r="N724" s="1257"/>
      <c r="O724" s="1257"/>
      <c r="P724" s="1258"/>
      <c r="Q724" s="795">
        <f t="shared" si="11"/>
        <v>0</v>
      </c>
      <c r="R724" s="1252"/>
      <c r="S724" s="1251"/>
      <c r="T724" s="1260"/>
      <c r="U724" s="1251"/>
      <c r="V724" s="1251"/>
      <c r="W724" s="1251"/>
      <c r="X724" s="1261"/>
      <c r="Y724" s="1262"/>
      <c r="Z724" s="1254"/>
      <c r="AA724" s="1253"/>
      <c r="AB724" s="1253"/>
      <c r="AC724" s="1253"/>
      <c r="AD724" s="1253"/>
      <c r="AE724" s="1253"/>
      <c r="AF724" s="1263"/>
      <c r="AG724" s="1261"/>
      <c r="AH724" s="1261"/>
      <c r="AI724" s="1261"/>
      <c r="AJ724" s="1261"/>
      <c r="AK724" s="1261"/>
      <c r="AL724" s="1261"/>
      <c r="AM724" s="1261"/>
      <c r="AN724" s="1261"/>
      <c r="AO724" s="1261"/>
      <c r="AP724" s="1261"/>
      <c r="AQ724" s="1264"/>
      <c r="AR724" s="1261"/>
      <c r="AS724" s="1261"/>
      <c r="AT724" s="1261"/>
      <c r="AU724" s="1265"/>
      <c r="AV724" s="1264"/>
      <c r="AW724" s="1261"/>
      <c r="AX724" s="1261"/>
      <c r="AY724" s="1261"/>
      <c r="AZ724" s="1261"/>
      <c r="BA724" s="1261"/>
      <c r="BB724" s="1261"/>
      <c r="BC724" s="1261"/>
      <c r="BD724" s="1261"/>
      <c r="BE724" s="1261"/>
      <c r="BF724" s="1261"/>
      <c r="BG724" s="1261"/>
      <c r="BH724" s="1261"/>
      <c r="BI724" s="1261"/>
      <c r="BJ724" s="1261"/>
      <c r="BK724" s="1265"/>
      <c r="BL724" s="1252"/>
      <c r="BM724" s="1253"/>
      <c r="BN724" s="1253"/>
      <c r="BO724" s="1253"/>
      <c r="BP724" s="1260"/>
      <c r="BQ724" s="1264"/>
      <c r="BR724" s="1261"/>
      <c r="BS724" s="1261"/>
      <c r="BT724" s="1261"/>
      <c r="BU724" s="1265"/>
      <c r="BV724" s="1264"/>
      <c r="BW724" s="1261"/>
      <c r="BX724" s="1261"/>
      <c r="BY724" s="1261"/>
      <c r="BZ724" s="1261"/>
      <c r="CA724" s="1264"/>
      <c r="CB724" s="1261"/>
      <c r="CC724" s="1261"/>
      <c r="CD724" s="1261"/>
      <c r="CE724" s="1265"/>
      <c r="CF724" s="1261"/>
      <c r="CG724" s="1261"/>
      <c r="CH724" s="1261"/>
      <c r="CI724" s="1261"/>
      <c r="CJ724" s="1265"/>
      <c r="CK724" s="1264"/>
      <c r="CL724" s="1261"/>
      <c r="CM724" s="1261"/>
      <c r="CN724" s="1261"/>
      <c r="CO724" s="1265"/>
      <c r="CP724" s="1264"/>
      <c r="CQ724" s="1261"/>
      <c r="CR724" s="1261"/>
      <c r="CS724" s="1261"/>
      <c r="CT724" s="1265"/>
      <c r="CU724" s="1266"/>
      <c r="CV724" s="1267"/>
      <c r="CW724" s="1267"/>
      <c r="CX724" s="1268"/>
      <c r="CY724" s="1267"/>
      <c r="CZ724" s="1267"/>
      <c r="DA724" s="1267"/>
      <c r="DB724" s="1268"/>
      <c r="DC724" s="1253"/>
      <c r="DD724" s="1269">
        <v>1</v>
      </c>
      <c r="DE724" s="1270"/>
    </row>
    <row r="725" spans="1:109" ht="13.15" hidden="1">
      <c r="A725" s="1250"/>
      <c r="B725" s="1251"/>
      <c r="C725" s="1252"/>
      <c r="D725" s="1251"/>
      <c r="E725" s="1251"/>
      <c r="F725" s="1253"/>
      <c r="G725" s="1254"/>
      <c r="H725" s="1255"/>
      <c r="I725" s="1256"/>
      <c r="J725" s="1257"/>
      <c r="K725" s="1257"/>
      <c r="L725" s="1257"/>
      <c r="M725" s="1257"/>
      <c r="N725" s="1257"/>
      <c r="O725" s="1257"/>
      <c r="P725" s="1258"/>
      <c r="Q725" s="795">
        <f t="shared" si="11"/>
        <v>0</v>
      </c>
      <c r="R725" s="1252"/>
      <c r="S725" s="1251"/>
      <c r="T725" s="1260"/>
      <c r="U725" s="1251"/>
      <c r="V725" s="1251"/>
      <c r="W725" s="1251"/>
      <c r="X725" s="1261"/>
      <c r="Y725" s="1262"/>
      <c r="Z725" s="1254"/>
      <c r="AA725" s="1253"/>
      <c r="AB725" s="1253"/>
      <c r="AC725" s="1253"/>
      <c r="AD725" s="1253"/>
      <c r="AE725" s="1253"/>
      <c r="AF725" s="1263"/>
      <c r="AG725" s="1261"/>
      <c r="AH725" s="1261"/>
      <c r="AI725" s="1261"/>
      <c r="AJ725" s="1261"/>
      <c r="AK725" s="1261"/>
      <c r="AL725" s="1261"/>
      <c r="AM725" s="1261"/>
      <c r="AN725" s="1261"/>
      <c r="AO725" s="1261"/>
      <c r="AP725" s="1261"/>
      <c r="AQ725" s="1264"/>
      <c r="AR725" s="1261"/>
      <c r="AS725" s="1261"/>
      <c r="AT725" s="1261"/>
      <c r="AU725" s="1265"/>
      <c r="AV725" s="1264"/>
      <c r="AW725" s="1261"/>
      <c r="AX725" s="1261"/>
      <c r="AY725" s="1261"/>
      <c r="AZ725" s="1261"/>
      <c r="BA725" s="1261"/>
      <c r="BB725" s="1261"/>
      <c r="BC725" s="1261"/>
      <c r="BD725" s="1261"/>
      <c r="BE725" s="1261"/>
      <c r="BF725" s="1261"/>
      <c r="BG725" s="1261"/>
      <c r="BH725" s="1261"/>
      <c r="BI725" s="1261"/>
      <c r="BJ725" s="1261"/>
      <c r="BK725" s="1265"/>
      <c r="BL725" s="1252"/>
      <c r="BM725" s="1253"/>
      <c r="BN725" s="1253"/>
      <c r="BO725" s="1253"/>
      <c r="BP725" s="1260"/>
      <c r="BQ725" s="1264"/>
      <c r="BR725" s="1261"/>
      <c r="BS725" s="1261"/>
      <c r="BT725" s="1261"/>
      <c r="BU725" s="1265"/>
      <c r="BV725" s="1264"/>
      <c r="BW725" s="1261"/>
      <c r="BX725" s="1261"/>
      <c r="BY725" s="1261"/>
      <c r="BZ725" s="1261"/>
      <c r="CA725" s="1264"/>
      <c r="CB725" s="1261"/>
      <c r="CC725" s="1261"/>
      <c r="CD725" s="1261"/>
      <c r="CE725" s="1265"/>
      <c r="CF725" s="1261"/>
      <c r="CG725" s="1261"/>
      <c r="CH725" s="1261"/>
      <c r="CI725" s="1261"/>
      <c r="CJ725" s="1265"/>
      <c r="CK725" s="1264"/>
      <c r="CL725" s="1261"/>
      <c r="CM725" s="1261"/>
      <c r="CN725" s="1261"/>
      <c r="CO725" s="1265"/>
      <c r="CP725" s="1264"/>
      <c r="CQ725" s="1261"/>
      <c r="CR725" s="1261"/>
      <c r="CS725" s="1261"/>
      <c r="CT725" s="1265"/>
      <c r="CU725" s="1266"/>
      <c r="CV725" s="1267"/>
      <c r="CW725" s="1267"/>
      <c r="CX725" s="1268"/>
      <c r="CY725" s="1267"/>
      <c r="CZ725" s="1267"/>
      <c r="DA725" s="1267"/>
      <c r="DB725" s="1268"/>
      <c r="DC725" s="1253"/>
      <c r="DD725" s="1269">
        <v>1</v>
      </c>
      <c r="DE725" s="1270"/>
    </row>
    <row r="726" spans="1:109" ht="13.15" hidden="1">
      <c r="A726" s="1250"/>
      <c r="B726" s="1251"/>
      <c r="C726" s="1252"/>
      <c r="D726" s="1251"/>
      <c r="E726" s="1251"/>
      <c r="F726" s="1253"/>
      <c r="G726" s="1254"/>
      <c r="H726" s="1255"/>
      <c r="I726" s="1256"/>
      <c r="J726" s="1257"/>
      <c r="K726" s="1257"/>
      <c r="L726" s="1257"/>
      <c r="M726" s="1257"/>
      <c r="N726" s="1257"/>
      <c r="O726" s="1257"/>
      <c r="P726" s="1258"/>
      <c r="Q726" s="795">
        <f t="shared" si="11"/>
        <v>0</v>
      </c>
      <c r="R726" s="1252"/>
      <c r="S726" s="1251"/>
      <c r="T726" s="1260"/>
      <c r="U726" s="1251"/>
      <c r="V726" s="1251"/>
      <c r="W726" s="1251"/>
      <c r="X726" s="1261"/>
      <c r="Y726" s="1262"/>
      <c r="Z726" s="1254"/>
      <c r="AA726" s="1253"/>
      <c r="AB726" s="1253"/>
      <c r="AC726" s="1253"/>
      <c r="AD726" s="1253"/>
      <c r="AE726" s="1253"/>
      <c r="AF726" s="1263"/>
      <c r="AG726" s="1261"/>
      <c r="AH726" s="1261"/>
      <c r="AI726" s="1261"/>
      <c r="AJ726" s="1261"/>
      <c r="AK726" s="1261"/>
      <c r="AL726" s="1261"/>
      <c r="AM726" s="1261"/>
      <c r="AN726" s="1261"/>
      <c r="AO726" s="1261"/>
      <c r="AP726" s="1261"/>
      <c r="AQ726" s="1264"/>
      <c r="AR726" s="1261"/>
      <c r="AS726" s="1261"/>
      <c r="AT726" s="1261"/>
      <c r="AU726" s="1265"/>
      <c r="AV726" s="1264"/>
      <c r="AW726" s="1261"/>
      <c r="AX726" s="1261"/>
      <c r="AY726" s="1261"/>
      <c r="AZ726" s="1261"/>
      <c r="BA726" s="1261"/>
      <c r="BB726" s="1261"/>
      <c r="BC726" s="1261"/>
      <c r="BD726" s="1261"/>
      <c r="BE726" s="1261"/>
      <c r="BF726" s="1261"/>
      <c r="BG726" s="1261"/>
      <c r="BH726" s="1261"/>
      <c r="BI726" s="1261"/>
      <c r="BJ726" s="1261"/>
      <c r="BK726" s="1265"/>
      <c r="BL726" s="1252"/>
      <c r="BM726" s="1253"/>
      <c r="BN726" s="1253"/>
      <c r="BO726" s="1253"/>
      <c r="BP726" s="1260"/>
      <c r="BQ726" s="1264"/>
      <c r="BR726" s="1261"/>
      <c r="BS726" s="1261"/>
      <c r="BT726" s="1261"/>
      <c r="BU726" s="1265"/>
      <c r="BV726" s="1264"/>
      <c r="BW726" s="1261"/>
      <c r="BX726" s="1261"/>
      <c r="BY726" s="1261"/>
      <c r="BZ726" s="1261"/>
      <c r="CA726" s="1264"/>
      <c r="CB726" s="1261"/>
      <c r="CC726" s="1261"/>
      <c r="CD726" s="1261"/>
      <c r="CE726" s="1265"/>
      <c r="CF726" s="1261"/>
      <c r="CG726" s="1261"/>
      <c r="CH726" s="1261"/>
      <c r="CI726" s="1261"/>
      <c r="CJ726" s="1265"/>
      <c r="CK726" s="1264"/>
      <c r="CL726" s="1261"/>
      <c r="CM726" s="1261"/>
      <c r="CN726" s="1261"/>
      <c r="CO726" s="1265"/>
      <c r="CP726" s="1264"/>
      <c r="CQ726" s="1261"/>
      <c r="CR726" s="1261"/>
      <c r="CS726" s="1261"/>
      <c r="CT726" s="1265"/>
      <c r="CU726" s="1266"/>
      <c r="CV726" s="1267"/>
      <c r="CW726" s="1267"/>
      <c r="CX726" s="1268"/>
      <c r="CY726" s="1267"/>
      <c r="CZ726" s="1267"/>
      <c r="DA726" s="1267"/>
      <c r="DB726" s="1268"/>
      <c r="DC726" s="1253"/>
      <c r="DD726" s="1269">
        <v>1</v>
      </c>
      <c r="DE726" s="1270"/>
    </row>
    <row r="727" spans="1:109" ht="13.15" hidden="1">
      <c r="A727" s="1250"/>
      <c r="B727" s="1251"/>
      <c r="C727" s="1252"/>
      <c r="D727" s="1251"/>
      <c r="E727" s="1251"/>
      <c r="F727" s="1253"/>
      <c r="G727" s="1254"/>
      <c r="H727" s="1255"/>
      <c r="I727" s="1256"/>
      <c r="J727" s="1257"/>
      <c r="K727" s="1257"/>
      <c r="L727" s="1257"/>
      <c r="M727" s="1257"/>
      <c r="N727" s="1257"/>
      <c r="O727" s="1257"/>
      <c r="P727" s="1258"/>
      <c r="Q727" s="795">
        <f t="shared" si="11"/>
        <v>0</v>
      </c>
      <c r="R727" s="1252"/>
      <c r="S727" s="1251"/>
      <c r="T727" s="1260"/>
      <c r="U727" s="1251"/>
      <c r="V727" s="1251"/>
      <c r="W727" s="1251"/>
      <c r="X727" s="1261"/>
      <c r="Y727" s="1262"/>
      <c r="Z727" s="1254"/>
      <c r="AA727" s="1253"/>
      <c r="AB727" s="1253"/>
      <c r="AC727" s="1253"/>
      <c r="AD727" s="1253"/>
      <c r="AE727" s="1253"/>
      <c r="AF727" s="1263"/>
      <c r="AG727" s="1261"/>
      <c r="AH727" s="1261"/>
      <c r="AI727" s="1261"/>
      <c r="AJ727" s="1261"/>
      <c r="AK727" s="1261"/>
      <c r="AL727" s="1261"/>
      <c r="AM727" s="1261"/>
      <c r="AN727" s="1261"/>
      <c r="AO727" s="1261"/>
      <c r="AP727" s="1261"/>
      <c r="AQ727" s="1264"/>
      <c r="AR727" s="1261"/>
      <c r="AS727" s="1261"/>
      <c r="AT727" s="1261"/>
      <c r="AU727" s="1265"/>
      <c r="AV727" s="1264"/>
      <c r="AW727" s="1261"/>
      <c r="AX727" s="1261"/>
      <c r="AY727" s="1261"/>
      <c r="AZ727" s="1261"/>
      <c r="BA727" s="1261"/>
      <c r="BB727" s="1261"/>
      <c r="BC727" s="1261"/>
      <c r="BD727" s="1261"/>
      <c r="BE727" s="1261"/>
      <c r="BF727" s="1261"/>
      <c r="BG727" s="1261"/>
      <c r="BH727" s="1261"/>
      <c r="BI727" s="1261"/>
      <c r="BJ727" s="1261"/>
      <c r="BK727" s="1265"/>
      <c r="BL727" s="1252"/>
      <c r="BM727" s="1253"/>
      <c r="BN727" s="1253"/>
      <c r="BO727" s="1253"/>
      <c r="BP727" s="1260"/>
      <c r="BQ727" s="1264"/>
      <c r="BR727" s="1261"/>
      <c r="BS727" s="1261"/>
      <c r="BT727" s="1261"/>
      <c r="BU727" s="1265"/>
      <c r="BV727" s="1264"/>
      <c r="BW727" s="1261"/>
      <c r="BX727" s="1261"/>
      <c r="BY727" s="1261"/>
      <c r="BZ727" s="1261"/>
      <c r="CA727" s="1264"/>
      <c r="CB727" s="1261"/>
      <c r="CC727" s="1261"/>
      <c r="CD727" s="1261"/>
      <c r="CE727" s="1265"/>
      <c r="CF727" s="1261"/>
      <c r="CG727" s="1261"/>
      <c r="CH727" s="1261"/>
      <c r="CI727" s="1261"/>
      <c r="CJ727" s="1265"/>
      <c r="CK727" s="1264"/>
      <c r="CL727" s="1261"/>
      <c r="CM727" s="1261"/>
      <c r="CN727" s="1261"/>
      <c r="CO727" s="1265"/>
      <c r="CP727" s="1264"/>
      <c r="CQ727" s="1261"/>
      <c r="CR727" s="1261"/>
      <c r="CS727" s="1261"/>
      <c r="CT727" s="1265"/>
      <c r="CU727" s="1266"/>
      <c r="CV727" s="1267"/>
      <c r="CW727" s="1267"/>
      <c r="CX727" s="1268"/>
      <c r="CY727" s="1267"/>
      <c r="CZ727" s="1267"/>
      <c r="DA727" s="1267"/>
      <c r="DB727" s="1268"/>
      <c r="DC727" s="1253"/>
      <c r="DD727" s="1269">
        <v>1</v>
      </c>
      <c r="DE727" s="1270"/>
    </row>
    <row r="728" spans="1:109" ht="13.15" hidden="1">
      <c r="A728" s="1250"/>
      <c r="B728" s="1251"/>
      <c r="C728" s="1252"/>
      <c r="D728" s="1251"/>
      <c r="E728" s="1251"/>
      <c r="F728" s="1253"/>
      <c r="G728" s="1254"/>
      <c r="H728" s="1255"/>
      <c r="I728" s="1256"/>
      <c r="J728" s="1257"/>
      <c r="K728" s="1257"/>
      <c r="L728" s="1257"/>
      <c r="M728" s="1257"/>
      <c r="N728" s="1257"/>
      <c r="O728" s="1257"/>
      <c r="P728" s="1258"/>
      <c r="Q728" s="795">
        <f t="shared" si="11"/>
        <v>0</v>
      </c>
      <c r="R728" s="1252"/>
      <c r="S728" s="1251"/>
      <c r="T728" s="1260"/>
      <c r="U728" s="1251"/>
      <c r="V728" s="1251"/>
      <c r="W728" s="1251"/>
      <c r="X728" s="1261"/>
      <c r="Y728" s="1262"/>
      <c r="Z728" s="1254"/>
      <c r="AA728" s="1253"/>
      <c r="AB728" s="1253"/>
      <c r="AC728" s="1253"/>
      <c r="AD728" s="1253"/>
      <c r="AE728" s="1253"/>
      <c r="AF728" s="1263"/>
      <c r="AG728" s="1261"/>
      <c r="AH728" s="1261"/>
      <c r="AI728" s="1261"/>
      <c r="AJ728" s="1261"/>
      <c r="AK728" s="1261"/>
      <c r="AL728" s="1261"/>
      <c r="AM728" s="1261"/>
      <c r="AN728" s="1261"/>
      <c r="AO728" s="1261"/>
      <c r="AP728" s="1261"/>
      <c r="AQ728" s="1264"/>
      <c r="AR728" s="1261"/>
      <c r="AS728" s="1261"/>
      <c r="AT728" s="1261"/>
      <c r="AU728" s="1265"/>
      <c r="AV728" s="1264"/>
      <c r="AW728" s="1261"/>
      <c r="AX728" s="1261"/>
      <c r="AY728" s="1261"/>
      <c r="AZ728" s="1261"/>
      <c r="BA728" s="1261"/>
      <c r="BB728" s="1261"/>
      <c r="BC728" s="1261"/>
      <c r="BD728" s="1261"/>
      <c r="BE728" s="1261"/>
      <c r="BF728" s="1261"/>
      <c r="BG728" s="1261"/>
      <c r="BH728" s="1261"/>
      <c r="BI728" s="1261"/>
      <c r="BJ728" s="1261"/>
      <c r="BK728" s="1265"/>
      <c r="BL728" s="1252"/>
      <c r="BM728" s="1253"/>
      <c r="BN728" s="1253"/>
      <c r="BO728" s="1253"/>
      <c r="BP728" s="1260"/>
      <c r="BQ728" s="1264"/>
      <c r="BR728" s="1261"/>
      <c r="BS728" s="1261"/>
      <c r="BT728" s="1261"/>
      <c r="BU728" s="1265"/>
      <c r="BV728" s="1264"/>
      <c r="BW728" s="1261"/>
      <c r="BX728" s="1261"/>
      <c r="BY728" s="1261"/>
      <c r="BZ728" s="1261"/>
      <c r="CA728" s="1264"/>
      <c r="CB728" s="1261"/>
      <c r="CC728" s="1261"/>
      <c r="CD728" s="1261"/>
      <c r="CE728" s="1265"/>
      <c r="CF728" s="1261"/>
      <c r="CG728" s="1261"/>
      <c r="CH728" s="1261"/>
      <c r="CI728" s="1261"/>
      <c r="CJ728" s="1265"/>
      <c r="CK728" s="1264"/>
      <c r="CL728" s="1261"/>
      <c r="CM728" s="1261"/>
      <c r="CN728" s="1261"/>
      <c r="CO728" s="1265"/>
      <c r="CP728" s="1264"/>
      <c r="CQ728" s="1261"/>
      <c r="CR728" s="1261"/>
      <c r="CS728" s="1261"/>
      <c r="CT728" s="1265"/>
      <c r="CU728" s="1266"/>
      <c r="CV728" s="1267"/>
      <c r="CW728" s="1267"/>
      <c r="CX728" s="1268"/>
      <c r="CY728" s="1267"/>
      <c r="CZ728" s="1267"/>
      <c r="DA728" s="1267"/>
      <c r="DB728" s="1268"/>
      <c r="DC728" s="1253"/>
      <c r="DD728" s="1269">
        <v>1</v>
      </c>
      <c r="DE728" s="1270"/>
    </row>
    <row r="729" spans="1:109" ht="13.15" hidden="1">
      <c r="A729" s="1250"/>
      <c r="B729" s="1251"/>
      <c r="C729" s="1252"/>
      <c r="D729" s="1251"/>
      <c r="E729" s="1251"/>
      <c r="F729" s="1253"/>
      <c r="G729" s="1254"/>
      <c r="H729" s="1255"/>
      <c r="I729" s="1256"/>
      <c r="J729" s="1257"/>
      <c r="K729" s="1257"/>
      <c r="L729" s="1257"/>
      <c r="M729" s="1257"/>
      <c r="N729" s="1257"/>
      <c r="O729" s="1257"/>
      <c r="P729" s="1258"/>
      <c r="Q729" s="795">
        <f t="shared" si="11"/>
        <v>0</v>
      </c>
      <c r="R729" s="1252"/>
      <c r="S729" s="1251"/>
      <c r="T729" s="1260"/>
      <c r="U729" s="1251"/>
      <c r="V729" s="1251"/>
      <c r="W729" s="1251"/>
      <c r="X729" s="1261"/>
      <c r="Y729" s="1262"/>
      <c r="Z729" s="1254"/>
      <c r="AA729" s="1253"/>
      <c r="AB729" s="1253"/>
      <c r="AC729" s="1253"/>
      <c r="AD729" s="1253"/>
      <c r="AE729" s="1253"/>
      <c r="AF729" s="1263"/>
      <c r="AG729" s="1261"/>
      <c r="AH729" s="1261"/>
      <c r="AI729" s="1261"/>
      <c r="AJ729" s="1261"/>
      <c r="AK729" s="1261"/>
      <c r="AL729" s="1261"/>
      <c r="AM729" s="1261"/>
      <c r="AN729" s="1261"/>
      <c r="AO729" s="1261"/>
      <c r="AP729" s="1261"/>
      <c r="AQ729" s="1264"/>
      <c r="AR729" s="1261"/>
      <c r="AS729" s="1261"/>
      <c r="AT729" s="1261"/>
      <c r="AU729" s="1265"/>
      <c r="AV729" s="1264"/>
      <c r="AW729" s="1261"/>
      <c r="AX729" s="1261"/>
      <c r="AY729" s="1261"/>
      <c r="AZ729" s="1261"/>
      <c r="BA729" s="1261"/>
      <c r="BB729" s="1261"/>
      <c r="BC729" s="1261"/>
      <c r="BD729" s="1261"/>
      <c r="BE729" s="1261"/>
      <c r="BF729" s="1261"/>
      <c r="BG729" s="1261"/>
      <c r="BH729" s="1261"/>
      <c r="BI729" s="1261"/>
      <c r="BJ729" s="1261"/>
      <c r="BK729" s="1265"/>
      <c r="BL729" s="1252"/>
      <c r="BM729" s="1253"/>
      <c r="BN729" s="1253"/>
      <c r="BO729" s="1253"/>
      <c r="BP729" s="1260"/>
      <c r="BQ729" s="1264"/>
      <c r="BR729" s="1261"/>
      <c r="BS729" s="1261"/>
      <c r="BT729" s="1261"/>
      <c r="BU729" s="1265"/>
      <c r="BV729" s="1264"/>
      <c r="BW729" s="1261"/>
      <c r="BX729" s="1261"/>
      <c r="BY729" s="1261"/>
      <c r="BZ729" s="1261"/>
      <c r="CA729" s="1264"/>
      <c r="CB729" s="1261"/>
      <c r="CC729" s="1261"/>
      <c r="CD729" s="1261"/>
      <c r="CE729" s="1265"/>
      <c r="CF729" s="1261"/>
      <c r="CG729" s="1261"/>
      <c r="CH729" s="1261"/>
      <c r="CI729" s="1261"/>
      <c r="CJ729" s="1265"/>
      <c r="CK729" s="1264"/>
      <c r="CL729" s="1261"/>
      <c r="CM729" s="1261"/>
      <c r="CN729" s="1261"/>
      <c r="CO729" s="1265"/>
      <c r="CP729" s="1264"/>
      <c r="CQ729" s="1261"/>
      <c r="CR729" s="1261"/>
      <c r="CS729" s="1261"/>
      <c r="CT729" s="1265"/>
      <c r="CU729" s="1266"/>
      <c r="CV729" s="1267"/>
      <c r="CW729" s="1267"/>
      <c r="CX729" s="1268"/>
      <c r="CY729" s="1267"/>
      <c r="CZ729" s="1267"/>
      <c r="DA729" s="1267"/>
      <c r="DB729" s="1268"/>
      <c r="DC729" s="1253"/>
      <c r="DD729" s="1269">
        <v>1</v>
      </c>
      <c r="DE729" s="1270"/>
    </row>
    <row r="730" spans="1:109" ht="13.15" hidden="1">
      <c r="A730" s="1250"/>
      <c r="B730" s="1251"/>
      <c r="C730" s="1252"/>
      <c r="D730" s="1251"/>
      <c r="E730" s="1251"/>
      <c r="F730" s="1253"/>
      <c r="G730" s="1254"/>
      <c r="H730" s="1255"/>
      <c r="I730" s="1256"/>
      <c r="J730" s="1257"/>
      <c r="K730" s="1257"/>
      <c r="L730" s="1257"/>
      <c r="M730" s="1257"/>
      <c r="N730" s="1257"/>
      <c r="O730" s="1257"/>
      <c r="P730" s="1258"/>
      <c r="Q730" s="795">
        <f t="shared" si="11"/>
        <v>0</v>
      </c>
      <c r="R730" s="1252"/>
      <c r="S730" s="1251"/>
      <c r="T730" s="1260"/>
      <c r="U730" s="1251"/>
      <c r="V730" s="1251"/>
      <c r="W730" s="1251"/>
      <c r="X730" s="1261"/>
      <c r="Y730" s="1262"/>
      <c r="Z730" s="1254"/>
      <c r="AA730" s="1253"/>
      <c r="AB730" s="1253"/>
      <c r="AC730" s="1253"/>
      <c r="AD730" s="1253"/>
      <c r="AE730" s="1253"/>
      <c r="AF730" s="1263"/>
      <c r="AG730" s="1261"/>
      <c r="AH730" s="1261"/>
      <c r="AI730" s="1261"/>
      <c r="AJ730" s="1261"/>
      <c r="AK730" s="1261"/>
      <c r="AL730" s="1261"/>
      <c r="AM730" s="1261"/>
      <c r="AN730" s="1261"/>
      <c r="AO730" s="1261"/>
      <c r="AP730" s="1261"/>
      <c r="AQ730" s="1264"/>
      <c r="AR730" s="1261"/>
      <c r="AS730" s="1261"/>
      <c r="AT730" s="1261"/>
      <c r="AU730" s="1265"/>
      <c r="AV730" s="1264"/>
      <c r="AW730" s="1261"/>
      <c r="AX730" s="1261"/>
      <c r="AY730" s="1261"/>
      <c r="AZ730" s="1261"/>
      <c r="BA730" s="1261"/>
      <c r="BB730" s="1261"/>
      <c r="BC730" s="1261"/>
      <c r="BD730" s="1261"/>
      <c r="BE730" s="1261"/>
      <c r="BF730" s="1261"/>
      <c r="BG730" s="1261"/>
      <c r="BH730" s="1261"/>
      <c r="BI730" s="1261"/>
      <c r="BJ730" s="1261"/>
      <c r="BK730" s="1265"/>
      <c r="BL730" s="1252"/>
      <c r="BM730" s="1253"/>
      <c r="BN730" s="1253"/>
      <c r="BO730" s="1253"/>
      <c r="BP730" s="1260"/>
      <c r="BQ730" s="1264"/>
      <c r="BR730" s="1261"/>
      <c r="BS730" s="1261"/>
      <c r="BT730" s="1261"/>
      <c r="BU730" s="1265"/>
      <c r="BV730" s="1264"/>
      <c r="BW730" s="1261"/>
      <c r="BX730" s="1261"/>
      <c r="BY730" s="1261"/>
      <c r="BZ730" s="1261"/>
      <c r="CA730" s="1264"/>
      <c r="CB730" s="1261"/>
      <c r="CC730" s="1261"/>
      <c r="CD730" s="1261"/>
      <c r="CE730" s="1265"/>
      <c r="CF730" s="1261"/>
      <c r="CG730" s="1261"/>
      <c r="CH730" s="1261"/>
      <c r="CI730" s="1261"/>
      <c r="CJ730" s="1265"/>
      <c r="CK730" s="1264"/>
      <c r="CL730" s="1261"/>
      <c r="CM730" s="1261"/>
      <c r="CN730" s="1261"/>
      <c r="CO730" s="1265"/>
      <c r="CP730" s="1264"/>
      <c r="CQ730" s="1261"/>
      <c r="CR730" s="1261"/>
      <c r="CS730" s="1261"/>
      <c r="CT730" s="1265"/>
      <c r="CU730" s="1266"/>
      <c r="CV730" s="1267"/>
      <c r="CW730" s="1267"/>
      <c r="CX730" s="1268"/>
      <c r="CY730" s="1267"/>
      <c r="CZ730" s="1267"/>
      <c r="DA730" s="1267"/>
      <c r="DB730" s="1268"/>
      <c r="DC730" s="1253"/>
      <c r="DD730" s="1269">
        <v>1</v>
      </c>
      <c r="DE730" s="1270"/>
    </row>
    <row r="731" spans="1:109" ht="13.15" hidden="1">
      <c r="A731" s="1250"/>
      <c r="B731" s="1251"/>
      <c r="C731" s="1252"/>
      <c r="D731" s="1251"/>
      <c r="E731" s="1251"/>
      <c r="F731" s="1253"/>
      <c r="G731" s="1254"/>
      <c r="H731" s="1255"/>
      <c r="I731" s="1256"/>
      <c r="J731" s="1257"/>
      <c r="K731" s="1257"/>
      <c r="L731" s="1257"/>
      <c r="M731" s="1257"/>
      <c r="N731" s="1257"/>
      <c r="O731" s="1257"/>
      <c r="P731" s="1258"/>
      <c r="Q731" s="795">
        <f t="shared" si="11"/>
        <v>0</v>
      </c>
      <c r="R731" s="1252"/>
      <c r="S731" s="1251"/>
      <c r="T731" s="1260"/>
      <c r="U731" s="1251"/>
      <c r="V731" s="1251"/>
      <c r="W731" s="1251"/>
      <c r="X731" s="1261"/>
      <c r="Y731" s="1262"/>
      <c r="Z731" s="1254"/>
      <c r="AA731" s="1253"/>
      <c r="AB731" s="1253"/>
      <c r="AC731" s="1253"/>
      <c r="AD731" s="1253"/>
      <c r="AE731" s="1253"/>
      <c r="AF731" s="1263"/>
      <c r="AG731" s="1261"/>
      <c r="AH731" s="1261"/>
      <c r="AI731" s="1261"/>
      <c r="AJ731" s="1261"/>
      <c r="AK731" s="1261"/>
      <c r="AL731" s="1261"/>
      <c r="AM731" s="1261"/>
      <c r="AN731" s="1261"/>
      <c r="AO731" s="1261"/>
      <c r="AP731" s="1261"/>
      <c r="AQ731" s="1264"/>
      <c r="AR731" s="1261"/>
      <c r="AS731" s="1261"/>
      <c r="AT731" s="1261"/>
      <c r="AU731" s="1265"/>
      <c r="AV731" s="1264"/>
      <c r="AW731" s="1261"/>
      <c r="AX731" s="1261"/>
      <c r="AY731" s="1261"/>
      <c r="AZ731" s="1261"/>
      <c r="BA731" s="1261"/>
      <c r="BB731" s="1261"/>
      <c r="BC731" s="1261"/>
      <c r="BD731" s="1261"/>
      <c r="BE731" s="1261"/>
      <c r="BF731" s="1261"/>
      <c r="BG731" s="1261"/>
      <c r="BH731" s="1261"/>
      <c r="BI731" s="1261"/>
      <c r="BJ731" s="1261"/>
      <c r="BK731" s="1265"/>
      <c r="BL731" s="1252"/>
      <c r="BM731" s="1253"/>
      <c r="BN731" s="1253"/>
      <c r="BO731" s="1253"/>
      <c r="BP731" s="1260"/>
      <c r="BQ731" s="1264"/>
      <c r="BR731" s="1261"/>
      <c r="BS731" s="1261"/>
      <c r="BT731" s="1261"/>
      <c r="BU731" s="1265"/>
      <c r="BV731" s="1264"/>
      <c r="BW731" s="1261"/>
      <c r="BX731" s="1261"/>
      <c r="BY731" s="1261"/>
      <c r="BZ731" s="1261"/>
      <c r="CA731" s="1264"/>
      <c r="CB731" s="1261"/>
      <c r="CC731" s="1261"/>
      <c r="CD731" s="1261"/>
      <c r="CE731" s="1265"/>
      <c r="CF731" s="1261"/>
      <c r="CG731" s="1261"/>
      <c r="CH731" s="1261"/>
      <c r="CI731" s="1261"/>
      <c r="CJ731" s="1265"/>
      <c r="CK731" s="1264"/>
      <c r="CL731" s="1261"/>
      <c r="CM731" s="1261"/>
      <c r="CN731" s="1261"/>
      <c r="CO731" s="1265"/>
      <c r="CP731" s="1264"/>
      <c r="CQ731" s="1261"/>
      <c r="CR731" s="1261"/>
      <c r="CS731" s="1261"/>
      <c r="CT731" s="1265"/>
      <c r="CU731" s="1266"/>
      <c r="CV731" s="1267"/>
      <c r="CW731" s="1267"/>
      <c r="CX731" s="1268"/>
      <c r="CY731" s="1267"/>
      <c r="CZ731" s="1267"/>
      <c r="DA731" s="1267"/>
      <c r="DB731" s="1268"/>
      <c r="DC731" s="1253"/>
      <c r="DD731" s="1269">
        <v>1</v>
      </c>
      <c r="DE731" s="1270"/>
    </row>
    <row r="732" spans="1:109" ht="13.15" hidden="1">
      <c r="A732" s="1250"/>
      <c r="B732" s="1251"/>
      <c r="C732" s="1252"/>
      <c r="D732" s="1251"/>
      <c r="E732" s="1251"/>
      <c r="F732" s="1253"/>
      <c r="G732" s="1254"/>
      <c r="H732" s="1255"/>
      <c r="I732" s="1256"/>
      <c r="J732" s="1257"/>
      <c r="K732" s="1257"/>
      <c r="L732" s="1257"/>
      <c r="M732" s="1257"/>
      <c r="N732" s="1257"/>
      <c r="O732" s="1257"/>
      <c r="P732" s="1258"/>
      <c r="Q732" s="795">
        <f t="shared" si="11"/>
        <v>0</v>
      </c>
      <c r="R732" s="1252"/>
      <c r="S732" s="1251"/>
      <c r="T732" s="1260"/>
      <c r="U732" s="1251"/>
      <c r="V732" s="1251"/>
      <c r="W732" s="1251"/>
      <c r="X732" s="1261"/>
      <c r="Y732" s="1262"/>
      <c r="Z732" s="1254"/>
      <c r="AA732" s="1253"/>
      <c r="AB732" s="1253"/>
      <c r="AC732" s="1253"/>
      <c r="AD732" s="1253"/>
      <c r="AE732" s="1253"/>
      <c r="AF732" s="1263"/>
      <c r="AG732" s="1261"/>
      <c r="AH732" s="1261"/>
      <c r="AI732" s="1261"/>
      <c r="AJ732" s="1261"/>
      <c r="AK732" s="1261"/>
      <c r="AL732" s="1261"/>
      <c r="AM732" s="1261"/>
      <c r="AN732" s="1261"/>
      <c r="AO732" s="1261"/>
      <c r="AP732" s="1261"/>
      <c r="AQ732" s="1264"/>
      <c r="AR732" s="1261"/>
      <c r="AS732" s="1261"/>
      <c r="AT732" s="1261"/>
      <c r="AU732" s="1265"/>
      <c r="AV732" s="1264"/>
      <c r="AW732" s="1261"/>
      <c r="AX732" s="1261"/>
      <c r="AY732" s="1261"/>
      <c r="AZ732" s="1261"/>
      <c r="BA732" s="1261"/>
      <c r="BB732" s="1261"/>
      <c r="BC732" s="1261"/>
      <c r="BD732" s="1261"/>
      <c r="BE732" s="1261"/>
      <c r="BF732" s="1261"/>
      <c r="BG732" s="1261"/>
      <c r="BH732" s="1261"/>
      <c r="BI732" s="1261"/>
      <c r="BJ732" s="1261"/>
      <c r="BK732" s="1265"/>
      <c r="BL732" s="1252"/>
      <c r="BM732" s="1253"/>
      <c r="BN732" s="1253"/>
      <c r="BO732" s="1253"/>
      <c r="BP732" s="1260"/>
      <c r="BQ732" s="1264"/>
      <c r="BR732" s="1261"/>
      <c r="BS732" s="1261"/>
      <c r="BT732" s="1261"/>
      <c r="BU732" s="1265"/>
      <c r="BV732" s="1264"/>
      <c r="BW732" s="1261"/>
      <c r="BX732" s="1261"/>
      <c r="BY732" s="1261"/>
      <c r="BZ732" s="1261"/>
      <c r="CA732" s="1264"/>
      <c r="CB732" s="1261"/>
      <c r="CC732" s="1261"/>
      <c r="CD732" s="1261"/>
      <c r="CE732" s="1265"/>
      <c r="CF732" s="1261"/>
      <c r="CG732" s="1261"/>
      <c r="CH732" s="1261"/>
      <c r="CI732" s="1261"/>
      <c r="CJ732" s="1265"/>
      <c r="CK732" s="1264"/>
      <c r="CL732" s="1261"/>
      <c r="CM732" s="1261"/>
      <c r="CN732" s="1261"/>
      <c r="CO732" s="1265"/>
      <c r="CP732" s="1264"/>
      <c r="CQ732" s="1261"/>
      <c r="CR732" s="1261"/>
      <c r="CS732" s="1261"/>
      <c r="CT732" s="1265"/>
      <c r="CU732" s="1266"/>
      <c r="CV732" s="1267"/>
      <c r="CW732" s="1267"/>
      <c r="CX732" s="1268"/>
      <c r="CY732" s="1267"/>
      <c r="CZ732" s="1267"/>
      <c r="DA732" s="1267"/>
      <c r="DB732" s="1268"/>
      <c r="DC732" s="1253"/>
      <c r="DD732" s="1269">
        <v>1</v>
      </c>
      <c r="DE732" s="1270"/>
    </row>
    <row r="733" spans="1:109" ht="13.15" hidden="1">
      <c r="A733" s="1250"/>
      <c r="B733" s="1251"/>
      <c r="C733" s="1252"/>
      <c r="D733" s="1251"/>
      <c r="E733" s="1251"/>
      <c r="F733" s="1253"/>
      <c r="G733" s="1254"/>
      <c r="H733" s="1255"/>
      <c r="I733" s="1256"/>
      <c r="J733" s="1257"/>
      <c r="K733" s="1257"/>
      <c r="L733" s="1257"/>
      <c r="M733" s="1257"/>
      <c r="N733" s="1257"/>
      <c r="O733" s="1257"/>
      <c r="P733" s="1258"/>
      <c r="Q733" s="795">
        <f t="shared" si="11"/>
        <v>0</v>
      </c>
      <c r="R733" s="1252"/>
      <c r="S733" s="1251"/>
      <c r="T733" s="1260"/>
      <c r="U733" s="1251"/>
      <c r="V733" s="1251"/>
      <c r="W733" s="1251"/>
      <c r="X733" s="1261"/>
      <c r="Y733" s="1262"/>
      <c r="Z733" s="1254"/>
      <c r="AA733" s="1253"/>
      <c r="AB733" s="1253"/>
      <c r="AC733" s="1253"/>
      <c r="AD733" s="1253"/>
      <c r="AE733" s="1253"/>
      <c r="AF733" s="1263"/>
      <c r="AG733" s="1261"/>
      <c r="AH733" s="1261"/>
      <c r="AI733" s="1261"/>
      <c r="AJ733" s="1261"/>
      <c r="AK733" s="1261"/>
      <c r="AL733" s="1261"/>
      <c r="AM733" s="1261"/>
      <c r="AN733" s="1261"/>
      <c r="AO733" s="1261"/>
      <c r="AP733" s="1261"/>
      <c r="AQ733" s="1264"/>
      <c r="AR733" s="1261"/>
      <c r="AS733" s="1261"/>
      <c r="AT733" s="1261"/>
      <c r="AU733" s="1265"/>
      <c r="AV733" s="1264"/>
      <c r="AW733" s="1261"/>
      <c r="AX733" s="1261"/>
      <c r="AY733" s="1261"/>
      <c r="AZ733" s="1261"/>
      <c r="BA733" s="1261"/>
      <c r="BB733" s="1261"/>
      <c r="BC733" s="1261"/>
      <c r="BD733" s="1261"/>
      <c r="BE733" s="1261"/>
      <c r="BF733" s="1261"/>
      <c r="BG733" s="1261"/>
      <c r="BH733" s="1261"/>
      <c r="BI733" s="1261"/>
      <c r="BJ733" s="1261"/>
      <c r="BK733" s="1265"/>
      <c r="BL733" s="1252"/>
      <c r="BM733" s="1253"/>
      <c r="BN733" s="1253"/>
      <c r="BO733" s="1253"/>
      <c r="BP733" s="1260"/>
      <c r="BQ733" s="1264"/>
      <c r="BR733" s="1261"/>
      <c r="BS733" s="1261"/>
      <c r="BT733" s="1261"/>
      <c r="BU733" s="1265"/>
      <c r="BV733" s="1264"/>
      <c r="BW733" s="1261"/>
      <c r="BX733" s="1261"/>
      <c r="BY733" s="1261"/>
      <c r="BZ733" s="1261"/>
      <c r="CA733" s="1264"/>
      <c r="CB733" s="1261"/>
      <c r="CC733" s="1261"/>
      <c r="CD733" s="1261"/>
      <c r="CE733" s="1265"/>
      <c r="CF733" s="1261"/>
      <c r="CG733" s="1261"/>
      <c r="CH733" s="1261"/>
      <c r="CI733" s="1261"/>
      <c r="CJ733" s="1265"/>
      <c r="CK733" s="1264"/>
      <c r="CL733" s="1261"/>
      <c r="CM733" s="1261"/>
      <c r="CN733" s="1261"/>
      <c r="CO733" s="1265"/>
      <c r="CP733" s="1264"/>
      <c r="CQ733" s="1261"/>
      <c r="CR733" s="1261"/>
      <c r="CS733" s="1261"/>
      <c r="CT733" s="1265"/>
      <c r="CU733" s="1266"/>
      <c r="CV733" s="1267"/>
      <c r="CW733" s="1267"/>
      <c r="CX733" s="1268"/>
      <c r="CY733" s="1267"/>
      <c r="CZ733" s="1267"/>
      <c r="DA733" s="1267"/>
      <c r="DB733" s="1268"/>
      <c r="DC733" s="1253"/>
      <c r="DD733" s="1269">
        <v>1</v>
      </c>
      <c r="DE733" s="1270"/>
    </row>
    <row r="734" spans="1:109" ht="13.15" hidden="1">
      <c r="A734" s="1250"/>
      <c r="B734" s="1251"/>
      <c r="C734" s="1252"/>
      <c r="D734" s="1251"/>
      <c r="E734" s="1251"/>
      <c r="F734" s="1253"/>
      <c r="G734" s="1254"/>
      <c r="H734" s="1255"/>
      <c r="I734" s="1256"/>
      <c r="J734" s="1257"/>
      <c r="K734" s="1257"/>
      <c r="L734" s="1257"/>
      <c r="M734" s="1257"/>
      <c r="N734" s="1257"/>
      <c r="O734" s="1257"/>
      <c r="P734" s="1258"/>
      <c r="Q734" s="795">
        <f t="shared" si="11"/>
        <v>0</v>
      </c>
      <c r="R734" s="1252"/>
      <c r="S734" s="1251"/>
      <c r="T734" s="1260"/>
      <c r="U734" s="1251"/>
      <c r="V734" s="1251"/>
      <c r="W734" s="1251"/>
      <c r="X734" s="1261"/>
      <c r="Y734" s="1262"/>
      <c r="Z734" s="1254"/>
      <c r="AA734" s="1253"/>
      <c r="AB734" s="1253"/>
      <c r="AC734" s="1253"/>
      <c r="AD734" s="1253"/>
      <c r="AE734" s="1253"/>
      <c r="AF734" s="1263"/>
      <c r="AG734" s="1261"/>
      <c r="AH734" s="1261"/>
      <c r="AI734" s="1261"/>
      <c r="AJ734" s="1261"/>
      <c r="AK734" s="1261"/>
      <c r="AL734" s="1261"/>
      <c r="AM734" s="1261"/>
      <c r="AN734" s="1261"/>
      <c r="AO734" s="1261"/>
      <c r="AP734" s="1261"/>
      <c r="AQ734" s="1264"/>
      <c r="AR734" s="1261"/>
      <c r="AS734" s="1261"/>
      <c r="AT734" s="1261"/>
      <c r="AU734" s="1265"/>
      <c r="AV734" s="1264"/>
      <c r="AW734" s="1261"/>
      <c r="AX734" s="1261"/>
      <c r="AY734" s="1261"/>
      <c r="AZ734" s="1261"/>
      <c r="BA734" s="1261"/>
      <c r="BB734" s="1261"/>
      <c r="BC734" s="1261"/>
      <c r="BD734" s="1261"/>
      <c r="BE734" s="1261"/>
      <c r="BF734" s="1261"/>
      <c r="BG734" s="1261"/>
      <c r="BH734" s="1261"/>
      <c r="BI734" s="1261"/>
      <c r="BJ734" s="1261"/>
      <c r="BK734" s="1265"/>
      <c r="BL734" s="1252"/>
      <c r="BM734" s="1253"/>
      <c r="BN734" s="1253"/>
      <c r="BO734" s="1253"/>
      <c r="BP734" s="1260"/>
      <c r="BQ734" s="1264"/>
      <c r="BR734" s="1261"/>
      <c r="BS734" s="1261"/>
      <c r="BT734" s="1261"/>
      <c r="BU734" s="1265"/>
      <c r="BV734" s="1264"/>
      <c r="BW734" s="1261"/>
      <c r="BX734" s="1261"/>
      <c r="BY734" s="1261"/>
      <c r="BZ734" s="1261"/>
      <c r="CA734" s="1264"/>
      <c r="CB734" s="1261"/>
      <c r="CC734" s="1261"/>
      <c r="CD734" s="1261"/>
      <c r="CE734" s="1265"/>
      <c r="CF734" s="1261"/>
      <c r="CG734" s="1261"/>
      <c r="CH734" s="1261"/>
      <c r="CI734" s="1261"/>
      <c r="CJ734" s="1265"/>
      <c r="CK734" s="1264"/>
      <c r="CL734" s="1261"/>
      <c r="CM734" s="1261"/>
      <c r="CN734" s="1261"/>
      <c r="CO734" s="1265"/>
      <c r="CP734" s="1264"/>
      <c r="CQ734" s="1261"/>
      <c r="CR734" s="1261"/>
      <c r="CS734" s="1261"/>
      <c r="CT734" s="1265"/>
      <c r="CU734" s="1266"/>
      <c r="CV734" s="1267"/>
      <c r="CW734" s="1267"/>
      <c r="CX734" s="1268"/>
      <c r="CY734" s="1267"/>
      <c r="CZ734" s="1267"/>
      <c r="DA734" s="1267"/>
      <c r="DB734" s="1268"/>
      <c r="DC734" s="1253"/>
      <c r="DD734" s="1269">
        <v>1</v>
      </c>
      <c r="DE734" s="1270"/>
    </row>
    <row r="735" spans="1:109" ht="13.15" hidden="1">
      <c r="A735" s="1250"/>
      <c r="B735" s="1251"/>
      <c r="C735" s="1252"/>
      <c r="D735" s="1251"/>
      <c r="E735" s="1251"/>
      <c r="F735" s="1253"/>
      <c r="G735" s="1254"/>
      <c r="H735" s="1255"/>
      <c r="I735" s="1256"/>
      <c r="J735" s="1257"/>
      <c r="K735" s="1257"/>
      <c r="L735" s="1257"/>
      <c r="M735" s="1257"/>
      <c r="N735" s="1257"/>
      <c r="O735" s="1257"/>
      <c r="P735" s="1258"/>
      <c r="Q735" s="795">
        <f t="shared" si="11"/>
        <v>0</v>
      </c>
      <c r="R735" s="1252"/>
      <c r="S735" s="1251"/>
      <c r="T735" s="1260"/>
      <c r="U735" s="1251"/>
      <c r="V735" s="1251"/>
      <c r="W735" s="1251"/>
      <c r="X735" s="1261"/>
      <c r="Y735" s="1262"/>
      <c r="Z735" s="1254"/>
      <c r="AA735" s="1253"/>
      <c r="AB735" s="1253"/>
      <c r="AC735" s="1253"/>
      <c r="AD735" s="1253"/>
      <c r="AE735" s="1253"/>
      <c r="AF735" s="1263"/>
      <c r="AG735" s="1261"/>
      <c r="AH735" s="1261"/>
      <c r="AI735" s="1261"/>
      <c r="AJ735" s="1261"/>
      <c r="AK735" s="1261"/>
      <c r="AL735" s="1261"/>
      <c r="AM735" s="1261"/>
      <c r="AN735" s="1261"/>
      <c r="AO735" s="1261"/>
      <c r="AP735" s="1261"/>
      <c r="AQ735" s="1264"/>
      <c r="AR735" s="1261"/>
      <c r="AS735" s="1261"/>
      <c r="AT735" s="1261"/>
      <c r="AU735" s="1265"/>
      <c r="AV735" s="1264"/>
      <c r="AW735" s="1261"/>
      <c r="AX735" s="1261"/>
      <c r="AY735" s="1261"/>
      <c r="AZ735" s="1261"/>
      <c r="BA735" s="1261"/>
      <c r="BB735" s="1261"/>
      <c r="BC735" s="1261"/>
      <c r="BD735" s="1261"/>
      <c r="BE735" s="1261"/>
      <c r="BF735" s="1261"/>
      <c r="BG735" s="1261"/>
      <c r="BH735" s="1261"/>
      <c r="BI735" s="1261"/>
      <c r="BJ735" s="1261"/>
      <c r="BK735" s="1265"/>
      <c r="BL735" s="1252"/>
      <c r="BM735" s="1253"/>
      <c r="BN735" s="1253"/>
      <c r="BO735" s="1253"/>
      <c r="BP735" s="1260"/>
      <c r="BQ735" s="1264"/>
      <c r="BR735" s="1261"/>
      <c r="BS735" s="1261"/>
      <c r="BT735" s="1261"/>
      <c r="BU735" s="1265"/>
      <c r="BV735" s="1264"/>
      <c r="BW735" s="1261"/>
      <c r="BX735" s="1261"/>
      <c r="BY735" s="1261"/>
      <c r="BZ735" s="1261"/>
      <c r="CA735" s="1264"/>
      <c r="CB735" s="1261"/>
      <c r="CC735" s="1261"/>
      <c r="CD735" s="1261"/>
      <c r="CE735" s="1265"/>
      <c r="CF735" s="1261"/>
      <c r="CG735" s="1261"/>
      <c r="CH735" s="1261"/>
      <c r="CI735" s="1261"/>
      <c r="CJ735" s="1265"/>
      <c r="CK735" s="1264"/>
      <c r="CL735" s="1261"/>
      <c r="CM735" s="1261"/>
      <c r="CN735" s="1261"/>
      <c r="CO735" s="1265"/>
      <c r="CP735" s="1264"/>
      <c r="CQ735" s="1261"/>
      <c r="CR735" s="1261"/>
      <c r="CS735" s="1261"/>
      <c r="CT735" s="1265"/>
      <c r="CU735" s="1266"/>
      <c r="CV735" s="1267"/>
      <c r="CW735" s="1267"/>
      <c r="CX735" s="1268"/>
      <c r="CY735" s="1267"/>
      <c r="CZ735" s="1267"/>
      <c r="DA735" s="1267"/>
      <c r="DB735" s="1268"/>
      <c r="DC735" s="1253"/>
      <c r="DD735" s="1269">
        <v>1</v>
      </c>
      <c r="DE735" s="1270"/>
    </row>
    <row r="736" spans="1:109" ht="13.15" hidden="1">
      <c r="A736" s="1250"/>
      <c r="B736" s="1251"/>
      <c r="C736" s="1252"/>
      <c r="D736" s="1251"/>
      <c r="E736" s="1251"/>
      <c r="F736" s="1253"/>
      <c r="G736" s="1254"/>
      <c r="H736" s="1255"/>
      <c r="I736" s="1256"/>
      <c r="J736" s="1257"/>
      <c r="K736" s="1257"/>
      <c r="L736" s="1257"/>
      <c r="M736" s="1257"/>
      <c r="N736" s="1257"/>
      <c r="O736" s="1257"/>
      <c r="P736" s="1258"/>
      <c r="Q736" s="795">
        <f t="shared" si="11"/>
        <v>0</v>
      </c>
      <c r="R736" s="1252"/>
      <c r="S736" s="1251"/>
      <c r="T736" s="1260"/>
      <c r="U736" s="1251"/>
      <c r="V736" s="1251"/>
      <c r="W736" s="1251"/>
      <c r="X736" s="1261"/>
      <c r="Y736" s="1262"/>
      <c r="Z736" s="1254"/>
      <c r="AA736" s="1253"/>
      <c r="AB736" s="1253"/>
      <c r="AC736" s="1253"/>
      <c r="AD736" s="1253"/>
      <c r="AE736" s="1253"/>
      <c r="AF736" s="1263"/>
      <c r="AG736" s="1261"/>
      <c r="AH736" s="1261"/>
      <c r="AI736" s="1261"/>
      <c r="AJ736" s="1261"/>
      <c r="AK736" s="1261"/>
      <c r="AL736" s="1261"/>
      <c r="AM736" s="1261"/>
      <c r="AN736" s="1261"/>
      <c r="AO736" s="1261"/>
      <c r="AP736" s="1261"/>
      <c r="AQ736" s="1264"/>
      <c r="AR736" s="1261"/>
      <c r="AS736" s="1261"/>
      <c r="AT736" s="1261"/>
      <c r="AU736" s="1265"/>
      <c r="AV736" s="1264"/>
      <c r="AW736" s="1261"/>
      <c r="AX736" s="1261"/>
      <c r="AY736" s="1261"/>
      <c r="AZ736" s="1261"/>
      <c r="BA736" s="1261"/>
      <c r="BB736" s="1261"/>
      <c r="BC736" s="1261"/>
      <c r="BD736" s="1261"/>
      <c r="BE736" s="1261"/>
      <c r="BF736" s="1261"/>
      <c r="BG736" s="1261"/>
      <c r="BH736" s="1261"/>
      <c r="BI736" s="1261"/>
      <c r="BJ736" s="1261"/>
      <c r="BK736" s="1265"/>
      <c r="BL736" s="1252"/>
      <c r="BM736" s="1253"/>
      <c r="BN736" s="1253"/>
      <c r="BO736" s="1253"/>
      <c r="BP736" s="1260"/>
      <c r="BQ736" s="1264"/>
      <c r="BR736" s="1261"/>
      <c r="BS736" s="1261"/>
      <c r="BT736" s="1261"/>
      <c r="BU736" s="1265"/>
      <c r="BV736" s="1264"/>
      <c r="BW736" s="1261"/>
      <c r="BX736" s="1261"/>
      <c r="BY736" s="1261"/>
      <c r="BZ736" s="1261"/>
      <c r="CA736" s="1264"/>
      <c r="CB736" s="1261"/>
      <c r="CC736" s="1261"/>
      <c r="CD736" s="1261"/>
      <c r="CE736" s="1265"/>
      <c r="CF736" s="1261"/>
      <c r="CG736" s="1261"/>
      <c r="CH736" s="1261"/>
      <c r="CI736" s="1261"/>
      <c r="CJ736" s="1265"/>
      <c r="CK736" s="1264"/>
      <c r="CL736" s="1261"/>
      <c r="CM736" s="1261"/>
      <c r="CN736" s="1261"/>
      <c r="CO736" s="1265"/>
      <c r="CP736" s="1264"/>
      <c r="CQ736" s="1261"/>
      <c r="CR736" s="1261"/>
      <c r="CS736" s="1261"/>
      <c r="CT736" s="1265"/>
      <c r="CU736" s="1266"/>
      <c r="CV736" s="1267"/>
      <c r="CW736" s="1267"/>
      <c r="CX736" s="1268"/>
      <c r="CY736" s="1267"/>
      <c r="CZ736" s="1267"/>
      <c r="DA736" s="1267"/>
      <c r="DB736" s="1268"/>
      <c r="DC736" s="1253"/>
      <c r="DD736" s="1269">
        <v>1</v>
      </c>
      <c r="DE736" s="1270"/>
    </row>
    <row r="737" spans="1:109" ht="13.15" hidden="1">
      <c r="A737" s="1250"/>
      <c r="B737" s="1251"/>
      <c r="C737" s="1252"/>
      <c r="D737" s="1251"/>
      <c r="E737" s="1251"/>
      <c r="F737" s="1253"/>
      <c r="G737" s="1254"/>
      <c r="H737" s="1255"/>
      <c r="I737" s="1256"/>
      <c r="J737" s="1257"/>
      <c r="K737" s="1257"/>
      <c r="L737" s="1257"/>
      <c r="M737" s="1257"/>
      <c r="N737" s="1257"/>
      <c r="O737" s="1257"/>
      <c r="P737" s="1258"/>
      <c r="Q737" s="795">
        <f t="shared" si="11"/>
        <v>0</v>
      </c>
      <c r="R737" s="1252"/>
      <c r="S737" s="1251"/>
      <c r="T737" s="1260"/>
      <c r="U737" s="1251"/>
      <c r="V737" s="1251"/>
      <c r="W737" s="1251"/>
      <c r="X737" s="1261"/>
      <c r="Y737" s="1262"/>
      <c r="Z737" s="1254"/>
      <c r="AA737" s="1253"/>
      <c r="AB737" s="1253"/>
      <c r="AC737" s="1253"/>
      <c r="AD737" s="1253"/>
      <c r="AE737" s="1253"/>
      <c r="AF737" s="1263"/>
      <c r="AG737" s="1261"/>
      <c r="AH737" s="1261"/>
      <c r="AI737" s="1261"/>
      <c r="AJ737" s="1261"/>
      <c r="AK737" s="1261"/>
      <c r="AL737" s="1261"/>
      <c r="AM737" s="1261"/>
      <c r="AN737" s="1261"/>
      <c r="AO737" s="1261"/>
      <c r="AP737" s="1261"/>
      <c r="AQ737" s="1264"/>
      <c r="AR737" s="1261"/>
      <c r="AS737" s="1261"/>
      <c r="AT737" s="1261"/>
      <c r="AU737" s="1265"/>
      <c r="AV737" s="1264"/>
      <c r="AW737" s="1261"/>
      <c r="AX737" s="1261"/>
      <c r="AY737" s="1261"/>
      <c r="AZ737" s="1261"/>
      <c r="BA737" s="1261"/>
      <c r="BB737" s="1261"/>
      <c r="BC737" s="1261"/>
      <c r="BD737" s="1261"/>
      <c r="BE737" s="1261"/>
      <c r="BF737" s="1261"/>
      <c r="BG737" s="1261"/>
      <c r="BH737" s="1261"/>
      <c r="BI737" s="1261"/>
      <c r="BJ737" s="1261"/>
      <c r="BK737" s="1265"/>
      <c r="BL737" s="1252"/>
      <c r="BM737" s="1253"/>
      <c r="BN737" s="1253"/>
      <c r="BO737" s="1253"/>
      <c r="BP737" s="1260"/>
      <c r="BQ737" s="1264"/>
      <c r="BR737" s="1261"/>
      <c r="BS737" s="1261"/>
      <c r="BT737" s="1261"/>
      <c r="BU737" s="1265"/>
      <c r="BV737" s="1264"/>
      <c r="BW737" s="1261"/>
      <c r="BX737" s="1261"/>
      <c r="BY737" s="1261"/>
      <c r="BZ737" s="1261"/>
      <c r="CA737" s="1264"/>
      <c r="CB737" s="1261"/>
      <c r="CC737" s="1261"/>
      <c r="CD737" s="1261"/>
      <c r="CE737" s="1265"/>
      <c r="CF737" s="1261"/>
      <c r="CG737" s="1261"/>
      <c r="CH737" s="1261"/>
      <c r="CI737" s="1261"/>
      <c r="CJ737" s="1265"/>
      <c r="CK737" s="1264"/>
      <c r="CL737" s="1261"/>
      <c r="CM737" s="1261"/>
      <c r="CN737" s="1261"/>
      <c r="CO737" s="1265"/>
      <c r="CP737" s="1264"/>
      <c r="CQ737" s="1261"/>
      <c r="CR737" s="1261"/>
      <c r="CS737" s="1261"/>
      <c r="CT737" s="1265"/>
      <c r="CU737" s="1266"/>
      <c r="CV737" s="1267"/>
      <c r="CW737" s="1267"/>
      <c r="CX737" s="1268"/>
      <c r="CY737" s="1267"/>
      <c r="CZ737" s="1267"/>
      <c r="DA737" s="1267"/>
      <c r="DB737" s="1268"/>
      <c r="DC737" s="1253"/>
      <c r="DD737" s="1269">
        <v>1</v>
      </c>
      <c r="DE737" s="1270"/>
    </row>
    <row r="738" spans="1:109" ht="13.15" hidden="1">
      <c r="A738" s="1250"/>
      <c r="B738" s="1251"/>
      <c r="C738" s="1252"/>
      <c r="D738" s="1251"/>
      <c r="E738" s="1251"/>
      <c r="F738" s="1253"/>
      <c r="G738" s="1254"/>
      <c r="H738" s="1255"/>
      <c r="I738" s="1256"/>
      <c r="J738" s="1257"/>
      <c r="K738" s="1257"/>
      <c r="L738" s="1257"/>
      <c r="M738" s="1257"/>
      <c r="N738" s="1257"/>
      <c r="O738" s="1257"/>
      <c r="P738" s="1258"/>
      <c r="Q738" s="795">
        <f t="shared" si="11"/>
        <v>0</v>
      </c>
      <c r="R738" s="1252"/>
      <c r="S738" s="1251"/>
      <c r="T738" s="1260"/>
      <c r="U738" s="1251"/>
      <c r="V738" s="1251"/>
      <c r="W738" s="1251"/>
      <c r="X738" s="1261"/>
      <c r="Y738" s="1262"/>
      <c r="Z738" s="1254"/>
      <c r="AA738" s="1253"/>
      <c r="AB738" s="1253"/>
      <c r="AC738" s="1253"/>
      <c r="AD738" s="1253"/>
      <c r="AE738" s="1253"/>
      <c r="AF738" s="1263"/>
      <c r="AG738" s="1261"/>
      <c r="AH738" s="1261"/>
      <c r="AI738" s="1261"/>
      <c r="AJ738" s="1261"/>
      <c r="AK738" s="1261"/>
      <c r="AL738" s="1261"/>
      <c r="AM738" s="1261"/>
      <c r="AN738" s="1261"/>
      <c r="AO738" s="1261"/>
      <c r="AP738" s="1261"/>
      <c r="AQ738" s="1264"/>
      <c r="AR738" s="1261"/>
      <c r="AS738" s="1261"/>
      <c r="AT738" s="1261"/>
      <c r="AU738" s="1265"/>
      <c r="AV738" s="1264"/>
      <c r="AW738" s="1261"/>
      <c r="AX738" s="1261"/>
      <c r="AY738" s="1261"/>
      <c r="AZ738" s="1261"/>
      <c r="BA738" s="1261"/>
      <c r="BB738" s="1261"/>
      <c r="BC738" s="1261"/>
      <c r="BD738" s="1261"/>
      <c r="BE738" s="1261"/>
      <c r="BF738" s="1261"/>
      <c r="BG738" s="1261"/>
      <c r="BH738" s="1261"/>
      <c r="BI738" s="1261"/>
      <c r="BJ738" s="1261"/>
      <c r="BK738" s="1265"/>
      <c r="BL738" s="1252"/>
      <c r="BM738" s="1253"/>
      <c r="BN738" s="1253"/>
      <c r="BO738" s="1253"/>
      <c r="BP738" s="1260"/>
      <c r="BQ738" s="1264"/>
      <c r="BR738" s="1261"/>
      <c r="BS738" s="1261"/>
      <c r="BT738" s="1261"/>
      <c r="BU738" s="1265"/>
      <c r="BV738" s="1264"/>
      <c r="BW738" s="1261"/>
      <c r="BX738" s="1261"/>
      <c r="BY738" s="1261"/>
      <c r="BZ738" s="1261"/>
      <c r="CA738" s="1264"/>
      <c r="CB738" s="1261"/>
      <c r="CC738" s="1261"/>
      <c r="CD738" s="1261"/>
      <c r="CE738" s="1265"/>
      <c r="CF738" s="1261"/>
      <c r="CG738" s="1261"/>
      <c r="CH738" s="1261"/>
      <c r="CI738" s="1261"/>
      <c r="CJ738" s="1265"/>
      <c r="CK738" s="1264"/>
      <c r="CL738" s="1261"/>
      <c r="CM738" s="1261"/>
      <c r="CN738" s="1261"/>
      <c r="CO738" s="1265"/>
      <c r="CP738" s="1264"/>
      <c r="CQ738" s="1261"/>
      <c r="CR738" s="1261"/>
      <c r="CS738" s="1261"/>
      <c r="CT738" s="1265"/>
      <c r="CU738" s="1266"/>
      <c r="CV738" s="1267"/>
      <c r="CW738" s="1267"/>
      <c r="CX738" s="1268"/>
      <c r="CY738" s="1267"/>
      <c r="CZ738" s="1267"/>
      <c r="DA738" s="1267"/>
      <c r="DB738" s="1268"/>
      <c r="DC738" s="1253"/>
      <c r="DD738" s="1269">
        <v>1</v>
      </c>
      <c r="DE738" s="1270"/>
    </row>
    <row r="739" spans="1:109" ht="13.15" hidden="1">
      <c r="A739" s="1250"/>
      <c r="B739" s="1251"/>
      <c r="C739" s="1252"/>
      <c r="D739" s="1251"/>
      <c r="E739" s="1251"/>
      <c r="F739" s="1253"/>
      <c r="G739" s="1254"/>
      <c r="H739" s="1255"/>
      <c r="I739" s="1256"/>
      <c r="J739" s="1257"/>
      <c r="K739" s="1257"/>
      <c r="L739" s="1257"/>
      <c r="M739" s="1257"/>
      <c r="N739" s="1257"/>
      <c r="O739" s="1257"/>
      <c r="P739" s="1258"/>
      <c r="Q739" s="795">
        <f t="shared" si="11"/>
        <v>0</v>
      </c>
      <c r="R739" s="1252"/>
      <c r="S739" s="1251"/>
      <c r="T739" s="1260"/>
      <c r="U739" s="1251"/>
      <c r="V739" s="1251"/>
      <c r="W739" s="1251"/>
      <c r="X739" s="1261"/>
      <c r="Y739" s="1262"/>
      <c r="Z739" s="1254"/>
      <c r="AA739" s="1253"/>
      <c r="AB739" s="1253"/>
      <c r="AC739" s="1253"/>
      <c r="AD739" s="1253"/>
      <c r="AE739" s="1253"/>
      <c r="AF739" s="1263"/>
      <c r="AG739" s="1261"/>
      <c r="AH739" s="1261"/>
      <c r="AI739" s="1261"/>
      <c r="AJ739" s="1261"/>
      <c r="AK739" s="1261"/>
      <c r="AL739" s="1261"/>
      <c r="AM739" s="1261"/>
      <c r="AN739" s="1261"/>
      <c r="AO739" s="1261"/>
      <c r="AP739" s="1261"/>
      <c r="AQ739" s="1264"/>
      <c r="AR739" s="1261"/>
      <c r="AS739" s="1261"/>
      <c r="AT739" s="1261"/>
      <c r="AU739" s="1265"/>
      <c r="AV739" s="1264"/>
      <c r="AW739" s="1261"/>
      <c r="AX739" s="1261"/>
      <c r="AY739" s="1261"/>
      <c r="AZ739" s="1261"/>
      <c r="BA739" s="1261"/>
      <c r="BB739" s="1261"/>
      <c r="BC739" s="1261"/>
      <c r="BD739" s="1261"/>
      <c r="BE739" s="1261"/>
      <c r="BF739" s="1261"/>
      <c r="BG739" s="1261"/>
      <c r="BH739" s="1261"/>
      <c r="BI739" s="1261"/>
      <c r="BJ739" s="1261"/>
      <c r="BK739" s="1265"/>
      <c r="BL739" s="1252"/>
      <c r="BM739" s="1253"/>
      <c r="BN739" s="1253"/>
      <c r="BO739" s="1253"/>
      <c r="BP739" s="1260"/>
      <c r="BQ739" s="1264"/>
      <c r="BR739" s="1261"/>
      <c r="BS739" s="1261"/>
      <c r="BT739" s="1261"/>
      <c r="BU739" s="1265"/>
      <c r="BV739" s="1264"/>
      <c r="BW739" s="1261"/>
      <c r="BX739" s="1261"/>
      <c r="BY739" s="1261"/>
      <c r="BZ739" s="1261"/>
      <c r="CA739" s="1264"/>
      <c r="CB739" s="1261"/>
      <c r="CC739" s="1261"/>
      <c r="CD739" s="1261"/>
      <c r="CE739" s="1265"/>
      <c r="CF739" s="1261"/>
      <c r="CG739" s="1261"/>
      <c r="CH739" s="1261"/>
      <c r="CI739" s="1261"/>
      <c r="CJ739" s="1265"/>
      <c r="CK739" s="1264"/>
      <c r="CL739" s="1261"/>
      <c r="CM739" s="1261"/>
      <c r="CN739" s="1261"/>
      <c r="CO739" s="1265"/>
      <c r="CP739" s="1264"/>
      <c r="CQ739" s="1261"/>
      <c r="CR739" s="1261"/>
      <c r="CS739" s="1261"/>
      <c r="CT739" s="1265"/>
      <c r="CU739" s="1266"/>
      <c r="CV739" s="1267"/>
      <c r="CW739" s="1267"/>
      <c r="CX739" s="1268"/>
      <c r="CY739" s="1267"/>
      <c r="CZ739" s="1267"/>
      <c r="DA739" s="1267"/>
      <c r="DB739" s="1268"/>
      <c r="DC739" s="1253"/>
      <c r="DD739" s="1269">
        <v>1</v>
      </c>
      <c r="DE739" s="1270"/>
    </row>
    <row r="740" spans="1:109" ht="13.15" hidden="1">
      <c r="A740" s="1250"/>
      <c r="B740" s="1251"/>
      <c r="C740" s="1252"/>
      <c r="D740" s="1251"/>
      <c r="E740" s="1251"/>
      <c r="F740" s="1253"/>
      <c r="G740" s="1254"/>
      <c r="H740" s="1255"/>
      <c r="I740" s="1256"/>
      <c r="J740" s="1257"/>
      <c r="K740" s="1257"/>
      <c r="L740" s="1257"/>
      <c r="M740" s="1257"/>
      <c r="N740" s="1257"/>
      <c r="O740" s="1257"/>
      <c r="P740" s="1258"/>
      <c r="Q740" s="795">
        <f t="shared" si="11"/>
        <v>0</v>
      </c>
      <c r="R740" s="1252"/>
      <c r="S740" s="1251"/>
      <c r="T740" s="1260"/>
      <c r="U740" s="1251"/>
      <c r="V740" s="1251"/>
      <c r="W740" s="1251"/>
      <c r="X740" s="1261"/>
      <c r="Y740" s="1262"/>
      <c r="Z740" s="1254"/>
      <c r="AA740" s="1253"/>
      <c r="AB740" s="1253"/>
      <c r="AC740" s="1253"/>
      <c r="AD740" s="1253"/>
      <c r="AE740" s="1253"/>
      <c r="AF740" s="1263"/>
      <c r="AG740" s="1261"/>
      <c r="AH740" s="1261"/>
      <c r="AI740" s="1261"/>
      <c r="AJ740" s="1261"/>
      <c r="AK740" s="1261"/>
      <c r="AL740" s="1261"/>
      <c r="AM740" s="1261"/>
      <c r="AN740" s="1261"/>
      <c r="AO740" s="1261"/>
      <c r="AP740" s="1261"/>
      <c r="AQ740" s="1264"/>
      <c r="AR740" s="1261"/>
      <c r="AS740" s="1261"/>
      <c r="AT740" s="1261"/>
      <c r="AU740" s="1265"/>
      <c r="AV740" s="1264"/>
      <c r="AW740" s="1261"/>
      <c r="AX740" s="1261"/>
      <c r="AY740" s="1261"/>
      <c r="AZ740" s="1261"/>
      <c r="BA740" s="1261"/>
      <c r="BB740" s="1261"/>
      <c r="BC740" s="1261"/>
      <c r="BD740" s="1261"/>
      <c r="BE740" s="1261"/>
      <c r="BF740" s="1261"/>
      <c r="BG740" s="1261"/>
      <c r="BH740" s="1261"/>
      <c r="BI740" s="1261"/>
      <c r="BJ740" s="1261"/>
      <c r="BK740" s="1265"/>
      <c r="BL740" s="1252"/>
      <c r="BM740" s="1253"/>
      <c r="BN740" s="1253"/>
      <c r="BO740" s="1253"/>
      <c r="BP740" s="1260"/>
      <c r="BQ740" s="1264"/>
      <c r="BR740" s="1261"/>
      <c r="BS740" s="1261"/>
      <c r="BT740" s="1261"/>
      <c r="BU740" s="1265"/>
      <c r="BV740" s="1264"/>
      <c r="BW740" s="1261"/>
      <c r="BX740" s="1261"/>
      <c r="BY740" s="1261"/>
      <c r="BZ740" s="1261"/>
      <c r="CA740" s="1264"/>
      <c r="CB740" s="1261"/>
      <c r="CC740" s="1261"/>
      <c r="CD740" s="1261"/>
      <c r="CE740" s="1265"/>
      <c r="CF740" s="1261"/>
      <c r="CG740" s="1261"/>
      <c r="CH740" s="1261"/>
      <c r="CI740" s="1261"/>
      <c r="CJ740" s="1265"/>
      <c r="CK740" s="1264"/>
      <c r="CL740" s="1261"/>
      <c r="CM740" s="1261"/>
      <c r="CN740" s="1261"/>
      <c r="CO740" s="1265"/>
      <c r="CP740" s="1264"/>
      <c r="CQ740" s="1261"/>
      <c r="CR740" s="1261"/>
      <c r="CS740" s="1261"/>
      <c r="CT740" s="1265"/>
      <c r="CU740" s="1266"/>
      <c r="CV740" s="1267"/>
      <c r="CW740" s="1267"/>
      <c r="CX740" s="1268"/>
      <c r="CY740" s="1267"/>
      <c r="CZ740" s="1267"/>
      <c r="DA740" s="1267"/>
      <c r="DB740" s="1268"/>
      <c r="DC740" s="1253"/>
      <c r="DD740" s="1269">
        <v>1</v>
      </c>
      <c r="DE740" s="1270"/>
    </row>
    <row r="741" spans="1:109" ht="13.15" hidden="1">
      <c r="A741" s="1250"/>
      <c r="B741" s="1251"/>
      <c r="C741" s="1252"/>
      <c r="D741" s="1251"/>
      <c r="E741" s="1251"/>
      <c r="F741" s="1253"/>
      <c r="G741" s="1254"/>
      <c r="H741" s="1255"/>
      <c r="I741" s="1256"/>
      <c r="J741" s="1257"/>
      <c r="K741" s="1257"/>
      <c r="L741" s="1257"/>
      <c r="M741" s="1257"/>
      <c r="N741" s="1257"/>
      <c r="O741" s="1257"/>
      <c r="P741" s="1258"/>
      <c r="Q741" s="795">
        <f t="shared" si="11"/>
        <v>0</v>
      </c>
      <c r="R741" s="1252"/>
      <c r="S741" s="1251"/>
      <c r="T741" s="1260"/>
      <c r="U741" s="1251"/>
      <c r="V741" s="1251"/>
      <c r="W741" s="1251"/>
      <c r="X741" s="1261"/>
      <c r="Y741" s="1262"/>
      <c r="Z741" s="1254"/>
      <c r="AA741" s="1253"/>
      <c r="AB741" s="1253"/>
      <c r="AC741" s="1253"/>
      <c r="AD741" s="1253"/>
      <c r="AE741" s="1253"/>
      <c r="AF741" s="1263"/>
      <c r="AG741" s="1261"/>
      <c r="AH741" s="1261"/>
      <c r="AI741" s="1261"/>
      <c r="AJ741" s="1261"/>
      <c r="AK741" s="1261"/>
      <c r="AL741" s="1261"/>
      <c r="AM741" s="1261"/>
      <c r="AN741" s="1261"/>
      <c r="AO741" s="1261"/>
      <c r="AP741" s="1261"/>
      <c r="AQ741" s="1264"/>
      <c r="AR741" s="1261"/>
      <c r="AS741" s="1261"/>
      <c r="AT741" s="1261"/>
      <c r="AU741" s="1265"/>
      <c r="AV741" s="1264"/>
      <c r="AW741" s="1261"/>
      <c r="AX741" s="1261"/>
      <c r="AY741" s="1261"/>
      <c r="AZ741" s="1261"/>
      <c r="BA741" s="1261"/>
      <c r="BB741" s="1261"/>
      <c r="BC741" s="1261"/>
      <c r="BD741" s="1261"/>
      <c r="BE741" s="1261"/>
      <c r="BF741" s="1261"/>
      <c r="BG741" s="1261"/>
      <c r="BH741" s="1261"/>
      <c r="BI741" s="1261"/>
      <c r="BJ741" s="1261"/>
      <c r="BK741" s="1265"/>
      <c r="BL741" s="1252"/>
      <c r="BM741" s="1253"/>
      <c r="BN741" s="1253"/>
      <c r="BO741" s="1253"/>
      <c r="BP741" s="1260"/>
      <c r="BQ741" s="1264"/>
      <c r="BR741" s="1261"/>
      <c r="BS741" s="1261"/>
      <c r="BT741" s="1261"/>
      <c r="BU741" s="1265"/>
      <c r="BV741" s="1264"/>
      <c r="BW741" s="1261"/>
      <c r="BX741" s="1261"/>
      <c r="BY741" s="1261"/>
      <c r="BZ741" s="1261"/>
      <c r="CA741" s="1264"/>
      <c r="CB741" s="1261"/>
      <c r="CC741" s="1261"/>
      <c r="CD741" s="1261"/>
      <c r="CE741" s="1265"/>
      <c r="CF741" s="1261"/>
      <c r="CG741" s="1261"/>
      <c r="CH741" s="1261"/>
      <c r="CI741" s="1261"/>
      <c r="CJ741" s="1265"/>
      <c r="CK741" s="1264"/>
      <c r="CL741" s="1261"/>
      <c r="CM741" s="1261"/>
      <c r="CN741" s="1261"/>
      <c r="CO741" s="1265"/>
      <c r="CP741" s="1264"/>
      <c r="CQ741" s="1261"/>
      <c r="CR741" s="1261"/>
      <c r="CS741" s="1261"/>
      <c r="CT741" s="1265"/>
      <c r="CU741" s="1266"/>
      <c r="CV741" s="1267"/>
      <c r="CW741" s="1267"/>
      <c r="CX741" s="1268"/>
      <c r="CY741" s="1267"/>
      <c r="CZ741" s="1267"/>
      <c r="DA741" s="1267"/>
      <c r="DB741" s="1268"/>
      <c r="DC741" s="1253"/>
      <c r="DD741" s="1269">
        <v>1</v>
      </c>
      <c r="DE741" s="1270"/>
    </row>
    <row r="742" spans="1:109" ht="13.15" hidden="1">
      <c r="A742" s="1250"/>
      <c r="B742" s="1251"/>
      <c r="C742" s="1252"/>
      <c r="D742" s="1251"/>
      <c r="E742" s="1251"/>
      <c r="F742" s="1253"/>
      <c r="G742" s="1254"/>
      <c r="H742" s="1255"/>
      <c r="I742" s="1256"/>
      <c r="J742" s="1257"/>
      <c r="K742" s="1257"/>
      <c r="L742" s="1257"/>
      <c r="M742" s="1257"/>
      <c r="N742" s="1257"/>
      <c r="O742" s="1257"/>
      <c r="P742" s="1258"/>
      <c r="Q742" s="795">
        <f t="shared" si="11"/>
        <v>0</v>
      </c>
      <c r="R742" s="1252"/>
      <c r="S742" s="1251"/>
      <c r="T742" s="1260"/>
      <c r="U742" s="1251"/>
      <c r="V742" s="1251"/>
      <c r="W742" s="1251"/>
      <c r="X742" s="1261"/>
      <c r="Y742" s="1262"/>
      <c r="Z742" s="1254"/>
      <c r="AA742" s="1253"/>
      <c r="AB742" s="1253"/>
      <c r="AC742" s="1253"/>
      <c r="AD742" s="1253"/>
      <c r="AE742" s="1253"/>
      <c r="AF742" s="1263"/>
      <c r="AG742" s="1261"/>
      <c r="AH742" s="1261"/>
      <c r="AI742" s="1261"/>
      <c r="AJ742" s="1261"/>
      <c r="AK742" s="1261"/>
      <c r="AL742" s="1261"/>
      <c r="AM742" s="1261"/>
      <c r="AN742" s="1261"/>
      <c r="AO742" s="1261"/>
      <c r="AP742" s="1261"/>
      <c r="AQ742" s="1264"/>
      <c r="AR742" s="1261"/>
      <c r="AS742" s="1261"/>
      <c r="AT742" s="1261"/>
      <c r="AU742" s="1265"/>
      <c r="AV742" s="1264"/>
      <c r="AW742" s="1261"/>
      <c r="AX742" s="1261"/>
      <c r="AY742" s="1261"/>
      <c r="AZ742" s="1261"/>
      <c r="BA742" s="1261"/>
      <c r="BB742" s="1261"/>
      <c r="BC742" s="1261"/>
      <c r="BD742" s="1261"/>
      <c r="BE742" s="1261"/>
      <c r="BF742" s="1261"/>
      <c r="BG742" s="1261"/>
      <c r="BH742" s="1261"/>
      <c r="BI742" s="1261"/>
      <c r="BJ742" s="1261"/>
      <c r="BK742" s="1265"/>
      <c r="BL742" s="1252"/>
      <c r="BM742" s="1253"/>
      <c r="BN742" s="1253"/>
      <c r="BO742" s="1253"/>
      <c r="BP742" s="1260"/>
      <c r="BQ742" s="1264"/>
      <c r="BR742" s="1261"/>
      <c r="BS742" s="1261"/>
      <c r="BT742" s="1261"/>
      <c r="BU742" s="1265"/>
      <c r="BV742" s="1264"/>
      <c r="BW742" s="1261"/>
      <c r="BX742" s="1261"/>
      <c r="BY742" s="1261"/>
      <c r="BZ742" s="1261"/>
      <c r="CA742" s="1264"/>
      <c r="CB742" s="1261"/>
      <c r="CC742" s="1261"/>
      <c r="CD742" s="1261"/>
      <c r="CE742" s="1265"/>
      <c r="CF742" s="1261"/>
      <c r="CG742" s="1261"/>
      <c r="CH742" s="1261"/>
      <c r="CI742" s="1261"/>
      <c r="CJ742" s="1265"/>
      <c r="CK742" s="1264"/>
      <c r="CL742" s="1261"/>
      <c r="CM742" s="1261"/>
      <c r="CN742" s="1261"/>
      <c r="CO742" s="1265"/>
      <c r="CP742" s="1264"/>
      <c r="CQ742" s="1261"/>
      <c r="CR742" s="1261"/>
      <c r="CS742" s="1261"/>
      <c r="CT742" s="1265"/>
      <c r="CU742" s="1266"/>
      <c r="CV742" s="1267"/>
      <c r="CW742" s="1267"/>
      <c r="CX742" s="1268"/>
      <c r="CY742" s="1267"/>
      <c r="CZ742" s="1267"/>
      <c r="DA742" s="1267"/>
      <c r="DB742" s="1268"/>
      <c r="DC742" s="1253"/>
      <c r="DD742" s="1269">
        <v>1</v>
      </c>
      <c r="DE742" s="1270"/>
    </row>
    <row r="743" spans="1:109" ht="13.15" hidden="1">
      <c r="A743" s="1250"/>
      <c r="B743" s="1251"/>
      <c r="C743" s="1252"/>
      <c r="D743" s="1251"/>
      <c r="E743" s="1251"/>
      <c r="F743" s="1253"/>
      <c r="G743" s="1254"/>
      <c r="H743" s="1255"/>
      <c r="I743" s="1256"/>
      <c r="J743" s="1257"/>
      <c r="K743" s="1257"/>
      <c r="L743" s="1257"/>
      <c r="M743" s="1257"/>
      <c r="N743" s="1257"/>
      <c r="O743" s="1257"/>
      <c r="P743" s="1258"/>
      <c r="Q743" s="795">
        <f t="shared" si="11"/>
        <v>0</v>
      </c>
      <c r="R743" s="1252"/>
      <c r="S743" s="1251"/>
      <c r="T743" s="1260"/>
      <c r="U743" s="1251"/>
      <c r="V743" s="1251"/>
      <c r="W743" s="1251"/>
      <c r="X743" s="1261"/>
      <c r="Y743" s="1262"/>
      <c r="Z743" s="1254"/>
      <c r="AA743" s="1253"/>
      <c r="AB743" s="1253"/>
      <c r="AC743" s="1253"/>
      <c r="AD743" s="1253"/>
      <c r="AE743" s="1253"/>
      <c r="AF743" s="1263"/>
      <c r="AG743" s="1261"/>
      <c r="AH743" s="1261"/>
      <c r="AI743" s="1261"/>
      <c r="AJ743" s="1261"/>
      <c r="AK743" s="1261"/>
      <c r="AL743" s="1261"/>
      <c r="AM743" s="1261"/>
      <c r="AN743" s="1261"/>
      <c r="AO743" s="1261"/>
      <c r="AP743" s="1261"/>
      <c r="AQ743" s="1264"/>
      <c r="AR743" s="1261"/>
      <c r="AS743" s="1261"/>
      <c r="AT743" s="1261"/>
      <c r="AU743" s="1265"/>
      <c r="AV743" s="1264"/>
      <c r="AW743" s="1261"/>
      <c r="AX743" s="1261"/>
      <c r="AY743" s="1261"/>
      <c r="AZ743" s="1261"/>
      <c r="BA743" s="1261"/>
      <c r="BB743" s="1261"/>
      <c r="BC743" s="1261"/>
      <c r="BD743" s="1261"/>
      <c r="BE743" s="1261"/>
      <c r="BF743" s="1261"/>
      <c r="BG743" s="1261"/>
      <c r="BH743" s="1261"/>
      <c r="BI743" s="1261"/>
      <c r="BJ743" s="1261"/>
      <c r="BK743" s="1265"/>
      <c r="BL743" s="1252"/>
      <c r="BM743" s="1253"/>
      <c r="BN743" s="1253"/>
      <c r="BO743" s="1253"/>
      <c r="BP743" s="1260"/>
      <c r="BQ743" s="1264"/>
      <c r="BR743" s="1261"/>
      <c r="BS743" s="1261"/>
      <c r="BT743" s="1261"/>
      <c r="BU743" s="1265"/>
      <c r="BV743" s="1264"/>
      <c r="BW743" s="1261"/>
      <c r="BX743" s="1261"/>
      <c r="BY743" s="1261"/>
      <c r="BZ743" s="1261"/>
      <c r="CA743" s="1264"/>
      <c r="CB743" s="1261"/>
      <c r="CC743" s="1261"/>
      <c r="CD743" s="1261"/>
      <c r="CE743" s="1265"/>
      <c r="CF743" s="1261"/>
      <c r="CG743" s="1261"/>
      <c r="CH743" s="1261"/>
      <c r="CI743" s="1261"/>
      <c r="CJ743" s="1265"/>
      <c r="CK743" s="1264"/>
      <c r="CL743" s="1261"/>
      <c r="CM743" s="1261"/>
      <c r="CN743" s="1261"/>
      <c r="CO743" s="1265"/>
      <c r="CP743" s="1264"/>
      <c r="CQ743" s="1261"/>
      <c r="CR743" s="1261"/>
      <c r="CS743" s="1261"/>
      <c r="CT743" s="1265"/>
      <c r="CU743" s="1266"/>
      <c r="CV743" s="1267"/>
      <c r="CW743" s="1267"/>
      <c r="CX743" s="1268"/>
      <c r="CY743" s="1267"/>
      <c r="CZ743" s="1267"/>
      <c r="DA743" s="1267"/>
      <c r="DB743" s="1268"/>
      <c r="DC743" s="1253"/>
      <c r="DD743" s="1269">
        <v>1</v>
      </c>
      <c r="DE743" s="1270"/>
    </row>
    <row r="744" spans="1:109" ht="13.15" hidden="1">
      <c r="A744" s="1250"/>
      <c r="B744" s="1251"/>
      <c r="C744" s="1252"/>
      <c r="D744" s="1251"/>
      <c r="E744" s="1251"/>
      <c r="F744" s="1253"/>
      <c r="G744" s="1254"/>
      <c r="H744" s="1255"/>
      <c r="I744" s="1256"/>
      <c r="J744" s="1257"/>
      <c r="K744" s="1257"/>
      <c r="L744" s="1257"/>
      <c r="M744" s="1257"/>
      <c r="N744" s="1257"/>
      <c r="O744" s="1257"/>
      <c r="P744" s="1258"/>
      <c r="Q744" s="795">
        <f t="shared" si="11"/>
        <v>0</v>
      </c>
      <c r="R744" s="1252"/>
      <c r="S744" s="1251"/>
      <c r="T744" s="1260"/>
      <c r="U744" s="1251"/>
      <c r="V744" s="1251"/>
      <c r="W744" s="1251"/>
      <c r="X744" s="1261"/>
      <c r="Y744" s="1262"/>
      <c r="Z744" s="1254"/>
      <c r="AA744" s="1253"/>
      <c r="AB744" s="1253"/>
      <c r="AC744" s="1253"/>
      <c r="AD744" s="1253"/>
      <c r="AE744" s="1253"/>
      <c r="AF744" s="1263"/>
      <c r="AG744" s="1261"/>
      <c r="AH744" s="1261"/>
      <c r="AI744" s="1261"/>
      <c r="AJ744" s="1261"/>
      <c r="AK744" s="1261"/>
      <c r="AL744" s="1261"/>
      <c r="AM744" s="1261"/>
      <c r="AN744" s="1261"/>
      <c r="AO744" s="1261"/>
      <c r="AP744" s="1261"/>
      <c r="AQ744" s="1264"/>
      <c r="AR744" s="1261"/>
      <c r="AS744" s="1261"/>
      <c r="AT744" s="1261"/>
      <c r="AU744" s="1265"/>
      <c r="AV744" s="1264"/>
      <c r="AW744" s="1261"/>
      <c r="AX744" s="1261"/>
      <c r="AY744" s="1261"/>
      <c r="AZ744" s="1261"/>
      <c r="BA744" s="1261"/>
      <c r="BB744" s="1261"/>
      <c r="BC744" s="1261"/>
      <c r="BD744" s="1261"/>
      <c r="BE744" s="1261"/>
      <c r="BF744" s="1261"/>
      <c r="BG744" s="1261"/>
      <c r="BH744" s="1261"/>
      <c r="BI744" s="1261"/>
      <c r="BJ744" s="1261"/>
      <c r="BK744" s="1265"/>
      <c r="BL744" s="1252"/>
      <c r="BM744" s="1253"/>
      <c r="BN744" s="1253"/>
      <c r="BO744" s="1253"/>
      <c r="BP744" s="1260"/>
      <c r="BQ744" s="1264"/>
      <c r="BR744" s="1261"/>
      <c r="BS744" s="1261"/>
      <c r="BT744" s="1261"/>
      <c r="BU744" s="1265"/>
      <c r="BV744" s="1264"/>
      <c r="BW744" s="1261"/>
      <c r="BX744" s="1261"/>
      <c r="BY744" s="1261"/>
      <c r="BZ744" s="1261"/>
      <c r="CA744" s="1264"/>
      <c r="CB744" s="1261"/>
      <c r="CC744" s="1261"/>
      <c r="CD744" s="1261"/>
      <c r="CE744" s="1265"/>
      <c r="CF744" s="1261"/>
      <c r="CG744" s="1261"/>
      <c r="CH744" s="1261"/>
      <c r="CI744" s="1261"/>
      <c r="CJ744" s="1265"/>
      <c r="CK744" s="1264"/>
      <c r="CL744" s="1261"/>
      <c r="CM744" s="1261"/>
      <c r="CN744" s="1261"/>
      <c r="CO744" s="1265"/>
      <c r="CP744" s="1264"/>
      <c r="CQ744" s="1261"/>
      <c r="CR744" s="1261"/>
      <c r="CS744" s="1261"/>
      <c r="CT744" s="1265"/>
      <c r="CU744" s="1266"/>
      <c r="CV744" s="1267"/>
      <c r="CW744" s="1267"/>
      <c r="CX744" s="1268"/>
      <c r="CY744" s="1267"/>
      <c r="CZ744" s="1267"/>
      <c r="DA744" s="1267"/>
      <c r="DB744" s="1268"/>
      <c r="DC744" s="1253"/>
      <c r="DD744" s="1269">
        <v>1</v>
      </c>
      <c r="DE744" s="1270"/>
    </row>
    <row r="745" spans="1:109" ht="13.15" hidden="1">
      <c r="A745" s="1250"/>
      <c r="B745" s="1251"/>
      <c r="C745" s="1252"/>
      <c r="D745" s="1251"/>
      <c r="E745" s="1251"/>
      <c r="F745" s="1253"/>
      <c r="G745" s="1254"/>
      <c r="H745" s="1255"/>
      <c r="I745" s="1256"/>
      <c r="J745" s="1257"/>
      <c r="K745" s="1257"/>
      <c r="L745" s="1257"/>
      <c r="M745" s="1257"/>
      <c r="N745" s="1257"/>
      <c r="O745" s="1257"/>
      <c r="P745" s="1258"/>
      <c r="Q745" s="795">
        <f t="shared" si="11"/>
        <v>0</v>
      </c>
      <c r="R745" s="1252"/>
      <c r="S745" s="1251"/>
      <c r="T745" s="1260"/>
      <c r="U745" s="1251"/>
      <c r="V745" s="1251"/>
      <c r="W745" s="1251"/>
      <c r="X745" s="1261"/>
      <c r="Y745" s="1262"/>
      <c r="Z745" s="1254"/>
      <c r="AA745" s="1253"/>
      <c r="AB745" s="1253"/>
      <c r="AC745" s="1253"/>
      <c r="AD745" s="1253"/>
      <c r="AE745" s="1253"/>
      <c r="AF745" s="1263"/>
      <c r="AG745" s="1261"/>
      <c r="AH745" s="1261"/>
      <c r="AI745" s="1261"/>
      <c r="AJ745" s="1261"/>
      <c r="AK745" s="1261"/>
      <c r="AL745" s="1261"/>
      <c r="AM745" s="1261"/>
      <c r="AN745" s="1261"/>
      <c r="AO745" s="1261"/>
      <c r="AP745" s="1261"/>
      <c r="AQ745" s="1264"/>
      <c r="AR745" s="1261"/>
      <c r="AS745" s="1261"/>
      <c r="AT745" s="1261"/>
      <c r="AU745" s="1265"/>
      <c r="AV745" s="1264"/>
      <c r="AW745" s="1261"/>
      <c r="AX745" s="1261"/>
      <c r="AY745" s="1261"/>
      <c r="AZ745" s="1261"/>
      <c r="BA745" s="1261"/>
      <c r="BB745" s="1261"/>
      <c r="BC745" s="1261"/>
      <c r="BD745" s="1261"/>
      <c r="BE745" s="1261"/>
      <c r="BF745" s="1261"/>
      <c r="BG745" s="1261"/>
      <c r="BH745" s="1261"/>
      <c r="BI745" s="1261"/>
      <c r="BJ745" s="1261"/>
      <c r="BK745" s="1265"/>
      <c r="BL745" s="1252"/>
      <c r="BM745" s="1253"/>
      <c r="BN745" s="1253"/>
      <c r="BO745" s="1253"/>
      <c r="BP745" s="1260"/>
      <c r="BQ745" s="1264"/>
      <c r="BR745" s="1261"/>
      <c r="BS745" s="1261"/>
      <c r="BT745" s="1261"/>
      <c r="BU745" s="1265"/>
      <c r="BV745" s="1264"/>
      <c r="BW745" s="1261"/>
      <c r="BX745" s="1261"/>
      <c r="BY745" s="1261"/>
      <c r="BZ745" s="1261"/>
      <c r="CA745" s="1264"/>
      <c r="CB745" s="1261"/>
      <c r="CC745" s="1261"/>
      <c r="CD745" s="1261"/>
      <c r="CE745" s="1265"/>
      <c r="CF745" s="1261"/>
      <c r="CG745" s="1261"/>
      <c r="CH745" s="1261"/>
      <c r="CI745" s="1261"/>
      <c r="CJ745" s="1265"/>
      <c r="CK745" s="1264"/>
      <c r="CL745" s="1261"/>
      <c r="CM745" s="1261"/>
      <c r="CN745" s="1261"/>
      <c r="CO745" s="1265"/>
      <c r="CP745" s="1264"/>
      <c r="CQ745" s="1261"/>
      <c r="CR745" s="1261"/>
      <c r="CS745" s="1261"/>
      <c r="CT745" s="1265"/>
      <c r="CU745" s="1266"/>
      <c r="CV745" s="1267"/>
      <c r="CW745" s="1267"/>
      <c r="CX745" s="1268"/>
      <c r="CY745" s="1267"/>
      <c r="CZ745" s="1267"/>
      <c r="DA745" s="1267"/>
      <c r="DB745" s="1268"/>
      <c r="DC745" s="1253"/>
      <c r="DD745" s="1269">
        <v>1</v>
      </c>
      <c r="DE745" s="1270"/>
    </row>
    <row r="746" spans="1:109" ht="13.15" hidden="1">
      <c r="A746" s="1250"/>
      <c r="B746" s="1251"/>
      <c r="C746" s="1252"/>
      <c r="D746" s="1251"/>
      <c r="E746" s="1251"/>
      <c r="F746" s="1253"/>
      <c r="G746" s="1254"/>
      <c r="H746" s="1255"/>
      <c r="I746" s="1256"/>
      <c r="J746" s="1257"/>
      <c r="K746" s="1257"/>
      <c r="L746" s="1257"/>
      <c r="M746" s="1257"/>
      <c r="N746" s="1257"/>
      <c r="O746" s="1257"/>
      <c r="P746" s="1258"/>
      <c r="Q746" s="795">
        <f t="shared" si="11"/>
        <v>0</v>
      </c>
      <c r="R746" s="1252"/>
      <c r="S746" s="1251"/>
      <c r="T746" s="1260"/>
      <c r="U746" s="1251"/>
      <c r="V746" s="1251"/>
      <c r="W746" s="1251"/>
      <c r="X746" s="1261"/>
      <c r="Y746" s="1262"/>
      <c r="Z746" s="1254"/>
      <c r="AA746" s="1253"/>
      <c r="AB746" s="1253"/>
      <c r="AC746" s="1253"/>
      <c r="AD746" s="1253"/>
      <c r="AE746" s="1253"/>
      <c r="AF746" s="1263"/>
      <c r="AG746" s="1261"/>
      <c r="AH746" s="1261"/>
      <c r="AI746" s="1261"/>
      <c r="AJ746" s="1261"/>
      <c r="AK746" s="1261"/>
      <c r="AL746" s="1261"/>
      <c r="AM746" s="1261"/>
      <c r="AN746" s="1261"/>
      <c r="AO746" s="1261"/>
      <c r="AP746" s="1261"/>
      <c r="AQ746" s="1264"/>
      <c r="AR746" s="1261"/>
      <c r="AS746" s="1261"/>
      <c r="AT746" s="1261"/>
      <c r="AU746" s="1265"/>
      <c r="AV746" s="1264"/>
      <c r="AW746" s="1261"/>
      <c r="AX746" s="1261"/>
      <c r="AY746" s="1261"/>
      <c r="AZ746" s="1261"/>
      <c r="BA746" s="1261"/>
      <c r="BB746" s="1261"/>
      <c r="BC746" s="1261"/>
      <c r="BD746" s="1261"/>
      <c r="BE746" s="1261"/>
      <c r="BF746" s="1261"/>
      <c r="BG746" s="1261"/>
      <c r="BH746" s="1261"/>
      <c r="BI746" s="1261"/>
      <c r="BJ746" s="1261"/>
      <c r="BK746" s="1265"/>
      <c r="BL746" s="1252"/>
      <c r="BM746" s="1253"/>
      <c r="BN746" s="1253"/>
      <c r="BO746" s="1253"/>
      <c r="BP746" s="1260"/>
      <c r="BQ746" s="1264"/>
      <c r="BR746" s="1261"/>
      <c r="BS746" s="1261"/>
      <c r="BT746" s="1261"/>
      <c r="BU746" s="1265"/>
      <c r="BV746" s="1264"/>
      <c r="BW746" s="1261"/>
      <c r="BX746" s="1261"/>
      <c r="BY746" s="1261"/>
      <c r="BZ746" s="1261"/>
      <c r="CA746" s="1264"/>
      <c r="CB746" s="1261"/>
      <c r="CC746" s="1261"/>
      <c r="CD746" s="1261"/>
      <c r="CE746" s="1265"/>
      <c r="CF746" s="1261"/>
      <c r="CG746" s="1261"/>
      <c r="CH746" s="1261"/>
      <c r="CI746" s="1261"/>
      <c r="CJ746" s="1265"/>
      <c r="CK746" s="1264"/>
      <c r="CL746" s="1261"/>
      <c r="CM746" s="1261"/>
      <c r="CN746" s="1261"/>
      <c r="CO746" s="1265"/>
      <c r="CP746" s="1264"/>
      <c r="CQ746" s="1261"/>
      <c r="CR746" s="1261"/>
      <c r="CS746" s="1261"/>
      <c r="CT746" s="1265"/>
      <c r="CU746" s="1266"/>
      <c r="CV746" s="1267"/>
      <c r="CW746" s="1267"/>
      <c r="CX746" s="1268"/>
      <c r="CY746" s="1267"/>
      <c r="CZ746" s="1267"/>
      <c r="DA746" s="1267"/>
      <c r="DB746" s="1268"/>
      <c r="DC746" s="1253"/>
      <c r="DD746" s="1269">
        <v>1</v>
      </c>
      <c r="DE746" s="1270"/>
    </row>
    <row r="747" spans="1:109" ht="13.15" hidden="1">
      <c r="A747" s="1250"/>
      <c r="B747" s="1251"/>
      <c r="C747" s="1252"/>
      <c r="D747" s="1251"/>
      <c r="E747" s="1251"/>
      <c r="F747" s="1253"/>
      <c r="G747" s="1254"/>
      <c r="H747" s="1255"/>
      <c r="I747" s="1256"/>
      <c r="J747" s="1257"/>
      <c r="K747" s="1257"/>
      <c r="L747" s="1257"/>
      <c r="M747" s="1257"/>
      <c r="N747" s="1257"/>
      <c r="O747" s="1257"/>
      <c r="P747" s="1258"/>
      <c r="Q747" s="795">
        <f t="shared" si="11"/>
        <v>0</v>
      </c>
      <c r="R747" s="1252"/>
      <c r="S747" s="1251"/>
      <c r="T747" s="1260"/>
      <c r="U747" s="1251"/>
      <c r="V747" s="1251"/>
      <c r="W747" s="1251"/>
      <c r="X747" s="1261"/>
      <c r="Y747" s="1262"/>
      <c r="Z747" s="1254"/>
      <c r="AA747" s="1253"/>
      <c r="AB747" s="1253"/>
      <c r="AC747" s="1253"/>
      <c r="AD747" s="1253"/>
      <c r="AE747" s="1253"/>
      <c r="AF747" s="1263"/>
      <c r="AG747" s="1261"/>
      <c r="AH747" s="1261"/>
      <c r="AI747" s="1261"/>
      <c r="AJ747" s="1261"/>
      <c r="AK747" s="1261"/>
      <c r="AL747" s="1261"/>
      <c r="AM747" s="1261"/>
      <c r="AN747" s="1261"/>
      <c r="AO747" s="1261"/>
      <c r="AP747" s="1261"/>
      <c r="AQ747" s="1264"/>
      <c r="AR747" s="1261"/>
      <c r="AS747" s="1261"/>
      <c r="AT747" s="1261"/>
      <c r="AU747" s="1265"/>
      <c r="AV747" s="1264"/>
      <c r="AW747" s="1261"/>
      <c r="AX747" s="1261"/>
      <c r="AY747" s="1261"/>
      <c r="AZ747" s="1261"/>
      <c r="BA747" s="1261"/>
      <c r="BB747" s="1261"/>
      <c r="BC747" s="1261"/>
      <c r="BD747" s="1261"/>
      <c r="BE747" s="1261"/>
      <c r="BF747" s="1261"/>
      <c r="BG747" s="1261"/>
      <c r="BH747" s="1261"/>
      <c r="BI747" s="1261"/>
      <c r="BJ747" s="1261"/>
      <c r="BK747" s="1265"/>
      <c r="BL747" s="1252"/>
      <c r="BM747" s="1253"/>
      <c r="BN747" s="1253"/>
      <c r="BO747" s="1253"/>
      <c r="BP747" s="1260"/>
      <c r="BQ747" s="1264"/>
      <c r="BR747" s="1261"/>
      <c r="BS747" s="1261"/>
      <c r="BT747" s="1261"/>
      <c r="BU747" s="1265"/>
      <c r="BV747" s="1264"/>
      <c r="BW747" s="1261"/>
      <c r="BX747" s="1261"/>
      <c r="BY747" s="1261"/>
      <c r="BZ747" s="1261"/>
      <c r="CA747" s="1264"/>
      <c r="CB747" s="1261"/>
      <c r="CC747" s="1261"/>
      <c r="CD747" s="1261"/>
      <c r="CE747" s="1265"/>
      <c r="CF747" s="1261"/>
      <c r="CG747" s="1261"/>
      <c r="CH747" s="1261"/>
      <c r="CI747" s="1261"/>
      <c r="CJ747" s="1265"/>
      <c r="CK747" s="1264"/>
      <c r="CL747" s="1261"/>
      <c r="CM747" s="1261"/>
      <c r="CN747" s="1261"/>
      <c r="CO747" s="1265"/>
      <c r="CP747" s="1264"/>
      <c r="CQ747" s="1261"/>
      <c r="CR747" s="1261"/>
      <c r="CS747" s="1261"/>
      <c r="CT747" s="1265"/>
      <c r="CU747" s="1266"/>
      <c r="CV747" s="1267"/>
      <c r="CW747" s="1267"/>
      <c r="CX747" s="1268"/>
      <c r="CY747" s="1267"/>
      <c r="CZ747" s="1267"/>
      <c r="DA747" s="1267"/>
      <c r="DB747" s="1268"/>
      <c r="DC747" s="1253"/>
      <c r="DD747" s="1269">
        <v>1</v>
      </c>
      <c r="DE747" s="1270"/>
    </row>
    <row r="748" spans="1:109" ht="13.15" hidden="1">
      <c r="A748" s="1250"/>
      <c r="B748" s="1251"/>
      <c r="C748" s="1252"/>
      <c r="D748" s="1251"/>
      <c r="E748" s="1251"/>
      <c r="F748" s="1253"/>
      <c r="G748" s="1254"/>
      <c r="H748" s="1255"/>
      <c r="I748" s="1256"/>
      <c r="J748" s="1257"/>
      <c r="K748" s="1257"/>
      <c r="L748" s="1257"/>
      <c r="M748" s="1257"/>
      <c r="N748" s="1257"/>
      <c r="O748" s="1257"/>
      <c r="P748" s="1258"/>
      <c r="Q748" s="795">
        <f t="shared" si="11"/>
        <v>0</v>
      </c>
      <c r="R748" s="1252"/>
      <c r="S748" s="1251"/>
      <c r="T748" s="1260"/>
      <c r="U748" s="1251"/>
      <c r="V748" s="1251"/>
      <c r="W748" s="1251"/>
      <c r="X748" s="1261"/>
      <c r="Y748" s="1262"/>
      <c r="Z748" s="1254"/>
      <c r="AA748" s="1253"/>
      <c r="AB748" s="1253"/>
      <c r="AC748" s="1253"/>
      <c r="AD748" s="1253"/>
      <c r="AE748" s="1253"/>
      <c r="AF748" s="1263"/>
      <c r="AG748" s="1261"/>
      <c r="AH748" s="1261"/>
      <c r="AI748" s="1261"/>
      <c r="AJ748" s="1261"/>
      <c r="AK748" s="1261"/>
      <c r="AL748" s="1261"/>
      <c r="AM748" s="1261"/>
      <c r="AN748" s="1261"/>
      <c r="AO748" s="1261"/>
      <c r="AP748" s="1261"/>
      <c r="AQ748" s="1264"/>
      <c r="AR748" s="1261"/>
      <c r="AS748" s="1261"/>
      <c r="AT748" s="1261"/>
      <c r="AU748" s="1265"/>
      <c r="AV748" s="1264"/>
      <c r="AW748" s="1261"/>
      <c r="AX748" s="1261"/>
      <c r="AY748" s="1261"/>
      <c r="AZ748" s="1261"/>
      <c r="BA748" s="1261"/>
      <c r="BB748" s="1261"/>
      <c r="BC748" s="1261"/>
      <c r="BD748" s="1261"/>
      <c r="BE748" s="1261"/>
      <c r="BF748" s="1261"/>
      <c r="BG748" s="1261"/>
      <c r="BH748" s="1261"/>
      <c r="BI748" s="1261"/>
      <c r="BJ748" s="1261"/>
      <c r="BK748" s="1265"/>
      <c r="BL748" s="1252"/>
      <c r="BM748" s="1253"/>
      <c r="BN748" s="1253"/>
      <c r="BO748" s="1253"/>
      <c r="BP748" s="1260"/>
      <c r="BQ748" s="1264"/>
      <c r="BR748" s="1261"/>
      <c r="BS748" s="1261"/>
      <c r="BT748" s="1261"/>
      <c r="BU748" s="1265"/>
      <c r="BV748" s="1264"/>
      <c r="BW748" s="1261"/>
      <c r="BX748" s="1261"/>
      <c r="BY748" s="1261"/>
      <c r="BZ748" s="1261"/>
      <c r="CA748" s="1264"/>
      <c r="CB748" s="1261"/>
      <c r="CC748" s="1261"/>
      <c r="CD748" s="1261"/>
      <c r="CE748" s="1265"/>
      <c r="CF748" s="1261"/>
      <c r="CG748" s="1261"/>
      <c r="CH748" s="1261"/>
      <c r="CI748" s="1261"/>
      <c r="CJ748" s="1265"/>
      <c r="CK748" s="1264"/>
      <c r="CL748" s="1261"/>
      <c r="CM748" s="1261"/>
      <c r="CN748" s="1261"/>
      <c r="CO748" s="1265"/>
      <c r="CP748" s="1264"/>
      <c r="CQ748" s="1261"/>
      <c r="CR748" s="1261"/>
      <c r="CS748" s="1261"/>
      <c r="CT748" s="1265"/>
      <c r="CU748" s="1266"/>
      <c r="CV748" s="1267"/>
      <c r="CW748" s="1267"/>
      <c r="CX748" s="1268"/>
      <c r="CY748" s="1267"/>
      <c r="CZ748" s="1267"/>
      <c r="DA748" s="1267"/>
      <c r="DB748" s="1268"/>
      <c r="DC748" s="1253"/>
      <c r="DD748" s="1269">
        <v>1</v>
      </c>
      <c r="DE748" s="1270"/>
    </row>
    <row r="749" spans="1:109" ht="13.15" hidden="1">
      <c r="A749" s="1250"/>
      <c r="B749" s="1251"/>
      <c r="C749" s="1252"/>
      <c r="D749" s="1251"/>
      <c r="E749" s="1251"/>
      <c r="F749" s="1253"/>
      <c r="G749" s="1254"/>
      <c r="H749" s="1255"/>
      <c r="I749" s="1256"/>
      <c r="J749" s="1257"/>
      <c r="K749" s="1257"/>
      <c r="L749" s="1257"/>
      <c r="M749" s="1257"/>
      <c r="N749" s="1257"/>
      <c r="O749" s="1257"/>
      <c r="P749" s="1258"/>
      <c r="Q749" s="795">
        <f t="shared" si="11"/>
        <v>0</v>
      </c>
      <c r="R749" s="1252"/>
      <c r="S749" s="1251"/>
      <c r="T749" s="1260"/>
      <c r="U749" s="1251"/>
      <c r="V749" s="1251"/>
      <c r="W749" s="1251"/>
      <c r="X749" s="1261"/>
      <c r="Y749" s="1262"/>
      <c r="Z749" s="1254"/>
      <c r="AA749" s="1253"/>
      <c r="AB749" s="1253"/>
      <c r="AC749" s="1253"/>
      <c r="AD749" s="1253"/>
      <c r="AE749" s="1253"/>
      <c r="AF749" s="1263"/>
      <c r="AG749" s="1261"/>
      <c r="AH749" s="1261"/>
      <c r="AI749" s="1261"/>
      <c r="AJ749" s="1261"/>
      <c r="AK749" s="1261"/>
      <c r="AL749" s="1261"/>
      <c r="AM749" s="1261"/>
      <c r="AN749" s="1261"/>
      <c r="AO749" s="1261"/>
      <c r="AP749" s="1261"/>
      <c r="AQ749" s="1264"/>
      <c r="AR749" s="1261"/>
      <c r="AS749" s="1261"/>
      <c r="AT749" s="1261"/>
      <c r="AU749" s="1265"/>
      <c r="AV749" s="1264"/>
      <c r="AW749" s="1261"/>
      <c r="AX749" s="1261"/>
      <c r="AY749" s="1261"/>
      <c r="AZ749" s="1261"/>
      <c r="BA749" s="1261"/>
      <c r="BB749" s="1261"/>
      <c r="BC749" s="1261"/>
      <c r="BD749" s="1261"/>
      <c r="BE749" s="1261"/>
      <c r="BF749" s="1261"/>
      <c r="BG749" s="1261"/>
      <c r="BH749" s="1261"/>
      <c r="BI749" s="1261"/>
      <c r="BJ749" s="1261"/>
      <c r="BK749" s="1265"/>
      <c r="BL749" s="1252"/>
      <c r="BM749" s="1253"/>
      <c r="BN749" s="1253"/>
      <c r="BO749" s="1253"/>
      <c r="BP749" s="1260"/>
      <c r="BQ749" s="1264"/>
      <c r="BR749" s="1261"/>
      <c r="BS749" s="1261"/>
      <c r="BT749" s="1261"/>
      <c r="BU749" s="1265"/>
      <c r="BV749" s="1264"/>
      <c r="BW749" s="1261"/>
      <c r="BX749" s="1261"/>
      <c r="BY749" s="1261"/>
      <c r="BZ749" s="1261"/>
      <c r="CA749" s="1264"/>
      <c r="CB749" s="1261"/>
      <c r="CC749" s="1261"/>
      <c r="CD749" s="1261"/>
      <c r="CE749" s="1265"/>
      <c r="CF749" s="1261"/>
      <c r="CG749" s="1261"/>
      <c r="CH749" s="1261"/>
      <c r="CI749" s="1261"/>
      <c r="CJ749" s="1265"/>
      <c r="CK749" s="1264"/>
      <c r="CL749" s="1261"/>
      <c r="CM749" s="1261"/>
      <c r="CN749" s="1261"/>
      <c r="CO749" s="1265"/>
      <c r="CP749" s="1264"/>
      <c r="CQ749" s="1261"/>
      <c r="CR749" s="1261"/>
      <c r="CS749" s="1261"/>
      <c r="CT749" s="1265"/>
      <c r="CU749" s="1266"/>
      <c r="CV749" s="1267"/>
      <c r="CW749" s="1267"/>
      <c r="CX749" s="1268"/>
      <c r="CY749" s="1267"/>
      <c r="CZ749" s="1267"/>
      <c r="DA749" s="1267"/>
      <c r="DB749" s="1268"/>
      <c r="DC749" s="1253"/>
      <c r="DD749" s="1269">
        <v>1</v>
      </c>
      <c r="DE749" s="1270"/>
    </row>
    <row r="750" spans="1:109" ht="13.15" hidden="1">
      <c r="A750" s="1250"/>
      <c r="B750" s="1251"/>
      <c r="C750" s="1252"/>
      <c r="D750" s="1251"/>
      <c r="E750" s="1251"/>
      <c r="F750" s="1253"/>
      <c r="G750" s="1254"/>
      <c r="H750" s="1255"/>
      <c r="I750" s="1256"/>
      <c r="J750" s="1257"/>
      <c r="K750" s="1257"/>
      <c r="L750" s="1257"/>
      <c r="M750" s="1257"/>
      <c r="N750" s="1257"/>
      <c r="O750" s="1257"/>
      <c r="P750" s="1258"/>
      <c r="Q750" s="795">
        <f t="shared" si="11"/>
        <v>0</v>
      </c>
      <c r="R750" s="1252"/>
      <c r="S750" s="1251"/>
      <c r="T750" s="1260"/>
      <c r="U750" s="1251"/>
      <c r="V750" s="1251"/>
      <c r="W750" s="1251"/>
      <c r="X750" s="1261"/>
      <c r="Y750" s="1262"/>
      <c r="Z750" s="1254"/>
      <c r="AA750" s="1253"/>
      <c r="AB750" s="1253"/>
      <c r="AC750" s="1253"/>
      <c r="AD750" s="1253"/>
      <c r="AE750" s="1253"/>
      <c r="AF750" s="1263"/>
      <c r="AG750" s="1261"/>
      <c r="AH750" s="1261"/>
      <c r="AI750" s="1261"/>
      <c r="AJ750" s="1261"/>
      <c r="AK750" s="1261"/>
      <c r="AL750" s="1261"/>
      <c r="AM750" s="1261"/>
      <c r="AN750" s="1261"/>
      <c r="AO750" s="1261"/>
      <c r="AP750" s="1261"/>
      <c r="AQ750" s="1264"/>
      <c r="AR750" s="1261"/>
      <c r="AS750" s="1261"/>
      <c r="AT750" s="1261"/>
      <c r="AU750" s="1265"/>
      <c r="AV750" s="1264"/>
      <c r="AW750" s="1261"/>
      <c r="AX750" s="1261"/>
      <c r="AY750" s="1261"/>
      <c r="AZ750" s="1261"/>
      <c r="BA750" s="1261"/>
      <c r="BB750" s="1261"/>
      <c r="BC750" s="1261"/>
      <c r="BD750" s="1261"/>
      <c r="BE750" s="1261"/>
      <c r="BF750" s="1261"/>
      <c r="BG750" s="1261"/>
      <c r="BH750" s="1261"/>
      <c r="BI750" s="1261"/>
      <c r="BJ750" s="1261"/>
      <c r="BK750" s="1265"/>
      <c r="BL750" s="1252"/>
      <c r="BM750" s="1253"/>
      <c r="BN750" s="1253"/>
      <c r="BO750" s="1253"/>
      <c r="BP750" s="1260"/>
      <c r="BQ750" s="1264"/>
      <c r="BR750" s="1261"/>
      <c r="BS750" s="1261"/>
      <c r="BT750" s="1261"/>
      <c r="BU750" s="1265"/>
      <c r="BV750" s="1264"/>
      <c r="BW750" s="1261"/>
      <c r="BX750" s="1261"/>
      <c r="BY750" s="1261"/>
      <c r="BZ750" s="1261"/>
      <c r="CA750" s="1264"/>
      <c r="CB750" s="1261"/>
      <c r="CC750" s="1261"/>
      <c r="CD750" s="1261"/>
      <c r="CE750" s="1265"/>
      <c r="CF750" s="1261"/>
      <c r="CG750" s="1261"/>
      <c r="CH750" s="1261"/>
      <c r="CI750" s="1261"/>
      <c r="CJ750" s="1265"/>
      <c r="CK750" s="1264"/>
      <c r="CL750" s="1261"/>
      <c r="CM750" s="1261"/>
      <c r="CN750" s="1261"/>
      <c r="CO750" s="1265"/>
      <c r="CP750" s="1264"/>
      <c r="CQ750" s="1261"/>
      <c r="CR750" s="1261"/>
      <c r="CS750" s="1261"/>
      <c r="CT750" s="1265"/>
      <c r="CU750" s="1266"/>
      <c r="CV750" s="1267"/>
      <c r="CW750" s="1267"/>
      <c r="CX750" s="1268"/>
      <c r="CY750" s="1267"/>
      <c r="CZ750" s="1267"/>
      <c r="DA750" s="1267"/>
      <c r="DB750" s="1268"/>
      <c r="DC750" s="1253"/>
      <c r="DD750" s="1269">
        <v>1</v>
      </c>
      <c r="DE750" s="1270"/>
    </row>
    <row r="751" spans="1:109" ht="13.15" hidden="1">
      <c r="A751" s="1250"/>
      <c r="B751" s="1251"/>
      <c r="C751" s="1252"/>
      <c r="D751" s="1251"/>
      <c r="E751" s="1251"/>
      <c r="F751" s="1253"/>
      <c r="G751" s="1254"/>
      <c r="H751" s="1255"/>
      <c r="I751" s="1256"/>
      <c r="J751" s="1257"/>
      <c r="K751" s="1257"/>
      <c r="L751" s="1257"/>
      <c r="M751" s="1257"/>
      <c r="N751" s="1257"/>
      <c r="O751" s="1257"/>
      <c r="P751" s="1258"/>
      <c r="Q751" s="795">
        <f t="shared" si="11"/>
        <v>0</v>
      </c>
      <c r="R751" s="1252"/>
      <c r="S751" s="1251"/>
      <c r="T751" s="1260"/>
      <c r="U751" s="1251"/>
      <c r="V751" s="1251"/>
      <c r="W751" s="1251"/>
      <c r="X751" s="1261"/>
      <c r="Y751" s="1262"/>
      <c r="Z751" s="1254"/>
      <c r="AA751" s="1253"/>
      <c r="AB751" s="1253"/>
      <c r="AC751" s="1253"/>
      <c r="AD751" s="1253"/>
      <c r="AE751" s="1253"/>
      <c r="AF751" s="1263"/>
      <c r="AG751" s="1261"/>
      <c r="AH751" s="1261"/>
      <c r="AI751" s="1261"/>
      <c r="AJ751" s="1261"/>
      <c r="AK751" s="1261"/>
      <c r="AL751" s="1261"/>
      <c r="AM751" s="1261"/>
      <c r="AN751" s="1261"/>
      <c r="AO751" s="1261"/>
      <c r="AP751" s="1261"/>
      <c r="AQ751" s="1264"/>
      <c r="AR751" s="1261"/>
      <c r="AS751" s="1261"/>
      <c r="AT751" s="1261"/>
      <c r="AU751" s="1265"/>
      <c r="AV751" s="1264"/>
      <c r="AW751" s="1261"/>
      <c r="AX751" s="1261"/>
      <c r="AY751" s="1261"/>
      <c r="AZ751" s="1261"/>
      <c r="BA751" s="1261"/>
      <c r="BB751" s="1261"/>
      <c r="BC751" s="1261"/>
      <c r="BD751" s="1261"/>
      <c r="BE751" s="1261"/>
      <c r="BF751" s="1261"/>
      <c r="BG751" s="1261"/>
      <c r="BH751" s="1261"/>
      <c r="BI751" s="1261"/>
      <c r="BJ751" s="1261"/>
      <c r="BK751" s="1265"/>
      <c r="BL751" s="1252"/>
      <c r="BM751" s="1253"/>
      <c r="BN751" s="1253"/>
      <c r="BO751" s="1253"/>
      <c r="BP751" s="1260"/>
      <c r="BQ751" s="1264"/>
      <c r="BR751" s="1261"/>
      <c r="BS751" s="1261"/>
      <c r="BT751" s="1261"/>
      <c r="BU751" s="1265"/>
      <c r="BV751" s="1264"/>
      <c r="BW751" s="1261"/>
      <c r="BX751" s="1261"/>
      <c r="BY751" s="1261"/>
      <c r="BZ751" s="1261"/>
      <c r="CA751" s="1264"/>
      <c r="CB751" s="1261"/>
      <c r="CC751" s="1261"/>
      <c r="CD751" s="1261"/>
      <c r="CE751" s="1265"/>
      <c r="CF751" s="1261"/>
      <c r="CG751" s="1261"/>
      <c r="CH751" s="1261"/>
      <c r="CI751" s="1261"/>
      <c r="CJ751" s="1265"/>
      <c r="CK751" s="1264"/>
      <c r="CL751" s="1261"/>
      <c r="CM751" s="1261"/>
      <c r="CN751" s="1261"/>
      <c r="CO751" s="1265"/>
      <c r="CP751" s="1264"/>
      <c r="CQ751" s="1261"/>
      <c r="CR751" s="1261"/>
      <c r="CS751" s="1261"/>
      <c r="CT751" s="1265"/>
      <c r="CU751" s="1266"/>
      <c r="CV751" s="1267"/>
      <c r="CW751" s="1267"/>
      <c r="CX751" s="1268"/>
      <c r="CY751" s="1267"/>
      <c r="CZ751" s="1267"/>
      <c r="DA751" s="1267"/>
      <c r="DB751" s="1268"/>
      <c r="DC751" s="1253"/>
      <c r="DD751" s="1269">
        <v>1</v>
      </c>
      <c r="DE751" s="1270"/>
    </row>
    <row r="752" spans="1:109" ht="13.15" hidden="1">
      <c r="A752" s="1250"/>
      <c r="B752" s="1251"/>
      <c r="C752" s="1252"/>
      <c r="D752" s="1251"/>
      <c r="E752" s="1251"/>
      <c r="F752" s="1253"/>
      <c r="G752" s="1254"/>
      <c r="H752" s="1255"/>
      <c r="I752" s="1256"/>
      <c r="J752" s="1257"/>
      <c r="K752" s="1257"/>
      <c r="L752" s="1257"/>
      <c r="M752" s="1257"/>
      <c r="N752" s="1257"/>
      <c r="O752" s="1257"/>
      <c r="P752" s="1258"/>
      <c r="Q752" s="795">
        <f t="shared" si="11"/>
        <v>0</v>
      </c>
      <c r="R752" s="1252"/>
      <c r="S752" s="1251"/>
      <c r="T752" s="1260"/>
      <c r="U752" s="1251"/>
      <c r="V752" s="1251"/>
      <c r="W752" s="1251"/>
      <c r="X752" s="1261"/>
      <c r="Y752" s="1262"/>
      <c r="Z752" s="1254"/>
      <c r="AA752" s="1253"/>
      <c r="AB752" s="1253"/>
      <c r="AC752" s="1253"/>
      <c r="AD752" s="1253"/>
      <c r="AE752" s="1253"/>
      <c r="AF752" s="1263"/>
      <c r="AG752" s="1261"/>
      <c r="AH752" s="1261"/>
      <c r="AI752" s="1261"/>
      <c r="AJ752" s="1261"/>
      <c r="AK752" s="1261"/>
      <c r="AL752" s="1261"/>
      <c r="AM752" s="1261"/>
      <c r="AN752" s="1261"/>
      <c r="AO752" s="1261"/>
      <c r="AP752" s="1261"/>
      <c r="AQ752" s="1264"/>
      <c r="AR752" s="1261"/>
      <c r="AS752" s="1261"/>
      <c r="AT752" s="1261"/>
      <c r="AU752" s="1265"/>
      <c r="AV752" s="1264"/>
      <c r="AW752" s="1261"/>
      <c r="AX752" s="1261"/>
      <c r="AY752" s="1261"/>
      <c r="AZ752" s="1261"/>
      <c r="BA752" s="1261"/>
      <c r="BB752" s="1261"/>
      <c r="BC752" s="1261"/>
      <c r="BD752" s="1261"/>
      <c r="BE752" s="1261"/>
      <c r="BF752" s="1261"/>
      <c r="BG752" s="1261"/>
      <c r="BH752" s="1261"/>
      <c r="BI752" s="1261"/>
      <c r="BJ752" s="1261"/>
      <c r="BK752" s="1265"/>
      <c r="BL752" s="1252"/>
      <c r="BM752" s="1253"/>
      <c r="BN752" s="1253"/>
      <c r="BO752" s="1253"/>
      <c r="BP752" s="1260"/>
      <c r="BQ752" s="1264"/>
      <c r="BR752" s="1261"/>
      <c r="BS752" s="1261"/>
      <c r="BT752" s="1261"/>
      <c r="BU752" s="1265"/>
      <c r="BV752" s="1264"/>
      <c r="BW752" s="1261"/>
      <c r="BX752" s="1261"/>
      <c r="BY752" s="1261"/>
      <c r="BZ752" s="1261"/>
      <c r="CA752" s="1264"/>
      <c r="CB752" s="1261"/>
      <c r="CC752" s="1261"/>
      <c r="CD752" s="1261"/>
      <c r="CE752" s="1265"/>
      <c r="CF752" s="1261"/>
      <c r="CG752" s="1261"/>
      <c r="CH752" s="1261"/>
      <c r="CI752" s="1261"/>
      <c r="CJ752" s="1265"/>
      <c r="CK752" s="1264"/>
      <c r="CL752" s="1261"/>
      <c r="CM752" s="1261"/>
      <c r="CN752" s="1261"/>
      <c r="CO752" s="1265"/>
      <c r="CP752" s="1264"/>
      <c r="CQ752" s="1261"/>
      <c r="CR752" s="1261"/>
      <c r="CS752" s="1261"/>
      <c r="CT752" s="1265"/>
      <c r="CU752" s="1266"/>
      <c r="CV752" s="1267"/>
      <c r="CW752" s="1267"/>
      <c r="CX752" s="1268"/>
      <c r="CY752" s="1267"/>
      <c r="CZ752" s="1267"/>
      <c r="DA752" s="1267"/>
      <c r="DB752" s="1268"/>
      <c r="DC752" s="1253"/>
      <c r="DD752" s="1269">
        <v>1</v>
      </c>
      <c r="DE752" s="1270"/>
    </row>
    <row r="753" spans="1:109" ht="13.15" hidden="1">
      <c r="A753" s="1250"/>
      <c r="B753" s="1251"/>
      <c r="C753" s="1252"/>
      <c r="D753" s="1251"/>
      <c r="E753" s="1251"/>
      <c r="F753" s="1253"/>
      <c r="G753" s="1254"/>
      <c r="H753" s="1255"/>
      <c r="I753" s="1256"/>
      <c r="J753" s="1257"/>
      <c r="K753" s="1257"/>
      <c r="L753" s="1257"/>
      <c r="M753" s="1257"/>
      <c r="N753" s="1257"/>
      <c r="O753" s="1257"/>
      <c r="P753" s="1258"/>
      <c r="Q753" s="795">
        <f t="shared" si="11"/>
        <v>0</v>
      </c>
      <c r="R753" s="1252"/>
      <c r="S753" s="1251"/>
      <c r="T753" s="1260"/>
      <c r="U753" s="1251"/>
      <c r="V753" s="1251"/>
      <c r="W753" s="1251"/>
      <c r="X753" s="1261"/>
      <c r="Y753" s="1262"/>
      <c r="Z753" s="1254"/>
      <c r="AA753" s="1253"/>
      <c r="AB753" s="1253"/>
      <c r="AC753" s="1253"/>
      <c r="AD753" s="1253"/>
      <c r="AE753" s="1253"/>
      <c r="AF753" s="1263"/>
      <c r="AG753" s="1261"/>
      <c r="AH753" s="1261"/>
      <c r="AI753" s="1261"/>
      <c r="AJ753" s="1261"/>
      <c r="AK753" s="1261"/>
      <c r="AL753" s="1261"/>
      <c r="AM753" s="1261"/>
      <c r="AN753" s="1261"/>
      <c r="AO753" s="1261"/>
      <c r="AP753" s="1261"/>
      <c r="AQ753" s="1264"/>
      <c r="AR753" s="1261"/>
      <c r="AS753" s="1261"/>
      <c r="AT753" s="1261"/>
      <c r="AU753" s="1265"/>
      <c r="AV753" s="1264"/>
      <c r="AW753" s="1261"/>
      <c r="AX753" s="1261"/>
      <c r="AY753" s="1261"/>
      <c r="AZ753" s="1261"/>
      <c r="BA753" s="1261"/>
      <c r="BB753" s="1261"/>
      <c r="BC753" s="1261"/>
      <c r="BD753" s="1261"/>
      <c r="BE753" s="1261"/>
      <c r="BF753" s="1261"/>
      <c r="BG753" s="1261"/>
      <c r="BH753" s="1261"/>
      <c r="BI753" s="1261"/>
      <c r="BJ753" s="1261"/>
      <c r="BK753" s="1265"/>
      <c r="BL753" s="1252"/>
      <c r="BM753" s="1253"/>
      <c r="BN753" s="1253"/>
      <c r="BO753" s="1253"/>
      <c r="BP753" s="1260"/>
      <c r="BQ753" s="1264"/>
      <c r="BR753" s="1261"/>
      <c r="BS753" s="1261"/>
      <c r="BT753" s="1261"/>
      <c r="BU753" s="1265"/>
      <c r="BV753" s="1264"/>
      <c r="BW753" s="1261"/>
      <c r="BX753" s="1261"/>
      <c r="BY753" s="1261"/>
      <c r="BZ753" s="1261"/>
      <c r="CA753" s="1264"/>
      <c r="CB753" s="1261"/>
      <c r="CC753" s="1261"/>
      <c r="CD753" s="1261"/>
      <c r="CE753" s="1265"/>
      <c r="CF753" s="1261"/>
      <c r="CG753" s="1261"/>
      <c r="CH753" s="1261"/>
      <c r="CI753" s="1261"/>
      <c r="CJ753" s="1265"/>
      <c r="CK753" s="1264"/>
      <c r="CL753" s="1261"/>
      <c r="CM753" s="1261"/>
      <c r="CN753" s="1261"/>
      <c r="CO753" s="1265"/>
      <c r="CP753" s="1264"/>
      <c r="CQ753" s="1261"/>
      <c r="CR753" s="1261"/>
      <c r="CS753" s="1261"/>
      <c r="CT753" s="1265"/>
      <c r="CU753" s="1266"/>
      <c r="CV753" s="1267"/>
      <c r="CW753" s="1267"/>
      <c r="CX753" s="1268"/>
      <c r="CY753" s="1267"/>
      <c r="CZ753" s="1267"/>
      <c r="DA753" s="1267"/>
      <c r="DB753" s="1268"/>
      <c r="DC753" s="1253"/>
      <c r="DD753" s="1269">
        <v>1</v>
      </c>
      <c r="DE753" s="1270"/>
    </row>
    <row r="754" spans="1:109" ht="13.15" hidden="1">
      <c r="A754" s="1250"/>
      <c r="B754" s="1251"/>
      <c r="C754" s="1252"/>
      <c r="D754" s="1251"/>
      <c r="E754" s="1251"/>
      <c r="F754" s="1253"/>
      <c r="G754" s="1254"/>
      <c r="H754" s="1255"/>
      <c r="I754" s="1256"/>
      <c r="J754" s="1257"/>
      <c r="K754" s="1257"/>
      <c r="L754" s="1257"/>
      <c r="M754" s="1257"/>
      <c r="N754" s="1257"/>
      <c r="O754" s="1257"/>
      <c r="P754" s="1258"/>
      <c r="Q754" s="795">
        <f t="shared" si="11"/>
        <v>0</v>
      </c>
      <c r="R754" s="1252"/>
      <c r="S754" s="1251"/>
      <c r="T754" s="1260"/>
      <c r="U754" s="1251"/>
      <c r="V754" s="1251"/>
      <c r="W754" s="1251"/>
      <c r="X754" s="1261"/>
      <c r="Y754" s="1262"/>
      <c r="Z754" s="1254"/>
      <c r="AA754" s="1253"/>
      <c r="AB754" s="1253"/>
      <c r="AC754" s="1253"/>
      <c r="AD754" s="1253"/>
      <c r="AE754" s="1253"/>
      <c r="AF754" s="1263"/>
      <c r="AG754" s="1261"/>
      <c r="AH754" s="1261"/>
      <c r="AI754" s="1261"/>
      <c r="AJ754" s="1261"/>
      <c r="AK754" s="1261"/>
      <c r="AL754" s="1261"/>
      <c r="AM754" s="1261"/>
      <c r="AN754" s="1261"/>
      <c r="AO754" s="1261"/>
      <c r="AP754" s="1261"/>
      <c r="AQ754" s="1264"/>
      <c r="AR754" s="1261"/>
      <c r="AS754" s="1261"/>
      <c r="AT754" s="1261"/>
      <c r="AU754" s="1265"/>
      <c r="AV754" s="1264"/>
      <c r="AW754" s="1261"/>
      <c r="AX754" s="1261"/>
      <c r="AY754" s="1261"/>
      <c r="AZ754" s="1261"/>
      <c r="BA754" s="1261"/>
      <c r="BB754" s="1261"/>
      <c r="BC754" s="1261"/>
      <c r="BD754" s="1261"/>
      <c r="BE754" s="1261"/>
      <c r="BF754" s="1261"/>
      <c r="BG754" s="1261"/>
      <c r="BH754" s="1261"/>
      <c r="BI754" s="1261"/>
      <c r="BJ754" s="1261"/>
      <c r="BK754" s="1265"/>
      <c r="BL754" s="1252"/>
      <c r="BM754" s="1253"/>
      <c r="BN754" s="1253"/>
      <c r="BO754" s="1253"/>
      <c r="BP754" s="1260"/>
      <c r="BQ754" s="1264"/>
      <c r="BR754" s="1261"/>
      <c r="BS754" s="1261"/>
      <c r="BT754" s="1261"/>
      <c r="BU754" s="1265"/>
      <c r="BV754" s="1264"/>
      <c r="BW754" s="1261"/>
      <c r="BX754" s="1261"/>
      <c r="BY754" s="1261"/>
      <c r="BZ754" s="1261"/>
      <c r="CA754" s="1264"/>
      <c r="CB754" s="1261"/>
      <c r="CC754" s="1261"/>
      <c r="CD754" s="1261"/>
      <c r="CE754" s="1265"/>
      <c r="CF754" s="1261"/>
      <c r="CG754" s="1261"/>
      <c r="CH754" s="1261"/>
      <c r="CI754" s="1261"/>
      <c r="CJ754" s="1265"/>
      <c r="CK754" s="1264"/>
      <c r="CL754" s="1261"/>
      <c r="CM754" s="1261"/>
      <c r="CN754" s="1261"/>
      <c r="CO754" s="1265"/>
      <c r="CP754" s="1264"/>
      <c r="CQ754" s="1261"/>
      <c r="CR754" s="1261"/>
      <c r="CS754" s="1261"/>
      <c r="CT754" s="1265"/>
      <c r="CU754" s="1266"/>
      <c r="CV754" s="1267"/>
      <c r="CW754" s="1267"/>
      <c r="CX754" s="1268"/>
      <c r="CY754" s="1267"/>
      <c r="CZ754" s="1267"/>
      <c r="DA754" s="1267"/>
      <c r="DB754" s="1268"/>
      <c r="DC754" s="1253"/>
      <c r="DD754" s="1269">
        <v>1</v>
      </c>
      <c r="DE754" s="1270"/>
    </row>
    <row r="755" spans="1:109" ht="13.15" hidden="1">
      <c r="A755" s="1250"/>
      <c r="B755" s="1251"/>
      <c r="C755" s="1252"/>
      <c r="D755" s="1251"/>
      <c r="E755" s="1251"/>
      <c r="F755" s="1253"/>
      <c r="G755" s="1254"/>
      <c r="H755" s="1255"/>
      <c r="I755" s="1256"/>
      <c r="J755" s="1257"/>
      <c r="K755" s="1257"/>
      <c r="L755" s="1257"/>
      <c r="M755" s="1257"/>
      <c r="N755" s="1257"/>
      <c r="O755" s="1257"/>
      <c r="P755" s="1258"/>
      <c r="Q755" s="795">
        <f t="shared" si="11"/>
        <v>0</v>
      </c>
      <c r="R755" s="1252"/>
      <c r="S755" s="1251"/>
      <c r="T755" s="1260"/>
      <c r="U755" s="1251"/>
      <c r="V755" s="1251"/>
      <c r="W755" s="1251"/>
      <c r="X755" s="1261"/>
      <c r="Y755" s="1262"/>
      <c r="Z755" s="1254"/>
      <c r="AA755" s="1253"/>
      <c r="AB755" s="1253"/>
      <c r="AC755" s="1253"/>
      <c r="AD755" s="1253"/>
      <c r="AE755" s="1253"/>
      <c r="AF755" s="1263"/>
      <c r="AG755" s="1261"/>
      <c r="AH755" s="1261"/>
      <c r="AI755" s="1261"/>
      <c r="AJ755" s="1261"/>
      <c r="AK755" s="1261"/>
      <c r="AL755" s="1261"/>
      <c r="AM755" s="1261"/>
      <c r="AN755" s="1261"/>
      <c r="AO755" s="1261"/>
      <c r="AP755" s="1261"/>
      <c r="AQ755" s="1264"/>
      <c r="AR755" s="1261"/>
      <c r="AS755" s="1261"/>
      <c r="AT755" s="1261"/>
      <c r="AU755" s="1265"/>
      <c r="AV755" s="1264"/>
      <c r="AW755" s="1261"/>
      <c r="AX755" s="1261"/>
      <c r="AY755" s="1261"/>
      <c r="AZ755" s="1261"/>
      <c r="BA755" s="1261"/>
      <c r="BB755" s="1261"/>
      <c r="BC755" s="1261"/>
      <c r="BD755" s="1261"/>
      <c r="BE755" s="1261"/>
      <c r="BF755" s="1261"/>
      <c r="BG755" s="1261"/>
      <c r="BH755" s="1261"/>
      <c r="BI755" s="1261"/>
      <c r="BJ755" s="1261"/>
      <c r="BK755" s="1265"/>
      <c r="BL755" s="1252"/>
      <c r="BM755" s="1253"/>
      <c r="BN755" s="1253"/>
      <c r="BO755" s="1253"/>
      <c r="BP755" s="1260"/>
      <c r="BQ755" s="1264"/>
      <c r="BR755" s="1261"/>
      <c r="BS755" s="1261"/>
      <c r="BT755" s="1261"/>
      <c r="BU755" s="1265"/>
      <c r="BV755" s="1264"/>
      <c r="BW755" s="1261"/>
      <c r="BX755" s="1261"/>
      <c r="BY755" s="1261"/>
      <c r="BZ755" s="1261"/>
      <c r="CA755" s="1264"/>
      <c r="CB755" s="1261"/>
      <c r="CC755" s="1261"/>
      <c r="CD755" s="1261"/>
      <c r="CE755" s="1265"/>
      <c r="CF755" s="1261"/>
      <c r="CG755" s="1261"/>
      <c r="CH755" s="1261"/>
      <c r="CI755" s="1261"/>
      <c r="CJ755" s="1265"/>
      <c r="CK755" s="1264"/>
      <c r="CL755" s="1261"/>
      <c r="CM755" s="1261"/>
      <c r="CN755" s="1261"/>
      <c r="CO755" s="1265"/>
      <c r="CP755" s="1264"/>
      <c r="CQ755" s="1261"/>
      <c r="CR755" s="1261"/>
      <c r="CS755" s="1261"/>
      <c r="CT755" s="1265"/>
      <c r="CU755" s="1266"/>
      <c r="CV755" s="1267"/>
      <c r="CW755" s="1267"/>
      <c r="CX755" s="1268"/>
      <c r="CY755" s="1267"/>
      <c r="CZ755" s="1267"/>
      <c r="DA755" s="1267"/>
      <c r="DB755" s="1268"/>
      <c r="DC755" s="1253"/>
      <c r="DD755" s="1269">
        <v>1</v>
      </c>
      <c r="DE755" s="1270"/>
    </row>
    <row r="756" spans="1:109" ht="13.15" hidden="1">
      <c r="A756" s="1250"/>
      <c r="B756" s="1251"/>
      <c r="C756" s="1252"/>
      <c r="D756" s="1251"/>
      <c r="E756" s="1251"/>
      <c r="F756" s="1253"/>
      <c r="G756" s="1254"/>
      <c r="H756" s="1255"/>
      <c r="I756" s="1256"/>
      <c r="J756" s="1257"/>
      <c r="K756" s="1257"/>
      <c r="L756" s="1257"/>
      <c r="M756" s="1257"/>
      <c r="N756" s="1257"/>
      <c r="O756" s="1257"/>
      <c r="P756" s="1258"/>
      <c r="Q756" s="795">
        <f t="shared" si="11"/>
        <v>0</v>
      </c>
      <c r="R756" s="1252"/>
      <c r="S756" s="1251"/>
      <c r="T756" s="1260"/>
      <c r="U756" s="1251"/>
      <c r="V756" s="1251"/>
      <c r="W756" s="1251"/>
      <c r="X756" s="1261"/>
      <c r="Y756" s="1262"/>
      <c r="Z756" s="1254"/>
      <c r="AA756" s="1253"/>
      <c r="AB756" s="1253"/>
      <c r="AC756" s="1253"/>
      <c r="AD756" s="1253"/>
      <c r="AE756" s="1253"/>
      <c r="AF756" s="1263"/>
      <c r="AG756" s="1261"/>
      <c r="AH756" s="1261"/>
      <c r="AI756" s="1261"/>
      <c r="AJ756" s="1261"/>
      <c r="AK756" s="1261"/>
      <c r="AL756" s="1261"/>
      <c r="AM756" s="1261"/>
      <c r="AN756" s="1261"/>
      <c r="AO756" s="1261"/>
      <c r="AP756" s="1261"/>
      <c r="AQ756" s="1264"/>
      <c r="AR756" s="1261"/>
      <c r="AS756" s="1261"/>
      <c r="AT756" s="1261"/>
      <c r="AU756" s="1265"/>
      <c r="AV756" s="1264"/>
      <c r="AW756" s="1261"/>
      <c r="AX756" s="1261"/>
      <c r="AY756" s="1261"/>
      <c r="AZ756" s="1261"/>
      <c r="BA756" s="1261"/>
      <c r="BB756" s="1261"/>
      <c r="BC756" s="1261"/>
      <c r="BD756" s="1261"/>
      <c r="BE756" s="1261"/>
      <c r="BF756" s="1261"/>
      <c r="BG756" s="1261"/>
      <c r="BH756" s="1261"/>
      <c r="BI756" s="1261"/>
      <c r="BJ756" s="1261"/>
      <c r="BK756" s="1265"/>
      <c r="BL756" s="1252"/>
      <c r="BM756" s="1253"/>
      <c r="BN756" s="1253"/>
      <c r="BO756" s="1253"/>
      <c r="BP756" s="1260"/>
      <c r="BQ756" s="1264"/>
      <c r="BR756" s="1261"/>
      <c r="BS756" s="1261"/>
      <c r="BT756" s="1261"/>
      <c r="BU756" s="1265"/>
      <c r="BV756" s="1264"/>
      <c r="BW756" s="1261"/>
      <c r="BX756" s="1261"/>
      <c r="BY756" s="1261"/>
      <c r="BZ756" s="1261"/>
      <c r="CA756" s="1264"/>
      <c r="CB756" s="1261"/>
      <c r="CC756" s="1261"/>
      <c r="CD756" s="1261"/>
      <c r="CE756" s="1265"/>
      <c r="CF756" s="1261"/>
      <c r="CG756" s="1261"/>
      <c r="CH756" s="1261"/>
      <c r="CI756" s="1261"/>
      <c r="CJ756" s="1265"/>
      <c r="CK756" s="1264"/>
      <c r="CL756" s="1261"/>
      <c r="CM756" s="1261"/>
      <c r="CN756" s="1261"/>
      <c r="CO756" s="1265"/>
      <c r="CP756" s="1264"/>
      <c r="CQ756" s="1261"/>
      <c r="CR756" s="1261"/>
      <c r="CS756" s="1261"/>
      <c r="CT756" s="1265"/>
      <c r="CU756" s="1266"/>
      <c r="CV756" s="1267"/>
      <c r="CW756" s="1267"/>
      <c r="CX756" s="1268"/>
      <c r="CY756" s="1267"/>
      <c r="CZ756" s="1267"/>
      <c r="DA756" s="1267"/>
      <c r="DB756" s="1268"/>
      <c r="DC756" s="1253"/>
      <c r="DD756" s="1269">
        <v>1</v>
      </c>
      <c r="DE756" s="1270"/>
    </row>
    <row r="757" spans="1:109" ht="13.15" hidden="1">
      <c r="A757" s="1250"/>
      <c r="B757" s="1251"/>
      <c r="C757" s="1252"/>
      <c r="D757" s="1251"/>
      <c r="E757" s="1251"/>
      <c r="F757" s="1253"/>
      <c r="G757" s="1254"/>
      <c r="H757" s="1255"/>
      <c r="I757" s="1256"/>
      <c r="J757" s="1257"/>
      <c r="K757" s="1257"/>
      <c r="L757" s="1257"/>
      <c r="M757" s="1257"/>
      <c r="N757" s="1257"/>
      <c r="O757" s="1257"/>
      <c r="P757" s="1258"/>
      <c r="Q757" s="795">
        <f t="shared" si="11"/>
        <v>0</v>
      </c>
      <c r="R757" s="1252"/>
      <c r="S757" s="1251"/>
      <c r="T757" s="1260"/>
      <c r="U757" s="1251"/>
      <c r="V757" s="1251"/>
      <c r="W757" s="1251"/>
      <c r="X757" s="1261"/>
      <c r="Y757" s="1262"/>
      <c r="Z757" s="1254"/>
      <c r="AA757" s="1253"/>
      <c r="AB757" s="1253"/>
      <c r="AC757" s="1253"/>
      <c r="AD757" s="1253"/>
      <c r="AE757" s="1253"/>
      <c r="AF757" s="1263"/>
      <c r="AG757" s="1261"/>
      <c r="AH757" s="1261"/>
      <c r="AI757" s="1261"/>
      <c r="AJ757" s="1261"/>
      <c r="AK757" s="1261"/>
      <c r="AL757" s="1261"/>
      <c r="AM757" s="1261"/>
      <c r="AN757" s="1261"/>
      <c r="AO757" s="1261"/>
      <c r="AP757" s="1261"/>
      <c r="AQ757" s="1264"/>
      <c r="AR757" s="1261"/>
      <c r="AS757" s="1261"/>
      <c r="AT757" s="1261"/>
      <c r="AU757" s="1265"/>
      <c r="AV757" s="1264"/>
      <c r="AW757" s="1261"/>
      <c r="AX757" s="1261"/>
      <c r="AY757" s="1261"/>
      <c r="AZ757" s="1261"/>
      <c r="BA757" s="1261"/>
      <c r="BB757" s="1261"/>
      <c r="BC757" s="1261"/>
      <c r="BD757" s="1261"/>
      <c r="BE757" s="1261"/>
      <c r="BF757" s="1261"/>
      <c r="BG757" s="1261"/>
      <c r="BH757" s="1261"/>
      <c r="BI757" s="1261"/>
      <c r="BJ757" s="1261"/>
      <c r="BK757" s="1265"/>
      <c r="BL757" s="1252"/>
      <c r="BM757" s="1253"/>
      <c r="BN757" s="1253"/>
      <c r="BO757" s="1253"/>
      <c r="BP757" s="1260"/>
      <c r="BQ757" s="1264"/>
      <c r="BR757" s="1261"/>
      <c r="BS757" s="1261"/>
      <c r="BT757" s="1261"/>
      <c r="BU757" s="1265"/>
      <c r="BV757" s="1264"/>
      <c r="BW757" s="1261"/>
      <c r="BX757" s="1261"/>
      <c r="BY757" s="1261"/>
      <c r="BZ757" s="1261"/>
      <c r="CA757" s="1264"/>
      <c r="CB757" s="1261"/>
      <c r="CC757" s="1261"/>
      <c r="CD757" s="1261"/>
      <c r="CE757" s="1265"/>
      <c r="CF757" s="1261"/>
      <c r="CG757" s="1261"/>
      <c r="CH757" s="1261"/>
      <c r="CI757" s="1261"/>
      <c r="CJ757" s="1265"/>
      <c r="CK757" s="1264"/>
      <c r="CL757" s="1261"/>
      <c r="CM757" s="1261"/>
      <c r="CN757" s="1261"/>
      <c r="CO757" s="1265"/>
      <c r="CP757" s="1264"/>
      <c r="CQ757" s="1261"/>
      <c r="CR757" s="1261"/>
      <c r="CS757" s="1261"/>
      <c r="CT757" s="1265"/>
      <c r="CU757" s="1266"/>
      <c r="CV757" s="1267"/>
      <c r="CW757" s="1267"/>
      <c r="CX757" s="1268"/>
      <c r="CY757" s="1267"/>
      <c r="CZ757" s="1267"/>
      <c r="DA757" s="1267"/>
      <c r="DB757" s="1268"/>
      <c r="DC757" s="1253"/>
      <c r="DD757" s="1269">
        <v>1</v>
      </c>
      <c r="DE757" s="1270"/>
    </row>
    <row r="758" spans="1:109" ht="13.15" hidden="1">
      <c r="A758" s="1250"/>
      <c r="B758" s="1251"/>
      <c r="C758" s="1252"/>
      <c r="D758" s="1251"/>
      <c r="E758" s="1251"/>
      <c r="F758" s="1253"/>
      <c r="G758" s="1254"/>
      <c r="H758" s="1255"/>
      <c r="I758" s="1256"/>
      <c r="J758" s="1257"/>
      <c r="K758" s="1257"/>
      <c r="L758" s="1257"/>
      <c r="M758" s="1257"/>
      <c r="N758" s="1257"/>
      <c r="O758" s="1257"/>
      <c r="P758" s="1258"/>
      <c r="Q758" s="795">
        <f t="shared" si="11"/>
        <v>0</v>
      </c>
      <c r="R758" s="1252"/>
      <c r="S758" s="1251"/>
      <c r="T758" s="1260"/>
      <c r="U758" s="1251"/>
      <c r="V758" s="1251"/>
      <c r="W758" s="1251"/>
      <c r="X758" s="1261"/>
      <c r="Y758" s="1262"/>
      <c r="Z758" s="1254"/>
      <c r="AA758" s="1253"/>
      <c r="AB758" s="1253"/>
      <c r="AC758" s="1253"/>
      <c r="AD758" s="1253"/>
      <c r="AE758" s="1253"/>
      <c r="AF758" s="1263"/>
      <c r="AG758" s="1261"/>
      <c r="AH758" s="1261"/>
      <c r="AI758" s="1261"/>
      <c r="AJ758" s="1261"/>
      <c r="AK758" s="1261"/>
      <c r="AL758" s="1261"/>
      <c r="AM758" s="1261"/>
      <c r="AN758" s="1261"/>
      <c r="AO758" s="1261"/>
      <c r="AP758" s="1261"/>
      <c r="AQ758" s="1264"/>
      <c r="AR758" s="1261"/>
      <c r="AS758" s="1261"/>
      <c r="AT758" s="1261"/>
      <c r="AU758" s="1265"/>
      <c r="AV758" s="1264"/>
      <c r="AW758" s="1261"/>
      <c r="AX758" s="1261"/>
      <c r="AY758" s="1261"/>
      <c r="AZ758" s="1261"/>
      <c r="BA758" s="1261"/>
      <c r="BB758" s="1261"/>
      <c r="BC758" s="1261"/>
      <c r="BD758" s="1261"/>
      <c r="BE758" s="1261"/>
      <c r="BF758" s="1261"/>
      <c r="BG758" s="1261"/>
      <c r="BH758" s="1261"/>
      <c r="BI758" s="1261"/>
      <c r="BJ758" s="1261"/>
      <c r="BK758" s="1265"/>
      <c r="BL758" s="1252"/>
      <c r="BM758" s="1253"/>
      <c r="BN758" s="1253"/>
      <c r="BO758" s="1253"/>
      <c r="BP758" s="1260"/>
      <c r="BQ758" s="1264"/>
      <c r="BR758" s="1261"/>
      <c r="BS758" s="1261"/>
      <c r="BT758" s="1261"/>
      <c r="BU758" s="1265"/>
      <c r="BV758" s="1264"/>
      <c r="BW758" s="1261"/>
      <c r="BX758" s="1261"/>
      <c r="BY758" s="1261"/>
      <c r="BZ758" s="1261"/>
      <c r="CA758" s="1264"/>
      <c r="CB758" s="1261"/>
      <c r="CC758" s="1261"/>
      <c r="CD758" s="1261"/>
      <c r="CE758" s="1265"/>
      <c r="CF758" s="1261"/>
      <c r="CG758" s="1261"/>
      <c r="CH758" s="1261"/>
      <c r="CI758" s="1261"/>
      <c r="CJ758" s="1265"/>
      <c r="CK758" s="1264"/>
      <c r="CL758" s="1261"/>
      <c r="CM758" s="1261"/>
      <c r="CN758" s="1261"/>
      <c r="CO758" s="1265"/>
      <c r="CP758" s="1264"/>
      <c r="CQ758" s="1261"/>
      <c r="CR758" s="1261"/>
      <c r="CS758" s="1261"/>
      <c r="CT758" s="1265"/>
      <c r="CU758" s="1266"/>
      <c r="CV758" s="1267"/>
      <c r="CW758" s="1267"/>
      <c r="CX758" s="1268"/>
      <c r="CY758" s="1267"/>
      <c r="CZ758" s="1267"/>
      <c r="DA758" s="1267"/>
      <c r="DB758" s="1268"/>
      <c r="DC758" s="1253"/>
      <c r="DD758" s="1269">
        <v>1</v>
      </c>
      <c r="DE758" s="1270"/>
    </row>
    <row r="759" spans="1:109" ht="13.15" hidden="1">
      <c r="A759" s="1250"/>
      <c r="B759" s="1251"/>
      <c r="C759" s="1252"/>
      <c r="D759" s="1251"/>
      <c r="E759" s="1251"/>
      <c r="F759" s="1253"/>
      <c r="G759" s="1254"/>
      <c r="H759" s="1255"/>
      <c r="I759" s="1256"/>
      <c r="J759" s="1257"/>
      <c r="K759" s="1257"/>
      <c r="L759" s="1257"/>
      <c r="M759" s="1257"/>
      <c r="N759" s="1257"/>
      <c r="O759" s="1257"/>
      <c r="P759" s="1258"/>
      <c r="Q759" s="795">
        <f t="shared" si="11"/>
        <v>0</v>
      </c>
      <c r="R759" s="1252"/>
      <c r="S759" s="1251"/>
      <c r="T759" s="1260"/>
      <c r="U759" s="1251"/>
      <c r="V759" s="1251"/>
      <c r="W759" s="1251"/>
      <c r="X759" s="1261"/>
      <c r="Y759" s="1262"/>
      <c r="Z759" s="1254"/>
      <c r="AA759" s="1253"/>
      <c r="AB759" s="1253"/>
      <c r="AC759" s="1253"/>
      <c r="AD759" s="1253"/>
      <c r="AE759" s="1253"/>
      <c r="AF759" s="1263"/>
      <c r="AG759" s="1261"/>
      <c r="AH759" s="1261"/>
      <c r="AI759" s="1261"/>
      <c r="AJ759" s="1261"/>
      <c r="AK759" s="1261"/>
      <c r="AL759" s="1261"/>
      <c r="AM759" s="1261"/>
      <c r="AN759" s="1261"/>
      <c r="AO759" s="1261"/>
      <c r="AP759" s="1261"/>
      <c r="AQ759" s="1264"/>
      <c r="AR759" s="1261"/>
      <c r="AS759" s="1261"/>
      <c r="AT759" s="1261"/>
      <c r="AU759" s="1265"/>
      <c r="AV759" s="1264"/>
      <c r="AW759" s="1261"/>
      <c r="AX759" s="1261"/>
      <c r="AY759" s="1261"/>
      <c r="AZ759" s="1261"/>
      <c r="BA759" s="1261"/>
      <c r="BB759" s="1261"/>
      <c r="BC759" s="1261"/>
      <c r="BD759" s="1261"/>
      <c r="BE759" s="1261"/>
      <c r="BF759" s="1261"/>
      <c r="BG759" s="1261"/>
      <c r="BH759" s="1261"/>
      <c r="BI759" s="1261"/>
      <c r="BJ759" s="1261"/>
      <c r="BK759" s="1265"/>
      <c r="BL759" s="1252"/>
      <c r="BM759" s="1253"/>
      <c r="BN759" s="1253"/>
      <c r="BO759" s="1253"/>
      <c r="BP759" s="1260"/>
      <c r="BQ759" s="1264"/>
      <c r="BR759" s="1261"/>
      <c r="BS759" s="1261"/>
      <c r="BT759" s="1261"/>
      <c r="BU759" s="1265"/>
      <c r="BV759" s="1264"/>
      <c r="BW759" s="1261"/>
      <c r="BX759" s="1261"/>
      <c r="BY759" s="1261"/>
      <c r="BZ759" s="1261"/>
      <c r="CA759" s="1264"/>
      <c r="CB759" s="1261"/>
      <c r="CC759" s="1261"/>
      <c r="CD759" s="1261"/>
      <c r="CE759" s="1265"/>
      <c r="CF759" s="1261"/>
      <c r="CG759" s="1261"/>
      <c r="CH759" s="1261"/>
      <c r="CI759" s="1261"/>
      <c r="CJ759" s="1265"/>
      <c r="CK759" s="1264"/>
      <c r="CL759" s="1261"/>
      <c r="CM759" s="1261"/>
      <c r="CN759" s="1261"/>
      <c r="CO759" s="1265"/>
      <c r="CP759" s="1264"/>
      <c r="CQ759" s="1261"/>
      <c r="CR759" s="1261"/>
      <c r="CS759" s="1261"/>
      <c r="CT759" s="1265"/>
      <c r="CU759" s="1266"/>
      <c r="CV759" s="1267"/>
      <c r="CW759" s="1267"/>
      <c r="CX759" s="1268"/>
      <c r="CY759" s="1267"/>
      <c r="CZ759" s="1267"/>
      <c r="DA759" s="1267"/>
      <c r="DB759" s="1268"/>
      <c r="DC759" s="1253"/>
      <c r="DD759" s="1269">
        <v>1</v>
      </c>
      <c r="DE759" s="1270"/>
    </row>
    <row r="760" spans="1:109" ht="13.15" hidden="1">
      <c r="A760" s="1250"/>
      <c r="B760" s="1251"/>
      <c r="C760" s="1252"/>
      <c r="D760" s="1251"/>
      <c r="E760" s="1251"/>
      <c r="F760" s="1253"/>
      <c r="G760" s="1254"/>
      <c r="H760" s="1255"/>
      <c r="I760" s="1256"/>
      <c r="J760" s="1257"/>
      <c r="K760" s="1257"/>
      <c r="L760" s="1257"/>
      <c r="M760" s="1257"/>
      <c r="N760" s="1257"/>
      <c r="O760" s="1257"/>
      <c r="P760" s="1258"/>
      <c r="Q760" s="795">
        <f t="shared" si="11"/>
        <v>0</v>
      </c>
      <c r="R760" s="1252"/>
      <c r="S760" s="1251"/>
      <c r="T760" s="1260"/>
      <c r="U760" s="1251"/>
      <c r="V760" s="1251"/>
      <c r="W760" s="1251"/>
      <c r="X760" s="1261"/>
      <c r="Y760" s="1262"/>
      <c r="Z760" s="1254"/>
      <c r="AA760" s="1253"/>
      <c r="AB760" s="1253"/>
      <c r="AC760" s="1253"/>
      <c r="AD760" s="1253"/>
      <c r="AE760" s="1253"/>
      <c r="AF760" s="1263"/>
      <c r="AG760" s="1261"/>
      <c r="AH760" s="1261"/>
      <c r="AI760" s="1261"/>
      <c r="AJ760" s="1261"/>
      <c r="AK760" s="1261"/>
      <c r="AL760" s="1261"/>
      <c r="AM760" s="1261"/>
      <c r="AN760" s="1261"/>
      <c r="AO760" s="1261"/>
      <c r="AP760" s="1261"/>
      <c r="AQ760" s="1264"/>
      <c r="AR760" s="1261"/>
      <c r="AS760" s="1261"/>
      <c r="AT760" s="1261"/>
      <c r="AU760" s="1265"/>
      <c r="AV760" s="1264"/>
      <c r="AW760" s="1261"/>
      <c r="AX760" s="1261"/>
      <c r="AY760" s="1261"/>
      <c r="AZ760" s="1261"/>
      <c r="BA760" s="1261"/>
      <c r="BB760" s="1261"/>
      <c r="BC760" s="1261"/>
      <c r="BD760" s="1261"/>
      <c r="BE760" s="1261"/>
      <c r="BF760" s="1261"/>
      <c r="BG760" s="1261"/>
      <c r="BH760" s="1261"/>
      <c r="BI760" s="1261"/>
      <c r="BJ760" s="1261"/>
      <c r="BK760" s="1265"/>
      <c r="BL760" s="1252"/>
      <c r="BM760" s="1253"/>
      <c r="BN760" s="1253"/>
      <c r="BO760" s="1253"/>
      <c r="BP760" s="1260"/>
      <c r="BQ760" s="1264"/>
      <c r="BR760" s="1261"/>
      <c r="BS760" s="1261"/>
      <c r="BT760" s="1261"/>
      <c r="BU760" s="1265"/>
      <c r="BV760" s="1264"/>
      <c r="BW760" s="1261"/>
      <c r="BX760" s="1261"/>
      <c r="BY760" s="1261"/>
      <c r="BZ760" s="1261"/>
      <c r="CA760" s="1264"/>
      <c r="CB760" s="1261"/>
      <c r="CC760" s="1261"/>
      <c r="CD760" s="1261"/>
      <c r="CE760" s="1265"/>
      <c r="CF760" s="1261"/>
      <c r="CG760" s="1261"/>
      <c r="CH760" s="1261"/>
      <c r="CI760" s="1261"/>
      <c r="CJ760" s="1265"/>
      <c r="CK760" s="1264"/>
      <c r="CL760" s="1261"/>
      <c r="CM760" s="1261"/>
      <c r="CN760" s="1261"/>
      <c r="CO760" s="1265"/>
      <c r="CP760" s="1264"/>
      <c r="CQ760" s="1261"/>
      <c r="CR760" s="1261"/>
      <c r="CS760" s="1261"/>
      <c r="CT760" s="1265"/>
      <c r="CU760" s="1266"/>
      <c r="CV760" s="1267"/>
      <c r="CW760" s="1267"/>
      <c r="CX760" s="1268"/>
      <c r="CY760" s="1267"/>
      <c r="CZ760" s="1267"/>
      <c r="DA760" s="1267"/>
      <c r="DB760" s="1268"/>
      <c r="DC760" s="1253"/>
      <c r="DD760" s="1269">
        <v>1</v>
      </c>
      <c r="DE760" s="1270"/>
    </row>
    <row r="761" spans="1:109" ht="13.15" hidden="1">
      <c r="A761" s="1250"/>
      <c r="B761" s="1251"/>
      <c r="C761" s="1252"/>
      <c r="D761" s="1251"/>
      <c r="E761" s="1251"/>
      <c r="F761" s="1253"/>
      <c r="G761" s="1254"/>
      <c r="H761" s="1255"/>
      <c r="I761" s="1256"/>
      <c r="J761" s="1257"/>
      <c r="K761" s="1257"/>
      <c r="L761" s="1257"/>
      <c r="M761" s="1257"/>
      <c r="N761" s="1257"/>
      <c r="O761" s="1257"/>
      <c r="P761" s="1258"/>
      <c r="Q761" s="795">
        <f t="shared" si="11"/>
        <v>0</v>
      </c>
      <c r="R761" s="1252"/>
      <c r="S761" s="1251"/>
      <c r="T761" s="1260"/>
      <c r="U761" s="1251"/>
      <c r="V761" s="1251"/>
      <c r="W761" s="1251"/>
      <c r="X761" s="1261"/>
      <c r="Y761" s="1262"/>
      <c r="Z761" s="1254"/>
      <c r="AA761" s="1253"/>
      <c r="AB761" s="1253"/>
      <c r="AC761" s="1253"/>
      <c r="AD761" s="1253"/>
      <c r="AE761" s="1253"/>
      <c r="AF761" s="1263"/>
      <c r="AG761" s="1261"/>
      <c r="AH761" s="1261"/>
      <c r="AI761" s="1261"/>
      <c r="AJ761" s="1261"/>
      <c r="AK761" s="1261"/>
      <c r="AL761" s="1261"/>
      <c r="AM761" s="1261"/>
      <c r="AN761" s="1261"/>
      <c r="AO761" s="1261"/>
      <c r="AP761" s="1261"/>
      <c r="AQ761" s="1264"/>
      <c r="AR761" s="1261"/>
      <c r="AS761" s="1261"/>
      <c r="AT761" s="1261"/>
      <c r="AU761" s="1265"/>
      <c r="AV761" s="1264"/>
      <c r="AW761" s="1261"/>
      <c r="AX761" s="1261"/>
      <c r="AY761" s="1261"/>
      <c r="AZ761" s="1261"/>
      <c r="BA761" s="1261"/>
      <c r="BB761" s="1261"/>
      <c r="BC761" s="1261"/>
      <c r="BD761" s="1261"/>
      <c r="BE761" s="1261"/>
      <c r="BF761" s="1261"/>
      <c r="BG761" s="1261"/>
      <c r="BH761" s="1261"/>
      <c r="BI761" s="1261"/>
      <c r="BJ761" s="1261"/>
      <c r="BK761" s="1265"/>
      <c r="BL761" s="1252"/>
      <c r="BM761" s="1253"/>
      <c r="BN761" s="1253"/>
      <c r="BO761" s="1253"/>
      <c r="BP761" s="1260"/>
      <c r="BQ761" s="1264"/>
      <c r="BR761" s="1261"/>
      <c r="BS761" s="1261"/>
      <c r="BT761" s="1261"/>
      <c r="BU761" s="1265"/>
      <c r="BV761" s="1264"/>
      <c r="BW761" s="1261"/>
      <c r="BX761" s="1261"/>
      <c r="BY761" s="1261"/>
      <c r="BZ761" s="1261"/>
      <c r="CA761" s="1264"/>
      <c r="CB761" s="1261"/>
      <c r="CC761" s="1261"/>
      <c r="CD761" s="1261"/>
      <c r="CE761" s="1265"/>
      <c r="CF761" s="1261"/>
      <c r="CG761" s="1261"/>
      <c r="CH761" s="1261"/>
      <c r="CI761" s="1261"/>
      <c r="CJ761" s="1265"/>
      <c r="CK761" s="1264"/>
      <c r="CL761" s="1261"/>
      <c r="CM761" s="1261"/>
      <c r="CN761" s="1261"/>
      <c r="CO761" s="1265"/>
      <c r="CP761" s="1264"/>
      <c r="CQ761" s="1261"/>
      <c r="CR761" s="1261"/>
      <c r="CS761" s="1261"/>
      <c r="CT761" s="1265"/>
      <c r="CU761" s="1266"/>
      <c r="CV761" s="1267"/>
      <c r="CW761" s="1267"/>
      <c r="CX761" s="1268"/>
      <c r="CY761" s="1267"/>
      <c r="CZ761" s="1267"/>
      <c r="DA761" s="1267"/>
      <c r="DB761" s="1268"/>
      <c r="DC761" s="1253"/>
      <c r="DD761" s="1269">
        <v>1</v>
      </c>
      <c r="DE761" s="1270"/>
    </row>
    <row r="762" spans="1:109" ht="13.15" hidden="1">
      <c r="A762" s="1250"/>
      <c r="B762" s="1251"/>
      <c r="C762" s="1252"/>
      <c r="D762" s="1251"/>
      <c r="E762" s="1251"/>
      <c r="F762" s="1253"/>
      <c r="G762" s="1254"/>
      <c r="H762" s="1255"/>
      <c r="I762" s="1256"/>
      <c r="J762" s="1257"/>
      <c r="K762" s="1257"/>
      <c r="L762" s="1257"/>
      <c r="M762" s="1257"/>
      <c r="N762" s="1257"/>
      <c r="O762" s="1257"/>
      <c r="P762" s="1258"/>
      <c r="Q762" s="795">
        <f t="shared" si="11"/>
        <v>0</v>
      </c>
      <c r="R762" s="1252"/>
      <c r="S762" s="1251"/>
      <c r="T762" s="1260"/>
      <c r="U762" s="1251"/>
      <c r="V762" s="1251"/>
      <c r="W762" s="1251"/>
      <c r="X762" s="1261"/>
      <c r="Y762" s="1262"/>
      <c r="Z762" s="1254"/>
      <c r="AA762" s="1253"/>
      <c r="AB762" s="1253"/>
      <c r="AC762" s="1253"/>
      <c r="AD762" s="1253"/>
      <c r="AE762" s="1253"/>
      <c r="AF762" s="1263"/>
      <c r="AG762" s="1261"/>
      <c r="AH762" s="1261"/>
      <c r="AI762" s="1261"/>
      <c r="AJ762" s="1261"/>
      <c r="AK762" s="1261"/>
      <c r="AL762" s="1261"/>
      <c r="AM762" s="1261"/>
      <c r="AN762" s="1261"/>
      <c r="AO762" s="1261"/>
      <c r="AP762" s="1261"/>
      <c r="AQ762" s="1264"/>
      <c r="AR762" s="1261"/>
      <c r="AS762" s="1261"/>
      <c r="AT762" s="1261"/>
      <c r="AU762" s="1265"/>
      <c r="AV762" s="1264"/>
      <c r="AW762" s="1261"/>
      <c r="AX762" s="1261"/>
      <c r="AY762" s="1261"/>
      <c r="AZ762" s="1261"/>
      <c r="BA762" s="1261"/>
      <c r="BB762" s="1261"/>
      <c r="BC762" s="1261"/>
      <c r="BD762" s="1261"/>
      <c r="BE762" s="1261"/>
      <c r="BF762" s="1261"/>
      <c r="BG762" s="1261"/>
      <c r="BH762" s="1261"/>
      <c r="BI762" s="1261"/>
      <c r="BJ762" s="1261"/>
      <c r="BK762" s="1265"/>
      <c r="BL762" s="1252"/>
      <c r="BM762" s="1253"/>
      <c r="BN762" s="1253"/>
      <c r="BO762" s="1253"/>
      <c r="BP762" s="1260"/>
      <c r="BQ762" s="1264"/>
      <c r="BR762" s="1261"/>
      <c r="BS762" s="1261"/>
      <c r="BT762" s="1261"/>
      <c r="BU762" s="1265"/>
      <c r="BV762" s="1264"/>
      <c r="BW762" s="1261"/>
      <c r="BX762" s="1261"/>
      <c r="BY762" s="1261"/>
      <c r="BZ762" s="1261"/>
      <c r="CA762" s="1264"/>
      <c r="CB762" s="1261"/>
      <c r="CC762" s="1261"/>
      <c r="CD762" s="1261"/>
      <c r="CE762" s="1265"/>
      <c r="CF762" s="1261"/>
      <c r="CG762" s="1261"/>
      <c r="CH762" s="1261"/>
      <c r="CI762" s="1261"/>
      <c r="CJ762" s="1265"/>
      <c r="CK762" s="1264"/>
      <c r="CL762" s="1261"/>
      <c r="CM762" s="1261"/>
      <c r="CN762" s="1261"/>
      <c r="CO762" s="1265"/>
      <c r="CP762" s="1264"/>
      <c r="CQ762" s="1261"/>
      <c r="CR762" s="1261"/>
      <c r="CS762" s="1261"/>
      <c r="CT762" s="1265"/>
      <c r="CU762" s="1266"/>
      <c r="CV762" s="1267"/>
      <c r="CW762" s="1267"/>
      <c r="CX762" s="1268"/>
      <c r="CY762" s="1267"/>
      <c r="CZ762" s="1267"/>
      <c r="DA762" s="1267"/>
      <c r="DB762" s="1268"/>
      <c r="DC762" s="1253"/>
      <c r="DD762" s="1269">
        <v>1</v>
      </c>
      <c r="DE762" s="1270"/>
    </row>
    <row r="763" spans="1:109" ht="13.15" hidden="1">
      <c r="A763" s="1250"/>
      <c r="B763" s="1251"/>
      <c r="C763" s="1252"/>
      <c r="D763" s="1251"/>
      <c r="E763" s="1251"/>
      <c r="F763" s="1253"/>
      <c r="G763" s="1254"/>
      <c r="H763" s="1255"/>
      <c r="I763" s="1256"/>
      <c r="J763" s="1257"/>
      <c r="K763" s="1257"/>
      <c r="L763" s="1257"/>
      <c r="M763" s="1257"/>
      <c r="N763" s="1257"/>
      <c r="O763" s="1257"/>
      <c r="P763" s="1258"/>
      <c r="Q763" s="795">
        <f t="shared" si="11"/>
        <v>0</v>
      </c>
      <c r="R763" s="1252"/>
      <c r="S763" s="1251"/>
      <c r="T763" s="1260"/>
      <c r="U763" s="1251"/>
      <c r="V763" s="1251"/>
      <c r="W763" s="1251"/>
      <c r="X763" s="1261"/>
      <c r="Y763" s="1262"/>
      <c r="Z763" s="1254"/>
      <c r="AA763" s="1253"/>
      <c r="AB763" s="1253"/>
      <c r="AC763" s="1253"/>
      <c r="AD763" s="1253"/>
      <c r="AE763" s="1253"/>
      <c r="AF763" s="1263"/>
      <c r="AG763" s="1261"/>
      <c r="AH763" s="1261"/>
      <c r="AI763" s="1261"/>
      <c r="AJ763" s="1261"/>
      <c r="AK763" s="1261"/>
      <c r="AL763" s="1261"/>
      <c r="AM763" s="1261"/>
      <c r="AN763" s="1261"/>
      <c r="AO763" s="1261"/>
      <c r="AP763" s="1261"/>
      <c r="AQ763" s="1264"/>
      <c r="AR763" s="1261"/>
      <c r="AS763" s="1261"/>
      <c r="AT763" s="1261"/>
      <c r="AU763" s="1265"/>
      <c r="AV763" s="1264"/>
      <c r="AW763" s="1261"/>
      <c r="AX763" s="1261"/>
      <c r="AY763" s="1261"/>
      <c r="AZ763" s="1261"/>
      <c r="BA763" s="1261"/>
      <c r="BB763" s="1261"/>
      <c r="BC763" s="1261"/>
      <c r="BD763" s="1261"/>
      <c r="BE763" s="1261"/>
      <c r="BF763" s="1261"/>
      <c r="BG763" s="1261"/>
      <c r="BH763" s="1261"/>
      <c r="BI763" s="1261"/>
      <c r="BJ763" s="1261"/>
      <c r="BK763" s="1265"/>
      <c r="BL763" s="1252"/>
      <c r="BM763" s="1253"/>
      <c r="BN763" s="1253"/>
      <c r="BO763" s="1253"/>
      <c r="BP763" s="1260"/>
      <c r="BQ763" s="1264"/>
      <c r="BR763" s="1261"/>
      <c r="BS763" s="1261"/>
      <c r="BT763" s="1261"/>
      <c r="BU763" s="1265"/>
      <c r="BV763" s="1264"/>
      <c r="BW763" s="1261"/>
      <c r="BX763" s="1261"/>
      <c r="BY763" s="1261"/>
      <c r="BZ763" s="1261"/>
      <c r="CA763" s="1264"/>
      <c r="CB763" s="1261"/>
      <c r="CC763" s="1261"/>
      <c r="CD763" s="1261"/>
      <c r="CE763" s="1265"/>
      <c r="CF763" s="1261"/>
      <c r="CG763" s="1261"/>
      <c r="CH763" s="1261"/>
      <c r="CI763" s="1261"/>
      <c r="CJ763" s="1265"/>
      <c r="CK763" s="1264"/>
      <c r="CL763" s="1261"/>
      <c r="CM763" s="1261"/>
      <c r="CN763" s="1261"/>
      <c r="CO763" s="1265"/>
      <c r="CP763" s="1264"/>
      <c r="CQ763" s="1261"/>
      <c r="CR763" s="1261"/>
      <c r="CS763" s="1261"/>
      <c r="CT763" s="1265"/>
      <c r="CU763" s="1266"/>
      <c r="CV763" s="1267"/>
      <c r="CW763" s="1267"/>
      <c r="CX763" s="1268"/>
      <c r="CY763" s="1267"/>
      <c r="CZ763" s="1267"/>
      <c r="DA763" s="1267"/>
      <c r="DB763" s="1268"/>
      <c r="DC763" s="1253"/>
      <c r="DD763" s="1269">
        <v>1</v>
      </c>
      <c r="DE763" s="1270"/>
    </row>
    <row r="764" spans="1:109" ht="13.15" hidden="1">
      <c r="A764" s="1250"/>
      <c r="B764" s="1251"/>
      <c r="C764" s="1252"/>
      <c r="D764" s="1251"/>
      <c r="E764" s="1251"/>
      <c r="F764" s="1253"/>
      <c r="G764" s="1254"/>
      <c r="H764" s="1255"/>
      <c r="I764" s="1256"/>
      <c r="J764" s="1257"/>
      <c r="K764" s="1257"/>
      <c r="L764" s="1257"/>
      <c r="M764" s="1257"/>
      <c r="N764" s="1257"/>
      <c r="O764" s="1257"/>
      <c r="P764" s="1258"/>
      <c r="Q764" s="795">
        <f t="shared" si="11"/>
        <v>0</v>
      </c>
      <c r="R764" s="1252"/>
      <c r="S764" s="1251"/>
      <c r="T764" s="1260"/>
      <c r="U764" s="1251"/>
      <c r="V764" s="1251"/>
      <c r="W764" s="1251"/>
      <c r="X764" s="1261"/>
      <c r="Y764" s="1262"/>
      <c r="Z764" s="1254"/>
      <c r="AA764" s="1253"/>
      <c r="AB764" s="1253"/>
      <c r="AC764" s="1253"/>
      <c r="AD764" s="1253"/>
      <c r="AE764" s="1253"/>
      <c r="AF764" s="1263"/>
      <c r="AG764" s="1261"/>
      <c r="AH764" s="1261"/>
      <c r="AI764" s="1261"/>
      <c r="AJ764" s="1261"/>
      <c r="AK764" s="1261"/>
      <c r="AL764" s="1261"/>
      <c r="AM764" s="1261"/>
      <c r="AN764" s="1261"/>
      <c r="AO764" s="1261"/>
      <c r="AP764" s="1261"/>
      <c r="AQ764" s="1264"/>
      <c r="AR764" s="1261"/>
      <c r="AS764" s="1261"/>
      <c r="AT764" s="1261"/>
      <c r="AU764" s="1265"/>
      <c r="AV764" s="1264"/>
      <c r="AW764" s="1261"/>
      <c r="AX764" s="1261"/>
      <c r="AY764" s="1261"/>
      <c r="AZ764" s="1261"/>
      <c r="BA764" s="1261"/>
      <c r="BB764" s="1261"/>
      <c r="BC764" s="1261"/>
      <c r="BD764" s="1261"/>
      <c r="BE764" s="1261"/>
      <c r="BF764" s="1261"/>
      <c r="BG764" s="1261"/>
      <c r="BH764" s="1261"/>
      <c r="BI764" s="1261"/>
      <c r="BJ764" s="1261"/>
      <c r="BK764" s="1265"/>
      <c r="BL764" s="1252"/>
      <c r="BM764" s="1253"/>
      <c r="BN764" s="1253"/>
      <c r="BO764" s="1253"/>
      <c r="BP764" s="1260"/>
      <c r="BQ764" s="1264"/>
      <c r="BR764" s="1261"/>
      <c r="BS764" s="1261"/>
      <c r="BT764" s="1261"/>
      <c r="BU764" s="1265"/>
      <c r="BV764" s="1264"/>
      <c r="BW764" s="1261"/>
      <c r="BX764" s="1261"/>
      <c r="BY764" s="1261"/>
      <c r="BZ764" s="1261"/>
      <c r="CA764" s="1264"/>
      <c r="CB764" s="1261"/>
      <c r="CC764" s="1261"/>
      <c r="CD764" s="1261"/>
      <c r="CE764" s="1265"/>
      <c r="CF764" s="1261"/>
      <c r="CG764" s="1261"/>
      <c r="CH764" s="1261"/>
      <c r="CI764" s="1261"/>
      <c r="CJ764" s="1265"/>
      <c r="CK764" s="1264"/>
      <c r="CL764" s="1261"/>
      <c r="CM764" s="1261"/>
      <c r="CN764" s="1261"/>
      <c r="CO764" s="1265"/>
      <c r="CP764" s="1264"/>
      <c r="CQ764" s="1261"/>
      <c r="CR764" s="1261"/>
      <c r="CS764" s="1261"/>
      <c r="CT764" s="1265"/>
      <c r="CU764" s="1266"/>
      <c r="CV764" s="1267"/>
      <c r="CW764" s="1267"/>
      <c r="CX764" s="1268"/>
      <c r="CY764" s="1267"/>
      <c r="CZ764" s="1267"/>
      <c r="DA764" s="1267"/>
      <c r="DB764" s="1268"/>
      <c r="DC764" s="1253"/>
      <c r="DD764" s="1269">
        <v>1</v>
      </c>
      <c r="DE764" s="1270"/>
    </row>
    <row r="765" spans="1:109" ht="13.15" hidden="1">
      <c r="A765" s="1250"/>
      <c r="B765" s="1251"/>
      <c r="C765" s="1252"/>
      <c r="D765" s="1251"/>
      <c r="E765" s="1251"/>
      <c r="F765" s="1253"/>
      <c r="G765" s="1254"/>
      <c r="H765" s="1255"/>
      <c r="I765" s="1256"/>
      <c r="J765" s="1257"/>
      <c r="K765" s="1257"/>
      <c r="L765" s="1257"/>
      <c r="M765" s="1257"/>
      <c r="N765" s="1257"/>
      <c r="O765" s="1257"/>
      <c r="P765" s="1258"/>
      <c r="Q765" s="795">
        <f t="shared" si="11"/>
        <v>0</v>
      </c>
      <c r="R765" s="1252"/>
      <c r="S765" s="1251"/>
      <c r="T765" s="1260"/>
      <c r="U765" s="1251"/>
      <c r="V765" s="1251"/>
      <c r="W765" s="1251"/>
      <c r="X765" s="1261"/>
      <c r="Y765" s="1262"/>
      <c r="Z765" s="1254"/>
      <c r="AA765" s="1253"/>
      <c r="AB765" s="1253"/>
      <c r="AC765" s="1253"/>
      <c r="AD765" s="1253"/>
      <c r="AE765" s="1253"/>
      <c r="AF765" s="1263"/>
      <c r="AG765" s="1261"/>
      <c r="AH765" s="1261"/>
      <c r="AI765" s="1261"/>
      <c r="AJ765" s="1261"/>
      <c r="AK765" s="1261"/>
      <c r="AL765" s="1261"/>
      <c r="AM765" s="1261"/>
      <c r="AN765" s="1261"/>
      <c r="AO765" s="1261"/>
      <c r="AP765" s="1261"/>
      <c r="AQ765" s="1264"/>
      <c r="AR765" s="1261"/>
      <c r="AS765" s="1261"/>
      <c r="AT765" s="1261"/>
      <c r="AU765" s="1265"/>
      <c r="AV765" s="1264"/>
      <c r="AW765" s="1261"/>
      <c r="AX765" s="1261"/>
      <c r="AY765" s="1261"/>
      <c r="AZ765" s="1261"/>
      <c r="BA765" s="1261"/>
      <c r="BB765" s="1261"/>
      <c r="BC765" s="1261"/>
      <c r="BD765" s="1261"/>
      <c r="BE765" s="1261"/>
      <c r="BF765" s="1261"/>
      <c r="BG765" s="1261"/>
      <c r="BH765" s="1261"/>
      <c r="BI765" s="1261"/>
      <c r="BJ765" s="1261"/>
      <c r="BK765" s="1265"/>
      <c r="BL765" s="1252"/>
      <c r="BM765" s="1253"/>
      <c r="BN765" s="1253"/>
      <c r="BO765" s="1253"/>
      <c r="BP765" s="1260"/>
      <c r="BQ765" s="1264"/>
      <c r="BR765" s="1261"/>
      <c r="BS765" s="1261"/>
      <c r="BT765" s="1261"/>
      <c r="BU765" s="1265"/>
      <c r="BV765" s="1264"/>
      <c r="BW765" s="1261"/>
      <c r="BX765" s="1261"/>
      <c r="BY765" s="1261"/>
      <c r="BZ765" s="1261"/>
      <c r="CA765" s="1264"/>
      <c r="CB765" s="1261"/>
      <c r="CC765" s="1261"/>
      <c r="CD765" s="1261"/>
      <c r="CE765" s="1265"/>
      <c r="CF765" s="1261"/>
      <c r="CG765" s="1261"/>
      <c r="CH765" s="1261"/>
      <c r="CI765" s="1261"/>
      <c r="CJ765" s="1265"/>
      <c r="CK765" s="1264"/>
      <c r="CL765" s="1261"/>
      <c r="CM765" s="1261"/>
      <c r="CN765" s="1261"/>
      <c r="CO765" s="1265"/>
      <c r="CP765" s="1264"/>
      <c r="CQ765" s="1261"/>
      <c r="CR765" s="1261"/>
      <c r="CS765" s="1261"/>
      <c r="CT765" s="1265"/>
      <c r="CU765" s="1266"/>
      <c r="CV765" s="1267"/>
      <c r="CW765" s="1267"/>
      <c r="CX765" s="1268"/>
      <c r="CY765" s="1267"/>
      <c r="CZ765" s="1267"/>
      <c r="DA765" s="1267"/>
      <c r="DB765" s="1268"/>
      <c r="DC765" s="1253"/>
      <c r="DD765" s="1269">
        <v>1</v>
      </c>
      <c r="DE765" s="1270"/>
    </row>
    <row r="766" spans="1:109" ht="13.15" hidden="1">
      <c r="A766" s="1250"/>
      <c r="B766" s="1251"/>
      <c r="C766" s="1252"/>
      <c r="D766" s="1251"/>
      <c r="E766" s="1251"/>
      <c r="F766" s="1253"/>
      <c r="G766" s="1254"/>
      <c r="H766" s="1255"/>
      <c r="I766" s="1256"/>
      <c r="J766" s="1257"/>
      <c r="K766" s="1257"/>
      <c r="L766" s="1257"/>
      <c r="M766" s="1257"/>
      <c r="N766" s="1257"/>
      <c r="O766" s="1257"/>
      <c r="P766" s="1258"/>
      <c r="Q766" s="795">
        <f t="shared" si="11"/>
        <v>0</v>
      </c>
      <c r="R766" s="1252"/>
      <c r="S766" s="1251"/>
      <c r="T766" s="1260"/>
      <c r="U766" s="1251"/>
      <c r="V766" s="1251"/>
      <c r="W766" s="1251"/>
      <c r="X766" s="1261"/>
      <c r="Y766" s="1262"/>
      <c r="Z766" s="1254"/>
      <c r="AA766" s="1253"/>
      <c r="AB766" s="1253"/>
      <c r="AC766" s="1253"/>
      <c r="AD766" s="1253"/>
      <c r="AE766" s="1253"/>
      <c r="AF766" s="1263"/>
      <c r="AG766" s="1261"/>
      <c r="AH766" s="1261"/>
      <c r="AI766" s="1261"/>
      <c r="AJ766" s="1261"/>
      <c r="AK766" s="1261"/>
      <c r="AL766" s="1261"/>
      <c r="AM766" s="1261"/>
      <c r="AN766" s="1261"/>
      <c r="AO766" s="1261"/>
      <c r="AP766" s="1261"/>
      <c r="AQ766" s="1264"/>
      <c r="AR766" s="1261"/>
      <c r="AS766" s="1261"/>
      <c r="AT766" s="1261"/>
      <c r="AU766" s="1265"/>
      <c r="AV766" s="1264"/>
      <c r="AW766" s="1261"/>
      <c r="AX766" s="1261"/>
      <c r="AY766" s="1261"/>
      <c r="AZ766" s="1261"/>
      <c r="BA766" s="1261"/>
      <c r="BB766" s="1261"/>
      <c r="BC766" s="1261"/>
      <c r="BD766" s="1261"/>
      <c r="BE766" s="1261"/>
      <c r="BF766" s="1261"/>
      <c r="BG766" s="1261"/>
      <c r="BH766" s="1261"/>
      <c r="BI766" s="1261"/>
      <c r="BJ766" s="1261"/>
      <c r="BK766" s="1265"/>
      <c r="BL766" s="1252"/>
      <c r="BM766" s="1253"/>
      <c r="BN766" s="1253"/>
      <c r="BO766" s="1253"/>
      <c r="BP766" s="1260"/>
      <c r="BQ766" s="1264"/>
      <c r="BR766" s="1261"/>
      <c r="BS766" s="1261"/>
      <c r="BT766" s="1261"/>
      <c r="BU766" s="1265"/>
      <c r="BV766" s="1264"/>
      <c r="BW766" s="1261"/>
      <c r="BX766" s="1261"/>
      <c r="BY766" s="1261"/>
      <c r="BZ766" s="1261"/>
      <c r="CA766" s="1264"/>
      <c r="CB766" s="1261"/>
      <c r="CC766" s="1261"/>
      <c r="CD766" s="1261"/>
      <c r="CE766" s="1265"/>
      <c r="CF766" s="1261"/>
      <c r="CG766" s="1261"/>
      <c r="CH766" s="1261"/>
      <c r="CI766" s="1261"/>
      <c r="CJ766" s="1265"/>
      <c r="CK766" s="1264"/>
      <c r="CL766" s="1261"/>
      <c r="CM766" s="1261"/>
      <c r="CN766" s="1261"/>
      <c r="CO766" s="1265"/>
      <c r="CP766" s="1264"/>
      <c r="CQ766" s="1261"/>
      <c r="CR766" s="1261"/>
      <c r="CS766" s="1261"/>
      <c r="CT766" s="1265"/>
      <c r="CU766" s="1266"/>
      <c r="CV766" s="1267"/>
      <c r="CW766" s="1267"/>
      <c r="CX766" s="1268"/>
      <c r="CY766" s="1267"/>
      <c r="CZ766" s="1267"/>
      <c r="DA766" s="1267"/>
      <c r="DB766" s="1268"/>
      <c r="DC766" s="1253"/>
      <c r="DD766" s="1269">
        <v>1</v>
      </c>
      <c r="DE766" s="1270"/>
    </row>
    <row r="767" spans="1:109" ht="13.15" hidden="1">
      <c r="A767" s="1250"/>
      <c r="B767" s="1251"/>
      <c r="C767" s="1252"/>
      <c r="D767" s="1251"/>
      <c r="E767" s="1251"/>
      <c r="F767" s="1253"/>
      <c r="G767" s="1254"/>
      <c r="H767" s="1255"/>
      <c r="I767" s="1256"/>
      <c r="J767" s="1257"/>
      <c r="K767" s="1257"/>
      <c r="L767" s="1257"/>
      <c r="M767" s="1257"/>
      <c r="N767" s="1257"/>
      <c r="O767" s="1257"/>
      <c r="P767" s="1258"/>
      <c r="Q767" s="795">
        <f t="shared" si="11"/>
        <v>0</v>
      </c>
      <c r="R767" s="1252"/>
      <c r="S767" s="1251"/>
      <c r="T767" s="1260"/>
      <c r="U767" s="1251"/>
      <c r="V767" s="1251"/>
      <c r="W767" s="1251"/>
      <c r="X767" s="1261"/>
      <c r="Y767" s="1262"/>
      <c r="Z767" s="1254"/>
      <c r="AA767" s="1253"/>
      <c r="AB767" s="1253"/>
      <c r="AC767" s="1253"/>
      <c r="AD767" s="1253"/>
      <c r="AE767" s="1253"/>
      <c r="AF767" s="1263"/>
      <c r="AG767" s="1261"/>
      <c r="AH767" s="1261"/>
      <c r="AI767" s="1261"/>
      <c r="AJ767" s="1261"/>
      <c r="AK767" s="1261"/>
      <c r="AL767" s="1261"/>
      <c r="AM767" s="1261"/>
      <c r="AN767" s="1261"/>
      <c r="AO767" s="1261"/>
      <c r="AP767" s="1261"/>
      <c r="AQ767" s="1264"/>
      <c r="AR767" s="1261"/>
      <c r="AS767" s="1261"/>
      <c r="AT767" s="1261"/>
      <c r="AU767" s="1265"/>
      <c r="AV767" s="1264"/>
      <c r="AW767" s="1261"/>
      <c r="AX767" s="1261"/>
      <c r="AY767" s="1261"/>
      <c r="AZ767" s="1261"/>
      <c r="BA767" s="1261"/>
      <c r="BB767" s="1261"/>
      <c r="BC767" s="1261"/>
      <c r="BD767" s="1261"/>
      <c r="BE767" s="1261"/>
      <c r="BF767" s="1261"/>
      <c r="BG767" s="1261"/>
      <c r="BH767" s="1261"/>
      <c r="BI767" s="1261"/>
      <c r="BJ767" s="1261"/>
      <c r="BK767" s="1265"/>
      <c r="BL767" s="1252"/>
      <c r="BM767" s="1253"/>
      <c r="BN767" s="1253"/>
      <c r="BO767" s="1253"/>
      <c r="BP767" s="1260"/>
      <c r="BQ767" s="1264"/>
      <c r="BR767" s="1261"/>
      <c r="BS767" s="1261"/>
      <c r="BT767" s="1261"/>
      <c r="BU767" s="1265"/>
      <c r="BV767" s="1264"/>
      <c r="BW767" s="1261"/>
      <c r="BX767" s="1261"/>
      <c r="BY767" s="1261"/>
      <c r="BZ767" s="1261"/>
      <c r="CA767" s="1264"/>
      <c r="CB767" s="1261"/>
      <c r="CC767" s="1261"/>
      <c r="CD767" s="1261"/>
      <c r="CE767" s="1265"/>
      <c r="CF767" s="1261"/>
      <c r="CG767" s="1261"/>
      <c r="CH767" s="1261"/>
      <c r="CI767" s="1261"/>
      <c r="CJ767" s="1265"/>
      <c r="CK767" s="1264"/>
      <c r="CL767" s="1261"/>
      <c r="CM767" s="1261"/>
      <c r="CN767" s="1261"/>
      <c r="CO767" s="1265"/>
      <c r="CP767" s="1264"/>
      <c r="CQ767" s="1261"/>
      <c r="CR767" s="1261"/>
      <c r="CS767" s="1261"/>
      <c r="CT767" s="1265"/>
      <c r="CU767" s="1266"/>
      <c r="CV767" s="1267"/>
      <c r="CW767" s="1267"/>
      <c r="CX767" s="1268"/>
      <c r="CY767" s="1267"/>
      <c r="CZ767" s="1267"/>
      <c r="DA767" s="1267"/>
      <c r="DB767" s="1268"/>
      <c r="DC767" s="1253"/>
      <c r="DD767" s="1269">
        <v>1</v>
      </c>
      <c r="DE767" s="1270"/>
    </row>
    <row r="768" spans="1:109" ht="13.15" hidden="1">
      <c r="A768" s="1250"/>
      <c r="B768" s="1251"/>
      <c r="C768" s="1252"/>
      <c r="D768" s="1251"/>
      <c r="E768" s="1251"/>
      <c r="F768" s="1253"/>
      <c r="G768" s="1254"/>
      <c r="H768" s="1255"/>
      <c r="I768" s="1256"/>
      <c r="J768" s="1257"/>
      <c r="K768" s="1257"/>
      <c r="L768" s="1257"/>
      <c r="M768" s="1257"/>
      <c r="N768" s="1257"/>
      <c r="O768" s="1257"/>
      <c r="P768" s="1258"/>
      <c r="Q768" s="795">
        <f t="shared" si="11"/>
        <v>0</v>
      </c>
      <c r="R768" s="1252"/>
      <c r="S768" s="1251"/>
      <c r="T768" s="1260"/>
      <c r="U768" s="1251"/>
      <c r="V768" s="1251"/>
      <c r="W768" s="1251"/>
      <c r="X768" s="1261"/>
      <c r="Y768" s="1262"/>
      <c r="Z768" s="1254"/>
      <c r="AA768" s="1253"/>
      <c r="AB768" s="1253"/>
      <c r="AC768" s="1253"/>
      <c r="AD768" s="1253"/>
      <c r="AE768" s="1253"/>
      <c r="AF768" s="1263"/>
      <c r="AG768" s="1261"/>
      <c r="AH768" s="1261"/>
      <c r="AI768" s="1261"/>
      <c r="AJ768" s="1261"/>
      <c r="AK768" s="1261"/>
      <c r="AL768" s="1261"/>
      <c r="AM768" s="1261"/>
      <c r="AN768" s="1261"/>
      <c r="AO768" s="1261"/>
      <c r="AP768" s="1261"/>
      <c r="AQ768" s="1264"/>
      <c r="AR768" s="1261"/>
      <c r="AS768" s="1261"/>
      <c r="AT768" s="1261"/>
      <c r="AU768" s="1265"/>
      <c r="AV768" s="1264"/>
      <c r="AW768" s="1261"/>
      <c r="AX768" s="1261"/>
      <c r="AY768" s="1261"/>
      <c r="AZ768" s="1261"/>
      <c r="BA768" s="1261"/>
      <c r="BB768" s="1261"/>
      <c r="BC768" s="1261"/>
      <c r="BD768" s="1261"/>
      <c r="BE768" s="1261"/>
      <c r="BF768" s="1261"/>
      <c r="BG768" s="1261"/>
      <c r="BH768" s="1261"/>
      <c r="BI768" s="1261"/>
      <c r="BJ768" s="1261"/>
      <c r="BK768" s="1265"/>
      <c r="BL768" s="1252"/>
      <c r="BM768" s="1253"/>
      <c r="BN768" s="1253"/>
      <c r="BO768" s="1253"/>
      <c r="BP768" s="1260"/>
      <c r="BQ768" s="1264"/>
      <c r="BR768" s="1261"/>
      <c r="BS768" s="1261"/>
      <c r="BT768" s="1261"/>
      <c r="BU768" s="1265"/>
      <c r="BV768" s="1264"/>
      <c r="BW768" s="1261"/>
      <c r="BX768" s="1261"/>
      <c r="BY768" s="1261"/>
      <c r="BZ768" s="1261"/>
      <c r="CA768" s="1264"/>
      <c r="CB768" s="1261"/>
      <c r="CC768" s="1261"/>
      <c r="CD768" s="1261"/>
      <c r="CE768" s="1265"/>
      <c r="CF768" s="1261"/>
      <c r="CG768" s="1261"/>
      <c r="CH768" s="1261"/>
      <c r="CI768" s="1261"/>
      <c r="CJ768" s="1265"/>
      <c r="CK768" s="1264"/>
      <c r="CL768" s="1261"/>
      <c r="CM768" s="1261"/>
      <c r="CN768" s="1261"/>
      <c r="CO768" s="1265"/>
      <c r="CP768" s="1264"/>
      <c r="CQ768" s="1261"/>
      <c r="CR768" s="1261"/>
      <c r="CS768" s="1261"/>
      <c r="CT768" s="1265"/>
      <c r="CU768" s="1266"/>
      <c r="CV768" s="1267"/>
      <c r="CW768" s="1267"/>
      <c r="CX768" s="1268"/>
      <c r="CY768" s="1267"/>
      <c r="CZ768" s="1267"/>
      <c r="DA768" s="1267"/>
      <c r="DB768" s="1268"/>
      <c r="DC768" s="1253"/>
      <c r="DD768" s="1269">
        <v>1</v>
      </c>
      <c r="DE768" s="1270"/>
    </row>
    <row r="769" spans="1:109" ht="13.15" hidden="1">
      <c r="A769" s="1250"/>
      <c r="B769" s="1251"/>
      <c r="C769" s="1252"/>
      <c r="D769" s="1251"/>
      <c r="E769" s="1251"/>
      <c r="F769" s="1253"/>
      <c r="G769" s="1254"/>
      <c r="H769" s="1255"/>
      <c r="I769" s="1256"/>
      <c r="J769" s="1257"/>
      <c r="K769" s="1257"/>
      <c r="L769" s="1257"/>
      <c r="M769" s="1257"/>
      <c r="N769" s="1257"/>
      <c r="O769" s="1257"/>
      <c r="P769" s="1258"/>
      <c r="Q769" s="795">
        <f t="shared" si="11"/>
        <v>0</v>
      </c>
      <c r="R769" s="1252"/>
      <c r="S769" s="1251"/>
      <c r="T769" s="1260"/>
      <c r="U769" s="1251"/>
      <c r="V769" s="1251"/>
      <c r="W769" s="1251"/>
      <c r="X769" s="1261"/>
      <c r="Y769" s="1262"/>
      <c r="Z769" s="1254"/>
      <c r="AA769" s="1253"/>
      <c r="AB769" s="1253"/>
      <c r="AC769" s="1253"/>
      <c r="AD769" s="1253"/>
      <c r="AE769" s="1253"/>
      <c r="AF769" s="1263"/>
      <c r="AG769" s="1261"/>
      <c r="AH769" s="1261"/>
      <c r="AI769" s="1261"/>
      <c r="AJ769" s="1261"/>
      <c r="AK769" s="1261"/>
      <c r="AL769" s="1261"/>
      <c r="AM769" s="1261"/>
      <c r="AN769" s="1261"/>
      <c r="AO769" s="1261"/>
      <c r="AP769" s="1261"/>
      <c r="AQ769" s="1264"/>
      <c r="AR769" s="1261"/>
      <c r="AS769" s="1261"/>
      <c r="AT769" s="1261"/>
      <c r="AU769" s="1265"/>
      <c r="AV769" s="1264"/>
      <c r="AW769" s="1261"/>
      <c r="AX769" s="1261"/>
      <c r="AY769" s="1261"/>
      <c r="AZ769" s="1261"/>
      <c r="BA769" s="1261"/>
      <c r="BB769" s="1261"/>
      <c r="BC769" s="1261"/>
      <c r="BD769" s="1261"/>
      <c r="BE769" s="1261"/>
      <c r="BF769" s="1261"/>
      <c r="BG769" s="1261"/>
      <c r="BH769" s="1261"/>
      <c r="BI769" s="1261"/>
      <c r="BJ769" s="1261"/>
      <c r="BK769" s="1265"/>
      <c r="BL769" s="1252"/>
      <c r="BM769" s="1253"/>
      <c r="BN769" s="1253"/>
      <c r="BO769" s="1253"/>
      <c r="BP769" s="1260"/>
      <c r="BQ769" s="1264"/>
      <c r="BR769" s="1261"/>
      <c r="BS769" s="1261"/>
      <c r="BT769" s="1261"/>
      <c r="BU769" s="1265"/>
      <c r="BV769" s="1264"/>
      <c r="BW769" s="1261"/>
      <c r="BX769" s="1261"/>
      <c r="BY769" s="1261"/>
      <c r="BZ769" s="1261"/>
      <c r="CA769" s="1264"/>
      <c r="CB769" s="1261"/>
      <c r="CC769" s="1261"/>
      <c r="CD769" s="1261"/>
      <c r="CE769" s="1265"/>
      <c r="CF769" s="1261"/>
      <c r="CG769" s="1261"/>
      <c r="CH769" s="1261"/>
      <c r="CI769" s="1261"/>
      <c r="CJ769" s="1265"/>
      <c r="CK769" s="1264"/>
      <c r="CL769" s="1261"/>
      <c r="CM769" s="1261"/>
      <c r="CN769" s="1261"/>
      <c r="CO769" s="1265"/>
      <c r="CP769" s="1264"/>
      <c r="CQ769" s="1261"/>
      <c r="CR769" s="1261"/>
      <c r="CS769" s="1261"/>
      <c r="CT769" s="1265"/>
      <c r="CU769" s="1266"/>
      <c r="CV769" s="1267"/>
      <c r="CW769" s="1267"/>
      <c r="CX769" s="1268"/>
      <c r="CY769" s="1267"/>
      <c r="CZ769" s="1267"/>
      <c r="DA769" s="1267"/>
      <c r="DB769" s="1268"/>
      <c r="DC769" s="1253"/>
      <c r="DD769" s="1269">
        <v>1</v>
      </c>
      <c r="DE769" s="1270"/>
    </row>
    <row r="770" spans="1:109" ht="13.15" hidden="1">
      <c r="A770" s="1250"/>
      <c r="B770" s="1251"/>
      <c r="C770" s="1252"/>
      <c r="D770" s="1251"/>
      <c r="E770" s="1251"/>
      <c r="F770" s="1253"/>
      <c r="G770" s="1254"/>
      <c r="H770" s="1255"/>
      <c r="I770" s="1256"/>
      <c r="J770" s="1257"/>
      <c r="K770" s="1257"/>
      <c r="L770" s="1257"/>
      <c r="M770" s="1257"/>
      <c r="N770" s="1257"/>
      <c r="O770" s="1257"/>
      <c r="P770" s="1258"/>
      <c r="Q770" s="795">
        <f t="shared" si="11"/>
        <v>0</v>
      </c>
      <c r="R770" s="1252"/>
      <c r="S770" s="1251"/>
      <c r="T770" s="1260"/>
      <c r="U770" s="1251"/>
      <c r="V770" s="1251"/>
      <c r="W770" s="1251"/>
      <c r="X770" s="1261"/>
      <c r="Y770" s="1262"/>
      <c r="Z770" s="1254"/>
      <c r="AA770" s="1253"/>
      <c r="AB770" s="1253"/>
      <c r="AC770" s="1253"/>
      <c r="AD770" s="1253"/>
      <c r="AE770" s="1253"/>
      <c r="AF770" s="1263"/>
      <c r="AG770" s="1261"/>
      <c r="AH770" s="1261"/>
      <c r="AI770" s="1261"/>
      <c r="AJ770" s="1261"/>
      <c r="AK770" s="1261"/>
      <c r="AL770" s="1261"/>
      <c r="AM770" s="1261"/>
      <c r="AN770" s="1261"/>
      <c r="AO770" s="1261"/>
      <c r="AP770" s="1261"/>
      <c r="AQ770" s="1264"/>
      <c r="AR770" s="1261"/>
      <c r="AS770" s="1261"/>
      <c r="AT770" s="1261"/>
      <c r="AU770" s="1265"/>
      <c r="AV770" s="1264"/>
      <c r="AW770" s="1261"/>
      <c r="AX770" s="1261"/>
      <c r="AY770" s="1261"/>
      <c r="AZ770" s="1261"/>
      <c r="BA770" s="1261"/>
      <c r="BB770" s="1261"/>
      <c r="BC770" s="1261"/>
      <c r="BD770" s="1261"/>
      <c r="BE770" s="1261"/>
      <c r="BF770" s="1261"/>
      <c r="BG770" s="1261"/>
      <c r="BH770" s="1261"/>
      <c r="BI770" s="1261"/>
      <c r="BJ770" s="1261"/>
      <c r="BK770" s="1265"/>
      <c r="BL770" s="1252"/>
      <c r="BM770" s="1253"/>
      <c r="BN770" s="1253"/>
      <c r="BO770" s="1253"/>
      <c r="BP770" s="1260"/>
      <c r="BQ770" s="1264"/>
      <c r="BR770" s="1261"/>
      <c r="BS770" s="1261"/>
      <c r="BT770" s="1261"/>
      <c r="BU770" s="1265"/>
      <c r="BV770" s="1264"/>
      <c r="BW770" s="1261"/>
      <c r="BX770" s="1261"/>
      <c r="BY770" s="1261"/>
      <c r="BZ770" s="1261"/>
      <c r="CA770" s="1264"/>
      <c r="CB770" s="1261"/>
      <c r="CC770" s="1261"/>
      <c r="CD770" s="1261"/>
      <c r="CE770" s="1265"/>
      <c r="CF770" s="1261"/>
      <c r="CG770" s="1261"/>
      <c r="CH770" s="1261"/>
      <c r="CI770" s="1261"/>
      <c r="CJ770" s="1265"/>
      <c r="CK770" s="1264"/>
      <c r="CL770" s="1261"/>
      <c r="CM770" s="1261"/>
      <c r="CN770" s="1261"/>
      <c r="CO770" s="1265"/>
      <c r="CP770" s="1264"/>
      <c r="CQ770" s="1261"/>
      <c r="CR770" s="1261"/>
      <c r="CS770" s="1261"/>
      <c r="CT770" s="1265"/>
      <c r="CU770" s="1266"/>
      <c r="CV770" s="1267"/>
      <c r="CW770" s="1267"/>
      <c r="CX770" s="1268"/>
      <c r="CY770" s="1267"/>
      <c r="CZ770" s="1267"/>
      <c r="DA770" s="1267"/>
      <c r="DB770" s="1268"/>
      <c r="DC770" s="1253"/>
      <c r="DD770" s="1269">
        <v>1</v>
      </c>
      <c r="DE770" s="1270"/>
    </row>
    <row r="771" spans="1:109" ht="13.15" hidden="1">
      <c r="A771" s="1250"/>
      <c r="B771" s="1251"/>
      <c r="C771" s="1252"/>
      <c r="D771" s="1251"/>
      <c r="E771" s="1251"/>
      <c r="F771" s="1253"/>
      <c r="G771" s="1254"/>
      <c r="H771" s="1255"/>
      <c r="I771" s="1256"/>
      <c r="J771" s="1257"/>
      <c r="K771" s="1257"/>
      <c r="L771" s="1257"/>
      <c r="M771" s="1257"/>
      <c r="N771" s="1257"/>
      <c r="O771" s="1257"/>
      <c r="P771" s="1258"/>
      <c r="Q771" s="795">
        <f t="shared" si="11"/>
        <v>0</v>
      </c>
      <c r="R771" s="1252"/>
      <c r="S771" s="1251"/>
      <c r="T771" s="1260"/>
      <c r="U771" s="1251"/>
      <c r="V771" s="1251"/>
      <c r="W771" s="1251"/>
      <c r="X771" s="1261"/>
      <c r="Y771" s="1262"/>
      <c r="Z771" s="1254"/>
      <c r="AA771" s="1253"/>
      <c r="AB771" s="1253"/>
      <c r="AC771" s="1253"/>
      <c r="AD771" s="1253"/>
      <c r="AE771" s="1253"/>
      <c r="AF771" s="1263"/>
      <c r="AG771" s="1261"/>
      <c r="AH771" s="1261"/>
      <c r="AI771" s="1261"/>
      <c r="AJ771" s="1261"/>
      <c r="AK771" s="1261"/>
      <c r="AL771" s="1261"/>
      <c r="AM771" s="1261"/>
      <c r="AN771" s="1261"/>
      <c r="AO771" s="1261"/>
      <c r="AP771" s="1261"/>
      <c r="AQ771" s="1264"/>
      <c r="AR771" s="1261"/>
      <c r="AS771" s="1261"/>
      <c r="AT771" s="1261"/>
      <c r="AU771" s="1265"/>
      <c r="AV771" s="1264"/>
      <c r="AW771" s="1261"/>
      <c r="AX771" s="1261"/>
      <c r="AY771" s="1261"/>
      <c r="AZ771" s="1261"/>
      <c r="BA771" s="1261"/>
      <c r="BB771" s="1261"/>
      <c r="BC771" s="1261"/>
      <c r="BD771" s="1261"/>
      <c r="BE771" s="1261"/>
      <c r="BF771" s="1261"/>
      <c r="BG771" s="1261"/>
      <c r="BH771" s="1261"/>
      <c r="BI771" s="1261"/>
      <c r="BJ771" s="1261"/>
      <c r="BK771" s="1265"/>
      <c r="BL771" s="1252"/>
      <c r="BM771" s="1253"/>
      <c r="BN771" s="1253"/>
      <c r="BO771" s="1253"/>
      <c r="BP771" s="1260"/>
      <c r="BQ771" s="1264"/>
      <c r="BR771" s="1261"/>
      <c r="BS771" s="1261"/>
      <c r="BT771" s="1261"/>
      <c r="BU771" s="1265"/>
      <c r="BV771" s="1264"/>
      <c r="BW771" s="1261"/>
      <c r="BX771" s="1261"/>
      <c r="BY771" s="1261"/>
      <c r="BZ771" s="1261"/>
      <c r="CA771" s="1264"/>
      <c r="CB771" s="1261"/>
      <c r="CC771" s="1261"/>
      <c r="CD771" s="1261"/>
      <c r="CE771" s="1265"/>
      <c r="CF771" s="1261"/>
      <c r="CG771" s="1261"/>
      <c r="CH771" s="1261"/>
      <c r="CI771" s="1261"/>
      <c r="CJ771" s="1265"/>
      <c r="CK771" s="1264"/>
      <c r="CL771" s="1261"/>
      <c r="CM771" s="1261"/>
      <c r="CN771" s="1261"/>
      <c r="CO771" s="1265"/>
      <c r="CP771" s="1264"/>
      <c r="CQ771" s="1261"/>
      <c r="CR771" s="1261"/>
      <c r="CS771" s="1261"/>
      <c r="CT771" s="1265"/>
      <c r="CU771" s="1266"/>
      <c r="CV771" s="1267"/>
      <c r="CW771" s="1267"/>
      <c r="CX771" s="1268"/>
      <c r="CY771" s="1267"/>
      <c r="CZ771" s="1267"/>
      <c r="DA771" s="1267"/>
      <c r="DB771" s="1268"/>
      <c r="DC771" s="1253"/>
      <c r="DD771" s="1269">
        <v>1</v>
      </c>
      <c r="DE771" s="1270"/>
    </row>
    <row r="772" spans="1:109" ht="13.15" hidden="1">
      <c r="A772" s="1250"/>
      <c r="B772" s="1251"/>
      <c r="C772" s="1252"/>
      <c r="D772" s="1251"/>
      <c r="E772" s="1251"/>
      <c r="F772" s="1253"/>
      <c r="G772" s="1254"/>
      <c r="H772" s="1255"/>
      <c r="I772" s="1256"/>
      <c r="J772" s="1257"/>
      <c r="K772" s="1257"/>
      <c r="L772" s="1257"/>
      <c r="M772" s="1257"/>
      <c r="N772" s="1257"/>
      <c r="O772" s="1257"/>
      <c r="P772" s="1258"/>
      <c r="Q772" s="795">
        <f t="shared" si="11"/>
        <v>0</v>
      </c>
      <c r="R772" s="1252"/>
      <c r="S772" s="1251"/>
      <c r="T772" s="1260"/>
      <c r="U772" s="1251"/>
      <c r="V772" s="1251"/>
      <c r="W772" s="1251"/>
      <c r="X772" s="1261"/>
      <c r="Y772" s="1262"/>
      <c r="Z772" s="1254"/>
      <c r="AA772" s="1253"/>
      <c r="AB772" s="1253"/>
      <c r="AC772" s="1253"/>
      <c r="AD772" s="1253"/>
      <c r="AE772" s="1253"/>
      <c r="AF772" s="1263"/>
      <c r="AG772" s="1261"/>
      <c r="AH772" s="1261"/>
      <c r="AI772" s="1261"/>
      <c r="AJ772" s="1261"/>
      <c r="AK772" s="1261"/>
      <c r="AL772" s="1261"/>
      <c r="AM772" s="1261"/>
      <c r="AN772" s="1261"/>
      <c r="AO772" s="1261"/>
      <c r="AP772" s="1261"/>
      <c r="AQ772" s="1264"/>
      <c r="AR772" s="1261"/>
      <c r="AS772" s="1261"/>
      <c r="AT772" s="1261"/>
      <c r="AU772" s="1265"/>
      <c r="AV772" s="1264"/>
      <c r="AW772" s="1261"/>
      <c r="AX772" s="1261"/>
      <c r="AY772" s="1261"/>
      <c r="AZ772" s="1261"/>
      <c r="BA772" s="1261"/>
      <c r="BB772" s="1261"/>
      <c r="BC772" s="1261"/>
      <c r="BD772" s="1261"/>
      <c r="BE772" s="1261"/>
      <c r="BF772" s="1261"/>
      <c r="BG772" s="1261"/>
      <c r="BH772" s="1261"/>
      <c r="BI772" s="1261"/>
      <c r="BJ772" s="1261"/>
      <c r="BK772" s="1265"/>
      <c r="BL772" s="1252"/>
      <c r="BM772" s="1253"/>
      <c r="BN772" s="1253"/>
      <c r="BO772" s="1253"/>
      <c r="BP772" s="1260"/>
      <c r="BQ772" s="1264"/>
      <c r="BR772" s="1261"/>
      <c r="BS772" s="1261"/>
      <c r="BT772" s="1261"/>
      <c r="BU772" s="1265"/>
      <c r="BV772" s="1264"/>
      <c r="BW772" s="1261"/>
      <c r="BX772" s="1261"/>
      <c r="BY772" s="1261"/>
      <c r="BZ772" s="1261"/>
      <c r="CA772" s="1264"/>
      <c r="CB772" s="1261"/>
      <c r="CC772" s="1261"/>
      <c r="CD772" s="1261"/>
      <c r="CE772" s="1265"/>
      <c r="CF772" s="1261"/>
      <c r="CG772" s="1261"/>
      <c r="CH772" s="1261"/>
      <c r="CI772" s="1261"/>
      <c r="CJ772" s="1265"/>
      <c r="CK772" s="1264"/>
      <c r="CL772" s="1261"/>
      <c r="CM772" s="1261"/>
      <c r="CN772" s="1261"/>
      <c r="CO772" s="1265"/>
      <c r="CP772" s="1264"/>
      <c r="CQ772" s="1261"/>
      <c r="CR772" s="1261"/>
      <c r="CS772" s="1261"/>
      <c r="CT772" s="1265"/>
      <c r="CU772" s="1266"/>
      <c r="CV772" s="1267"/>
      <c r="CW772" s="1267"/>
      <c r="CX772" s="1268"/>
      <c r="CY772" s="1267"/>
      <c r="CZ772" s="1267"/>
      <c r="DA772" s="1267"/>
      <c r="DB772" s="1268"/>
      <c r="DC772" s="1253"/>
      <c r="DD772" s="1269">
        <v>1</v>
      </c>
      <c r="DE772" s="1270"/>
    </row>
    <row r="773" spans="1:109" ht="13.15" hidden="1">
      <c r="A773" s="1250"/>
      <c r="B773" s="1251"/>
      <c r="C773" s="1252"/>
      <c r="D773" s="1251"/>
      <c r="E773" s="1251"/>
      <c r="F773" s="1253"/>
      <c r="G773" s="1254"/>
      <c r="H773" s="1255"/>
      <c r="I773" s="1256"/>
      <c r="J773" s="1257"/>
      <c r="K773" s="1257"/>
      <c r="L773" s="1257"/>
      <c r="M773" s="1257"/>
      <c r="N773" s="1257"/>
      <c r="O773" s="1257"/>
      <c r="P773" s="1258"/>
      <c r="Q773" s="795">
        <f t="shared" si="11"/>
        <v>0</v>
      </c>
      <c r="R773" s="1252"/>
      <c r="S773" s="1251"/>
      <c r="T773" s="1260"/>
      <c r="U773" s="1251"/>
      <c r="V773" s="1251"/>
      <c r="W773" s="1251"/>
      <c r="X773" s="1261"/>
      <c r="Y773" s="1262"/>
      <c r="Z773" s="1254"/>
      <c r="AA773" s="1253"/>
      <c r="AB773" s="1253"/>
      <c r="AC773" s="1253"/>
      <c r="AD773" s="1253"/>
      <c r="AE773" s="1253"/>
      <c r="AF773" s="1263"/>
      <c r="AG773" s="1261"/>
      <c r="AH773" s="1261"/>
      <c r="AI773" s="1261"/>
      <c r="AJ773" s="1261"/>
      <c r="AK773" s="1261"/>
      <c r="AL773" s="1261"/>
      <c r="AM773" s="1261"/>
      <c r="AN773" s="1261"/>
      <c r="AO773" s="1261"/>
      <c r="AP773" s="1261"/>
      <c r="AQ773" s="1264"/>
      <c r="AR773" s="1261"/>
      <c r="AS773" s="1261"/>
      <c r="AT773" s="1261"/>
      <c r="AU773" s="1265"/>
      <c r="AV773" s="1264"/>
      <c r="AW773" s="1261"/>
      <c r="AX773" s="1261"/>
      <c r="AY773" s="1261"/>
      <c r="AZ773" s="1261"/>
      <c r="BA773" s="1261"/>
      <c r="BB773" s="1261"/>
      <c r="BC773" s="1261"/>
      <c r="BD773" s="1261"/>
      <c r="BE773" s="1261"/>
      <c r="BF773" s="1261"/>
      <c r="BG773" s="1261"/>
      <c r="BH773" s="1261"/>
      <c r="BI773" s="1261"/>
      <c r="BJ773" s="1261"/>
      <c r="BK773" s="1265"/>
      <c r="BL773" s="1252"/>
      <c r="BM773" s="1253"/>
      <c r="BN773" s="1253"/>
      <c r="BO773" s="1253"/>
      <c r="BP773" s="1260"/>
      <c r="BQ773" s="1264"/>
      <c r="BR773" s="1261"/>
      <c r="BS773" s="1261"/>
      <c r="BT773" s="1261"/>
      <c r="BU773" s="1265"/>
      <c r="BV773" s="1264"/>
      <c r="BW773" s="1261"/>
      <c r="BX773" s="1261"/>
      <c r="BY773" s="1261"/>
      <c r="BZ773" s="1261"/>
      <c r="CA773" s="1264"/>
      <c r="CB773" s="1261"/>
      <c r="CC773" s="1261"/>
      <c r="CD773" s="1261"/>
      <c r="CE773" s="1265"/>
      <c r="CF773" s="1261"/>
      <c r="CG773" s="1261"/>
      <c r="CH773" s="1261"/>
      <c r="CI773" s="1261"/>
      <c r="CJ773" s="1265"/>
      <c r="CK773" s="1264"/>
      <c r="CL773" s="1261"/>
      <c r="CM773" s="1261"/>
      <c r="CN773" s="1261"/>
      <c r="CO773" s="1265"/>
      <c r="CP773" s="1264"/>
      <c r="CQ773" s="1261"/>
      <c r="CR773" s="1261"/>
      <c r="CS773" s="1261"/>
      <c r="CT773" s="1265"/>
      <c r="CU773" s="1266"/>
      <c r="CV773" s="1267"/>
      <c r="CW773" s="1267"/>
      <c r="CX773" s="1268"/>
      <c r="CY773" s="1267"/>
      <c r="CZ773" s="1267"/>
      <c r="DA773" s="1267"/>
      <c r="DB773" s="1268"/>
      <c r="DC773" s="1253"/>
      <c r="DD773" s="1269">
        <v>1</v>
      </c>
      <c r="DE773" s="1270"/>
    </row>
    <row r="774" spans="1:109" ht="13.15" hidden="1">
      <c r="A774" s="1250"/>
      <c r="B774" s="1251"/>
      <c r="C774" s="1252"/>
      <c r="D774" s="1251"/>
      <c r="E774" s="1251"/>
      <c r="F774" s="1253"/>
      <c r="G774" s="1254"/>
      <c r="H774" s="1255"/>
      <c r="I774" s="1256"/>
      <c r="J774" s="1257"/>
      <c r="K774" s="1257"/>
      <c r="L774" s="1257"/>
      <c r="M774" s="1257"/>
      <c r="N774" s="1257"/>
      <c r="O774" s="1257"/>
      <c r="P774" s="1258"/>
      <c r="Q774" s="795">
        <f t="shared" si="11"/>
        <v>0</v>
      </c>
      <c r="R774" s="1252"/>
      <c r="S774" s="1251"/>
      <c r="T774" s="1260"/>
      <c r="U774" s="1251"/>
      <c r="V774" s="1251"/>
      <c r="W774" s="1251"/>
      <c r="X774" s="1261"/>
      <c r="Y774" s="1262"/>
      <c r="Z774" s="1254"/>
      <c r="AA774" s="1253"/>
      <c r="AB774" s="1253"/>
      <c r="AC774" s="1253"/>
      <c r="AD774" s="1253"/>
      <c r="AE774" s="1253"/>
      <c r="AF774" s="1263"/>
      <c r="AG774" s="1261"/>
      <c r="AH774" s="1261"/>
      <c r="AI774" s="1261"/>
      <c r="AJ774" s="1261"/>
      <c r="AK774" s="1261"/>
      <c r="AL774" s="1261"/>
      <c r="AM774" s="1261"/>
      <c r="AN774" s="1261"/>
      <c r="AO774" s="1261"/>
      <c r="AP774" s="1261"/>
      <c r="AQ774" s="1264"/>
      <c r="AR774" s="1261"/>
      <c r="AS774" s="1261"/>
      <c r="AT774" s="1261"/>
      <c r="AU774" s="1265"/>
      <c r="AV774" s="1264"/>
      <c r="AW774" s="1261"/>
      <c r="AX774" s="1261"/>
      <c r="AY774" s="1261"/>
      <c r="AZ774" s="1261"/>
      <c r="BA774" s="1261"/>
      <c r="BB774" s="1261"/>
      <c r="BC774" s="1261"/>
      <c r="BD774" s="1261"/>
      <c r="BE774" s="1261"/>
      <c r="BF774" s="1261"/>
      <c r="BG774" s="1261"/>
      <c r="BH774" s="1261"/>
      <c r="BI774" s="1261"/>
      <c r="BJ774" s="1261"/>
      <c r="BK774" s="1265"/>
      <c r="BL774" s="1252"/>
      <c r="BM774" s="1253"/>
      <c r="BN774" s="1253"/>
      <c r="BO774" s="1253"/>
      <c r="BP774" s="1260"/>
      <c r="BQ774" s="1264"/>
      <c r="BR774" s="1261"/>
      <c r="BS774" s="1261"/>
      <c r="BT774" s="1261"/>
      <c r="BU774" s="1265"/>
      <c r="BV774" s="1264"/>
      <c r="BW774" s="1261"/>
      <c r="BX774" s="1261"/>
      <c r="BY774" s="1261"/>
      <c r="BZ774" s="1261"/>
      <c r="CA774" s="1264"/>
      <c r="CB774" s="1261"/>
      <c r="CC774" s="1261"/>
      <c r="CD774" s="1261"/>
      <c r="CE774" s="1265"/>
      <c r="CF774" s="1261"/>
      <c r="CG774" s="1261"/>
      <c r="CH774" s="1261"/>
      <c r="CI774" s="1261"/>
      <c r="CJ774" s="1265"/>
      <c r="CK774" s="1264"/>
      <c r="CL774" s="1261"/>
      <c r="CM774" s="1261"/>
      <c r="CN774" s="1261"/>
      <c r="CO774" s="1265"/>
      <c r="CP774" s="1264"/>
      <c r="CQ774" s="1261"/>
      <c r="CR774" s="1261"/>
      <c r="CS774" s="1261"/>
      <c r="CT774" s="1265"/>
      <c r="CU774" s="1266"/>
      <c r="CV774" s="1267"/>
      <c r="CW774" s="1267"/>
      <c r="CX774" s="1268"/>
      <c r="CY774" s="1267"/>
      <c r="CZ774" s="1267"/>
      <c r="DA774" s="1267"/>
      <c r="DB774" s="1268"/>
      <c r="DC774" s="1253"/>
      <c r="DD774" s="1269">
        <v>1</v>
      </c>
      <c r="DE774" s="1270"/>
    </row>
    <row r="775" spans="1:109" ht="13.15" hidden="1">
      <c r="A775" s="1250"/>
      <c r="B775" s="1251"/>
      <c r="C775" s="1252"/>
      <c r="D775" s="1251"/>
      <c r="E775" s="1251"/>
      <c r="F775" s="1253"/>
      <c r="G775" s="1254"/>
      <c r="H775" s="1255"/>
      <c r="I775" s="1256"/>
      <c r="J775" s="1257"/>
      <c r="K775" s="1257"/>
      <c r="L775" s="1257"/>
      <c r="M775" s="1257"/>
      <c r="N775" s="1257"/>
      <c r="O775" s="1257"/>
      <c r="P775" s="1258"/>
      <c r="Q775" s="795">
        <f t="shared" si="11"/>
        <v>0</v>
      </c>
      <c r="R775" s="1252"/>
      <c r="S775" s="1251"/>
      <c r="T775" s="1260"/>
      <c r="U775" s="1251"/>
      <c r="V775" s="1251"/>
      <c r="W775" s="1251"/>
      <c r="X775" s="1261"/>
      <c r="Y775" s="1262"/>
      <c r="Z775" s="1254"/>
      <c r="AA775" s="1253"/>
      <c r="AB775" s="1253"/>
      <c r="AC775" s="1253"/>
      <c r="AD775" s="1253"/>
      <c r="AE775" s="1253"/>
      <c r="AF775" s="1263"/>
      <c r="AG775" s="1261"/>
      <c r="AH775" s="1261"/>
      <c r="AI775" s="1261"/>
      <c r="AJ775" s="1261"/>
      <c r="AK775" s="1261"/>
      <c r="AL775" s="1261"/>
      <c r="AM775" s="1261"/>
      <c r="AN775" s="1261"/>
      <c r="AO775" s="1261"/>
      <c r="AP775" s="1261"/>
      <c r="AQ775" s="1264"/>
      <c r="AR775" s="1261"/>
      <c r="AS775" s="1261"/>
      <c r="AT775" s="1261"/>
      <c r="AU775" s="1265"/>
      <c r="AV775" s="1264"/>
      <c r="AW775" s="1261"/>
      <c r="AX775" s="1261"/>
      <c r="AY775" s="1261"/>
      <c r="AZ775" s="1261"/>
      <c r="BA775" s="1261"/>
      <c r="BB775" s="1261"/>
      <c r="BC775" s="1261"/>
      <c r="BD775" s="1261"/>
      <c r="BE775" s="1261"/>
      <c r="BF775" s="1261"/>
      <c r="BG775" s="1261"/>
      <c r="BH775" s="1261"/>
      <c r="BI775" s="1261"/>
      <c r="BJ775" s="1261"/>
      <c r="BK775" s="1265"/>
      <c r="BL775" s="1252"/>
      <c r="BM775" s="1253"/>
      <c r="BN775" s="1253"/>
      <c r="BO775" s="1253"/>
      <c r="BP775" s="1260"/>
      <c r="BQ775" s="1264"/>
      <c r="BR775" s="1261"/>
      <c r="BS775" s="1261"/>
      <c r="BT775" s="1261"/>
      <c r="BU775" s="1265"/>
      <c r="BV775" s="1264"/>
      <c r="BW775" s="1261"/>
      <c r="BX775" s="1261"/>
      <c r="BY775" s="1261"/>
      <c r="BZ775" s="1261"/>
      <c r="CA775" s="1264"/>
      <c r="CB775" s="1261"/>
      <c r="CC775" s="1261"/>
      <c r="CD775" s="1261"/>
      <c r="CE775" s="1265"/>
      <c r="CF775" s="1261"/>
      <c r="CG775" s="1261"/>
      <c r="CH775" s="1261"/>
      <c r="CI775" s="1261"/>
      <c r="CJ775" s="1265"/>
      <c r="CK775" s="1264"/>
      <c r="CL775" s="1261"/>
      <c r="CM775" s="1261"/>
      <c r="CN775" s="1261"/>
      <c r="CO775" s="1265"/>
      <c r="CP775" s="1264"/>
      <c r="CQ775" s="1261"/>
      <c r="CR775" s="1261"/>
      <c r="CS775" s="1261"/>
      <c r="CT775" s="1265"/>
      <c r="CU775" s="1266"/>
      <c r="CV775" s="1267"/>
      <c r="CW775" s="1267"/>
      <c r="CX775" s="1268"/>
      <c r="CY775" s="1267"/>
      <c r="CZ775" s="1267"/>
      <c r="DA775" s="1267"/>
      <c r="DB775" s="1268"/>
      <c r="DC775" s="1253"/>
      <c r="DD775" s="1269">
        <v>1</v>
      </c>
      <c r="DE775" s="1270"/>
    </row>
    <row r="776" spans="1:109" ht="13.15" hidden="1">
      <c r="A776" s="1250"/>
      <c r="B776" s="1251"/>
      <c r="C776" s="1252"/>
      <c r="D776" s="1251"/>
      <c r="E776" s="1251"/>
      <c r="F776" s="1253"/>
      <c r="G776" s="1254"/>
      <c r="H776" s="1255"/>
      <c r="I776" s="1256"/>
      <c r="J776" s="1257"/>
      <c r="K776" s="1257"/>
      <c r="L776" s="1257"/>
      <c r="M776" s="1257"/>
      <c r="N776" s="1257"/>
      <c r="O776" s="1257"/>
      <c r="P776" s="1258"/>
      <c r="Q776" s="795">
        <f t="shared" si="11"/>
        <v>0</v>
      </c>
      <c r="R776" s="1252"/>
      <c r="S776" s="1251"/>
      <c r="T776" s="1260"/>
      <c r="U776" s="1251"/>
      <c r="V776" s="1251"/>
      <c r="W776" s="1251"/>
      <c r="X776" s="1261"/>
      <c r="Y776" s="1262"/>
      <c r="Z776" s="1254"/>
      <c r="AA776" s="1253"/>
      <c r="AB776" s="1253"/>
      <c r="AC776" s="1253"/>
      <c r="AD776" s="1253"/>
      <c r="AE776" s="1253"/>
      <c r="AF776" s="1263"/>
      <c r="AG776" s="1261"/>
      <c r="AH776" s="1261"/>
      <c r="AI776" s="1261"/>
      <c r="AJ776" s="1261"/>
      <c r="AK776" s="1261"/>
      <c r="AL776" s="1261"/>
      <c r="AM776" s="1261"/>
      <c r="AN776" s="1261"/>
      <c r="AO776" s="1261"/>
      <c r="AP776" s="1261"/>
      <c r="AQ776" s="1264"/>
      <c r="AR776" s="1261"/>
      <c r="AS776" s="1261"/>
      <c r="AT776" s="1261"/>
      <c r="AU776" s="1265"/>
      <c r="AV776" s="1264"/>
      <c r="AW776" s="1261"/>
      <c r="AX776" s="1261"/>
      <c r="AY776" s="1261"/>
      <c r="AZ776" s="1261"/>
      <c r="BA776" s="1261"/>
      <c r="BB776" s="1261"/>
      <c r="BC776" s="1261"/>
      <c r="BD776" s="1261"/>
      <c r="BE776" s="1261"/>
      <c r="BF776" s="1261"/>
      <c r="BG776" s="1261"/>
      <c r="BH776" s="1261"/>
      <c r="BI776" s="1261"/>
      <c r="BJ776" s="1261"/>
      <c r="BK776" s="1265"/>
      <c r="BL776" s="1252"/>
      <c r="BM776" s="1253"/>
      <c r="BN776" s="1253"/>
      <c r="BO776" s="1253"/>
      <c r="BP776" s="1260"/>
      <c r="BQ776" s="1264"/>
      <c r="BR776" s="1261"/>
      <c r="BS776" s="1261"/>
      <c r="BT776" s="1261"/>
      <c r="BU776" s="1265"/>
      <c r="BV776" s="1264"/>
      <c r="BW776" s="1261"/>
      <c r="BX776" s="1261"/>
      <c r="BY776" s="1261"/>
      <c r="BZ776" s="1261"/>
      <c r="CA776" s="1264"/>
      <c r="CB776" s="1261"/>
      <c r="CC776" s="1261"/>
      <c r="CD776" s="1261"/>
      <c r="CE776" s="1265"/>
      <c r="CF776" s="1261"/>
      <c r="CG776" s="1261"/>
      <c r="CH776" s="1261"/>
      <c r="CI776" s="1261"/>
      <c r="CJ776" s="1265"/>
      <c r="CK776" s="1264"/>
      <c r="CL776" s="1261"/>
      <c r="CM776" s="1261"/>
      <c r="CN776" s="1261"/>
      <c r="CO776" s="1265"/>
      <c r="CP776" s="1264"/>
      <c r="CQ776" s="1261"/>
      <c r="CR776" s="1261"/>
      <c r="CS776" s="1261"/>
      <c r="CT776" s="1265"/>
      <c r="CU776" s="1266"/>
      <c r="CV776" s="1267"/>
      <c r="CW776" s="1267"/>
      <c r="CX776" s="1268"/>
      <c r="CY776" s="1267"/>
      <c r="CZ776" s="1267"/>
      <c r="DA776" s="1267"/>
      <c r="DB776" s="1268"/>
      <c r="DC776" s="1253"/>
      <c r="DD776" s="1269">
        <v>1</v>
      </c>
      <c r="DE776" s="1270"/>
    </row>
    <row r="777" spans="1:109" ht="13.15" hidden="1">
      <c r="A777" s="1250"/>
      <c r="B777" s="1251"/>
      <c r="C777" s="1252"/>
      <c r="D777" s="1251"/>
      <c r="E777" s="1251"/>
      <c r="F777" s="1253"/>
      <c r="G777" s="1254"/>
      <c r="H777" s="1255"/>
      <c r="I777" s="1256"/>
      <c r="J777" s="1257"/>
      <c r="K777" s="1257"/>
      <c r="L777" s="1257"/>
      <c r="M777" s="1257"/>
      <c r="N777" s="1257"/>
      <c r="O777" s="1257"/>
      <c r="P777" s="1258"/>
      <c r="Q777" s="795">
        <f t="shared" ref="Q777" si="12">SUM(I777:P777)</f>
        <v>0</v>
      </c>
      <c r="R777" s="1252"/>
      <c r="S777" s="1251"/>
      <c r="T777" s="1260"/>
      <c r="U777" s="1251"/>
      <c r="V777" s="1251"/>
      <c r="W777" s="1251"/>
      <c r="X777" s="1261"/>
      <c r="Y777" s="1262"/>
      <c r="Z777" s="1254"/>
      <c r="AA777" s="1253"/>
      <c r="AB777" s="1253"/>
      <c r="AC777" s="1253"/>
      <c r="AD777" s="1253"/>
      <c r="AE777" s="1253"/>
      <c r="AF777" s="1263"/>
      <c r="AG777" s="1261"/>
      <c r="AH777" s="1261"/>
      <c r="AI777" s="1261"/>
      <c r="AJ777" s="1261"/>
      <c r="AK777" s="1261"/>
      <c r="AL777" s="1261"/>
      <c r="AM777" s="1261"/>
      <c r="AN777" s="1261"/>
      <c r="AO777" s="1261"/>
      <c r="AP777" s="1261"/>
      <c r="AQ777" s="1264"/>
      <c r="AR777" s="1261"/>
      <c r="AS777" s="1261"/>
      <c r="AT777" s="1261"/>
      <c r="AU777" s="1265"/>
      <c r="AV777" s="1264"/>
      <c r="AW777" s="1261"/>
      <c r="AX777" s="1261"/>
      <c r="AY777" s="1261"/>
      <c r="AZ777" s="1261"/>
      <c r="BA777" s="1261"/>
      <c r="BB777" s="1261"/>
      <c r="BC777" s="1261"/>
      <c r="BD777" s="1261"/>
      <c r="BE777" s="1261"/>
      <c r="BF777" s="1261"/>
      <c r="BG777" s="1261"/>
      <c r="BH777" s="1261"/>
      <c r="BI777" s="1261"/>
      <c r="BJ777" s="1261"/>
      <c r="BK777" s="1265"/>
      <c r="BL777" s="1252"/>
      <c r="BM777" s="1253"/>
      <c r="BN777" s="1253"/>
      <c r="BO777" s="1253"/>
      <c r="BP777" s="1260"/>
      <c r="BQ777" s="1264"/>
      <c r="BR777" s="1261"/>
      <c r="BS777" s="1261"/>
      <c r="BT777" s="1261"/>
      <c r="BU777" s="1265"/>
      <c r="BV777" s="1264"/>
      <c r="BW777" s="1261"/>
      <c r="BX777" s="1261"/>
      <c r="BY777" s="1261"/>
      <c r="BZ777" s="1261"/>
      <c r="CA777" s="1264"/>
      <c r="CB777" s="1261"/>
      <c r="CC777" s="1261"/>
      <c r="CD777" s="1261"/>
      <c r="CE777" s="1265"/>
      <c r="CF777" s="1261"/>
      <c r="CG777" s="1261"/>
      <c r="CH777" s="1261"/>
      <c r="CI777" s="1261"/>
      <c r="CJ777" s="1265"/>
      <c r="CK777" s="1264"/>
      <c r="CL777" s="1261"/>
      <c r="CM777" s="1261"/>
      <c r="CN777" s="1261"/>
      <c r="CO777" s="1265"/>
      <c r="CP777" s="1264"/>
      <c r="CQ777" s="1261"/>
      <c r="CR777" s="1261"/>
      <c r="CS777" s="1261"/>
      <c r="CT777" s="1265"/>
      <c r="CU777" s="1266"/>
      <c r="CV777" s="1267"/>
      <c r="CW777" s="1267"/>
      <c r="CX777" s="1268"/>
      <c r="CY777" s="1267"/>
      <c r="CZ777" s="1267"/>
      <c r="DA777" s="1267"/>
      <c r="DB777" s="1268"/>
      <c r="DC777" s="1253"/>
      <c r="DD777" s="1269">
        <v>1</v>
      </c>
      <c r="DE777" s="1270"/>
    </row>
    <row r="778" spans="1:109" ht="13.15" hidden="1">
      <c r="A778" s="1250"/>
      <c r="B778" s="1251"/>
      <c r="C778" s="1252"/>
      <c r="D778" s="1251"/>
      <c r="E778" s="1251"/>
      <c r="F778" s="1253"/>
      <c r="G778" s="1254"/>
      <c r="H778" s="1255"/>
      <c r="I778" s="1256"/>
      <c r="J778" s="1257"/>
      <c r="K778" s="1257"/>
      <c r="L778" s="1257"/>
      <c r="M778" s="1257"/>
      <c r="N778" s="1257"/>
      <c r="O778" s="1257"/>
      <c r="P778" s="1258"/>
      <c r="Q778" s="1259"/>
      <c r="R778" s="1252"/>
      <c r="S778" s="1251"/>
      <c r="T778" s="1260"/>
      <c r="U778" s="1251"/>
      <c r="V778" s="1251"/>
      <c r="W778" s="1251"/>
      <c r="X778" s="1261"/>
      <c r="Y778" s="1262"/>
      <c r="Z778" s="1254"/>
      <c r="AA778" s="1253"/>
      <c r="AB778" s="1253"/>
      <c r="AC778" s="1253"/>
      <c r="AD778" s="1253"/>
      <c r="AE778" s="1253"/>
      <c r="AF778" s="1263"/>
      <c r="AG778" s="1261"/>
      <c r="AH778" s="1261"/>
      <c r="AI778" s="1261"/>
      <c r="AJ778" s="1261"/>
      <c r="AK778" s="1261"/>
      <c r="AL778" s="1261"/>
      <c r="AM778" s="1261"/>
      <c r="AN778" s="1261"/>
      <c r="AO778" s="1261"/>
      <c r="AP778" s="1261"/>
      <c r="AQ778" s="1264"/>
      <c r="AR778" s="1261"/>
      <c r="AS778" s="1261"/>
      <c r="AT778" s="1261"/>
      <c r="AU778" s="1265"/>
      <c r="AV778" s="1264"/>
      <c r="AW778" s="1261"/>
      <c r="AX778" s="1261"/>
      <c r="AY778" s="1261"/>
      <c r="AZ778" s="1261"/>
      <c r="BA778" s="1261"/>
      <c r="BB778" s="1261"/>
      <c r="BC778" s="1261"/>
      <c r="BD778" s="1261"/>
      <c r="BE778" s="1261"/>
      <c r="BF778" s="1261"/>
      <c r="BG778" s="1261"/>
      <c r="BH778" s="1261"/>
      <c r="BI778" s="1261"/>
      <c r="BJ778" s="1261"/>
      <c r="BK778" s="1265"/>
      <c r="BL778" s="1252"/>
      <c r="BM778" s="1253"/>
      <c r="BN778" s="1253"/>
      <c r="BO778" s="1253"/>
      <c r="BP778" s="1260"/>
      <c r="BQ778" s="1264"/>
      <c r="BR778" s="1261"/>
      <c r="BS778" s="1261"/>
      <c r="BT778" s="1261"/>
      <c r="BU778" s="1265"/>
      <c r="BV778" s="1264"/>
      <c r="BW778" s="1261"/>
      <c r="BX778" s="1261"/>
      <c r="BY778" s="1261"/>
      <c r="BZ778" s="1261"/>
      <c r="CA778" s="1264"/>
      <c r="CB778" s="1261"/>
      <c r="CC778" s="1261"/>
      <c r="CD778" s="1261"/>
      <c r="CE778" s="1265"/>
      <c r="CF778" s="1261"/>
      <c r="CG778" s="1261"/>
      <c r="CH778" s="1261"/>
      <c r="CI778" s="1261"/>
      <c r="CJ778" s="1265"/>
      <c r="CK778" s="1264"/>
      <c r="CL778" s="1261"/>
      <c r="CM778" s="1261"/>
      <c r="CN778" s="1261"/>
      <c r="CO778" s="1265"/>
      <c r="CP778" s="1264"/>
      <c r="CQ778" s="1261"/>
      <c r="CR778" s="1261"/>
      <c r="CS778" s="1261"/>
      <c r="CT778" s="1265"/>
      <c r="CU778" s="1266"/>
      <c r="CV778" s="1267"/>
      <c r="CW778" s="1267"/>
      <c r="CX778" s="1268"/>
      <c r="CY778" s="1267"/>
      <c r="CZ778" s="1267"/>
      <c r="DA778" s="1267"/>
      <c r="DB778" s="1268"/>
      <c r="DC778" s="1253"/>
      <c r="DD778" s="1269">
        <v>1</v>
      </c>
      <c r="DE778" s="1270"/>
    </row>
  </sheetData>
  <sheetProtection autoFilter="0"/>
  <autoFilter ref="A6:DE778" xr:uid="{00000000-0009-0000-0000-00001F000000}">
    <filterColumn colId="0">
      <filters>
        <filter val="SRN"/>
      </filters>
    </filterColumn>
  </autoFilter>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phoneticPr fontId="180" type="noConversion"/>
  <conditionalFormatting sqref="A682:Q777">
    <cfRule type="expression" dxfId="99" priority="38">
      <formula>$R682="NFI"</formula>
    </cfRule>
  </conditionalFormatting>
  <conditionalFormatting sqref="A240:W277">
    <cfRule type="expression" dxfId="98" priority="7">
      <formula>$R240="NFI"</formula>
    </cfRule>
  </conditionalFormatting>
  <conditionalFormatting sqref="A439:W490">
    <cfRule type="expression" dxfId="97" priority="57">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38:CJ538 CP538:DE538 A539:DE638 A639:W681 Y663:BZ663 CB663:DE663">
    <cfRule type="expression" dxfId="96" priority="59">
      <formula>$R7="NFI"</formula>
    </cfRule>
  </conditionalFormatting>
  <conditionalFormatting sqref="A504:DE537">
    <cfRule type="expression" dxfId="95" priority="1">
      <formula>$R504="NFI"</formula>
    </cfRule>
  </conditionalFormatting>
  <conditionalFormatting sqref="I7:Q778">
    <cfRule type="cellIs" dxfId="94" priority="37" operator="equal">
      <formula>0</formula>
    </cfRule>
  </conditionalFormatting>
  <conditionalFormatting sqref="X35:X106">
    <cfRule type="expression" dxfId="93" priority="21">
      <formula>$R35="NFI"</formula>
    </cfRule>
  </conditionalFormatting>
  <conditionalFormatting sqref="X138:X188">
    <cfRule type="expression" dxfId="92" priority="20">
      <formula>$R138="NFI"</formula>
    </cfRule>
  </conditionalFormatting>
  <conditionalFormatting sqref="X639:X682">
    <cfRule type="expression" dxfId="91" priority="18">
      <formula>$R639="NFI"</formula>
    </cfRule>
  </conditionalFormatting>
  <conditionalFormatting sqref="Y81:DE149">
    <cfRule type="expression" dxfId="90" priority="2">
      <formula>$R81="NFI"</formula>
    </cfRule>
  </conditionalFormatting>
  <conditionalFormatting sqref="Y639:DE662">
    <cfRule type="expression" dxfId="89" priority="49">
      <formula>$R639="NFI"</formula>
    </cfRule>
  </conditionalFormatting>
  <conditionalFormatting sqref="Y664:DE682 R682:W682 R683:DE777 A778:DE778">
    <cfRule type="expression" dxfId="88" priority="46">
      <formula>$R664="NFI"</formula>
    </cfRule>
  </conditionalFormatting>
  <conditionalFormatting sqref="CA663">
    <cfRule type="expression" dxfId="87" priority="52">
      <formula>$AJ663="NFI"</formula>
    </cfRule>
    <cfRule type="expression" dxfId="86" priority="53">
      <formula>CA663=0</formula>
    </cfRule>
  </conditionalFormatting>
  <conditionalFormatting sqref="CA80:CE80">
    <cfRule type="expression" dxfId="85" priority="54">
      <formula>$AJ80="NFI"</formula>
    </cfRule>
    <cfRule type="expression" dxfId="84" priority="55">
      <formula>CA80=0</formula>
    </cfRule>
  </conditionalFormatting>
  <conditionalFormatting sqref="CA150:CE150">
    <cfRule type="expression" dxfId="83" priority="50">
      <formula>$AJ150="NFI"</formula>
    </cfRule>
    <cfRule type="expression" dxfId="82" priority="51">
      <formula>CA150=0</formula>
    </cfRule>
  </conditionalFormatting>
  <conditionalFormatting sqref="CK79:CO79">
    <cfRule type="expression" dxfId="81" priority="23">
      <formula>$AJ79="NFI"</formula>
    </cfRule>
    <cfRule type="expression" dxfId="80" priority="24">
      <formula>CK79=0</formula>
    </cfRule>
  </conditionalFormatting>
  <conditionalFormatting sqref="CK538:CO538">
    <cfRule type="expression" dxfId="79" priority="25">
      <formula>$AJ538="NFI"</formula>
    </cfRule>
    <cfRule type="expression" dxfId="78" priority="26">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0547-F974-4DB8-9657-F7A9F8FFF888}">
  <sheetPr filterMode="1">
    <tabColor rgb="FF857362"/>
    <pageSetUpPr fitToPage="1"/>
  </sheetPr>
  <dimension ref="A1:DW816"/>
  <sheetViews>
    <sheetView showGridLines="0" zoomScale="80" zoomScaleNormal="80" workbookViewId="0">
      <pane xSplit="21" ySplit="9" topLeftCell="V10" activePane="bottomRight" state="frozen"/>
      <selection activeCell="G4" sqref="G4"/>
      <selection pane="topRight" activeCell="G4" sqref="G4"/>
      <selection pane="bottomLeft" activeCell="G4" sqref="G4"/>
      <selection pane="bottomRight"/>
    </sheetView>
  </sheetViews>
  <sheetFormatPr defaultColWidth="9" defaultRowHeight="13.5" zeroHeight="1"/>
  <cols>
    <col min="1" max="1" width="8.625" style="80" customWidth="1"/>
    <col min="2" max="2" width="5.5" style="80" customWidth="1"/>
    <col min="3" max="3" width="31.375" style="80" hidden="1" customWidth="1"/>
    <col min="4" max="4" width="26.25" style="58" hidden="1" customWidth="1"/>
    <col min="5" max="5" width="32.375" style="58" hidden="1" customWidth="1"/>
    <col min="6" max="6" width="45.375" style="58" hidden="1" customWidth="1"/>
    <col min="7" max="7" width="35.375" style="58" hidden="1" customWidth="1"/>
    <col min="8" max="8" width="12.5" style="58" hidden="1" customWidth="1"/>
    <col min="9" max="9" width="21.75" style="58" hidden="1" customWidth="1"/>
    <col min="10" max="10" width="22.5" style="58" hidden="1" customWidth="1"/>
    <col min="11" max="12" width="12.5" style="58" hidden="1" customWidth="1"/>
    <col min="13" max="13" width="42" style="58" hidden="1" customWidth="1"/>
    <col min="14" max="18" width="12.5" style="58" hidden="1" customWidth="1"/>
    <col min="19" max="19" width="36" style="58" hidden="1" customWidth="1"/>
    <col min="20" max="20" width="2.5" style="58" customWidth="1"/>
    <col min="21" max="21" width="31.375" style="58" customWidth="1"/>
    <col min="22" max="22" width="44.25" style="61" customWidth="1"/>
    <col min="23" max="23" width="15.125" style="61" customWidth="1"/>
    <col min="24" max="24" width="32.875" style="62" customWidth="1"/>
    <col min="25" max="25" width="62.5" style="61" customWidth="1"/>
    <col min="26" max="26" width="48.875" style="61" customWidth="1"/>
    <col min="27" max="28" width="10" style="61" customWidth="1"/>
    <col min="29" max="29" width="10.5" style="61" customWidth="1"/>
    <col min="30" max="30" width="11.25" style="61" customWidth="1"/>
    <col min="31" max="32" width="10" style="61" customWidth="1"/>
    <col min="33" max="33" width="13.125" style="61" customWidth="1"/>
    <col min="34" max="34" width="10" style="61" customWidth="1"/>
    <col min="35" max="35" width="7" style="61" customWidth="1"/>
    <col min="36" max="36" width="12.5" style="62" customWidth="1"/>
    <col min="37" max="37" width="18.125" style="61" customWidth="1"/>
    <col min="38" max="38" width="10.5" style="62" customWidth="1"/>
    <col min="39" max="39" width="38.125" style="61" customWidth="1"/>
    <col min="40" max="40" width="8.75" style="61" customWidth="1"/>
    <col min="41" max="41" width="35" style="61" customWidth="1"/>
    <col min="42" max="42" width="13" style="63" bestFit="1" customWidth="1"/>
    <col min="43" max="43" width="9" style="64" customWidth="1"/>
    <col min="44" max="44" width="38.75" style="61" customWidth="1"/>
    <col min="45" max="45" width="10" style="62" hidden="1" customWidth="1"/>
    <col min="46" max="46" width="9.625" style="62" hidden="1" customWidth="1"/>
    <col min="47" max="49" width="9" style="62" hidden="1" customWidth="1"/>
    <col min="50" max="50" width="12.625" style="62" hidden="1" customWidth="1"/>
    <col min="51" max="60" width="11.25" style="61" hidden="1" customWidth="1"/>
    <col min="61" max="65" width="11.25" style="61" customWidth="1"/>
    <col min="66" max="81" width="11.25" style="61" hidden="1" customWidth="1"/>
    <col min="82" max="82" width="7.125" style="65" customWidth="1"/>
    <col min="83" max="86" width="7.5" style="65" customWidth="1"/>
    <col min="87" max="106" width="9.625" style="66" customWidth="1"/>
    <col min="107" max="116" width="10" style="66" customWidth="1"/>
    <col min="117" max="117" width="21.875" style="66" customWidth="1"/>
    <col min="118" max="118" width="22.625" style="66" customWidth="1"/>
    <col min="119" max="120" width="17.625" style="66" customWidth="1"/>
    <col min="121" max="121" width="20.75" style="66" customWidth="1"/>
    <col min="122" max="124" width="17.625" style="66" customWidth="1"/>
    <col min="125" max="125" width="10" style="65" customWidth="1"/>
    <col min="126" max="126" width="9.625" style="67" customWidth="1"/>
    <col min="127" max="127" width="10.625" style="68" customWidth="1"/>
    <col min="128" max="16384" width="9" style="57"/>
  </cols>
  <sheetData>
    <row r="1" spans="1:127" s="46" customFormat="1" ht="26.65" customHeight="1" thickBot="1">
      <c r="A1" s="700" t="s">
        <v>4777</v>
      </c>
      <c r="B1" s="45"/>
      <c r="C1" s="45"/>
      <c r="D1" s="45"/>
      <c r="E1" s="45"/>
      <c r="F1" s="45"/>
      <c r="G1" s="45"/>
      <c r="H1" s="45"/>
      <c r="I1" s="45"/>
      <c r="J1" s="45"/>
      <c r="K1" s="45"/>
      <c r="L1" s="45"/>
      <c r="M1" s="45"/>
      <c r="N1" s="45"/>
      <c r="O1" s="45"/>
      <c r="P1" s="45"/>
      <c r="Q1" s="45"/>
      <c r="R1" s="45"/>
      <c r="S1" s="45"/>
      <c r="T1" s="45"/>
      <c r="U1" s="251"/>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396"/>
      <c r="AT1" s="396"/>
      <c r="AU1" s="396"/>
      <c r="AV1" s="396"/>
      <c r="AW1" s="396"/>
      <c r="AX1" s="396"/>
      <c r="AY1" s="396"/>
      <c r="AZ1" s="396"/>
      <c r="BA1" s="396"/>
      <c r="BB1" s="396"/>
      <c r="BC1" s="396"/>
      <c r="BD1" s="396"/>
      <c r="BE1" s="396"/>
      <c r="BF1" s="396"/>
      <c r="BG1" s="396"/>
      <c r="BH1" s="396"/>
      <c r="BI1" s="252"/>
      <c r="BJ1" s="252"/>
      <c r="BK1" s="252"/>
      <c r="BL1" s="252"/>
      <c r="BM1" s="252"/>
      <c r="BN1" s="396"/>
      <c r="BO1" s="396"/>
      <c r="BP1" s="396"/>
      <c r="BQ1" s="396"/>
      <c r="BR1" s="396"/>
      <c r="BS1" s="396"/>
      <c r="BT1" s="396"/>
      <c r="BU1" s="396"/>
      <c r="BV1" s="396"/>
      <c r="BW1" s="396"/>
      <c r="BX1" s="396"/>
      <c r="BY1" s="396"/>
      <c r="BZ1" s="396"/>
      <c r="CA1" s="396"/>
      <c r="CB1" s="396"/>
      <c r="CC1" s="396"/>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c r="DV1" s="252"/>
      <c r="DW1" s="252"/>
    </row>
    <row r="2" spans="1:127" s="46" customFormat="1" ht="26.25" hidden="1" customHeight="1">
      <c r="A2" s="47"/>
      <c r="B2" s="48"/>
      <c r="C2" s="48"/>
      <c r="D2" s="48"/>
      <c r="E2" s="48"/>
      <c r="F2" s="48"/>
      <c r="G2" s="48"/>
      <c r="H2" s="48"/>
      <c r="I2" s="48"/>
      <c r="J2" s="48"/>
      <c r="K2" s="48"/>
      <c r="L2" s="48"/>
      <c r="M2" s="48"/>
      <c r="N2" s="48"/>
      <c r="O2" s="48"/>
      <c r="P2" s="48"/>
      <c r="Q2" s="48"/>
      <c r="R2" s="48"/>
      <c r="S2" s="48"/>
      <c r="T2" s="48"/>
      <c r="U2" s="48"/>
      <c r="V2" s="48"/>
      <c r="W2" s="49"/>
      <c r="X2" s="48"/>
      <c r="Y2" s="49"/>
      <c r="Z2" s="48"/>
      <c r="AA2" s="69"/>
      <c r="AB2" s="49"/>
      <c r="AC2" s="49"/>
      <c r="AD2" s="49"/>
      <c r="AE2" s="49"/>
      <c r="AF2" s="49"/>
      <c r="AG2" s="49"/>
      <c r="AH2" s="49"/>
      <c r="AI2" s="70"/>
      <c r="AJ2" s="50"/>
      <c r="AK2" s="49"/>
      <c r="AL2" s="50"/>
      <c r="AM2" s="49"/>
      <c r="AN2" s="49"/>
      <c r="AO2" s="49"/>
      <c r="AP2" s="51"/>
      <c r="AQ2" s="49"/>
      <c r="AR2" s="51"/>
      <c r="AS2" s="50"/>
      <c r="AT2" s="50"/>
      <c r="AU2" s="50"/>
      <c r="AV2" s="50"/>
      <c r="AW2" s="50"/>
      <c r="AX2" s="50"/>
      <c r="AY2" s="49"/>
      <c r="AZ2" s="49"/>
      <c r="BA2" s="49"/>
      <c r="BB2" s="49"/>
      <c r="BC2" s="49"/>
      <c r="BD2" s="49"/>
      <c r="BE2" s="49"/>
      <c r="BF2" s="49"/>
      <c r="BG2" s="49"/>
      <c r="BH2" s="49"/>
      <c r="BI2" s="49"/>
      <c r="BJ2" s="49"/>
      <c r="BK2" s="52"/>
      <c r="BL2" s="49"/>
      <c r="BM2" s="49"/>
      <c r="BN2" s="49"/>
      <c r="BO2" s="49"/>
      <c r="BP2" s="49"/>
      <c r="BQ2" s="49"/>
      <c r="BR2" s="49"/>
      <c r="BS2" s="49"/>
      <c r="BT2" s="49"/>
      <c r="BU2" s="49"/>
      <c r="BV2" s="49"/>
      <c r="BW2" s="49"/>
      <c r="BX2" s="49"/>
      <c r="BY2" s="49"/>
      <c r="BZ2" s="49"/>
      <c r="CA2" s="49"/>
      <c r="CB2" s="49"/>
      <c r="CC2" s="53"/>
      <c r="CD2" s="50"/>
      <c r="CE2" s="50"/>
      <c r="CF2" s="50"/>
      <c r="CG2" s="50"/>
      <c r="CH2" s="50"/>
      <c r="CI2" s="51"/>
      <c r="CJ2" s="51"/>
      <c r="CK2" s="51"/>
      <c r="CL2" s="51"/>
      <c r="CM2" s="51"/>
      <c r="CN2" s="51"/>
      <c r="CO2" s="51"/>
      <c r="CP2" s="51"/>
      <c r="CQ2" s="51"/>
      <c r="CR2" s="51"/>
      <c r="CS2" s="53"/>
      <c r="CT2" s="51"/>
      <c r="CU2" s="51"/>
      <c r="CV2" s="51"/>
      <c r="CW2" s="51"/>
      <c r="CX2" s="51"/>
      <c r="CY2" s="51"/>
      <c r="CZ2" s="51"/>
      <c r="DA2" s="51"/>
      <c r="DB2" s="51"/>
      <c r="DC2" s="51"/>
      <c r="DD2" s="51"/>
      <c r="DE2" s="51"/>
      <c r="DF2" s="51"/>
      <c r="DG2" s="51"/>
      <c r="DH2" s="51"/>
      <c r="DI2" s="51"/>
      <c r="DJ2" s="51"/>
      <c r="DK2" s="51"/>
      <c r="DL2" s="51"/>
      <c r="DM2" s="48"/>
      <c r="DN2" s="51"/>
      <c r="DO2" s="51"/>
      <c r="DP2" s="51"/>
      <c r="DQ2" s="51"/>
      <c r="DR2" s="51"/>
      <c r="DS2" s="51"/>
      <c r="DT2" s="51"/>
      <c r="DU2" s="50"/>
      <c r="DV2" s="51"/>
      <c r="DW2" s="53"/>
    </row>
    <row r="3" spans="1:127" s="46" customFormat="1" ht="26.25" hidden="1" customHeight="1">
      <c r="A3" s="2139" t="s">
        <v>4778</v>
      </c>
      <c r="B3" s="2139"/>
      <c r="C3" s="2139"/>
      <c r="D3" s="2139"/>
      <c r="E3" s="2139"/>
      <c r="F3" s="2139"/>
      <c r="G3" s="2139"/>
      <c r="H3" s="2139"/>
      <c r="I3" s="2139"/>
      <c r="J3" s="2139"/>
      <c r="K3" s="2139"/>
      <c r="L3" s="2139"/>
      <c r="M3" s="2139"/>
      <c r="N3" s="2139"/>
      <c r="O3" s="2139"/>
      <c r="P3" s="2139"/>
      <c r="Q3" s="2139"/>
      <c r="R3" s="2139"/>
      <c r="S3" s="2139"/>
      <c r="T3" s="48"/>
      <c r="U3" s="2140" t="s">
        <v>4779</v>
      </c>
      <c r="V3" s="71"/>
      <c r="W3" s="71"/>
      <c r="X3" s="71"/>
      <c r="Y3" s="71"/>
      <c r="Z3" s="71"/>
      <c r="AA3" s="72"/>
      <c r="AB3" s="71"/>
      <c r="AC3" s="71"/>
      <c r="AD3" s="71"/>
      <c r="AE3" s="71"/>
      <c r="AF3" s="71"/>
      <c r="AG3" s="71"/>
      <c r="AH3" s="71"/>
      <c r="AI3" s="73"/>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2141"/>
      <c r="CT3" s="2142"/>
      <c r="CU3" s="2142"/>
      <c r="CV3" s="2142"/>
      <c r="CW3" s="2142"/>
      <c r="CX3" s="2142"/>
      <c r="CY3" s="2142"/>
      <c r="CZ3" s="2142"/>
      <c r="DA3" s="2142"/>
      <c r="DB3" s="2142"/>
      <c r="DC3" s="71"/>
      <c r="DD3" s="71"/>
      <c r="DE3" s="71"/>
      <c r="DF3" s="71"/>
      <c r="DG3" s="71"/>
      <c r="DH3" s="71"/>
      <c r="DI3" s="71"/>
      <c r="DJ3" s="71"/>
      <c r="DK3" s="71"/>
      <c r="DL3" s="71"/>
      <c r="DM3" s="71"/>
      <c r="DN3" s="71"/>
      <c r="DO3" s="71"/>
      <c r="DP3" s="71"/>
      <c r="DQ3" s="71"/>
      <c r="DR3" s="71"/>
      <c r="DS3" s="71"/>
      <c r="DT3" s="71"/>
      <c r="DU3" s="71"/>
      <c r="DV3" s="71"/>
      <c r="DW3" s="71"/>
    </row>
    <row r="4" spans="1:127" s="46" customFormat="1" ht="76.5" hidden="1" customHeight="1">
      <c r="A4" s="2139"/>
      <c r="B4" s="2139"/>
      <c r="C4" s="2139"/>
      <c r="D4" s="2139"/>
      <c r="E4" s="2139"/>
      <c r="F4" s="2139"/>
      <c r="G4" s="2139"/>
      <c r="H4" s="2139"/>
      <c r="I4" s="2139"/>
      <c r="J4" s="2139"/>
      <c r="K4" s="2139"/>
      <c r="L4" s="2139"/>
      <c r="M4" s="2139"/>
      <c r="N4" s="2139"/>
      <c r="O4" s="2139"/>
      <c r="P4" s="2139"/>
      <c r="Q4" s="2139"/>
      <c r="R4" s="2139"/>
      <c r="S4" s="2139"/>
      <c r="T4" s="48"/>
      <c r="U4" s="2140"/>
      <c r="V4" s="71"/>
      <c r="W4" s="71"/>
      <c r="X4" s="71"/>
      <c r="Y4" s="71"/>
      <c r="Z4" s="71"/>
      <c r="AA4" s="72"/>
      <c r="AB4" s="71"/>
      <c r="AC4" s="71"/>
      <c r="AD4" s="71"/>
      <c r="AE4" s="71"/>
      <c r="AF4" s="71"/>
      <c r="AG4" s="71"/>
      <c r="AH4" s="71"/>
      <c r="AI4" s="73"/>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2142"/>
      <c r="CT4" s="2142"/>
      <c r="CU4" s="2142"/>
      <c r="CV4" s="2142"/>
      <c r="CW4" s="2142"/>
      <c r="CX4" s="2142"/>
      <c r="CY4" s="2142"/>
      <c r="CZ4" s="2142"/>
      <c r="DA4" s="2142"/>
      <c r="DB4" s="2142"/>
      <c r="DC4" s="71"/>
      <c r="DD4" s="71"/>
      <c r="DE4" s="71"/>
      <c r="DF4" s="71"/>
      <c r="DG4" s="71"/>
      <c r="DH4" s="71"/>
      <c r="DI4" s="71"/>
      <c r="DJ4" s="71"/>
      <c r="DK4" s="71"/>
      <c r="DL4" s="71"/>
      <c r="DM4" s="71"/>
      <c r="DN4" s="71"/>
      <c r="DO4" s="71"/>
      <c r="DP4" s="71"/>
      <c r="DQ4" s="71"/>
      <c r="DR4" s="71"/>
      <c r="DS4" s="71"/>
      <c r="DT4" s="71"/>
      <c r="DU4" s="71"/>
      <c r="DV4" s="71"/>
      <c r="DW4" s="71"/>
    </row>
    <row r="5" spans="1:127" s="46" customFormat="1" ht="26.25" hidden="1" customHeight="1" thickBot="1">
      <c r="A5" s="47"/>
      <c r="B5" s="48"/>
      <c r="C5" s="48"/>
      <c r="D5" s="48"/>
      <c r="E5" s="48"/>
      <c r="F5" s="48"/>
      <c r="G5" s="48"/>
      <c r="H5" s="48"/>
      <c r="I5" s="48"/>
      <c r="J5" s="48"/>
      <c r="K5" s="48"/>
      <c r="L5" s="48"/>
      <c r="M5" s="48"/>
      <c r="N5" s="48"/>
      <c r="O5" s="48"/>
      <c r="P5" s="48"/>
      <c r="Q5" s="48"/>
      <c r="R5" s="48"/>
      <c r="S5" s="48"/>
      <c r="T5" s="48"/>
      <c r="U5" s="48"/>
      <c r="V5" s="48"/>
      <c r="W5" s="49"/>
      <c r="X5" s="48"/>
      <c r="Y5" s="49"/>
      <c r="Z5" s="48"/>
      <c r="AA5" s="69"/>
      <c r="AB5" s="49"/>
      <c r="AC5" s="49"/>
      <c r="AD5" s="49"/>
      <c r="AE5" s="49"/>
      <c r="AF5" s="49"/>
      <c r="AG5" s="49"/>
      <c r="AH5" s="49"/>
      <c r="AI5" s="70"/>
      <c r="AJ5" s="50"/>
      <c r="AK5" s="49"/>
      <c r="AL5" s="50"/>
      <c r="AM5" s="49"/>
      <c r="AN5" s="49"/>
      <c r="AO5" s="49"/>
      <c r="AP5" s="51"/>
      <c r="AQ5" s="49"/>
      <c r="AR5" s="51"/>
      <c r="AS5" s="50"/>
      <c r="AT5" s="50"/>
      <c r="AU5" s="50"/>
      <c r="AV5" s="50"/>
      <c r="AW5" s="50"/>
      <c r="AX5" s="50"/>
      <c r="AY5" s="49"/>
      <c r="AZ5" s="49"/>
      <c r="BA5" s="49"/>
      <c r="BB5" s="49"/>
      <c r="BC5" s="49"/>
      <c r="BD5" s="49"/>
      <c r="BE5" s="49"/>
      <c r="BF5" s="49"/>
      <c r="BG5" s="49"/>
      <c r="BH5" s="49"/>
      <c r="BI5" s="49"/>
      <c r="BJ5" s="49"/>
      <c r="BK5" s="52"/>
      <c r="BL5" s="49"/>
      <c r="BM5" s="49"/>
      <c r="BN5" s="49"/>
      <c r="BO5" s="49"/>
      <c r="BP5" s="49"/>
      <c r="BQ5" s="49"/>
      <c r="BR5" s="49"/>
      <c r="BS5" s="49"/>
      <c r="BT5" s="49"/>
      <c r="BU5" s="49"/>
      <c r="BV5" s="49"/>
      <c r="BW5" s="49"/>
      <c r="BX5" s="49"/>
      <c r="BY5" s="49"/>
      <c r="BZ5" s="49"/>
      <c r="CA5" s="49"/>
      <c r="CB5" s="49"/>
      <c r="CC5" s="53"/>
      <c r="CD5" s="50"/>
      <c r="CE5" s="50"/>
      <c r="CF5" s="50"/>
      <c r="CG5" s="50"/>
      <c r="CH5" s="50"/>
      <c r="CI5" s="51"/>
      <c r="CJ5" s="51"/>
      <c r="CK5" s="51"/>
      <c r="CL5" s="51"/>
      <c r="CM5" s="51"/>
      <c r="CN5" s="51"/>
      <c r="CO5" s="51"/>
      <c r="CP5" s="51"/>
      <c r="CQ5" s="51"/>
      <c r="CR5" s="51"/>
      <c r="CS5" s="53"/>
      <c r="CT5" s="51"/>
      <c r="CU5" s="51"/>
      <c r="CV5" s="51"/>
      <c r="CW5" s="51"/>
      <c r="CX5" s="51"/>
      <c r="CY5" s="51"/>
      <c r="CZ5" s="51"/>
      <c r="DA5" s="51"/>
      <c r="DB5" s="51"/>
      <c r="DC5" s="51"/>
      <c r="DD5" s="51"/>
      <c r="DE5" s="51"/>
      <c r="DF5" s="51"/>
      <c r="DG5" s="51"/>
      <c r="DH5" s="51"/>
      <c r="DI5" s="51"/>
      <c r="DJ5" s="51"/>
      <c r="DK5" s="51"/>
      <c r="DL5" s="51"/>
      <c r="DM5" s="48"/>
      <c r="DN5" s="51"/>
      <c r="DO5" s="51"/>
      <c r="DP5" s="51"/>
      <c r="DQ5" s="51"/>
      <c r="DR5" s="51"/>
      <c r="DS5" s="51"/>
      <c r="DT5" s="51"/>
      <c r="DU5" s="50"/>
      <c r="DV5" s="51"/>
      <c r="DW5" s="53"/>
    </row>
    <row r="6" spans="1:127" s="54" customFormat="1" ht="14.25">
      <c r="A6" s="967" t="s">
        <v>4780</v>
      </c>
      <c r="B6" s="968"/>
      <c r="C6" s="969"/>
      <c r="D6" s="970"/>
      <c r="E6" s="970"/>
      <c r="F6" s="970"/>
      <c r="G6" s="970"/>
      <c r="H6" s="970"/>
      <c r="I6" s="970"/>
      <c r="J6" s="970"/>
      <c r="K6" s="970"/>
      <c r="L6" s="970"/>
      <c r="M6" s="970"/>
      <c r="N6" s="970"/>
      <c r="O6" s="970"/>
      <c r="P6" s="970"/>
      <c r="Q6" s="970"/>
      <c r="R6" s="970"/>
      <c r="S6" s="970"/>
      <c r="T6" s="971"/>
      <c r="U6" s="1329">
        <v>19</v>
      </c>
      <c r="V6" s="972">
        <v>20</v>
      </c>
      <c r="W6" s="973">
        <v>21</v>
      </c>
      <c r="X6" s="1330">
        <v>22</v>
      </c>
      <c r="Y6" s="974">
        <v>23</v>
      </c>
      <c r="Z6" s="973">
        <v>24</v>
      </c>
      <c r="AA6" s="2143">
        <v>25</v>
      </c>
      <c r="AB6" s="2144"/>
      <c r="AC6" s="2144"/>
      <c r="AD6" s="2144"/>
      <c r="AE6" s="2144"/>
      <c r="AF6" s="2144"/>
      <c r="AG6" s="2144"/>
      <c r="AH6" s="2144"/>
      <c r="AI6" s="1331">
        <v>33</v>
      </c>
      <c r="AJ6" s="1330">
        <v>34</v>
      </c>
      <c r="AK6" s="973">
        <v>35</v>
      </c>
      <c r="AL6" s="1331">
        <v>36</v>
      </c>
      <c r="AM6" s="973">
        <v>37</v>
      </c>
      <c r="AN6" s="973">
        <v>38</v>
      </c>
      <c r="AO6" s="973">
        <v>39</v>
      </c>
      <c r="AP6" s="975">
        <v>40</v>
      </c>
      <c r="AQ6" s="976">
        <v>41</v>
      </c>
      <c r="AR6" s="977">
        <v>42</v>
      </c>
      <c r="AS6" s="1330">
        <v>43</v>
      </c>
      <c r="AT6" s="1330">
        <v>44</v>
      </c>
      <c r="AU6" s="1330">
        <v>45</v>
      </c>
      <c r="AV6" s="1330">
        <v>46</v>
      </c>
      <c r="AW6" s="1330">
        <v>47</v>
      </c>
      <c r="AX6" s="978">
        <v>48</v>
      </c>
      <c r="AY6" s="2145">
        <v>49</v>
      </c>
      <c r="AZ6" s="2146">
        <v>52</v>
      </c>
      <c r="BA6" s="2146">
        <v>53</v>
      </c>
      <c r="BB6" s="2146">
        <v>54</v>
      </c>
      <c r="BC6" s="2146">
        <v>55</v>
      </c>
      <c r="BD6" s="2146">
        <v>56</v>
      </c>
      <c r="BE6" s="2146">
        <v>57</v>
      </c>
      <c r="BF6" s="2146">
        <v>58</v>
      </c>
      <c r="BG6" s="2146">
        <v>59</v>
      </c>
      <c r="BH6" s="2147">
        <v>60</v>
      </c>
      <c r="BI6" s="2145">
        <v>59</v>
      </c>
      <c r="BJ6" s="2146">
        <v>62</v>
      </c>
      <c r="BK6" s="2146">
        <v>63</v>
      </c>
      <c r="BL6" s="2146">
        <v>64</v>
      </c>
      <c r="BM6" s="2147">
        <v>65</v>
      </c>
      <c r="BN6" s="2145">
        <v>64</v>
      </c>
      <c r="BO6" s="2146">
        <v>67</v>
      </c>
      <c r="BP6" s="2146">
        <v>68</v>
      </c>
      <c r="BQ6" s="2146">
        <v>69</v>
      </c>
      <c r="BR6" s="2146">
        <v>70</v>
      </c>
      <c r="BS6" s="2146">
        <v>71</v>
      </c>
      <c r="BT6" s="2146">
        <v>72</v>
      </c>
      <c r="BU6" s="2146">
        <v>73</v>
      </c>
      <c r="BV6" s="2146">
        <v>74</v>
      </c>
      <c r="BW6" s="2146">
        <v>75</v>
      </c>
      <c r="BX6" s="2146">
        <v>76</v>
      </c>
      <c r="BY6" s="2146">
        <v>77</v>
      </c>
      <c r="BZ6" s="2146">
        <v>78</v>
      </c>
      <c r="CA6" s="2146">
        <v>79</v>
      </c>
      <c r="CB6" s="2146">
        <v>80</v>
      </c>
      <c r="CC6" s="2147">
        <v>81</v>
      </c>
      <c r="CD6" s="2145">
        <v>80</v>
      </c>
      <c r="CE6" s="2146">
        <v>83</v>
      </c>
      <c r="CF6" s="2146">
        <v>84</v>
      </c>
      <c r="CG6" s="2146">
        <v>85</v>
      </c>
      <c r="CH6" s="2147">
        <v>86</v>
      </c>
      <c r="CI6" s="2145">
        <v>85</v>
      </c>
      <c r="CJ6" s="2146">
        <v>88</v>
      </c>
      <c r="CK6" s="2146">
        <v>89</v>
      </c>
      <c r="CL6" s="2146">
        <v>90</v>
      </c>
      <c r="CM6" s="2147">
        <v>91</v>
      </c>
      <c r="CN6" s="2145">
        <v>90</v>
      </c>
      <c r="CO6" s="2146">
        <v>93</v>
      </c>
      <c r="CP6" s="2146">
        <v>94</v>
      </c>
      <c r="CQ6" s="2146">
        <v>95</v>
      </c>
      <c r="CR6" s="2146">
        <v>96</v>
      </c>
      <c r="CS6" s="2145">
        <v>95</v>
      </c>
      <c r="CT6" s="2146">
        <v>98</v>
      </c>
      <c r="CU6" s="2146">
        <v>99</v>
      </c>
      <c r="CV6" s="2146">
        <v>100</v>
      </c>
      <c r="CW6" s="2146">
        <v>101</v>
      </c>
      <c r="CX6" s="2145">
        <v>100</v>
      </c>
      <c r="CY6" s="2146">
        <v>103</v>
      </c>
      <c r="CZ6" s="2146">
        <v>104</v>
      </c>
      <c r="DA6" s="2146">
        <v>105</v>
      </c>
      <c r="DB6" s="2146">
        <v>106</v>
      </c>
      <c r="DC6" s="2146">
        <v>105</v>
      </c>
      <c r="DD6" s="2146">
        <v>108</v>
      </c>
      <c r="DE6" s="2146">
        <v>109</v>
      </c>
      <c r="DF6" s="2146">
        <v>110</v>
      </c>
      <c r="DG6" s="2147">
        <v>111</v>
      </c>
      <c r="DH6" s="2145">
        <v>110</v>
      </c>
      <c r="DI6" s="2146">
        <v>113</v>
      </c>
      <c r="DJ6" s="2146">
        <v>114</v>
      </c>
      <c r="DK6" s="2146">
        <v>115</v>
      </c>
      <c r="DL6" s="2147">
        <v>116</v>
      </c>
      <c r="DM6" s="2145">
        <v>115</v>
      </c>
      <c r="DN6" s="2146"/>
      <c r="DO6" s="2146"/>
      <c r="DP6" s="979">
        <v>118</v>
      </c>
      <c r="DQ6" s="2145">
        <v>119</v>
      </c>
      <c r="DR6" s="2146"/>
      <c r="DS6" s="2146"/>
      <c r="DT6" s="979">
        <v>122</v>
      </c>
      <c r="DU6" s="1330">
        <v>123</v>
      </c>
      <c r="DV6" s="979">
        <v>124</v>
      </c>
      <c r="DW6" s="1329">
        <v>125</v>
      </c>
    </row>
    <row r="7" spans="1:127" s="54" customFormat="1" ht="14.25">
      <c r="A7" s="980"/>
      <c r="B7" s="981"/>
      <c r="C7" s="969"/>
      <c r="D7" s="970"/>
      <c r="E7" s="970"/>
      <c r="F7" s="970"/>
      <c r="G7" s="970"/>
      <c r="H7" s="970"/>
      <c r="I7" s="970"/>
      <c r="J7" s="970"/>
      <c r="K7" s="970"/>
      <c r="L7" s="970"/>
      <c r="M7" s="970"/>
      <c r="N7" s="970"/>
      <c r="O7" s="970"/>
      <c r="P7" s="970"/>
      <c r="Q7" s="970"/>
      <c r="R7" s="970"/>
      <c r="S7" s="970"/>
      <c r="T7" s="971"/>
      <c r="U7" s="1323" t="s">
        <v>1820</v>
      </c>
      <c r="V7" s="719" t="s">
        <v>168</v>
      </c>
      <c r="W7" s="720" t="s">
        <v>168</v>
      </c>
      <c r="X7" s="1324" t="s">
        <v>168</v>
      </c>
      <c r="Y7" s="722" t="s">
        <v>168</v>
      </c>
      <c r="Z7" s="720" t="s">
        <v>168</v>
      </c>
      <c r="AA7" s="2124"/>
      <c r="AB7" s="2148"/>
      <c r="AC7" s="2148"/>
      <c r="AD7" s="2148"/>
      <c r="AE7" s="2148"/>
      <c r="AF7" s="2148"/>
      <c r="AG7" s="2148"/>
      <c r="AH7" s="2148"/>
      <c r="AI7" s="1325"/>
      <c r="AJ7" s="1324" t="s">
        <v>168</v>
      </c>
      <c r="AK7" s="720" t="s">
        <v>168</v>
      </c>
      <c r="AL7" s="1325" t="s">
        <v>168</v>
      </c>
      <c r="AM7" s="720" t="s">
        <v>168</v>
      </c>
      <c r="AN7" s="720" t="s">
        <v>168</v>
      </c>
      <c r="AO7" s="720" t="s">
        <v>168</v>
      </c>
      <c r="AP7" s="723" t="s">
        <v>168</v>
      </c>
      <c r="AQ7" s="724" t="s">
        <v>168</v>
      </c>
      <c r="AR7" s="721" t="s">
        <v>168</v>
      </c>
      <c r="AS7" s="1324" t="s">
        <v>168</v>
      </c>
      <c r="AT7" s="1324" t="s">
        <v>168</v>
      </c>
      <c r="AU7" s="1324" t="s">
        <v>168</v>
      </c>
      <c r="AV7" s="1324" t="s">
        <v>168</v>
      </c>
      <c r="AW7" s="1324" t="s">
        <v>168</v>
      </c>
      <c r="AX7" s="718" t="s">
        <v>131</v>
      </c>
      <c r="AY7" s="2121" t="s">
        <v>131</v>
      </c>
      <c r="AZ7" s="2122"/>
      <c r="BA7" s="2122"/>
      <c r="BB7" s="2122"/>
      <c r="BC7" s="2122"/>
      <c r="BD7" s="2122"/>
      <c r="BE7" s="2122"/>
      <c r="BF7" s="2122"/>
      <c r="BG7" s="2122"/>
      <c r="BH7" s="2123"/>
      <c r="BI7" s="2121" t="s">
        <v>131</v>
      </c>
      <c r="BJ7" s="2122"/>
      <c r="BK7" s="2122"/>
      <c r="BL7" s="2122"/>
      <c r="BM7" s="2123"/>
      <c r="BN7" s="2121" t="s">
        <v>131</v>
      </c>
      <c r="BO7" s="2122"/>
      <c r="BP7" s="2122"/>
      <c r="BQ7" s="2122"/>
      <c r="BR7" s="2122"/>
      <c r="BS7" s="2122"/>
      <c r="BT7" s="2122"/>
      <c r="BU7" s="2122"/>
      <c r="BV7" s="2122"/>
      <c r="BW7" s="2122"/>
      <c r="BX7" s="2122"/>
      <c r="BY7" s="2122"/>
      <c r="BZ7" s="2122"/>
      <c r="CA7" s="2122"/>
      <c r="CB7" s="2122"/>
      <c r="CC7" s="2123"/>
      <c r="CD7" s="2121" t="s">
        <v>131</v>
      </c>
      <c r="CE7" s="2122"/>
      <c r="CF7" s="2122"/>
      <c r="CG7" s="2122"/>
      <c r="CH7" s="2123"/>
      <c r="CI7" s="2121" t="s">
        <v>131</v>
      </c>
      <c r="CJ7" s="2122"/>
      <c r="CK7" s="2122"/>
      <c r="CL7" s="2122"/>
      <c r="CM7" s="2123"/>
      <c r="CN7" s="2121" t="s">
        <v>131</v>
      </c>
      <c r="CO7" s="2122"/>
      <c r="CP7" s="2122"/>
      <c r="CQ7" s="2122"/>
      <c r="CR7" s="2122"/>
      <c r="CS7" s="2121" t="s">
        <v>131</v>
      </c>
      <c r="CT7" s="2122"/>
      <c r="CU7" s="2122"/>
      <c r="CV7" s="2122"/>
      <c r="CW7" s="2122"/>
      <c r="CX7" s="2121" t="s">
        <v>131</v>
      </c>
      <c r="CY7" s="2122"/>
      <c r="CZ7" s="2122"/>
      <c r="DA7" s="2122"/>
      <c r="DB7" s="2122"/>
      <c r="DC7" s="2122" t="s">
        <v>131</v>
      </c>
      <c r="DD7" s="2122"/>
      <c r="DE7" s="2122"/>
      <c r="DF7" s="2122"/>
      <c r="DG7" s="2123"/>
      <c r="DH7" s="2121" t="s">
        <v>131</v>
      </c>
      <c r="DI7" s="2122"/>
      <c r="DJ7" s="2122"/>
      <c r="DK7" s="2122"/>
      <c r="DL7" s="2123"/>
      <c r="DM7" s="725" t="s">
        <v>131</v>
      </c>
      <c r="DN7" s="726" t="s">
        <v>131</v>
      </c>
      <c r="DO7" s="727" t="s">
        <v>131</v>
      </c>
      <c r="DP7" s="728" t="s">
        <v>131</v>
      </c>
      <c r="DQ7" s="725" t="s">
        <v>131</v>
      </c>
      <c r="DR7" s="726" t="s">
        <v>131</v>
      </c>
      <c r="DS7" s="727" t="s">
        <v>131</v>
      </c>
      <c r="DT7" s="728" t="s">
        <v>131</v>
      </c>
      <c r="DU7" s="1324" t="s">
        <v>131</v>
      </c>
      <c r="DV7" s="729" t="s">
        <v>131</v>
      </c>
      <c r="DW7" s="1323" t="s">
        <v>131</v>
      </c>
    </row>
    <row r="8" spans="1:127" s="55" customFormat="1" ht="33" customHeight="1">
      <c r="A8" s="982"/>
      <c r="B8" s="983"/>
      <c r="C8" s="984"/>
      <c r="D8" s="985"/>
      <c r="E8" s="985"/>
      <c r="F8" s="985"/>
      <c r="G8" s="985"/>
      <c r="H8" s="985"/>
      <c r="I8" s="985"/>
      <c r="J8" s="985"/>
      <c r="K8" s="985"/>
      <c r="L8" s="985"/>
      <c r="M8" s="985"/>
      <c r="N8" s="985"/>
      <c r="O8" s="985"/>
      <c r="P8" s="985"/>
      <c r="Q8" s="985"/>
      <c r="R8" s="985"/>
      <c r="S8" s="985"/>
      <c r="T8" s="986"/>
      <c r="U8" s="987"/>
      <c r="V8" s="732"/>
      <c r="W8" s="733"/>
      <c r="X8" s="734"/>
      <c r="Y8" s="736"/>
      <c r="Z8" s="733"/>
      <c r="AA8" s="2129" t="s">
        <v>4781</v>
      </c>
      <c r="AB8" s="2130"/>
      <c r="AC8" s="2130"/>
      <c r="AD8" s="2130"/>
      <c r="AE8" s="2130"/>
      <c r="AF8" s="2130"/>
      <c r="AG8" s="2130"/>
      <c r="AH8" s="2130"/>
      <c r="AI8" s="2152"/>
      <c r="AJ8" s="734"/>
      <c r="AK8" s="733"/>
      <c r="AL8" s="738"/>
      <c r="AM8" s="739"/>
      <c r="AN8" s="739"/>
      <c r="AO8" s="740"/>
      <c r="AP8" s="741"/>
      <c r="AQ8" s="1325"/>
      <c r="AR8" s="735"/>
      <c r="AS8" s="1322"/>
      <c r="AT8" s="742"/>
      <c r="AU8" s="742"/>
      <c r="AV8" s="742"/>
      <c r="AW8" s="742"/>
      <c r="AX8" s="743"/>
      <c r="AY8" s="2129" t="s">
        <v>1822</v>
      </c>
      <c r="AZ8" s="2130"/>
      <c r="BA8" s="2130"/>
      <c r="BB8" s="2130"/>
      <c r="BC8" s="2130"/>
      <c r="BD8" s="2130"/>
      <c r="BE8" s="2130"/>
      <c r="BF8" s="2130"/>
      <c r="BG8" s="2130"/>
      <c r="BH8" s="2132"/>
      <c r="BI8" s="2129" t="s">
        <v>1823</v>
      </c>
      <c r="BJ8" s="2130"/>
      <c r="BK8" s="2130"/>
      <c r="BL8" s="2130"/>
      <c r="BM8" s="2132"/>
      <c r="BN8" s="2129" t="s">
        <v>1824</v>
      </c>
      <c r="BO8" s="2130"/>
      <c r="BP8" s="2130"/>
      <c r="BQ8" s="2130"/>
      <c r="BR8" s="2130"/>
      <c r="BS8" s="2130"/>
      <c r="BT8" s="2130"/>
      <c r="BU8" s="2130"/>
      <c r="BV8" s="2130"/>
      <c r="BW8" s="2130"/>
      <c r="BX8" s="2130"/>
      <c r="BY8" s="2130"/>
      <c r="BZ8" s="2130"/>
      <c r="CA8" s="2130"/>
      <c r="CB8" s="2130"/>
      <c r="CC8" s="2132"/>
      <c r="CD8" s="2133" t="s">
        <v>1001</v>
      </c>
      <c r="CE8" s="2134"/>
      <c r="CF8" s="2134"/>
      <c r="CG8" s="2134"/>
      <c r="CH8" s="2135"/>
      <c r="CI8" s="2136" t="s">
        <v>1825</v>
      </c>
      <c r="CJ8" s="2137"/>
      <c r="CK8" s="2137"/>
      <c r="CL8" s="2137"/>
      <c r="CM8" s="2138"/>
      <c r="CN8" s="2136" t="s">
        <v>1826</v>
      </c>
      <c r="CO8" s="2137"/>
      <c r="CP8" s="2137"/>
      <c r="CQ8" s="2137"/>
      <c r="CR8" s="2137"/>
      <c r="CS8" s="2136" t="s">
        <v>1827</v>
      </c>
      <c r="CT8" s="2137"/>
      <c r="CU8" s="2137"/>
      <c r="CV8" s="2137"/>
      <c r="CW8" s="2137"/>
      <c r="CX8" s="2136" t="s">
        <v>1828</v>
      </c>
      <c r="CY8" s="2137"/>
      <c r="CZ8" s="2137"/>
      <c r="DA8" s="2137"/>
      <c r="DB8" s="2137"/>
      <c r="DC8" s="2149" t="s">
        <v>1829</v>
      </c>
      <c r="DD8" s="2137"/>
      <c r="DE8" s="2137"/>
      <c r="DF8" s="2137"/>
      <c r="DG8" s="2138"/>
      <c r="DH8" s="2136" t="s">
        <v>1830</v>
      </c>
      <c r="DI8" s="2137"/>
      <c r="DJ8" s="2137"/>
      <c r="DK8" s="2137"/>
      <c r="DL8" s="2138"/>
      <c r="DM8" s="2126" t="s">
        <v>4782</v>
      </c>
      <c r="DN8" s="2150"/>
      <c r="DO8" s="2150"/>
      <c r="DP8" s="2150"/>
      <c r="DQ8" s="2126" t="s">
        <v>1832</v>
      </c>
      <c r="DR8" s="2150"/>
      <c r="DS8" s="2150"/>
      <c r="DT8" s="2151"/>
      <c r="DU8" s="742"/>
      <c r="DV8" s="744"/>
      <c r="DW8" s="988"/>
    </row>
    <row r="9" spans="1:127" s="56" customFormat="1" ht="52.9" thickBot="1">
      <c r="A9" s="989" t="s">
        <v>4783</v>
      </c>
      <c r="B9" s="990" t="s">
        <v>4784</v>
      </c>
      <c r="C9" s="991"/>
      <c r="D9" s="992"/>
      <c r="E9" s="992"/>
      <c r="F9" s="992"/>
      <c r="G9" s="992"/>
      <c r="H9" s="992"/>
      <c r="I9" s="992"/>
      <c r="J9" s="992"/>
      <c r="K9" s="992"/>
      <c r="L9" s="992"/>
      <c r="M9" s="992"/>
      <c r="N9" s="993"/>
      <c r="O9" s="993"/>
      <c r="P9" s="993"/>
      <c r="Q9" s="993"/>
      <c r="R9" s="993"/>
      <c r="S9" s="993"/>
      <c r="T9" s="994"/>
      <c r="U9" s="995" t="s">
        <v>1566</v>
      </c>
      <c r="V9" s="996" t="s">
        <v>1835</v>
      </c>
      <c r="W9" s="997" t="s">
        <v>1836</v>
      </c>
      <c r="X9" s="998" t="s">
        <v>1837</v>
      </c>
      <c r="Y9" s="994" t="s">
        <v>1838</v>
      </c>
      <c r="Z9" s="997" t="s">
        <v>1839</v>
      </c>
      <c r="AA9" s="999" t="s">
        <v>754</v>
      </c>
      <c r="AB9" s="765" t="s">
        <v>757</v>
      </c>
      <c r="AC9" s="765" t="s">
        <v>760</v>
      </c>
      <c r="AD9" s="765" t="s">
        <v>763</v>
      </c>
      <c r="AE9" s="765" t="s">
        <v>766</v>
      </c>
      <c r="AF9" s="765" t="s">
        <v>769</v>
      </c>
      <c r="AG9" s="765" t="s">
        <v>1840</v>
      </c>
      <c r="AH9" s="765" t="s">
        <v>772</v>
      </c>
      <c r="AI9" s="766" t="s">
        <v>1131</v>
      </c>
      <c r="AJ9" s="1000" t="s">
        <v>987</v>
      </c>
      <c r="AK9" s="1000" t="s">
        <v>988</v>
      </c>
      <c r="AL9" s="1001" t="s">
        <v>989</v>
      </c>
      <c r="AM9" s="997" t="s">
        <v>1841</v>
      </c>
      <c r="AN9" s="997" t="s">
        <v>1842</v>
      </c>
      <c r="AO9" s="997" t="s">
        <v>1843</v>
      </c>
      <c r="AP9" s="1002" t="s">
        <v>115</v>
      </c>
      <c r="AQ9" s="1003" t="s">
        <v>1175</v>
      </c>
      <c r="AR9" s="1004" t="s">
        <v>4785</v>
      </c>
      <c r="AS9" s="1005" t="s">
        <v>1845</v>
      </c>
      <c r="AT9" s="1005" t="s">
        <v>1846</v>
      </c>
      <c r="AU9" s="1005" t="s">
        <v>1847</v>
      </c>
      <c r="AV9" s="1005" t="s">
        <v>1848</v>
      </c>
      <c r="AW9" s="1005" t="s">
        <v>1849</v>
      </c>
      <c r="AX9" s="1006" t="s">
        <v>1850</v>
      </c>
      <c r="AY9" s="1007" t="s">
        <v>1851</v>
      </c>
      <c r="AZ9" s="1002" t="s">
        <v>1852</v>
      </c>
      <c r="BA9" s="1002" t="s">
        <v>1853</v>
      </c>
      <c r="BB9" s="1002" t="s">
        <v>1854</v>
      </c>
      <c r="BC9" s="1002" t="s">
        <v>1855</v>
      </c>
      <c r="BD9" s="1002" t="s">
        <v>1856</v>
      </c>
      <c r="BE9" s="1002" t="s">
        <v>1857</v>
      </c>
      <c r="BF9" s="1002" t="s">
        <v>1135</v>
      </c>
      <c r="BG9" s="1002" t="s">
        <v>4786</v>
      </c>
      <c r="BH9" s="1008" t="s">
        <v>4787</v>
      </c>
      <c r="BI9" s="1007" t="s">
        <v>1012</v>
      </c>
      <c r="BJ9" s="1002" t="s">
        <v>1022</v>
      </c>
      <c r="BK9" s="1002" t="s">
        <v>1027</v>
      </c>
      <c r="BL9" s="1002" t="s">
        <v>88</v>
      </c>
      <c r="BM9" s="1008" t="s">
        <v>1034</v>
      </c>
      <c r="BN9" s="1009" t="s">
        <v>1860</v>
      </c>
      <c r="BO9" s="1002" t="s">
        <v>1861</v>
      </c>
      <c r="BP9" s="1002" t="s">
        <v>1862</v>
      </c>
      <c r="BQ9" s="1002" t="s">
        <v>1863</v>
      </c>
      <c r="BR9" s="1002" t="s">
        <v>1864</v>
      </c>
      <c r="BS9" s="1002" t="s">
        <v>1865</v>
      </c>
      <c r="BT9" s="1002" t="s">
        <v>1866</v>
      </c>
      <c r="BU9" s="1002" t="s">
        <v>1867</v>
      </c>
      <c r="BV9" s="1002" t="s">
        <v>1868</v>
      </c>
      <c r="BW9" s="1002" t="s">
        <v>1869</v>
      </c>
      <c r="BX9" s="1002" t="s">
        <v>1870</v>
      </c>
      <c r="BY9" s="1002" t="s">
        <v>1871</v>
      </c>
      <c r="BZ9" s="1002" t="s">
        <v>1872</v>
      </c>
      <c r="CA9" s="1002" t="s">
        <v>1873</v>
      </c>
      <c r="CB9" s="1002" t="s">
        <v>1874</v>
      </c>
      <c r="CC9" s="1008" t="s">
        <v>4788</v>
      </c>
      <c r="CD9" s="1007" t="s">
        <v>1012</v>
      </c>
      <c r="CE9" s="1002" t="s">
        <v>1022</v>
      </c>
      <c r="CF9" s="1002" t="s">
        <v>1027</v>
      </c>
      <c r="CG9" s="1002" t="s">
        <v>88</v>
      </c>
      <c r="CH9" s="1008" t="s">
        <v>1034</v>
      </c>
      <c r="CI9" s="1007" t="s">
        <v>1012</v>
      </c>
      <c r="CJ9" s="1002" t="s">
        <v>1022</v>
      </c>
      <c r="CK9" s="1002" t="s">
        <v>1027</v>
      </c>
      <c r="CL9" s="1002" t="s">
        <v>88</v>
      </c>
      <c r="CM9" s="1008" t="s">
        <v>1034</v>
      </c>
      <c r="CN9" s="1007" t="s">
        <v>1012</v>
      </c>
      <c r="CO9" s="1002" t="s">
        <v>1022</v>
      </c>
      <c r="CP9" s="1002" t="s">
        <v>1027</v>
      </c>
      <c r="CQ9" s="1002" t="s">
        <v>88</v>
      </c>
      <c r="CR9" s="1002" t="s">
        <v>1034</v>
      </c>
      <c r="CS9" s="1010" t="s">
        <v>1012</v>
      </c>
      <c r="CT9" s="1011" t="s">
        <v>1022</v>
      </c>
      <c r="CU9" s="1011" t="s">
        <v>1027</v>
      </c>
      <c r="CV9" s="1011" t="s">
        <v>88</v>
      </c>
      <c r="CW9" s="1011" t="s">
        <v>1034</v>
      </c>
      <c r="CX9" s="1007" t="s">
        <v>1012</v>
      </c>
      <c r="CY9" s="1002" t="s">
        <v>1022</v>
      </c>
      <c r="CZ9" s="1002" t="s">
        <v>1027</v>
      </c>
      <c r="DA9" s="1002" t="s">
        <v>88</v>
      </c>
      <c r="DB9" s="1002" t="s">
        <v>1034</v>
      </c>
      <c r="DC9" s="1002" t="s">
        <v>1012</v>
      </c>
      <c r="DD9" s="1002" t="s">
        <v>1022</v>
      </c>
      <c r="DE9" s="1002" t="s">
        <v>1027</v>
      </c>
      <c r="DF9" s="1002" t="s">
        <v>88</v>
      </c>
      <c r="DG9" s="1008" t="s">
        <v>1034</v>
      </c>
      <c r="DH9" s="1007" t="s">
        <v>1012</v>
      </c>
      <c r="DI9" s="1002" t="s">
        <v>1022</v>
      </c>
      <c r="DJ9" s="1002" t="s">
        <v>1027</v>
      </c>
      <c r="DK9" s="1002" t="s">
        <v>88</v>
      </c>
      <c r="DL9" s="1008" t="s">
        <v>1034</v>
      </c>
      <c r="DM9" s="1441" t="s">
        <v>1876</v>
      </c>
      <c r="DN9" s="1442" t="s">
        <v>1877</v>
      </c>
      <c r="DO9" s="1443" t="s">
        <v>1878</v>
      </c>
      <c r="DP9" s="1012" t="s">
        <v>1879</v>
      </c>
      <c r="DQ9" s="1441" t="s">
        <v>1880</v>
      </c>
      <c r="DR9" s="1442" t="s">
        <v>1881</v>
      </c>
      <c r="DS9" s="1443" t="s">
        <v>1882</v>
      </c>
      <c r="DT9" s="1012" t="s">
        <v>1883</v>
      </c>
      <c r="DU9" s="1005" t="s">
        <v>1884</v>
      </c>
      <c r="DV9" s="1013" t="s">
        <v>1885</v>
      </c>
      <c r="DW9" s="1014" t="s">
        <v>1886</v>
      </c>
    </row>
    <row r="10" spans="1:127" ht="15.75" hidden="1" customHeight="1">
      <c r="A10" s="1015" t="s">
        <v>1060</v>
      </c>
      <c r="B10" s="1016">
        <v>1</v>
      </c>
      <c r="C10" s="1017"/>
      <c r="D10" s="1017"/>
      <c r="E10" s="1017"/>
      <c r="F10" s="1017"/>
      <c r="G10" s="1017"/>
      <c r="H10" s="1017"/>
      <c r="I10" s="1017"/>
      <c r="J10" s="1017"/>
      <c r="K10" s="1017"/>
      <c r="L10" s="1017"/>
      <c r="M10" s="1016"/>
      <c r="N10" s="1018"/>
      <c r="O10" s="1018"/>
      <c r="P10" s="1018"/>
      <c r="Q10" s="1018"/>
      <c r="R10" s="1018"/>
      <c r="S10" s="1018"/>
      <c r="T10" s="1019"/>
      <c r="U10" s="1020" t="s">
        <v>1887</v>
      </c>
      <c r="V10" s="1021" t="s">
        <v>1888</v>
      </c>
      <c r="W10" s="1021" t="s">
        <v>1889</v>
      </c>
      <c r="X10" s="1022" t="s">
        <v>1890</v>
      </c>
      <c r="Y10" s="1023" t="s">
        <v>137</v>
      </c>
      <c r="Z10" s="1024" t="s">
        <v>1891</v>
      </c>
      <c r="AA10" s="1025" t="s">
        <v>1942</v>
      </c>
      <c r="AB10" s="1026">
        <v>1</v>
      </c>
      <c r="AC10" s="1026" t="s">
        <v>1942</v>
      </c>
      <c r="AD10" s="1026" t="s">
        <v>1942</v>
      </c>
      <c r="AE10" s="1026" t="s">
        <v>1942</v>
      </c>
      <c r="AF10" s="1026" t="s">
        <v>1942</v>
      </c>
      <c r="AG10" s="1026" t="s">
        <v>1942</v>
      </c>
      <c r="AH10" s="1026" t="s">
        <v>1942</v>
      </c>
      <c r="AI10" s="1027">
        <f t="shared" ref="AI10:AI73" si="0">SUM(AA10:AH10)</f>
        <v>1</v>
      </c>
      <c r="AJ10" s="1028" t="s">
        <v>1030</v>
      </c>
      <c r="AK10" s="1028" t="s">
        <v>1008</v>
      </c>
      <c r="AL10" s="1028" t="s">
        <v>1009</v>
      </c>
      <c r="AM10" s="1029" t="s">
        <v>1892</v>
      </c>
      <c r="AN10" s="1017" t="s">
        <v>4789</v>
      </c>
      <c r="AO10" s="1017" t="s">
        <v>4790</v>
      </c>
      <c r="AP10" s="1305">
        <v>0</v>
      </c>
      <c r="AQ10" s="1030" t="s">
        <v>1020</v>
      </c>
      <c r="AR10" s="1031" t="s">
        <v>137</v>
      </c>
      <c r="AS10" s="1032"/>
      <c r="AT10" s="1022"/>
      <c r="AU10" s="1022"/>
      <c r="AV10" s="1022"/>
      <c r="AW10" s="1033"/>
      <c r="AX10" s="1034"/>
      <c r="AY10" s="1035"/>
      <c r="AZ10" s="1036"/>
      <c r="BA10" s="1037"/>
      <c r="BB10" s="1037"/>
      <c r="BC10" s="1037"/>
      <c r="BD10" s="1037"/>
      <c r="BE10" s="1037"/>
      <c r="BF10" s="1037"/>
      <c r="BG10" s="1038"/>
      <c r="BH10" s="1038"/>
      <c r="BI10" s="1038">
        <v>4.5138888888888893E-3</v>
      </c>
      <c r="BJ10" s="1038">
        <v>4.2592592592592595E-3</v>
      </c>
      <c r="BK10" s="1038">
        <v>3.9930555555555561E-3</v>
      </c>
      <c r="BL10" s="1038">
        <v>3.7384259259259263E-3</v>
      </c>
      <c r="BM10" s="1038">
        <v>3.472222222222222E-3</v>
      </c>
      <c r="BN10" s="1039"/>
      <c r="BO10" s="1038"/>
      <c r="BP10" s="1038"/>
      <c r="BQ10" s="1038"/>
      <c r="BR10" s="1038"/>
      <c r="BS10" s="1040"/>
      <c r="BT10" s="1038"/>
      <c r="BU10" s="1038"/>
      <c r="BV10" s="1038"/>
      <c r="BW10" s="1041"/>
      <c r="BX10" s="1040"/>
      <c r="BY10" s="1038"/>
      <c r="BZ10" s="1038"/>
      <c r="CA10" s="1038"/>
      <c r="CB10" s="1041"/>
      <c r="CC10" s="1042"/>
      <c r="CD10" s="1043" t="s">
        <v>168</v>
      </c>
      <c r="CE10" s="1044" t="s">
        <v>168</v>
      </c>
      <c r="CF10" s="1044" t="s">
        <v>168</v>
      </c>
      <c r="CG10" s="1044" t="s">
        <v>168</v>
      </c>
      <c r="CH10" s="1045" t="s">
        <v>168</v>
      </c>
      <c r="CI10" s="1035" t="s">
        <v>1942</v>
      </c>
      <c r="CJ10" s="1036" t="s">
        <v>1942</v>
      </c>
      <c r="CK10" s="1036" t="s">
        <v>1942</v>
      </c>
      <c r="CL10" s="1036" t="s">
        <v>1942</v>
      </c>
      <c r="CM10" s="1046" t="s">
        <v>1942</v>
      </c>
      <c r="CN10" s="1047">
        <v>1.5798611111111114E-2</v>
      </c>
      <c r="CO10" s="1037">
        <v>1.5798611111111114E-2</v>
      </c>
      <c r="CP10" s="1037">
        <v>1.5798611111111114E-2</v>
      </c>
      <c r="CQ10" s="1037">
        <v>1.5798611111111114E-2</v>
      </c>
      <c r="CR10" s="1048">
        <v>1.5798611111111114E-2</v>
      </c>
      <c r="CS10" s="1035" t="s">
        <v>1942</v>
      </c>
      <c r="CT10" s="1036" t="s">
        <v>1942</v>
      </c>
      <c r="CU10" s="1036" t="s">
        <v>1942</v>
      </c>
      <c r="CV10" s="1036" t="s">
        <v>1942</v>
      </c>
      <c r="CW10" s="1046" t="s">
        <v>1942</v>
      </c>
      <c r="CX10" s="1035" t="s">
        <v>1942</v>
      </c>
      <c r="CY10" s="1036" t="s">
        <v>1942</v>
      </c>
      <c r="CZ10" s="1036" t="s">
        <v>1942</v>
      </c>
      <c r="DA10" s="1036" t="s">
        <v>1942</v>
      </c>
      <c r="DB10" s="1046" t="s">
        <v>1942</v>
      </c>
      <c r="DC10" s="1038">
        <v>2.4305555555555556E-3</v>
      </c>
      <c r="DD10" s="1038">
        <v>2.3263888888888891E-3</v>
      </c>
      <c r="DE10" s="1038">
        <v>2.2106481481481491E-3</v>
      </c>
      <c r="DF10" s="1038">
        <v>2.1064814814814817E-3</v>
      </c>
      <c r="DG10" s="1042">
        <v>2.0138888888888888E-3</v>
      </c>
      <c r="DH10" s="1035" t="s">
        <v>1942</v>
      </c>
      <c r="DI10" s="1036" t="s">
        <v>1942</v>
      </c>
      <c r="DJ10" s="1036" t="s">
        <v>1942</v>
      </c>
      <c r="DK10" s="1036" t="s">
        <v>1942</v>
      </c>
      <c r="DL10" s="1046" t="s">
        <v>1942</v>
      </c>
      <c r="DM10" s="1049">
        <v>-0.52500000000000002</v>
      </c>
      <c r="DN10" s="1050" t="s">
        <v>1942</v>
      </c>
      <c r="DO10" s="1050" t="s">
        <v>1942</v>
      </c>
      <c r="DP10" s="1051" t="s">
        <v>1942</v>
      </c>
      <c r="DQ10" s="1050">
        <v>0.52500000000000002</v>
      </c>
      <c r="DR10" s="1050" t="s">
        <v>1942</v>
      </c>
      <c r="DS10" s="1050" t="s">
        <v>1942</v>
      </c>
      <c r="DT10" s="1051" t="s">
        <v>1942</v>
      </c>
      <c r="DU10" s="1043" t="s">
        <v>131</v>
      </c>
      <c r="DV10" s="1052">
        <v>1</v>
      </c>
      <c r="DW10" s="1053" t="s">
        <v>1942</v>
      </c>
    </row>
    <row r="11" spans="1:127" s="397" customFormat="1" ht="15.75" hidden="1" customHeight="1">
      <c r="A11" s="1054" t="s">
        <v>1060</v>
      </c>
      <c r="B11" s="1055">
        <v>2</v>
      </c>
      <c r="C11" s="1018"/>
      <c r="D11" s="1018"/>
      <c r="E11" s="1018"/>
      <c r="F11" s="1056"/>
      <c r="G11" s="1018"/>
      <c r="H11" s="1018"/>
      <c r="I11" s="1018"/>
      <c r="J11" s="1018"/>
      <c r="K11" s="1018"/>
      <c r="L11" s="1018"/>
      <c r="M11" s="1057"/>
      <c r="N11" s="1018"/>
      <c r="O11" s="1018"/>
      <c r="P11" s="1018"/>
      <c r="Q11" s="1018"/>
      <c r="R11" s="1018"/>
      <c r="S11" s="1018"/>
      <c r="T11" s="1058"/>
      <c r="U11" s="1059" t="s">
        <v>1894</v>
      </c>
      <c r="V11" s="1060" t="s">
        <v>1895</v>
      </c>
      <c r="W11" s="1060" t="s">
        <v>1896</v>
      </c>
      <c r="X11" s="1061" t="s">
        <v>1897</v>
      </c>
      <c r="Y11" s="1062" t="s">
        <v>669</v>
      </c>
      <c r="Z11" s="1063" t="s">
        <v>1898</v>
      </c>
      <c r="AA11" s="1064" t="s">
        <v>1942</v>
      </c>
      <c r="AB11" s="1065">
        <v>1</v>
      </c>
      <c r="AC11" s="1065" t="s">
        <v>1942</v>
      </c>
      <c r="AD11" s="1065" t="s">
        <v>1942</v>
      </c>
      <c r="AE11" s="1065" t="s">
        <v>1942</v>
      </c>
      <c r="AF11" s="1065" t="s">
        <v>1942</v>
      </c>
      <c r="AG11" s="1065" t="s">
        <v>1942</v>
      </c>
      <c r="AH11" s="1065" t="s">
        <v>1942</v>
      </c>
      <c r="AI11" s="1066">
        <f t="shared" si="0"/>
        <v>1</v>
      </c>
      <c r="AJ11" s="1067" t="s">
        <v>1030</v>
      </c>
      <c r="AK11" s="1067" t="s">
        <v>1008</v>
      </c>
      <c r="AL11" s="1067" t="s">
        <v>1009</v>
      </c>
      <c r="AM11" s="1068" t="s">
        <v>669</v>
      </c>
      <c r="AN11" s="1062" t="s">
        <v>278</v>
      </c>
      <c r="AO11" s="1062" t="s">
        <v>4791</v>
      </c>
      <c r="AP11" s="1306">
        <v>1</v>
      </c>
      <c r="AQ11" s="1070" t="s">
        <v>1010</v>
      </c>
      <c r="AR11" s="1071" t="s">
        <v>669</v>
      </c>
      <c r="AS11" s="1072"/>
      <c r="AT11" s="1061"/>
      <c r="AU11" s="1061"/>
      <c r="AV11" s="1061"/>
      <c r="AW11" s="1073"/>
      <c r="AX11" s="1074"/>
      <c r="AY11" s="1075"/>
      <c r="AZ11" s="1076"/>
      <c r="BA11" s="1076"/>
      <c r="BB11" s="1076"/>
      <c r="BC11" s="1076"/>
      <c r="BD11" s="1076"/>
      <c r="BE11" s="1076"/>
      <c r="BF11" s="1076"/>
      <c r="BG11" s="1077"/>
      <c r="BH11" s="1077"/>
      <c r="BI11" s="1078">
        <v>2.7</v>
      </c>
      <c r="BJ11" s="1077">
        <v>11.1</v>
      </c>
      <c r="BK11" s="1077">
        <v>14</v>
      </c>
      <c r="BL11" s="1077">
        <v>17</v>
      </c>
      <c r="BM11" s="1077">
        <v>20</v>
      </c>
      <c r="BN11" s="1078"/>
      <c r="BO11" s="1077"/>
      <c r="BP11" s="1077"/>
      <c r="BQ11" s="1077"/>
      <c r="BR11" s="1077"/>
      <c r="BS11" s="1335"/>
      <c r="BT11" s="1077"/>
      <c r="BU11" s="1077"/>
      <c r="BV11" s="1077"/>
      <c r="BW11" s="1336"/>
      <c r="BX11" s="1335"/>
      <c r="BY11" s="1077"/>
      <c r="BZ11" s="1077"/>
      <c r="CA11" s="1077"/>
      <c r="CB11" s="1336"/>
      <c r="CC11" s="1337"/>
      <c r="CD11" s="1338" t="s">
        <v>168</v>
      </c>
      <c r="CE11" s="1339" t="s">
        <v>168</v>
      </c>
      <c r="CF11" s="1339" t="s">
        <v>168</v>
      </c>
      <c r="CG11" s="1339" t="s">
        <v>168</v>
      </c>
      <c r="CH11" s="1340" t="s">
        <v>168</v>
      </c>
      <c r="CI11" s="1341" t="s">
        <v>1942</v>
      </c>
      <c r="CJ11" s="1077" t="s">
        <v>1942</v>
      </c>
      <c r="CK11" s="1077" t="s">
        <v>1942</v>
      </c>
      <c r="CL11" s="1077" t="s">
        <v>1942</v>
      </c>
      <c r="CM11" s="1337" t="s">
        <v>1942</v>
      </c>
      <c r="CN11" s="1078">
        <v>-5</v>
      </c>
      <c r="CO11" s="1077">
        <v>-5</v>
      </c>
      <c r="CP11" s="1077">
        <v>-5</v>
      </c>
      <c r="CQ11" s="1077">
        <v>-5</v>
      </c>
      <c r="CR11" s="1337">
        <v>-5</v>
      </c>
      <c r="CS11" s="1341" t="s">
        <v>1942</v>
      </c>
      <c r="CT11" s="1077" t="s">
        <v>1942</v>
      </c>
      <c r="CU11" s="1077" t="s">
        <v>1942</v>
      </c>
      <c r="CV11" s="1077" t="s">
        <v>1942</v>
      </c>
      <c r="CW11" s="1337" t="s">
        <v>1942</v>
      </c>
      <c r="CX11" s="1341" t="s">
        <v>1942</v>
      </c>
      <c r="CY11" s="1077" t="s">
        <v>1942</v>
      </c>
      <c r="CZ11" s="1077" t="s">
        <v>1942</v>
      </c>
      <c r="DA11" s="1077" t="s">
        <v>1942</v>
      </c>
      <c r="DB11" s="1337" t="s">
        <v>1942</v>
      </c>
      <c r="DC11" s="1342">
        <v>5.8</v>
      </c>
      <c r="DD11" s="1077">
        <v>13.8</v>
      </c>
      <c r="DE11" s="1077">
        <v>16.5</v>
      </c>
      <c r="DF11" s="1077">
        <v>19.399999999999999</v>
      </c>
      <c r="DG11" s="1337">
        <v>22.2</v>
      </c>
      <c r="DH11" s="1078" t="s">
        <v>1942</v>
      </c>
      <c r="DI11" s="1077" t="s">
        <v>1942</v>
      </c>
      <c r="DJ11" s="1077" t="s">
        <v>1942</v>
      </c>
      <c r="DK11" s="1077" t="s">
        <v>1942</v>
      </c>
      <c r="DL11" s="1337" t="s">
        <v>1942</v>
      </c>
      <c r="DM11" s="1091">
        <v>-0.16</v>
      </c>
      <c r="DN11" s="1092" t="s">
        <v>1942</v>
      </c>
      <c r="DO11" s="1092" t="s">
        <v>1942</v>
      </c>
      <c r="DP11" s="1093" t="s">
        <v>1942</v>
      </c>
      <c r="DQ11" s="1092">
        <v>0.13300000000000001</v>
      </c>
      <c r="DR11" s="1092" t="s">
        <v>1942</v>
      </c>
      <c r="DS11" s="1092" t="s">
        <v>1942</v>
      </c>
      <c r="DT11" s="1093" t="s">
        <v>1942</v>
      </c>
      <c r="DU11" s="1085" t="s">
        <v>131</v>
      </c>
      <c r="DV11" s="1094">
        <v>1</v>
      </c>
      <c r="DW11" s="1095" t="s">
        <v>1942</v>
      </c>
    </row>
    <row r="12" spans="1:127" s="397" customFormat="1" ht="15.75" hidden="1" customHeight="1">
      <c r="A12" s="1054" t="s">
        <v>1060</v>
      </c>
      <c r="B12" s="1055">
        <v>3</v>
      </c>
      <c r="C12" s="1018"/>
      <c r="D12" s="1018"/>
      <c r="E12" s="1018"/>
      <c r="F12" s="1018"/>
      <c r="G12" s="1018"/>
      <c r="H12" s="1018"/>
      <c r="I12" s="1018"/>
      <c r="J12" s="1018"/>
      <c r="K12" s="1018"/>
      <c r="L12" s="1018"/>
      <c r="M12" s="1057"/>
      <c r="N12" s="1018"/>
      <c r="O12" s="1018"/>
      <c r="P12" s="1018"/>
      <c r="Q12" s="1018"/>
      <c r="R12" s="1018"/>
      <c r="S12" s="1018"/>
      <c r="T12" s="1058"/>
      <c r="U12" s="1059" t="s">
        <v>1900</v>
      </c>
      <c r="V12" s="1060" t="s">
        <v>1895</v>
      </c>
      <c r="W12" s="1060" t="s">
        <v>1896</v>
      </c>
      <c r="X12" s="1061" t="s">
        <v>1901</v>
      </c>
      <c r="Y12" s="1062" t="s">
        <v>1902</v>
      </c>
      <c r="Z12" s="1063" t="s">
        <v>1903</v>
      </c>
      <c r="AA12" s="1064">
        <v>0.3</v>
      </c>
      <c r="AB12" s="1065">
        <v>0.7</v>
      </c>
      <c r="AC12" s="1065" t="s">
        <v>1942</v>
      </c>
      <c r="AD12" s="1065" t="s">
        <v>1942</v>
      </c>
      <c r="AE12" s="1065" t="s">
        <v>1942</v>
      </c>
      <c r="AF12" s="1065" t="s">
        <v>1942</v>
      </c>
      <c r="AG12" s="1065" t="s">
        <v>1942</v>
      </c>
      <c r="AH12" s="1065" t="s">
        <v>1942</v>
      </c>
      <c r="AI12" s="1066">
        <f t="shared" si="0"/>
        <v>1</v>
      </c>
      <c r="AJ12" s="1067" t="s">
        <v>1030</v>
      </c>
      <c r="AK12" s="1067" t="s">
        <v>1008</v>
      </c>
      <c r="AL12" s="1440" t="s">
        <v>1019</v>
      </c>
      <c r="AM12" s="1068" t="s">
        <v>1904</v>
      </c>
      <c r="AN12" s="1062" t="s">
        <v>2118</v>
      </c>
      <c r="AO12" s="1062" t="s">
        <v>4791</v>
      </c>
      <c r="AP12" s="1306">
        <v>1</v>
      </c>
      <c r="AQ12" s="1070" t="s">
        <v>1010</v>
      </c>
      <c r="AR12" s="1071" t="s">
        <v>1902</v>
      </c>
      <c r="AS12" s="1072"/>
      <c r="AT12" s="1061"/>
      <c r="AU12" s="1061"/>
      <c r="AV12" s="1061"/>
      <c r="AW12" s="1073"/>
      <c r="AX12" s="1074"/>
      <c r="AY12" s="1075"/>
      <c r="AZ12" s="1076"/>
      <c r="BA12" s="1076"/>
      <c r="BB12" s="1076"/>
      <c r="BC12" s="1076"/>
      <c r="BD12" s="1076"/>
      <c r="BE12" s="1076"/>
      <c r="BF12" s="1076"/>
      <c r="BG12" s="1077"/>
      <c r="BH12" s="1077"/>
      <c r="BI12" s="1078">
        <v>1.7</v>
      </c>
      <c r="BJ12" s="1077">
        <v>4.9000000000000004</v>
      </c>
      <c r="BK12" s="1077">
        <v>7.3</v>
      </c>
      <c r="BL12" s="1077">
        <v>10</v>
      </c>
      <c r="BM12" s="1077">
        <v>12.5</v>
      </c>
      <c r="BN12" s="1078"/>
      <c r="BO12" s="1077"/>
      <c r="BP12" s="1077"/>
      <c r="BQ12" s="1077"/>
      <c r="BR12" s="1077"/>
      <c r="BS12" s="1335"/>
      <c r="BT12" s="1077"/>
      <c r="BU12" s="1077"/>
      <c r="BV12" s="1077"/>
      <c r="BW12" s="1336"/>
      <c r="BX12" s="1335"/>
      <c r="BY12" s="1077"/>
      <c r="BZ12" s="1077"/>
      <c r="CA12" s="1077"/>
      <c r="CB12" s="1336"/>
      <c r="CC12" s="1337"/>
      <c r="CD12" s="1338" t="s">
        <v>168</v>
      </c>
      <c r="CE12" s="1339" t="s">
        <v>168</v>
      </c>
      <c r="CF12" s="1339" t="s">
        <v>168</v>
      </c>
      <c r="CG12" s="1339" t="s">
        <v>168</v>
      </c>
      <c r="CH12" s="1340" t="s">
        <v>168</v>
      </c>
      <c r="CI12" s="1078" t="s">
        <v>1942</v>
      </c>
      <c r="CJ12" s="1077" t="s">
        <v>1942</v>
      </c>
      <c r="CK12" s="1077" t="s">
        <v>1942</v>
      </c>
      <c r="CL12" s="1077" t="s">
        <v>1942</v>
      </c>
      <c r="CM12" s="1337" t="s">
        <v>1942</v>
      </c>
      <c r="CN12" s="1078">
        <v>-8.1</v>
      </c>
      <c r="CO12" s="1077">
        <v>-8.1</v>
      </c>
      <c r="CP12" s="1077">
        <v>-8.1</v>
      </c>
      <c r="CQ12" s="1077">
        <v>-8.1</v>
      </c>
      <c r="CR12" s="1337">
        <v>-8.1</v>
      </c>
      <c r="CS12" s="1078" t="s">
        <v>1942</v>
      </c>
      <c r="CT12" s="1077" t="s">
        <v>1942</v>
      </c>
      <c r="CU12" s="1077" t="s">
        <v>1942</v>
      </c>
      <c r="CV12" s="1077" t="s">
        <v>1942</v>
      </c>
      <c r="CW12" s="1337" t="s">
        <v>1942</v>
      </c>
      <c r="CX12" s="1078" t="s">
        <v>1942</v>
      </c>
      <c r="CY12" s="1077" t="s">
        <v>1942</v>
      </c>
      <c r="CZ12" s="1077" t="s">
        <v>1942</v>
      </c>
      <c r="DA12" s="1077" t="s">
        <v>1942</v>
      </c>
      <c r="DB12" s="1337" t="s">
        <v>1942</v>
      </c>
      <c r="DC12" s="1342">
        <v>3.7</v>
      </c>
      <c r="DD12" s="1077">
        <v>6.9</v>
      </c>
      <c r="DE12" s="1077">
        <v>9.3000000000000007</v>
      </c>
      <c r="DF12" s="1077">
        <v>12</v>
      </c>
      <c r="DG12" s="1337">
        <v>14.5</v>
      </c>
      <c r="DH12" s="1078" t="s">
        <v>1942</v>
      </c>
      <c r="DI12" s="1077" t="s">
        <v>1942</v>
      </c>
      <c r="DJ12" s="1077" t="s">
        <v>1942</v>
      </c>
      <c r="DK12" s="1077" t="s">
        <v>1942</v>
      </c>
      <c r="DL12" s="1337" t="s">
        <v>1942</v>
      </c>
      <c r="DM12" s="1096">
        <v>-0.28899999999999998</v>
      </c>
      <c r="DN12" s="1092" t="s">
        <v>1942</v>
      </c>
      <c r="DO12" s="1092" t="s">
        <v>1942</v>
      </c>
      <c r="DP12" s="1093" t="s">
        <v>1942</v>
      </c>
      <c r="DQ12" s="1092">
        <v>0.27300000000000002</v>
      </c>
      <c r="DR12" s="1092" t="s">
        <v>1942</v>
      </c>
      <c r="DS12" s="1092" t="s">
        <v>1942</v>
      </c>
      <c r="DT12" s="1093" t="s">
        <v>1942</v>
      </c>
      <c r="DU12" s="1085" t="s">
        <v>131</v>
      </c>
      <c r="DV12" s="1094">
        <v>1</v>
      </c>
      <c r="DW12" s="1095" t="s">
        <v>1942</v>
      </c>
    </row>
    <row r="13" spans="1:127" s="397" customFormat="1" ht="15.75" hidden="1" customHeight="1">
      <c r="A13" s="1097" t="s">
        <v>1060</v>
      </c>
      <c r="B13" s="1057">
        <v>4</v>
      </c>
      <c r="C13" s="1018"/>
      <c r="D13" s="1018"/>
      <c r="E13" s="1018"/>
      <c r="F13" s="1018"/>
      <c r="G13" s="1018"/>
      <c r="H13" s="1018"/>
      <c r="I13" s="1018"/>
      <c r="J13" s="1018"/>
      <c r="K13" s="1018"/>
      <c r="L13" s="1018"/>
      <c r="M13" s="1057"/>
      <c r="N13" s="1018"/>
      <c r="O13" s="1018"/>
      <c r="P13" s="1018"/>
      <c r="Q13" s="1018"/>
      <c r="R13" s="1018"/>
      <c r="S13" s="1018"/>
      <c r="T13" s="1019"/>
      <c r="U13" s="1098" t="s">
        <v>1906</v>
      </c>
      <c r="V13" s="1099" t="s">
        <v>1888</v>
      </c>
      <c r="W13" s="1099" t="s">
        <v>1907</v>
      </c>
      <c r="X13" s="1100" t="s">
        <v>1908</v>
      </c>
      <c r="Y13" s="1101" t="s">
        <v>535</v>
      </c>
      <c r="Z13" s="1102" t="s">
        <v>1909</v>
      </c>
      <c r="AA13" s="1103" t="s">
        <v>1942</v>
      </c>
      <c r="AB13" s="1104">
        <v>1</v>
      </c>
      <c r="AC13" s="1104" t="s">
        <v>1942</v>
      </c>
      <c r="AD13" s="1104" t="s">
        <v>1942</v>
      </c>
      <c r="AE13" s="1104" t="s">
        <v>1942</v>
      </c>
      <c r="AF13" s="1104" t="s">
        <v>1942</v>
      </c>
      <c r="AG13" s="1104" t="s">
        <v>1942</v>
      </c>
      <c r="AH13" s="1104" t="s">
        <v>1942</v>
      </c>
      <c r="AI13" s="1105">
        <f t="shared" si="0"/>
        <v>1</v>
      </c>
      <c r="AJ13" s="1106" t="s">
        <v>1007</v>
      </c>
      <c r="AK13" s="1106" t="s">
        <v>1942</v>
      </c>
      <c r="AL13" s="1106" t="s">
        <v>1942</v>
      </c>
      <c r="AM13" s="1107" t="s">
        <v>1910</v>
      </c>
      <c r="AN13" s="1018" t="s">
        <v>278</v>
      </c>
      <c r="AO13" s="1018" t="s">
        <v>4792</v>
      </c>
      <c r="AP13" s="1307">
        <v>1</v>
      </c>
      <c r="AQ13" s="1108" t="s">
        <v>1020</v>
      </c>
      <c r="AR13" s="1109" t="s">
        <v>535</v>
      </c>
      <c r="AS13" s="1110"/>
      <c r="AT13" s="1100"/>
      <c r="AU13" s="1100"/>
      <c r="AV13" s="1100"/>
      <c r="AW13" s="1111"/>
      <c r="AX13" s="1112"/>
      <c r="AY13" s="1075"/>
      <c r="AZ13" s="1076"/>
      <c r="BA13" s="1076"/>
      <c r="BB13" s="1076"/>
      <c r="BC13" s="1076"/>
      <c r="BD13" s="1076"/>
      <c r="BE13" s="1076"/>
      <c r="BF13" s="1076"/>
      <c r="BG13" s="1113"/>
      <c r="BH13" s="1113"/>
      <c r="BI13" s="1114">
        <v>0</v>
      </c>
      <c r="BJ13" s="1113">
        <v>0</v>
      </c>
      <c r="BK13" s="1113">
        <v>0</v>
      </c>
      <c r="BL13" s="1113">
        <v>0</v>
      </c>
      <c r="BM13" s="1113">
        <v>0</v>
      </c>
      <c r="BN13" s="1114"/>
      <c r="BO13" s="1113"/>
      <c r="BP13" s="1113"/>
      <c r="BQ13" s="1113"/>
      <c r="BR13" s="1113"/>
      <c r="BS13" s="1343"/>
      <c r="BT13" s="1113"/>
      <c r="BU13" s="1113"/>
      <c r="BV13" s="1113"/>
      <c r="BW13" s="1344"/>
      <c r="BX13" s="1343"/>
      <c r="BY13" s="1113"/>
      <c r="BZ13" s="1113"/>
      <c r="CA13" s="1113"/>
      <c r="CB13" s="1344"/>
      <c r="CC13" s="1345"/>
      <c r="CD13" s="1346" t="s">
        <v>1942</v>
      </c>
      <c r="CE13" s="1347" t="s">
        <v>1942</v>
      </c>
      <c r="CF13" s="1347" t="s">
        <v>1942</v>
      </c>
      <c r="CG13" s="1347" t="s">
        <v>1942</v>
      </c>
      <c r="CH13" s="1348" t="s">
        <v>1942</v>
      </c>
      <c r="CI13" s="1114" t="s">
        <v>1942</v>
      </c>
      <c r="CJ13" s="1113" t="s">
        <v>1942</v>
      </c>
      <c r="CK13" s="1113" t="s">
        <v>1942</v>
      </c>
      <c r="CL13" s="1113" t="s">
        <v>1942</v>
      </c>
      <c r="CM13" s="1345" t="s">
        <v>1942</v>
      </c>
      <c r="CN13" s="1114" t="s">
        <v>1942</v>
      </c>
      <c r="CO13" s="1113" t="s">
        <v>1942</v>
      </c>
      <c r="CP13" s="1113" t="s">
        <v>1942</v>
      </c>
      <c r="CQ13" s="1113" t="s">
        <v>1942</v>
      </c>
      <c r="CR13" s="1345" t="s">
        <v>1942</v>
      </c>
      <c r="CS13" s="1114" t="s">
        <v>1942</v>
      </c>
      <c r="CT13" s="1113" t="s">
        <v>1942</v>
      </c>
      <c r="CU13" s="1113" t="s">
        <v>1942</v>
      </c>
      <c r="CV13" s="1113" t="s">
        <v>1942</v>
      </c>
      <c r="CW13" s="1345" t="s">
        <v>1942</v>
      </c>
      <c r="CX13" s="1114" t="s">
        <v>1942</v>
      </c>
      <c r="CY13" s="1113" t="s">
        <v>1942</v>
      </c>
      <c r="CZ13" s="1113" t="s">
        <v>1942</v>
      </c>
      <c r="DA13" s="1113" t="s">
        <v>1942</v>
      </c>
      <c r="DB13" s="1345" t="s">
        <v>1942</v>
      </c>
      <c r="DC13" s="1113" t="s">
        <v>1942</v>
      </c>
      <c r="DD13" s="1113" t="s">
        <v>1942</v>
      </c>
      <c r="DE13" s="1113" t="s">
        <v>1942</v>
      </c>
      <c r="DF13" s="1113" t="s">
        <v>1942</v>
      </c>
      <c r="DG13" s="1345" t="s">
        <v>1942</v>
      </c>
      <c r="DH13" s="1114" t="s">
        <v>1942</v>
      </c>
      <c r="DI13" s="1113" t="s">
        <v>1942</v>
      </c>
      <c r="DJ13" s="1113" t="s">
        <v>1942</v>
      </c>
      <c r="DK13" s="1113" t="s">
        <v>1942</v>
      </c>
      <c r="DL13" s="1345" t="s">
        <v>1942</v>
      </c>
      <c r="DM13" s="1121" t="s">
        <v>1942</v>
      </c>
      <c r="DN13" s="1122" t="s">
        <v>1942</v>
      </c>
      <c r="DO13" s="1122" t="s">
        <v>1942</v>
      </c>
      <c r="DP13" s="1123" t="s">
        <v>1942</v>
      </c>
      <c r="DQ13" s="1122" t="s">
        <v>1942</v>
      </c>
      <c r="DR13" s="1122" t="s">
        <v>1942</v>
      </c>
      <c r="DS13" s="1122" t="s">
        <v>1942</v>
      </c>
      <c r="DT13" s="1123" t="s">
        <v>1942</v>
      </c>
      <c r="DU13" s="1119" t="s">
        <v>1942</v>
      </c>
      <c r="DV13" s="1124">
        <v>1</v>
      </c>
      <c r="DW13" s="1125" t="s">
        <v>1942</v>
      </c>
    </row>
    <row r="14" spans="1:127" s="397" customFormat="1" ht="15.75" hidden="1" customHeight="1">
      <c r="A14" s="1097" t="s">
        <v>1060</v>
      </c>
      <c r="B14" s="1057">
        <v>5</v>
      </c>
      <c r="C14" s="1018"/>
      <c r="D14" s="1018"/>
      <c r="E14" s="1018"/>
      <c r="F14" s="1018"/>
      <c r="G14" s="1018"/>
      <c r="H14" s="1018"/>
      <c r="I14" s="1018"/>
      <c r="J14" s="1018"/>
      <c r="K14" s="1018"/>
      <c r="L14" s="1018"/>
      <c r="M14" s="1057"/>
      <c r="N14" s="1018"/>
      <c r="O14" s="1018"/>
      <c r="P14" s="1018"/>
      <c r="Q14" s="1018"/>
      <c r="R14" s="1018"/>
      <c r="S14" s="1018"/>
      <c r="T14" s="1019"/>
      <c r="U14" s="1098" t="s">
        <v>1912</v>
      </c>
      <c r="V14" s="1099" t="s">
        <v>1888</v>
      </c>
      <c r="W14" s="1099" t="s">
        <v>1907</v>
      </c>
      <c r="X14" s="1100" t="s">
        <v>1913</v>
      </c>
      <c r="Y14" s="1101" t="s">
        <v>167</v>
      </c>
      <c r="Z14" s="1102" t="s">
        <v>1914</v>
      </c>
      <c r="AA14" s="1103" t="s">
        <v>1942</v>
      </c>
      <c r="AB14" s="1104">
        <v>1</v>
      </c>
      <c r="AC14" s="1104" t="s">
        <v>1942</v>
      </c>
      <c r="AD14" s="1104" t="s">
        <v>1942</v>
      </c>
      <c r="AE14" s="1104" t="s">
        <v>1942</v>
      </c>
      <c r="AF14" s="1104" t="s">
        <v>1942</v>
      </c>
      <c r="AG14" s="1104" t="s">
        <v>1942</v>
      </c>
      <c r="AH14" s="1104" t="s">
        <v>1942</v>
      </c>
      <c r="AI14" s="1105">
        <f t="shared" si="0"/>
        <v>1</v>
      </c>
      <c r="AJ14" s="1106" t="s">
        <v>1026</v>
      </c>
      <c r="AK14" s="1106" t="s">
        <v>1008</v>
      </c>
      <c r="AL14" s="1106" t="s">
        <v>1009</v>
      </c>
      <c r="AM14" s="1107" t="s">
        <v>1915</v>
      </c>
      <c r="AN14" s="1018" t="s">
        <v>278</v>
      </c>
      <c r="AO14" s="1018" t="s">
        <v>4793</v>
      </c>
      <c r="AP14" s="1307">
        <v>2</v>
      </c>
      <c r="AQ14" s="1108" t="s">
        <v>1020</v>
      </c>
      <c r="AR14" s="1109" t="s">
        <v>167</v>
      </c>
      <c r="AS14" s="1110"/>
      <c r="AT14" s="1100"/>
      <c r="AU14" s="1100"/>
      <c r="AV14" s="1100"/>
      <c r="AW14" s="1111"/>
      <c r="AX14" s="1112"/>
      <c r="AY14" s="1075"/>
      <c r="AZ14" s="1076"/>
      <c r="BA14" s="1076"/>
      <c r="BB14" s="1076"/>
      <c r="BC14" s="1076"/>
      <c r="BD14" s="1076"/>
      <c r="BE14" s="1076"/>
      <c r="BF14" s="1076"/>
      <c r="BG14" s="1126"/>
      <c r="BH14" s="1126"/>
      <c r="BI14" s="1127">
        <v>2.34</v>
      </c>
      <c r="BJ14" s="1126">
        <v>2.34</v>
      </c>
      <c r="BK14" s="1126">
        <v>2.34</v>
      </c>
      <c r="BL14" s="1126">
        <v>2.34</v>
      </c>
      <c r="BM14" s="1126">
        <v>2.34</v>
      </c>
      <c r="BN14" s="1075"/>
      <c r="BO14" s="1076"/>
      <c r="BP14" s="1076"/>
      <c r="BQ14" s="1076"/>
      <c r="BR14" s="1076"/>
      <c r="BS14" s="1115"/>
      <c r="BT14" s="1076"/>
      <c r="BU14" s="1076"/>
      <c r="BV14" s="1076"/>
      <c r="BW14" s="1116"/>
      <c r="BX14" s="1115"/>
      <c r="BY14" s="1076"/>
      <c r="BZ14" s="1076"/>
      <c r="CA14" s="1076"/>
      <c r="CB14" s="1116"/>
      <c r="CC14" s="1117"/>
      <c r="CD14" s="1118" t="s">
        <v>168</v>
      </c>
      <c r="CE14" s="1119" t="s">
        <v>168</v>
      </c>
      <c r="CF14" s="1119" t="s">
        <v>168</v>
      </c>
      <c r="CG14" s="1119" t="s">
        <v>168</v>
      </c>
      <c r="CH14" s="1120" t="s">
        <v>168</v>
      </c>
      <c r="CI14" s="1075" t="s">
        <v>1942</v>
      </c>
      <c r="CJ14" s="1076" t="s">
        <v>1942</v>
      </c>
      <c r="CK14" s="1076" t="s">
        <v>1942</v>
      </c>
      <c r="CL14" s="1076" t="s">
        <v>1942</v>
      </c>
      <c r="CM14" s="1117" t="s">
        <v>1942</v>
      </c>
      <c r="CN14" s="1075">
        <v>4.68</v>
      </c>
      <c r="CO14" s="1076">
        <v>4.68</v>
      </c>
      <c r="CP14" s="1076">
        <v>4.68</v>
      </c>
      <c r="CQ14" s="1076">
        <v>4.68</v>
      </c>
      <c r="CR14" s="1117">
        <v>4.68</v>
      </c>
      <c r="CS14" s="1075" t="s">
        <v>1942</v>
      </c>
      <c r="CT14" s="1076" t="s">
        <v>1942</v>
      </c>
      <c r="CU14" s="1076" t="s">
        <v>1942</v>
      </c>
      <c r="CV14" s="1076" t="s">
        <v>1942</v>
      </c>
      <c r="CW14" s="1117" t="s">
        <v>1942</v>
      </c>
      <c r="CX14" s="1075" t="s">
        <v>1942</v>
      </c>
      <c r="CY14" s="1076" t="s">
        <v>1942</v>
      </c>
      <c r="CZ14" s="1076" t="s">
        <v>1942</v>
      </c>
      <c r="DA14" s="1076" t="s">
        <v>1942</v>
      </c>
      <c r="DB14" s="1117" t="s">
        <v>1942</v>
      </c>
      <c r="DC14" s="1076" t="s">
        <v>1942</v>
      </c>
      <c r="DD14" s="1076" t="s">
        <v>1942</v>
      </c>
      <c r="DE14" s="1076" t="s">
        <v>1942</v>
      </c>
      <c r="DF14" s="1076" t="s">
        <v>1942</v>
      </c>
      <c r="DG14" s="1117" t="s">
        <v>1942</v>
      </c>
      <c r="DH14" s="1075" t="s">
        <v>1942</v>
      </c>
      <c r="DI14" s="1076" t="s">
        <v>1942</v>
      </c>
      <c r="DJ14" s="1076" t="s">
        <v>1942</v>
      </c>
      <c r="DK14" s="1076" t="s">
        <v>1942</v>
      </c>
      <c r="DL14" s="1117" t="s">
        <v>1942</v>
      </c>
      <c r="DM14" s="1121">
        <v>-1.3080000000000001</v>
      </c>
      <c r="DN14" s="1122" t="s">
        <v>1942</v>
      </c>
      <c r="DO14" s="1122" t="s">
        <v>1942</v>
      </c>
      <c r="DP14" s="1123" t="s">
        <v>1942</v>
      </c>
      <c r="DQ14" s="1122" t="s">
        <v>1942</v>
      </c>
      <c r="DR14" s="1122" t="s">
        <v>1942</v>
      </c>
      <c r="DS14" s="1122" t="s">
        <v>1942</v>
      </c>
      <c r="DT14" s="1123" t="s">
        <v>1942</v>
      </c>
      <c r="DU14" s="1119" t="s">
        <v>131</v>
      </c>
      <c r="DV14" s="1124">
        <v>1</v>
      </c>
      <c r="DW14" s="1125" t="s">
        <v>1942</v>
      </c>
    </row>
    <row r="15" spans="1:127" s="397" customFormat="1" ht="15.75" hidden="1" customHeight="1">
      <c r="A15" s="1097" t="s">
        <v>1060</v>
      </c>
      <c r="B15" s="1057">
        <v>6</v>
      </c>
      <c r="C15" s="1018"/>
      <c r="D15" s="1018"/>
      <c r="E15" s="1018"/>
      <c r="F15" s="1018"/>
      <c r="G15" s="1018"/>
      <c r="H15" s="1018"/>
      <c r="I15" s="1018"/>
      <c r="J15" s="1018"/>
      <c r="K15" s="1018"/>
      <c r="L15" s="1018"/>
      <c r="M15" s="1057"/>
      <c r="N15" s="1018"/>
      <c r="O15" s="1018"/>
      <c r="P15" s="1018"/>
      <c r="Q15" s="1018"/>
      <c r="R15" s="1018"/>
      <c r="S15" s="1018"/>
      <c r="T15" s="1019"/>
      <c r="U15" s="1098" t="s">
        <v>1917</v>
      </c>
      <c r="V15" s="1099" t="s">
        <v>1888</v>
      </c>
      <c r="W15" s="1099" t="s">
        <v>1896</v>
      </c>
      <c r="X15" s="1100" t="s">
        <v>1918</v>
      </c>
      <c r="Y15" s="1101" t="s">
        <v>161</v>
      </c>
      <c r="Z15" s="1102" t="s">
        <v>1919</v>
      </c>
      <c r="AA15" s="1103" t="s">
        <v>1942</v>
      </c>
      <c r="AB15" s="1104">
        <v>1</v>
      </c>
      <c r="AC15" s="1104" t="s">
        <v>1942</v>
      </c>
      <c r="AD15" s="1104" t="s">
        <v>1942</v>
      </c>
      <c r="AE15" s="1104" t="s">
        <v>1942</v>
      </c>
      <c r="AF15" s="1104" t="s">
        <v>1942</v>
      </c>
      <c r="AG15" s="1104" t="s">
        <v>1942</v>
      </c>
      <c r="AH15" s="1104" t="s">
        <v>1942</v>
      </c>
      <c r="AI15" s="1105">
        <f t="shared" si="0"/>
        <v>1</v>
      </c>
      <c r="AJ15" s="1106" t="s">
        <v>1026</v>
      </c>
      <c r="AK15" s="1106" t="s">
        <v>1008</v>
      </c>
      <c r="AL15" s="1106" t="s">
        <v>1009</v>
      </c>
      <c r="AM15" s="1107" t="s">
        <v>1920</v>
      </c>
      <c r="AN15" s="1018" t="s">
        <v>2177</v>
      </c>
      <c r="AO15" s="1018" t="s">
        <v>4794</v>
      </c>
      <c r="AP15" s="1307">
        <v>1</v>
      </c>
      <c r="AQ15" s="1108" t="s">
        <v>1020</v>
      </c>
      <c r="AR15" s="1109" t="s">
        <v>161</v>
      </c>
      <c r="AS15" s="1110"/>
      <c r="AT15" s="1100"/>
      <c r="AU15" s="1100"/>
      <c r="AV15" s="1100"/>
      <c r="AW15" s="1111"/>
      <c r="AX15" s="1112"/>
      <c r="AY15" s="1075"/>
      <c r="AZ15" s="1076"/>
      <c r="BA15" s="1076"/>
      <c r="BB15" s="1076"/>
      <c r="BC15" s="1076"/>
      <c r="BD15" s="1076"/>
      <c r="BE15" s="1076"/>
      <c r="BF15" s="1076"/>
      <c r="BG15" s="1113"/>
      <c r="BH15" s="1113"/>
      <c r="BI15" s="1114">
        <v>150.69999999999999</v>
      </c>
      <c r="BJ15" s="1113">
        <v>148.6</v>
      </c>
      <c r="BK15" s="1113">
        <v>146.5</v>
      </c>
      <c r="BL15" s="1113">
        <v>144.4</v>
      </c>
      <c r="BM15" s="1113">
        <v>142.30000000000001</v>
      </c>
      <c r="BN15" s="1075"/>
      <c r="BO15" s="1076"/>
      <c r="BP15" s="1076"/>
      <c r="BQ15" s="1076"/>
      <c r="BR15" s="1076"/>
      <c r="BS15" s="1115"/>
      <c r="BT15" s="1076"/>
      <c r="BU15" s="1076"/>
      <c r="BV15" s="1076"/>
      <c r="BW15" s="1116"/>
      <c r="BX15" s="1115"/>
      <c r="BY15" s="1076"/>
      <c r="BZ15" s="1076"/>
      <c r="CA15" s="1076"/>
      <c r="CB15" s="1116"/>
      <c r="CC15" s="1117"/>
      <c r="CD15" s="1118" t="s">
        <v>168</v>
      </c>
      <c r="CE15" s="1119" t="s">
        <v>168</v>
      </c>
      <c r="CF15" s="1119" t="s">
        <v>168</v>
      </c>
      <c r="CG15" s="1119" t="s">
        <v>168</v>
      </c>
      <c r="CH15" s="1120" t="s">
        <v>168</v>
      </c>
      <c r="CI15" s="1075" t="s">
        <v>1942</v>
      </c>
      <c r="CJ15" s="1076" t="s">
        <v>1942</v>
      </c>
      <c r="CK15" s="1076" t="s">
        <v>1942</v>
      </c>
      <c r="CL15" s="1076" t="s">
        <v>1942</v>
      </c>
      <c r="CM15" s="1117" t="s">
        <v>1942</v>
      </c>
      <c r="CN15" s="1075" t="s">
        <v>1942</v>
      </c>
      <c r="CO15" s="1076" t="s">
        <v>1942</v>
      </c>
      <c r="CP15" s="1076" t="s">
        <v>1942</v>
      </c>
      <c r="CQ15" s="1076" t="s">
        <v>1942</v>
      </c>
      <c r="CR15" s="1117" t="s">
        <v>1942</v>
      </c>
      <c r="CS15" s="1075" t="s">
        <v>1942</v>
      </c>
      <c r="CT15" s="1076" t="s">
        <v>1942</v>
      </c>
      <c r="CU15" s="1076" t="s">
        <v>1942</v>
      </c>
      <c r="CV15" s="1076" t="s">
        <v>1942</v>
      </c>
      <c r="CW15" s="1117" t="s">
        <v>1942</v>
      </c>
      <c r="CX15" s="1075" t="s">
        <v>1942</v>
      </c>
      <c r="CY15" s="1076" t="s">
        <v>1942</v>
      </c>
      <c r="CZ15" s="1076" t="s">
        <v>1942</v>
      </c>
      <c r="DA15" s="1076" t="s">
        <v>1942</v>
      </c>
      <c r="DB15" s="1117" t="s">
        <v>1942</v>
      </c>
      <c r="DC15" s="1076" t="s">
        <v>1942</v>
      </c>
      <c r="DD15" s="1076" t="s">
        <v>1942</v>
      </c>
      <c r="DE15" s="1076" t="s">
        <v>1942</v>
      </c>
      <c r="DF15" s="1076" t="s">
        <v>1942</v>
      </c>
      <c r="DG15" s="1117" t="s">
        <v>1942</v>
      </c>
      <c r="DH15" s="1075" t="s">
        <v>1942</v>
      </c>
      <c r="DI15" s="1076" t="s">
        <v>1942</v>
      </c>
      <c r="DJ15" s="1076" t="s">
        <v>1942</v>
      </c>
      <c r="DK15" s="1076" t="s">
        <v>1942</v>
      </c>
      <c r="DL15" s="1117" t="s">
        <v>1942</v>
      </c>
      <c r="DM15" s="1121">
        <v>-0.113</v>
      </c>
      <c r="DN15" s="1122" t="s">
        <v>1942</v>
      </c>
      <c r="DO15" s="1122" t="s">
        <v>1942</v>
      </c>
      <c r="DP15" s="1123" t="s">
        <v>1942</v>
      </c>
      <c r="DQ15" s="1122">
        <v>0</v>
      </c>
      <c r="DR15" s="1122" t="s">
        <v>1942</v>
      </c>
      <c r="DS15" s="1122" t="s">
        <v>1942</v>
      </c>
      <c r="DT15" s="1123" t="s">
        <v>1942</v>
      </c>
      <c r="DU15" s="1119" t="s">
        <v>131</v>
      </c>
      <c r="DV15" s="1124">
        <v>1</v>
      </c>
      <c r="DW15" s="1125" t="s">
        <v>1942</v>
      </c>
    </row>
    <row r="16" spans="1:127" s="397" customFormat="1" ht="15.75" hidden="1" customHeight="1">
      <c r="A16" s="1097" t="s">
        <v>1060</v>
      </c>
      <c r="B16" s="1057">
        <v>7</v>
      </c>
      <c r="C16" s="1018"/>
      <c r="D16" s="1018"/>
      <c r="E16" s="1018"/>
      <c r="F16" s="1018"/>
      <c r="G16" s="1018"/>
      <c r="H16" s="1018"/>
      <c r="I16" s="1018"/>
      <c r="J16" s="1018"/>
      <c r="K16" s="1018"/>
      <c r="L16" s="1018"/>
      <c r="M16" s="1057"/>
      <c r="N16" s="1018"/>
      <c r="O16" s="1018"/>
      <c r="P16" s="1018"/>
      <c r="Q16" s="1018"/>
      <c r="R16" s="1018"/>
      <c r="S16" s="1018"/>
      <c r="T16" s="1019"/>
      <c r="U16" s="1098" t="s">
        <v>1922</v>
      </c>
      <c r="V16" s="1099" t="s">
        <v>1923</v>
      </c>
      <c r="W16" s="1099" t="s">
        <v>1889</v>
      </c>
      <c r="X16" s="1100" t="s">
        <v>1924</v>
      </c>
      <c r="Y16" s="1101" t="s">
        <v>130</v>
      </c>
      <c r="Z16" s="1102" t="s">
        <v>1925</v>
      </c>
      <c r="AA16" s="1103" t="s">
        <v>1942</v>
      </c>
      <c r="AB16" s="1104">
        <v>1</v>
      </c>
      <c r="AC16" s="1104" t="s">
        <v>1942</v>
      </c>
      <c r="AD16" s="1104" t="s">
        <v>1942</v>
      </c>
      <c r="AE16" s="1104" t="s">
        <v>1942</v>
      </c>
      <c r="AF16" s="1104" t="s">
        <v>1942</v>
      </c>
      <c r="AG16" s="1104" t="s">
        <v>1942</v>
      </c>
      <c r="AH16" s="1104" t="s">
        <v>1942</v>
      </c>
      <c r="AI16" s="1105">
        <f t="shared" si="0"/>
        <v>1</v>
      </c>
      <c r="AJ16" s="1106" t="s">
        <v>1026</v>
      </c>
      <c r="AK16" s="1106" t="s">
        <v>1008</v>
      </c>
      <c r="AL16" s="1106" t="s">
        <v>1009</v>
      </c>
      <c r="AM16" s="1107" t="s">
        <v>1926</v>
      </c>
      <c r="AN16" s="1018" t="s">
        <v>2177</v>
      </c>
      <c r="AO16" s="1018" t="s">
        <v>4795</v>
      </c>
      <c r="AP16" s="1307">
        <v>2</v>
      </c>
      <c r="AQ16" s="1076" t="s">
        <v>1020</v>
      </c>
      <c r="AR16" s="1109" t="s">
        <v>130</v>
      </c>
      <c r="AS16" s="1110"/>
      <c r="AT16" s="1100"/>
      <c r="AU16" s="1100"/>
      <c r="AV16" s="1100"/>
      <c r="AW16" s="1111"/>
      <c r="AX16" s="1112"/>
      <c r="AY16" s="1075"/>
      <c r="AZ16" s="1076"/>
      <c r="BA16" s="1076"/>
      <c r="BB16" s="1076"/>
      <c r="BC16" s="1076"/>
      <c r="BD16" s="1076"/>
      <c r="BE16" s="1076"/>
      <c r="BF16" s="1076"/>
      <c r="BG16" s="1126"/>
      <c r="BH16" s="1126"/>
      <c r="BI16" s="1127">
        <v>0</v>
      </c>
      <c r="BJ16" s="1126">
        <v>0</v>
      </c>
      <c r="BK16" s="1126">
        <v>0</v>
      </c>
      <c r="BL16" s="1126">
        <v>0</v>
      </c>
      <c r="BM16" s="1126">
        <v>0</v>
      </c>
      <c r="BN16" s="1075"/>
      <c r="BO16" s="1076"/>
      <c r="BP16" s="1076"/>
      <c r="BQ16" s="1076"/>
      <c r="BR16" s="1076"/>
      <c r="BS16" s="1115"/>
      <c r="BT16" s="1076"/>
      <c r="BU16" s="1076"/>
      <c r="BV16" s="1076"/>
      <c r="BW16" s="1116"/>
      <c r="BX16" s="1115"/>
      <c r="BY16" s="1076"/>
      <c r="BZ16" s="1076"/>
      <c r="CA16" s="1076"/>
      <c r="CB16" s="1116"/>
      <c r="CC16" s="1117"/>
      <c r="CD16" s="1118" t="s">
        <v>168</v>
      </c>
      <c r="CE16" s="1119" t="s">
        <v>168</v>
      </c>
      <c r="CF16" s="1119" t="s">
        <v>168</v>
      </c>
      <c r="CG16" s="1119" t="s">
        <v>168</v>
      </c>
      <c r="CH16" s="1120" t="s">
        <v>168</v>
      </c>
      <c r="CI16" s="1075" t="s">
        <v>1942</v>
      </c>
      <c r="CJ16" s="1076" t="s">
        <v>1942</v>
      </c>
      <c r="CK16" s="1076" t="s">
        <v>1942</v>
      </c>
      <c r="CL16" s="1076" t="s">
        <v>1942</v>
      </c>
      <c r="CM16" s="1117" t="s">
        <v>1942</v>
      </c>
      <c r="CN16" s="1075">
        <v>9.5</v>
      </c>
      <c r="CO16" s="1076">
        <v>9.5</v>
      </c>
      <c r="CP16" s="1076">
        <v>9.5</v>
      </c>
      <c r="CQ16" s="1076">
        <v>9.5</v>
      </c>
      <c r="CR16" s="1117">
        <v>9.5</v>
      </c>
      <c r="CS16" s="1075">
        <v>2</v>
      </c>
      <c r="CT16" s="1076">
        <v>2</v>
      </c>
      <c r="CU16" s="1076">
        <v>2</v>
      </c>
      <c r="CV16" s="1076">
        <v>2</v>
      </c>
      <c r="CW16" s="1117">
        <v>2</v>
      </c>
      <c r="CX16" s="1075" t="s">
        <v>1942</v>
      </c>
      <c r="CY16" s="1076" t="s">
        <v>1942</v>
      </c>
      <c r="CZ16" s="1076" t="s">
        <v>1942</v>
      </c>
      <c r="DA16" s="1076" t="s">
        <v>1942</v>
      </c>
      <c r="DB16" s="1117" t="s">
        <v>1942</v>
      </c>
      <c r="DC16" s="1076" t="s">
        <v>1942</v>
      </c>
      <c r="DD16" s="1076" t="s">
        <v>1942</v>
      </c>
      <c r="DE16" s="1076" t="s">
        <v>1942</v>
      </c>
      <c r="DF16" s="1076" t="s">
        <v>1942</v>
      </c>
      <c r="DG16" s="1117" t="s">
        <v>1942</v>
      </c>
      <c r="DH16" s="1075" t="s">
        <v>1942</v>
      </c>
      <c r="DI16" s="1076" t="s">
        <v>1942</v>
      </c>
      <c r="DJ16" s="1076" t="s">
        <v>1942</v>
      </c>
      <c r="DK16" s="1076" t="s">
        <v>1942</v>
      </c>
      <c r="DL16" s="1117" t="s">
        <v>1942</v>
      </c>
      <c r="DM16" s="1121">
        <v>-0.84899999999999998</v>
      </c>
      <c r="DN16" s="1122" t="s">
        <v>1942</v>
      </c>
      <c r="DO16" s="1122" t="s">
        <v>1942</v>
      </c>
      <c r="DP16" s="1123" t="s">
        <v>1942</v>
      </c>
      <c r="DQ16" s="1122">
        <v>0</v>
      </c>
      <c r="DR16" s="1122" t="s">
        <v>1942</v>
      </c>
      <c r="DS16" s="1122" t="s">
        <v>1942</v>
      </c>
      <c r="DT16" s="1123" t="s">
        <v>1942</v>
      </c>
      <c r="DU16" s="1119" t="s">
        <v>1942</v>
      </c>
      <c r="DV16" s="1124">
        <v>1</v>
      </c>
      <c r="DW16" s="1125" t="s">
        <v>1942</v>
      </c>
    </row>
    <row r="17" spans="1:127" s="397" customFormat="1" ht="15.75" hidden="1" customHeight="1">
      <c r="A17" s="1097" t="s">
        <v>1060</v>
      </c>
      <c r="B17" s="1057">
        <v>8</v>
      </c>
      <c r="C17" s="1018"/>
      <c r="D17" s="1018"/>
      <c r="E17" s="1018"/>
      <c r="F17" s="1018"/>
      <c r="G17" s="1018"/>
      <c r="H17" s="1018"/>
      <c r="I17" s="1018"/>
      <c r="J17" s="1018"/>
      <c r="K17" s="1018"/>
      <c r="L17" s="1018"/>
      <c r="M17" s="1057"/>
      <c r="N17" s="1018"/>
      <c r="O17" s="1018"/>
      <c r="P17" s="1018"/>
      <c r="Q17" s="1018"/>
      <c r="R17" s="1018"/>
      <c r="S17" s="1018"/>
      <c r="T17" s="1019"/>
      <c r="U17" s="1098" t="s">
        <v>1928</v>
      </c>
      <c r="V17" s="1099" t="s">
        <v>1929</v>
      </c>
      <c r="W17" s="1099" t="s">
        <v>1907</v>
      </c>
      <c r="X17" s="1100" t="s">
        <v>1930</v>
      </c>
      <c r="Y17" s="1101" t="s">
        <v>1931</v>
      </c>
      <c r="Z17" s="1102" t="s">
        <v>1932</v>
      </c>
      <c r="AA17" s="1103" t="s">
        <v>1942</v>
      </c>
      <c r="AB17" s="1104" t="s">
        <v>1942</v>
      </c>
      <c r="AC17" s="1104" t="s">
        <v>1942</v>
      </c>
      <c r="AD17" s="1104" t="s">
        <v>1942</v>
      </c>
      <c r="AE17" s="1104">
        <v>1</v>
      </c>
      <c r="AF17" s="1104" t="s">
        <v>1942</v>
      </c>
      <c r="AG17" s="1104" t="s">
        <v>1942</v>
      </c>
      <c r="AH17" s="1104" t="s">
        <v>1942</v>
      </c>
      <c r="AI17" s="1105">
        <f t="shared" si="0"/>
        <v>1</v>
      </c>
      <c r="AJ17" s="1106" t="s">
        <v>1030</v>
      </c>
      <c r="AK17" s="1106" t="s">
        <v>1008</v>
      </c>
      <c r="AL17" s="1106" t="s">
        <v>1009</v>
      </c>
      <c r="AM17" s="1107" t="s">
        <v>1069</v>
      </c>
      <c r="AN17" s="1018" t="s">
        <v>1081</v>
      </c>
      <c r="AO17" s="1018" t="s">
        <v>1927</v>
      </c>
      <c r="AP17" s="1274">
        <v>2</v>
      </c>
      <c r="AQ17" s="1076" t="s">
        <v>1010</v>
      </c>
      <c r="AR17" s="1109" t="s">
        <v>1931</v>
      </c>
      <c r="AS17" s="1110"/>
      <c r="AT17" s="1100"/>
      <c r="AU17" s="1100"/>
      <c r="AV17" s="1100"/>
      <c r="AW17" s="1111"/>
      <c r="AX17" s="1112"/>
      <c r="AY17" s="1075"/>
      <c r="AZ17" s="1076"/>
      <c r="BA17" s="1076"/>
      <c r="BB17" s="1076"/>
      <c r="BC17" s="1076"/>
      <c r="BD17" s="1076"/>
      <c r="BE17" s="1076"/>
      <c r="BF17" s="1076"/>
      <c r="BG17" s="1076"/>
      <c r="BH17" s="1076"/>
      <c r="BI17" s="1075" t="s">
        <v>1052</v>
      </c>
      <c r="BJ17" s="1076" t="s">
        <v>1052</v>
      </c>
      <c r="BK17" s="1076" t="s">
        <v>1052</v>
      </c>
      <c r="BL17" s="1076" t="s">
        <v>1052</v>
      </c>
      <c r="BM17" s="1076" t="s">
        <v>1052</v>
      </c>
      <c r="BN17" s="1075"/>
      <c r="BO17" s="1076"/>
      <c r="BP17" s="1076"/>
      <c r="BQ17" s="1076"/>
      <c r="BR17" s="1076"/>
      <c r="BS17" s="1115"/>
      <c r="BT17" s="1076"/>
      <c r="BU17" s="1076"/>
      <c r="BV17" s="1076"/>
      <c r="BW17" s="1116"/>
      <c r="BX17" s="1115"/>
      <c r="BY17" s="1076"/>
      <c r="BZ17" s="1076"/>
      <c r="CA17" s="1076"/>
      <c r="CB17" s="1116"/>
      <c r="CC17" s="1117"/>
      <c r="CD17" s="1118" t="s">
        <v>168</v>
      </c>
      <c r="CE17" s="1119" t="s">
        <v>168</v>
      </c>
      <c r="CF17" s="1119" t="s">
        <v>168</v>
      </c>
      <c r="CG17" s="1119" t="s">
        <v>168</v>
      </c>
      <c r="CH17" s="1120" t="s">
        <v>168</v>
      </c>
      <c r="CI17" s="1075" t="s">
        <v>1942</v>
      </c>
      <c r="CJ17" s="1076" t="s">
        <v>1942</v>
      </c>
      <c r="CK17" s="1076" t="s">
        <v>1942</v>
      </c>
      <c r="CL17" s="1076" t="s">
        <v>1942</v>
      </c>
      <c r="CM17" s="1117" t="s">
        <v>1942</v>
      </c>
      <c r="CN17" s="1075" t="s">
        <v>1942</v>
      </c>
      <c r="CO17" s="1076" t="s">
        <v>1942</v>
      </c>
      <c r="CP17" s="1076" t="s">
        <v>1942</v>
      </c>
      <c r="CQ17" s="1076" t="s">
        <v>1942</v>
      </c>
      <c r="CR17" s="1117" t="s">
        <v>1942</v>
      </c>
      <c r="CS17" s="1075" t="s">
        <v>1942</v>
      </c>
      <c r="CT17" s="1076" t="s">
        <v>1942</v>
      </c>
      <c r="CU17" s="1076" t="s">
        <v>1942</v>
      </c>
      <c r="CV17" s="1076" t="s">
        <v>1942</v>
      </c>
      <c r="CW17" s="1117" t="s">
        <v>1942</v>
      </c>
      <c r="CX17" s="1075" t="s">
        <v>1942</v>
      </c>
      <c r="CY17" s="1076" t="s">
        <v>1942</v>
      </c>
      <c r="CZ17" s="1076" t="s">
        <v>1942</v>
      </c>
      <c r="DA17" s="1076" t="s">
        <v>1942</v>
      </c>
      <c r="DB17" s="1117" t="s">
        <v>1942</v>
      </c>
      <c r="DC17" s="1076" t="s">
        <v>1942</v>
      </c>
      <c r="DD17" s="1076" t="s">
        <v>1942</v>
      </c>
      <c r="DE17" s="1076" t="s">
        <v>1942</v>
      </c>
      <c r="DF17" s="1076" t="s">
        <v>1942</v>
      </c>
      <c r="DG17" s="1117" t="s">
        <v>1942</v>
      </c>
      <c r="DH17" s="1075" t="s">
        <v>1942</v>
      </c>
      <c r="DI17" s="1076" t="s">
        <v>1942</v>
      </c>
      <c r="DJ17" s="1076" t="s">
        <v>1942</v>
      </c>
      <c r="DK17" s="1076" t="s">
        <v>1942</v>
      </c>
      <c r="DL17" s="1117" t="s">
        <v>1942</v>
      </c>
      <c r="DM17" s="1121" t="s">
        <v>1942</v>
      </c>
      <c r="DN17" s="1122" t="s">
        <v>1942</v>
      </c>
      <c r="DO17" s="1122" t="s">
        <v>1942</v>
      </c>
      <c r="DP17" s="1123" t="s">
        <v>1942</v>
      </c>
      <c r="DQ17" s="1122" t="s">
        <v>1942</v>
      </c>
      <c r="DR17" s="1122" t="s">
        <v>1942</v>
      </c>
      <c r="DS17" s="1122" t="s">
        <v>1942</v>
      </c>
      <c r="DT17" s="1123" t="s">
        <v>1942</v>
      </c>
      <c r="DU17" s="1119" t="s">
        <v>1942</v>
      </c>
      <c r="DV17" s="1124">
        <v>1</v>
      </c>
      <c r="DW17" s="1125" t="s">
        <v>1942</v>
      </c>
    </row>
    <row r="18" spans="1:127" s="397" customFormat="1" ht="15.75" hidden="1" customHeight="1">
      <c r="A18" s="1097" t="s">
        <v>1060</v>
      </c>
      <c r="B18" s="1057">
        <v>9</v>
      </c>
      <c r="C18" s="1018"/>
      <c r="D18" s="1018"/>
      <c r="E18" s="1018"/>
      <c r="F18" s="1018"/>
      <c r="G18" s="1018"/>
      <c r="H18" s="1018"/>
      <c r="I18" s="1018"/>
      <c r="J18" s="1018"/>
      <c r="K18" s="1018"/>
      <c r="L18" s="1018"/>
      <c r="M18" s="1057"/>
      <c r="N18" s="1018"/>
      <c r="O18" s="1018"/>
      <c r="P18" s="1018"/>
      <c r="Q18" s="1018"/>
      <c r="R18" s="1018"/>
      <c r="S18" s="1018"/>
      <c r="T18" s="1019"/>
      <c r="U18" s="1098" t="s">
        <v>1933</v>
      </c>
      <c r="V18" s="1099" t="s">
        <v>1929</v>
      </c>
      <c r="W18" s="1099" t="s">
        <v>1907</v>
      </c>
      <c r="X18" s="1100" t="s">
        <v>1934</v>
      </c>
      <c r="Y18" s="1101" t="s">
        <v>1935</v>
      </c>
      <c r="Z18" s="1102" t="s">
        <v>1936</v>
      </c>
      <c r="AA18" s="1103" t="s">
        <v>1942</v>
      </c>
      <c r="AB18" s="1104">
        <v>1</v>
      </c>
      <c r="AC18" s="1104" t="s">
        <v>1942</v>
      </c>
      <c r="AD18" s="1104" t="s">
        <v>1942</v>
      </c>
      <c r="AE18" s="1104" t="s">
        <v>1942</v>
      </c>
      <c r="AF18" s="1104" t="s">
        <v>1942</v>
      </c>
      <c r="AG18" s="1104" t="s">
        <v>1942</v>
      </c>
      <c r="AH18" s="1104" t="s">
        <v>1942</v>
      </c>
      <c r="AI18" s="1105">
        <f t="shared" si="0"/>
        <v>1</v>
      </c>
      <c r="AJ18" s="1106" t="s">
        <v>1030</v>
      </c>
      <c r="AK18" s="1106" t="s">
        <v>1008</v>
      </c>
      <c r="AL18" s="1106" t="s">
        <v>1009</v>
      </c>
      <c r="AM18" s="1107" t="s">
        <v>1073</v>
      </c>
      <c r="AN18" s="1018" t="s">
        <v>1081</v>
      </c>
      <c r="AO18" s="1018" t="s">
        <v>1927</v>
      </c>
      <c r="AP18" s="1274">
        <v>2</v>
      </c>
      <c r="AQ18" s="1076" t="s">
        <v>1010</v>
      </c>
      <c r="AR18" s="1109" t="s">
        <v>1935</v>
      </c>
      <c r="AS18" s="1110"/>
      <c r="AT18" s="1100"/>
      <c r="AU18" s="1100"/>
      <c r="AV18" s="1100"/>
      <c r="AW18" s="1111"/>
      <c r="AX18" s="1112"/>
      <c r="AY18" s="1075"/>
      <c r="AZ18" s="1076"/>
      <c r="BA18" s="1076"/>
      <c r="BB18" s="1076"/>
      <c r="BC18" s="1076"/>
      <c r="BD18" s="1076"/>
      <c r="BE18" s="1076"/>
      <c r="BF18" s="1076"/>
      <c r="BG18" s="1076"/>
      <c r="BH18" s="1076"/>
      <c r="BI18" s="1075" t="s">
        <v>1052</v>
      </c>
      <c r="BJ18" s="1076" t="s">
        <v>1052</v>
      </c>
      <c r="BK18" s="1076" t="s">
        <v>1052</v>
      </c>
      <c r="BL18" s="1076" t="s">
        <v>1052</v>
      </c>
      <c r="BM18" s="1076" t="s">
        <v>1052</v>
      </c>
      <c r="BN18" s="1075"/>
      <c r="BO18" s="1076"/>
      <c r="BP18" s="1076"/>
      <c r="BQ18" s="1076"/>
      <c r="BR18" s="1076"/>
      <c r="BS18" s="1115"/>
      <c r="BT18" s="1076"/>
      <c r="BU18" s="1076"/>
      <c r="BV18" s="1076"/>
      <c r="BW18" s="1116"/>
      <c r="BX18" s="1115"/>
      <c r="BY18" s="1076"/>
      <c r="BZ18" s="1076"/>
      <c r="CA18" s="1076"/>
      <c r="CB18" s="1116"/>
      <c r="CC18" s="1117"/>
      <c r="CD18" s="1118" t="s">
        <v>168</v>
      </c>
      <c r="CE18" s="1119" t="s">
        <v>168</v>
      </c>
      <c r="CF18" s="1119" t="s">
        <v>168</v>
      </c>
      <c r="CG18" s="1119" t="s">
        <v>168</v>
      </c>
      <c r="CH18" s="1120" t="s">
        <v>168</v>
      </c>
      <c r="CI18" s="1075" t="s">
        <v>1942</v>
      </c>
      <c r="CJ18" s="1076" t="s">
        <v>1942</v>
      </c>
      <c r="CK18" s="1076" t="s">
        <v>1942</v>
      </c>
      <c r="CL18" s="1076" t="s">
        <v>1942</v>
      </c>
      <c r="CM18" s="1117" t="s">
        <v>1942</v>
      </c>
      <c r="CN18" s="1075" t="s">
        <v>1942</v>
      </c>
      <c r="CO18" s="1076" t="s">
        <v>1942</v>
      </c>
      <c r="CP18" s="1076" t="s">
        <v>1942</v>
      </c>
      <c r="CQ18" s="1076" t="s">
        <v>1942</v>
      </c>
      <c r="CR18" s="1117" t="s">
        <v>1942</v>
      </c>
      <c r="CS18" s="1075" t="s">
        <v>1942</v>
      </c>
      <c r="CT18" s="1076" t="s">
        <v>1942</v>
      </c>
      <c r="CU18" s="1076" t="s">
        <v>1942</v>
      </c>
      <c r="CV18" s="1076" t="s">
        <v>1942</v>
      </c>
      <c r="CW18" s="1117" t="s">
        <v>1942</v>
      </c>
      <c r="CX18" s="1075" t="s">
        <v>1942</v>
      </c>
      <c r="CY18" s="1076" t="s">
        <v>1942</v>
      </c>
      <c r="CZ18" s="1076" t="s">
        <v>1942</v>
      </c>
      <c r="DA18" s="1076" t="s">
        <v>1942</v>
      </c>
      <c r="DB18" s="1117" t="s">
        <v>1942</v>
      </c>
      <c r="DC18" s="1076" t="s">
        <v>1942</v>
      </c>
      <c r="DD18" s="1076" t="s">
        <v>1942</v>
      </c>
      <c r="DE18" s="1076" t="s">
        <v>1942</v>
      </c>
      <c r="DF18" s="1076" t="s">
        <v>1942</v>
      </c>
      <c r="DG18" s="1117" t="s">
        <v>1942</v>
      </c>
      <c r="DH18" s="1075" t="s">
        <v>1942</v>
      </c>
      <c r="DI18" s="1076" t="s">
        <v>1942</v>
      </c>
      <c r="DJ18" s="1076" t="s">
        <v>1942</v>
      </c>
      <c r="DK18" s="1076" t="s">
        <v>1942</v>
      </c>
      <c r="DL18" s="1117" t="s">
        <v>1942</v>
      </c>
      <c r="DM18" s="1121" t="s">
        <v>1942</v>
      </c>
      <c r="DN18" s="1122" t="s">
        <v>1942</v>
      </c>
      <c r="DO18" s="1122" t="s">
        <v>1942</v>
      </c>
      <c r="DP18" s="1123" t="s">
        <v>1942</v>
      </c>
      <c r="DQ18" s="1122" t="s">
        <v>1942</v>
      </c>
      <c r="DR18" s="1122" t="s">
        <v>1942</v>
      </c>
      <c r="DS18" s="1122" t="s">
        <v>1942</v>
      </c>
      <c r="DT18" s="1123" t="s">
        <v>1942</v>
      </c>
      <c r="DU18" s="1119" t="s">
        <v>1942</v>
      </c>
      <c r="DV18" s="1124">
        <v>1</v>
      </c>
      <c r="DW18" s="1125" t="s">
        <v>1942</v>
      </c>
    </row>
    <row r="19" spans="1:127" s="397" customFormat="1" ht="15.75" hidden="1" customHeight="1">
      <c r="A19" s="1097" t="s">
        <v>1060</v>
      </c>
      <c r="B19" s="1057">
        <v>10</v>
      </c>
      <c r="C19" s="1018"/>
      <c r="D19" s="1018"/>
      <c r="E19" s="1018"/>
      <c r="F19" s="1018"/>
      <c r="G19" s="1018"/>
      <c r="H19" s="1018"/>
      <c r="I19" s="1018"/>
      <c r="J19" s="1018"/>
      <c r="K19" s="1018"/>
      <c r="L19" s="1018"/>
      <c r="M19" s="1057"/>
      <c r="N19" s="1018"/>
      <c r="O19" s="1018"/>
      <c r="P19" s="1018"/>
      <c r="Q19" s="1018"/>
      <c r="R19" s="1018"/>
      <c r="S19" s="1018"/>
      <c r="T19" s="1019"/>
      <c r="U19" s="1098" t="s">
        <v>1937</v>
      </c>
      <c r="V19" s="1099" t="s">
        <v>1888</v>
      </c>
      <c r="W19" s="1099" t="s">
        <v>1907</v>
      </c>
      <c r="X19" s="1100" t="s">
        <v>1938</v>
      </c>
      <c r="Y19" s="1101" t="s">
        <v>1939</v>
      </c>
      <c r="Z19" s="1102" t="s">
        <v>1940</v>
      </c>
      <c r="AA19" s="1103" t="s">
        <v>1942</v>
      </c>
      <c r="AB19" s="1104">
        <v>1</v>
      </c>
      <c r="AC19" s="1104" t="s">
        <v>1942</v>
      </c>
      <c r="AD19" s="1104" t="s">
        <v>1942</v>
      </c>
      <c r="AE19" s="1104" t="s">
        <v>1942</v>
      </c>
      <c r="AF19" s="1104" t="s">
        <v>1942</v>
      </c>
      <c r="AG19" s="1104" t="s">
        <v>1942</v>
      </c>
      <c r="AH19" s="1104" t="s">
        <v>1942</v>
      </c>
      <c r="AI19" s="1105">
        <f t="shared" si="0"/>
        <v>1</v>
      </c>
      <c r="AJ19" s="1106" t="s">
        <v>1007</v>
      </c>
      <c r="AK19" s="1106" t="s">
        <v>1942</v>
      </c>
      <c r="AL19" s="1106" t="s">
        <v>1942</v>
      </c>
      <c r="AM19" s="1107" t="s">
        <v>1910</v>
      </c>
      <c r="AN19" s="1018" t="s">
        <v>1033</v>
      </c>
      <c r="AO19" s="1018" t="s">
        <v>1941</v>
      </c>
      <c r="AP19" s="1274">
        <v>0</v>
      </c>
      <c r="AQ19" s="1076" t="s">
        <v>1020</v>
      </c>
      <c r="AR19" s="1109" t="s">
        <v>1942</v>
      </c>
      <c r="AS19" s="1110"/>
      <c r="AT19" s="1100"/>
      <c r="AU19" s="1100"/>
      <c r="AV19" s="1100"/>
      <c r="AW19" s="1111"/>
      <c r="AX19" s="1112"/>
      <c r="AY19" s="1075"/>
      <c r="AZ19" s="1076"/>
      <c r="BA19" s="1076"/>
      <c r="BB19" s="1076"/>
      <c r="BC19" s="1076"/>
      <c r="BD19" s="1076"/>
      <c r="BE19" s="1076"/>
      <c r="BF19" s="1076"/>
      <c r="BG19" s="1076"/>
      <c r="BH19" s="1076"/>
      <c r="BI19" s="1735"/>
      <c r="BJ19" s="1736"/>
      <c r="BK19" s="1736"/>
      <c r="BL19" s="1736"/>
      <c r="BM19" s="1736"/>
      <c r="BN19" s="1128"/>
      <c r="BO19" s="1129"/>
      <c r="BP19" s="1129"/>
      <c r="BQ19" s="1129"/>
      <c r="BR19" s="1129"/>
      <c r="BS19" s="1130"/>
      <c r="BT19" s="1129"/>
      <c r="BU19" s="1129"/>
      <c r="BV19" s="1129"/>
      <c r="BW19" s="1131"/>
      <c r="BX19" s="1130"/>
      <c r="BY19" s="1129"/>
      <c r="BZ19" s="1129"/>
      <c r="CA19" s="1129"/>
      <c r="CB19" s="1131"/>
      <c r="CC19" s="1132"/>
      <c r="CD19" s="1376"/>
      <c r="CE19" s="1377"/>
      <c r="CF19" s="1377"/>
      <c r="CG19" s="1377"/>
      <c r="CH19" s="1440"/>
      <c r="CI19" s="1420"/>
      <c r="CJ19" s="1368"/>
      <c r="CK19" s="1368"/>
      <c r="CL19" s="1368"/>
      <c r="CM19" s="1369"/>
      <c r="CN19" s="1735"/>
      <c r="CO19" s="1736"/>
      <c r="CP19" s="1736"/>
      <c r="CQ19" s="1736"/>
      <c r="CR19" s="1753"/>
      <c r="CS19" s="1420"/>
      <c r="CT19" s="1368"/>
      <c r="CU19" s="1368"/>
      <c r="CV19" s="1368"/>
      <c r="CW19" s="1369"/>
      <c r="CX19" s="1420"/>
      <c r="CY19" s="1368"/>
      <c r="CZ19" s="1368"/>
      <c r="DA19" s="1368"/>
      <c r="DB19" s="1369"/>
      <c r="DC19" s="1368"/>
      <c r="DD19" s="1368"/>
      <c r="DE19" s="1368"/>
      <c r="DF19" s="1368"/>
      <c r="DG19" s="1369"/>
      <c r="DH19" s="1420"/>
      <c r="DI19" s="1368"/>
      <c r="DJ19" s="1368"/>
      <c r="DK19" s="1368"/>
      <c r="DL19" s="1369"/>
      <c r="DM19" s="1808"/>
      <c r="DN19" s="1809"/>
      <c r="DO19" s="1809"/>
      <c r="DP19" s="1810"/>
      <c r="DQ19" s="1809"/>
      <c r="DR19" s="1809"/>
      <c r="DS19" s="1809"/>
      <c r="DT19" s="1810"/>
      <c r="DU19" s="1377"/>
      <c r="DV19" s="1729"/>
      <c r="DW19" s="1811"/>
    </row>
    <row r="20" spans="1:127" s="397" customFormat="1" ht="15.75" hidden="1" customHeight="1">
      <c r="A20" s="1097" t="s">
        <v>1060</v>
      </c>
      <c r="B20" s="1057">
        <v>11</v>
      </c>
      <c r="C20" s="1018"/>
      <c r="D20" s="1018"/>
      <c r="E20" s="1018"/>
      <c r="F20" s="1018"/>
      <c r="G20" s="1018"/>
      <c r="H20" s="1018"/>
      <c r="I20" s="1018"/>
      <c r="J20" s="1018"/>
      <c r="K20" s="1018"/>
      <c r="L20" s="1018"/>
      <c r="M20" s="1057"/>
      <c r="N20" s="1018"/>
      <c r="O20" s="1018"/>
      <c r="P20" s="1018"/>
      <c r="Q20" s="1018"/>
      <c r="R20" s="1018"/>
      <c r="S20" s="1018"/>
      <c r="T20" s="1019"/>
      <c r="U20" s="1098" t="s">
        <v>1943</v>
      </c>
      <c r="V20" s="1099" t="s">
        <v>1929</v>
      </c>
      <c r="W20" s="1099" t="s">
        <v>1907</v>
      </c>
      <c r="X20" s="1100" t="s">
        <v>1944</v>
      </c>
      <c r="Y20" s="1101" t="s">
        <v>1945</v>
      </c>
      <c r="Z20" s="1102" t="s">
        <v>1946</v>
      </c>
      <c r="AA20" s="1103" t="s">
        <v>1942</v>
      </c>
      <c r="AB20" s="1104" t="s">
        <v>1942</v>
      </c>
      <c r="AC20" s="1104" t="s">
        <v>1942</v>
      </c>
      <c r="AD20" s="1104" t="s">
        <v>1942</v>
      </c>
      <c r="AE20" s="1104">
        <v>1</v>
      </c>
      <c r="AF20" s="1104" t="s">
        <v>1942</v>
      </c>
      <c r="AG20" s="1104" t="s">
        <v>1942</v>
      </c>
      <c r="AH20" s="1104" t="s">
        <v>1942</v>
      </c>
      <c r="AI20" s="1105">
        <f t="shared" si="0"/>
        <v>1</v>
      </c>
      <c r="AJ20" s="1106" t="s">
        <v>1007</v>
      </c>
      <c r="AK20" s="1106" t="s">
        <v>1942</v>
      </c>
      <c r="AL20" s="1106" t="s">
        <v>1942</v>
      </c>
      <c r="AM20" s="1107" t="s">
        <v>1947</v>
      </c>
      <c r="AN20" s="1018" t="s">
        <v>278</v>
      </c>
      <c r="AO20" s="1018" t="s">
        <v>1948</v>
      </c>
      <c r="AP20" s="1274">
        <v>0</v>
      </c>
      <c r="AQ20" s="1108" t="s">
        <v>1010</v>
      </c>
      <c r="AR20" s="1109" t="s">
        <v>1942</v>
      </c>
      <c r="AS20" s="1110"/>
      <c r="AT20" s="1100"/>
      <c r="AU20" s="1100"/>
      <c r="AV20" s="1100"/>
      <c r="AW20" s="1111"/>
      <c r="AX20" s="1112"/>
      <c r="AY20" s="1075"/>
      <c r="AZ20" s="1076"/>
      <c r="BA20" s="1076"/>
      <c r="BB20" s="1076"/>
      <c r="BC20" s="1076"/>
      <c r="BD20" s="1076"/>
      <c r="BE20" s="1076"/>
      <c r="BF20" s="1076"/>
      <c r="BG20" s="1076"/>
      <c r="BH20" s="1076"/>
      <c r="BI20" s="1420"/>
      <c r="BJ20" s="1368"/>
      <c r="BK20" s="1368"/>
      <c r="BL20" s="1368"/>
      <c r="BM20" s="1368"/>
      <c r="BN20" s="1075"/>
      <c r="BO20" s="1076"/>
      <c r="BP20" s="1076"/>
      <c r="BQ20" s="1076"/>
      <c r="BR20" s="1076"/>
      <c r="BS20" s="1115"/>
      <c r="BT20" s="1076"/>
      <c r="BU20" s="1076"/>
      <c r="BV20" s="1076"/>
      <c r="BW20" s="1116"/>
      <c r="BX20" s="1115"/>
      <c r="BY20" s="1076"/>
      <c r="BZ20" s="1076"/>
      <c r="CA20" s="1076"/>
      <c r="CB20" s="1116"/>
      <c r="CC20" s="1117"/>
      <c r="CD20" s="1376"/>
      <c r="CE20" s="1377"/>
      <c r="CF20" s="1377"/>
      <c r="CG20" s="1377"/>
      <c r="CH20" s="1440"/>
      <c r="CI20" s="1420"/>
      <c r="CJ20" s="1368"/>
      <c r="CK20" s="1368"/>
      <c r="CL20" s="1368"/>
      <c r="CM20" s="1369"/>
      <c r="CN20" s="1420"/>
      <c r="CO20" s="1368"/>
      <c r="CP20" s="1368"/>
      <c r="CQ20" s="1368"/>
      <c r="CR20" s="1369"/>
      <c r="CS20" s="1420"/>
      <c r="CT20" s="1368"/>
      <c r="CU20" s="1368"/>
      <c r="CV20" s="1368"/>
      <c r="CW20" s="1369"/>
      <c r="CX20" s="1420"/>
      <c r="CY20" s="1368"/>
      <c r="CZ20" s="1368"/>
      <c r="DA20" s="1368"/>
      <c r="DB20" s="1369"/>
      <c r="DC20" s="1368"/>
      <c r="DD20" s="1368"/>
      <c r="DE20" s="1368"/>
      <c r="DF20" s="1368"/>
      <c r="DG20" s="1369"/>
      <c r="DH20" s="1420"/>
      <c r="DI20" s="1368"/>
      <c r="DJ20" s="1368"/>
      <c r="DK20" s="1368"/>
      <c r="DL20" s="1369"/>
      <c r="DM20" s="1808"/>
      <c r="DN20" s="1809"/>
      <c r="DO20" s="1809"/>
      <c r="DP20" s="1810"/>
      <c r="DQ20" s="1809"/>
      <c r="DR20" s="1809"/>
      <c r="DS20" s="1809"/>
      <c r="DT20" s="1810"/>
      <c r="DU20" s="1377"/>
      <c r="DV20" s="1729"/>
      <c r="DW20" s="1811"/>
    </row>
    <row r="21" spans="1:127" s="397" customFormat="1" ht="15.75" hidden="1" customHeight="1">
      <c r="A21" s="1097" t="s">
        <v>1060</v>
      </c>
      <c r="B21" s="1057">
        <v>12</v>
      </c>
      <c r="C21" s="1018"/>
      <c r="D21" s="1018"/>
      <c r="E21" s="1018"/>
      <c r="F21" s="1018"/>
      <c r="G21" s="1018"/>
      <c r="H21" s="1018"/>
      <c r="I21" s="1018"/>
      <c r="J21" s="1018"/>
      <c r="K21" s="1018"/>
      <c r="L21" s="1018"/>
      <c r="M21" s="1057"/>
      <c r="N21" s="1018"/>
      <c r="O21" s="1018"/>
      <c r="P21" s="1018"/>
      <c r="Q21" s="1018"/>
      <c r="R21" s="1018"/>
      <c r="S21" s="1018"/>
      <c r="T21" s="1019"/>
      <c r="U21" s="1098" t="s">
        <v>1949</v>
      </c>
      <c r="V21" s="1099" t="s">
        <v>1929</v>
      </c>
      <c r="W21" s="1099" t="s">
        <v>1907</v>
      </c>
      <c r="X21" s="1100" t="s">
        <v>1950</v>
      </c>
      <c r="Y21" s="1101" t="s">
        <v>1951</v>
      </c>
      <c r="Z21" s="1102" t="s">
        <v>1952</v>
      </c>
      <c r="AA21" s="1103" t="s">
        <v>1942</v>
      </c>
      <c r="AB21" s="1104" t="s">
        <v>1942</v>
      </c>
      <c r="AC21" s="1104" t="s">
        <v>1942</v>
      </c>
      <c r="AD21" s="1104" t="s">
        <v>1942</v>
      </c>
      <c r="AE21" s="1104">
        <v>1</v>
      </c>
      <c r="AF21" s="1104" t="s">
        <v>1942</v>
      </c>
      <c r="AG21" s="1104" t="s">
        <v>1942</v>
      </c>
      <c r="AH21" s="1104" t="s">
        <v>1942</v>
      </c>
      <c r="AI21" s="1105">
        <f t="shared" si="0"/>
        <v>1</v>
      </c>
      <c r="AJ21" s="1106" t="s">
        <v>1007</v>
      </c>
      <c r="AK21" s="1106" t="s">
        <v>1942</v>
      </c>
      <c r="AL21" s="1106" t="s">
        <v>1942</v>
      </c>
      <c r="AM21" s="1107" t="s">
        <v>1947</v>
      </c>
      <c r="AN21" s="1018" t="s">
        <v>278</v>
      </c>
      <c r="AO21" s="1018" t="s">
        <v>1948</v>
      </c>
      <c r="AP21" s="1274">
        <v>0</v>
      </c>
      <c r="AQ21" s="1076" t="s">
        <v>1010</v>
      </c>
      <c r="AR21" s="1109" t="s">
        <v>1942</v>
      </c>
      <c r="AS21" s="1110"/>
      <c r="AT21" s="1100"/>
      <c r="AU21" s="1100"/>
      <c r="AV21" s="1100"/>
      <c r="AW21" s="1111"/>
      <c r="AX21" s="1112"/>
      <c r="AY21" s="1075"/>
      <c r="AZ21" s="1076"/>
      <c r="BA21" s="1076"/>
      <c r="BB21" s="1076"/>
      <c r="BC21" s="1076"/>
      <c r="BD21" s="1076"/>
      <c r="BE21" s="1076"/>
      <c r="BF21" s="1076"/>
      <c r="BG21" s="1076"/>
      <c r="BH21" s="1076"/>
      <c r="BI21" s="1420"/>
      <c r="BJ21" s="1368"/>
      <c r="BK21" s="1368"/>
      <c r="BL21" s="1368"/>
      <c r="BM21" s="1368"/>
      <c r="BN21" s="1075"/>
      <c r="BO21" s="1076"/>
      <c r="BP21" s="1076"/>
      <c r="BQ21" s="1076"/>
      <c r="BR21" s="1076"/>
      <c r="BS21" s="1115"/>
      <c r="BT21" s="1076"/>
      <c r="BU21" s="1076"/>
      <c r="BV21" s="1076"/>
      <c r="BW21" s="1116"/>
      <c r="BX21" s="1115"/>
      <c r="BY21" s="1076"/>
      <c r="BZ21" s="1076"/>
      <c r="CA21" s="1076"/>
      <c r="CB21" s="1116"/>
      <c r="CC21" s="1117"/>
      <c r="CD21" s="1376"/>
      <c r="CE21" s="1377"/>
      <c r="CF21" s="1377"/>
      <c r="CG21" s="1377"/>
      <c r="CH21" s="1440"/>
      <c r="CI21" s="1420"/>
      <c r="CJ21" s="1368"/>
      <c r="CK21" s="1368"/>
      <c r="CL21" s="1368"/>
      <c r="CM21" s="1369"/>
      <c r="CN21" s="1420"/>
      <c r="CO21" s="1368"/>
      <c r="CP21" s="1368"/>
      <c r="CQ21" s="1368"/>
      <c r="CR21" s="1369"/>
      <c r="CS21" s="1420"/>
      <c r="CT21" s="1368"/>
      <c r="CU21" s="1368"/>
      <c r="CV21" s="1368"/>
      <c r="CW21" s="1369"/>
      <c r="CX21" s="1420"/>
      <c r="CY21" s="1368"/>
      <c r="CZ21" s="1368"/>
      <c r="DA21" s="1368"/>
      <c r="DB21" s="1369"/>
      <c r="DC21" s="1368"/>
      <c r="DD21" s="1368"/>
      <c r="DE21" s="1368"/>
      <c r="DF21" s="1368"/>
      <c r="DG21" s="1369"/>
      <c r="DH21" s="1420"/>
      <c r="DI21" s="1368"/>
      <c r="DJ21" s="1368"/>
      <c r="DK21" s="1368"/>
      <c r="DL21" s="1369"/>
      <c r="DM21" s="1808"/>
      <c r="DN21" s="1809"/>
      <c r="DO21" s="1809"/>
      <c r="DP21" s="1810"/>
      <c r="DQ21" s="1809"/>
      <c r="DR21" s="1809"/>
      <c r="DS21" s="1809"/>
      <c r="DT21" s="1810"/>
      <c r="DU21" s="1377"/>
      <c r="DV21" s="1729"/>
      <c r="DW21" s="1811"/>
    </row>
    <row r="22" spans="1:127" s="397" customFormat="1" ht="15.75" hidden="1" customHeight="1">
      <c r="A22" s="1097" t="s">
        <v>1060</v>
      </c>
      <c r="B22" s="1057">
        <v>13</v>
      </c>
      <c r="C22" s="1018"/>
      <c r="D22" s="1018"/>
      <c r="E22" s="1018"/>
      <c r="F22" s="1018"/>
      <c r="G22" s="1018"/>
      <c r="H22" s="1018"/>
      <c r="I22" s="1018"/>
      <c r="J22" s="1018"/>
      <c r="K22" s="1018"/>
      <c r="L22" s="1018"/>
      <c r="M22" s="1057"/>
      <c r="N22" s="1018"/>
      <c r="O22" s="1018"/>
      <c r="P22" s="1018"/>
      <c r="Q22" s="1018"/>
      <c r="R22" s="1018"/>
      <c r="S22" s="1018"/>
      <c r="T22" s="1019"/>
      <c r="U22" s="1098" t="s">
        <v>1953</v>
      </c>
      <c r="V22" s="1099" t="s">
        <v>1895</v>
      </c>
      <c r="W22" s="1099" t="s">
        <v>1907</v>
      </c>
      <c r="X22" s="1100" t="s">
        <v>1954</v>
      </c>
      <c r="Y22" s="1101" t="s">
        <v>1955</v>
      </c>
      <c r="Z22" s="1102" t="s">
        <v>1956</v>
      </c>
      <c r="AA22" s="1103">
        <v>1</v>
      </c>
      <c r="AB22" s="1104" t="s">
        <v>1942</v>
      </c>
      <c r="AC22" s="1104" t="s">
        <v>1942</v>
      </c>
      <c r="AD22" s="1104" t="s">
        <v>1942</v>
      </c>
      <c r="AE22" s="1104" t="s">
        <v>1942</v>
      </c>
      <c r="AF22" s="1104" t="s">
        <v>1942</v>
      </c>
      <c r="AG22" s="1104" t="s">
        <v>1942</v>
      </c>
      <c r="AH22" s="1104" t="s">
        <v>1942</v>
      </c>
      <c r="AI22" s="1105">
        <f t="shared" si="0"/>
        <v>1</v>
      </c>
      <c r="AJ22" s="1106" t="s">
        <v>1017</v>
      </c>
      <c r="AK22" s="1106" t="s">
        <v>1008</v>
      </c>
      <c r="AL22" s="1106" t="s">
        <v>1009</v>
      </c>
      <c r="AM22" s="1107" t="s">
        <v>1904</v>
      </c>
      <c r="AN22" s="1018" t="s">
        <v>1033</v>
      </c>
      <c r="AO22" s="1018" t="s">
        <v>1957</v>
      </c>
      <c r="AP22" s="1274">
        <v>0</v>
      </c>
      <c r="AQ22" s="1108" t="s">
        <v>1010</v>
      </c>
      <c r="AR22" s="1109" t="s">
        <v>1942</v>
      </c>
      <c r="AS22" s="1110"/>
      <c r="AT22" s="1100"/>
      <c r="AU22" s="1100"/>
      <c r="AV22" s="1100"/>
      <c r="AW22" s="1111"/>
      <c r="AX22" s="1112"/>
      <c r="AY22" s="1075"/>
      <c r="AZ22" s="1076"/>
      <c r="BA22" s="1076"/>
      <c r="BB22" s="1076"/>
      <c r="BC22" s="1076"/>
      <c r="BD22" s="1076"/>
      <c r="BE22" s="1076"/>
      <c r="BF22" s="1076"/>
      <c r="BG22" s="1076"/>
      <c r="BH22" s="1076"/>
      <c r="BI22" s="1420"/>
      <c r="BJ22" s="1368"/>
      <c r="BK22" s="1368"/>
      <c r="BL22" s="1368"/>
      <c r="BM22" s="1368"/>
      <c r="BN22" s="1075"/>
      <c r="BO22" s="1076"/>
      <c r="BP22" s="1076"/>
      <c r="BQ22" s="1076"/>
      <c r="BR22" s="1076"/>
      <c r="BS22" s="1115"/>
      <c r="BT22" s="1076"/>
      <c r="BU22" s="1076"/>
      <c r="BV22" s="1076"/>
      <c r="BW22" s="1116"/>
      <c r="BX22" s="1115"/>
      <c r="BY22" s="1076"/>
      <c r="BZ22" s="1076"/>
      <c r="CA22" s="1076"/>
      <c r="CB22" s="1116"/>
      <c r="CC22" s="1117"/>
      <c r="CD22" s="1376"/>
      <c r="CE22" s="1377"/>
      <c r="CF22" s="1377"/>
      <c r="CG22" s="1377"/>
      <c r="CH22" s="1440"/>
      <c r="CI22" s="1420"/>
      <c r="CJ22" s="1368"/>
      <c r="CK22" s="1368"/>
      <c r="CL22" s="1368"/>
      <c r="CM22" s="1369"/>
      <c r="CN22" s="1420"/>
      <c r="CO22" s="1368"/>
      <c r="CP22" s="1368"/>
      <c r="CQ22" s="1368"/>
      <c r="CR22" s="1369"/>
      <c r="CS22" s="1420"/>
      <c r="CT22" s="1368"/>
      <c r="CU22" s="1368"/>
      <c r="CV22" s="1368"/>
      <c r="CW22" s="1369"/>
      <c r="CX22" s="1420"/>
      <c r="CY22" s="1368"/>
      <c r="CZ22" s="1368"/>
      <c r="DA22" s="1368"/>
      <c r="DB22" s="1369"/>
      <c r="DC22" s="1368"/>
      <c r="DD22" s="1368"/>
      <c r="DE22" s="1368"/>
      <c r="DF22" s="1368"/>
      <c r="DG22" s="1369"/>
      <c r="DH22" s="1420"/>
      <c r="DI22" s="1368"/>
      <c r="DJ22" s="1368"/>
      <c r="DK22" s="1368"/>
      <c r="DL22" s="1369"/>
      <c r="DM22" s="1808"/>
      <c r="DN22" s="1809"/>
      <c r="DO22" s="1809"/>
      <c r="DP22" s="1810"/>
      <c r="DQ22" s="1809"/>
      <c r="DR22" s="1809"/>
      <c r="DS22" s="1809"/>
      <c r="DT22" s="1810"/>
      <c r="DU22" s="1377"/>
      <c r="DV22" s="1729"/>
      <c r="DW22" s="1811"/>
    </row>
    <row r="23" spans="1:127" s="397" customFormat="1" ht="15.75" hidden="1" customHeight="1">
      <c r="A23" s="1097" t="s">
        <v>1060</v>
      </c>
      <c r="B23" s="1057">
        <v>14</v>
      </c>
      <c r="C23" s="1018"/>
      <c r="D23" s="1018"/>
      <c r="E23" s="1018"/>
      <c r="F23" s="1018"/>
      <c r="G23" s="1018"/>
      <c r="H23" s="1018"/>
      <c r="I23" s="1018"/>
      <c r="J23" s="1018"/>
      <c r="K23" s="1018"/>
      <c r="L23" s="1018"/>
      <c r="M23" s="1057"/>
      <c r="N23" s="1018"/>
      <c r="O23" s="1018"/>
      <c r="P23" s="1018"/>
      <c r="Q23" s="1018"/>
      <c r="R23" s="1018"/>
      <c r="S23" s="1018"/>
      <c r="T23" s="1019"/>
      <c r="U23" s="1098" t="s">
        <v>1958</v>
      </c>
      <c r="V23" s="1099" t="s">
        <v>1929</v>
      </c>
      <c r="W23" s="1099" t="s">
        <v>1907</v>
      </c>
      <c r="X23" s="1100" t="s">
        <v>1959</v>
      </c>
      <c r="Y23" s="1101" t="s">
        <v>1960</v>
      </c>
      <c r="Z23" s="1102" t="s">
        <v>1960</v>
      </c>
      <c r="AA23" s="1103" t="s">
        <v>1942</v>
      </c>
      <c r="AB23" s="1104" t="s">
        <v>1942</v>
      </c>
      <c r="AC23" s="1104" t="s">
        <v>1942</v>
      </c>
      <c r="AD23" s="1104" t="s">
        <v>1942</v>
      </c>
      <c r="AE23" s="1104">
        <v>1</v>
      </c>
      <c r="AF23" s="1104" t="s">
        <v>1942</v>
      </c>
      <c r="AG23" s="1104" t="s">
        <v>1942</v>
      </c>
      <c r="AH23" s="1104" t="s">
        <v>1942</v>
      </c>
      <c r="AI23" s="1105">
        <f t="shared" si="0"/>
        <v>1</v>
      </c>
      <c r="AJ23" s="1106" t="s">
        <v>1030</v>
      </c>
      <c r="AK23" s="1106" t="s">
        <v>1008</v>
      </c>
      <c r="AL23" s="1106" t="s">
        <v>1009</v>
      </c>
      <c r="AM23" s="1107" t="s">
        <v>1961</v>
      </c>
      <c r="AN23" s="1018" t="s">
        <v>278</v>
      </c>
      <c r="AO23" s="1018" t="s">
        <v>1962</v>
      </c>
      <c r="AP23" s="1274">
        <v>2</v>
      </c>
      <c r="AQ23" s="1076" t="s">
        <v>1020</v>
      </c>
      <c r="AR23" s="1109" t="s">
        <v>1942</v>
      </c>
      <c r="AS23" s="1110"/>
      <c r="AT23" s="1100"/>
      <c r="AU23" s="1100"/>
      <c r="AV23" s="1100"/>
      <c r="AW23" s="1111"/>
      <c r="AX23" s="1112"/>
      <c r="AY23" s="1075"/>
      <c r="AZ23" s="1076"/>
      <c r="BA23" s="1076"/>
      <c r="BB23" s="1076"/>
      <c r="BC23" s="1076"/>
      <c r="BD23" s="1076"/>
      <c r="BE23" s="1076"/>
      <c r="BF23" s="1076"/>
      <c r="BG23" s="1076"/>
      <c r="BH23" s="1076"/>
      <c r="BI23" s="1420"/>
      <c r="BJ23" s="1368"/>
      <c r="BK23" s="1368"/>
      <c r="BL23" s="1368"/>
      <c r="BM23" s="1368"/>
      <c r="BN23" s="1075"/>
      <c r="BO23" s="1076"/>
      <c r="BP23" s="1076"/>
      <c r="BQ23" s="1076"/>
      <c r="BR23" s="1076"/>
      <c r="BS23" s="1115"/>
      <c r="BT23" s="1076"/>
      <c r="BU23" s="1076"/>
      <c r="BV23" s="1076"/>
      <c r="BW23" s="1116"/>
      <c r="BX23" s="1115"/>
      <c r="BY23" s="1076"/>
      <c r="BZ23" s="1076"/>
      <c r="CA23" s="1076"/>
      <c r="CB23" s="1116"/>
      <c r="CC23" s="1117"/>
      <c r="CD23" s="1376"/>
      <c r="CE23" s="1377"/>
      <c r="CF23" s="1377"/>
      <c r="CG23" s="1377"/>
      <c r="CH23" s="1440"/>
      <c r="CI23" s="1420"/>
      <c r="CJ23" s="1368"/>
      <c r="CK23" s="1368"/>
      <c r="CL23" s="1368"/>
      <c r="CM23" s="1369"/>
      <c r="CN23" s="1420"/>
      <c r="CO23" s="1368"/>
      <c r="CP23" s="1368"/>
      <c r="CQ23" s="1368"/>
      <c r="CR23" s="1369"/>
      <c r="CS23" s="1420"/>
      <c r="CT23" s="1368"/>
      <c r="CU23" s="1368"/>
      <c r="CV23" s="1368"/>
      <c r="CW23" s="1369"/>
      <c r="CX23" s="1420"/>
      <c r="CY23" s="1368"/>
      <c r="CZ23" s="1368"/>
      <c r="DA23" s="1368"/>
      <c r="DB23" s="1369"/>
      <c r="DC23" s="1368"/>
      <c r="DD23" s="1368"/>
      <c r="DE23" s="1368"/>
      <c r="DF23" s="1368"/>
      <c r="DG23" s="1369"/>
      <c r="DH23" s="1420"/>
      <c r="DI23" s="1368"/>
      <c r="DJ23" s="1368"/>
      <c r="DK23" s="1368"/>
      <c r="DL23" s="1369"/>
      <c r="DM23" s="1808"/>
      <c r="DN23" s="1809"/>
      <c r="DO23" s="1809"/>
      <c r="DP23" s="1810"/>
      <c r="DQ23" s="1809"/>
      <c r="DR23" s="1809"/>
      <c r="DS23" s="1809"/>
      <c r="DT23" s="1810"/>
      <c r="DU23" s="1377"/>
      <c r="DV23" s="1729"/>
      <c r="DW23" s="1811"/>
    </row>
    <row r="24" spans="1:127" s="397" customFormat="1" ht="15.75" hidden="1" customHeight="1">
      <c r="A24" s="1097" t="s">
        <v>1060</v>
      </c>
      <c r="B24" s="1057">
        <v>15</v>
      </c>
      <c r="C24" s="1018"/>
      <c r="D24" s="1018"/>
      <c r="E24" s="1018"/>
      <c r="F24" s="1018"/>
      <c r="G24" s="1018"/>
      <c r="H24" s="1018"/>
      <c r="I24" s="1018"/>
      <c r="J24" s="1018"/>
      <c r="K24" s="1018"/>
      <c r="L24" s="1018"/>
      <c r="M24" s="1057"/>
      <c r="N24" s="1018"/>
      <c r="O24" s="1018"/>
      <c r="P24" s="1018"/>
      <c r="Q24" s="1018"/>
      <c r="R24" s="1018"/>
      <c r="S24" s="1018"/>
      <c r="T24" s="1019"/>
      <c r="U24" s="1098" t="s">
        <v>1963</v>
      </c>
      <c r="V24" s="1099" t="s">
        <v>1895</v>
      </c>
      <c r="W24" s="1099" t="s">
        <v>1907</v>
      </c>
      <c r="X24" s="1100" t="s">
        <v>1964</v>
      </c>
      <c r="Y24" s="1101" t="s">
        <v>1965</v>
      </c>
      <c r="Z24" s="1102" t="s">
        <v>1966</v>
      </c>
      <c r="AA24" s="1103">
        <v>1</v>
      </c>
      <c r="AB24" s="1104" t="s">
        <v>1942</v>
      </c>
      <c r="AC24" s="1104"/>
      <c r="AD24" s="1104" t="s">
        <v>1942</v>
      </c>
      <c r="AE24" s="1104" t="s">
        <v>1942</v>
      </c>
      <c r="AF24" s="1104" t="s">
        <v>1942</v>
      </c>
      <c r="AG24" s="1104" t="s">
        <v>1942</v>
      </c>
      <c r="AH24" s="1104" t="s">
        <v>1942</v>
      </c>
      <c r="AI24" s="1105">
        <f t="shared" si="0"/>
        <v>1</v>
      </c>
      <c r="AJ24" s="1106" t="s">
        <v>1030</v>
      </c>
      <c r="AK24" s="1106" t="s">
        <v>1008</v>
      </c>
      <c r="AL24" s="1106" t="s">
        <v>1009</v>
      </c>
      <c r="AM24" s="1107" t="s">
        <v>1967</v>
      </c>
      <c r="AN24" s="1018" t="s">
        <v>1033</v>
      </c>
      <c r="AO24" s="1018" t="s">
        <v>1968</v>
      </c>
      <c r="AP24" s="1274">
        <v>0</v>
      </c>
      <c r="AQ24" s="1108" t="s">
        <v>1010</v>
      </c>
      <c r="AR24" s="1109" t="s">
        <v>1942</v>
      </c>
      <c r="AS24" s="1110"/>
      <c r="AT24" s="1100"/>
      <c r="AU24" s="1100"/>
      <c r="AV24" s="1100"/>
      <c r="AW24" s="1111"/>
      <c r="AX24" s="1112"/>
      <c r="AY24" s="1075"/>
      <c r="AZ24" s="1076"/>
      <c r="BA24" s="1076"/>
      <c r="BB24" s="1076"/>
      <c r="BC24" s="1076"/>
      <c r="BD24" s="1076"/>
      <c r="BE24" s="1076"/>
      <c r="BF24" s="1076"/>
      <c r="BG24" s="1076"/>
      <c r="BH24" s="1076"/>
      <c r="BI24" s="1420"/>
      <c r="BJ24" s="1368"/>
      <c r="BK24" s="1368"/>
      <c r="BL24" s="1368"/>
      <c r="BM24" s="1368"/>
      <c r="BN24" s="1075"/>
      <c r="BO24" s="1076"/>
      <c r="BP24" s="1076"/>
      <c r="BQ24" s="1076"/>
      <c r="BR24" s="1076"/>
      <c r="BS24" s="1115"/>
      <c r="BT24" s="1076"/>
      <c r="BU24" s="1076"/>
      <c r="BV24" s="1076"/>
      <c r="BW24" s="1116"/>
      <c r="BX24" s="1115"/>
      <c r="BY24" s="1076"/>
      <c r="BZ24" s="1076"/>
      <c r="CA24" s="1076"/>
      <c r="CB24" s="1116"/>
      <c r="CC24" s="1117"/>
      <c r="CD24" s="1376"/>
      <c r="CE24" s="1377"/>
      <c r="CF24" s="1377"/>
      <c r="CG24" s="1377"/>
      <c r="CH24" s="1440"/>
      <c r="CI24" s="1420"/>
      <c r="CJ24" s="1368"/>
      <c r="CK24" s="1368"/>
      <c r="CL24" s="1368"/>
      <c r="CM24" s="1369"/>
      <c r="CN24" s="1420"/>
      <c r="CO24" s="1368"/>
      <c r="CP24" s="1368"/>
      <c r="CQ24" s="1368"/>
      <c r="CR24" s="1369"/>
      <c r="CS24" s="1420"/>
      <c r="CT24" s="1368"/>
      <c r="CU24" s="1368"/>
      <c r="CV24" s="1368"/>
      <c r="CW24" s="1369"/>
      <c r="CX24" s="1420"/>
      <c r="CY24" s="1368"/>
      <c r="CZ24" s="1368"/>
      <c r="DA24" s="1368"/>
      <c r="DB24" s="1369"/>
      <c r="DC24" s="1368"/>
      <c r="DD24" s="1368"/>
      <c r="DE24" s="1368"/>
      <c r="DF24" s="1368"/>
      <c r="DG24" s="1369"/>
      <c r="DH24" s="1420"/>
      <c r="DI24" s="1368"/>
      <c r="DJ24" s="1368"/>
      <c r="DK24" s="1368"/>
      <c r="DL24" s="1369"/>
      <c r="DM24" s="1808"/>
      <c r="DN24" s="1809"/>
      <c r="DO24" s="1809"/>
      <c r="DP24" s="1810"/>
      <c r="DQ24" s="1809"/>
      <c r="DR24" s="1809"/>
      <c r="DS24" s="1809"/>
      <c r="DT24" s="1810"/>
      <c r="DU24" s="1377"/>
      <c r="DV24" s="1729"/>
      <c r="DW24" s="1811"/>
    </row>
    <row r="25" spans="1:127" s="397" customFormat="1" ht="15.75" hidden="1" customHeight="1">
      <c r="A25" s="1097" t="s">
        <v>1060</v>
      </c>
      <c r="B25" s="1057">
        <v>16</v>
      </c>
      <c r="C25" s="1018"/>
      <c r="D25" s="1018"/>
      <c r="E25" s="1133"/>
      <c r="F25" s="1018"/>
      <c r="G25" s="1018"/>
      <c r="H25" s="1018"/>
      <c r="I25" s="1018"/>
      <c r="J25" s="1018"/>
      <c r="K25" s="1018"/>
      <c r="L25" s="1018"/>
      <c r="M25" s="1057"/>
      <c r="N25" s="1018"/>
      <c r="O25" s="1018"/>
      <c r="P25" s="1018"/>
      <c r="Q25" s="1018"/>
      <c r="R25" s="1018"/>
      <c r="S25" s="1018"/>
      <c r="T25" s="1019"/>
      <c r="U25" s="1098" t="s">
        <v>1970</v>
      </c>
      <c r="V25" s="1099" t="s">
        <v>1895</v>
      </c>
      <c r="W25" s="1099" t="s">
        <v>1896</v>
      </c>
      <c r="X25" s="1100" t="s">
        <v>1971</v>
      </c>
      <c r="Y25" s="1101" t="s">
        <v>1972</v>
      </c>
      <c r="Z25" s="1102" t="s">
        <v>1973</v>
      </c>
      <c r="AA25" s="1103">
        <v>1</v>
      </c>
      <c r="AB25" s="1104" t="s">
        <v>1942</v>
      </c>
      <c r="AC25" s="1104" t="s">
        <v>1942</v>
      </c>
      <c r="AD25" s="1104" t="s">
        <v>1942</v>
      </c>
      <c r="AE25" s="1104" t="s">
        <v>1942</v>
      </c>
      <c r="AF25" s="1104" t="s">
        <v>1942</v>
      </c>
      <c r="AG25" s="1104" t="s">
        <v>1942</v>
      </c>
      <c r="AH25" s="1104" t="s">
        <v>1942</v>
      </c>
      <c r="AI25" s="1105">
        <f t="shared" si="0"/>
        <v>1</v>
      </c>
      <c r="AJ25" s="1106" t="s">
        <v>1026</v>
      </c>
      <c r="AK25" s="1106" t="s">
        <v>1008</v>
      </c>
      <c r="AL25" s="1106" t="s">
        <v>1009</v>
      </c>
      <c r="AM25" s="1107" t="s">
        <v>1904</v>
      </c>
      <c r="AN25" s="1018" t="s">
        <v>1033</v>
      </c>
      <c r="AO25" s="1018" t="s">
        <v>1974</v>
      </c>
      <c r="AP25" s="1274">
        <v>2</v>
      </c>
      <c r="AQ25" s="1108" t="s">
        <v>1010</v>
      </c>
      <c r="AR25" s="1109" t="s">
        <v>1942</v>
      </c>
      <c r="AS25" s="1110"/>
      <c r="AT25" s="1100"/>
      <c r="AU25" s="1100"/>
      <c r="AV25" s="1100"/>
      <c r="AW25" s="1111"/>
      <c r="AX25" s="1112"/>
      <c r="AY25" s="1075"/>
      <c r="AZ25" s="1076"/>
      <c r="BA25" s="1076"/>
      <c r="BB25" s="1076"/>
      <c r="BC25" s="1076"/>
      <c r="BD25" s="1076"/>
      <c r="BE25" s="1076"/>
      <c r="BF25" s="1076"/>
      <c r="BG25" s="1076"/>
      <c r="BH25" s="1076"/>
      <c r="BI25" s="1420"/>
      <c r="BJ25" s="1368"/>
      <c r="BK25" s="1368"/>
      <c r="BL25" s="1368"/>
      <c r="BM25" s="1368"/>
      <c r="BN25" s="1075"/>
      <c r="BO25" s="1076"/>
      <c r="BP25" s="1076"/>
      <c r="BQ25" s="1076"/>
      <c r="BR25" s="1076"/>
      <c r="BS25" s="1115"/>
      <c r="BT25" s="1076"/>
      <c r="BU25" s="1076"/>
      <c r="BV25" s="1076"/>
      <c r="BW25" s="1116"/>
      <c r="BX25" s="1115"/>
      <c r="BY25" s="1076"/>
      <c r="BZ25" s="1076"/>
      <c r="CA25" s="1076"/>
      <c r="CB25" s="1116"/>
      <c r="CC25" s="1117"/>
      <c r="CD25" s="1376"/>
      <c r="CE25" s="1377"/>
      <c r="CF25" s="1377"/>
      <c r="CG25" s="1377"/>
      <c r="CH25" s="1440"/>
      <c r="CI25" s="1420"/>
      <c r="CJ25" s="1368"/>
      <c r="CK25" s="1368"/>
      <c r="CL25" s="1368"/>
      <c r="CM25" s="1369"/>
      <c r="CN25" s="1420"/>
      <c r="CO25" s="1368"/>
      <c r="CP25" s="1368"/>
      <c r="CQ25" s="1368"/>
      <c r="CR25" s="1369"/>
      <c r="CS25" s="1420"/>
      <c r="CT25" s="1368"/>
      <c r="CU25" s="1368"/>
      <c r="CV25" s="1368"/>
      <c r="CW25" s="1369"/>
      <c r="CX25" s="1420"/>
      <c r="CY25" s="1368"/>
      <c r="CZ25" s="1368"/>
      <c r="DA25" s="1368"/>
      <c r="DB25" s="1369"/>
      <c r="DC25" s="1368"/>
      <c r="DD25" s="1368"/>
      <c r="DE25" s="1368"/>
      <c r="DF25" s="1368"/>
      <c r="DG25" s="1369"/>
      <c r="DH25" s="1420"/>
      <c r="DI25" s="1368"/>
      <c r="DJ25" s="1368"/>
      <c r="DK25" s="1368"/>
      <c r="DL25" s="1369"/>
      <c r="DM25" s="1808"/>
      <c r="DN25" s="1809"/>
      <c r="DO25" s="1809"/>
      <c r="DP25" s="1810"/>
      <c r="DQ25" s="1809"/>
      <c r="DR25" s="1809"/>
      <c r="DS25" s="1809"/>
      <c r="DT25" s="1810"/>
      <c r="DU25" s="1377"/>
      <c r="DV25" s="1729"/>
      <c r="DW25" s="1811"/>
    </row>
    <row r="26" spans="1:127" s="397" customFormat="1" ht="15.75" hidden="1" customHeight="1">
      <c r="A26" s="1097" t="s">
        <v>1060</v>
      </c>
      <c r="B26" s="1057">
        <v>17</v>
      </c>
      <c r="C26" s="1018"/>
      <c r="D26" s="1018"/>
      <c r="E26" s="1018"/>
      <c r="F26" s="1018"/>
      <c r="G26" s="1018"/>
      <c r="H26" s="1018"/>
      <c r="I26" s="1018"/>
      <c r="J26" s="1018"/>
      <c r="K26" s="1018"/>
      <c r="L26" s="1018"/>
      <c r="M26" s="1057"/>
      <c r="N26" s="1018"/>
      <c r="O26" s="1018"/>
      <c r="P26" s="1018"/>
      <c r="Q26" s="1018"/>
      <c r="R26" s="1018"/>
      <c r="S26" s="1018"/>
      <c r="T26" s="1019"/>
      <c r="U26" s="1098" t="s">
        <v>1975</v>
      </c>
      <c r="V26" s="1099" t="s">
        <v>1895</v>
      </c>
      <c r="W26" s="1099" t="s">
        <v>1896</v>
      </c>
      <c r="X26" s="1100" t="s">
        <v>1976</v>
      </c>
      <c r="Y26" s="1101" t="s">
        <v>1977</v>
      </c>
      <c r="Z26" s="1102" t="s">
        <v>1978</v>
      </c>
      <c r="AA26" s="1103">
        <v>1</v>
      </c>
      <c r="AB26" s="1104" t="s">
        <v>1942</v>
      </c>
      <c r="AC26" s="1104" t="s">
        <v>1942</v>
      </c>
      <c r="AD26" s="1104" t="s">
        <v>1942</v>
      </c>
      <c r="AE26" s="1104" t="s">
        <v>1942</v>
      </c>
      <c r="AF26" s="1104" t="s">
        <v>1942</v>
      </c>
      <c r="AG26" s="1104" t="s">
        <v>1942</v>
      </c>
      <c r="AH26" s="1104" t="s">
        <v>1942</v>
      </c>
      <c r="AI26" s="1105">
        <f t="shared" si="0"/>
        <v>1</v>
      </c>
      <c r="AJ26" s="1106" t="s">
        <v>1030</v>
      </c>
      <c r="AK26" s="1106" t="s">
        <v>1008</v>
      </c>
      <c r="AL26" s="1106" t="s">
        <v>1009</v>
      </c>
      <c r="AM26" s="1107" t="s">
        <v>1979</v>
      </c>
      <c r="AN26" s="1018" t="s">
        <v>1033</v>
      </c>
      <c r="AO26" s="1018" t="s">
        <v>1980</v>
      </c>
      <c r="AP26" s="1274">
        <v>0</v>
      </c>
      <c r="AQ26" s="1108" t="s">
        <v>1020</v>
      </c>
      <c r="AR26" s="1109" t="s">
        <v>1942</v>
      </c>
      <c r="AS26" s="1110"/>
      <c r="AT26" s="1100"/>
      <c r="AU26" s="1100"/>
      <c r="AV26" s="1100"/>
      <c r="AW26" s="1111"/>
      <c r="AX26" s="1112"/>
      <c r="AY26" s="1075"/>
      <c r="AZ26" s="1076"/>
      <c r="BA26" s="1076"/>
      <c r="BB26" s="1076"/>
      <c r="BC26" s="1076"/>
      <c r="BD26" s="1076"/>
      <c r="BE26" s="1076"/>
      <c r="BF26" s="1076"/>
      <c r="BG26" s="1076"/>
      <c r="BH26" s="1076"/>
      <c r="BI26" s="1420"/>
      <c r="BJ26" s="1368"/>
      <c r="BK26" s="1368"/>
      <c r="BL26" s="1368"/>
      <c r="BM26" s="1368"/>
      <c r="BN26" s="1075"/>
      <c r="BO26" s="1076"/>
      <c r="BP26" s="1076"/>
      <c r="BQ26" s="1076"/>
      <c r="BR26" s="1076"/>
      <c r="BS26" s="1115"/>
      <c r="BT26" s="1076"/>
      <c r="BU26" s="1076"/>
      <c r="BV26" s="1076"/>
      <c r="BW26" s="1116"/>
      <c r="BX26" s="1115"/>
      <c r="BY26" s="1076"/>
      <c r="BZ26" s="1076"/>
      <c r="CA26" s="1076"/>
      <c r="CB26" s="1116"/>
      <c r="CC26" s="1117"/>
      <c r="CD26" s="1376"/>
      <c r="CE26" s="1377"/>
      <c r="CF26" s="1377"/>
      <c r="CG26" s="1377"/>
      <c r="CH26" s="1440"/>
      <c r="CI26" s="1420"/>
      <c r="CJ26" s="1368"/>
      <c r="CK26" s="1368"/>
      <c r="CL26" s="1368"/>
      <c r="CM26" s="1369"/>
      <c r="CN26" s="1420"/>
      <c r="CO26" s="1368"/>
      <c r="CP26" s="1368"/>
      <c r="CQ26" s="1368"/>
      <c r="CR26" s="1369"/>
      <c r="CS26" s="1420"/>
      <c r="CT26" s="1368"/>
      <c r="CU26" s="1368"/>
      <c r="CV26" s="1368"/>
      <c r="CW26" s="1369"/>
      <c r="CX26" s="1420"/>
      <c r="CY26" s="1368"/>
      <c r="CZ26" s="1368"/>
      <c r="DA26" s="1368"/>
      <c r="DB26" s="1369"/>
      <c r="DC26" s="1368"/>
      <c r="DD26" s="1368"/>
      <c r="DE26" s="1368"/>
      <c r="DF26" s="1368"/>
      <c r="DG26" s="1369"/>
      <c r="DH26" s="1420"/>
      <c r="DI26" s="1368"/>
      <c r="DJ26" s="1368"/>
      <c r="DK26" s="1368"/>
      <c r="DL26" s="1369"/>
      <c r="DM26" s="1808"/>
      <c r="DN26" s="1809"/>
      <c r="DO26" s="1809"/>
      <c r="DP26" s="1810"/>
      <c r="DQ26" s="1809"/>
      <c r="DR26" s="1809"/>
      <c r="DS26" s="1809"/>
      <c r="DT26" s="1810"/>
      <c r="DU26" s="1377"/>
      <c r="DV26" s="1729"/>
      <c r="DW26" s="1811"/>
    </row>
    <row r="27" spans="1:127" s="397" customFormat="1" ht="15.75" hidden="1" customHeight="1">
      <c r="A27" s="1097" t="s">
        <v>1060</v>
      </c>
      <c r="B27" s="1057">
        <v>18</v>
      </c>
      <c r="C27" s="1018"/>
      <c r="D27" s="1018"/>
      <c r="E27" s="1018"/>
      <c r="F27" s="1018"/>
      <c r="G27" s="1018"/>
      <c r="H27" s="1018"/>
      <c r="I27" s="1018"/>
      <c r="J27" s="1018"/>
      <c r="K27" s="1018"/>
      <c r="L27" s="1018"/>
      <c r="M27" s="1057"/>
      <c r="N27" s="1018"/>
      <c r="O27" s="1018"/>
      <c r="P27" s="1018"/>
      <c r="Q27" s="1018"/>
      <c r="R27" s="1018"/>
      <c r="S27" s="1018"/>
      <c r="T27" s="1019"/>
      <c r="U27" s="1098" t="s">
        <v>1981</v>
      </c>
      <c r="V27" s="1099" t="s">
        <v>1888</v>
      </c>
      <c r="W27" s="1099" t="s">
        <v>1907</v>
      </c>
      <c r="X27" s="1100" t="s">
        <v>1982</v>
      </c>
      <c r="Y27" s="1101" t="s">
        <v>1983</v>
      </c>
      <c r="Z27" s="1102" t="s">
        <v>1984</v>
      </c>
      <c r="AA27" s="1103" t="s">
        <v>1942</v>
      </c>
      <c r="AB27" s="1104">
        <v>1</v>
      </c>
      <c r="AC27" s="1104" t="s">
        <v>1942</v>
      </c>
      <c r="AD27" s="1104" t="s">
        <v>1942</v>
      </c>
      <c r="AE27" s="1104" t="s">
        <v>1942</v>
      </c>
      <c r="AF27" s="1104" t="s">
        <v>1942</v>
      </c>
      <c r="AG27" s="1104" t="s">
        <v>1942</v>
      </c>
      <c r="AH27" s="1104" t="s">
        <v>1942</v>
      </c>
      <c r="AI27" s="1105">
        <f t="shared" si="0"/>
        <v>1</v>
      </c>
      <c r="AJ27" s="1106" t="s">
        <v>1026</v>
      </c>
      <c r="AK27" s="1106" t="s">
        <v>1008</v>
      </c>
      <c r="AL27" s="1106" t="s">
        <v>1009</v>
      </c>
      <c r="AM27" s="1107" t="s">
        <v>1985</v>
      </c>
      <c r="AN27" s="1018" t="s">
        <v>2177</v>
      </c>
      <c r="AO27" s="1018" t="s">
        <v>4796</v>
      </c>
      <c r="AP27" s="1274">
        <v>3</v>
      </c>
      <c r="AQ27" s="1108" t="s">
        <v>1020</v>
      </c>
      <c r="AR27" s="1109"/>
      <c r="AS27" s="1110"/>
      <c r="AT27" s="1100"/>
      <c r="AU27" s="1100"/>
      <c r="AV27" s="1100"/>
      <c r="AW27" s="1111"/>
      <c r="AX27" s="1112"/>
      <c r="AY27" s="1075"/>
      <c r="AZ27" s="1076"/>
      <c r="BA27" s="1076"/>
      <c r="BB27" s="1076"/>
      <c r="BC27" s="1076"/>
      <c r="BD27" s="1076"/>
      <c r="BE27" s="1076"/>
      <c r="BF27" s="1076"/>
      <c r="BG27" s="1076"/>
      <c r="BH27" s="1076"/>
      <c r="BI27" s="1420"/>
      <c r="BJ27" s="1368"/>
      <c r="BK27" s="1368"/>
      <c r="BL27" s="1368"/>
      <c r="BM27" s="1368"/>
      <c r="BN27" s="1075"/>
      <c r="BO27" s="1076"/>
      <c r="BP27" s="1076"/>
      <c r="BQ27" s="1076"/>
      <c r="BR27" s="1076"/>
      <c r="BS27" s="1115"/>
      <c r="BT27" s="1076"/>
      <c r="BU27" s="1076"/>
      <c r="BV27" s="1076"/>
      <c r="BW27" s="1116"/>
      <c r="BX27" s="1115"/>
      <c r="BY27" s="1076"/>
      <c r="BZ27" s="1076"/>
      <c r="CA27" s="1076"/>
      <c r="CB27" s="1116"/>
      <c r="CC27" s="1117"/>
      <c r="CD27" s="1376"/>
      <c r="CE27" s="1377"/>
      <c r="CF27" s="1377"/>
      <c r="CG27" s="1377"/>
      <c r="CH27" s="1440"/>
      <c r="CI27" s="1420"/>
      <c r="CJ27" s="1368"/>
      <c r="CK27" s="1368"/>
      <c r="CL27" s="1368"/>
      <c r="CM27" s="1369"/>
      <c r="CN27" s="1420"/>
      <c r="CO27" s="1368"/>
      <c r="CP27" s="1368"/>
      <c r="CQ27" s="1368"/>
      <c r="CR27" s="1369"/>
      <c r="CS27" s="1420"/>
      <c r="CT27" s="1368"/>
      <c r="CU27" s="1368"/>
      <c r="CV27" s="1368"/>
      <c r="CW27" s="1369"/>
      <c r="CX27" s="1420"/>
      <c r="CY27" s="1368"/>
      <c r="CZ27" s="1368"/>
      <c r="DA27" s="1368"/>
      <c r="DB27" s="1369"/>
      <c r="DC27" s="1368"/>
      <c r="DD27" s="1368"/>
      <c r="DE27" s="1368"/>
      <c r="DF27" s="1368"/>
      <c r="DG27" s="1369"/>
      <c r="DH27" s="1420"/>
      <c r="DI27" s="1368"/>
      <c r="DJ27" s="1368"/>
      <c r="DK27" s="1368"/>
      <c r="DL27" s="1369"/>
      <c r="DM27" s="1808"/>
      <c r="DN27" s="1809"/>
      <c r="DO27" s="1809"/>
      <c r="DP27" s="1810"/>
      <c r="DQ27" s="1809"/>
      <c r="DR27" s="1809"/>
      <c r="DS27" s="1809"/>
      <c r="DT27" s="1810"/>
      <c r="DU27" s="1377"/>
      <c r="DV27" s="1729"/>
      <c r="DW27" s="1811"/>
    </row>
    <row r="28" spans="1:127" s="397" customFormat="1" ht="15.75" hidden="1" customHeight="1">
      <c r="A28" s="1097" t="s">
        <v>1060</v>
      </c>
      <c r="B28" s="1057">
        <v>19</v>
      </c>
      <c r="C28" s="1018"/>
      <c r="D28" s="1018"/>
      <c r="E28" s="1018"/>
      <c r="F28" s="1018"/>
      <c r="G28" s="1018"/>
      <c r="H28" s="1018"/>
      <c r="I28" s="1018"/>
      <c r="J28" s="1018"/>
      <c r="K28" s="1018"/>
      <c r="L28" s="1018"/>
      <c r="M28" s="1057"/>
      <c r="N28" s="1018"/>
      <c r="O28" s="1018"/>
      <c r="P28" s="1018"/>
      <c r="Q28" s="1018"/>
      <c r="R28" s="1018"/>
      <c r="S28" s="1018"/>
      <c r="T28" s="1019"/>
      <c r="U28" s="1098" t="s">
        <v>1988</v>
      </c>
      <c r="V28" s="1099" t="s">
        <v>1929</v>
      </c>
      <c r="W28" s="1099" t="s">
        <v>1907</v>
      </c>
      <c r="X28" s="1100" t="s">
        <v>1989</v>
      </c>
      <c r="Y28" s="1101" t="s">
        <v>1990</v>
      </c>
      <c r="Z28" s="1102" t="s">
        <v>1990</v>
      </c>
      <c r="AA28" s="1103" t="s">
        <v>1942</v>
      </c>
      <c r="AB28" s="1104" t="s">
        <v>1942</v>
      </c>
      <c r="AC28" s="1104" t="s">
        <v>1942</v>
      </c>
      <c r="AD28" s="1104" t="s">
        <v>1942</v>
      </c>
      <c r="AE28" s="1104">
        <v>1</v>
      </c>
      <c r="AF28" s="1104" t="s">
        <v>1942</v>
      </c>
      <c r="AG28" s="1104" t="s">
        <v>1942</v>
      </c>
      <c r="AH28" s="1104" t="s">
        <v>1942</v>
      </c>
      <c r="AI28" s="1105">
        <f t="shared" si="0"/>
        <v>1</v>
      </c>
      <c r="AJ28" s="1106" t="s">
        <v>1026</v>
      </c>
      <c r="AK28" s="1106" t="s">
        <v>1008</v>
      </c>
      <c r="AL28" s="1106" t="s">
        <v>1009</v>
      </c>
      <c r="AM28" s="1107" t="s">
        <v>1961</v>
      </c>
      <c r="AN28" s="1018" t="s">
        <v>1033</v>
      </c>
      <c r="AO28" s="1018" t="s">
        <v>1991</v>
      </c>
      <c r="AP28" s="1274">
        <v>0</v>
      </c>
      <c r="AQ28" s="1076" t="s">
        <v>1010</v>
      </c>
      <c r="AR28" s="1109" t="s">
        <v>1942</v>
      </c>
      <c r="AS28" s="1110"/>
      <c r="AT28" s="1100"/>
      <c r="AU28" s="1100"/>
      <c r="AV28" s="1100"/>
      <c r="AW28" s="1111"/>
      <c r="AX28" s="1112"/>
      <c r="AY28" s="1075"/>
      <c r="AZ28" s="1076"/>
      <c r="BA28" s="1076"/>
      <c r="BB28" s="1076"/>
      <c r="BC28" s="1076"/>
      <c r="BD28" s="1076"/>
      <c r="BE28" s="1076"/>
      <c r="BF28" s="1076"/>
      <c r="BG28" s="1076"/>
      <c r="BH28" s="1076"/>
      <c r="BI28" s="1420"/>
      <c r="BJ28" s="1368"/>
      <c r="BK28" s="1368"/>
      <c r="BL28" s="1368"/>
      <c r="BM28" s="1368"/>
      <c r="BN28" s="1075"/>
      <c r="BO28" s="1076"/>
      <c r="BP28" s="1076"/>
      <c r="BQ28" s="1076"/>
      <c r="BR28" s="1076"/>
      <c r="BS28" s="1115"/>
      <c r="BT28" s="1076"/>
      <c r="BU28" s="1076"/>
      <c r="BV28" s="1076"/>
      <c r="BW28" s="1116"/>
      <c r="BX28" s="1115"/>
      <c r="BY28" s="1076"/>
      <c r="BZ28" s="1076"/>
      <c r="CA28" s="1076"/>
      <c r="CB28" s="1116"/>
      <c r="CC28" s="1117"/>
      <c r="CD28" s="1376"/>
      <c r="CE28" s="1377"/>
      <c r="CF28" s="1377"/>
      <c r="CG28" s="1377"/>
      <c r="CH28" s="1440"/>
      <c r="CI28" s="1420"/>
      <c r="CJ28" s="1368"/>
      <c r="CK28" s="1368"/>
      <c r="CL28" s="1368"/>
      <c r="CM28" s="1369"/>
      <c r="CN28" s="1420"/>
      <c r="CO28" s="1368"/>
      <c r="CP28" s="1368"/>
      <c r="CQ28" s="1368"/>
      <c r="CR28" s="1369"/>
      <c r="CS28" s="1420"/>
      <c r="CT28" s="1368"/>
      <c r="CU28" s="1368"/>
      <c r="CV28" s="1368"/>
      <c r="CW28" s="1369"/>
      <c r="CX28" s="1420"/>
      <c r="CY28" s="1368"/>
      <c r="CZ28" s="1368"/>
      <c r="DA28" s="1368"/>
      <c r="DB28" s="1369"/>
      <c r="DC28" s="1368"/>
      <c r="DD28" s="1368"/>
      <c r="DE28" s="1368"/>
      <c r="DF28" s="1368"/>
      <c r="DG28" s="1369"/>
      <c r="DH28" s="1420"/>
      <c r="DI28" s="1368"/>
      <c r="DJ28" s="1368"/>
      <c r="DK28" s="1368"/>
      <c r="DL28" s="1369"/>
      <c r="DM28" s="1808"/>
      <c r="DN28" s="1809"/>
      <c r="DO28" s="1809"/>
      <c r="DP28" s="1810"/>
      <c r="DQ28" s="1809"/>
      <c r="DR28" s="1809"/>
      <c r="DS28" s="1809"/>
      <c r="DT28" s="1810"/>
      <c r="DU28" s="1377"/>
      <c r="DV28" s="1729"/>
      <c r="DW28" s="1811"/>
    </row>
    <row r="29" spans="1:127" s="397" customFormat="1" ht="15.75" hidden="1" customHeight="1">
      <c r="A29" s="1097" t="s">
        <v>1060</v>
      </c>
      <c r="B29" s="1057">
        <v>20</v>
      </c>
      <c r="C29" s="1018"/>
      <c r="D29" s="1018"/>
      <c r="E29" s="1018"/>
      <c r="F29" s="1018"/>
      <c r="G29" s="1018"/>
      <c r="H29" s="1018"/>
      <c r="I29" s="1018"/>
      <c r="J29" s="1018"/>
      <c r="K29" s="1018"/>
      <c r="L29" s="1018"/>
      <c r="M29" s="1057"/>
      <c r="N29" s="1018"/>
      <c r="O29" s="1018"/>
      <c r="P29" s="1018"/>
      <c r="Q29" s="1018"/>
      <c r="R29" s="1018"/>
      <c r="S29" s="1018"/>
      <c r="T29" s="1019"/>
      <c r="U29" s="1098" t="s">
        <v>1992</v>
      </c>
      <c r="V29" s="1099" t="s">
        <v>1888</v>
      </c>
      <c r="W29" s="1099" t="s">
        <v>1896</v>
      </c>
      <c r="X29" s="1100" t="s">
        <v>1993</v>
      </c>
      <c r="Y29" s="1101" t="s">
        <v>1994</v>
      </c>
      <c r="Z29" s="1102" t="s">
        <v>1995</v>
      </c>
      <c r="AA29" s="1103" t="s">
        <v>1942</v>
      </c>
      <c r="AB29" s="1104">
        <v>1</v>
      </c>
      <c r="AC29" s="1104" t="s">
        <v>1942</v>
      </c>
      <c r="AD29" s="1104" t="s">
        <v>1942</v>
      </c>
      <c r="AE29" s="1104" t="s">
        <v>1942</v>
      </c>
      <c r="AF29" s="1104" t="s">
        <v>1942</v>
      </c>
      <c r="AG29" s="1104" t="s">
        <v>1942</v>
      </c>
      <c r="AH29" s="1104" t="s">
        <v>1942</v>
      </c>
      <c r="AI29" s="1105">
        <f t="shared" si="0"/>
        <v>1</v>
      </c>
      <c r="AJ29" s="1106" t="s">
        <v>1030</v>
      </c>
      <c r="AK29" s="1106" t="s">
        <v>1008</v>
      </c>
      <c r="AL29" s="1106" t="s">
        <v>1009</v>
      </c>
      <c r="AM29" s="1107" t="s">
        <v>1910</v>
      </c>
      <c r="AN29" s="1018" t="s">
        <v>1033</v>
      </c>
      <c r="AO29" s="1018" t="s">
        <v>1996</v>
      </c>
      <c r="AP29" s="1274">
        <v>0</v>
      </c>
      <c r="AQ29" s="1076" t="s">
        <v>1020</v>
      </c>
      <c r="AR29" s="1109" t="s">
        <v>1942</v>
      </c>
      <c r="AS29" s="1110"/>
      <c r="AT29" s="1100"/>
      <c r="AU29" s="1100"/>
      <c r="AV29" s="1100"/>
      <c r="AW29" s="1111"/>
      <c r="AX29" s="1112"/>
      <c r="AY29" s="1075"/>
      <c r="AZ29" s="1076"/>
      <c r="BA29" s="1076"/>
      <c r="BB29" s="1076"/>
      <c r="BC29" s="1076"/>
      <c r="BD29" s="1076"/>
      <c r="BE29" s="1076"/>
      <c r="BF29" s="1076"/>
      <c r="BG29" s="1076"/>
      <c r="BH29" s="1076"/>
      <c r="BI29" s="1420"/>
      <c r="BJ29" s="1368"/>
      <c r="BK29" s="1368"/>
      <c r="BL29" s="1368"/>
      <c r="BM29" s="1368"/>
      <c r="BN29" s="1075"/>
      <c r="BO29" s="1076"/>
      <c r="BP29" s="1076"/>
      <c r="BQ29" s="1076"/>
      <c r="BR29" s="1076"/>
      <c r="BS29" s="1115"/>
      <c r="BT29" s="1076"/>
      <c r="BU29" s="1076"/>
      <c r="BV29" s="1076"/>
      <c r="BW29" s="1116"/>
      <c r="BX29" s="1115"/>
      <c r="BY29" s="1076"/>
      <c r="BZ29" s="1076"/>
      <c r="CA29" s="1076"/>
      <c r="CB29" s="1116"/>
      <c r="CC29" s="1117"/>
      <c r="CD29" s="1376"/>
      <c r="CE29" s="1377"/>
      <c r="CF29" s="1377"/>
      <c r="CG29" s="1377"/>
      <c r="CH29" s="1440"/>
      <c r="CI29" s="1420"/>
      <c r="CJ29" s="1368"/>
      <c r="CK29" s="1368"/>
      <c r="CL29" s="1368"/>
      <c r="CM29" s="1369"/>
      <c r="CN29" s="1420"/>
      <c r="CO29" s="1368"/>
      <c r="CP29" s="1368"/>
      <c r="CQ29" s="1368"/>
      <c r="CR29" s="1369"/>
      <c r="CS29" s="1420"/>
      <c r="CT29" s="1368"/>
      <c r="CU29" s="1368"/>
      <c r="CV29" s="1368"/>
      <c r="CW29" s="1369"/>
      <c r="CX29" s="1420"/>
      <c r="CY29" s="1368"/>
      <c r="CZ29" s="1368"/>
      <c r="DA29" s="1368"/>
      <c r="DB29" s="1369"/>
      <c r="DC29" s="1368"/>
      <c r="DD29" s="1368"/>
      <c r="DE29" s="1368"/>
      <c r="DF29" s="1368"/>
      <c r="DG29" s="1369"/>
      <c r="DH29" s="1420"/>
      <c r="DI29" s="1368"/>
      <c r="DJ29" s="1368"/>
      <c r="DK29" s="1368"/>
      <c r="DL29" s="1369"/>
      <c r="DM29" s="1808"/>
      <c r="DN29" s="1809"/>
      <c r="DO29" s="1809"/>
      <c r="DP29" s="1810"/>
      <c r="DQ29" s="1809"/>
      <c r="DR29" s="1809"/>
      <c r="DS29" s="1809"/>
      <c r="DT29" s="1810"/>
      <c r="DU29" s="1377"/>
      <c r="DV29" s="1729"/>
      <c r="DW29" s="1811"/>
    </row>
    <row r="30" spans="1:127" s="397" customFormat="1" ht="15.75" hidden="1" customHeight="1">
      <c r="A30" s="1097" t="s">
        <v>1060</v>
      </c>
      <c r="B30" s="1057">
        <v>21</v>
      </c>
      <c r="C30" s="1018"/>
      <c r="D30" s="1018"/>
      <c r="E30" s="1018"/>
      <c r="F30" s="1018"/>
      <c r="G30" s="1018"/>
      <c r="H30" s="1018"/>
      <c r="I30" s="1018"/>
      <c r="J30" s="1018"/>
      <c r="K30" s="1018"/>
      <c r="L30" s="1018"/>
      <c r="M30" s="1057"/>
      <c r="N30" s="1018"/>
      <c r="O30" s="1018"/>
      <c r="P30" s="1018"/>
      <c r="Q30" s="1018"/>
      <c r="R30" s="1018"/>
      <c r="S30" s="1018"/>
      <c r="T30" s="1019"/>
      <c r="U30" s="1098" t="s">
        <v>1997</v>
      </c>
      <c r="V30" s="1099" t="s">
        <v>1923</v>
      </c>
      <c r="W30" s="1099" t="s">
        <v>1896</v>
      </c>
      <c r="X30" s="1100" t="s">
        <v>1998</v>
      </c>
      <c r="Y30" s="1101" t="s">
        <v>4797</v>
      </c>
      <c r="Z30" s="1102" t="s">
        <v>2000</v>
      </c>
      <c r="AA30" s="1103" t="s">
        <v>1942</v>
      </c>
      <c r="AB30" s="1104">
        <v>1</v>
      </c>
      <c r="AC30" s="1104" t="s">
        <v>1942</v>
      </c>
      <c r="AD30" s="1104" t="s">
        <v>1942</v>
      </c>
      <c r="AE30" s="1104" t="s">
        <v>1942</v>
      </c>
      <c r="AF30" s="1104" t="s">
        <v>1942</v>
      </c>
      <c r="AG30" s="1104" t="s">
        <v>1942</v>
      </c>
      <c r="AH30" s="1104" t="s">
        <v>1942</v>
      </c>
      <c r="AI30" s="1105">
        <f t="shared" si="0"/>
        <v>1</v>
      </c>
      <c r="AJ30" s="1106" t="s">
        <v>1026</v>
      </c>
      <c r="AK30" s="1106" t="s">
        <v>1008</v>
      </c>
      <c r="AL30" s="1106" t="s">
        <v>1009</v>
      </c>
      <c r="AM30" s="1107" t="s">
        <v>1847</v>
      </c>
      <c r="AN30" s="1018" t="s">
        <v>396</v>
      </c>
      <c r="AO30" s="1018" t="s">
        <v>4798</v>
      </c>
      <c r="AP30" s="1307">
        <v>2</v>
      </c>
      <c r="AQ30" s="1076" t="s">
        <v>1020</v>
      </c>
      <c r="AR30" s="1109"/>
      <c r="AS30" s="1110"/>
      <c r="AT30" s="1100"/>
      <c r="AU30" s="1100"/>
      <c r="AV30" s="1100"/>
      <c r="AW30" s="1111"/>
      <c r="AX30" s="1112"/>
      <c r="AY30" s="1075"/>
      <c r="AZ30" s="1076"/>
      <c r="BA30" s="1076"/>
      <c r="BB30" s="1076"/>
      <c r="BC30" s="1076"/>
      <c r="BD30" s="1076"/>
      <c r="BE30" s="1076"/>
      <c r="BF30" s="1076"/>
      <c r="BG30" s="1076"/>
      <c r="BH30" s="1076"/>
      <c r="BI30" s="1420"/>
      <c r="BJ30" s="1368"/>
      <c r="BK30" s="1368"/>
      <c r="BL30" s="1368"/>
      <c r="BM30" s="1368"/>
      <c r="BN30" s="1075"/>
      <c r="BO30" s="1076"/>
      <c r="BP30" s="1076"/>
      <c r="BQ30" s="1076"/>
      <c r="BR30" s="1076"/>
      <c r="BS30" s="1115"/>
      <c r="BT30" s="1076"/>
      <c r="BU30" s="1076"/>
      <c r="BV30" s="1076"/>
      <c r="BW30" s="1116"/>
      <c r="BX30" s="1115"/>
      <c r="BY30" s="1076"/>
      <c r="BZ30" s="1076"/>
      <c r="CA30" s="1076"/>
      <c r="CB30" s="1116"/>
      <c r="CC30" s="1117"/>
      <c r="CD30" s="1376"/>
      <c r="CE30" s="1377"/>
      <c r="CF30" s="1377"/>
      <c r="CG30" s="1377"/>
      <c r="CH30" s="1440"/>
      <c r="CI30" s="1420"/>
      <c r="CJ30" s="1368"/>
      <c r="CK30" s="1368"/>
      <c r="CL30" s="1368"/>
      <c r="CM30" s="1369"/>
      <c r="CN30" s="1420"/>
      <c r="CO30" s="1368"/>
      <c r="CP30" s="1368"/>
      <c r="CQ30" s="1368"/>
      <c r="CR30" s="1369"/>
      <c r="CS30" s="1420"/>
      <c r="CT30" s="1368"/>
      <c r="CU30" s="1368"/>
      <c r="CV30" s="1368"/>
      <c r="CW30" s="1369"/>
      <c r="CX30" s="1420"/>
      <c r="CY30" s="1368"/>
      <c r="CZ30" s="1368"/>
      <c r="DA30" s="1368"/>
      <c r="DB30" s="1369"/>
      <c r="DC30" s="1368"/>
      <c r="DD30" s="1368"/>
      <c r="DE30" s="1368"/>
      <c r="DF30" s="1368"/>
      <c r="DG30" s="1369"/>
      <c r="DH30" s="1420"/>
      <c r="DI30" s="1368"/>
      <c r="DJ30" s="1368"/>
      <c r="DK30" s="1368"/>
      <c r="DL30" s="1369"/>
      <c r="DM30" s="1808"/>
      <c r="DN30" s="1809"/>
      <c r="DO30" s="1809"/>
      <c r="DP30" s="1810"/>
      <c r="DQ30" s="1809"/>
      <c r="DR30" s="1809"/>
      <c r="DS30" s="1809"/>
      <c r="DT30" s="1810"/>
      <c r="DU30" s="1377"/>
      <c r="DV30" s="1729"/>
      <c r="DW30" s="1811"/>
    </row>
    <row r="31" spans="1:127" s="397" customFormat="1" ht="15.75" hidden="1" customHeight="1">
      <c r="A31" s="1097" t="s">
        <v>1060</v>
      </c>
      <c r="B31" s="1057">
        <v>22</v>
      </c>
      <c r="C31" s="1018"/>
      <c r="D31" s="1018"/>
      <c r="E31" s="1018"/>
      <c r="F31" s="1018"/>
      <c r="G31" s="1018"/>
      <c r="H31" s="1018"/>
      <c r="I31" s="1018"/>
      <c r="J31" s="1018"/>
      <c r="K31" s="1018"/>
      <c r="L31" s="1018"/>
      <c r="M31" s="1057"/>
      <c r="N31" s="1018"/>
      <c r="O31" s="1018"/>
      <c r="P31" s="1018"/>
      <c r="Q31" s="1018"/>
      <c r="R31" s="1018"/>
      <c r="S31" s="1018"/>
      <c r="T31" s="1019"/>
      <c r="U31" s="1098" t="s">
        <v>2003</v>
      </c>
      <c r="V31" s="1099" t="s">
        <v>1929</v>
      </c>
      <c r="W31" s="1099" t="s">
        <v>1907</v>
      </c>
      <c r="X31" s="1100" t="s">
        <v>2004</v>
      </c>
      <c r="Y31" s="1101" t="s">
        <v>703</v>
      </c>
      <c r="Z31" s="1102" t="s">
        <v>2005</v>
      </c>
      <c r="AA31" s="1103" t="s">
        <v>1942</v>
      </c>
      <c r="AB31" s="1104" t="s">
        <v>1942</v>
      </c>
      <c r="AC31" s="1104" t="s">
        <v>1942</v>
      </c>
      <c r="AD31" s="1104" t="s">
        <v>1942</v>
      </c>
      <c r="AE31" s="1104">
        <v>1</v>
      </c>
      <c r="AF31" s="1104" t="s">
        <v>1942</v>
      </c>
      <c r="AG31" s="1104" t="s">
        <v>1942</v>
      </c>
      <c r="AH31" s="1104" t="s">
        <v>1942</v>
      </c>
      <c r="AI31" s="1105">
        <f t="shared" si="0"/>
        <v>1</v>
      </c>
      <c r="AJ31" s="1106" t="s">
        <v>1007</v>
      </c>
      <c r="AK31" s="1106" t="s">
        <v>1942</v>
      </c>
      <c r="AL31" s="1106" t="s">
        <v>1942</v>
      </c>
      <c r="AM31" s="1107" t="s">
        <v>1947</v>
      </c>
      <c r="AN31" s="1018" t="s">
        <v>278</v>
      </c>
      <c r="AO31" s="1018" t="s">
        <v>4799</v>
      </c>
      <c r="AP31" s="1307">
        <v>1</v>
      </c>
      <c r="AQ31" s="1076" t="s">
        <v>1010</v>
      </c>
      <c r="AR31" s="1109" t="s">
        <v>703</v>
      </c>
      <c r="AS31" s="1110"/>
      <c r="AT31" s="1100"/>
      <c r="AU31" s="1100"/>
      <c r="AV31" s="1100"/>
      <c r="AW31" s="1111"/>
      <c r="AX31" s="1112"/>
      <c r="AY31" s="1075"/>
      <c r="AZ31" s="1076"/>
      <c r="BA31" s="1076"/>
      <c r="BB31" s="1076"/>
      <c r="BC31" s="1076"/>
      <c r="BD31" s="1076"/>
      <c r="BE31" s="1076"/>
      <c r="BF31" s="1076"/>
      <c r="BG31" s="1076"/>
      <c r="BH31" s="1076"/>
      <c r="BI31" s="1075" t="s">
        <v>4800</v>
      </c>
      <c r="BJ31" s="1076" t="s">
        <v>4801</v>
      </c>
      <c r="BK31" s="1076" t="s">
        <v>4802</v>
      </c>
      <c r="BL31" s="1076" t="s">
        <v>4803</v>
      </c>
      <c r="BM31" s="1076" t="s">
        <v>4804</v>
      </c>
      <c r="BN31" s="1075"/>
      <c r="BO31" s="1076"/>
      <c r="BP31" s="1076"/>
      <c r="BQ31" s="1076"/>
      <c r="BR31" s="1076"/>
      <c r="BS31" s="1115"/>
      <c r="BT31" s="1076"/>
      <c r="BU31" s="1076"/>
      <c r="BV31" s="1076"/>
      <c r="BW31" s="1116"/>
      <c r="BX31" s="1115"/>
      <c r="BY31" s="1076"/>
      <c r="BZ31" s="1076"/>
      <c r="CA31" s="1076"/>
      <c r="CB31" s="1116"/>
      <c r="CC31" s="1117"/>
      <c r="CD31" s="1118" t="s">
        <v>1942</v>
      </c>
      <c r="CE31" s="1119" t="s">
        <v>1942</v>
      </c>
      <c r="CF31" s="1119" t="s">
        <v>1942</v>
      </c>
      <c r="CG31" s="1119" t="s">
        <v>1942</v>
      </c>
      <c r="CH31" s="1120" t="s">
        <v>1942</v>
      </c>
      <c r="CI31" s="1075" t="s">
        <v>1942</v>
      </c>
      <c r="CJ31" s="1076" t="s">
        <v>1942</v>
      </c>
      <c r="CK31" s="1076" t="s">
        <v>1942</v>
      </c>
      <c r="CL31" s="1076" t="s">
        <v>1942</v>
      </c>
      <c r="CM31" s="1117" t="s">
        <v>1942</v>
      </c>
      <c r="CN31" s="1075" t="s">
        <v>1942</v>
      </c>
      <c r="CO31" s="1076" t="s">
        <v>1942</v>
      </c>
      <c r="CP31" s="1076" t="s">
        <v>1942</v>
      </c>
      <c r="CQ31" s="1076" t="s">
        <v>1942</v>
      </c>
      <c r="CR31" s="1117" t="s">
        <v>1942</v>
      </c>
      <c r="CS31" s="1075" t="s">
        <v>1942</v>
      </c>
      <c r="CT31" s="1076" t="s">
        <v>1942</v>
      </c>
      <c r="CU31" s="1076" t="s">
        <v>1942</v>
      </c>
      <c r="CV31" s="1076" t="s">
        <v>1942</v>
      </c>
      <c r="CW31" s="1117" t="s">
        <v>1942</v>
      </c>
      <c r="CX31" s="1075" t="s">
        <v>1942</v>
      </c>
      <c r="CY31" s="1076" t="s">
        <v>1942</v>
      </c>
      <c r="CZ31" s="1076" t="s">
        <v>1942</v>
      </c>
      <c r="DA31" s="1076" t="s">
        <v>1942</v>
      </c>
      <c r="DB31" s="1117" t="s">
        <v>1942</v>
      </c>
      <c r="DC31" s="1076" t="s">
        <v>1942</v>
      </c>
      <c r="DD31" s="1076" t="s">
        <v>1942</v>
      </c>
      <c r="DE31" s="1076" t="s">
        <v>1942</v>
      </c>
      <c r="DF31" s="1076" t="s">
        <v>1942</v>
      </c>
      <c r="DG31" s="1117" t="s">
        <v>1942</v>
      </c>
      <c r="DH31" s="1075" t="s">
        <v>1942</v>
      </c>
      <c r="DI31" s="1076" t="s">
        <v>1942</v>
      </c>
      <c r="DJ31" s="1076" t="s">
        <v>1942</v>
      </c>
      <c r="DK31" s="1076" t="s">
        <v>1942</v>
      </c>
      <c r="DL31" s="1117" t="s">
        <v>1942</v>
      </c>
      <c r="DM31" s="1121" t="s">
        <v>1942</v>
      </c>
      <c r="DN31" s="1122" t="s">
        <v>1942</v>
      </c>
      <c r="DO31" s="1122" t="s">
        <v>1942</v>
      </c>
      <c r="DP31" s="1123" t="s">
        <v>1942</v>
      </c>
      <c r="DQ31" s="1122" t="s">
        <v>1942</v>
      </c>
      <c r="DR31" s="1122" t="s">
        <v>1942</v>
      </c>
      <c r="DS31" s="1122" t="s">
        <v>1942</v>
      </c>
      <c r="DT31" s="1123" t="s">
        <v>1942</v>
      </c>
      <c r="DU31" s="1119" t="s">
        <v>1942</v>
      </c>
      <c r="DV31" s="1124">
        <v>1</v>
      </c>
      <c r="DW31" s="1125" t="s">
        <v>1942</v>
      </c>
    </row>
    <row r="32" spans="1:127" s="397" customFormat="1" ht="15.75" hidden="1" customHeight="1">
      <c r="A32" s="1097" t="s">
        <v>1060</v>
      </c>
      <c r="B32" s="1057">
        <v>23</v>
      </c>
      <c r="C32" s="1018"/>
      <c r="D32" s="1018"/>
      <c r="E32" s="1018"/>
      <c r="F32" s="1018"/>
      <c r="G32" s="1018"/>
      <c r="H32" s="1018"/>
      <c r="I32" s="1018"/>
      <c r="J32" s="1018"/>
      <c r="K32" s="1018"/>
      <c r="L32" s="1018"/>
      <c r="M32" s="1057"/>
      <c r="N32" s="1018"/>
      <c r="O32" s="1018"/>
      <c r="P32" s="1018"/>
      <c r="Q32" s="1018"/>
      <c r="R32" s="1018"/>
      <c r="S32" s="1018"/>
      <c r="T32" s="1019"/>
      <c r="U32" s="1098" t="s">
        <v>2007</v>
      </c>
      <c r="V32" s="1099" t="s">
        <v>1929</v>
      </c>
      <c r="W32" s="1099" t="s">
        <v>1907</v>
      </c>
      <c r="X32" s="1100" t="s">
        <v>2008</v>
      </c>
      <c r="Y32" s="1101" t="s">
        <v>2009</v>
      </c>
      <c r="Z32" s="1102" t="s">
        <v>2010</v>
      </c>
      <c r="AA32" s="1103" t="s">
        <v>1942</v>
      </c>
      <c r="AB32" s="1104" t="s">
        <v>1942</v>
      </c>
      <c r="AC32" s="1104" t="s">
        <v>1942</v>
      </c>
      <c r="AD32" s="1104" t="s">
        <v>1942</v>
      </c>
      <c r="AE32" s="1104">
        <v>1</v>
      </c>
      <c r="AF32" s="1104" t="s">
        <v>1942</v>
      </c>
      <c r="AG32" s="1104" t="s">
        <v>1942</v>
      </c>
      <c r="AH32" s="1104" t="s">
        <v>1942</v>
      </c>
      <c r="AI32" s="1105">
        <f t="shared" si="0"/>
        <v>1</v>
      </c>
      <c r="AJ32" s="1106" t="s">
        <v>1007</v>
      </c>
      <c r="AK32" s="1106" t="s">
        <v>1942</v>
      </c>
      <c r="AL32" s="1106" t="s">
        <v>1942</v>
      </c>
      <c r="AM32" s="1107" t="s">
        <v>1910</v>
      </c>
      <c r="AN32" s="1018" t="s">
        <v>1072</v>
      </c>
      <c r="AO32" s="1018" t="s">
        <v>2011</v>
      </c>
      <c r="AP32" s="1274">
        <v>0</v>
      </c>
      <c r="AQ32" s="1076" t="s">
        <v>1072</v>
      </c>
      <c r="AR32" s="1109" t="s">
        <v>1942</v>
      </c>
      <c r="AS32" s="1110"/>
      <c r="AT32" s="1100"/>
      <c r="AU32" s="1100"/>
      <c r="AV32" s="1100"/>
      <c r="AW32" s="1111"/>
      <c r="AX32" s="1112"/>
      <c r="AY32" s="1075"/>
      <c r="AZ32" s="1076"/>
      <c r="BA32" s="1076"/>
      <c r="BB32" s="1076"/>
      <c r="BC32" s="1076"/>
      <c r="BD32" s="1076"/>
      <c r="BE32" s="1076"/>
      <c r="BF32" s="1076"/>
      <c r="BG32" s="1076"/>
      <c r="BH32" s="1076"/>
      <c r="BI32" s="1420"/>
      <c r="BJ32" s="1368"/>
      <c r="BK32" s="1368"/>
      <c r="BL32" s="1368"/>
      <c r="BM32" s="1368"/>
      <c r="BN32" s="1075"/>
      <c r="BO32" s="1076"/>
      <c r="BP32" s="1076"/>
      <c r="BQ32" s="1076"/>
      <c r="BR32" s="1076"/>
      <c r="BS32" s="1115"/>
      <c r="BT32" s="1076"/>
      <c r="BU32" s="1076"/>
      <c r="BV32" s="1076"/>
      <c r="BW32" s="1116"/>
      <c r="BX32" s="1115"/>
      <c r="BY32" s="1076"/>
      <c r="BZ32" s="1076"/>
      <c r="CA32" s="1076"/>
      <c r="CB32" s="1116"/>
      <c r="CC32" s="1117"/>
      <c r="CD32" s="1376"/>
      <c r="CE32" s="1377"/>
      <c r="CF32" s="1377"/>
      <c r="CG32" s="1377"/>
      <c r="CH32" s="1440"/>
      <c r="CI32" s="1420"/>
      <c r="CJ32" s="1368"/>
      <c r="CK32" s="1368"/>
      <c r="CL32" s="1368"/>
      <c r="CM32" s="1369"/>
      <c r="CN32" s="1420"/>
      <c r="CO32" s="1368"/>
      <c r="CP32" s="1368"/>
      <c r="CQ32" s="1368"/>
      <c r="CR32" s="1369"/>
      <c r="CS32" s="1420"/>
      <c r="CT32" s="1368"/>
      <c r="CU32" s="1368"/>
      <c r="CV32" s="1368"/>
      <c r="CW32" s="1369"/>
      <c r="CX32" s="1420"/>
      <c r="CY32" s="1368"/>
      <c r="CZ32" s="1368"/>
      <c r="DA32" s="1368"/>
      <c r="DB32" s="1369"/>
      <c r="DC32" s="1368"/>
      <c r="DD32" s="1368"/>
      <c r="DE32" s="1368"/>
      <c r="DF32" s="1368"/>
      <c r="DG32" s="1369"/>
      <c r="DH32" s="1420"/>
      <c r="DI32" s="1368"/>
      <c r="DJ32" s="1368"/>
      <c r="DK32" s="1368"/>
      <c r="DL32" s="1369"/>
      <c r="DM32" s="1808"/>
      <c r="DN32" s="1809"/>
      <c r="DO32" s="1809"/>
      <c r="DP32" s="1810"/>
      <c r="DQ32" s="1809"/>
      <c r="DR32" s="1809"/>
      <c r="DS32" s="1809"/>
      <c r="DT32" s="1810"/>
      <c r="DU32" s="1377"/>
      <c r="DV32" s="1729"/>
      <c r="DW32" s="1811"/>
    </row>
    <row r="33" spans="1:127" s="397" customFormat="1" ht="15.75" hidden="1" customHeight="1">
      <c r="A33" s="1097" t="s">
        <v>1060</v>
      </c>
      <c r="B33" s="1057">
        <v>24</v>
      </c>
      <c r="C33" s="1018"/>
      <c r="D33" s="1018"/>
      <c r="E33" s="1018"/>
      <c r="F33" s="1018"/>
      <c r="G33" s="1018"/>
      <c r="H33" s="1018"/>
      <c r="I33" s="1018"/>
      <c r="J33" s="1018"/>
      <c r="K33" s="1018"/>
      <c r="L33" s="1018"/>
      <c r="M33" s="1057"/>
      <c r="N33" s="1018"/>
      <c r="O33" s="1018"/>
      <c r="P33" s="1018"/>
      <c r="Q33" s="1018"/>
      <c r="R33" s="1018"/>
      <c r="S33" s="1018"/>
      <c r="T33" s="1019"/>
      <c r="U33" s="1098" t="s">
        <v>2013</v>
      </c>
      <c r="V33" s="1099" t="s">
        <v>1888</v>
      </c>
      <c r="W33" s="1099" t="s">
        <v>1907</v>
      </c>
      <c r="X33" s="1100" t="s">
        <v>2014</v>
      </c>
      <c r="Y33" s="1101" t="s">
        <v>2015</v>
      </c>
      <c r="Z33" s="1102" t="s">
        <v>2016</v>
      </c>
      <c r="AA33" s="1103" t="s">
        <v>1942</v>
      </c>
      <c r="AB33" s="1104">
        <v>0.5</v>
      </c>
      <c r="AC33" s="1104" t="s">
        <v>1942</v>
      </c>
      <c r="AD33" s="1104" t="s">
        <v>1942</v>
      </c>
      <c r="AE33" s="1104">
        <v>0.5</v>
      </c>
      <c r="AF33" s="1104" t="s">
        <v>1942</v>
      </c>
      <c r="AG33" s="1104" t="s">
        <v>1942</v>
      </c>
      <c r="AH33" s="1104" t="s">
        <v>1942</v>
      </c>
      <c r="AI33" s="1105">
        <f t="shared" si="0"/>
        <v>1</v>
      </c>
      <c r="AJ33" s="1106" t="s">
        <v>1007</v>
      </c>
      <c r="AK33" s="1106" t="s">
        <v>1942</v>
      </c>
      <c r="AL33" s="1106" t="s">
        <v>1942</v>
      </c>
      <c r="AM33" s="1107" t="s">
        <v>1910</v>
      </c>
      <c r="AN33" s="1018" t="s">
        <v>1033</v>
      </c>
      <c r="AO33" s="1018" t="s">
        <v>2017</v>
      </c>
      <c r="AP33" s="1274">
        <v>0</v>
      </c>
      <c r="AQ33" s="1076" t="s">
        <v>1020</v>
      </c>
      <c r="AR33" s="1109" t="s">
        <v>1942</v>
      </c>
      <c r="AS33" s="1110"/>
      <c r="AT33" s="1100"/>
      <c r="AU33" s="1100"/>
      <c r="AV33" s="1100"/>
      <c r="AW33" s="1111"/>
      <c r="AX33" s="1112"/>
      <c r="AY33" s="1075"/>
      <c r="AZ33" s="1076"/>
      <c r="BA33" s="1076"/>
      <c r="BB33" s="1076"/>
      <c r="BC33" s="1076"/>
      <c r="BD33" s="1076"/>
      <c r="BE33" s="1076"/>
      <c r="BF33" s="1076"/>
      <c r="BG33" s="1076"/>
      <c r="BH33" s="1076"/>
      <c r="BI33" s="1420"/>
      <c r="BJ33" s="1368"/>
      <c r="BK33" s="1368"/>
      <c r="BL33" s="1368"/>
      <c r="BM33" s="1368"/>
      <c r="BN33" s="1075"/>
      <c r="BO33" s="1076"/>
      <c r="BP33" s="1076"/>
      <c r="BQ33" s="1076"/>
      <c r="BR33" s="1076"/>
      <c r="BS33" s="1115"/>
      <c r="BT33" s="1076"/>
      <c r="BU33" s="1076"/>
      <c r="BV33" s="1076"/>
      <c r="BW33" s="1116"/>
      <c r="BX33" s="1115"/>
      <c r="BY33" s="1076"/>
      <c r="BZ33" s="1076"/>
      <c r="CA33" s="1076"/>
      <c r="CB33" s="1116"/>
      <c r="CC33" s="1117"/>
      <c r="CD33" s="1376"/>
      <c r="CE33" s="1377"/>
      <c r="CF33" s="1377"/>
      <c r="CG33" s="1377"/>
      <c r="CH33" s="1440"/>
      <c r="CI33" s="1420"/>
      <c r="CJ33" s="1368"/>
      <c r="CK33" s="1368"/>
      <c r="CL33" s="1368"/>
      <c r="CM33" s="1369"/>
      <c r="CN33" s="1420"/>
      <c r="CO33" s="1368"/>
      <c r="CP33" s="1368"/>
      <c r="CQ33" s="1368"/>
      <c r="CR33" s="1369"/>
      <c r="CS33" s="1420"/>
      <c r="CT33" s="1368"/>
      <c r="CU33" s="1368"/>
      <c r="CV33" s="1368"/>
      <c r="CW33" s="1369"/>
      <c r="CX33" s="1420"/>
      <c r="CY33" s="1368"/>
      <c r="CZ33" s="1368"/>
      <c r="DA33" s="1368"/>
      <c r="DB33" s="1369"/>
      <c r="DC33" s="1368"/>
      <c r="DD33" s="1368"/>
      <c r="DE33" s="1368"/>
      <c r="DF33" s="1368"/>
      <c r="DG33" s="1369"/>
      <c r="DH33" s="1420"/>
      <c r="DI33" s="1368"/>
      <c r="DJ33" s="1368"/>
      <c r="DK33" s="1368"/>
      <c r="DL33" s="1369"/>
      <c r="DM33" s="1808"/>
      <c r="DN33" s="1809"/>
      <c r="DO33" s="1809"/>
      <c r="DP33" s="1810"/>
      <c r="DQ33" s="1809"/>
      <c r="DR33" s="1809"/>
      <c r="DS33" s="1809"/>
      <c r="DT33" s="1810"/>
      <c r="DU33" s="1377"/>
      <c r="DV33" s="1729"/>
      <c r="DW33" s="1811"/>
    </row>
    <row r="34" spans="1:127" s="397" customFormat="1" ht="15.75" hidden="1" customHeight="1">
      <c r="A34" s="1097" t="s">
        <v>1060</v>
      </c>
      <c r="B34" s="1057">
        <v>25</v>
      </c>
      <c r="C34" s="1018"/>
      <c r="D34" s="1018"/>
      <c r="E34" s="1018"/>
      <c r="F34" s="1018"/>
      <c r="G34" s="1018"/>
      <c r="H34" s="1018"/>
      <c r="I34" s="1018"/>
      <c r="J34" s="1018"/>
      <c r="K34" s="1018"/>
      <c r="L34" s="1018"/>
      <c r="M34" s="1057"/>
      <c r="N34" s="1018"/>
      <c r="O34" s="1018"/>
      <c r="P34" s="1018"/>
      <c r="Q34" s="1018"/>
      <c r="R34" s="1018"/>
      <c r="S34" s="1018"/>
      <c r="T34" s="1019"/>
      <c r="U34" s="1098" t="s">
        <v>2018</v>
      </c>
      <c r="V34" s="1099" t="s">
        <v>1929</v>
      </c>
      <c r="W34" s="1099" t="s">
        <v>1907</v>
      </c>
      <c r="X34" s="1100" t="s">
        <v>2019</v>
      </c>
      <c r="Y34" s="1101" t="s">
        <v>2020</v>
      </c>
      <c r="Z34" s="1102" t="s">
        <v>2021</v>
      </c>
      <c r="AA34" s="1103" t="s">
        <v>1942</v>
      </c>
      <c r="AB34" s="1104" t="s">
        <v>1942</v>
      </c>
      <c r="AC34" s="1104" t="s">
        <v>1942</v>
      </c>
      <c r="AD34" s="1104" t="s">
        <v>1942</v>
      </c>
      <c r="AE34" s="1104">
        <v>1</v>
      </c>
      <c r="AF34" s="1104" t="s">
        <v>1942</v>
      </c>
      <c r="AG34" s="1104" t="s">
        <v>1942</v>
      </c>
      <c r="AH34" s="1104" t="s">
        <v>1942</v>
      </c>
      <c r="AI34" s="1105">
        <f t="shared" si="0"/>
        <v>1</v>
      </c>
      <c r="AJ34" s="1106" t="s">
        <v>1007</v>
      </c>
      <c r="AK34" s="1106" t="s">
        <v>1942</v>
      </c>
      <c r="AL34" s="1106" t="s">
        <v>1942</v>
      </c>
      <c r="AM34" s="1107" t="s">
        <v>1947</v>
      </c>
      <c r="AN34" s="1018" t="s">
        <v>278</v>
      </c>
      <c r="AO34" s="1018" t="s">
        <v>1948</v>
      </c>
      <c r="AP34" s="1274">
        <v>0</v>
      </c>
      <c r="AQ34" s="1076" t="s">
        <v>1010</v>
      </c>
      <c r="AR34" s="1109" t="s">
        <v>1942</v>
      </c>
      <c r="AS34" s="1110"/>
      <c r="AT34" s="1100"/>
      <c r="AU34" s="1100"/>
      <c r="AV34" s="1100"/>
      <c r="AW34" s="1111"/>
      <c r="AX34" s="1112"/>
      <c r="AY34" s="1075"/>
      <c r="AZ34" s="1076"/>
      <c r="BA34" s="1076"/>
      <c r="BB34" s="1076"/>
      <c r="BC34" s="1076"/>
      <c r="BD34" s="1076"/>
      <c r="BE34" s="1076"/>
      <c r="BF34" s="1076"/>
      <c r="BG34" s="1076"/>
      <c r="BH34" s="1076"/>
      <c r="BI34" s="1420"/>
      <c r="BJ34" s="1368"/>
      <c r="BK34" s="1368"/>
      <c r="BL34" s="1368"/>
      <c r="BM34" s="1368"/>
      <c r="BN34" s="1075"/>
      <c r="BO34" s="1076"/>
      <c r="BP34" s="1076"/>
      <c r="BQ34" s="1076"/>
      <c r="BR34" s="1076"/>
      <c r="BS34" s="1115"/>
      <c r="BT34" s="1076"/>
      <c r="BU34" s="1076"/>
      <c r="BV34" s="1076"/>
      <c r="BW34" s="1116"/>
      <c r="BX34" s="1115"/>
      <c r="BY34" s="1076"/>
      <c r="BZ34" s="1076"/>
      <c r="CA34" s="1076"/>
      <c r="CB34" s="1116"/>
      <c r="CC34" s="1117"/>
      <c r="CD34" s="1376"/>
      <c r="CE34" s="1377"/>
      <c r="CF34" s="1377"/>
      <c r="CG34" s="1377"/>
      <c r="CH34" s="1440"/>
      <c r="CI34" s="1420"/>
      <c r="CJ34" s="1368"/>
      <c r="CK34" s="1368"/>
      <c r="CL34" s="1368"/>
      <c r="CM34" s="1369"/>
      <c r="CN34" s="1420"/>
      <c r="CO34" s="1368"/>
      <c r="CP34" s="1368"/>
      <c r="CQ34" s="1368"/>
      <c r="CR34" s="1369"/>
      <c r="CS34" s="1420"/>
      <c r="CT34" s="1368"/>
      <c r="CU34" s="1368"/>
      <c r="CV34" s="1368"/>
      <c r="CW34" s="1369"/>
      <c r="CX34" s="1420"/>
      <c r="CY34" s="1368"/>
      <c r="CZ34" s="1368"/>
      <c r="DA34" s="1368"/>
      <c r="DB34" s="1369"/>
      <c r="DC34" s="1368"/>
      <c r="DD34" s="1368"/>
      <c r="DE34" s="1368"/>
      <c r="DF34" s="1368"/>
      <c r="DG34" s="1369"/>
      <c r="DH34" s="1420"/>
      <c r="DI34" s="1368"/>
      <c r="DJ34" s="1368"/>
      <c r="DK34" s="1368"/>
      <c r="DL34" s="1369"/>
      <c r="DM34" s="1808"/>
      <c r="DN34" s="1809"/>
      <c r="DO34" s="1809"/>
      <c r="DP34" s="1810"/>
      <c r="DQ34" s="1809"/>
      <c r="DR34" s="1809"/>
      <c r="DS34" s="1809"/>
      <c r="DT34" s="1810"/>
      <c r="DU34" s="1377"/>
      <c r="DV34" s="1729"/>
      <c r="DW34" s="1811"/>
    </row>
    <row r="35" spans="1:127" s="397" customFormat="1" ht="15.75" hidden="1" customHeight="1">
      <c r="A35" s="1097" t="s">
        <v>1060</v>
      </c>
      <c r="B35" s="1057">
        <v>26</v>
      </c>
      <c r="C35" s="1018"/>
      <c r="D35" s="1018"/>
      <c r="E35" s="1018"/>
      <c r="F35" s="1018"/>
      <c r="G35" s="1018"/>
      <c r="H35" s="1018"/>
      <c r="I35" s="1018"/>
      <c r="J35" s="1018"/>
      <c r="K35" s="1018"/>
      <c r="L35" s="1018"/>
      <c r="M35" s="1057"/>
      <c r="N35" s="1018"/>
      <c r="O35" s="1018"/>
      <c r="P35" s="1018"/>
      <c r="Q35" s="1018"/>
      <c r="R35" s="1018"/>
      <c r="S35" s="1018"/>
      <c r="T35" s="1019"/>
      <c r="U35" s="1098" t="s">
        <v>2022</v>
      </c>
      <c r="V35" s="1099" t="s">
        <v>1929</v>
      </c>
      <c r="W35" s="1099" t="s">
        <v>1907</v>
      </c>
      <c r="X35" s="1100" t="s">
        <v>2023</v>
      </c>
      <c r="Y35" s="1101" t="s">
        <v>2024</v>
      </c>
      <c r="Z35" s="1102" t="s">
        <v>2025</v>
      </c>
      <c r="AA35" s="1103" t="s">
        <v>1942</v>
      </c>
      <c r="AB35" s="1104" t="s">
        <v>1942</v>
      </c>
      <c r="AC35" s="1104" t="s">
        <v>1942</v>
      </c>
      <c r="AD35" s="1104" t="s">
        <v>1942</v>
      </c>
      <c r="AE35" s="1104">
        <v>1</v>
      </c>
      <c r="AF35" s="1104" t="s">
        <v>1942</v>
      </c>
      <c r="AG35" s="1104" t="s">
        <v>1942</v>
      </c>
      <c r="AH35" s="1104" t="s">
        <v>1942</v>
      </c>
      <c r="AI35" s="1105">
        <f t="shared" si="0"/>
        <v>1</v>
      </c>
      <c r="AJ35" s="1106" t="s">
        <v>1007</v>
      </c>
      <c r="AK35" s="1106" t="s">
        <v>1942</v>
      </c>
      <c r="AL35" s="1106" t="s">
        <v>1942</v>
      </c>
      <c r="AM35" s="1107" t="s">
        <v>1947</v>
      </c>
      <c r="AN35" s="1018" t="s">
        <v>278</v>
      </c>
      <c r="AO35" s="1018" t="s">
        <v>1948</v>
      </c>
      <c r="AP35" s="1274">
        <v>0</v>
      </c>
      <c r="AQ35" s="1076" t="s">
        <v>1010</v>
      </c>
      <c r="AR35" s="1109" t="s">
        <v>1942</v>
      </c>
      <c r="AS35" s="1110"/>
      <c r="AT35" s="1100"/>
      <c r="AU35" s="1100"/>
      <c r="AV35" s="1100"/>
      <c r="AW35" s="1111"/>
      <c r="AX35" s="1112"/>
      <c r="AY35" s="1075"/>
      <c r="AZ35" s="1076"/>
      <c r="BA35" s="1076"/>
      <c r="BB35" s="1076"/>
      <c r="BC35" s="1076"/>
      <c r="BD35" s="1076"/>
      <c r="BE35" s="1076"/>
      <c r="BF35" s="1076"/>
      <c r="BG35" s="1076"/>
      <c r="BH35" s="1076"/>
      <c r="BI35" s="1420"/>
      <c r="BJ35" s="1368"/>
      <c r="BK35" s="1368"/>
      <c r="BL35" s="1368"/>
      <c r="BM35" s="1368"/>
      <c r="BN35" s="1075"/>
      <c r="BO35" s="1076"/>
      <c r="BP35" s="1076"/>
      <c r="BQ35" s="1076"/>
      <c r="BR35" s="1076"/>
      <c r="BS35" s="1115"/>
      <c r="BT35" s="1076"/>
      <c r="BU35" s="1076"/>
      <c r="BV35" s="1076"/>
      <c r="BW35" s="1116"/>
      <c r="BX35" s="1115"/>
      <c r="BY35" s="1076"/>
      <c r="BZ35" s="1076"/>
      <c r="CA35" s="1076"/>
      <c r="CB35" s="1116"/>
      <c r="CC35" s="1117"/>
      <c r="CD35" s="1376"/>
      <c r="CE35" s="1377"/>
      <c r="CF35" s="1377"/>
      <c r="CG35" s="1377"/>
      <c r="CH35" s="1440"/>
      <c r="CI35" s="1420"/>
      <c r="CJ35" s="1368"/>
      <c r="CK35" s="1368"/>
      <c r="CL35" s="1368"/>
      <c r="CM35" s="1369"/>
      <c r="CN35" s="1420"/>
      <c r="CO35" s="1368"/>
      <c r="CP35" s="1368"/>
      <c r="CQ35" s="1368"/>
      <c r="CR35" s="1369"/>
      <c r="CS35" s="1420"/>
      <c r="CT35" s="1368"/>
      <c r="CU35" s="1368"/>
      <c r="CV35" s="1368"/>
      <c r="CW35" s="1369"/>
      <c r="CX35" s="1420"/>
      <c r="CY35" s="1368"/>
      <c r="CZ35" s="1368"/>
      <c r="DA35" s="1368"/>
      <c r="DB35" s="1369"/>
      <c r="DC35" s="1368"/>
      <c r="DD35" s="1368"/>
      <c r="DE35" s="1368"/>
      <c r="DF35" s="1368"/>
      <c r="DG35" s="1369"/>
      <c r="DH35" s="1420"/>
      <c r="DI35" s="1368"/>
      <c r="DJ35" s="1368"/>
      <c r="DK35" s="1368"/>
      <c r="DL35" s="1369"/>
      <c r="DM35" s="1808"/>
      <c r="DN35" s="1809"/>
      <c r="DO35" s="1809"/>
      <c r="DP35" s="1810"/>
      <c r="DQ35" s="1809"/>
      <c r="DR35" s="1809"/>
      <c r="DS35" s="1809"/>
      <c r="DT35" s="1810"/>
      <c r="DU35" s="1377"/>
      <c r="DV35" s="1729"/>
      <c r="DW35" s="1811"/>
    </row>
    <row r="36" spans="1:127" s="397" customFormat="1" ht="15.75" hidden="1" customHeight="1">
      <c r="A36" s="1097" t="s">
        <v>1060</v>
      </c>
      <c r="B36" s="1057">
        <v>27</v>
      </c>
      <c r="C36" s="1018"/>
      <c r="D36" s="1018"/>
      <c r="E36" s="1018"/>
      <c r="F36" s="1018"/>
      <c r="G36" s="1018"/>
      <c r="H36" s="1018"/>
      <c r="I36" s="1018"/>
      <c r="J36" s="1018"/>
      <c r="K36" s="1018"/>
      <c r="L36" s="1018"/>
      <c r="M36" s="1057"/>
      <c r="N36" s="1018"/>
      <c r="O36" s="1018"/>
      <c r="P36" s="1018"/>
      <c r="Q36" s="1018"/>
      <c r="R36" s="1018"/>
      <c r="S36" s="1018"/>
      <c r="T36" s="1019"/>
      <c r="U36" s="1098" t="s">
        <v>2026</v>
      </c>
      <c r="V36" s="1099" t="s">
        <v>1929</v>
      </c>
      <c r="W36" s="1099" t="s">
        <v>1889</v>
      </c>
      <c r="X36" s="1100" t="s">
        <v>2027</v>
      </c>
      <c r="Y36" s="1101" t="s">
        <v>2028</v>
      </c>
      <c r="Z36" s="1102" t="s">
        <v>2028</v>
      </c>
      <c r="AA36" s="1103" t="s">
        <v>1942</v>
      </c>
      <c r="AB36" s="1104" t="s">
        <v>1942</v>
      </c>
      <c r="AC36" s="1104" t="s">
        <v>1942</v>
      </c>
      <c r="AD36" s="1104" t="s">
        <v>1942</v>
      </c>
      <c r="AE36" s="1104">
        <v>1</v>
      </c>
      <c r="AF36" s="1104" t="s">
        <v>1942</v>
      </c>
      <c r="AG36" s="1104" t="s">
        <v>1942</v>
      </c>
      <c r="AH36" s="1104" t="s">
        <v>1942</v>
      </c>
      <c r="AI36" s="1105">
        <f t="shared" si="0"/>
        <v>1</v>
      </c>
      <c r="AJ36" s="1106" t="s">
        <v>1007</v>
      </c>
      <c r="AK36" s="1106" t="s">
        <v>1942</v>
      </c>
      <c r="AL36" s="1106" t="s">
        <v>1942</v>
      </c>
      <c r="AM36" s="1107" t="s">
        <v>2029</v>
      </c>
      <c r="AN36" s="1018" t="s">
        <v>396</v>
      </c>
      <c r="AO36" s="1018" t="s">
        <v>2030</v>
      </c>
      <c r="AP36" s="1274">
        <v>2</v>
      </c>
      <c r="AQ36" s="1076" t="s">
        <v>396</v>
      </c>
      <c r="AR36" s="1109" t="s">
        <v>1942</v>
      </c>
      <c r="AS36" s="1110"/>
      <c r="AT36" s="1100"/>
      <c r="AU36" s="1100"/>
      <c r="AV36" s="1100"/>
      <c r="AW36" s="1111"/>
      <c r="AX36" s="1112"/>
      <c r="AY36" s="1075"/>
      <c r="AZ36" s="1076"/>
      <c r="BA36" s="1076"/>
      <c r="BB36" s="1076"/>
      <c r="BC36" s="1076"/>
      <c r="BD36" s="1076"/>
      <c r="BE36" s="1076"/>
      <c r="BF36" s="1076"/>
      <c r="BG36" s="1076"/>
      <c r="BH36" s="1076"/>
      <c r="BI36" s="1420"/>
      <c r="BJ36" s="1368"/>
      <c r="BK36" s="1368"/>
      <c r="BL36" s="1368"/>
      <c r="BM36" s="1368"/>
      <c r="BN36" s="1075"/>
      <c r="BO36" s="1076"/>
      <c r="BP36" s="1076"/>
      <c r="BQ36" s="1076"/>
      <c r="BR36" s="1076"/>
      <c r="BS36" s="1115"/>
      <c r="BT36" s="1076"/>
      <c r="BU36" s="1076"/>
      <c r="BV36" s="1076"/>
      <c r="BW36" s="1116"/>
      <c r="BX36" s="1115"/>
      <c r="BY36" s="1076"/>
      <c r="BZ36" s="1076"/>
      <c r="CA36" s="1076"/>
      <c r="CB36" s="1116"/>
      <c r="CC36" s="1117"/>
      <c r="CD36" s="1376"/>
      <c r="CE36" s="1377"/>
      <c r="CF36" s="1377"/>
      <c r="CG36" s="1377"/>
      <c r="CH36" s="1440"/>
      <c r="CI36" s="1420"/>
      <c r="CJ36" s="1368"/>
      <c r="CK36" s="1368"/>
      <c r="CL36" s="1368"/>
      <c r="CM36" s="1369"/>
      <c r="CN36" s="1420"/>
      <c r="CO36" s="1368"/>
      <c r="CP36" s="1368"/>
      <c r="CQ36" s="1368"/>
      <c r="CR36" s="1369"/>
      <c r="CS36" s="1420"/>
      <c r="CT36" s="1368"/>
      <c r="CU36" s="1368"/>
      <c r="CV36" s="1368"/>
      <c r="CW36" s="1369"/>
      <c r="CX36" s="1420"/>
      <c r="CY36" s="1368"/>
      <c r="CZ36" s="1368"/>
      <c r="DA36" s="1368"/>
      <c r="DB36" s="1369"/>
      <c r="DC36" s="1368"/>
      <c r="DD36" s="1368"/>
      <c r="DE36" s="1368"/>
      <c r="DF36" s="1368"/>
      <c r="DG36" s="1369"/>
      <c r="DH36" s="1420"/>
      <c r="DI36" s="1368"/>
      <c r="DJ36" s="1368"/>
      <c r="DK36" s="1368"/>
      <c r="DL36" s="1369"/>
      <c r="DM36" s="1808"/>
      <c r="DN36" s="1809"/>
      <c r="DO36" s="1809"/>
      <c r="DP36" s="1810"/>
      <c r="DQ36" s="1809"/>
      <c r="DR36" s="1809"/>
      <c r="DS36" s="1809"/>
      <c r="DT36" s="1810"/>
      <c r="DU36" s="1377"/>
      <c r="DV36" s="1729"/>
      <c r="DW36" s="1811"/>
    </row>
    <row r="37" spans="1:127" s="397" customFormat="1" ht="15.75" hidden="1" customHeight="1">
      <c r="A37" s="1097" t="s">
        <v>1060</v>
      </c>
      <c r="B37" s="1057">
        <v>28</v>
      </c>
      <c r="C37" s="1018"/>
      <c r="D37" s="1018"/>
      <c r="E37" s="1018"/>
      <c r="F37" s="1018"/>
      <c r="G37" s="1018"/>
      <c r="H37" s="1018"/>
      <c r="I37" s="1018"/>
      <c r="J37" s="1018"/>
      <c r="K37" s="1018"/>
      <c r="L37" s="1018"/>
      <c r="M37" s="1057"/>
      <c r="N37" s="1018"/>
      <c r="O37" s="1018"/>
      <c r="P37" s="1018"/>
      <c r="Q37" s="1018"/>
      <c r="R37" s="1018"/>
      <c r="S37" s="1018"/>
      <c r="T37" s="1019"/>
      <c r="U37" s="1098" t="s">
        <v>2031</v>
      </c>
      <c r="V37" s="1099" t="s">
        <v>1942</v>
      </c>
      <c r="W37" s="1099" t="s">
        <v>1942</v>
      </c>
      <c r="X37" s="1100" t="s">
        <v>2032</v>
      </c>
      <c r="Y37" s="1101" t="s">
        <v>2033</v>
      </c>
      <c r="Z37" s="1102" t="s">
        <v>1942</v>
      </c>
      <c r="AA37" s="1103" t="s">
        <v>1942</v>
      </c>
      <c r="AB37" s="1104" t="s">
        <v>1942</v>
      </c>
      <c r="AC37" s="1104" t="s">
        <v>1942</v>
      </c>
      <c r="AD37" s="1104" t="s">
        <v>1942</v>
      </c>
      <c r="AE37" s="1104" t="s">
        <v>1942</v>
      </c>
      <c r="AF37" s="1104" t="s">
        <v>1942</v>
      </c>
      <c r="AG37" s="1104" t="s">
        <v>1942</v>
      </c>
      <c r="AH37" s="1104" t="s">
        <v>1942</v>
      </c>
      <c r="AI37" s="1105">
        <f t="shared" si="0"/>
        <v>0</v>
      </c>
      <c r="AJ37" s="1106" t="s">
        <v>1007</v>
      </c>
      <c r="AK37" s="1106" t="s">
        <v>1942</v>
      </c>
      <c r="AL37" s="1106" t="s">
        <v>1942</v>
      </c>
      <c r="AM37" s="1107" t="s">
        <v>1942</v>
      </c>
      <c r="AN37" s="1018" t="s">
        <v>1072</v>
      </c>
      <c r="AO37" s="1018" t="s">
        <v>2034</v>
      </c>
      <c r="AP37" s="1275">
        <v>0</v>
      </c>
      <c r="AQ37" s="1076" t="s">
        <v>1942</v>
      </c>
      <c r="AR37" s="1109" t="s">
        <v>1942</v>
      </c>
      <c r="AS37" s="1110"/>
      <c r="AT37" s="1100"/>
      <c r="AU37" s="1100"/>
      <c r="AV37" s="1100"/>
      <c r="AW37" s="1111"/>
      <c r="AX37" s="1112"/>
      <c r="AY37" s="1075"/>
      <c r="AZ37" s="1076"/>
      <c r="BA37" s="1076"/>
      <c r="BB37" s="1076"/>
      <c r="BC37" s="1076"/>
      <c r="BD37" s="1076"/>
      <c r="BE37" s="1076"/>
      <c r="BF37" s="1076"/>
      <c r="BG37" s="1076"/>
      <c r="BH37" s="1076"/>
      <c r="BI37" s="1420"/>
      <c r="BJ37" s="1368"/>
      <c r="BK37" s="1368"/>
      <c r="BL37" s="1368"/>
      <c r="BM37" s="1368"/>
      <c r="BN37" s="1075"/>
      <c r="BO37" s="1076"/>
      <c r="BP37" s="1076"/>
      <c r="BQ37" s="1076"/>
      <c r="BR37" s="1076"/>
      <c r="BS37" s="1115"/>
      <c r="BT37" s="1076"/>
      <c r="BU37" s="1076"/>
      <c r="BV37" s="1076"/>
      <c r="BW37" s="1116"/>
      <c r="BX37" s="1115"/>
      <c r="BY37" s="1076"/>
      <c r="BZ37" s="1076"/>
      <c r="CA37" s="1076"/>
      <c r="CB37" s="1116"/>
      <c r="CC37" s="1117"/>
      <c r="CD37" s="1376"/>
      <c r="CE37" s="1377"/>
      <c r="CF37" s="1377"/>
      <c r="CG37" s="1377"/>
      <c r="CH37" s="1440"/>
      <c r="CI37" s="1420"/>
      <c r="CJ37" s="1368"/>
      <c r="CK37" s="1368"/>
      <c r="CL37" s="1368"/>
      <c r="CM37" s="1369"/>
      <c r="CN37" s="1420"/>
      <c r="CO37" s="1368"/>
      <c r="CP37" s="1368"/>
      <c r="CQ37" s="1368"/>
      <c r="CR37" s="1369"/>
      <c r="CS37" s="1420"/>
      <c r="CT37" s="1368"/>
      <c r="CU37" s="1368"/>
      <c r="CV37" s="1368"/>
      <c r="CW37" s="1369"/>
      <c r="CX37" s="1420"/>
      <c r="CY37" s="1368"/>
      <c r="CZ37" s="1368"/>
      <c r="DA37" s="1368"/>
      <c r="DB37" s="1369"/>
      <c r="DC37" s="1368"/>
      <c r="DD37" s="1368"/>
      <c r="DE37" s="1368"/>
      <c r="DF37" s="1368"/>
      <c r="DG37" s="1369"/>
      <c r="DH37" s="1420"/>
      <c r="DI37" s="1368"/>
      <c r="DJ37" s="1368"/>
      <c r="DK37" s="1368"/>
      <c r="DL37" s="1369"/>
      <c r="DM37" s="1808"/>
      <c r="DN37" s="1809"/>
      <c r="DO37" s="1809"/>
      <c r="DP37" s="1810"/>
      <c r="DQ37" s="1809"/>
      <c r="DR37" s="1809"/>
      <c r="DS37" s="1809"/>
      <c r="DT37" s="1810"/>
      <c r="DU37" s="1377"/>
      <c r="DV37" s="1729"/>
      <c r="DW37" s="1811"/>
    </row>
    <row r="38" spans="1:127" s="397" customFormat="1" ht="15.75" hidden="1" customHeight="1">
      <c r="A38" s="1097" t="s">
        <v>1015</v>
      </c>
      <c r="B38" s="1057">
        <v>29</v>
      </c>
      <c r="C38" s="1018"/>
      <c r="D38" s="1018"/>
      <c r="E38" s="1018"/>
      <c r="F38" s="1018"/>
      <c r="G38" s="1018"/>
      <c r="H38" s="1018"/>
      <c r="I38" s="1018"/>
      <c r="J38" s="1018"/>
      <c r="K38" s="1018"/>
      <c r="L38" s="1018"/>
      <c r="M38" s="1057"/>
      <c r="N38" s="1018"/>
      <c r="O38" s="1018"/>
      <c r="P38" s="1018"/>
      <c r="Q38" s="1018"/>
      <c r="R38" s="1018"/>
      <c r="S38" s="1018"/>
      <c r="T38" s="1019"/>
      <c r="U38" s="1098" t="s">
        <v>2035</v>
      </c>
      <c r="V38" s="1099" t="s">
        <v>2036</v>
      </c>
      <c r="W38" s="1099" t="s">
        <v>1907</v>
      </c>
      <c r="X38" s="1100">
        <v>1</v>
      </c>
      <c r="Y38" s="1101" t="s">
        <v>1931</v>
      </c>
      <c r="Z38" s="1102" t="s">
        <v>2037</v>
      </c>
      <c r="AA38" s="1103" t="s">
        <v>1942</v>
      </c>
      <c r="AB38" s="1104" t="s">
        <v>1942</v>
      </c>
      <c r="AC38" s="1104" t="s">
        <v>1942</v>
      </c>
      <c r="AD38" s="1104" t="s">
        <v>1942</v>
      </c>
      <c r="AE38" s="1104">
        <v>1</v>
      </c>
      <c r="AF38" s="1104" t="s">
        <v>1942</v>
      </c>
      <c r="AG38" s="1104" t="s">
        <v>1942</v>
      </c>
      <c r="AH38" s="1104" t="s">
        <v>1942</v>
      </c>
      <c r="AI38" s="1105">
        <f t="shared" si="0"/>
        <v>1</v>
      </c>
      <c r="AJ38" s="1106" t="s">
        <v>1030</v>
      </c>
      <c r="AK38" s="1106" t="s">
        <v>1008</v>
      </c>
      <c r="AL38" s="1106" t="s">
        <v>1009</v>
      </c>
      <c r="AM38" s="1107" t="s">
        <v>1069</v>
      </c>
      <c r="AN38" s="1018" t="s">
        <v>1081</v>
      </c>
      <c r="AO38" s="1018" t="s">
        <v>2038</v>
      </c>
      <c r="AP38" s="1070">
        <v>2</v>
      </c>
      <c r="AQ38" s="1108" t="s">
        <v>1010</v>
      </c>
      <c r="AR38" s="1109" t="s">
        <v>1931</v>
      </c>
      <c r="AS38" s="1110"/>
      <c r="AT38" s="1100"/>
      <c r="AU38" s="1100"/>
      <c r="AV38" s="1100"/>
      <c r="AW38" s="1111"/>
      <c r="AX38" s="1112"/>
      <c r="AY38" s="1075"/>
      <c r="AZ38" s="1076"/>
      <c r="BA38" s="1076"/>
      <c r="BB38" s="1076"/>
      <c r="BC38" s="1076"/>
      <c r="BD38" s="1076"/>
      <c r="BE38" s="1076"/>
      <c r="BF38" s="1076"/>
      <c r="BG38" s="1076"/>
      <c r="BH38" s="1076"/>
      <c r="BI38" s="1075" t="s">
        <v>1942</v>
      </c>
      <c r="BJ38" s="1076" t="s">
        <v>1942</v>
      </c>
      <c r="BK38" s="1076" t="s">
        <v>1942</v>
      </c>
      <c r="BL38" s="1076" t="s">
        <v>1942</v>
      </c>
      <c r="BM38" s="1076" t="s">
        <v>1942</v>
      </c>
      <c r="BN38" s="1075"/>
      <c r="BO38" s="1076"/>
      <c r="BP38" s="1076"/>
      <c r="BQ38" s="1076"/>
      <c r="BR38" s="1076"/>
      <c r="BS38" s="1115"/>
      <c r="BT38" s="1076"/>
      <c r="BU38" s="1076"/>
      <c r="BV38" s="1076"/>
      <c r="BW38" s="1116"/>
      <c r="BX38" s="1115"/>
      <c r="BY38" s="1076"/>
      <c r="BZ38" s="1076"/>
      <c r="CA38" s="1076"/>
      <c r="CB38" s="1116"/>
      <c r="CC38" s="1117"/>
      <c r="CD38" s="1118" t="s">
        <v>168</v>
      </c>
      <c r="CE38" s="1119" t="s">
        <v>168</v>
      </c>
      <c r="CF38" s="1119" t="s">
        <v>168</v>
      </c>
      <c r="CG38" s="1119" t="s">
        <v>168</v>
      </c>
      <c r="CH38" s="1120" t="s">
        <v>168</v>
      </c>
      <c r="CI38" s="1075" t="s">
        <v>1942</v>
      </c>
      <c r="CJ38" s="1076" t="s">
        <v>1942</v>
      </c>
      <c r="CK38" s="1076" t="s">
        <v>1942</v>
      </c>
      <c r="CL38" s="1076" t="s">
        <v>1942</v>
      </c>
      <c r="CM38" s="1117" t="s">
        <v>1942</v>
      </c>
      <c r="CN38" s="1075" t="s">
        <v>1942</v>
      </c>
      <c r="CO38" s="1076" t="s">
        <v>1942</v>
      </c>
      <c r="CP38" s="1076" t="s">
        <v>1942</v>
      </c>
      <c r="CQ38" s="1076" t="s">
        <v>1942</v>
      </c>
      <c r="CR38" s="1117" t="s">
        <v>1942</v>
      </c>
      <c r="CS38" s="1075" t="s">
        <v>1942</v>
      </c>
      <c r="CT38" s="1076" t="s">
        <v>1942</v>
      </c>
      <c r="CU38" s="1076" t="s">
        <v>1942</v>
      </c>
      <c r="CV38" s="1076" t="s">
        <v>1942</v>
      </c>
      <c r="CW38" s="1117" t="s">
        <v>1942</v>
      </c>
      <c r="CX38" s="1075" t="s">
        <v>1942</v>
      </c>
      <c r="CY38" s="1076" t="s">
        <v>1942</v>
      </c>
      <c r="CZ38" s="1076" t="s">
        <v>1942</v>
      </c>
      <c r="DA38" s="1076" t="s">
        <v>1942</v>
      </c>
      <c r="DB38" s="1117" t="s">
        <v>1942</v>
      </c>
      <c r="DC38" s="1076" t="s">
        <v>1942</v>
      </c>
      <c r="DD38" s="1076" t="s">
        <v>1942</v>
      </c>
      <c r="DE38" s="1076" t="s">
        <v>1942</v>
      </c>
      <c r="DF38" s="1076" t="s">
        <v>1942</v>
      </c>
      <c r="DG38" s="1117" t="s">
        <v>1942</v>
      </c>
      <c r="DH38" s="1075" t="s">
        <v>1942</v>
      </c>
      <c r="DI38" s="1076" t="s">
        <v>1942</v>
      </c>
      <c r="DJ38" s="1076" t="s">
        <v>1942</v>
      </c>
      <c r="DK38" s="1076" t="s">
        <v>1942</v>
      </c>
      <c r="DL38" s="1117" t="s">
        <v>1942</v>
      </c>
      <c r="DM38" s="1121" t="s">
        <v>1942</v>
      </c>
      <c r="DN38" s="1122" t="s">
        <v>1942</v>
      </c>
      <c r="DO38" s="1122" t="s">
        <v>1942</v>
      </c>
      <c r="DP38" s="1123" t="s">
        <v>1942</v>
      </c>
      <c r="DQ38" s="1122" t="s">
        <v>1942</v>
      </c>
      <c r="DR38" s="1122" t="s">
        <v>1942</v>
      </c>
      <c r="DS38" s="1122" t="s">
        <v>1942</v>
      </c>
      <c r="DT38" s="1123" t="s">
        <v>1942</v>
      </c>
      <c r="DU38" s="1119" t="s">
        <v>131</v>
      </c>
      <c r="DV38" s="1124">
        <v>1</v>
      </c>
      <c r="DW38" s="1125" t="s">
        <v>1942</v>
      </c>
    </row>
    <row r="39" spans="1:127" s="397" customFormat="1" ht="15.75" hidden="1" customHeight="1">
      <c r="A39" s="1097" t="s">
        <v>1015</v>
      </c>
      <c r="B39" s="1057">
        <v>30</v>
      </c>
      <c r="C39" s="1018"/>
      <c r="D39" s="1018"/>
      <c r="E39" s="1018"/>
      <c r="F39" s="1018"/>
      <c r="G39" s="1018"/>
      <c r="H39" s="1018"/>
      <c r="I39" s="1018"/>
      <c r="J39" s="1018"/>
      <c r="K39" s="1018"/>
      <c r="L39" s="1018"/>
      <c r="M39" s="1057"/>
      <c r="N39" s="1018"/>
      <c r="O39" s="1018"/>
      <c r="P39" s="1018"/>
      <c r="Q39" s="1018"/>
      <c r="R39" s="1018"/>
      <c r="S39" s="1018"/>
      <c r="T39" s="1019"/>
      <c r="U39" s="1098" t="s">
        <v>2039</v>
      </c>
      <c r="V39" s="1099" t="s">
        <v>2036</v>
      </c>
      <c r="W39" s="1099" t="s">
        <v>1907</v>
      </c>
      <c r="X39" s="1100">
        <v>2</v>
      </c>
      <c r="Y39" s="1101" t="s">
        <v>1935</v>
      </c>
      <c r="Z39" s="1102" t="s">
        <v>2040</v>
      </c>
      <c r="AA39" s="1103" t="s">
        <v>1942</v>
      </c>
      <c r="AB39" s="1104">
        <v>0.56000000000000005</v>
      </c>
      <c r="AC39" s="1104">
        <v>0.44</v>
      </c>
      <c r="AD39" s="1104" t="s">
        <v>1942</v>
      </c>
      <c r="AE39" s="1104" t="s">
        <v>1942</v>
      </c>
      <c r="AF39" s="1104" t="s">
        <v>1942</v>
      </c>
      <c r="AG39" s="1104" t="s">
        <v>1942</v>
      </c>
      <c r="AH39" s="1104" t="s">
        <v>1942</v>
      </c>
      <c r="AI39" s="1105">
        <f t="shared" si="0"/>
        <v>1</v>
      </c>
      <c r="AJ39" s="1106" t="s">
        <v>1030</v>
      </c>
      <c r="AK39" s="1106" t="s">
        <v>1008</v>
      </c>
      <c r="AL39" s="1106" t="s">
        <v>1009</v>
      </c>
      <c r="AM39" s="1107" t="s">
        <v>1073</v>
      </c>
      <c r="AN39" s="1018" t="s">
        <v>1081</v>
      </c>
      <c r="AO39" s="1018" t="s">
        <v>427</v>
      </c>
      <c r="AP39" s="1070">
        <v>2</v>
      </c>
      <c r="AQ39" s="1108" t="s">
        <v>1010</v>
      </c>
      <c r="AR39" s="1109" t="s">
        <v>1935</v>
      </c>
      <c r="AS39" s="1110"/>
      <c r="AT39" s="1100"/>
      <c r="AU39" s="1100"/>
      <c r="AV39" s="1100"/>
      <c r="AW39" s="1111"/>
      <c r="AX39" s="1112"/>
      <c r="AY39" s="1075"/>
      <c r="AZ39" s="1076"/>
      <c r="BA39" s="1076"/>
      <c r="BB39" s="1076"/>
      <c r="BC39" s="1076"/>
      <c r="BD39" s="1076"/>
      <c r="BE39" s="1076"/>
      <c r="BF39" s="1076"/>
      <c r="BG39" s="1076"/>
      <c r="BH39" s="1076"/>
      <c r="BI39" s="1075" t="s">
        <v>1942</v>
      </c>
      <c r="BJ39" s="1076" t="s">
        <v>1942</v>
      </c>
      <c r="BK39" s="1076" t="s">
        <v>1942</v>
      </c>
      <c r="BL39" s="1076" t="s">
        <v>1942</v>
      </c>
      <c r="BM39" s="1076" t="s">
        <v>1942</v>
      </c>
      <c r="BN39" s="1075"/>
      <c r="BO39" s="1076"/>
      <c r="BP39" s="1076"/>
      <c r="BQ39" s="1076"/>
      <c r="BR39" s="1076"/>
      <c r="BS39" s="1115"/>
      <c r="BT39" s="1076"/>
      <c r="BU39" s="1076"/>
      <c r="BV39" s="1076"/>
      <c r="BW39" s="1116"/>
      <c r="BX39" s="1115"/>
      <c r="BY39" s="1076"/>
      <c r="BZ39" s="1076"/>
      <c r="CA39" s="1076"/>
      <c r="CB39" s="1116"/>
      <c r="CC39" s="1117"/>
      <c r="CD39" s="1118" t="s">
        <v>168</v>
      </c>
      <c r="CE39" s="1119" t="s">
        <v>168</v>
      </c>
      <c r="CF39" s="1119" t="s">
        <v>168</v>
      </c>
      <c r="CG39" s="1119" t="s">
        <v>168</v>
      </c>
      <c r="CH39" s="1120" t="s">
        <v>168</v>
      </c>
      <c r="CI39" s="1134" t="s">
        <v>1942</v>
      </c>
      <c r="CJ39" s="1076" t="s">
        <v>1942</v>
      </c>
      <c r="CK39" s="1076" t="s">
        <v>1942</v>
      </c>
      <c r="CL39" s="1076" t="s">
        <v>1942</v>
      </c>
      <c r="CM39" s="1117" t="s">
        <v>1942</v>
      </c>
      <c r="CN39" s="1134" t="s">
        <v>1942</v>
      </c>
      <c r="CO39" s="1076" t="s">
        <v>1942</v>
      </c>
      <c r="CP39" s="1076" t="s">
        <v>1942</v>
      </c>
      <c r="CQ39" s="1076" t="s">
        <v>1942</v>
      </c>
      <c r="CR39" s="1117" t="s">
        <v>1942</v>
      </c>
      <c r="CS39" s="1134" t="s">
        <v>1942</v>
      </c>
      <c r="CT39" s="1076" t="s">
        <v>1942</v>
      </c>
      <c r="CU39" s="1076" t="s">
        <v>1942</v>
      </c>
      <c r="CV39" s="1076" t="s">
        <v>1942</v>
      </c>
      <c r="CW39" s="1117" t="s">
        <v>1942</v>
      </c>
      <c r="CX39" s="1134" t="s">
        <v>1942</v>
      </c>
      <c r="CY39" s="1076" t="s">
        <v>1942</v>
      </c>
      <c r="CZ39" s="1076" t="s">
        <v>1942</v>
      </c>
      <c r="DA39" s="1076" t="s">
        <v>1942</v>
      </c>
      <c r="DB39" s="1117" t="s">
        <v>1942</v>
      </c>
      <c r="DC39" s="1076" t="s">
        <v>1942</v>
      </c>
      <c r="DD39" s="1076" t="s">
        <v>1942</v>
      </c>
      <c r="DE39" s="1076" t="s">
        <v>1942</v>
      </c>
      <c r="DF39" s="1076" t="s">
        <v>1942</v>
      </c>
      <c r="DG39" s="1117" t="s">
        <v>1942</v>
      </c>
      <c r="DH39" s="1075" t="s">
        <v>1942</v>
      </c>
      <c r="DI39" s="1076" t="s">
        <v>1942</v>
      </c>
      <c r="DJ39" s="1076" t="s">
        <v>1942</v>
      </c>
      <c r="DK39" s="1076" t="s">
        <v>1942</v>
      </c>
      <c r="DL39" s="1117" t="s">
        <v>1942</v>
      </c>
      <c r="DM39" s="1121" t="s">
        <v>1942</v>
      </c>
      <c r="DN39" s="1122" t="s">
        <v>1942</v>
      </c>
      <c r="DO39" s="1122" t="s">
        <v>1942</v>
      </c>
      <c r="DP39" s="1123" t="s">
        <v>1942</v>
      </c>
      <c r="DQ39" s="1122" t="s">
        <v>1942</v>
      </c>
      <c r="DR39" s="1122" t="s">
        <v>1942</v>
      </c>
      <c r="DS39" s="1122" t="s">
        <v>1942</v>
      </c>
      <c r="DT39" s="1123" t="s">
        <v>1942</v>
      </c>
      <c r="DU39" s="1119" t="s">
        <v>131</v>
      </c>
      <c r="DV39" s="1124">
        <v>1</v>
      </c>
      <c r="DW39" s="1125" t="s">
        <v>1942</v>
      </c>
    </row>
    <row r="40" spans="1:127" s="397" customFormat="1" ht="15.75" hidden="1" customHeight="1">
      <c r="A40" s="1097" t="s">
        <v>1015</v>
      </c>
      <c r="B40" s="1057">
        <v>31</v>
      </c>
      <c r="C40" s="1018"/>
      <c r="D40" s="1018"/>
      <c r="E40" s="1018"/>
      <c r="F40" s="1018"/>
      <c r="G40" s="1018"/>
      <c r="H40" s="1018"/>
      <c r="I40" s="1018"/>
      <c r="J40" s="1018"/>
      <c r="K40" s="1018"/>
      <c r="L40" s="1018"/>
      <c r="M40" s="1057"/>
      <c r="N40" s="1018"/>
      <c r="O40" s="1018"/>
      <c r="P40" s="1018"/>
      <c r="Q40" s="1018"/>
      <c r="R40" s="1018"/>
      <c r="S40" s="1018"/>
      <c r="T40" s="1019"/>
      <c r="U40" s="1098" t="s">
        <v>2041</v>
      </c>
      <c r="V40" s="1099" t="s">
        <v>2042</v>
      </c>
      <c r="W40" s="1099" t="s">
        <v>1907</v>
      </c>
      <c r="X40" s="1100">
        <v>3</v>
      </c>
      <c r="Y40" s="1101" t="s">
        <v>130</v>
      </c>
      <c r="Z40" s="1102" t="s">
        <v>2043</v>
      </c>
      <c r="AA40" s="1103" t="s">
        <v>1942</v>
      </c>
      <c r="AB40" s="1104">
        <v>1</v>
      </c>
      <c r="AC40" s="1104" t="s">
        <v>1942</v>
      </c>
      <c r="AD40" s="1104" t="s">
        <v>1942</v>
      </c>
      <c r="AE40" s="1104" t="s">
        <v>1942</v>
      </c>
      <c r="AF40" s="1104" t="s">
        <v>1942</v>
      </c>
      <c r="AG40" s="1104" t="s">
        <v>1942</v>
      </c>
      <c r="AH40" s="1104" t="s">
        <v>1942</v>
      </c>
      <c r="AI40" s="1105">
        <f t="shared" si="0"/>
        <v>1</v>
      </c>
      <c r="AJ40" s="1106" t="s">
        <v>1026</v>
      </c>
      <c r="AK40" s="1106" t="s">
        <v>1008</v>
      </c>
      <c r="AL40" s="1106" t="s">
        <v>1009</v>
      </c>
      <c r="AM40" s="1107" t="s">
        <v>1926</v>
      </c>
      <c r="AN40" s="1018" t="s">
        <v>2177</v>
      </c>
      <c r="AO40" s="1018" t="s">
        <v>4795</v>
      </c>
      <c r="AP40" s="1314">
        <v>2</v>
      </c>
      <c r="AQ40" s="1108" t="s">
        <v>1020</v>
      </c>
      <c r="AR40" s="1109" t="s">
        <v>130</v>
      </c>
      <c r="AS40" s="1110"/>
      <c r="AT40" s="1100"/>
      <c r="AU40" s="1100"/>
      <c r="AV40" s="1100"/>
      <c r="AW40" s="1111"/>
      <c r="AX40" s="1112"/>
      <c r="AY40" s="1075"/>
      <c r="AZ40" s="1076"/>
      <c r="BA40" s="1076"/>
      <c r="BB40" s="1076"/>
      <c r="BC40" s="1076"/>
      <c r="BD40" s="1076"/>
      <c r="BE40" s="1076"/>
      <c r="BF40" s="1076"/>
      <c r="BG40" s="1126"/>
      <c r="BH40" s="1126"/>
      <c r="BI40" s="1127">
        <v>0</v>
      </c>
      <c r="BJ40" s="1126">
        <v>0</v>
      </c>
      <c r="BK40" s="1126">
        <v>0</v>
      </c>
      <c r="BL40" s="1126">
        <v>0</v>
      </c>
      <c r="BM40" s="1126">
        <v>0</v>
      </c>
      <c r="BN40" s="1075"/>
      <c r="BO40" s="1076"/>
      <c r="BP40" s="1076"/>
      <c r="BQ40" s="1076"/>
      <c r="BR40" s="1076"/>
      <c r="BS40" s="1115"/>
      <c r="BT40" s="1076"/>
      <c r="BU40" s="1076"/>
      <c r="BV40" s="1076"/>
      <c r="BW40" s="1116"/>
      <c r="BX40" s="1115"/>
      <c r="BY40" s="1076"/>
      <c r="BZ40" s="1076"/>
      <c r="CA40" s="1076"/>
      <c r="CB40" s="1116"/>
      <c r="CC40" s="1117"/>
      <c r="CD40" s="1118" t="s">
        <v>168</v>
      </c>
      <c r="CE40" s="1119" t="s">
        <v>168</v>
      </c>
      <c r="CF40" s="1119" t="s">
        <v>168</v>
      </c>
      <c r="CG40" s="1119" t="s">
        <v>168</v>
      </c>
      <c r="CH40" s="1120" t="s">
        <v>168</v>
      </c>
      <c r="CI40" s="1075" t="s">
        <v>1942</v>
      </c>
      <c r="CJ40" s="1076" t="s">
        <v>1942</v>
      </c>
      <c r="CK40" s="1076" t="s">
        <v>1942</v>
      </c>
      <c r="CL40" s="1076" t="s">
        <v>1942</v>
      </c>
      <c r="CM40" s="1117" t="s">
        <v>1942</v>
      </c>
      <c r="CN40" s="1075">
        <v>9.5</v>
      </c>
      <c r="CO40" s="1076">
        <v>9.5</v>
      </c>
      <c r="CP40" s="1076">
        <v>9.5</v>
      </c>
      <c r="CQ40" s="1076">
        <v>9.5</v>
      </c>
      <c r="CR40" s="1117">
        <v>9.5</v>
      </c>
      <c r="CS40" s="1075">
        <v>2</v>
      </c>
      <c r="CT40" s="1076">
        <v>2</v>
      </c>
      <c r="CU40" s="1210">
        <v>1.5</v>
      </c>
      <c r="CV40" s="1210">
        <v>1.5</v>
      </c>
      <c r="CW40" s="1211">
        <v>1.5</v>
      </c>
      <c r="CX40" s="1075" t="s">
        <v>1942</v>
      </c>
      <c r="CY40" s="1076" t="s">
        <v>1942</v>
      </c>
      <c r="CZ40" s="1076" t="s">
        <v>1942</v>
      </c>
      <c r="DA40" s="1076" t="s">
        <v>1942</v>
      </c>
      <c r="DB40" s="1117" t="s">
        <v>1942</v>
      </c>
      <c r="DC40" s="1076" t="s">
        <v>1942</v>
      </c>
      <c r="DD40" s="1076" t="s">
        <v>1942</v>
      </c>
      <c r="DE40" s="1076" t="s">
        <v>1942</v>
      </c>
      <c r="DF40" s="1076" t="s">
        <v>1942</v>
      </c>
      <c r="DG40" s="1117" t="s">
        <v>1942</v>
      </c>
      <c r="DH40" s="1075" t="s">
        <v>1942</v>
      </c>
      <c r="DI40" s="1076" t="s">
        <v>1942</v>
      </c>
      <c r="DJ40" s="1076" t="s">
        <v>1942</v>
      </c>
      <c r="DK40" s="1076" t="s">
        <v>1942</v>
      </c>
      <c r="DL40" s="1117" t="s">
        <v>1942</v>
      </c>
      <c r="DM40" s="1121">
        <v>-0.78800000000000003</v>
      </c>
      <c r="DN40" s="1122" t="s">
        <v>1942</v>
      </c>
      <c r="DO40" s="1122" t="s">
        <v>1942</v>
      </c>
      <c r="DP40" s="1123" t="s">
        <v>1942</v>
      </c>
      <c r="DQ40" s="1122">
        <v>0</v>
      </c>
      <c r="DR40" s="1122" t="s">
        <v>1942</v>
      </c>
      <c r="DS40" s="1122" t="s">
        <v>1942</v>
      </c>
      <c r="DT40" s="1123" t="s">
        <v>1942</v>
      </c>
      <c r="DU40" s="1119" t="s">
        <v>1942</v>
      </c>
      <c r="DV40" s="1124">
        <v>1</v>
      </c>
      <c r="DW40" s="1125" t="s">
        <v>1942</v>
      </c>
    </row>
    <row r="41" spans="1:127" s="397" customFormat="1" ht="15.75" hidden="1" customHeight="1">
      <c r="A41" s="1054" t="s">
        <v>1015</v>
      </c>
      <c r="B41" s="1055">
        <v>32</v>
      </c>
      <c r="C41" s="1018"/>
      <c r="D41" s="1018"/>
      <c r="E41" s="1018"/>
      <c r="F41" s="1018"/>
      <c r="G41" s="1018"/>
      <c r="H41" s="1018"/>
      <c r="I41" s="1018"/>
      <c r="J41" s="1018"/>
      <c r="K41" s="1018"/>
      <c r="L41" s="1018"/>
      <c r="M41" s="1057"/>
      <c r="N41" s="1018"/>
      <c r="O41" s="1018"/>
      <c r="P41" s="1018"/>
      <c r="Q41" s="1018"/>
      <c r="R41" s="1018"/>
      <c r="S41" s="1018"/>
      <c r="T41" s="1058"/>
      <c r="U41" s="1059" t="s">
        <v>2045</v>
      </c>
      <c r="V41" s="1060" t="s">
        <v>2036</v>
      </c>
      <c r="W41" s="1060" t="s">
        <v>1896</v>
      </c>
      <c r="X41" s="1061">
        <v>4</v>
      </c>
      <c r="Y41" s="1062" t="s">
        <v>137</v>
      </c>
      <c r="Z41" s="1063" t="s">
        <v>2046</v>
      </c>
      <c r="AA41" s="1064" t="s">
        <v>1942</v>
      </c>
      <c r="AB41" s="1065">
        <v>1</v>
      </c>
      <c r="AC41" s="1065" t="s">
        <v>1942</v>
      </c>
      <c r="AD41" s="1065" t="s">
        <v>1942</v>
      </c>
      <c r="AE41" s="1065" t="s">
        <v>1942</v>
      </c>
      <c r="AF41" s="1065" t="s">
        <v>1942</v>
      </c>
      <c r="AG41" s="1065" t="s">
        <v>1942</v>
      </c>
      <c r="AH41" s="1065" t="s">
        <v>1942</v>
      </c>
      <c r="AI41" s="1066">
        <f t="shared" si="0"/>
        <v>1</v>
      </c>
      <c r="AJ41" s="1067" t="s">
        <v>1030</v>
      </c>
      <c r="AK41" s="1067" t="s">
        <v>1008</v>
      </c>
      <c r="AL41" s="1067" t="s">
        <v>1009</v>
      </c>
      <c r="AM41" s="1068" t="s">
        <v>1892</v>
      </c>
      <c r="AN41" s="1062" t="s">
        <v>4789</v>
      </c>
      <c r="AO41" s="1062" t="s">
        <v>4790</v>
      </c>
      <c r="AP41" s="833">
        <v>0</v>
      </c>
      <c r="AQ41" s="1069" t="s">
        <v>1020</v>
      </c>
      <c r="AR41" s="1071" t="s">
        <v>137</v>
      </c>
      <c r="AS41" s="1072"/>
      <c r="AT41" s="1061"/>
      <c r="AU41" s="1061"/>
      <c r="AV41" s="1061"/>
      <c r="AW41" s="1073"/>
      <c r="AX41" s="1074"/>
      <c r="AY41" s="1075"/>
      <c r="AZ41" s="1129"/>
      <c r="BA41" s="1129"/>
      <c r="BB41" s="1129"/>
      <c r="BC41" s="1129"/>
      <c r="BD41" s="1129"/>
      <c r="BE41" s="1129"/>
      <c r="BF41" s="1129"/>
      <c r="BG41" s="1135"/>
      <c r="BH41" s="1135"/>
      <c r="BI41" s="1136">
        <v>4.5138888888888893E-3</v>
      </c>
      <c r="BJ41" s="1135">
        <v>4.2592592592592595E-3</v>
      </c>
      <c r="BK41" s="1135">
        <v>3.9930555555555561E-3</v>
      </c>
      <c r="BL41" s="1135">
        <v>3.7384259259259263E-3</v>
      </c>
      <c r="BM41" s="1135">
        <v>3.472222222222222E-3</v>
      </c>
      <c r="BN41" s="1136"/>
      <c r="BO41" s="1135"/>
      <c r="BP41" s="1135"/>
      <c r="BQ41" s="1135"/>
      <c r="BR41" s="1135"/>
      <c r="BS41" s="1137"/>
      <c r="BT41" s="1135"/>
      <c r="BU41" s="1135"/>
      <c r="BV41" s="1135"/>
      <c r="BW41" s="1138"/>
      <c r="BX41" s="1137"/>
      <c r="BY41" s="1135"/>
      <c r="BZ41" s="1135"/>
      <c r="CA41" s="1135"/>
      <c r="CB41" s="1138"/>
      <c r="CC41" s="1139"/>
      <c r="CD41" s="1084" t="s">
        <v>168</v>
      </c>
      <c r="CE41" s="1085" t="s">
        <v>168</v>
      </c>
      <c r="CF41" s="1085" t="s">
        <v>168</v>
      </c>
      <c r="CG41" s="1085" t="s">
        <v>168</v>
      </c>
      <c r="CH41" s="1086" t="s">
        <v>168</v>
      </c>
      <c r="CI41" s="1136" t="s">
        <v>1942</v>
      </c>
      <c r="CJ41" s="1135" t="s">
        <v>1942</v>
      </c>
      <c r="CK41" s="1135" t="s">
        <v>1942</v>
      </c>
      <c r="CL41" s="1135" t="s">
        <v>1942</v>
      </c>
      <c r="CM41" s="1139" t="s">
        <v>1942</v>
      </c>
      <c r="CN41" s="1136">
        <v>1.5798611111111114E-2</v>
      </c>
      <c r="CO41" s="1135">
        <v>1.5798611111111114E-2</v>
      </c>
      <c r="CP41" s="1135">
        <v>1.5798611111111114E-2</v>
      </c>
      <c r="CQ41" s="1135">
        <v>1.5798611111111114E-2</v>
      </c>
      <c r="CR41" s="1139">
        <v>1.5798611111111114E-2</v>
      </c>
      <c r="CS41" s="1359"/>
      <c r="CT41" s="1360"/>
      <c r="CU41" s="1360"/>
      <c r="CV41" s="1360"/>
      <c r="CW41" s="1361"/>
      <c r="CX41" s="1359"/>
      <c r="CY41" s="1360"/>
      <c r="CZ41" s="1360"/>
      <c r="DA41" s="1360"/>
      <c r="DB41" s="1361"/>
      <c r="DC41" s="1371">
        <v>3.9004629629629632E-3</v>
      </c>
      <c r="DD41" s="1371">
        <v>3.3912037037037036E-3</v>
      </c>
      <c r="DE41" s="1371">
        <v>2.8356481481481479E-3</v>
      </c>
      <c r="DF41" s="1371">
        <v>2.2800925925925927E-3</v>
      </c>
      <c r="DG41" s="1372">
        <v>1.689814814814815E-3</v>
      </c>
      <c r="DH41" s="1136" t="s">
        <v>1942</v>
      </c>
      <c r="DI41" s="1135" t="s">
        <v>1942</v>
      </c>
      <c r="DJ41" s="1135" t="s">
        <v>1942</v>
      </c>
      <c r="DK41" s="1135" t="s">
        <v>1942</v>
      </c>
      <c r="DL41" s="1139" t="s">
        <v>1942</v>
      </c>
      <c r="DM41" s="1091">
        <v>-1.1459999999999999</v>
      </c>
      <c r="DN41" s="1092" t="s">
        <v>1942</v>
      </c>
      <c r="DO41" s="1092" t="s">
        <v>1942</v>
      </c>
      <c r="DP41" s="1093" t="s">
        <v>1942</v>
      </c>
      <c r="DQ41" s="1092">
        <v>1.1459999999999999</v>
      </c>
      <c r="DR41" s="1092" t="s">
        <v>1942</v>
      </c>
      <c r="DS41" s="1092" t="s">
        <v>1942</v>
      </c>
      <c r="DT41" s="1093" t="s">
        <v>1942</v>
      </c>
      <c r="DU41" s="1085" t="s">
        <v>1942</v>
      </c>
      <c r="DV41" s="1094">
        <v>1</v>
      </c>
      <c r="DW41" s="1095" t="s">
        <v>1942</v>
      </c>
    </row>
    <row r="42" spans="1:127" s="397" customFormat="1" ht="15.75" hidden="1" customHeight="1">
      <c r="A42" s="1054" t="s">
        <v>1015</v>
      </c>
      <c r="B42" s="1055">
        <v>33</v>
      </c>
      <c r="C42" s="1018"/>
      <c r="D42" s="1018"/>
      <c r="E42" s="1018"/>
      <c r="F42" s="1018"/>
      <c r="G42" s="1018"/>
      <c r="H42" s="1018"/>
      <c r="I42" s="1018"/>
      <c r="J42" s="1018"/>
      <c r="K42" s="1018"/>
      <c r="L42" s="1018"/>
      <c r="M42" s="1057"/>
      <c r="N42" s="1018"/>
      <c r="O42" s="1018"/>
      <c r="P42" s="1018"/>
      <c r="Q42" s="1018"/>
      <c r="R42" s="1018"/>
      <c r="S42" s="1018"/>
      <c r="T42" s="1058"/>
      <c r="U42" s="1059" t="s">
        <v>2048</v>
      </c>
      <c r="V42" s="1060" t="s">
        <v>2049</v>
      </c>
      <c r="W42" s="1060" t="s">
        <v>1889</v>
      </c>
      <c r="X42" s="1061">
        <v>5</v>
      </c>
      <c r="Y42" s="1062" t="s">
        <v>669</v>
      </c>
      <c r="Z42" s="1063" t="s">
        <v>2050</v>
      </c>
      <c r="AA42" s="1064" t="s">
        <v>1942</v>
      </c>
      <c r="AB42" s="1065">
        <v>1</v>
      </c>
      <c r="AC42" s="1065" t="s">
        <v>1942</v>
      </c>
      <c r="AD42" s="1065" t="s">
        <v>1942</v>
      </c>
      <c r="AE42" s="1065" t="s">
        <v>1942</v>
      </c>
      <c r="AF42" s="1065" t="s">
        <v>1942</v>
      </c>
      <c r="AG42" s="1065" t="s">
        <v>1942</v>
      </c>
      <c r="AH42" s="1065" t="s">
        <v>1942</v>
      </c>
      <c r="AI42" s="1066">
        <f t="shared" si="0"/>
        <v>1</v>
      </c>
      <c r="AJ42" s="1067" t="s">
        <v>1030</v>
      </c>
      <c r="AK42" s="1067" t="s">
        <v>1008</v>
      </c>
      <c r="AL42" s="1067" t="s">
        <v>1009</v>
      </c>
      <c r="AM42" s="1068" t="s">
        <v>669</v>
      </c>
      <c r="AN42" s="1062" t="s">
        <v>278</v>
      </c>
      <c r="AO42" s="1062" t="s">
        <v>4791</v>
      </c>
      <c r="AP42" s="1069">
        <v>1</v>
      </c>
      <c r="AQ42" s="1070" t="s">
        <v>1010</v>
      </c>
      <c r="AR42" s="1071" t="s">
        <v>669</v>
      </c>
      <c r="AS42" s="1072"/>
      <c r="AT42" s="1061"/>
      <c r="AU42" s="1061"/>
      <c r="AV42" s="1061"/>
      <c r="AW42" s="1073"/>
      <c r="AX42" s="1074"/>
      <c r="AY42" s="1075"/>
      <c r="AZ42" s="1076"/>
      <c r="BA42" s="1076"/>
      <c r="BB42" s="1076"/>
      <c r="BC42" s="1076"/>
      <c r="BD42" s="1076"/>
      <c r="BE42" s="1076"/>
      <c r="BF42" s="1076"/>
      <c r="BG42" s="1077"/>
      <c r="BH42" s="1077"/>
      <c r="BI42" s="1078">
        <v>1.4</v>
      </c>
      <c r="BJ42" s="1077">
        <v>5.6</v>
      </c>
      <c r="BK42" s="1077">
        <v>8.5</v>
      </c>
      <c r="BL42" s="1077">
        <v>12.4</v>
      </c>
      <c r="BM42" s="1077">
        <v>16.399999999999999</v>
      </c>
      <c r="BN42" s="1079"/>
      <c r="BO42" s="1080"/>
      <c r="BP42" s="1080"/>
      <c r="BQ42" s="1080"/>
      <c r="BR42" s="1080"/>
      <c r="BS42" s="1081"/>
      <c r="BT42" s="1080"/>
      <c r="BU42" s="1080"/>
      <c r="BV42" s="1080"/>
      <c r="BW42" s="1082"/>
      <c r="BX42" s="1081"/>
      <c r="BY42" s="1080"/>
      <c r="BZ42" s="1080"/>
      <c r="CA42" s="1080"/>
      <c r="CB42" s="1082"/>
      <c r="CC42" s="1083"/>
      <c r="CD42" s="1084" t="s">
        <v>168</v>
      </c>
      <c r="CE42" s="1085" t="s">
        <v>168</v>
      </c>
      <c r="CF42" s="1085" t="s">
        <v>168</v>
      </c>
      <c r="CG42" s="1085" t="s">
        <v>168</v>
      </c>
      <c r="CH42" s="1086" t="s">
        <v>168</v>
      </c>
      <c r="CI42" s="1421">
        <v>-109.5</v>
      </c>
      <c r="CJ42" s="1373">
        <v>-109.5</v>
      </c>
      <c r="CK42" s="1373">
        <v>-109.5</v>
      </c>
      <c r="CL42" s="1373">
        <v>-109.5</v>
      </c>
      <c r="CM42" s="1374">
        <v>-109.5</v>
      </c>
      <c r="CN42" s="1421">
        <v>0</v>
      </c>
      <c r="CO42" s="1373">
        <v>0</v>
      </c>
      <c r="CP42" s="1373">
        <v>0</v>
      </c>
      <c r="CQ42" s="1373">
        <v>0</v>
      </c>
      <c r="CR42" s="1374">
        <v>0</v>
      </c>
      <c r="CS42" s="1079" t="s">
        <v>1942</v>
      </c>
      <c r="CT42" s="1080" t="s">
        <v>1942</v>
      </c>
      <c r="CU42" s="1080" t="s">
        <v>1942</v>
      </c>
      <c r="CV42" s="1080" t="s">
        <v>1942</v>
      </c>
      <c r="CW42" s="1083" t="s">
        <v>1942</v>
      </c>
      <c r="CX42" s="1079" t="s">
        <v>1942</v>
      </c>
      <c r="CY42" s="1080" t="s">
        <v>1942</v>
      </c>
      <c r="CZ42" s="1080" t="s">
        <v>1942</v>
      </c>
      <c r="DA42" s="1080" t="s">
        <v>1942</v>
      </c>
      <c r="DB42" s="1083" t="s">
        <v>1942</v>
      </c>
      <c r="DC42" s="1370" t="s">
        <v>4805</v>
      </c>
      <c r="DD42" s="1371" t="s">
        <v>4805</v>
      </c>
      <c r="DE42" s="1371" t="s">
        <v>4805</v>
      </c>
      <c r="DF42" s="1371" t="s">
        <v>4805</v>
      </c>
      <c r="DG42" s="1372" t="s">
        <v>4805</v>
      </c>
      <c r="DH42" s="1212" t="s">
        <v>1942</v>
      </c>
      <c r="DI42" s="1210" t="s">
        <v>1942</v>
      </c>
      <c r="DJ42" s="1210" t="s">
        <v>1942</v>
      </c>
      <c r="DK42" s="1210" t="s">
        <v>1942</v>
      </c>
      <c r="DL42" s="1211" t="s">
        <v>1942</v>
      </c>
      <c r="DM42" s="2039">
        <v>-0.7</v>
      </c>
      <c r="DN42" s="2040">
        <v>-0.36499999999999999</v>
      </c>
      <c r="DO42" s="1092" t="s">
        <v>1942</v>
      </c>
      <c r="DP42" s="1219" t="s">
        <v>1942</v>
      </c>
      <c r="DQ42" s="1092">
        <v>0.219</v>
      </c>
      <c r="DR42" s="1092" t="s">
        <v>1942</v>
      </c>
      <c r="DS42" s="1092" t="s">
        <v>1942</v>
      </c>
      <c r="DT42" s="1219" t="s">
        <v>1942</v>
      </c>
      <c r="DU42" s="1085" t="s">
        <v>1942</v>
      </c>
      <c r="DV42" s="1094">
        <v>1</v>
      </c>
      <c r="DW42" s="1095" t="s">
        <v>1942</v>
      </c>
    </row>
    <row r="43" spans="1:127" s="397" customFormat="1" ht="15.75" hidden="1" customHeight="1">
      <c r="A43" s="1054" t="s">
        <v>1015</v>
      </c>
      <c r="B43" s="1055">
        <v>34</v>
      </c>
      <c r="C43" s="1018"/>
      <c r="D43" s="1018"/>
      <c r="E43" s="1018"/>
      <c r="F43" s="1018"/>
      <c r="G43" s="1018"/>
      <c r="H43" s="1018"/>
      <c r="I43" s="1018"/>
      <c r="J43" s="1018"/>
      <c r="K43" s="1018"/>
      <c r="L43" s="1018"/>
      <c r="M43" s="1057"/>
      <c r="N43" s="1018"/>
      <c r="O43" s="1018"/>
      <c r="P43" s="1018"/>
      <c r="Q43" s="1018"/>
      <c r="R43" s="1018"/>
      <c r="S43" s="1018"/>
      <c r="T43" s="1058"/>
      <c r="U43" s="1059" t="s">
        <v>2052</v>
      </c>
      <c r="V43" s="1060" t="s">
        <v>2049</v>
      </c>
      <c r="W43" s="1060" t="s">
        <v>1889</v>
      </c>
      <c r="X43" s="1061">
        <v>6</v>
      </c>
      <c r="Y43" s="1062" t="s">
        <v>1902</v>
      </c>
      <c r="Z43" s="1063" t="s">
        <v>2053</v>
      </c>
      <c r="AA43" s="1064" t="s">
        <v>1942</v>
      </c>
      <c r="AB43" s="1065">
        <v>1</v>
      </c>
      <c r="AC43" s="1065" t="s">
        <v>1942</v>
      </c>
      <c r="AD43" s="1065" t="s">
        <v>1942</v>
      </c>
      <c r="AE43" s="1065" t="s">
        <v>1942</v>
      </c>
      <c r="AF43" s="1065" t="s">
        <v>1942</v>
      </c>
      <c r="AG43" s="1065" t="s">
        <v>1942</v>
      </c>
      <c r="AH43" s="1065" t="s">
        <v>1942</v>
      </c>
      <c r="AI43" s="1066">
        <f t="shared" si="0"/>
        <v>1</v>
      </c>
      <c r="AJ43" s="1067" t="s">
        <v>1030</v>
      </c>
      <c r="AK43" s="1067" t="s">
        <v>1008</v>
      </c>
      <c r="AL43" s="1440" t="s">
        <v>1019</v>
      </c>
      <c r="AM43" s="1068" t="s">
        <v>2054</v>
      </c>
      <c r="AN43" s="1062" t="s">
        <v>2118</v>
      </c>
      <c r="AO43" s="1062" t="s">
        <v>4791</v>
      </c>
      <c r="AP43" s="1069">
        <v>1</v>
      </c>
      <c r="AQ43" s="1070" t="s">
        <v>1010</v>
      </c>
      <c r="AR43" s="1071" t="s">
        <v>1902</v>
      </c>
      <c r="AS43" s="1072"/>
      <c r="AT43" s="1061"/>
      <c r="AU43" s="1061"/>
      <c r="AV43" s="1061"/>
      <c r="AW43" s="1073"/>
      <c r="AX43" s="1074"/>
      <c r="AY43" s="1075"/>
      <c r="AZ43" s="1076"/>
      <c r="BA43" s="1076"/>
      <c r="BB43" s="1076"/>
      <c r="BC43" s="1076"/>
      <c r="BD43" s="1076"/>
      <c r="BE43" s="1076"/>
      <c r="BF43" s="1076"/>
      <c r="BG43" s="1077"/>
      <c r="BH43" s="1077"/>
      <c r="BI43" s="1078">
        <v>0.8</v>
      </c>
      <c r="BJ43" s="1077">
        <v>2</v>
      </c>
      <c r="BK43" s="1077">
        <v>3.2</v>
      </c>
      <c r="BL43" s="1077">
        <v>4.5</v>
      </c>
      <c r="BM43" s="1077">
        <v>5.6</v>
      </c>
      <c r="BN43" s="1079"/>
      <c r="BO43" s="1080"/>
      <c r="BP43" s="1080"/>
      <c r="BQ43" s="1080"/>
      <c r="BR43" s="1080"/>
      <c r="BS43" s="1081"/>
      <c r="BT43" s="1080"/>
      <c r="BU43" s="1080"/>
      <c r="BV43" s="1080"/>
      <c r="BW43" s="1082"/>
      <c r="BX43" s="1081"/>
      <c r="BY43" s="1080"/>
      <c r="BZ43" s="1080"/>
      <c r="CA43" s="1080"/>
      <c r="CB43" s="1082"/>
      <c r="CC43" s="1083"/>
      <c r="CD43" s="1084" t="s">
        <v>168</v>
      </c>
      <c r="CE43" s="1085" t="s">
        <v>168</v>
      </c>
      <c r="CF43" s="1085" t="s">
        <v>168</v>
      </c>
      <c r="CG43" s="1085" t="s">
        <v>168</v>
      </c>
      <c r="CH43" s="1086" t="s">
        <v>168</v>
      </c>
      <c r="CI43" s="1089" t="s">
        <v>1942</v>
      </c>
      <c r="CJ43" s="1087" t="s">
        <v>1942</v>
      </c>
      <c r="CK43" s="1087" t="s">
        <v>1942</v>
      </c>
      <c r="CL43" s="1087" t="s">
        <v>1942</v>
      </c>
      <c r="CM43" s="1088" t="s">
        <v>1942</v>
      </c>
      <c r="CN43" s="1089" t="s">
        <v>1942</v>
      </c>
      <c r="CO43" s="1087" t="s">
        <v>1942</v>
      </c>
      <c r="CP43" s="1087" t="s">
        <v>1942</v>
      </c>
      <c r="CQ43" s="1087" t="s">
        <v>1942</v>
      </c>
      <c r="CR43" s="1088" t="s">
        <v>1942</v>
      </c>
      <c r="CS43" s="1079" t="s">
        <v>1942</v>
      </c>
      <c r="CT43" s="1080" t="s">
        <v>1942</v>
      </c>
      <c r="CU43" s="1080" t="s">
        <v>1942</v>
      </c>
      <c r="CV43" s="1080" t="s">
        <v>1942</v>
      </c>
      <c r="CW43" s="1083" t="s">
        <v>1942</v>
      </c>
      <c r="CX43" s="1079" t="s">
        <v>1942</v>
      </c>
      <c r="CY43" s="1080" t="s">
        <v>1942</v>
      </c>
      <c r="CZ43" s="1080" t="s">
        <v>1942</v>
      </c>
      <c r="DA43" s="1080" t="s">
        <v>1942</v>
      </c>
      <c r="DB43" s="1083" t="s">
        <v>1942</v>
      </c>
      <c r="DC43" s="1080" t="s">
        <v>1942</v>
      </c>
      <c r="DD43" s="1080" t="s">
        <v>1942</v>
      </c>
      <c r="DE43" s="1080" t="s">
        <v>1942</v>
      </c>
      <c r="DF43" s="1080" t="s">
        <v>1942</v>
      </c>
      <c r="DG43" s="1083" t="s">
        <v>1942</v>
      </c>
      <c r="DH43" s="1089" t="s">
        <v>1942</v>
      </c>
      <c r="DI43" s="1080" t="s">
        <v>1942</v>
      </c>
      <c r="DJ43" s="1080" t="s">
        <v>1942</v>
      </c>
      <c r="DK43" s="1080" t="s">
        <v>1942</v>
      </c>
      <c r="DL43" s="1083" t="s">
        <v>1942</v>
      </c>
      <c r="DM43" s="1091">
        <v>-0.374</v>
      </c>
      <c r="DN43" s="1092" t="s">
        <v>1942</v>
      </c>
      <c r="DO43" s="1092" t="s">
        <v>1942</v>
      </c>
      <c r="DP43" s="1093" t="s">
        <v>1942</v>
      </c>
      <c r="DQ43" s="1092">
        <v>0.312</v>
      </c>
      <c r="DR43" s="1092" t="s">
        <v>1942</v>
      </c>
      <c r="DS43" s="1092" t="s">
        <v>1942</v>
      </c>
      <c r="DT43" s="1093" t="s">
        <v>1942</v>
      </c>
      <c r="DU43" s="1085" t="s">
        <v>1942</v>
      </c>
      <c r="DV43" s="1094">
        <v>1</v>
      </c>
      <c r="DW43" s="1095" t="s">
        <v>1942</v>
      </c>
    </row>
    <row r="44" spans="1:127" s="397" customFormat="1" ht="15.75" hidden="1" customHeight="1">
      <c r="A44" s="1097" t="s">
        <v>1015</v>
      </c>
      <c r="B44" s="1057">
        <v>35</v>
      </c>
      <c r="C44" s="1018"/>
      <c r="D44" s="1018"/>
      <c r="E44" s="1018"/>
      <c r="F44" s="1018"/>
      <c r="G44" s="1018"/>
      <c r="H44" s="1018"/>
      <c r="I44" s="1018"/>
      <c r="J44" s="1018"/>
      <c r="K44" s="1018"/>
      <c r="L44" s="1018"/>
      <c r="M44" s="1057"/>
      <c r="N44" s="1018"/>
      <c r="O44" s="1018"/>
      <c r="P44" s="1018"/>
      <c r="Q44" s="1018"/>
      <c r="R44" s="1018"/>
      <c r="S44" s="1018"/>
      <c r="T44" s="1019"/>
      <c r="U44" s="1098" t="s">
        <v>2056</v>
      </c>
      <c r="V44" s="1099" t="s">
        <v>2036</v>
      </c>
      <c r="W44" s="1099" t="s">
        <v>1889</v>
      </c>
      <c r="X44" s="1100">
        <v>7</v>
      </c>
      <c r="Y44" s="1101" t="s">
        <v>732</v>
      </c>
      <c r="Z44" s="1102" t="s">
        <v>2057</v>
      </c>
      <c r="AA44" s="1103" t="s">
        <v>1942</v>
      </c>
      <c r="AB44" s="1104" t="s">
        <v>1942</v>
      </c>
      <c r="AC44" s="1104">
        <v>1</v>
      </c>
      <c r="AD44" s="1104" t="s">
        <v>1942</v>
      </c>
      <c r="AE44" s="1104" t="s">
        <v>1942</v>
      </c>
      <c r="AF44" s="1104" t="s">
        <v>1942</v>
      </c>
      <c r="AG44" s="1104" t="s">
        <v>1942</v>
      </c>
      <c r="AH44" s="1104" t="s">
        <v>1942</v>
      </c>
      <c r="AI44" s="1105">
        <f t="shared" si="0"/>
        <v>1</v>
      </c>
      <c r="AJ44" s="1106" t="s">
        <v>1030</v>
      </c>
      <c r="AK44" s="1106" t="s">
        <v>1008</v>
      </c>
      <c r="AL44" s="1106" t="s">
        <v>1009</v>
      </c>
      <c r="AM44" s="1107" t="s">
        <v>2058</v>
      </c>
      <c r="AN44" s="1018" t="s">
        <v>2177</v>
      </c>
      <c r="AO44" s="1018" t="s">
        <v>4492</v>
      </c>
      <c r="AP44" s="1313">
        <v>2</v>
      </c>
      <c r="AQ44" s="1076" t="s">
        <v>1020</v>
      </c>
      <c r="AR44" s="1109" t="s">
        <v>732</v>
      </c>
      <c r="AS44" s="1110"/>
      <c r="AT44" s="1100"/>
      <c r="AU44" s="1100"/>
      <c r="AV44" s="1100"/>
      <c r="AW44" s="1111"/>
      <c r="AX44" s="1112"/>
      <c r="AY44" s="1075"/>
      <c r="AZ44" s="1076"/>
      <c r="BA44" s="1076"/>
      <c r="BB44" s="1076"/>
      <c r="BC44" s="1076"/>
      <c r="BD44" s="1076"/>
      <c r="BE44" s="1076"/>
      <c r="BF44" s="1076"/>
      <c r="BG44" s="1076"/>
      <c r="BH44" s="1076"/>
      <c r="BI44" s="1140">
        <v>1.68</v>
      </c>
      <c r="BJ44" s="1141">
        <v>1.63</v>
      </c>
      <c r="BK44" s="1141">
        <v>1.58</v>
      </c>
      <c r="BL44" s="1141">
        <v>1.44</v>
      </c>
      <c r="BM44" s="1141">
        <v>1.34</v>
      </c>
      <c r="BN44" s="1075"/>
      <c r="BO44" s="1076"/>
      <c r="BP44" s="1076"/>
      <c r="BQ44" s="1076"/>
      <c r="BR44" s="1076"/>
      <c r="BS44" s="1115"/>
      <c r="BT44" s="1076"/>
      <c r="BU44" s="1076"/>
      <c r="BV44" s="1076"/>
      <c r="BW44" s="1116"/>
      <c r="BX44" s="1115"/>
      <c r="BY44" s="1076"/>
      <c r="BZ44" s="1076"/>
      <c r="CA44" s="1076"/>
      <c r="CB44" s="1116"/>
      <c r="CC44" s="1117"/>
      <c r="CD44" s="1118" t="s">
        <v>168</v>
      </c>
      <c r="CE44" s="1119" t="s">
        <v>168</v>
      </c>
      <c r="CF44" s="1119" t="s">
        <v>168</v>
      </c>
      <c r="CG44" s="1119" t="s">
        <v>168</v>
      </c>
      <c r="CH44" s="1120" t="s">
        <v>168</v>
      </c>
      <c r="CI44" s="1075" t="s">
        <v>1942</v>
      </c>
      <c r="CJ44" s="1076" t="s">
        <v>1942</v>
      </c>
      <c r="CK44" s="1076" t="s">
        <v>1942</v>
      </c>
      <c r="CL44" s="1076" t="s">
        <v>1942</v>
      </c>
      <c r="CM44" s="1117" t="s">
        <v>1942</v>
      </c>
      <c r="CN44" s="1075">
        <v>3.35</v>
      </c>
      <c r="CO44" s="1076">
        <v>3.35</v>
      </c>
      <c r="CP44" s="1076">
        <v>3.35</v>
      </c>
      <c r="CQ44" s="1076">
        <v>3.35</v>
      </c>
      <c r="CR44" s="1117">
        <v>3.35</v>
      </c>
      <c r="CS44" s="1075" t="s">
        <v>1942</v>
      </c>
      <c r="CT44" s="1076" t="s">
        <v>1942</v>
      </c>
      <c r="CU44" s="1076" t="s">
        <v>1942</v>
      </c>
      <c r="CV44" s="1076" t="s">
        <v>1942</v>
      </c>
      <c r="CW44" s="1117" t="s">
        <v>1942</v>
      </c>
      <c r="CX44" s="1075" t="s">
        <v>1942</v>
      </c>
      <c r="CY44" s="1076" t="s">
        <v>1942</v>
      </c>
      <c r="CZ44" s="1076" t="s">
        <v>1942</v>
      </c>
      <c r="DA44" s="1076" t="s">
        <v>1942</v>
      </c>
      <c r="DB44" s="1117" t="s">
        <v>1942</v>
      </c>
      <c r="DC44" s="1368">
        <v>1.35</v>
      </c>
      <c r="DD44" s="1373">
        <v>1.3</v>
      </c>
      <c r="DE44" s="1368">
        <v>1.25</v>
      </c>
      <c r="DF44" s="1368">
        <v>1.1100000000000001</v>
      </c>
      <c r="DG44" s="1369">
        <v>1.01</v>
      </c>
      <c r="DH44" s="1075" t="s">
        <v>1942</v>
      </c>
      <c r="DI44" s="1076" t="s">
        <v>1942</v>
      </c>
      <c r="DJ44" s="1076" t="s">
        <v>1942</v>
      </c>
      <c r="DK44" s="1076" t="s">
        <v>1942</v>
      </c>
      <c r="DL44" s="1117" t="s">
        <v>1942</v>
      </c>
      <c r="DM44" s="2016">
        <v>-10.944000000000001</v>
      </c>
      <c r="DN44" s="1122" t="s">
        <v>1942</v>
      </c>
      <c r="DO44" s="1122" t="s">
        <v>1942</v>
      </c>
      <c r="DP44" s="1123" t="s">
        <v>1942</v>
      </c>
      <c r="DQ44" s="1122">
        <v>10.994</v>
      </c>
      <c r="DR44" s="1122" t="s">
        <v>1942</v>
      </c>
      <c r="DS44" s="1122" t="s">
        <v>1942</v>
      </c>
      <c r="DT44" s="1123" t="s">
        <v>1942</v>
      </c>
      <c r="DU44" s="1119" t="s">
        <v>1942</v>
      </c>
      <c r="DV44" s="1124">
        <v>1</v>
      </c>
      <c r="DW44" s="1125" t="s">
        <v>1942</v>
      </c>
    </row>
    <row r="45" spans="1:127" s="397" customFormat="1" ht="15.75" hidden="1" customHeight="1">
      <c r="A45" s="1097" t="s">
        <v>1015</v>
      </c>
      <c r="B45" s="1057">
        <v>36</v>
      </c>
      <c r="C45" s="1018"/>
      <c r="D45" s="1018"/>
      <c r="E45" s="1018"/>
      <c r="F45" s="1018"/>
      <c r="G45" s="1018"/>
      <c r="H45" s="1018"/>
      <c r="I45" s="1018"/>
      <c r="J45" s="1018"/>
      <c r="K45" s="1018"/>
      <c r="L45" s="1018"/>
      <c r="M45" s="1057"/>
      <c r="N45" s="1018"/>
      <c r="O45" s="1018"/>
      <c r="P45" s="1018"/>
      <c r="Q45" s="1018"/>
      <c r="R45" s="1018"/>
      <c r="S45" s="1018"/>
      <c r="T45" s="1019"/>
      <c r="U45" s="1098" t="s">
        <v>2060</v>
      </c>
      <c r="V45" s="1099" t="s">
        <v>2061</v>
      </c>
      <c r="W45" s="1099" t="s">
        <v>1889</v>
      </c>
      <c r="X45" s="1100">
        <v>8</v>
      </c>
      <c r="Y45" s="1101" t="s">
        <v>736</v>
      </c>
      <c r="Z45" s="1102" t="s">
        <v>2062</v>
      </c>
      <c r="AA45" s="1103" t="s">
        <v>1942</v>
      </c>
      <c r="AB45" s="1104" t="s">
        <v>1942</v>
      </c>
      <c r="AC45" s="1104">
        <v>1</v>
      </c>
      <c r="AD45" s="1104" t="s">
        <v>1942</v>
      </c>
      <c r="AE45" s="1104" t="s">
        <v>1942</v>
      </c>
      <c r="AF45" s="1104" t="s">
        <v>1942</v>
      </c>
      <c r="AG45" s="1104" t="s">
        <v>1942</v>
      </c>
      <c r="AH45" s="1104" t="s">
        <v>1942</v>
      </c>
      <c r="AI45" s="1105">
        <f t="shared" si="0"/>
        <v>1</v>
      </c>
      <c r="AJ45" s="1106" t="s">
        <v>1030</v>
      </c>
      <c r="AK45" s="1106" t="s">
        <v>1008</v>
      </c>
      <c r="AL45" s="1106" t="s">
        <v>1009</v>
      </c>
      <c r="AM45" s="1107" t="s">
        <v>736</v>
      </c>
      <c r="AN45" s="1018" t="s">
        <v>2177</v>
      </c>
      <c r="AO45" s="1018" t="s">
        <v>4806</v>
      </c>
      <c r="AP45" s="1313">
        <v>2</v>
      </c>
      <c r="AQ45" s="1076" t="s">
        <v>1020</v>
      </c>
      <c r="AR45" s="1109" t="s">
        <v>736</v>
      </c>
      <c r="AS45" s="1110"/>
      <c r="AT45" s="1100"/>
      <c r="AU45" s="1100"/>
      <c r="AV45" s="1100"/>
      <c r="AW45" s="1111"/>
      <c r="AX45" s="1112"/>
      <c r="AY45" s="1075"/>
      <c r="AZ45" s="1076"/>
      <c r="BA45" s="1076"/>
      <c r="BB45" s="1076"/>
      <c r="BC45" s="1076"/>
      <c r="BD45" s="1076"/>
      <c r="BE45" s="1076"/>
      <c r="BF45" s="1076"/>
      <c r="BG45" s="1126"/>
      <c r="BH45" s="1126"/>
      <c r="BI45" s="1127">
        <v>24.51</v>
      </c>
      <c r="BJ45" s="1126">
        <v>23.74</v>
      </c>
      <c r="BK45" s="1126">
        <v>23</v>
      </c>
      <c r="BL45" s="1126">
        <v>22.4</v>
      </c>
      <c r="BM45" s="1126">
        <v>19.5</v>
      </c>
      <c r="BN45" s="1075"/>
      <c r="BO45" s="1076"/>
      <c r="BP45" s="1076"/>
      <c r="BQ45" s="1076"/>
      <c r="BR45" s="1076"/>
      <c r="BS45" s="1115"/>
      <c r="BT45" s="1076"/>
      <c r="BU45" s="1076"/>
      <c r="BV45" s="1076"/>
      <c r="BW45" s="1116"/>
      <c r="BX45" s="1115"/>
      <c r="BY45" s="1076"/>
      <c r="BZ45" s="1076"/>
      <c r="CA45" s="1076"/>
      <c r="CB45" s="1116"/>
      <c r="CC45" s="1117"/>
      <c r="CD45" s="1118" t="s">
        <v>168</v>
      </c>
      <c r="CE45" s="1119" t="s">
        <v>168</v>
      </c>
      <c r="CF45" s="1119" t="s">
        <v>168</v>
      </c>
      <c r="CG45" s="1119" t="s">
        <v>168</v>
      </c>
      <c r="CH45" s="1120" t="s">
        <v>168</v>
      </c>
      <c r="CI45" s="1075" t="s">
        <v>1942</v>
      </c>
      <c r="CJ45" s="1076" t="s">
        <v>1942</v>
      </c>
      <c r="CK45" s="1076" t="s">
        <v>1942</v>
      </c>
      <c r="CL45" s="1076" t="s">
        <v>1942</v>
      </c>
      <c r="CM45" s="1117" t="s">
        <v>1942</v>
      </c>
      <c r="CN45" s="1209">
        <v>41.6</v>
      </c>
      <c r="CO45" s="1210">
        <v>41.6</v>
      </c>
      <c r="CP45" s="1210">
        <v>41.6</v>
      </c>
      <c r="CQ45" s="1210">
        <v>41.6</v>
      </c>
      <c r="CR45" s="1211">
        <v>41.6</v>
      </c>
      <c r="CS45" s="1075" t="s">
        <v>1942</v>
      </c>
      <c r="CT45" s="1076" t="s">
        <v>1942</v>
      </c>
      <c r="CU45" s="1076" t="s">
        <v>1942</v>
      </c>
      <c r="CV45" s="1076" t="s">
        <v>1942</v>
      </c>
      <c r="CW45" s="1117" t="s">
        <v>1942</v>
      </c>
      <c r="CX45" s="1075" t="s">
        <v>1942</v>
      </c>
      <c r="CY45" s="1076" t="s">
        <v>1942</v>
      </c>
      <c r="CZ45" s="1076" t="s">
        <v>1942</v>
      </c>
      <c r="DA45" s="1076" t="s">
        <v>1942</v>
      </c>
      <c r="DB45" s="1117" t="s">
        <v>1942</v>
      </c>
      <c r="DC45" s="1368">
        <v>9.51</v>
      </c>
      <c r="DD45" s="1368">
        <v>8.74</v>
      </c>
      <c r="DE45" s="1373">
        <v>8</v>
      </c>
      <c r="DF45" s="1373">
        <v>7.4</v>
      </c>
      <c r="DG45" s="1374">
        <v>4.5</v>
      </c>
      <c r="DH45" s="1075" t="s">
        <v>1942</v>
      </c>
      <c r="DI45" s="1076" t="s">
        <v>1942</v>
      </c>
      <c r="DJ45" s="1076" t="s">
        <v>1942</v>
      </c>
      <c r="DK45" s="1076" t="s">
        <v>1942</v>
      </c>
      <c r="DL45" s="1117" t="s">
        <v>1942</v>
      </c>
      <c r="DM45" s="1121">
        <v>-0.44500000000000001</v>
      </c>
      <c r="DN45" s="1122" t="s">
        <v>1942</v>
      </c>
      <c r="DO45" s="1122" t="s">
        <v>1942</v>
      </c>
      <c r="DP45" s="1123" t="s">
        <v>1942</v>
      </c>
      <c r="DQ45" s="1122">
        <v>0.29499999999999998</v>
      </c>
      <c r="DR45" s="1122" t="s">
        <v>1942</v>
      </c>
      <c r="DS45" s="1122" t="s">
        <v>1942</v>
      </c>
      <c r="DT45" s="1123" t="s">
        <v>1942</v>
      </c>
      <c r="DU45" s="1119" t="s">
        <v>1942</v>
      </c>
      <c r="DV45" s="1124">
        <v>1</v>
      </c>
      <c r="DW45" s="1125" t="s">
        <v>1942</v>
      </c>
    </row>
    <row r="46" spans="1:127" s="397" customFormat="1" ht="15.75" hidden="1" customHeight="1">
      <c r="A46" s="1097" t="s">
        <v>1015</v>
      </c>
      <c r="B46" s="1057">
        <v>37</v>
      </c>
      <c r="C46" s="1018"/>
      <c r="D46" s="1018"/>
      <c r="E46" s="1018"/>
      <c r="F46" s="1018"/>
      <c r="G46" s="1018"/>
      <c r="H46" s="1018"/>
      <c r="I46" s="1018"/>
      <c r="J46" s="1018"/>
      <c r="K46" s="1018"/>
      <c r="L46" s="1018"/>
      <c r="M46" s="1057"/>
      <c r="N46" s="1018"/>
      <c r="O46" s="1018"/>
      <c r="P46" s="1018"/>
      <c r="Q46" s="1018"/>
      <c r="R46" s="1018"/>
      <c r="S46" s="1018"/>
      <c r="T46" s="1019"/>
      <c r="U46" s="1098" t="s">
        <v>2064</v>
      </c>
      <c r="V46" s="1099" t="s">
        <v>2065</v>
      </c>
      <c r="W46" s="1099" t="s">
        <v>1907</v>
      </c>
      <c r="X46" s="1100">
        <v>9</v>
      </c>
      <c r="Y46" s="1101" t="s">
        <v>535</v>
      </c>
      <c r="Z46" s="1102" t="s">
        <v>2066</v>
      </c>
      <c r="AA46" s="1103">
        <v>0.5</v>
      </c>
      <c r="AB46" s="1104">
        <v>0.5</v>
      </c>
      <c r="AC46" s="1104" t="s">
        <v>1942</v>
      </c>
      <c r="AD46" s="1104" t="s">
        <v>1942</v>
      </c>
      <c r="AE46" s="1104" t="s">
        <v>1942</v>
      </c>
      <c r="AF46" s="1104" t="s">
        <v>1942</v>
      </c>
      <c r="AG46" s="1104" t="s">
        <v>1942</v>
      </c>
      <c r="AH46" s="1104" t="s">
        <v>1942</v>
      </c>
      <c r="AI46" s="1105">
        <f t="shared" si="0"/>
        <v>1</v>
      </c>
      <c r="AJ46" s="1106" t="s">
        <v>1007</v>
      </c>
      <c r="AK46" s="1106" t="s">
        <v>1942</v>
      </c>
      <c r="AL46" s="1106" t="s">
        <v>1942</v>
      </c>
      <c r="AM46" s="1107" t="s">
        <v>1910</v>
      </c>
      <c r="AN46" s="1018" t="s">
        <v>278</v>
      </c>
      <c r="AO46" s="1018" t="s">
        <v>4792</v>
      </c>
      <c r="AP46" s="1313">
        <v>1</v>
      </c>
      <c r="AQ46" s="1076" t="s">
        <v>1020</v>
      </c>
      <c r="AR46" s="1109" t="s">
        <v>535</v>
      </c>
      <c r="AS46" s="1110"/>
      <c r="AT46" s="1100"/>
      <c r="AU46" s="1100"/>
      <c r="AV46" s="1100"/>
      <c r="AW46" s="1111"/>
      <c r="AX46" s="1112"/>
      <c r="AY46" s="1075"/>
      <c r="AZ46" s="1076"/>
      <c r="BA46" s="1076"/>
      <c r="BB46" s="1076"/>
      <c r="BC46" s="1076"/>
      <c r="BD46" s="1076"/>
      <c r="BE46" s="1076"/>
      <c r="BF46" s="1076"/>
      <c r="BG46" s="1076"/>
      <c r="BH46" s="1076"/>
      <c r="BI46" s="1075">
        <v>20.5</v>
      </c>
      <c r="BJ46" s="1076">
        <v>20.5</v>
      </c>
      <c r="BK46" s="1076">
        <v>22</v>
      </c>
      <c r="BL46" s="1076">
        <v>21.8</v>
      </c>
      <c r="BM46" s="1076">
        <v>0</v>
      </c>
      <c r="BN46" s="1075"/>
      <c r="BO46" s="1076"/>
      <c r="BP46" s="1076"/>
      <c r="BQ46" s="1076"/>
      <c r="BR46" s="1076"/>
      <c r="BS46" s="1115"/>
      <c r="BT46" s="1076"/>
      <c r="BU46" s="1076"/>
      <c r="BV46" s="1076"/>
      <c r="BW46" s="1116"/>
      <c r="BX46" s="1115"/>
      <c r="BY46" s="1076"/>
      <c r="BZ46" s="1076"/>
      <c r="CA46" s="1076"/>
      <c r="CB46" s="1116"/>
      <c r="CC46" s="1117"/>
      <c r="CD46" s="1118" t="s">
        <v>1942</v>
      </c>
      <c r="CE46" s="1119" t="s">
        <v>1942</v>
      </c>
      <c r="CF46" s="1119" t="s">
        <v>1942</v>
      </c>
      <c r="CG46" s="1119" t="s">
        <v>1942</v>
      </c>
      <c r="CH46" s="1120" t="s">
        <v>1942</v>
      </c>
      <c r="CI46" s="1075" t="s">
        <v>1942</v>
      </c>
      <c r="CJ46" s="1076" t="s">
        <v>1942</v>
      </c>
      <c r="CK46" s="1076" t="s">
        <v>1942</v>
      </c>
      <c r="CL46" s="1076" t="s">
        <v>1942</v>
      </c>
      <c r="CM46" s="1117" t="s">
        <v>1942</v>
      </c>
      <c r="CN46" s="1075" t="s">
        <v>1942</v>
      </c>
      <c r="CO46" s="1076" t="s">
        <v>1942</v>
      </c>
      <c r="CP46" s="1076" t="s">
        <v>1942</v>
      </c>
      <c r="CQ46" s="1076" t="s">
        <v>1942</v>
      </c>
      <c r="CR46" s="1117" t="s">
        <v>1942</v>
      </c>
      <c r="CS46" s="1075" t="s">
        <v>1942</v>
      </c>
      <c r="CT46" s="1076" t="s">
        <v>1942</v>
      </c>
      <c r="CU46" s="1076" t="s">
        <v>1942</v>
      </c>
      <c r="CV46" s="1076" t="s">
        <v>1942</v>
      </c>
      <c r="CW46" s="1117" t="s">
        <v>1942</v>
      </c>
      <c r="CX46" s="1075" t="s">
        <v>1942</v>
      </c>
      <c r="CY46" s="1076" t="s">
        <v>1942</v>
      </c>
      <c r="CZ46" s="1076" t="s">
        <v>1942</v>
      </c>
      <c r="DA46" s="1076" t="s">
        <v>1942</v>
      </c>
      <c r="DB46" s="1117" t="s">
        <v>1942</v>
      </c>
      <c r="DC46" s="1076" t="s">
        <v>1942</v>
      </c>
      <c r="DD46" s="1076" t="s">
        <v>1942</v>
      </c>
      <c r="DE46" s="1076" t="s">
        <v>1942</v>
      </c>
      <c r="DF46" s="1076" t="s">
        <v>1942</v>
      </c>
      <c r="DG46" s="1117" t="s">
        <v>1942</v>
      </c>
      <c r="DH46" s="1075" t="s">
        <v>1942</v>
      </c>
      <c r="DI46" s="1076" t="s">
        <v>1942</v>
      </c>
      <c r="DJ46" s="1076" t="s">
        <v>1942</v>
      </c>
      <c r="DK46" s="1076" t="s">
        <v>1942</v>
      </c>
      <c r="DL46" s="1117" t="s">
        <v>1942</v>
      </c>
      <c r="DM46" s="1121" t="s">
        <v>1942</v>
      </c>
      <c r="DN46" s="1122" t="s">
        <v>1942</v>
      </c>
      <c r="DO46" s="1122" t="s">
        <v>1942</v>
      </c>
      <c r="DP46" s="1123" t="s">
        <v>1942</v>
      </c>
      <c r="DQ46" s="1122" t="s">
        <v>1942</v>
      </c>
      <c r="DR46" s="1122" t="s">
        <v>1942</v>
      </c>
      <c r="DS46" s="1122" t="s">
        <v>1942</v>
      </c>
      <c r="DT46" s="1123" t="s">
        <v>1942</v>
      </c>
      <c r="DU46" s="1119" t="s">
        <v>1942</v>
      </c>
      <c r="DV46" s="1124">
        <v>1</v>
      </c>
      <c r="DW46" s="1125" t="s">
        <v>1942</v>
      </c>
    </row>
    <row r="47" spans="1:127" s="397" customFormat="1" ht="15.75" hidden="1" customHeight="1">
      <c r="A47" s="1097" t="s">
        <v>1015</v>
      </c>
      <c r="B47" s="1057">
        <v>38</v>
      </c>
      <c r="C47" s="1018"/>
      <c r="D47" s="1018"/>
      <c r="E47" s="1018"/>
      <c r="F47" s="1018"/>
      <c r="G47" s="1018"/>
      <c r="H47" s="1018"/>
      <c r="I47" s="1018"/>
      <c r="J47" s="1018"/>
      <c r="K47" s="1018"/>
      <c r="L47" s="1018"/>
      <c r="M47" s="1057"/>
      <c r="N47" s="1018"/>
      <c r="O47" s="1018"/>
      <c r="P47" s="1018"/>
      <c r="Q47" s="1018"/>
      <c r="R47" s="1018"/>
      <c r="S47" s="1018"/>
      <c r="T47" s="1019"/>
      <c r="U47" s="1098" t="s">
        <v>2068</v>
      </c>
      <c r="V47" s="1099" t="s">
        <v>2065</v>
      </c>
      <c r="W47" s="1099" t="s">
        <v>1907</v>
      </c>
      <c r="X47" s="1100">
        <v>10</v>
      </c>
      <c r="Y47" s="1101" t="s">
        <v>839</v>
      </c>
      <c r="Z47" s="1102" t="s">
        <v>2069</v>
      </c>
      <c r="AA47" s="1103" t="s">
        <v>1942</v>
      </c>
      <c r="AB47" s="1104" t="s">
        <v>1942</v>
      </c>
      <c r="AC47" s="1104">
        <v>1</v>
      </c>
      <c r="AD47" s="1104" t="s">
        <v>1942</v>
      </c>
      <c r="AE47" s="1104" t="s">
        <v>1942</v>
      </c>
      <c r="AF47" s="1104" t="s">
        <v>1942</v>
      </c>
      <c r="AG47" s="1104" t="s">
        <v>1942</v>
      </c>
      <c r="AH47" s="1104" t="s">
        <v>1942</v>
      </c>
      <c r="AI47" s="1105">
        <f t="shared" si="0"/>
        <v>1</v>
      </c>
      <c r="AJ47" s="1106" t="s">
        <v>1007</v>
      </c>
      <c r="AK47" s="1106" t="s">
        <v>1942</v>
      </c>
      <c r="AL47" s="1106" t="s">
        <v>1942</v>
      </c>
      <c r="AM47" s="1107" t="s">
        <v>1910</v>
      </c>
      <c r="AN47" s="1018" t="s">
        <v>278</v>
      </c>
      <c r="AO47" s="1018" t="s">
        <v>4792</v>
      </c>
      <c r="AP47" s="1313">
        <v>2</v>
      </c>
      <c r="AQ47" s="1076" t="s">
        <v>1020</v>
      </c>
      <c r="AR47" s="1109" t="s">
        <v>839</v>
      </c>
      <c r="AS47" s="1110"/>
      <c r="AT47" s="1100"/>
      <c r="AU47" s="1100"/>
      <c r="AV47" s="1100"/>
      <c r="AW47" s="1111"/>
      <c r="AX47" s="1112"/>
      <c r="AY47" s="1075"/>
      <c r="AZ47" s="1076"/>
      <c r="BA47" s="1076"/>
      <c r="BB47" s="1076"/>
      <c r="BC47" s="1076"/>
      <c r="BD47" s="1076"/>
      <c r="BE47" s="1076"/>
      <c r="BF47" s="1076"/>
      <c r="BG47" s="1126"/>
      <c r="BH47" s="1126"/>
      <c r="BI47" s="1127">
        <v>9.75</v>
      </c>
      <c r="BJ47" s="1126">
        <v>9.75</v>
      </c>
      <c r="BK47" s="1126">
        <v>9.75</v>
      </c>
      <c r="BL47" s="1126">
        <v>9.75</v>
      </c>
      <c r="BM47" s="1126">
        <v>9.75</v>
      </c>
      <c r="BN47" s="1075"/>
      <c r="BO47" s="1076"/>
      <c r="BP47" s="1076"/>
      <c r="BQ47" s="1076"/>
      <c r="BR47" s="1076"/>
      <c r="BS47" s="1115"/>
      <c r="BT47" s="1076"/>
      <c r="BU47" s="1076"/>
      <c r="BV47" s="1076"/>
      <c r="BW47" s="1116"/>
      <c r="BX47" s="1115"/>
      <c r="BY47" s="1076"/>
      <c r="BZ47" s="1076"/>
      <c r="CA47" s="1076"/>
      <c r="CB47" s="1116"/>
      <c r="CC47" s="1117"/>
      <c r="CD47" s="1118" t="s">
        <v>1942</v>
      </c>
      <c r="CE47" s="1119" t="s">
        <v>1942</v>
      </c>
      <c r="CF47" s="1119" t="s">
        <v>1942</v>
      </c>
      <c r="CG47" s="1119" t="s">
        <v>1942</v>
      </c>
      <c r="CH47" s="1120" t="s">
        <v>1942</v>
      </c>
      <c r="CI47" s="1075" t="s">
        <v>1942</v>
      </c>
      <c r="CJ47" s="1076" t="s">
        <v>1942</v>
      </c>
      <c r="CK47" s="1076" t="s">
        <v>1942</v>
      </c>
      <c r="CL47" s="1076" t="s">
        <v>1942</v>
      </c>
      <c r="CM47" s="1117" t="s">
        <v>1942</v>
      </c>
      <c r="CN47" s="1075" t="s">
        <v>1942</v>
      </c>
      <c r="CO47" s="1076" t="s">
        <v>1942</v>
      </c>
      <c r="CP47" s="1076" t="s">
        <v>1942</v>
      </c>
      <c r="CQ47" s="1076" t="s">
        <v>1942</v>
      </c>
      <c r="CR47" s="1117" t="s">
        <v>1942</v>
      </c>
      <c r="CS47" s="1075" t="s">
        <v>1942</v>
      </c>
      <c r="CT47" s="1076" t="s">
        <v>1942</v>
      </c>
      <c r="CU47" s="1076" t="s">
        <v>1942</v>
      </c>
      <c r="CV47" s="1076" t="s">
        <v>1942</v>
      </c>
      <c r="CW47" s="1117" t="s">
        <v>1942</v>
      </c>
      <c r="CX47" s="1075" t="s">
        <v>1942</v>
      </c>
      <c r="CY47" s="1076" t="s">
        <v>1942</v>
      </c>
      <c r="CZ47" s="1076" t="s">
        <v>1942</v>
      </c>
      <c r="DA47" s="1076" t="s">
        <v>1942</v>
      </c>
      <c r="DB47" s="1117" t="s">
        <v>1942</v>
      </c>
      <c r="DC47" s="1076" t="s">
        <v>1942</v>
      </c>
      <c r="DD47" s="1076" t="s">
        <v>1942</v>
      </c>
      <c r="DE47" s="1076" t="s">
        <v>1942</v>
      </c>
      <c r="DF47" s="1076" t="s">
        <v>1942</v>
      </c>
      <c r="DG47" s="1117" t="s">
        <v>1942</v>
      </c>
      <c r="DH47" s="1075" t="s">
        <v>1942</v>
      </c>
      <c r="DI47" s="1076" t="s">
        <v>1942</v>
      </c>
      <c r="DJ47" s="1076" t="s">
        <v>1942</v>
      </c>
      <c r="DK47" s="1076" t="s">
        <v>1942</v>
      </c>
      <c r="DL47" s="1117" t="s">
        <v>1942</v>
      </c>
      <c r="DM47" s="1121" t="s">
        <v>1942</v>
      </c>
      <c r="DN47" s="1122" t="s">
        <v>1942</v>
      </c>
      <c r="DO47" s="1122" t="s">
        <v>1942</v>
      </c>
      <c r="DP47" s="1123" t="s">
        <v>1942</v>
      </c>
      <c r="DQ47" s="1122" t="s">
        <v>1942</v>
      </c>
      <c r="DR47" s="1122" t="s">
        <v>1942</v>
      </c>
      <c r="DS47" s="1122" t="s">
        <v>1942</v>
      </c>
      <c r="DT47" s="1123" t="s">
        <v>1942</v>
      </c>
      <c r="DU47" s="1119" t="s">
        <v>1942</v>
      </c>
      <c r="DV47" s="1124">
        <v>1</v>
      </c>
      <c r="DW47" s="1125" t="s">
        <v>1942</v>
      </c>
    </row>
    <row r="48" spans="1:127" s="397" customFormat="1" ht="15.75" hidden="1" customHeight="1">
      <c r="A48" s="1097" t="s">
        <v>1015</v>
      </c>
      <c r="B48" s="1057">
        <v>39</v>
      </c>
      <c r="C48" s="1018"/>
      <c r="D48" s="1018"/>
      <c r="E48" s="1018"/>
      <c r="F48" s="1018"/>
      <c r="G48" s="1018"/>
      <c r="H48" s="1018"/>
      <c r="I48" s="1018"/>
      <c r="J48" s="1018"/>
      <c r="K48" s="1018"/>
      <c r="L48" s="1018"/>
      <c r="M48" s="1057"/>
      <c r="N48" s="1018"/>
      <c r="O48" s="1018"/>
      <c r="P48" s="1018"/>
      <c r="Q48" s="1018"/>
      <c r="R48" s="1018"/>
      <c r="S48" s="1018"/>
      <c r="T48" s="1019"/>
      <c r="U48" s="1098" t="s">
        <v>2071</v>
      </c>
      <c r="V48" s="1099" t="s">
        <v>2072</v>
      </c>
      <c r="W48" s="1099" t="s">
        <v>1889</v>
      </c>
      <c r="X48" s="1100">
        <v>11</v>
      </c>
      <c r="Y48" s="1101" t="s">
        <v>161</v>
      </c>
      <c r="Z48" s="1102" t="s">
        <v>2073</v>
      </c>
      <c r="AA48" s="1103" t="s">
        <v>1942</v>
      </c>
      <c r="AB48" s="1104">
        <v>1</v>
      </c>
      <c r="AC48" s="1104" t="s">
        <v>1942</v>
      </c>
      <c r="AD48" s="1104" t="s">
        <v>1942</v>
      </c>
      <c r="AE48" s="1104" t="s">
        <v>1942</v>
      </c>
      <c r="AF48" s="1104" t="s">
        <v>1942</v>
      </c>
      <c r="AG48" s="1104" t="s">
        <v>1942</v>
      </c>
      <c r="AH48" s="1104" t="s">
        <v>1942</v>
      </c>
      <c r="AI48" s="1105">
        <f t="shared" si="0"/>
        <v>1</v>
      </c>
      <c r="AJ48" s="1106" t="s">
        <v>1026</v>
      </c>
      <c r="AK48" s="1106" t="s">
        <v>1008</v>
      </c>
      <c r="AL48" s="1106" t="s">
        <v>1009</v>
      </c>
      <c r="AM48" s="1107" t="s">
        <v>2074</v>
      </c>
      <c r="AN48" s="1018" t="s">
        <v>2177</v>
      </c>
      <c r="AO48" s="1018" t="s">
        <v>4794</v>
      </c>
      <c r="AP48" s="1314">
        <v>1</v>
      </c>
      <c r="AQ48" s="1108" t="s">
        <v>1020</v>
      </c>
      <c r="AR48" s="1109" t="s">
        <v>161</v>
      </c>
      <c r="AS48" s="1110"/>
      <c r="AT48" s="1100"/>
      <c r="AU48" s="1100"/>
      <c r="AV48" s="1100"/>
      <c r="AW48" s="1111"/>
      <c r="AX48" s="1112"/>
      <c r="AY48" s="1075"/>
      <c r="AZ48" s="1076"/>
      <c r="BA48" s="1076"/>
      <c r="BB48" s="1076"/>
      <c r="BC48" s="1076"/>
      <c r="BD48" s="1076"/>
      <c r="BE48" s="1076"/>
      <c r="BF48" s="1076"/>
      <c r="BG48" s="1113"/>
      <c r="BH48" s="1113"/>
      <c r="BI48" s="1114">
        <v>140.1</v>
      </c>
      <c r="BJ48" s="1113">
        <v>138.1</v>
      </c>
      <c r="BK48" s="1113">
        <v>136.19999999999999</v>
      </c>
      <c r="BL48" s="1113">
        <v>134.19999999999999</v>
      </c>
      <c r="BM48" s="1113">
        <v>132.30000000000001</v>
      </c>
      <c r="BN48" s="1075"/>
      <c r="BO48" s="1076"/>
      <c r="BP48" s="1076"/>
      <c r="BQ48" s="1076"/>
      <c r="BR48" s="1076"/>
      <c r="BS48" s="1115"/>
      <c r="BT48" s="1076"/>
      <c r="BU48" s="1076"/>
      <c r="BV48" s="1076"/>
      <c r="BW48" s="1116"/>
      <c r="BX48" s="1115"/>
      <c r="BY48" s="1076"/>
      <c r="BZ48" s="1076"/>
      <c r="CA48" s="1076"/>
      <c r="CB48" s="1116"/>
      <c r="CC48" s="1117"/>
      <c r="CD48" s="1118" t="s">
        <v>168</v>
      </c>
      <c r="CE48" s="1119" t="s">
        <v>168</v>
      </c>
      <c r="CF48" s="1119" t="s">
        <v>168</v>
      </c>
      <c r="CG48" s="1119" t="s">
        <v>168</v>
      </c>
      <c r="CH48" s="1120" t="s">
        <v>168</v>
      </c>
      <c r="CI48" s="1075" t="s">
        <v>1942</v>
      </c>
      <c r="CJ48" s="1076" t="s">
        <v>1942</v>
      </c>
      <c r="CK48" s="1076" t="s">
        <v>1942</v>
      </c>
      <c r="CL48" s="1076" t="s">
        <v>1942</v>
      </c>
      <c r="CM48" s="1117" t="s">
        <v>1942</v>
      </c>
      <c r="CN48" s="1075" t="s">
        <v>1942</v>
      </c>
      <c r="CO48" s="1076" t="s">
        <v>1942</v>
      </c>
      <c r="CP48" s="1076" t="s">
        <v>1942</v>
      </c>
      <c r="CQ48" s="1076" t="s">
        <v>1942</v>
      </c>
      <c r="CR48" s="1117" t="s">
        <v>1942</v>
      </c>
      <c r="CS48" s="1218">
        <v>150.1</v>
      </c>
      <c r="CT48" s="1216">
        <v>148.1</v>
      </c>
      <c r="CU48" s="1216">
        <v>146.19999999999999</v>
      </c>
      <c r="CV48" s="1216">
        <v>144.19999999999999</v>
      </c>
      <c r="CW48" s="1217">
        <v>142.30000000000001</v>
      </c>
      <c r="CX48" s="1075" t="s">
        <v>1942</v>
      </c>
      <c r="CY48" s="1076" t="s">
        <v>1942</v>
      </c>
      <c r="CZ48" s="1076" t="s">
        <v>1942</v>
      </c>
      <c r="DA48" s="1076" t="s">
        <v>1942</v>
      </c>
      <c r="DB48" s="1117" t="s">
        <v>1942</v>
      </c>
      <c r="DC48" s="1076" t="s">
        <v>1942</v>
      </c>
      <c r="DD48" s="1076" t="s">
        <v>1942</v>
      </c>
      <c r="DE48" s="1076" t="s">
        <v>1942</v>
      </c>
      <c r="DF48" s="1076" t="s">
        <v>1942</v>
      </c>
      <c r="DG48" s="1117" t="s">
        <v>1942</v>
      </c>
      <c r="DH48" s="1075" t="s">
        <v>1942</v>
      </c>
      <c r="DI48" s="1076" t="s">
        <v>1942</v>
      </c>
      <c r="DJ48" s="1076" t="s">
        <v>1942</v>
      </c>
      <c r="DK48" s="1076" t="s">
        <v>1942</v>
      </c>
      <c r="DL48" s="1117" t="s">
        <v>1942</v>
      </c>
      <c r="DM48" s="1121">
        <v>-0.16500000000000001</v>
      </c>
      <c r="DN48" s="1122" t="s">
        <v>1942</v>
      </c>
      <c r="DO48" s="1122" t="s">
        <v>1942</v>
      </c>
      <c r="DP48" s="1123" t="s">
        <v>1942</v>
      </c>
      <c r="DQ48" s="1122" t="s">
        <v>1942</v>
      </c>
      <c r="DR48" s="1122" t="s">
        <v>1942</v>
      </c>
      <c r="DS48" s="1122" t="s">
        <v>1942</v>
      </c>
      <c r="DT48" s="1123" t="s">
        <v>1942</v>
      </c>
      <c r="DU48" s="1119" t="s">
        <v>1942</v>
      </c>
      <c r="DV48" s="1124">
        <v>1</v>
      </c>
      <c r="DW48" s="1125" t="s">
        <v>1942</v>
      </c>
    </row>
    <row r="49" spans="1:127" s="397" customFormat="1" ht="15.75" hidden="1" customHeight="1">
      <c r="A49" s="1097" t="s">
        <v>1015</v>
      </c>
      <c r="B49" s="1057">
        <v>40</v>
      </c>
      <c r="C49" s="1018"/>
      <c r="D49" s="1018"/>
      <c r="E49" s="1018"/>
      <c r="F49" s="1018"/>
      <c r="G49" s="1018"/>
      <c r="H49" s="1018"/>
      <c r="I49" s="1018"/>
      <c r="J49" s="1018"/>
      <c r="K49" s="1018"/>
      <c r="L49" s="1018"/>
      <c r="M49" s="1057"/>
      <c r="N49" s="1018"/>
      <c r="O49" s="1018"/>
      <c r="P49" s="1018"/>
      <c r="Q49" s="1018"/>
      <c r="R49" s="1018"/>
      <c r="S49" s="1018"/>
      <c r="T49" s="1019"/>
      <c r="U49" s="1098" t="s">
        <v>2076</v>
      </c>
      <c r="V49" s="1099" t="s">
        <v>2072</v>
      </c>
      <c r="W49" s="1099" t="s">
        <v>1907</v>
      </c>
      <c r="X49" s="1100">
        <v>12</v>
      </c>
      <c r="Y49" s="1101" t="s">
        <v>167</v>
      </c>
      <c r="Z49" s="1102" t="s">
        <v>2077</v>
      </c>
      <c r="AA49" s="1103" t="s">
        <v>1942</v>
      </c>
      <c r="AB49" s="1104">
        <v>1</v>
      </c>
      <c r="AC49" s="1104" t="s">
        <v>1942</v>
      </c>
      <c r="AD49" s="1104" t="s">
        <v>1942</v>
      </c>
      <c r="AE49" s="1104" t="s">
        <v>1942</v>
      </c>
      <c r="AF49" s="1104" t="s">
        <v>1942</v>
      </c>
      <c r="AG49" s="1104" t="s">
        <v>1942</v>
      </c>
      <c r="AH49" s="1104" t="s">
        <v>1942</v>
      </c>
      <c r="AI49" s="1105">
        <f t="shared" si="0"/>
        <v>1</v>
      </c>
      <c r="AJ49" s="1106" t="s">
        <v>1026</v>
      </c>
      <c r="AK49" s="1106" t="s">
        <v>1008</v>
      </c>
      <c r="AL49" s="1106" t="s">
        <v>1009</v>
      </c>
      <c r="AM49" s="1107" t="s">
        <v>1847</v>
      </c>
      <c r="AN49" s="1018" t="s">
        <v>278</v>
      </c>
      <c r="AO49" s="1018" t="s">
        <v>4793</v>
      </c>
      <c r="AP49" s="1313">
        <v>2</v>
      </c>
      <c r="AQ49" s="1076" t="s">
        <v>1020</v>
      </c>
      <c r="AR49" s="1109" t="s">
        <v>167</v>
      </c>
      <c r="AS49" s="1110"/>
      <c r="AT49" s="1100"/>
      <c r="AU49" s="1100"/>
      <c r="AV49" s="1100"/>
      <c r="AW49" s="1111"/>
      <c r="AX49" s="1112"/>
      <c r="AY49" s="1075"/>
      <c r="AZ49" s="1076"/>
      <c r="BA49" s="1076"/>
      <c r="BB49" s="1076"/>
      <c r="BC49" s="1076"/>
      <c r="BD49" s="1076"/>
      <c r="BE49" s="1076"/>
      <c r="BF49" s="1076"/>
      <c r="BG49" s="1126"/>
      <c r="BH49" s="1126"/>
      <c r="BI49" s="1127">
        <v>2.34</v>
      </c>
      <c r="BJ49" s="1126">
        <v>2.34</v>
      </c>
      <c r="BK49" s="1126">
        <v>2.34</v>
      </c>
      <c r="BL49" s="1126">
        <v>2.34</v>
      </c>
      <c r="BM49" s="1126">
        <v>2.34</v>
      </c>
      <c r="BN49" s="1075"/>
      <c r="BO49" s="1076"/>
      <c r="BP49" s="1076"/>
      <c r="BQ49" s="1076"/>
      <c r="BR49" s="1076"/>
      <c r="BS49" s="1115"/>
      <c r="BT49" s="1076"/>
      <c r="BU49" s="1076"/>
      <c r="BV49" s="1076"/>
      <c r="BW49" s="1116"/>
      <c r="BX49" s="1115"/>
      <c r="BY49" s="1076"/>
      <c r="BZ49" s="1076"/>
      <c r="CA49" s="1076"/>
      <c r="CB49" s="1116"/>
      <c r="CC49" s="1117"/>
      <c r="CD49" s="1118" t="s">
        <v>168</v>
      </c>
      <c r="CE49" s="1119" t="s">
        <v>168</v>
      </c>
      <c r="CF49" s="1119" t="s">
        <v>168</v>
      </c>
      <c r="CG49" s="1119" t="s">
        <v>168</v>
      </c>
      <c r="CH49" s="1120" t="s">
        <v>168</v>
      </c>
      <c r="CI49" s="1075" t="s">
        <v>1942</v>
      </c>
      <c r="CJ49" s="1076" t="s">
        <v>1942</v>
      </c>
      <c r="CK49" s="1076" t="s">
        <v>1942</v>
      </c>
      <c r="CL49" s="1076" t="s">
        <v>1942</v>
      </c>
      <c r="CM49" s="1117" t="s">
        <v>1942</v>
      </c>
      <c r="CN49" s="1075">
        <v>5.22</v>
      </c>
      <c r="CO49" s="1076">
        <v>5.22</v>
      </c>
      <c r="CP49" s="1076">
        <v>5.22</v>
      </c>
      <c r="CQ49" s="1076">
        <v>5.22</v>
      </c>
      <c r="CR49" s="1117">
        <v>5.22</v>
      </c>
      <c r="CS49" s="1212">
        <v>2.81</v>
      </c>
      <c r="CT49" s="1213">
        <v>2.81</v>
      </c>
      <c r="CU49" s="1213">
        <v>2.81</v>
      </c>
      <c r="CV49" s="1213">
        <v>2.81</v>
      </c>
      <c r="CW49" s="1215">
        <v>2.81</v>
      </c>
      <c r="CX49" s="1075" t="s">
        <v>1942</v>
      </c>
      <c r="CY49" s="1076" t="s">
        <v>1942</v>
      </c>
      <c r="CZ49" s="1076" t="s">
        <v>1942</v>
      </c>
      <c r="DA49" s="1076" t="s">
        <v>1942</v>
      </c>
      <c r="DB49" s="1117" t="s">
        <v>1942</v>
      </c>
      <c r="DC49" s="1076" t="s">
        <v>1942</v>
      </c>
      <c r="DD49" s="1076" t="s">
        <v>1942</v>
      </c>
      <c r="DE49" s="1076" t="s">
        <v>1942</v>
      </c>
      <c r="DF49" s="1076" t="s">
        <v>1942</v>
      </c>
      <c r="DG49" s="1117" t="s">
        <v>1942</v>
      </c>
      <c r="DH49" s="1075" t="s">
        <v>1942</v>
      </c>
      <c r="DI49" s="1076" t="s">
        <v>1942</v>
      </c>
      <c r="DJ49" s="1076" t="s">
        <v>1942</v>
      </c>
      <c r="DK49" s="1076" t="s">
        <v>1942</v>
      </c>
      <c r="DL49" s="1117" t="s">
        <v>1942</v>
      </c>
      <c r="DM49" s="1121">
        <v>-1.3240000000000001</v>
      </c>
      <c r="DN49" s="1122" t="s">
        <v>1942</v>
      </c>
      <c r="DO49" s="1122" t="s">
        <v>1942</v>
      </c>
      <c r="DP49" s="1123" t="s">
        <v>1942</v>
      </c>
      <c r="DQ49" s="1122" t="s">
        <v>1942</v>
      </c>
      <c r="DR49" s="1122" t="s">
        <v>1942</v>
      </c>
      <c r="DS49" s="1122" t="s">
        <v>1942</v>
      </c>
      <c r="DT49" s="1123" t="s">
        <v>1942</v>
      </c>
      <c r="DU49" s="1119" t="s">
        <v>1942</v>
      </c>
      <c r="DV49" s="1124">
        <v>1</v>
      </c>
      <c r="DW49" s="1125" t="s">
        <v>1942</v>
      </c>
    </row>
    <row r="50" spans="1:127" s="397" customFormat="1" ht="15.75" hidden="1" customHeight="1">
      <c r="A50" s="1097" t="s">
        <v>1015</v>
      </c>
      <c r="B50" s="1057">
        <v>41</v>
      </c>
      <c r="C50" s="1018"/>
      <c r="D50" s="1018"/>
      <c r="E50" s="1018"/>
      <c r="F50" s="1018"/>
      <c r="G50" s="1018"/>
      <c r="H50" s="1018"/>
      <c r="I50" s="1018"/>
      <c r="J50" s="1018"/>
      <c r="K50" s="1018"/>
      <c r="L50" s="1018"/>
      <c r="M50" s="1057"/>
      <c r="N50" s="1018"/>
      <c r="O50" s="1018"/>
      <c r="P50" s="1018"/>
      <c r="Q50" s="1018"/>
      <c r="R50" s="1018"/>
      <c r="S50" s="1018"/>
      <c r="T50" s="1019"/>
      <c r="U50" s="1098" t="s">
        <v>2079</v>
      </c>
      <c r="V50" s="1099" t="s">
        <v>2072</v>
      </c>
      <c r="W50" s="1099" t="s">
        <v>1889</v>
      </c>
      <c r="X50" s="1100">
        <v>13</v>
      </c>
      <c r="Y50" s="1101" t="s">
        <v>743</v>
      </c>
      <c r="Z50" s="1102" t="s">
        <v>2080</v>
      </c>
      <c r="AA50" s="1103" t="s">
        <v>1942</v>
      </c>
      <c r="AB50" s="1104" t="s">
        <v>1942</v>
      </c>
      <c r="AC50" s="1104">
        <v>1</v>
      </c>
      <c r="AD50" s="1104" t="s">
        <v>1942</v>
      </c>
      <c r="AE50" s="1104" t="s">
        <v>1942</v>
      </c>
      <c r="AF50" s="1104" t="s">
        <v>1942</v>
      </c>
      <c r="AG50" s="1104" t="s">
        <v>1942</v>
      </c>
      <c r="AH50" s="1104" t="s">
        <v>1942</v>
      </c>
      <c r="AI50" s="1105">
        <f t="shared" si="0"/>
        <v>1</v>
      </c>
      <c r="AJ50" s="1106" t="s">
        <v>1026</v>
      </c>
      <c r="AK50" s="1106" t="s">
        <v>1008</v>
      </c>
      <c r="AL50" s="1106" t="s">
        <v>1009</v>
      </c>
      <c r="AM50" s="1107" t="s">
        <v>2081</v>
      </c>
      <c r="AN50" s="1018" t="s">
        <v>2177</v>
      </c>
      <c r="AO50" s="1018" t="s">
        <v>4807</v>
      </c>
      <c r="AP50" s="1314">
        <v>2</v>
      </c>
      <c r="AQ50" s="1108" t="s">
        <v>1020</v>
      </c>
      <c r="AR50" s="1109" t="s">
        <v>743</v>
      </c>
      <c r="AS50" s="1110"/>
      <c r="AT50" s="1100"/>
      <c r="AU50" s="1100"/>
      <c r="AV50" s="1100"/>
      <c r="AW50" s="1111"/>
      <c r="AX50" s="1112"/>
      <c r="AY50" s="1075"/>
      <c r="AZ50" s="1076"/>
      <c r="BA50" s="1076"/>
      <c r="BB50" s="1076"/>
      <c r="BC50" s="1076"/>
      <c r="BD50" s="1076"/>
      <c r="BE50" s="1076"/>
      <c r="BF50" s="1076"/>
      <c r="BG50" s="1126"/>
      <c r="BH50" s="1126"/>
      <c r="BI50" s="1127">
        <v>5.6</v>
      </c>
      <c r="BJ50" s="1126">
        <v>5.6</v>
      </c>
      <c r="BK50" s="1126">
        <v>5.5</v>
      </c>
      <c r="BL50" s="1126">
        <v>5.5</v>
      </c>
      <c r="BM50" s="1126">
        <v>5.5</v>
      </c>
      <c r="BN50" s="1075"/>
      <c r="BO50" s="1076"/>
      <c r="BP50" s="1076"/>
      <c r="BQ50" s="1076"/>
      <c r="BR50" s="1076"/>
      <c r="BS50" s="1115"/>
      <c r="BT50" s="1076"/>
      <c r="BU50" s="1076"/>
      <c r="BV50" s="1076"/>
      <c r="BW50" s="1116"/>
      <c r="BX50" s="1115"/>
      <c r="BY50" s="1076"/>
      <c r="BZ50" s="1076"/>
      <c r="CA50" s="1076"/>
      <c r="CB50" s="1116"/>
      <c r="CC50" s="1117"/>
      <c r="CD50" s="1118" t="s">
        <v>168</v>
      </c>
      <c r="CE50" s="1119" t="s">
        <v>168</v>
      </c>
      <c r="CF50" s="1119" t="s">
        <v>168</v>
      </c>
      <c r="CG50" s="1119" t="s">
        <v>168</v>
      </c>
      <c r="CH50" s="1120" t="s">
        <v>168</v>
      </c>
      <c r="CI50" s="1075" t="s">
        <v>1942</v>
      </c>
      <c r="CJ50" s="1076" t="s">
        <v>1942</v>
      </c>
      <c r="CK50" s="1076" t="s">
        <v>1942</v>
      </c>
      <c r="CL50" s="1076" t="s">
        <v>1942</v>
      </c>
      <c r="CM50" s="1117" t="s">
        <v>1942</v>
      </c>
      <c r="CN50" s="1075">
        <v>7.86</v>
      </c>
      <c r="CO50" s="1076">
        <v>7.86</v>
      </c>
      <c r="CP50" s="1076">
        <v>7.76</v>
      </c>
      <c r="CQ50" s="1076">
        <v>7.76</v>
      </c>
      <c r="CR50" s="1117">
        <v>7.76</v>
      </c>
      <c r="CS50" s="1075" t="s">
        <v>1942</v>
      </c>
      <c r="CT50" s="1076" t="s">
        <v>1942</v>
      </c>
      <c r="CU50" s="1076" t="s">
        <v>1942</v>
      </c>
      <c r="CV50" s="1076" t="s">
        <v>1942</v>
      </c>
      <c r="CW50" s="1117" t="s">
        <v>1942</v>
      </c>
      <c r="CX50" s="1075" t="s">
        <v>1942</v>
      </c>
      <c r="CY50" s="1076" t="s">
        <v>1942</v>
      </c>
      <c r="CZ50" s="1076" t="s">
        <v>1942</v>
      </c>
      <c r="DA50" s="1076" t="s">
        <v>1942</v>
      </c>
      <c r="DB50" s="1117" t="s">
        <v>1942</v>
      </c>
      <c r="DC50" s="1076" t="s">
        <v>1942</v>
      </c>
      <c r="DD50" s="1076" t="s">
        <v>1942</v>
      </c>
      <c r="DE50" s="1076" t="s">
        <v>1942</v>
      </c>
      <c r="DF50" s="1076" t="s">
        <v>1942</v>
      </c>
      <c r="DG50" s="1117" t="s">
        <v>1942</v>
      </c>
      <c r="DH50" s="1075" t="s">
        <v>1942</v>
      </c>
      <c r="DI50" s="1076" t="s">
        <v>1942</v>
      </c>
      <c r="DJ50" s="1076" t="s">
        <v>1942</v>
      </c>
      <c r="DK50" s="1076" t="s">
        <v>1942</v>
      </c>
      <c r="DL50" s="1117" t="s">
        <v>1942</v>
      </c>
      <c r="DM50" s="1121">
        <v>-2.298</v>
      </c>
      <c r="DN50" s="1122" t="s">
        <v>1942</v>
      </c>
      <c r="DO50" s="1122" t="s">
        <v>1942</v>
      </c>
      <c r="DP50" s="1123" t="s">
        <v>1942</v>
      </c>
      <c r="DQ50" s="1122" t="s">
        <v>1942</v>
      </c>
      <c r="DR50" s="1122" t="s">
        <v>1942</v>
      </c>
      <c r="DS50" s="1122" t="s">
        <v>1942</v>
      </c>
      <c r="DT50" s="1123" t="s">
        <v>1942</v>
      </c>
      <c r="DU50" s="1119" t="s">
        <v>1942</v>
      </c>
      <c r="DV50" s="1124">
        <v>1</v>
      </c>
      <c r="DW50" s="1125" t="s">
        <v>1942</v>
      </c>
    </row>
    <row r="51" spans="1:127" s="397" customFormat="1" ht="15.75" hidden="1" customHeight="1">
      <c r="A51" s="1097" t="s">
        <v>1015</v>
      </c>
      <c r="B51" s="1057">
        <v>42</v>
      </c>
      <c r="C51" s="1018"/>
      <c r="D51" s="1018"/>
      <c r="E51" s="1018"/>
      <c r="F51" s="1018"/>
      <c r="G51" s="1018"/>
      <c r="H51" s="1018"/>
      <c r="I51" s="1018"/>
      <c r="J51" s="1018"/>
      <c r="K51" s="1018"/>
      <c r="L51" s="1018"/>
      <c r="M51" s="1057"/>
      <c r="N51" s="1018"/>
      <c r="O51" s="1018"/>
      <c r="P51" s="1018"/>
      <c r="Q51" s="1018"/>
      <c r="R51" s="1018"/>
      <c r="S51" s="1018"/>
      <c r="T51" s="1019"/>
      <c r="U51" s="1098" t="s">
        <v>2083</v>
      </c>
      <c r="V51" s="1099" t="s">
        <v>2072</v>
      </c>
      <c r="W51" s="1099" t="s">
        <v>1889</v>
      </c>
      <c r="X51" s="1100">
        <v>14</v>
      </c>
      <c r="Y51" s="1101" t="s">
        <v>1058</v>
      </c>
      <c r="Z51" s="1102" t="s">
        <v>2084</v>
      </c>
      <c r="AA51" s="1103" t="s">
        <v>1942</v>
      </c>
      <c r="AB51" s="1104">
        <v>0.39</v>
      </c>
      <c r="AC51" s="1104">
        <v>0.61</v>
      </c>
      <c r="AD51" s="1104" t="s">
        <v>1942</v>
      </c>
      <c r="AE51" s="1104" t="s">
        <v>1942</v>
      </c>
      <c r="AF51" s="1104" t="s">
        <v>1942</v>
      </c>
      <c r="AG51" s="1104" t="s">
        <v>1942</v>
      </c>
      <c r="AH51" s="1104" t="s">
        <v>1942</v>
      </c>
      <c r="AI51" s="1105">
        <f t="shared" si="0"/>
        <v>1</v>
      </c>
      <c r="AJ51" s="1106" t="s">
        <v>1026</v>
      </c>
      <c r="AK51" s="1106" t="s">
        <v>1008</v>
      </c>
      <c r="AL51" s="1106" t="s">
        <v>1009</v>
      </c>
      <c r="AM51" s="1107" t="s">
        <v>2085</v>
      </c>
      <c r="AN51" s="1018" t="s">
        <v>278</v>
      </c>
      <c r="AO51" s="1018" t="s">
        <v>2449</v>
      </c>
      <c r="AP51" s="1313">
        <v>2</v>
      </c>
      <c r="AQ51" s="1076" t="s">
        <v>1010</v>
      </c>
      <c r="AR51" s="1109" t="s">
        <v>1058</v>
      </c>
      <c r="AS51" s="1110"/>
      <c r="AT51" s="1100"/>
      <c r="AU51" s="1100"/>
      <c r="AV51" s="1100"/>
      <c r="AW51" s="1111"/>
      <c r="AX51" s="1112"/>
      <c r="AY51" s="1075"/>
      <c r="AZ51" s="1076"/>
      <c r="BA51" s="1076"/>
      <c r="BB51" s="1076"/>
      <c r="BC51" s="1076"/>
      <c r="BD51" s="1076"/>
      <c r="BE51" s="1076"/>
      <c r="BF51" s="1076"/>
      <c r="BG51" s="1126"/>
      <c r="BH51" s="1126"/>
      <c r="BI51" s="1127">
        <v>100</v>
      </c>
      <c r="BJ51" s="1126">
        <v>100</v>
      </c>
      <c r="BK51" s="1126">
        <v>100</v>
      </c>
      <c r="BL51" s="1126">
        <v>100</v>
      </c>
      <c r="BM51" s="1126">
        <v>100</v>
      </c>
      <c r="BN51" s="1075"/>
      <c r="BO51" s="1076"/>
      <c r="BP51" s="1076"/>
      <c r="BQ51" s="1076"/>
      <c r="BR51" s="1076"/>
      <c r="BS51" s="1115"/>
      <c r="BT51" s="1076"/>
      <c r="BU51" s="1076"/>
      <c r="BV51" s="1076"/>
      <c r="BW51" s="1116"/>
      <c r="BX51" s="1115"/>
      <c r="BY51" s="1076"/>
      <c r="BZ51" s="1076"/>
      <c r="CA51" s="1076"/>
      <c r="CB51" s="1116"/>
      <c r="CC51" s="1117"/>
      <c r="CD51" s="1118" t="s">
        <v>168</v>
      </c>
      <c r="CE51" s="1119" t="s">
        <v>168</v>
      </c>
      <c r="CF51" s="1119" t="s">
        <v>168</v>
      </c>
      <c r="CG51" s="1119" t="s">
        <v>168</v>
      </c>
      <c r="CH51" s="1120" t="s">
        <v>168</v>
      </c>
      <c r="CI51" s="1075" t="s">
        <v>1942</v>
      </c>
      <c r="CJ51" s="1076" t="s">
        <v>1942</v>
      </c>
      <c r="CK51" s="1076" t="s">
        <v>1942</v>
      </c>
      <c r="CL51" s="1076" t="s">
        <v>1942</v>
      </c>
      <c r="CM51" s="1117" t="s">
        <v>1942</v>
      </c>
      <c r="CN51" s="1075">
        <v>95.4</v>
      </c>
      <c r="CO51" s="1076">
        <v>95.4</v>
      </c>
      <c r="CP51" s="1076">
        <v>95.4</v>
      </c>
      <c r="CQ51" s="1076">
        <v>95.4</v>
      </c>
      <c r="CR51" s="1117">
        <v>95.4</v>
      </c>
      <c r="CS51" s="1075">
        <v>99</v>
      </c>
      <c r="CT51" s="1076">
        <v>99</v>
      </c>
      <c r="CU51" s="1076">
        <v>99</v>
      </c>
      <c r="CV51" s="1076">
        <v>99</v>
      </c>
      <c r="CW51" s="1117">
        <v>99</v>
      </c>
      <c r="CX51" s="1075" t="s">
        <v>1942</v>
      </c>
      <c r="CY51" s="1076" t="s">
        <v>1942</v>
      </c>
      <c r="CZ51" s="1076" t="s">
        <v>1942</v>
      </c>
      <c r="DA51" s="1076" t="s">
        <v>1942</v>
      </c>
      <c r="DB51" s="1117" t="s">
        <v>1942</v>
      </c>
      <c r="DC51" s="1076" t="s">
        <v>1942</v>
      </c>
      <c r="DD51" s="1076" t="s">
        <v>1942</v>
      </c>
      <c r="DE51" s="1076" t="s">
        <v>1942</v>
      </c>
      <c r="DF51" s="1076" t="s">
        <v>1942</v>
      </c>
      <c r="DG51" s="1117" t="s">
        <v>1942</v>
      </c>
      <c r="DH51" s="1075" t="s">
        <v>1942</v>
      </c>
      <c r="DI51" s="1076" t="s">
        <v>1942</v>
      </c>
      <c r="DJ51" s="1076" t="s">
        <v>1942</v>
      </c>
      <c r="DK51" s="1076" t="s">
        <v>1942</v>
      </c>
      <c r="DL51" s="1117" t="s">
        <v>1942</v>
      </c>
      <c r="DM51" s="1121">
        <v>-1.3480000000000001</v>
      </c>
      <c r="DN51" s="1122" t="s">
        <v>1942</v>
      </c>
      <c r="DO51" s="1122" t="s">
        <v>1942</v>
      </c>
      <c r="DP51" s="1123" t="s">
        <v>1942</v>
      </c>
      <c r="DQ51" s="1122" t="s">
        <v>1942</v>
      </c>
      <c r="DR51" s="1122" t="s">
        <v>1942</v>
      </c>
      <c r="DS51" s="1122" t="s">
        <v>1942</v>
      </c>
      <c r="DT51" s="1123" t="s">
        <v>1942</v>
      </c>
      <c r="DU51" s="1119" t="s">
        <v>1942</v>
      </c>
      <c r="DV51" s="1124">
        <v>1</v>
      </c>
      <c r="DW51" s="1125" t="s">
        <v>1942</v>
      </c>
    </row>
    <row r="52" spans="1:127" s="397" customFormat="1" ht="15.75" hidden="1" customHeight="1">
      <c r="A52" s="1097" t="s">
        <v>1015</v>
      </c>
      <c r="B52" s="1057">
        <v>43</v>
      </c>
      <c r="C52" s="1018"/>
      <c r="D52" s="1018"/>
      <c r="E52" s="1018"/>
      <c r="F52" s="1018"/>
      <c r="G52" s="1018"/>
      <c r="H52" s="1018"/>
      <c r="I52" s="1018"/>
      <c r="J52" s="1018"/>
      <c r="K52" s="1018"/>
      <c r="L52" s="1018"/>
      <c r="M52" s="1057"/>
      <c r="N52" s="1018"/>
      <c r="O52" s="1018"/>
      <c r="P52" s="1018"/>
      <c r="Q52" s="1018"/>
      <c r="R52" s="1018"/>
      <c r="S52" s="1018"/>
      <c r="T52" s="1019"/>
      <c r="U52" s="1098" t="s">
        <v>2087</v>
      </c>
      <c r="V52" s="1099" t="s">
        <v>2065</v>
      </c>
      <c r="W52" s="1099" t="s">
        <v>1896</v>
      </c>
      <c r="X52" s="1100">
        <v>15</v>
      </c>
      <c r="Y52" s="1101" t="s">
        <v>2088</v>
      </c>
      <c r="Z52" s="1102" t="s">
        <v>2089</v>
      </c>
      <c r="AA52" s="1103" t="s">
        <v>1942</v>
      </c>
      <c r="AB52" s="1104">
        <v>1</v>
      </c>
      <c r="AC52" s="1104" t="s">
        <v>1942</v>
      </c>
      <c r="AD52" s="1104" t="s">
        <v>1942</v>
      </c>
      <c r="AE52" s="1104" t="s">
        <v>1942</v>
      </c>
      <c r="AF52" s="1104" t="s">
        <v>1942</v>
      </c>
      <c r="AG52" s="1104" t="s">
        <v>1942</v>
      </c>
      <c r="AH52" s="1104" t="s">
        <v>1942</v>
      </c>
      <c r="AI52" s="1105">
        <f t="shared" si="0"/>
        <v>1</v>
      </c>
      <c r="AJ52" s="1106" t="s">
        <v>1026</v>
      </c>
      <c r="AK52" s="1106" t="s">
        <v>4808</v>
      </c>
      <c r="AL52" s="1106" t="s">
        <v>1009</v>
      </c>
      <c r="AM52" s="1107" t="s">
        <v>1910</v>
      </c>
      <c r="AN52" s="1018" t="s">
        <v>278</v>
      </c>
      <c r="AO52" s="1018" t="s">
        <v>2090</v>
      </c>
      <c r="AP52" s="1070">
        <v>1</v>
      </c>
      <c r="AQ52" s="1108" t="s">
        <v>1020</v>
      </c>
      <c r="AR52" s="1109" t="s">
        <v>1942</v>
      </c>
      <c r="AS52" s="1110"/>
      <c r="AT52" s="1100"/>
      <c r="AU52" s="1100"/>
      <c r="AV52" s="1100"/>
      <c r="AW52" s="1111"/>
      <c r="AX52" s="1112"/>
      <c r="AY52" s="1075"/>
      <c r="AZ52" s="1076"/>
      <c r="BA52" s="1076"/>
      <c r="BB52" s="1076"/>
      <c r="BC52" s="1076"/>
      <c r="BD52" s="1076"/>
      <c r="BE52" s="1076"/>
      <c r="BF52" s="1076"/>
      <c r="BG52" s="1076"/>
      <c r="BH52" s="1076"/>
      <c r="BI52" s="1420"/>
      <c r="BJ52" s="1368"/>
      <c r="BK52" s="1368"/>
      <c r="BL52" s="1368"/>
      <c r="BM52" s="1368"/>
      <c r="BN52" s="1075"/>
      <c r="BO52" s="1076"/>
      <c r="BP52" s="1076"/>
      <c r="BQ52" s="1076"/>
      <c r="BR52" s="1076"/>
      <c r="BS52" s="1115"/>
      <c r="BT52" s="1076"/>
      <c r="BU52" s="1076"/>
      <c r="BV52" s="1076"/>
      <c r="BW52" s="1116"/>
      <c r="BX52" s="1115"/>
      <c r="BY52" s="1076"/>
      <c r="BZ52" s="1076"/>
      <c r="CA52" s="1076"/>
      <c r="CB52" s="1116"/>
      <c r="CC52" s="1117"/>
      <c r="CD52" s="1376"/>
      <c r="CE52" s="1377"/>
      <c r="CF52" s="1377"/>
      <c r="CG52" s="1377"/>
      <c r="CH52" s="1440"/>
      <c r="CI52" s="1420"/>
      <c r="CJ52" s="1368"/>
      <c r="CK52" s="1368"/>
      <c r="CL52" s="1368"/>
      <c r="CM52" s="1369"/>
      <c r="CN52" s="1420"/>
      <c r="CO52" s="1368"/>
      <c r="CP52" s="1368"/>
      <c r="CQ52" s="1368"/>
      <c r="CR52" s="1369"/>
      <c r="CS52" s="1420"/>
      <c r="CT52" s="1368"/>
      <c r="CU52" s="1368"/>
      <c r="CV52" s="1368"/>
      <c r="CW52" s="1369"/>
      <c r="CX52" s="1420"/>
      <c r="CY52" s="1368"/>
      <c r="CZ52" s="1368"/>
      <c r="DA52" s="1368"/>
      <c r="DB52" s="1369"/>
      <c r="DC52" s="1368"/>
      <c r="DD52" s="1368"/>
      <c r="DE52" s="1368"/>
      <c r="DF52" s="1368"/>
      <c r="DG52" s="1369"/>
      <c r="DH52" s="1420"/>
      <c r="DI52" s="1368"/>
      <c r="DJ52" s="1368"/>
      <c r="DK52" s="1368"/>
      <c r="DL52" s="1369"/>
      <c r="DM52" s="1808"/>
      <c r="DN52" s="1809"/>
      <c r="DO52" s="1809"/>
      <c r="DP52" s="1810"/>
      <c r="DQ52" s="1809"/>
      <c r="DR52" s="1809"/>
      <c r="DS52" s="1809"/>
      <c r="DT52" s="1810"/>
      <c r="DU52" s="1377"/>
      <c r="DV52" s="1729"/>
      <c r="DW52" s="1811"/>
    </row>
    <row r="53" spans="1:127" s="397" customFormat="1" ht="15.75" hidden="1" customHeight="1">
      <c r="A53" s="1097" t="s">
        <v>1015</v>
      </c>
      <c r="B53" s="1057">
        <v>44</v>
      </c>
      <c r="C53" s="1018"/>
      <c r="D53" s="1018"/>
      <c r="E53" s="1018"/>
      <c r="F53" s="1018"/>
      <c r="G53" s="1018"/>
      <c r="H53" s="1018"/>
      <c r="I53" s="1018"/>
      <c r="J53" s="1018"/>
      <c r="K53" s="1018"/>
      <c r="L53" s="1018"/>
      <c r="M53" s="1057"/>
      <c r="N53" s="1018"/>
      <c r="O53" s="1018"/>
      <c r="P53" s="1018"/>
      <c r="Q53" s="1018"/>
      <c r="R53" s="1018"/>
      <c r="S53" s="1018"/>
      <c r="T53" s="1019"/>
      <c r="U53" s="1098" t="s">
        <v>2091</v>
      </c>
      <c r="V53" s="1099" t="s">
        <v>2072</v>
      </c>
      <c r="W53" s="1099" t="s">
        <v>1889</v>
      </c>
      <c r="X53" s="1100">
        <v>16</v>
      </c>
      <c r="Y53" s="1101" t="s">
        <v>2092</v>
      </c>
      <c r="Z53" s="1102" t="s">
        <v>2093</v>
      </c>
      <c r="AA53" s="1103" t="s">
        <v>1942</v>
      </c>
      <c r="AB53" s="1104">
        <v>1</v>
      </c>
      <c r="AC53" s="1104" t="s">
        <v>1942</v>
      </c>
      <c r="AD53" s="1104" t="s">
        <v>1942</v>
      </c>
      <c r="AE53" s="1104" t="s">
        <v>1942</v>
      </c>
      <c r="AF53" s="1104" t="s">
        <v>1942</v>
      </c>
      <c r="AG53" s="1104" t="s">
        <v>1942</v>
      </c>
      <c r="AH53" s="1104" t="s">
        <v>1942</v>
      </c>
      <c r="AI53" s="1105">
        <f t="shared" si="0"/>
        <v>1</v>
      </c>
      <c r="AJ53" s="1106" t="s">
        <v>1030</v>
      </c>
      <c r="AK53" s="1106" t="s">
        <v>1008</v>
      </c>
      <c r="AL53" s="1106" t="s">
        <v>1009</v>
      </c>
      <c r="AM53" s="1107" t="s">
        <v>1985</v>
      </c>
      <c r="AN53" s="1018" t="s">
        <v>2177</v>
      </c>
      <c r="AO53" s="1018" t="s">
        <v>4796</v>
      </c>
      <c r="AP53" s="1070">
        <v>0</v>
      </c>
      <c r="AQ53" s="1108" t="s">
        <v>1020</v>
      </c>
      <c r="AR53" s="1109"/>
      <c r="AS53" s="1110"/>
      <c r="AT53" s="1100"/>
      <c r="AU53" s="1100"/>
      <c r="AV53" s="1100"/>
      <c r="AW53" s="1111"/>
      <c r="AX53" s="1112"/>
      <c r="AY53" s="1075"/>
      <c r="AZ53" s="1076"/>
      <c r="BA53" s="1076"/>
      <c r="BB53" s="1076"/>
      <c r="BC53" s="1076"/>
      <c r="BD53" s="1076"/>
      <c r="BE53" s="1076"/>
      <c r="BF53" s="1076"/>
      <c r="BG53" s="1076"/>
      <c r="BH53" s="1076"/>
      <c r="BI53" s="1420"/>
      <c r="BJ53" s="1368"/>
      <c r="BK53" s="1368"/>
      <c r="BL53" s="1368"/>
      <c r="BM53" s="1368"/>
      <c r="BN53" s="1075"/>
      <c r="BO53" s="1076"/>
      <c r="BP53" s="1076"/>
      <c r="BQ53" s="1076"/>
      <c r="BR53" s="1076"/>
      <c r="BS53" s="1115"/>
      <c r="BT53" s="1076"/>
      <c r="BU53" s="1076"/>
      <c r="BV53" s="1076"/>
      <c r="BW53" s="1116"/>
      <c r="BX53" s="1115"/>
      <c r="BY53" s="1076"/>
      <c r="BZ53" s="1076"/>
      <c r="CA53" s="1076"/>
      <c r="CB53" s="1116"/>
      <c r="CC53" s="1117"/>
      <c r="CD53" s="1376"/>
      <c r="CE53" s="1377"/>
      <c r="CF53" s="1377"/>
      <c r="CG53" s="1377"/>
      <c r="CH53" s="1440"/>
      <c r="CI53" s="1420"/>
      <c r="CJ53" s="1368"/>
      <c r="CK53" s="1368"/>
      <c r="CL53" s="1368"/>
      <c r="CM53" s="1369"/>
      <c r="CN53" s="1420"/>
      <c r="CO53" s="1368"/>
      <c r="CP53" s="1368"/>
      <c r="CQ53" s="1368"/>
      <c r="CR53" s="1369"/>
      <c r="CS53" s="1420"/>
      <c r="CT53" s="1368"/>
      <c r="CU53" s="1368"/>
      <c r="CV53" s="1368"/>
      <c r="CW53" s="1369"/>
      <c r="CX53" s="1420"/>
      <c r="CY53" s="1368"/>
      <c r="CZ53" s="1368"/>
      <c r="DA53" s="1368"/>
      <c r="DB53" s="1369"/>
      <c r="DC53" s="1368"/>
      <c r="DD53" s="1368"/>
      <c r="DE53" s="1368"/>
      <c r="DF53" s="1368"/>
      <c r="DG53" s="1369"/>
      <c r="DH53" s="1420"/>
      <c r="DI53" s="1368"/>
      <c r="DJ53" s="1368"/>
      <c r="DK53" s="1368"/>
      <c r="DL53" s="1369"/>
      <c r="DM53" s="1808"/>
      <c r="DN53" s="1809"/>
      <c r="DO53" s="1809"/>
      <c r="DP53" s="1810"/>
      <c r="DQ53" s="1809"/>
      <c r="DR53" s="1809"/>
      <c r="DS53" s="1809"/>
      <c r="DT53" s="1810"/>
      <c r="DU53" s="1377"/>
      <c r="DV53" s="1729"/>
      <c r="DW53" s="1811"/>
    </row>
    <row r="54" spans="1:127" s="397" customFormat="1" ht="15.75" hidden="1" customHeight="1">
      <c r="A54" s="1097" t="s">
        <v>1015</v>
      </c>
      <c r="B54" s="1057">
        <v>45</v>
      </c>
      <c r="C54" s="1018"/>
      <c r="D54" s="1018"/>
      <c r="E54" s="1018"/>
      <c r="F54" s="1018"/>
      <c r="G54" s="1018"/>
      <c r="H54" s="1018"/>
      <c r="I54" s="1018"/>
      <c r="J54" s="1018"/>
      <c r="K54" s="1018"/>
      <c r="L54" s="1018"/>
      <c r="M54" s="1057"/>
      <c r="N54" s="1018"/>
      <c r="O54" s="1018"/>
      <c r="P54" s="1018"/>
      <c r="Q54" s="1018"/>
      <c r="R54" s="1018"/>
      <c r="S54" s="1018"/>
      <c r="T54" s="1019"/>
      <c r="U54" s="1098" t="s">
        <v>2094</v>
      </c>
      <c r="V54" s="1099" t="s">
        <v>2072</v>
      </c>
      <c r="W54" s="1099" t="s">
        <v>1889</v>
      </c>
      <c r="X54" s="1100">
        <v>17</v>
      </c>
      <c r="Y54" s="1101" t="s">
        <v>2095</v>
      </c>
      <c r="Z54" s="1102" t="s">
        <v>2096</v>
      </c>
      <c r="AA54" s="1103" t="s">
        <v>1942</v>
      </c>
      <c r="AB54" s="1104" t="s">
        <v>1942</v>
      </c>
      <c r="AC54" s="1104">
        <v>1</v>
      </c>
      <c r="AD54" s="1104" t="s">
        <v>1942</v>
      </c>
      <c r="AE54" s="1104" t="s">
        <v>1942</v>
      </c>
      <c r="AF54" s="1104" t="s">
        <v>1942</v>
      </c>
      <c r="AG54" s="1104" t="s">
        <v>1942</v>
      </c>
      <c r="AH54" s="1104" t="s">
        <v>1942</v>
      </c>
      <c r="AI54" s="1105">
        <f t="shared" si="0"/>
        <v>1</v>
      </c>
      <c r="AJ54" s="1106" t="s">
        <v>1030</v>
      </c>
      <c r="AK54" s="1106" t="s">
        <v>1008</v>
      </c>
      <c r="AL54" s="1106" t="s">
        <v>1009</v>
      </c>
      <c r="AM54" s="1107" t="s">
        <v>2058</v>
      </c>
      <c r="AN54" s="1018" t="s">
        <v>2177</v>
      </c>
      <c r="AO54" s="1018" t="s">
        <v>4492</v>
      </c>
      <c r="AP54" s="1070">
        <v>0</v>
      </c>
      <c r="AQ54" s="1108" t="s">
        <v>1020</v>
      </c>
      <c r="AR54" s="1109"/>
      <c r="AS54" s="1110"/>
      <c r="AT54" s="1100"/>
      <c r="AU54" s="1100"/>
      <c r="AV54" s="1100"/>
      <c r="AW54" s="1111"/>
      <c r="AX54" s="1112"/>
      <c r="AY54" s="1075"/>
      <c r="AZ54" s="1076"/>
      <c r="BA54" s="1076"/>
      <c r="BB54" s="1076"/>
      <c r="BC54" s="1076"/>
      <c r="BD54" s="1076"/>
      <c r="BE54" s="1076"/>
      <c r="BF54" s="1076"/>
      <c r="BG54" s="1076"/>
      <c r="BH54" s="1076"/>
      <c r="BI54" s="1421"/>
      <c r="BJ54" s="1373"/>
      <c r="BK54" s="1373"/>
      <c r="BL54" s="1373"/>
      <c r="BM54" s="1373"/>
      <c r="BN54" s="1075"/>
      <c r="BO54" s="1076"/>
      <c r="BP54" s="1076"/>
      <c r="BQ54" s="1076"/>
      <c r="BR54" s="1076"/>
      <c r="BS54" s="1115"/>
      <c r="BT54" s="1076"/>
      <c r="BU54" s="1076"/>
      <c r="BV54" s="1076"/>
      <c r="BW54" s="1116"/>
      <c r="BX54" s="1115"/>
      <c r="BY54" s="1076"/>
      <c r="BZ54" s="1076"/>
      <c r="CA54" s="1076"/>
      <c r="CB54" s="1116"/>
      <c r="CC54" s="1117"/>
      <c r="CD54" s="1376"/>
      <c r="CE54" s="1377"/>
      <c r="CF54" s="1377"/>
      <c r="CG54" s="1377"/>
      <c r="CH54" s="1440"/>
      <c r="CI54" s="1420"/>
      <c r="CJ54" s="1368"/>
      <c r="CK54" s="1368"/>
      <c r="CL54" s="1368"/>
      <c r="CM54" s="1369"/>
      <c r="CN54" s="1420"/>
      <c r="CO54" s="1368"/>
      <c r="CP54" s="1368"/>
      <c r="CQ54" s="1368"/>
      <c r="CR54" s="1369"/>
      <c r="CS54" s="1420"/>
      <c r="CT54" s="1368"/>
      <c r="CU54" s="1368"/>
      <c r="CV54" s="1368"/>
      <c r="CW54" s="1369"/>
      <c r="CX54" s="1420"/>
      <c r="CY54" s="1368"/>
      <c r="CZ54" s="1368"/>
      <c r="DA54" s="1368"/>
      <c r="DB54" s="1369"/>
      <c r="DC54" s="1368"/>
      <c r="DD54" s="1368"/>
      <c r="DE54" s="1368"/>
      <c r="DF54" s="1368"/>
      <c r="DG54" s="1369"/>
      <c r="DH54" s="1420"/>
      <c r="DI54" s="1368"/>
      <c r="DJ54" s="1368"/>
      <c r="DK54" s="1368"/>
      <c r="DL54" s="1369"/>
      <c r="DM54" s="1808"/>
      <c r="DN54" s="1809"/>
      <c r="DO54" s="1809"/>
      <c r="DP54" s="1810"/>
      <c r="DQ54" s="1809"/>
      <c r="DR54" s="1809"/>
      <c r="DS54" s="1809"/>
      <c r="DT54" s="1810"/>
      <c r="DU54" s="1377"/>
      <c r="DV54" s="1729"/>
      <c r="DW54" s="1811"/>
    </row>
    <row r="55" spans="1:127" s="397" customFormat="1" ht="15.75" hidden="1" customHeight="1">
      <c r="A55" s="1097" t="s">
        <v>1015</v>
      </c>
      <c r="B55" s="1057">
        <v>46</v>
      </c>
      <c r="C55" s="1018"/>
      <c r="D55" s="1018"/>
      <c r="E55" s="1018"/>
      <c r="F55" s="1018"/>
      <c r="G55" s="1018"/>
      <c r="H55" s="1018"/>
      <c r="I55" s="1018"/>
      <c r="J55" s="1018"/>
      <c r="K55" s="1018"/>
      <c r="L55" s="1018"/>
      <c r="M55" s="1057"/>
      <c r="N55" s="1018"/>
      <c r="O55" s="1018"/>
      <c r="P55" s="1018"/>
      <c r="Q55" s="1018"/>
      <c r="R55" s="1018"/>
      <c r="S55" s="1018"/>
      <c r="T55" s="1019"/>
      <c r="U55" s="1098" t="s">
        <v>2099</v>
      </c>
      <c r="V55" s="1099" t="s">
        <v>2072</v>
      </c>
      <c r="W55" s="1099" t="s">
        <v>1889</v>
      </c>
      <c r="X55" s="1100">
        <v>18</v>
      </c>
      <c r="Y55" s="1101" t="s">
        <v>2100</v>
      </c>
      <c r="Z55" s="1102" t="s">
        <v>2101</v>
      </c>
      <c r="AA55" s="1103" t="s">
        <v>1942</v>
      </c>
      <c r="AB55" s="1104">
        <v>1</v>
      </c>
      <c r="AC55" s="1104" t="s">
        <v>1942</v>
      </c>
      <c r="AD55" s="1104" t="s">
        <v>1942</v>
      </c>
      <c r="AE55" s="1104" t="s">
        <v>1942</v>
      </c>
      <c r="AF55" s="1104" t="s">
        <v>1942</v>
      </c>
      <c r="AG55" s="1104" t="s">
        <v>1942</v>
      </c>
      <c r="AH55" s="1104" t="s">
        <v>1942</v>
      </c>
      <c r="AI55" s="1105">
        <f t="shared" si="0"/>
        <v>1</v>
      </c>
      <c r="AJ55" s="1106" t="s">
        <v>1007</v>
      </c>
      <c r="AK55" s="1106" t="s">
        <v>1942</v>
      </c>
      <c r="AL55" s="1106" t="s">
        <v>1942</v>
      </c>
      <c r="AM55" s="1107" t="s">
        <v>2074</v>
      </c>
      <c r="AN55" s="1018" t="s">
        <v>1033</v>
      </c>
      <c r="AO55" s="1018" t="s">
        <v>2102</v>
      </c>
      <c r="AP55" s="1070">
        <v>0</v>
      </c>
      <c r="AQ55" s="1108" t="s">
        <v>1020</v>
      </c>
      <c r="AR55" s="1109" t="s">
        <v>1942</v>
      </c>
      <c r="AS55" s="1110"/>
      <c r="AT55" s="1100"/>
      <c r="AU55" s="1100"/>
      <c r="AV55" s="1100"/>
      <c r="AW55" s="1111"/>
      <c r="AX55" s="1112"/>
      <c r="AY55" s="1075"/>
      <c r="AZ55" s="1076"/>
      <c r="BA55" s="1076"/>
      <c r="BB55" s="1076"/>
      <c r="BC55" s="1076"/>
      <c r="BD55" s="1076"/>
      <c r="BE55" s="1076"/>
      <c r="BF55" s="1076"/>
      <c r="BG55" s="1076"/>
      <c r="BH55" s="1076"/>
      <c r="BI55" s="1420"/>
      <c r="BJ55" s="1368"/>
      <c r="BK55" s="1368"/>
      <c r="BL55" s="1368"/>
      <c r="BM55" s="1368"/>
      <c r="BN55" s="1075"/>
      <c r="BO55" s="1076"/>
      <c r="BP55" s="1076"/>
      <c r="BQ55" s="1076"/>
      <c r="BR55" s="1076"/>
      <c r="BS55" s="1115"/>
      <c r="BT55" s="1076"/>
      <c r="BU55" s="1076"/>
      <c r="BV55" s="1076"/>
      <c r="BW55" s="1116"/>
      <c r="BX55" s="1115"/>
      <c r="BY55" s="1076"/>
      <c r="BZ55" s="1076"/>
      <c r="CA55" s="1076"/>
      <c r="CB55" s="1116"/>
      <c r="CC55" s="1117"/>
      <c r="CD55" s="1376"/>
      <c r="CE55" s="1377"/>
      <c r="CF55" s="1377"/>
      <c r="CG55" s="1377"/>
      <c r="CH55" s="1440"/>
      <c r="CI55" s="1420"/>
      <c r="CJ55" s="1368"/>
      <c r="CK55" s="1368"/>
      <c r="CL55" s="1368"/>
      <c r="CM55" s="1369"/>
      <c r="CN55" s="1420"/>
      <c r="CO55" s="1368"/>
      <c r="CP55" s="1368"/>
      <c r="CQ55" s="1368"/>
      <c r="CR55" s="1369"/>
      <c r="CS55" s="1420"/>
      <c r="CT55" s="1368"/>
      <c r="CU55" s="1368"/>
      <c r="CV55" s="1368"/>
      <c r="CW55" s="1369"/>
      <c r="CX55" s="1420"/>
      <c r="CY55" s="1368"/>
      <c r="CZ55" s="1368"/>
      <c r="DA55" s="1368"/>
      <c r="DB55" s="1369"/>
      <c r="DC55" s="1368"/>
      <c r="DD55" s="1368"/>
      <c r="DE55" s="1368"/>
      <c r="DF55" s="1368"/>
      <c r="DG55" s="1369"/>
      <c r="DH55" s="1420"/>
      <c r="DI55" s="1368"/>
      <c r="DJ55" s="1368"/>
      <c r="DK55" s="1368"/>
      <c r="DL55" s="1369"/>
      <c r="DM55" s="1808"/>
      <c r="DN55" s="1809"/>
      <c r="DO55" s="1809"/>
      <c r="DP55" s="1810"/>
      <c r="DQ55" s="1809"/>
      <c r="DR55" s="1809"/>
      <c r="DS55" s="1809"/>
      <c r="DT55" s="1810"/>
      <c r="DU55" s="1377"/>
      <c r="DV55" s="1729"/>
      <c r="DW55" s="1811"/>
    </row>
    <row r="56" spans="1:127" s="397" customFormat="1" ht="15.75" hidden="1" customHeight="1">
      <c r="A56" s="1097" t="s">
        <v>1015</v>
      </c>
      <c r="B56" s="1057">
        <v>47</v>
      </c>
      <c r="C56" s="1018"/>
      <c r="D56" s="1018"/>
      <c r="E56" s="1018"/>
      <c r="F56" s="1018"/>
      <c r="G56" s="1018"/>
      <c r="H56" s="1018"/>
      <c r="I56" s="1018"/>
      <c r="J56" s="1018"/>
      <c r="K56" s="1018"/>
      <c r="L56" s="1018"/>
      <c r="M56" s="1057"/>
      <c r="N56" s="1018"/>
      <c r="O56" s="1018"/>
      <c r="P56" s="1018"/>
      <c r="Q56" s="1018"/>
      <c r="R56" s="1018"/>
      <c r="S56" s="1018"/>
      <c r="T56" s="1019"/>
      <c r="U56" s="1098" t="s">
        <v>2103</v>
      </c>
      <c r="V56" s="1099" t="s">
        <v>2061</v>
      </c>
      <c r="W56" s="1099" t="s">
        <v>1889</v>
      </c>
      <c r="X56" s="1100">
        <v>19</v>
      </c>
      <c r="Y56" s="1101" t="s">
        <v>2104</v>
      </c>
      <c r="Z56" s="1102" t="s">
        <v>2105</v>
      </c>
      <c r="AA56" s="1103" t="s">
        <v>1942</v>
      </c>
      <c r="AB56" s="1104" t="s">
        <v>1942</v>
      </c>
      <c r="AC56" s="1104">
        <v>1</v>
      </c>
      <c r="AD56" s="1104" t="s">
        <v>1942</v>
      </c>
      <c r="AE56" s="1104" t="s">
        <v>1942</v>
      </c>
      <c r="AF56" s="1104" t="s">
        <v>1942</v>
      </c>
      <c r="AG56" s="1104" t="s">
        <v>1942</v>
      </c>
      <c r="AH56" s="1104" t="s">
        <v>1942</v>
      </c>
      <c r="AI56" s="1105">
        <f t="shared" si="0"/>
        <v>1</v>
      </c>
      <c r="AJ56" s="1106" t="s">
        <v>1030</v>
      </c>
      <c r="AK56" s="1106" t="s">
        <v>1008</v>
      </c>
      <c r="AL56" s="1106" t="s">
        <v>1019</v>
      </c>
      <c r="AM56" s="1107" t="s">
        <v>2106</v>
      </c>
      <c r="AN56" s="1018" t="s">
        <v>1033</v>
      </c>
      <c r="AO56" s="1018" t="s">
        <v>2107</v>
      </c>
      <c r="AP56" s="833">
        <v>0</v>
      </c>
      <c r="AQ56" s="1076" t="s">
        <v>1010</v>
      </c>
      <c r="AR56" s="1109" t="s">
        <v>1942</v>
      </c>
      <c r="AS56" s="1110"/>
      <c r="AT56" s="1100"/>
      <c r="AU56" s="1100"/>
      <c r="AV56" s="1100"/>
      <c r="AW56" s="1111"/>
      <c r="AX56" s="1112"/>
      <c r="AY56" s="1075"/>
      <c r="AZ56" s="1076"/>
      <c r="BA56" s="1076"/>
      <c r="BB56" s="1076"/>
      <c r="BC56" s="1076"/>
      <c r="BD56" s="1076"/>
      <c r="BE56" s="1076"/>
      <c r="BF56" s="1076"/>
      <c r="BG56" s="1076"/>
      <c r="BH56" s="1076"/>
      <c r="BI56" s="1420"/>
      <c r="BJ56" s="1368"/>
      <c r="BK56" s="1368"/>
      <c r="BL56" s="1368"/>
      <c r="BM56" s="1368"/>
      <c r="BN56" s="1075"/>
      <c r="BO56" s="1076"/>
      <c r="BP56" s="1076"/>
      <c r="BQ56" s="1076"/>
      <c r="BR56" s="1076"/>
      <c r="BS56" s="1115"/>
      <c r="BT56" s="1076"/>
      <c r="BU56" s="1076"/>
      <c r="BV56" s="1076"/>
      <c r="BW56" s="1116"/>
      <c r="BX56" s="1115"/>
      <c r="BY56" s="1076"/>
      <c r="BZ56" s="1076"/>
      <c r="CA56" s="1076"/>
      <c r="CB56" s="1116"/>
      <c r="CC56" s="1117"/>
      <c r="CD56" s="1376"/>
      <c r="CE56" s="1377"/>
      <c r="CF56" s="1377"/>
      <c r="CG56" s="1377"/>
      <c r="CH56" s="1440"/>
      <c r="CI56" s="1420"/>
      <c r="CJ56" s="1368"/>
      <c r="CK56" s="1368"/>
      <c r="CL56" s="1368"/>
      <c r="CM56" s="1369"/>
      <c r="CN56" s="1420"/>
      <c r="CO56" s="1368"/>
      <c r="CP56" s="1368"/>
      <c r="CQ56" s="1368"/>
      <c r="CR56" s="1369"/>
      <c r="CS56" s="1420"/>
      <c r="CT56" s="1368"/>
      <c r="CU56" s="1368"/>
      <c r="CV56" s="1368"/>
      <c r="CW56" s="1369"/>
      <c r="CX56" s="1420"/>
      <c r="CY56" s="1368"/>
      <c r="CZ56" s="1368"/>
      <c r="DA56" s="1368"/>
      <c r="DB56" s="1369"/>
      <c r="DC56" s="1368"/>
      <c r="DD56" s="1368"/>
      <c r="DE56" s="1368"/>
      <c r="DF56" s="1368"/>
      <c r="DG56" s="1369"/>
      <c r="DH56" s="1420"/>
      <c r="DI56" s="1368"/>
      <c r="DJ56" s="1368"/>
      <c r="DK56" s="1368"/>
      <c r="DL56" s="1369"/>
      <c r="DM56" s="1808"/>
      <c r="DN56" s="1809"/>
      <c r="DO56" s="1809"/>
      <c r="DP56" s="1810"/>
      <c r="DQ56" s="1809"/>
      <c r="DR56" s="1809"/>
      <c r="DS56" s="1809"/>
      <c r="DT56" s="1810"/>
      <c r="DU56" s="1377"/>
      <c r="DV56" s="1729"/>
      <c r="DW56" s="1811"/>
    </row>
    <row r="57" spans="1:127" s="397" customFormat="1" ht="15.75" hidden="1" customHeight="1">
      <c r="A57" s="1097" t="s">
        <v>1015</v>
      </c>
      <c r="B57" s="1057">
        <v>48</v>
      </c>
      <c r="C57" s="1018"/>
      <c r="D57" s="1018"/>
      <c r="E57" s="1018"/>
      <c r="F57" s="1018"/>
      <c r="G57" s="1018"/>
      <c r="H57" s="1018"/>
      <c r="I57" s="1018"/>
      <c r="J57" s="1018"/>
      <c r="K57" s="1018"/>
      <c r="L57" s="1018"/>
      <c r="M57" s="1057"/>
      <c r="N57" s="1018"/>
      <c r="O57" s="1018"/>
      <c r="P57" s="1018"/>
      <c r="Q57" s="1018"/>
      <c r="R57" s="1018"/>
      <c r="S57" s="1018"/>
      <c r="T57" s="1019"/>
      <c r="U57" s="1098" t="s">
        <v>2109</v>
      </c>
      <c r="V57" s="1099" t="s">
        <v>2061</v>
      </c>
      <c r="W57" s="1099" t="s">
        <v>1907</v>
      </c>
      <c r="X57" s="1100">
        <v>20</v>
      </c>
      <c r="Y57" s="1101" t="s">
        <v>2110</v>
      </c>
      <c r="Z57" s="1102" t="s">
        <v>2111</v>
      </c>
      <c r="AA57" s="1103">
        <v>1</v>
      </c>
      <c r="AB57" s="1104" t="s">
        <v>1942</v>
      </c>
      <c r="AC57" s="1104" t="s">
        <v>1942</v>
      </c>
      <c r="AD57" s="1104" t="s">
        <v>1942</v>
      </c>
      <c r="AE57" s="1104" t="s">
        <v>1942</v>
      </c>
      <c r="AF57" s="1104" t="s">
        <v>1942</v>
      </c>
      <c r="AG57" s="1104" t="s">
        <v>1942</v>
      </c>
      <c r="AH57" s="1104" t="s">
        <v>1942</v>
      </c>
      <c r="AI57" s="1105">
        <f t="shared" si="0"/>
        <v>1</v>
      </c>
      <c r="AJ57" s="1106" t="s">
        <v>1030</v>
      </c>
      <c r="AK57" s="1106" t="s">
        <v>1008</v>
      </c>
      <c r="AL57" s="1106" t="s">
        <v>1009</v>
      </c>
      <c r="AM57" s="1107" t="s">
        <v>1979</v>
      </c>
      <c r="AN57" s="1018" t="s">
        <v>1033</v>
      </c>
      <c r="AO57" s="1018" t="s">
        <v>2112</v>
      </c>
      <c r="AP57" s="833">
        <v>0</v>
      </c>
      <c r="AQ57" s="1076" t="s">
        <v>1010</v>
      </c>
      <c r="AR57" s="1109" t="s">
        <v>1942</v>
      </c>
      <c r="AS57" s="1110"/>
      <c r="AT57" s="1100"/>
      <c r="AU57" s="1100"/>
      <c r="AV57" s="1100"/>
      <c r="AW57" s="1111"/>
      <c r="AX57" s="1112"/>
      <c r="AY57" s="1075"/>
      <c r="AZ57" s="1076"/>
      <c r="BA57" s="1076"/>
      <c r="BB57" s="1076"/>
      <c r="BC57" s="1076"/>
      <c r="BD57" s="1076"/>
      <c r="BE57" s="1076"/>
      <c r="BF57" s="1076"/>
      <c r="BG57" s="1076"/>
      <c r="BH57" s="1076"/>
      <c r="BI57" s="1420"/>
      <c r="BJ57" s="1368"/>
      <c r="BK57" s="1368"/>
      <c r="BL57" s="1368"/>
      <c r="BM57" s="1368"/>
      <c r="BN57" s="1075"/>
      <c r="BO57" s="1076"/>
      <c r="BP57" s="1076"/>
      <c r="BQ57" s="1076"/>
      <c r="BR57" s="1076"/>
      <c r="BS57" s="1115"/>
      <c r="BT57" s="1076"/>
      <c r="BU57" s="1076"/>
      <c r="BV57" s="1076"/>
      <c r="BW57" s="1116"/>
      <c r="BX57" s="1115"/>
      <c r="BY57" s="1076"/>
      <c r="BZ57" s="1076"/>
      <c r="CA57" s="1076"/>
      <c r="CB57" s="1116"/>
      <c r="CC57" s="1117"/>
      <c r="CD57" s="1376"/>
      <c r="CE57" s="1377"/>
      <c r="CF57" s="1377"/>
      <c r="CG57" s="1377"/>
      <c r="CH57" s="1440"/>
      <c r="CI57" s="1420"/>
      <c r="CJ57" s="1368"/>
      <c r="CK57" s="1368"/>
      <c r="CL57" s="1368"/>
      <c r="CM57" s="1369"/>
      <c r="CN57" s="1420"/>
      <c r="CO57" s="1368"/>
      <c r="CP57" s="1368"/>
      <c r="CQ57" s="1368"/>
      <c r="CR57" s="1369"/>
      <c r="CS57" s="1420"/>
      <c r="CT57" s="1368"/>
      <c r="CU57" s="1368"/>
      <c r="CV57" s="1368"/>
      <c r="CW57" s="1369"/>
      <c r="CX57" s="1420"/>
      <c r="CY57" s="1368"/>
      <c r="CZ57" s="1368"/>
      <c r="DA57" s="1368"/>
      <c r="DB57" s="1369"/>
      <c r="DC57" s="1368"/>
      <c r="DD57" s="1368"/>
      <c r="DE57" s="1368"/>
      <c r="DF57" s="1368"/>
      <c r="DG57" s="1369"/>
      <c r="DH57" s="1420"/>
      <c r="DI57" s="1368"/>
      <c r="DJ57" s="1368"/>
      <c r="DK57" s="1368"/>
      <c r="DL57" s="1369"/>
      <c r="DM57" s="1808"/>
      <c r="DN57" s="1809"/>
      <c r="DO57" s="1809"/>
      <c r="DP57" s="1810"/>
      <c r="DQ57" s="1809"/>
      <c r="DR57" s="1809"/>
      <c r="DS57" s="1809"/>
      <c r="DT57" s="1810"/>
      <c r="DU57" s="1377"/>
      <c r="DV57" s="1729"/>
      <c r="DW57" s="1811"/>
    </row>
    <row r="58" spans="1:127" s="397" customFormat="1" ht="15.75" hidden="1" customHeight="1">
      <c r="A58" s="1097" t="s">
        <v>1015</v>
      </c>
      <c r="B58" s="1057">
        <v>49</v>
      </c>
      <c r="C58" s="1018"/>
      <c r="D58" s="1018"/>
      <c r="E58" s="1018"/>
      <c r="F58" s="1018"/>
      <c r="G58" s="1018"/>
      <c r="H58" s="1018"/>
      <c r="I58" s="1018"/>
      <c r="J58" s="1018"/>
      <c r="K58" s="1018"/>
      <c r="L58" s="1018"/>
      <c r="M58" s="1057"/>
      <c r="N58" s="1018"/>
      <c r="O58" s="1018"/>
      <c r="P58" s="1018"/>
      <c r="Q58" s="1018"/>
      <c r="R58" s="1018"/>
      <c r="S58" s="1018"/>
      <c r="T58" s="1019"/>
      <c r="U58" s="1098" t="s">
        <v>2113</v>
      </c>
      <c r="V58" s="1099" t="s">
        <v>2114</v>
      </c>
      <c r="W58" s="1099" t="s">
        <v>1907</v>
      </c>
      <c r="X58" s="1100">
        <v>21</v>
      </c>
      <c r="Y58" s="1101" t="s">
        <v>2115</v>
      </c>
      <c r="Z58" s="1102" t="s">
        <v>2116</v>
      </c>
      <c r="AA58" s="1103" t="s">
        <v>1942</v>
      </c>
      <c r="AB58" s="1104" t="s">
        <v>1942</v>
      </c>
      <c r="AC58" s="1104" t="s">
        <v>1942</v>
      </c>
      <c r="AD58" s="1104" t="s">
        <v>1942</v>
      </c>
      <c r="AE58" s="1104">
        <v>1</v>
      </c>
      <c r="AF58" s="1104" t="s">
        <v>1942</v>
      </c>
      <c r="AG58" s="1104" t="s">
        <v>1942</v>
      </c>
      <c r="AH58" s="1104" t="s">
        <v>1942</v>
      </c>
      <c r="AI58" s="1105">
        <f t="shared" si="0"/>
        <v>1</v>
      </c>
      <c r="AJ58" s="1106" t="s">
        <v>1007</v>
      </c>
      <c r="AK58" s="1106" t="s">
        <v>1942</v>
      </c>
      <c r="AL58" s="1106" t="s">
        <v>1942</v>
      </c>
      <c r="AM58" s="1107" t="s">
        <v>2117</v>
      </c>
      <c r="AN58" s="1018" t="s">
        <v>2118</v>
      </c>
      <c r="AO58" s="1018" t="s">
        <v>2119</v>
      </c>
      <c r="AP58" s="833">
        <v>1</v>
      </c>
      <c r="AQ58" s="1076" t="s">
        <v>1010</v>
      </c>
      <c r="AR58" s="1109" t="s">
        <v>1942</v>
      </c>
      <c r="AS58" s="1110"/>
      <c r="AT58" s="1100"/>
      <c r="AU58" s="1100"/>
      <c r="AV58" s="1100"/>
      <c r="AW58" s="1111"/>
      <c r="AX58" s="1112"/>
      <c r="AY58" s="1075"/>
      <c r="AZ58" s="1076"/>
      <c r="BA58" s="1076"/>
      <c r="BB58" s="1076"/>
      <c r="BC58" s="1076"/>
      <c r="BD58" s="1076"/>
      <c r="BE58" s="1076"/>
      <c r="BF58" s="1076"/>
      <c r="BG58" s="1076"/>
      <c r="BH58" s="1076"/>
      <c r="BI58" s="1420"/>
      <c r="BJ58" s="1368"/>
      <c r="BK58" s="1368"/>
      <c r="BL58" s="1368"/>
      <c r="BM58" s="1368"/>
      <c r="BN58" s="1075"/>
      <c r="BO58" s="1076"/>
      <c r="BP58" s="1076"/>
      <c r="BQ58" s="1076"/>
      <c r="BR58" s="1076"/>
      <c r="BS58" s="1115"/>
      <c r="BT58" s="1076"/>
      <c r="BU58" s="1076"/>
      <c r="BV58" s="1076"/>
      <c r="BW58" s="1116"/>
      <c r="BX58" s="1115"/>
      <c r="BY58" s="1076"/>
      <c r="BZ58" s="1076"/>
      <c r="CA58" s="1076"/>
      <c r="CB58" s="1116"/>
      <c r="CC58" s="1117"/>
      <c r="CD58" s="1376"/>
      <c r="CE58" s="1377"/>
      <c r="CF58" s="1377"/>
      <c r="CG58" s="1377"/>
      <c r="CH58" s="1440"/>
      <c r="CI58" s="1420"/>
      <c r="CJ58" s="1368"/>
      <c r="CK58" s="1368"/>
      <c r="CL58" s="1368"/>
      <c r="CM58" s="1369"/>
      <c r="CN58" s="1420"/>
      <c r="CO58" s="1368"/>
      <c r="CP58" s="1368"/>
      <c r="CQ58" s="1368"/>
      <c r="CR58" s="1369"/>
      <c r="CS58" s="1420"/>
      <c r="CT58" s="1368"/>
      <c r="CU58" s="1368"/>
      <c r="CV58" s="1368"/>
      <c r="CW58" s="1369"/>
      <c r="CX58" s="1420"/>
      <c r="CY58" s="1368"/>
      <c r="CZ58" s="1368"/>
      <c r="DA58" s="1368"/>
      <c r="DB58" s="1369"/>
      <c r="DC58" s="1368"/>
      <c r="DD58" s="1368"/>
      <c r="DE58" s="1368"/>
      <c r="DF58" s="1368"/>
      <c r="DG58" s="1369"/>
      <c r="DH58" s="1420"/>
      <c r="DI58" s="1368"/>
      <c r="DJ58" s="1368"/>
      <c r="DK58" s="1368"/>
      <c r="DL58" s="1369"/>
      <c r="DM58" s="1808"/>
      <c r="DN58" s="1809"/>
      <c r="DO58" s="1809"/>
      <c r="DP58" s="1810"/>
      <c r="DQ58" s="1809"/>
      <c r="DR58" s="1809"/>
      <c r="DS58" s="1809"/>
      <c r="DT58" s="1810"/>
      <c r="DU58" s="1377"/>
      <c r="DV58" s="1729"/>
      <c r="DW58" s="1811"/>
    </row>
    <row r="59" spans="1:127" s="397" customFormat="1" ht="15.75" hidden="1" customHeight="1">
      <c r="A59" s="1097" t="s">
        <v>1015</v>
      </c>
      <c r="B59" s="1057">
        <v>50</v>
      </c>
      <c r="C59" s="1018"/>
      <c r="D59" s="1018"/>
      <c r="E59" s="1018"/>
      <c r="F59" s="1018"/>
      <c r="G59" s="1018"/>
      <c r="H59" s="1018"/>
      <c r="I59" s="1018"/>
      <c r="J59" s="1018"/>
      <c r="K59" s="1018"/>
      <c r="L59" s="1018"/>
      <c r="M59" s="1057"/>
      <c r="N59" s="1018"/>
      <c r="O59" s="1018"/>
      <c r="P59" s="1018"/>
      <c r="Q59" s="1018"/>
      <c r="R59" s="1018"/>
      <c r="S59" s="1018"/>
      <c r="T59" s="1019"/>
      <c r="U59" s="1098" t="s">
        <v>2120</v>
      </c>
      <c r="V59" s="1099" t="s">
        <v>2114</v>
      </c>
      <c r="W59" s="1099" t="s">
        <v>1907</v>
      </c>
      <c r="X59" s="1100">
        <v>22</v>
      </c>
      <c r="Y59" s="1101" t="s">
        <v>703</v>
      </c>
      <c r="Z59" s="1102" t="s">
        <v>2121</v>
      </c>
      <c r="AA59" s="1103" t="s">
        <v>1942</v>
      </c>
      <c r="AB59" s="1104" t="s">
        <v>1942</v>
      </c>
      <c r="AC59" s="1104" t="s">
        <v>1942</v>
      </c>
      <c r="AD59" s="1104" t="s">
        <v>1942</v>
      </c>
      <c r="AE59" s="1104">
        <v>1</v>
      </c>
      <c r="AF59" s="1104" t="s">
        <v>1942</v>
      </c>
      <c r="AG59" s="1104" t="s">
        <v>1942</v>
      </c>
      <c r="AH59" s="1104" t="s">
        <v>1942</v>
      </c>
      <c r="AI59" s="1105">
        <f t="shared" si="0"/>
        <v>1</v>
      </c>
      <c r="AJ59" s="1106" t="s">
        <v>1007</v>
      </c>
      <c r="AK59" s="1106" t="s">
        <v>1942</v>
      </c>
      <c r="AL59" s="1106" t="s">
        <v>1942</v>
      </c>
      <c r="AM59" s="1107" t="s">
        <v>2117</v>
      </c>
      <c r="AN59" s="1018" t="s">
        <v>278</v>
      </c>
      <c r="AO59" s="1018" t="s">
        <v>4799</v>
      </c>
      <c r="AP59" s="1313">
        <v>1</v>
      </c>
      <c r="AQ59" s="1076" t="s">
        <v>1010</v>
      </c>
      <c r="AR59" s="1109" t="s">
        <v>703</v>
      </c>
      <c r="AS59" s="1110"/>
      <c r="AT59" s="1100"/>
      <c r="AU59" s="1100"/>
      <c r="AV59" s="1100"/>
      <c r="AW59" s="1111"/>
      <c r="AX59" s="1112"/>
      <c r="AY59" s="1075"/>
      <c r="AZ59" s="1076"/>
      <c r="BA59" s="1076"/>
      <c r="BB59" s="1076"/>
      <c r="BC59" s="1076"/>
      <c r="BD59" s="1076"/>
      <c r="BE59" s="1076"/>
      <c r="BF59" s="1076"/>
      <c r="BG59" s="1076"/>
      <c r="BH59" s="1076"/>
      <c r="BI59" s="1075" t="s">
        <v>4809</v>
      </c>
      <c r="BJ59" s="1076" t="s">
        <v>4810</v>
      </c>
      <c r="BK59" s="1076" t="s">
        <v>4811</v>
      </c>
      <c r="BL59" s="1076" t="s">
        <v>4812</v>
      </c>
      <c r="BM59" s="1076" t="s">
        <v>4813</v>
      </c>
      <c r="BN59" s="1075"/>
      <c r="BO59" s="1076"/>
      <c r="BP59" s="1076"/>
      <c r="BQ59" s="1076"/>
      <c r="BR59" s="1076"/>
      <c r="BS59" s="1115"/>
      <c r="BT59" s="1076"/>
      <c r="BU59" s="1076"/>
      <c r="BV59" s="1076"/>
      <c r="BW59" s="1116"/>
      <c r="BX59" s="1115"/>
      <c r="BY59" s="1076"/>
      <c r="BZ59" s="1076"/>
      <c r="CA59" s="1076"/>
      <c r="CB59" s="1116"/>
      <c r="CC59" s="1117"/>
      <c r="CD59" s="1118" t="s">
        <v>1942</v>
      </c>
      <c r="CE59" s="1119" t="s">
        <v>1942</v>
      </c>
      <c r="CF59" s="1119" t="s">
        <v>1942</v>
      </c>
      <c r="CG59" s="1119" t="s">
        <v>1942</v>
      </c>
      <c r="CH59" s="1120" t="s">
        <v>1942</v>
      </c>
      <c r="CI59" s="1075" t="s">
        <v>1942</v>
      </c>
      <c r="CJ59" s="1076" t="s">
        <v>1942</v>
      </c>
      <c r="CK59" s="1076" t="s">
        <v>1942</v>
      </c>
      <c r="CL59" s="1076" t="s">
        <v>1942</v>
      </c>
      <c r="CM59" s="1117" t="s">
        <v>1942</v>
      </c>
      <c r="CN59" s="1075" t="s">
        <v>1942</v>
      </c>
      <c r="CO59" s="1076" t="s">
        <v>1942</v>
      </c>
      <c r="CP59" s="1076" t="s">
        <v>1942</v>
      </c>
      <c r="CQ59" s="1076" t="s">
        <v>1942</v>
      </c>
      <c r="CR59" s="1117" t="s">
        <v>1942</v>
      </c>
      <c r="CS59" s="1075" t="s">
        <v>1942</v>
      </c>
      <c r="CT59" s="1076" t="s">
        <v>1942</v>
      </c>
      <c r="CU59" s="1076" t="s">
        <v>1942</v>
      </c>
      <c r="CV59" s="1076" t="s">
        <v>1942</v>
      </c>
      <c r="CW59" s="1117" t="s">
        <v>1942</v>
      </c>
      <c r="CX59" s="1075" t="s">
        <v>1942</v>
      </c>
      <c r="CY59" s="1076" t="s">
        <v>1942</v>
      </c>
      <c r="CZ59" s="1076" t="s">
        <v>1942</v>
      </c>
      <c r="DA59" s="1076" t="s">
        <v>1942</v>
      </c>
      <c r="DB59" s="1117" t="s">
        <v>1942</v>
      </c>
      <c r="DC59" s="1076" t="s">
        <v>1942</v>
      </c>
      <c r="DD59" s="1076" t="s">
        <v>1942</v>
      </c>
      <c r="DE59" s="1076" t="s">
        <v>1942</v>
      </c>
      <c r="DF59" s="1076" t="s">
        <v>1942</v>
      </c>
      <c r="DG59" s="1117" t="s">
        <v>1942</v>
      </c>
      <c r="DH59" s="1075" t="s">
        <v>1942</v>
      </c>
      <c r="DI59" s="1076" t="s">
        <v>1942</v>
      </c>
      <c r="DJ59" s="1076" t="s">
        <v>1942</v>
      </c>
      <c r="DK59" s="1076" t="s">
        <v>1942</v>
      </c>
      <c r="DL59" s="1117" t="s">
        <v>1942</v>
      </c>
      <c r="DM59" s="1121" t="s">
        <v>1942</v>
      </c>
      <c r="DN59" s="1122" t="s">
        <v>1942</v>
      </c>
      <c r="DO59" s="1122" t="s">
        <v>1942</v>
      </c>
      <c r="DP59" s="1123" t="s">
        <v>1942</v>
      </c>
      <c r="DQ59" s="1122" t="s">
        <v>1942</v>
      </c>
      <c r="DR59" s="1122" t="s">
        <v>1942</v>
      </c>
      <c r="DS59" s="1122" t="s">
        <v>1942</v>
      </c>
      <c r="DT59" s="1123" t="s">
        <v>1942</v>
      </c>
      <c r="DU59" s="1119" t="s">
        <v>1942</v>
      </c>
      <c r="DV59" s="1124">
        <v>1</v>
      </c>
      <c r="DW59" s="1125" t="s">
        <v>1942</v>
      </c>
    </row>
    <row r="60" spans="1:127" s="397" customFormat="1" ht="15.75" hidden="1" customHeight="1">
      <c r="A60" s="1097" t="s">
        <v>1015</v>
      </c>
      <c r="B60" s="1057">
        <v>51</v>
      </c>
      <c r="C60" s="1018"/>
      <c r="D60" s="1018"/>
      <c r="E60" s="1018"/>
      <c r="F60" s="1018"/>
      <c r="G60" s="1018"/>
      <c r="H60" s="1018"/>
      <c r="I60" s="1018"/>
      <c r="J60" s="1018"/>
      <c r="K60" s="1018"/>
      <c r="L60" s="1018"/>
      <c r="M60" s="1057"/>
      <c r="N60" s="1018"/>
      <c r="O60" s="1018"/>
      <c r="P60" s="1018"/>
      <c r="Q60" s="1018"/>
      <c r="R60" s="1018"/>
      <c r="S60" s="1018"/>
      <c r="T60" s="1019"/>
      <c r="U60" s="1098" t="s">
        <v>2123</v>
      </c>
      <c r="V60" s="1099" t="s">
        <v>2124</v>
      </c>
      <c r="W60" s="1099" t="s">
        <v>1907</v>
      </c>
      <c r="X60" s="1100">
        <v>23</v>
      </c>
      <c r="Y60" s="1101" t="s">
        <v>2125</v>
      </c>
      <c r="Z60" s="1102" t="s">
        <v>2126</v>
      </c>
      <c r="AA60" s="1103" t="s">
        <v>1942</v>
      </c>
      <c r="AB60" s="1104" t="s">
        <v>1942</v>
      </c>
      <c r="AC60" s="1104" t="s">
        <v>1942</v>
      </c>
      <c r="AD60" s="1104" t="s">
        <v>1942</v>
      </c>
      <c r="AE60" s="1104">
        <v>1</v>
      </c>
      <c r="AF60" s="1104" t="s">
        <v>1942</v>
      </c>
      <c r="AG60" s="1104" t="s">
        <v>1942</v>
      </c>
      <c r="AH60" s="1104" t="s">
        <v>1942</v>
      </c>
      <c r="AI60" s="1105">
        <f t="shared" si="0"/>
        <v>1</v>
      </c>
      <c r="AJ60" s="1106" t="s">
        <v>1030</v>
      </c>
      <c r="AK60" s="1106" t="s">
        <v>1008</v>
      </c>
      <c r="AL60" s="1106" t="s">
        <v>1009</v>
      </c>
      <c r="AM60" s="1107" t="s">
        <v>2117</v>
      </c>
      <c r="AN60" s="1018" t="s">
        <v>278</v>
      </c>
      <c r="AO60" s="1018" t="s">
        <v>2127</v>
      </c>
      <c r="AP60" s="833">
        <v>2</v>
      </c>
      <c r="AQ60" s="1076" t="s">
        <v>1020</v>
      </c>
      <c r="AR60" s="1109" t="s">
        <v>1942</v>
      </c>
      <c r="AS60" s="1110"/>
      <c r="AT60" s="1100"/>
      <c r="AU60" s="1100"/>
      <c r="AV60" s="1100"/>
      <c r="AW60" s="1111"/>
      <c r="AX60" s="1112"/>
      <c r="AY60" s="1075"/>
      <c r="AZ60" s="1076"/>
      <c r="BA60" s="1076"/>
      <c r="BB60" s="1076"/>
      <c r="BC60" s="1076"/>
      <c r="BD60" s="1076"/>
      <c r="BE60" s="1076"/>
      <c r="BF60" s="1076"/>
      <c r="BG60" s="1076"/>
      <c r="BH60" s="1076"/>
      <c r="BI60" s="1420"/>
      <c r="BJ60" s="1368"/>
      <c r="BK60" s="1368"/>
      <c r="BL60" s="1368"/>
      <c r="BM60" s="1368"/>
      <c r="BN60" s="1075"/>
      <c r="BO60" s="1076"/>
      <c r="BP60" s="1076"/>
      <c r="BQ60" s="1076"/>
      <c r="BR60" s="1076"/>
      <c r="BS60" s="1115"/>
      <c r="BT60" s="1076"/>
      <c r="BU60" s="1076"/>
      <c r="BV60" s="1076"/>
      <c r="BW60" s="1116"/>
      <c r="BX60" s="1115"/>
      <c r="BY60" s="1076"/>
      <c r="BZ60" s="1076"/>
      <c r="CA60" s="1076"/>
      <c r="CB60" s="1116"/>
      <c r="CC60" s="1117"/>
      <c r="CD60" s="1376"/>
      <c r="CE60" s="1377"/>
      <c r="CF60" s="1377"/>
      <c r="CG60" s="1377"/>
      <c r="CH60" s="1440"/>
      <c r="CI60" s="1420"/>
      <c r="CJ60" s="1368"/>
      <c r="CK60" s="1368"/>
      <c r="CL60" s="1368"/>
      <c r="CM60" s="1369"/>
      <c r="CN60" s="1420"/>
      <c r="CO60" s="1368"/>
      <c r="CP60" s="1368"/>
      <c r="CQ60" s="1368"/>
      <c r="CR60" s="1369"/>
      <c r="CS60" s="1420"/>
      <c r="CT60" s="1368"/>
      <c r="CU60" s="1368"/>
      <c r="CV60" s="1368"/>
      <c r="CW60" s="1369"/>
      <c r="CX60" s="1420"/>
      <c r="CY60" s="1368"/>
      <c r="CZ60" s="1368"/>
      <c r="DA60" s="1368"/>
      <c r="DB60" s="1369"/>
      <c r="DC60" s="1368"/>
      <c r="DD60" s="1368"/>
      <c r="DE60" s="1368"/>
      <c r="DF60" s="1368"/>
      <c r="DG60" s="1369"/>
      <c r="DH60" s="1420"/>
      <c r="DI60" s="1368"/>
      <c r="DJ60" s="1368"/>
      <c r="DK60" s="1368"/>
      <c r="DL60" s="1369"/>
      <c r="DM60" s="1808"/>
      <c r="DN60" s="1809"/>
      <c r="DO60" s="1809"/>
      <c r="DP60" s="1810"/>
      <c r="DQ60" s="1809"/>
      <c r="DR60" s="1809"/>
      <c r="DS60" s="1809"/>
      <c r="DT60" s="1810"/>
      <c r="DU60" s="1377"/>
      <c r="DV60" s="1729"/>
      <c r="DW60" s="1811"/>
    </row>
    <row r="61" spans="1:127" s="397" customFormat="1" ht="15.75" hidden="1" customHeight="1">
      <c r="A61" s="1097" t="s">
        <v>1015</v>
      </c>
      <c r="B61" s="1057">
        <v>52</v>
      </c>
      <c r="C61" s="1018"/>
      <c r="D61" s="1018"/>
      <c r="E61" s="1018"/>
      <c r="F61" s="1018"/>
      <c r="G61" s="1018"/>
      <c r="H61" s="1018"/>
      <c r="I61" s="1018"/>
      <c r="J61" s="1018"/>
      <c r="K61" s="1018"/>
      <c r="L61" s="1018"/>
      <c r="M61" s="1057"/>
      <c r="N61" s="1018"/>
      <c r="O61" s="1018"/>
      <c r="P61" s="1018"/>
      <c r="Q61" s="1018"/>
      <c r="R61" s="1018"/>
      <c r="S61" s="1018"/>
      <c r="T61" s="1019"/>
      <c r="U61" s="1098" t="s">
        <v>2128</v>
      </c>
      <c r="V61" s="1099" t="s">
        <v>2129</v>
      </c>
      <c r="W61" s="1099" t="s">
        <v>1896</v>
      </c>
      <c r="X61" s="1100">
        <v>24</v>
      </c>
      <c r="Y61" s="1101" t="s">
        <v>2130</v>
      </c>
      <c r="Z61" s="1102" t="s">
        <v>2131</v>
      </c>
      <c r="AA61" s="1103">
        <v>0.2</v>
      </c>
      <c r="AB61" s="1104">
        <v>0.2</v>
      </c>
      <c r="AC61" s="1104">
        <v>0.2</v>
      </c>
      <c r="AD61" s="1104">
        <v>0.2</v>
      </c>
      <c r="AE61" s="1104">
        <v>0.2</v>
      </c>
      <c r="AF61" s="1104" t="s">
        <v>1942</v>
      </c>
      <c r="AG61" s="1104" t="s">
        <v>1942</v>
      </c>
      <c r="AH61" s="1104" t="s">
        <v>1942</v>
      </c>
      <c r="AI61" s="1105">
        <f t="shared" si="0"/>
        <v>1</v>
      </c>
      <c r="AJ61" s="1106" t="s">
        <v>1007</v>
      </c>
      <c r="AK61" s="1106" t="s">
        <v>1942</v>
      </c>
      <c r="AL61" s="1106" t="s">
        <v>1942</v>
      </c>
      <c r="AM61" s="1107" t="s">
        <v>2132</v>
      </c>
      <c r="AN61" s="1018" t="s">
        <v>278</v>
      </c>
      <c r="AO61" s="1018" t="s">
        <v>2133</v>
      </c>
      <c r="AP61" s="833">
        <v>1</v>
      </c>
      <c r="AQ61" s="1076" t="s">
        <v>1010</v>
      </c>
      <c r="AR61" s="1109" t="s">
        <v>1942</v>
      </c>
      <c r="AS61" s="1110"/>
      <c r="AT61" s="1100"/>
      <c r="AU61" s="1100"/>
      <c r="AV61" s="1100"/>
      <c r="AW61" s="1111"/>
      <c r="AX61" s="1112"/>
      <c r="AY61" s="1075"/>
      <c r="AZ61" s="1076"/>
      <c r="BA61" s="1076"/>
      <c r="BB61" s="1076"/>
      <c r="BC61" s="1076"/>
      <c r="BD61" s="1076"/>
      <c r="BE61" s="1076"/>
      <c r="BF61" s="1076"/>
      <c r="BG61" s="1076"/>
      <c r="BH61" s="1076"/>
      <c r="BI61" s="1420"/>
      <c r="BJ61" s="1368"/>
      <c r="BK61" s="1368"/>
      <c r="BL61" s="1368"/>
      <c r="BM61" s="1368"/>
      <c r="BN61" s="1075"/>
      <c r="BO61" s="1076"/>
      <c r="BP61" s="1076"/>
      <c r="BQ61" s="1076"/>
      <c r="BR61" s="1076"/>
      <c r="BS61" s="1115"/>
      <c r="BT61" s="1076"/>
      <c r="BU61" s="1076"/>
      <c r="BV61" s="1076"/>
      <c r="BW61" s="1116"/>
      <c r="BX61" s="1115"/>
      <c r="BY61" s="1076"/>
      <c r="BZ61" s="1076"/>
      <c r="CA61" s="1076"/>
      <c r="CB61" s="1116"/>
      <c r="CC61" s="1117"/>
      <c r="CD61" s="1376"/>
      <c r="CE61" s="1377"/>
      <c r="CF61" s="1377"/>
      <c r="CG61" s="1377"/>
      <c r="CH61" s="1440"/>
      <c r="CI61" s="1420"/>
      <c r="CJ61" s="1368"/>
      <c r="CK61" s="1368"/>
      <c r="CL61" s="1368"/>
      <c r="CM61" s="1369"/>
      <c r="CN61" s="1420"/>
      <c r="CO61" s="1368"/>
      <c r="CP61" s="1368"/>
      <c r="CQ61" s="1368"/>
      <c r="CR61" s="1369"/>
      <c r="CS61" s="1420"/>
      <c r="CT61" s="1368"/>
      <c r="CU61" s="1368"/>
      <c r="CV61" s="1368"/>
      <c r="CW61" s="1369"/>
      <c r="CX61" s="1420"/>
      <c r="CY61" s="1368"/>
      <c r="CZ61" s="1368"/>
      <c r="DA61" s="1368"/>
      <c r="DB61" s="1369"/>
      <c r="DC61" s="1368"/>
      <c r="DD61" s="1368"/>
      <c r="DE61" s="1368"/>
      <c r="DF61" s="1368"/>
      <c r="DG61" s="1369"/>
      <c r="DH61" s="1420"/>
      <c r="DI61" s="1368"/>
      <c r="DJ61" s="1368"/>
      <c r="DK61" s="1368"/>
      <c r="DL61" s="1369"/>
      <c r="DM61" s="1808"/>
      <c r="DN61" s="1809"/>
      <c r="DO61" s="1809"/>
      <c r="DP61" s="1810"/>
      <c r="DQ61" s="1809"/>
      <c r="DR61" s="1809"/>
      <c r="DS61" s="1809"/>
      <c r="DT61" s="1810"/>
      <c r="DU61" s="1377"/>
      <c r="DV61" s="1729"/>
      <c r="DW61" s="1811"/>
    </row>
    <row r="62" spans="1:127" s="397" customFormat="1" ht="15.75" hidden="1" customHeight="1">
      <c r="A62" s="1097" t="s">
        <v>1015</v>
      </c>
      <c r="B62" s="1057">
        <v>53</v>
      </c>
      <c r="C62" s="1018"/>
      <c r="D62" s="1018"/>
      <c r="E62" s="1018"/>
      <c r="F62" s="1018"/>
      <c r="G62" s="1018"/>
      <c r="H62" s="1018"/>
      <c r="I62" s="1018"/>
      <c r="J62" s="1018"/>
      <c r="K62" s="1018"/>
      <c r="L62" s="1018"/>
      <c r="M62" s="1057"/>
      <c r="N62" s="1018"/>
      <c r="O62" s="1018"/>
      <c r="P62" s="1018"/>
      <c r="Q62" s="1018"/>
      <c r="R62" s="1018"/>
      <c r="S62" s="1018"/>
      <c r="T62" s="1019"/>
      <c r="U62" s="1098" t="s">
        <v>2134</v>
      </c>
      <c r="V62" s="1099" t="s">
        <v>2129</v>
      </c>
      <c r="W62" s="1099" t="s">
        <v>1896</v>
      </c>
      <c r="X62" s="1100">
        <v>25</v>
      </c>
      <c r="Y62" s="1101" t="s">
        <v>2135</v>
      </c>
      <c r="Z62" s="1102" t="s">
        <v>2136</v>
      </c>
      <c r="AA62" s="1103">
        <v>0.2</v>
      </c>
      <c r="AB62" s="1104">
        <v>0.2</v>
      </c>
      <c r="AC62" s="1104">
        <v>0.2</v>
      </c>
      <c r="AD62" s="1104">
        <v>0.2</v>
      </c>
      <c r="AE62" s="1104">
        <v>0.2</v>
      </c>
      <c r="AF62" s="1104" t="s">
        <v>1942</v>
      </c>
      <c r="AG62" s="1104" t="s">
        <v>1942</v>
      </c>
      <c r="AH62" s="1104" t="s">
        <v>1942</v>
      </c>
      <c r="AI62" s="1105">
        <f t="shared" si="0"/>
        <v>1</v>
      </c>
      <c r="AJ62" s="1106" t="s">
        <v>1007</v>
      </c>
      <c r="AK62" s="1106" t="s">
        <v>1942</v>
      </c>
      <c r="AL62" s="1106" t="s">
        <v>1942</v>
      </c>
      <c r="AM62" s="1107" t="s">
        <v>2132</v>
      </c>
      <c r="AN62" s="1018" t="s">
        <v>278</v>
      </c>
      <c r="AO62" s="1018" t="s">
        <v>2137</v>
      </c>
      <c r="AP62" s="833">
        <v>1</v>
      </c>
      <c r="AQ62" s="1076" t="s">
        <v>1010</v>
      </c>
      <c r="AR62" s="1109" t="s">
        <v>1942</v>
      </c>
      <c r="AS62" s="1110"/>
      <c r="AT62" s="1100"/>
      <c r="AU62" s="1100"/>
      <c r="AV62" s="1100"/>
      <c r="AW62" s="1111"/>
      <c r="AX62" s="1112"/>
      <c r="AY62" s="1075"/>
      <c r="AZ62" s="1076"/>
      <c r="BA62" s="1076"/>
      <c r="BB62" s="1076"/>
      <c r="BC62" s="1076"/>
      <c r="BD62" s="1076"/>
      <c r="BE62" s="1076"/>
      <c r="BF62" s="1076"/>
      <c r="BG62" s="1076"/>
      <c r="BH62" s="1076"/>
      <c r="BI62" s="1420"/>
      <c r="BJ62" s="1368"/>
      <c r="BK62" s="1368"/>
      <c r="BL62" s="1368"/>
      <c r="BM62" s="1368"/>
      <c r="BN62" s="1075"/>
      <c r="BO62" s="1076"/>
      <c r="BP62" s="1076"/>
      <c r="BQ62" s="1076"/>
      <c r="BR62" s="1076"/>
      <c r="BS62" s="1115"/>
      <c r="BT62" s="1076"/>
      <c r="BU62" s="1076"/>
      <c r="BV62" s="1076"/>
      <c r="BW62" s="1116"/>
      <c r="BX62" s="1115"/>
      <c r="BY62" s="1076"/>
      <c r="BZ62" s="1076"/>
      <c r="CA62" s="1076"/>
      <c r="CB62" s="1116"/>
      <c r="CC62" s="1117"/>
      <c r="CD62" s="1376"/>
      <c r="CE62" s="1377"/>
      <c r="CF62" s="1377"/>
      <c r="CG62" s="1377"/>
      <c r="CH62" s="1440"/>
      <c r="CI62" s="1420"/>
      <c r="CJ62" s="1368"/>
      <c r="CK62" s="1368"/>
      <c r="CL62" s="1368"/>
      <c r="CM62" s="1369"/>
      <c r="CN62" s="1420"/>
      <c r="CO62" s="1368"/>
      <c r="CP62" s="1368"/>
      <c r="CQ62" s="1368"/>
      <c r="CR62" s="1369"/>
      <c r="CS62" s="1420"/>
      <c r="CT62" s="1368"/>
      <c r="CU62" s="1368"/>
      <c r="CV62" s="1368"/>
      <c r="CW62" s="1369"/>
      <c r="CX62" s="1420"/>
      <c r="CY62" s="1368"/>
      <c r="CZ62" s="1368"/>
      <c r="DA62" s="1368"/>
      <c r="DB62" s="1369"/>
      <c r="DC62" s="1368"/>
      <c r="DD62" s="1368"/>
      <c r="DE62" s="1368"/>
      <c r="DF62" s="1368"/>
      <c r="DG62" s="1369"/>
      <c r="DH62" s="1420"/>
      <c r="DI62" s="1368"/>
      <c r="DJ62" s="1368"/>
      <c r="DK62" s="1368"/>
      <c r="DL62" s="1369"/>
      <c r="DM62" s="1808"/>
      <c r="DN62" s="1809"/>
      <c r="DO62" s="1809"/>
      <c r="DP62" s="1810"/>
      <c r="DQ62" s="1809"/>
      <c r="DR62" s="1809"/>
      <c r="DS62" s="1809"/>
      <c r="DT62" s="1810"/>
      <c r="DU62" s="1377"/>
      <c r="DV62" s="1729"/>
      <c r="DW62" s="1811"/>
    </row>
    <row r="63" spans="1:127" s="397" customFormat="1" ht="15.75" hidden="1" customHeight="1">
      <c r="A63" s="1097" t="s">
        <v>1015</v>
      </c>
      <c r="B63" s="1057">
        <v>54</v>
      </c>
      <c r="C63" s="1018"/>
      <c r="D63" s="1018"/>
      <c r="E63" s="1018"/>
      <c r="F63" s="1018"/>
      <c r="G63" s="1018"/>
      <c r="H63" s="1018"/>
      <c r="I63" s="1018"/>
      <c r="J63" s="1018"/>
      <c r="K63" s="1018"/>
      <c r="L63" s="1018"/>
      <c r="M63" s="1057"/>
      <c r="N63" s="1018"/>
      <c r="O63" s="1018"/>
      <c r="P63" s="1018"/>
      <c r="Q63" s="1018"/>
      <c r="R63" s="1018"/>
      <c r="S63" s="1018"/>
      <c r="T63" s="1019"/>
      <c r="U63" s="1098" t="s">
        <v>2138</v>
      </c>
      <c r="V63" s="1099" t="s">
        <v>2036</v>
      </c>
      <c r="W63" s="1099" t="s">
        <v>1907</v>
      </c>
      <c r="X63" s="1100">
        <v>30</v>
      </c>
      <c r="Y63" s="1101" t="s">
        <v>2139</v>
      </c>
      <c r="Z63" s="1102" t="s">
        <v>2140</v>
      </c>
      <c r="AA63" s="1103" t="s">
        <v>1942</v>
      </c>
      <c r="AB63" s="1104">
        <v>0.51</v>
      </c>
      <c r="AC63" s="1104">
        <v>0.49</v>
      </c>
      <c r="AD63" s="1104" t="s">
        <v>1942</v>
      </c>
      <c r="AE63" s="1104" t="s">
        <v>1942</v>
      </c>
      <c r="AF63" s="1104" t="s">
        <v>1942</v>
      </c>
      <c r="AG63" s="1104" t="s">
        <v>1942</v>
      </c>
      <c r="AH63" s="1104" t="s">
        <v>1942</v>
      </c>
      <c r="AI63" s="1105">
        <f t="shared" si="0"/>
        <v>1</v>
      </c>
      <c r="AJ63" s="1106" t="s">
        <v>1007</v>
      </c>
      <c r="AK63" s="1106" t="s">
        <v>1942</v>
      </c>
      <c r="AL63" s="1106" t="s">
        <v>1942</v>
      </c>
      <c r="AM63" s="1107" t="s">
        <v>1947</v>
      </c>
      <c r="AN63" s="1018" t="s">
        <v>1081</v>
      </c>
      <c r="AO63" s="1018" t="s">
        <v>2141</v>
      </c>
      <c r="AP63" s="833">
        <v>1</v>
      </c>
      <c r="AQ63" s="1076" t="s">
        <v>1010</v>
      </c>
      <c r="AR63" s="1109" t="s">
        <v>1942</v>
      </c>
      <c r="AS63" s="1110"/>
      <c r="AT63" s="1100"/>
      <c r="AU63" s="1100"/>
      <c r="AV63" s="1100"/>
      <c r="AW63" s="1111"/>
      <c r="AX63" s="1112"/>
      <c r="AY63" s="1075"/>
      <c r="AZ63" s="1076"/>
      <c r="BA63" s="1076"/>
      <c r="BB63" s="1076"/>
      <c r="BC63" s="1076"/>
      <c r="BD63" s="1076"/>
      <c r="BE63" s="1076"/>
      <c r="BF63" s="1076"/>
      <c r="BG63" s="1076"/>
      <c r="BH63" s="1076"/>
      <c r="BI63" s="1420"/>
      <c r="BJ63" s="1368"/>
      <c r="BK63" s="1368"/>
      <c r="BL63" s="1368"/>
      <c r="BM63" s="1368"/>
      <c r="BN63" s="1075"/>
      <c r="BO63" s="1076"/>
      <c r="BP63" s="1076"/>
      <c r="BQ63" s="1076"/>
      <c r="BR63" s="1076"/>
      <c r="BS63" s="1115"/>
      <c r="BT63" s="1076"/>
      <c r="BU63" s="1076"/>
      <c r="BV63" s="1076"/>
      <c r="BW63" s="1116"/>
      <c r="BX63" s="1115"/>
      <c r="BY63" s="1076"/>
      <c r="BZ63" s="1076"/>
      <c r="CA63" s="1076"/>
      <c r="CB63" s="1116"/>
      <c r="CC63" s="1117"/>
      <c r="CD63" s="1376"/>
      <c r="CE63" s="1377"/>
      <c r="CF63" s="1377"/>
      <c r="CG63" s="1377"/>
      <c r="CH63" s="1440"/>
      <c r="CI63" s="1420"/>
      <c r="CJ63" s="1368"/>
      <c r="CK63" s="1368"/>
      <c r="CL63" s="1368"/>
      <c r="CM63" s="1369"/>
      <c r="CN63" s="1420"/>
      <c r="CO63" s="1368"/>
      <c r="CP63" s="1368"/>
      <c r="CQ63" s="1368"/>
      <c r="CR63" s="1369"/>
      <c r="CS63" s="1420"/>
      <c r="CT63" s="1368"/>
      <c r="CU63" s="1368"/>
      <c r="CV63" s="1368"/>
      <c r="CW63" s="1369"/>
      <c r="CX63" s="1420"/>
      <c r="CY63" s="1368"/>
      <c r="CZ63" s="1368"/>
      <c r="DA63" s="1368"/>
      <c r="DB63" s="1369"/>
      <c r="DC63" s="1368"/>
      <c r="DD63" s="1368"/>
      <c r="DE63" s="1368"/>
      <c r="DF63" s="1368"/>
      <c r="DG63" s="1369"/>
      <c r="DH63" s="1420"/>
      <c r="DI63" s="1368"/>
      <c r="DJ63" s="1368"/>
      <c r="DK63" s="1368"/>
      <c r="DL63" s="1369"/>
      <c r="DM63" s="1808"/>
      <c r="DN63" s="1809"/>
      <c r="DO63" s="1809"/>
      <c r="DP63" s="1810"/>
      <c r="DQ63" s="1809"/>
      <c r="DR63" s="1809"/>
      <c r="DS63" s="1809"/>
      <c r="DT63" s="1810"/>
      <c r="DU63" s="1377"/>
      <c r="DV63" s="1729"/>
      <c r="DW63" s="1811"/>
    </row>
    <row r="64" spans="1:127" s="397" customFormat="1" ht="15.75" hidden="1" customHeight="1">
      <c r="A64" s="1097" t="s">
        <v>1015</v>
      </c>
      <c r="B64" s="1057">
        <v>55</v>
      </c>
      <c r="C64" s="1018"/>
      <c r="D64" s="1018"/>
      <c r="E64" s="1018"/>
      <c r="F64" s="1018"/>
      <c r="G64" s="1018"/>
      <c r="H64" s="1018"/>
      <c r="I64" s="1018"/>
      <c r="J64" s="1018"/>
      <c r="K64" s="1018"/>
      <c r="L64" s="1018"/>
      <c r="M64" s="1057"/>
      <c r="N64" s="1018"/>
      <c r="O64" s="1018"/>
      <c r="P64" s="1018"/>
      <c r="Q64" s="1018"/>
      <c r="R64" s="1018"/>
      <c r="S64" s="1018"/>
      <c r="T64" s="1019"/>
      <c r="U64" s="1098" t="s">
        <v>2142</v>
      </c>
      <c r="V64" s="1099" t="s">
        <v>2061</v>
      </c>
      <c r="W64" s="1099" t="s">
        <v>1907</v>
      </c>
      <c r="X64" s="1100">
        <v>32</v>
      </c>
      <c r="Y64" s="1101" t="s">
        <v>2143</v>
      </c>
      <c r="Z64" s="1102" t="s">
        <v>2144</v>
      </c>
      <c r="AA64" s="1103">
        <v>0.15</v>
      </c>
      <c r="AB64" s="1104" t="s">
        <v>1942</v>
      </c>
      <c r="AC64" s="1104">
        <v>0.85</v>
      </c>
      <c r="AD64" s="1104" t="s">
        <v>1942</v>
      </c>
      <c r="AE64" s="1104" t="s">
        <v>1942</v>
      </c>
      <c r="AF64" s="1104" t="s">
        <v>1942</v>
      </c>
      <c r="AG64" s="1104" t="s">
        <v>1942</v>
      </c>
      <c r="AH64" s="1104" t="s">
        <v>1942</v>
      </c>
      <c r="AI64" s="1105">
        <f t="shared" si="0"/>
        <v>1</v>
      </c>
      <c r="AJ64" s="1106" t="s">
        <v>1030</v>
      </c>
      <c r="AK64" s="1106" t="s">
        <v>1008</v>
      </c>
      <c r="AL64" s="1106" t="s">
        <v>1009</v>
      </c>
      <c r="AM64" s="1107" t="s">
        <v>2106</v>
      </c>
      <c r="AN64" s="1018" t="s">
        <v>1033</v>
      </c>
      <c r="AO64" s="1018" t="s">
        <v>2145</v>
      </c>
      <c r="AP64" s="833">
        <v>0</v>
      </c>
      <c r="AQ64" s="1076" t="s">
        <v>1010</v>
      </c>
      <c r="AR64" s="1109" t="s">
        <v>1942</v>
      </c>
      <c r="AS64" s="1110"/>
      <c r="AT64" s="1100"/>
      <c r="AU64" s="1100"/>
      <c r="AV64" s="1100"/>
      <c r="AW64" s="1111"/>
      <c r="AX64" s="1112"/>
      <c r="AY64" s="1075"/>
      <c r="AZ64" s="1076"/>
      <c r="BA64" s="1076"/>
      <c r="BB64" s="1076"/>
      <c r="BC64" s="1076"/>
      <c r="BD64" s="1076"/>
      <c r="BE64" s="1076"/>
      <c r="BF64" s="1076"/>
      <c r="BG64" s="1076"/>
      <c r="BH64" s="1076"/>
      <c r="BI64" s="1420"/>
      <c r="BJ64" s="1368"/>
      <c r="BK64" s="1368"/>
      <c r="BL64" s="1368"/>
      <c r="BM64" s="1368"/>
      <c r="BN64" s="1075"/>
      <c r="BO64" s="1076"/>
      <c r="BP64" s="1076"/>
      <c r="BQ64" s="1076"/>
      <c r="BR64" s="1076"/>
      <c r="BS64" s="1115"/>
      <c r="BT64" s="1076"/>
      <c r="BU64" s="1076"/>
      <c r="BV64" s="1076"/>
      <c r="BW64" s="1116"/>
      <c r="BX64" s="1115"/>
      <c r="BY64" s="1076"/>
      <c r="BZ64" s="1076"/>
      <c r="CA64" s="1076"/>
      <c r="CB64" s="1116"/>
      <c r="CC64" s="1117"/>
      <c r="CD64" s="1376"/>
      <c r="CE64" s="1377"/>
      <c r="CF64" s="1377"/>
      <c r="CG64" s="1377"/>
      <c r="CH64" s="1440"/>
      <c r="CI64" s="1420"/>
      <c r="CJ64" s="1368"/>
      <c r="CK64" s="1368"/>
      <c r="CL64" s="1368"/>
      <c r="CM64" s="1369"/>
      <c r="CN64" s="1420"/>
      <c r="CO64" s="1368"/>
      <c r="CP64" s="1368"/>
      <c r="CQ64" s="1368"/>
      <c r="CR64" s="1369"/>
      <c r="CS64" s="1420"/>
      <c r="CT64" s="1368"/>
      <c r="CU64" s="1368"/>
      <c r="CV64" s="1368"/>
      <c r="CW64" s="1369"/>
      <c r="CX64" s="1420"/>
      <c r="CY64" s="1368"/>
      <c r="CZ64" s="1368"/>
      <c r="DA64" s="1368"/>
      <c r="DB64" s="1369"/>
      <c r="DC64" s="1368"/>
      <c r="DD64" s="1368"/>
      <c r="DE64" s="1368"/>
      <c r="DF64" s="1368"/>
      <c r="DG64" s="1369"/>
      <c r="DH64" s="1420"/>
      <c r="DI64" s="1368"/>
      <c r="DJ64" s="1368"/>
      <c r="DK64" s="1368"/>
      <c r="DL64" s="1369"/>
      <c r="DM64" s="1808"/>
      <c r="DN64" s="1809"/>
      <c r="DO64" s="1809"/>
      <c r="DP64" s="1810"/>
      <c r="DQ64" s="1809"/>
      <c r="DR64" s="1809"/>
      <c r="DS64" s="1809"/>
      <c r="DT64" s="1810"/>
      <c r="DU64" s="1377"/>
      <c r="DV64" s="1729"/>
      <c r="DW64" s="1811"/>
    </row>
    <row r="65" spans="1:127" s="397" customFormat="1" ht="15.75" hidden="1" customHeight="1">
      <c r="A65" s="1097" t="s">
        <v>1015</v>
      </c>
      <c r="B65" s="1057">
        <v>56</v>
      </c>
      <c r="C65" s="1018"/>
      <c r="D65" s="1018"/>
      <c r="E65" s="1018"/>
      <c r="F65" s="1018"/>
      <c r="G65" s="1018"/>
      <c r="H65" s="1018"/>
      <c r="I65" s="1018"/>
      <c r="J65" s="1018"/>
      <c r="K65" s="1018"/>
      <c r="L65" s="1018"/>
      <c r="M65" s="1057"/>
      <c r="N65" s="1018"/>
      <c r="O65" s="1018"/>
      <c r="P65" s="1018"/>
      <c r="Q65" s="1018"/>
      <c r="R65" s="1018"/>
      <c r="S65" s="1018"/>
      <c r="T65" s="1019"/>
      <c r="U65" s="1098" t="s">
        <v>2146</v>
      </c>
      <c r="V65" s="1099" t="s">
        <v>2042</v>
      </c>
      <c r="W65" s="1099" t="s">
        <v>1889</v>
      </c>
      <c r="X65" s="1100">
        <v>34</v>
      </c>
      <c r="Y65" s="1101" t="s">
        <v>2147</v>
      </c>
      <c r="Z65" s="1102" t="s">
        <v>2148</v>
      </c>
      <c r="AA65" s="1103" t="s">
        <v>1942</v>
      </c>
      <c r="AB65" s="1104">
        <v>1</v>
      </c>
      <c r="AC65" s="1104" t="s">
        <v>1942</v>
      </c>
      <c r="AD65" s="1104" t="s">
        <v>1942</v>
      </c>
      <c r="AE65" s="1104" t="s">
        <v>1942</v>
      </c>
      <c r="AF65" s="1104" t="s">
        <v>1942</v>
      </c>
      <c r="AG65" s="1104" t="s">
        <v>1942</v>
      </c>
      <c r="AH65" s="1104" t="s">
        <v>1942</v>
      </c>
      <c r="AI65" s="1105">
        <f t="shared" si="0"/>
        <v>1</v>
      </c>
      <c r="AJ65" s="1106" t="s">
        <v>1030</v>
      </c>
      <c r="AK65" s="1106" t="s">
        <v>1008</v>
      </c>
      <c r="AL65" s="1106" t="s">
        <v>1009</v>
      </c>
      <c r="AM65" s="1107" t="s">
        <v>2149</v>
      </c>
      <c r="AN65" s="1018" t="s">
        <v>396</v>
      </c>
      <c r="AO65" s="1018" t="s">
        <v>4798</v>
      </c>
      <c r="AP65" s="1313">
        <v>2</v>
      </c>
      <c r="AQ65" s="1076" t="s">
        <v>1020</v>
      </c>
      <c r="AR65" s="1109"/>
      <c r="AS65" s="1110"/>
      <c r="AT65" s="1100"/>
      <c r="AU65" s="1100"/>
      <c r="AV65" s="1100"/>
      <c r="AW65" s="1111"/>
      <c r="AX65" s="1112"/>
      <c r="AY65" s="1075"/>
      <c r="AZ65" s="1076"/>
      <c r="BA65" s="1076"/>
      <c r="BB65" s="1076"/>
      <c r="BC65" s="1076"/>
      <c r="BD65" s="1076"/>
      <c r="BE65" s="1076"/>
      <c r="BF65" s="1076"/>
      <c r="BG65" s="1076"/>
      <c r="BH65" s="1076"/>
      <c r="BI65" s="1420"/>
      <c r="BJ65" s="1368"/>
      <c r="BK65" s="1368"/>
      <c r="BL65" s="1368"/>
      <c r="BM65" s="1368"/>
      <c r="BN65" s="1075"/>
      <c r="BO65" s="1076"/>
      <c r="BP65" s="1076"/>
      <c r="BQ65" s="1076"/>
      <c r="BR65" s="1076"/>
      <c r="BS65" s="1115"/>
      <c r="BT65" s="1076"/>
      <c r="BU65" s="1076"/>
      <c r="BV65" s="1076"/>
      <c r="BW65" s="1116"/>
      <c r="BX65" s="1115"/>
      <c r="BY65" s="1076"/>
      <c r="BZ65" s="1076"/>
      <c r="CA65" s="1076"/>
      <c r="CB65" s="1116"/>
      <c r="CC65" s="1117"/>
      <c r="CD65" s="1376"/>
      <c r="CE65" s="1377"/>
      <c r="CF65" s="1377"/>
      <c r="CG65" s="1377"/>
      <c r="CH65" s="1440"/>
      <c r="CI65" s="1420"/>
      <c r="CJ65" s="1368"/>
      <c r="CK65" s="1368"/>
      <c r="CL65" s="1368"/>
      <c r="CM65" s="1369"/>
      <c r="CN65" s="1420"/>
      <c r="CO65" s="1368"/>
      <c r="CP65" s="1368"/>
      <c r="CQ65" s="1368"/>
      <c r="CR65" s="1369"/>
      <c r="CS65" s="1420"/>
      <c r="CT65" s="1368"/>
      <c r="CU65" s="1368"/>
      <c r="CV65" s="1368"/>
      <c r="CW65" s="1369"/>
      <c r="CX65" s="1420"/>
      <c r="CY65" s="1368"/>
      <c r="CZ65" s="1368"/>
      <c r="DA65" s="1368"/>
      <c r="DB65" s="1369"/>
      <c r="DC65" s="1368"/>
      <c r="DD65" s="1368"/>
      <c r="DE65" s="1368"/>
      <c r="DF65" s="1368"/>
      <c r="DG65" s="1369"/>
      <c r="DH65" s="1420"/>
      <c r="DI65" s="1368"/>
      <c r="DJ65" s="1368"/>
      <c r="DK65" s="1368"/>
      <c r="DL65" s="1369"/>
      <c r="DM65" s="1808"/>
      <c r="DN65" s="1809"/>
      <c r="DO65" s="1809"/>
      <c r="DP65" s="1810"/>
      <c r="DQ65" s="1809"/>
      <c r="DR65" s="1809"/>
      <c r="DS65" s="1809"/>
      <c r="DT65" s="1810"/>
      <c r="DU65" s="1377"/>
      <c r="DV65" s="1729"/>
      <c r="DW65" s="1811"/>
    </row>
    <row r="66" spans="1:127" s="397" customFormat="1" ht="15.75" hidden="1" customHeight="1">
      <c r="A66" s="1097" t="s">
        <v>1015</v>
      </c>
      <c r="B66" s="1057">
        <v>57</v>
      </c>
      <c r="C66" s="1018"/>
      <c r="D66" s="1018"/>
      <c r="E66" s="1018"/>
      <c r="F66" s="1018"/>
      <c r="G66" s="1018"/>
      <c r="H66" s="1018"/>
      <c r="I66" s="1018"/>
      <c r="J66" s="1018"/>
      <c r="K66" s="1018"/>
      <c r="L66" s="1018"/>
      <c r="M66" s="1057"/>
      <c r="N66" s="1018"/>
      <c r="O66" s="1018"/>
      <c r="P66" s="1018"/>
      <c r="Q66" s="1018"/>
      <c r="R66" s="1018"/>
      <c r="S66" s="1018"/>
      <c r="T66" s="1019"/>
      <c r="U66" s="1098" t="s">
        <v>2151</v>
      </c>
      <c r="V66" s="1099" t="s">
        <v>2042</v>
      </c>
      <c r="W66" s="1099" t="s">
        <v>1907</v>
      </c>
      <c r="X66" s="1100">
        <v>35</v>
      </c>
      <c r="Y66" s="1101" t="s">
        <v>2152</v>
      </c>
      <c r="Z66" s="1102" t="s">
        <v>2153</v>
      </c>
      <c r="AA66" s="1103" t="s">
        <v>1942</v>
      </c>
      <c r="AB66" s="1104">
        <v>1</v>
      </c>
      <c r="AC66" s="1104" t="s">
        <v>1942</v>
      </c>
      <c r="AD66" s="1104" t="s">
        <v>1942</v>
      </c>
      <c r="AE66" s="1104" t="s">
        <v>1942</v>
      </c>
      <c r="AF66" s="1104" t="s">
        <v>1942</v>
      </c>
      <c r="AG66" s="1104" t="s">
        <v>1942</v>
      </c>
      <c r="AH66" s="1104" t="s">
        <v>1942</v>
      </c>
      <c r="AI66" s="1105">
        <f t="shared" si="0"/>
        <v>1</v>
      </c>
      <c r="AJ66" s="1106" t="s">
        <v>1007</v>
      </c>
      <c r="AK66" s="1106" t="s">
        <v>1942</v>
      </c>
      <c r="AL66" s="1106" t="s">
        <v>1942</v>
      </c>
      <c r="AM66" s="1107" t="s">
        <v>1926</v>
      </c>
      <c r="AN66" s="1018" t="s">
        <v>1081</v>
      </c>
      <c r="AO66" s="1018" t="s">
        <v>2154</v>
      </c>
      <c r="AP66" s="1070">
        <v>3</v>
      </c>
      <c r="AQ66" s="1108" t="s">
        <v>1020</v>
      </c>
      <c r="AR66" s="1109" t="s">
        <v>1942</v>
      </c>
      <c r="AS66" s="1110"/>
      <c r="AT66" s="1100"/>
      <c r="AU66" s="1100"/>
      <c r="AV66" s="1100"/>
      <c r="AW66" s="1111"/>
      <c r="AX66" s="1112"/>
      <c r="AY66" s="1075"/>
      <c r="AZ66" s="1076"/>
      <c r="BA66" s="1076"/>
      <c r="BB66" s="1076"/>
      <c r="BC66" s="1076"/>
      <c r="BD66" s="1076"/>
      <c r="BE66" s="1076"/>
      <c r="BF66" s="1076"/>
      <c r="BG66" s="1076"/>
      <c r="BH66" s="1076"/>
      <c r="BI66" s="1420"/>
      <c r="BJ66" s="1368"/>
      <c r="BK66" s="1368"/>
      <c r="BL66" s="1368"/>
      <c r="BM66" s="1368"/>
      <c r="BN66" s="1075"/>
      <c r="BO66" s="1076"/>
      <c r="BP66" s="1076"/>
      <c r="BQ66" s="1076"/>
      <c r="BR66" s="1076"/>
      <c r="BS66" s="1115"/>
      <c r="BT66" s="1076"/>
      <c r="BU66" s="1076"/>
      <c r="BV66" s="1076"/>
      <c r="BW66" s="1116"/>
      <c r="BX66" s="1115"/>
      <c r="BY66" s="1076"/>
      <c r="BZ66" s="1076"/>
      <c r="CA66" s="1076"/>
      <c r="CB66" s="1116"/>
      <c r="CC66" s="1117"/>
      <c r="CD66" s="1376"/>
      <c r="CE66" s="1377"/>
      <c r="CF66" s="1377"/>
      <c r="CG66" s="1377"/>
      <c r="CH66" s="1440"/>
      <c r="CI66" s="1420"/>
      <c r="CJ66" s="1368"/>
      <c r="CK66" s="1368"/>
      <c r="CL66" s="1368"/>
      <c r="CM66" s="1369"/>
      <c r="CN66" s="1420"/>
      <c r="CO66" s="1368"/>
      <c r="CP66" s="1368"/>
      <c r="CQ66" s="1368"/>
      <c r="CR66" s="1369"/>
      <c r="CS66" s="1420"/>
      <c r="CT66" s="1368"/>
      <c r="CU66" s="1368"/>
      <c r="CV66" s="1368"/>
      <c r="CW66" s="1369"/>
      <c r="CX66" s="1420"/>
      <c r="CY66" s="1368"/>
      <c r="CZ66" s="1368"/>
      <c r="DA66" s="1368"/>
      <c r="DB66" s="1369"/>
      <c r="DC66" s="1368"/>
      <c r="DD66" s="1368"/>
      <c r="DE66" s="1368"/>
      <c r="DF66" s="1368"/>
      <c r="DG66" s="1369"/>
      <c r="DH66" s="1420"/>
      <c r="DI66" s="1368"/>
      <c r="DJ66" s="1368"/>
      <c r="DK66" s="1368"/>
      <c r="DL66" s="1369"/>
      <c r="DM66" s="1808"/>
      <c r="DN66" s="1809"/>
      <c r="DO66" s="1809"/>
      <c r="DP66" s="1810"/>
      <c r="DQ66" s="1809"/>
      <c r="DR66" s="1809"/>
      <c r="DS66" s="1809"/>
      <c r="DT66" s="1810"/>
      <c r="DU66" s="1377"/>
      <c r="DV66" s="1729"/>
      <c r="DW66" s="1811"/>
    </row>
    <row r="67" spans="1:127" s="397" customFormat="1" ht="15.75" hidden="1" customHeight="1">
      <c r="A67" s="1097" t="s">
        <v>1015</v>
      </c>
      <c r="B67" s="1057">
        <v>58</v>
      </c>
      <c r="C67" s="1018"/>
      <c r="D67" s="1018"/>
      <c r="E67" s="1018"/>
      <c r="F67" s="1018"/>
      <c r="G67" s="1018"/>
      <c r="H67" s="1018"/>
      <c r="I67" s="1018"/>
      <c r="J67" s="1018"/>
      <c r="K67" s="1018"/>
      <c r="L67" s="1018"/>
      <c r="M67" s="1057"/>
      <c r="N67" s="1018"/>
      <c r="O67" s="1018"/>
      <c r="P67" s="1018"/>
      <c r="Q67" s="1018"/>
      <c r="R67" s="1018"/>
      <c r="S67" s="1018"/>
      <c r="T67" s="1019"/>
      <c r="U67" s="1098" t="s">
        <v>2155</v>
      </c>
      <c r="V67" s="1099" t="s">
        <v>2114</v>
      </c>
      <c r="W67" s="1099" t="s">
        <v>1907</v>
      </c>
      <c r="X67" s="1100">
        <v>36</v>
      </c>
      <c r="Y67" s="1101" t="s">
        <v>2156</v>
      </c>
      <c r="Z67" s="1102" t="s">
        <v>2157</v>
      </c>
      <c r="AA67" s="1103" t="s">
        <v>1942</v>
      </c>
      <c r="AB67" s="1104" t="s">
        <v>1942</v>
      </c>
      <c r="AC67" s="1104" t="s">
        <v>1942</v>
      </c>
      <c r="AD67" s="1104" t="s">
        <v>1942</v>
      </c>
      <c r="AE67" s="1104">
        <v>1</v>
      </c>
      <c r="AF67" s="1104" t="s">
        <v>1942</v>
      </c>
      <c r="AG67" s="1104" t="s">
        <v>1942</v>
      </c>
      <c r="AH67" s="1104" t="s">
        <v>1942</v>
      </c>
      <c r="AI67" s="1105">
        <f t="shared" si="0"/>
        <v>1</v>
      </c>
      <c r="AJ67" s="1106" t="s">
        <v>1007</v>
      </c>
      <c r="AK67" s="1106" t="s">
        <v>1942</v>
      </c>
      <c r="AL67" s="1106" t="s">
        <v>1942</v>
      </c>
      <c r="AM67" s="1107" t="s">
        <v>2029</v>
      </c>
      <c r="AN67" s="1018" t="s">
        <v>1072</v>
      </c>
      <c r="AO67" s="1018" t="s">
        <v>2158</v>
      </c>
      <c r="AP67" s="1070">
        <v>0</v>
      </c>
      <c r="AQ67" s="1108" t="s">
        <v>1072</v>
      </c>
      <c r="AR67" s="1109" t="s">
        <v>1942</v>
      </c>
      <c r="AS67" s="1110"/>
      <c r="AT67" s="1100"/>
      <c r="AU67" s="1100"/>
      <c r="AV67" s="1100"/>
      <c r="AW67" s="1111"/>
      <c r="AX67" s="1112"/>
      <c r="AY67" s="1075"/>
      <c r="AZ67" s="1076"/>
      <c r="BA67" s="1076"/>
      <c r="BB67" s="1076"/>
      <c r="BC67" s="1076"/>
      <c r="BD67" s="1076"/>
      <c r="BE67" s="1076"/>
      <c r="BF67" s="1076"/>
      <c r="BG67" s="1076"/>
      <c r="BH67" s="1076"/>
      <c r="BI67" s="1420"/>
      <c r="BJ67" s="1368"/>
      <c r="BK67" s="1368"/>
      <c r="BL67" s="1368"/>
      <c r="BM67" s="1368"/>
      <c r="BN67" s="1075"/>
      <c r="BO67" s="1076"/>
      <c r="BP67" s="1076"/>
      <c r="BQ67" s="1076"/>
      <c r="BR67" s="1076"/>
      <c r="BS67" s="1115"/>
      <c r="BT67" s="1076"/>
      <c r="BU67" s="1076"/>
      <c r="BV67" s="1076"/>
      <c r="BW67" s="1116"/>
      <c r="BX67" s="1115"/>
      <c r="BY67" s="1076"/>
      <c r="BZ67" s="1076"/>
      <c r="CA67" s="1076"/>
      <c r="CB67" s="1116"/>
      <c r="CC67" s="1117"/>
      <c r="CD67" s="1376"/>
      <c r="CE67" s="1377"/>
      <c r="CF67" s="1377"/>
      <c r="CG67" s="1377"/>
      <c r="CH67" s="1440"/>
      <c r="CI67" s="1420"/>
      <c r="CJ67" s="1368"/>
      <c r="CK67" s="1368"/>
      <c r="CL67" s="1368"/>
      <c r="CM67" s="1369"/>
      <c r="CN67" s="1420"/>
      <c r="CO67" s="1368"/>
      <c r="CP67" s="1368"/>
      <c r="CQ67" s="1368"/>
      <c r="CR67" s="1369"/>
      <c r="CS67" s="1420"/>
      <c r="CT67" s="1368"/>
      <c r="CU67" s="1368"/>
      <c r="CV67" s="1368"/>
      <c r="CW67" s="1369"/>
      <c r="CX67" s="1420"/>
      <c r="CY67" s="1368"/>
      <c r="CZ67" s="1368"/>
      <c r="DA67" s="1368"/>
      <c r="DB67" s="1369"/>
      <c r="DC67" s="1368"/>
      <c r="DD67" s="1368"/>
      <c r="DE67" s="1368"/>
      <c r="DF67" s="1368"/>
      <c r="DG67" s="1369"/>
      <c r="DH67" s="1420"/>
      <c r="DI67" s="1368"/>
      <c r="DJ67" s="1368"/>
      <c r="DK67" s="1368"/>
      <c r="DL67" s="1369"/>
      <c r="DM67" s="1808"/>
      <c r="DN67" s="1809"/>
      <c r="DO67" s="1809"/>
      <c r="DP67" s="1810"/>
      <c r="DQ67" s="1809"/>
      <c r="DR67" s="1809"/>
      <c r="DS67" s="1809"/>
      <c r="DT67" s="1810"/>
      <c r="DU67" s="1377"/>
      <c r="DV67" s="1729"/>
      <c r="DW67" s="1811"/>
    </row>
    <row r="68" spans="1:127" s="397" customFormat="1" ht="15.75" hidden="1" customHeight="1">
      <c r="A68" s="1097" t="s">
        <v>1015</v>
      </c>
      <c r="B68" s="1057">
        <v>59</v>
      </c>
      <c r="C68" s="1018"/>
      <c r="D68" s="1018"/>
      <c r="E68" s="1018"/>
      <c r="F68" s="1018"/>
      <c r="G68" s="1018"/>
      <c r="H68" s="1018"/>
      <c r="I68" s="1018"/>
      <c r="J68" s="1018"/>
      <c r="K68" s="1018"/>
      <c r="L68" s="1018"/>
      <c r="M68" s="1057"/>
      <c r="N68" s="1018"/>
      <c r="O68" s="1018"/>
      <c r="P68" s="1018"/>
      <c r="Q68" s="1018"/>
      <c r="R68" s="1018"/>
      <c r="S68" s="1018"/>
      <c r="T68" s="1019"/>
      <c r="U68" s="1098" t="s">
        <v>2159</v>
      </c>
      <c r="V68" s="1099" t="s">
        <v>2114</v>
      </c>
      <c r="W68" s="1099" t="s">
        <v>1907</v>
      </c>
      <c r="X68" s="1100">
        <v>37</v>
      </c>
      <c r="Y68" s="1101" t="s">
        <v>2160</v>
      </c>
      <c r="Z68" s="1102" t="s">
        <v>2161</v>
      </c>
      <c r="AA68" s="1103" t="s">
        <v>1942</v>
      </c>
      <c r="AB68" s="1104" t="s">
        <v>1942</v>
      </c>
      <c r="AC68" s="1104" t="s">
        <v>1942</v>
      </c>
      <c r="AD68" s="1104" t="s">
        <v>1942</v>
      </c>
      <c r="AE68" s="1104">
        <v>1</v>
      </c>
      <c r="AF68" s="1104" t="s">
        <v>1942</v>
      </c>
      <c r="AG68" s="1104" t="s">
        <v>1942</v>
      </c>
      <c r="AH68" s="1104" t="s">
        <v>1942</v>
      </c>
      <c r="AI68" s="1105">
        <f t="shared" si="0"/>
        <v>1</v>
      </c>
      <c r="AJ68" s="1106" t="s">
        <v>1007</v>
      </c>
      <c r="AK68" s="1106" t="s">
        <v>1942</v>
      </c>
      <c r="AL68" s="1106" t="s">
        <v>1942</v>
      </c>
      <c r="AM68" s="1107" t="s">
        <v>2029</v>
      </c>
      <c r="AN68" s="1018" t="s">
        <v>1033</v>
      </c>
      <c r="AO68" s="1018" t="s">
        <v>2162</v>
      </c>
      <c r="AP68" s="1070">
        <v>1</v>
      </c>
      <c r="AQ68" s="1108" t="s">
        <v>1010</v>
      </c>
      <c r="AR68" s="1109" t="s">
        <v>1942</v>
      </c>
      <c r="AS68" s="1110"/>
      <c r="AT68" s="1100"/>
      <c r="AU68" s="1100"/>
      <c r="AV68" s="1100"/>
      <c r="AW68" s="1111"/>
      <c r="AX68" s="1112"/>
      <c r="AY68" s="1075"/>
      <c r="AZ68" s="1076"/>
      <c r="BA68" s="1076"/>
      <c r="BB68" s="1076"/>
      <c r="BC68" s="1076"/>
      <c r="BD68" s="1076"/>
      <c r="BE68" s="1076"/>
      <c r="BF68" s="1076"/>
      <c r="BG68" s="1076"/>
      <c r="BH68" s="1076"/>
      <c r="BI68" s="1420"/>
      <c r="BJ68" s="1368"/>
      <c r="BK68" s="1368"/>
      <c r="BL68" s="1368"/>
      <c r="BM68" s="1368"/>
      <c r="BN68" s="1075"/>
      <c r="BO68" s="1076"/>
      <c r="BP68" s="1076"/>
      <c r="BQ68" s="1076"/>
      <c r="BR68" s="1076"/>
      <c r="BS68" s="1115"/>
      <c r="BT68" s="1076"/>
      <c r="BU68" s="1076"/>
      <c r="BV68" s="1076"/>
      <c r="BW68" s="1116"/>
      <c r="BX68" s="1115"/>
      <c r="BY68" s="1076"/>
      <c r="BZ68" s="1076"/>
      <c r="CA68" s="1076"/>
      <c r="CB68" s="1116"/>
      <c r="CC68" s="1117"/>
      <c r="CD68" s="1376"/>
      <c r="CE68" s="1377"/>
      <c r="CF68" s="1377"/>
      <c r="CG68" s="1377"/>
      <c r="CH68" s="1440"/>
      <c r="CI68" s="1420"/>
      <c r="CJ68" s="1368"/>
      <c r="CK68" s="1368"/>
      <c r="CL68" s="1368"/>
      <c r="CM68" s="1369"/>
      <c r="CN68" s="1420"/>
      <c r="CO68" s="1368"/>
      <c r="CP68" s="1368"/>
      <c r="CQ68" s="1368"/>
      <c r="CR68" s="1369"/>
      <c r="CS68" s="1420"/>
      <c r="CT68" s="1368"/>
      <c r="CU68" s="1368"/>
      <c r="CV68" s="1368"/>
      <c r="CW68" s="1369"/>
      <c r="CX68" s="1420"/>
      <c r="CY68" s="1368"/>
      <c r="CZ68" s="1368"/>
      <c r="DA68" s="1368"/>
      <c r="DB68" s="1369"/>
      <c r="DC68" s="1368"/>
      <c r="DD68" s="1368"/>
      <c r="DE68" s="1368"/>
      <c r="DF68" s="1368"/>
      <c r="DG68" s="1369"/>
      <c r="DH68" s="1420"/>
      <c r="DI68" s="1368"/>
      <c r="DJ68" s="1368"/>
      <c r="DK68" s="1368"/>
      <c r="DL68" s="1369"/>
      <c r="DM68" s="1808"/>
      <c r="DN68" s="1809"/>
      <c r="DO68" s="1809"/>
      <c r="DP68" s="1810"/>
      <c r="DQ68" s="1809"/>
      <c r="DR68" s="1809"/>
      <c r="DS68" s="1809"/>
      <c r="DT68" s="1810"/>
      <c r="DU68" s="1377"/>
      <c r="DV68" s="1729"/>
      <c r="DW68" s="1811"/>
    </row>
    <row r="69" spans="1:127" s="397" customFormat="1" ht="15.75" hidden="1" customHeight="1">
      <c r="A69" s="1097" t="s">
        <v>1015</v>
      </c>
      <c r="B69" s="1057">
        <v>60</v>
      </c>
      <c r="C69" s="1018"/>
      <c r="D69" s="1018"/>
      <c r="E69" s="1018"/>
      <c r="F69" s="1018"/>
      <c r="G69" s="1018"/>
      <c r="H69" s="1018"/>
      <c r="I69" s="1018"/>
      <c r="J69" s="1018"/>
      <c r="K69" s="1018"/>
      <c r="L69" s="1018"/>
      <c r="M69" s="1057"/>
      <c r="N69" s="1018"/>
      <c r="O69" s="1018"/>
      <c r="P69" s="1018"/>
      <c r="Q69" s="1018"/>
      <c r="R69" s="1018"/>
      <c r="S69" s="1018"/>
      <c r="T69" s="1019"/>
      <c r="U69" s="1098" t="s">
        <v>2163</v>
      </c>
      <c r="V69" s="1099" t="s">
        <v>1942</v>
      </c>
      <c r="W69" s="1099" t="s">
        <v>1907</v>
      </c>
      <c r="X69" s="1100">
        <v>38</v>
      </c>
      <c r="Y69" s="1101" t="s">
        <v>2164</v>
      </c>
      <c r="Z69" s="1102" t="s">
        <v>1942</v>
      </c>
      <c r="AA69" s="1103" t="s">
        <v>1942</v>
      </c>
      <c r="AB69" s="1104">
        <v>1</v>
      </c>
      <c r="AC69" s="1104" t="s">
        <v>1942</v>
      </c>
      <c r="AD69" s="1104" t="s">
        <v>1942</v>
      </c>
      <c r="AE69" s="1104" t="s">
        <v>1942</v>
      </c>
      <c r="AF69" s="1104" t="s">
        <v>1942</v>
      </c>
      <c r="AG69" s="1104" t="s">
        <v>1942</v>
      </c>
      <c r="AH69" s="1104" t="s">
        <v>1942</v>
      </c>
      <c r="AI69" s="1105">
        <f t="shared" si="0"/>
        <v>1</v>
      </c>
      <c r="AJ69" s="1106" t="s">
        <v>1026</v>
      </c>
      <c r="AK69" s="1106" t="s">
        <v>1008</v>
      </c>
      <c r="AL69" s="1106" t="s">
        <v>1019</v>
      </c>
      <c r="AM69" s="1107" t="s">
        <v>2165</v>
      </c>
      <c r="AN69" s="1018" t="s">
        <v>1033</v>
      </c>
      <c r="AO69" s="1018" t="s">
        <v>2166</v>
      </c>
      <c r="AP69" s="1070">
        <v>0</v>
      </c>
      <c r="AQ69" s="1108" t="s">
        <v>1010</v>
      </c>
      <c r="AR69" s="1109" t="s">
        <v>1942</v>
      </c>
      <c r="AS69" s="1110"/>
      <c r="AT69" s="1100"/>
      <c r="AU69" s="1100"/>
      <c r="AV69" s="1100"/>
      <c r="AW69" s="1111"/>
      <c r="AX69" s="1112"/>
      <c r="AY69" s="1075"/>
      <c r="AZ69" s="1076"/>
      <c r="BA69" s="1076"/>
      <c r="BB69" s="1076"/>
      <c r="BC69" s="1076"/>
      <c r="BD69" s="1076"/>
      <c r="BE69" s="1076"/>
      <c r="BF69" s="1076"/>
      <c r="BG69" s="1076"/>
      <c r="BH69" s="1076"/>
      <c r="BI69" s="1420"/>
      <c r="BJ69" s="1368"/>
      <c r="BK69" s="1368"/>
      <c r="BL69" s="1368"/>
      <c r="BM69" s="1368"/>
      <c r="BN69" s="1075"/>
      <c r="BO69" s="1076"/>
      <c r="BP69" s="1076"/>
      <c r="BQ69" s="1076"/>
      <c r="BR69" s="1076"/>
      <c r="BS69" s="1115"/>
      <c r="BT69" s="1076"/>
      <c r="BU69" s="1076"/>
      <c r="BV69" s="1076"/>
      <c r="BW69" s="1116"/>
      <c r="BX69" s="1115"/>
      <c r="BY69" s="1076"/>
      <c r="BZ69" s="1076"/>
      <c r="CA69" s="1076"/>
      <c r="CB69" s="1116"/>
      <c r="CC69" s="1117"/>
      <c r="CD69" s="1737"/>
      <c r="CE69" s="1738"/>
      <c r="CF69" s="1738"/>
      <c r="CG69" s="1738"/>
      <c r="CH69" s="1739"/>
      <c r="CI69" s="1420"/>
      <c r="CJ69" s="1368"/>
      <c r="CK69" s="1368"/>
      <c r="CL69" s="1368"/>
      <c r="CM69" s="1369"/>
      <c r="CN69" s="1420"/>
      <c r="CO69" s="1368"/>
      <c r="CP69" s="1368"/>
      <c r="CQ69" s="1368"/>
      <c r="CR69" s="1369"/>
      <c r="CS69" s="1420"/>
      <c r="CT69" s="1368"/>
      <c r="CU69" s="1368"/>
      <c r="CV69" s="1368"/>
      <c r="CW69" s="1369"/>
      <c r="CX69" s="1420"/>
      <c r="CY69" s="1368"/>
      <c r="CZ69" s="1368"/>
      <c r="DA69" s="1368"/>
      <c r="DB69" s="1369"/>
      <c r="DC69" s="1368"/>
      <c r="DD69" s="1368"/>
      <c r="DE69" s="1368"/>
      <c r="DF69" s="1368"/>
      <c r="DG69" s="1369"/>
      <c r="DH69" s="1420"/>
      <c r="DI69" s="1368"/>
      <c r="DJ69" s="1368"/>
      <c r="DK69" s="1368"/>
      <c r="DL69" s="1369"/>
      <c r="DM69" s="1808"/>
      <c r="DN69" s="1809"/>
      <c r="DO69" s="1809"/>
      <c r="DP69" s="1810"/>
      <c r="DQ69" s="1809"/>
      <c r="DR69" s="1809"/>
      <c r="DS69" s="1809"/>
      <c r="DT69" s="1810"/>
      <c r="DU69" s="1377"/>
      <c r="DV69" s="1729"/>
      <c r="DW69" s="1811"/>
    </row>
    <row r="70" spans="1:127" s="397" customFormat="1" ht="15.75" hidden="1" customHeight="1">
      <c r="A70" s="1097" t="s">
        <v>1015</v>
      </c>
      <c r="B70" s="1057">
        <v>61</v>
      </c>
      <c r="C70" s="1018"/>
      <c r="D70" s="1018"/>
      <c r="E70" s="1018"/>
      <c r="F70" s="1018"/>
      <c r="G70" s="1018"/>
      <c r="H70" s="1018"/>
      <c r="I70" s="1018"/>
      <c r="J70" s="1018"/>
      <c r="K70" s="1018"/>
      <c r="L70" s="1018"/>
      <c r="M70" s="1057"/>
      <c r="N70" s="1018"/>
      <c r="O70" s="1018"/>
      <c r="P70" s="1018"/>
      <c r="Q70" s="1018"/>
      <c r="R70" s="1018"/>
      <c r="S70" s="1018"/>
      <c r="T70" s="1019"/>
      <c r="U70" s="1098" t="s">
        <v>2167</v>
      </c>
      <c r="V70" s="1099" t="s">
        <v>1942</v>
      </c>
      <c r="W70" s="1099" t="s">
        <v>1907</v>
      </c>
      <c r="X70" s="1100">
        <v>39</v>
      </c>
      <c r="Y70" s="1101" t="s">
        <v>2168</v>
      </c>
      <c r="Z70" s="1102" t="s">
        <v>1942</v>
      </c>
      <c r="AA70" s="1103" t="s">
        <v>1942</v>
      </c>
      <c r="AB70" s="1104">
        <v>1</v>
      </c>
      <c r="AC70" s="1104" t="s">
        <v>1942</v>
      </c>
      <c r="AD70" s="1104" t="s">
        <v>1942</v>
      </c>
      <c r="AE70" s="1104" t="s">
        <v>1942</v>
      </c>
      <c r="AF70" s="1104" t="s">
        <v>1942</v>
      </c>
      <c r="AG70" s="1104" t="s">
        <v>1942</v>
      </c>
      <c r="AH70" s="1104" t="s">
        <v>1942</v>
      </c>
      <c r="AI70" s="1105">
        <f t="shared" si="0"/>
        <v>1</v>
      </c>
      <c r="AJ70" s="1106" t="s">
        <v>1026</v>
      </c>
      <c r="AK70" s="1106" t="s">
        <v>1008</v>
      </c>
      <c r="AL70" s="1106" t="s">
        <v>1019</v>
      </c>
      <c r="AM70" s="1107" t="s">
        <v>2165</v>
      </c>
      <c r="AN70" s="1018" t="s">
        <v>1033</v>
      </c>
      <c r="AO70" s="1018" t="s">
        <v>2169</v>
      </c>
      <c r="AP70" s="833">
        <v>1</v>
      </c>
      <c r="AQ70" s="1076" t="s">
        <v>1010</v>
      </c>
      <c r="AR70" s="1109" t="s">
        <v>1942</v>
      </c>
      <c r="AS70" s="1110"/>
      <c r="AT70" s="1100"/>
      <c r="AU70" s="1100"/>
      <c r="AV70" s="1100"/>
      <c r="AW70" s="1111"/>
      <c r="AX70" s="1112"/>
      <c r="AY70" s="1075"/>
      <c r="AZ70" s="1076"/>
      <c r="BA70" s="1076"/>
      <c r="BB70" s="1076"/>
      <c r="BC70" s="1076"/>
      <c r="BD70" s="1076"/>
      <c r="BE70" s="1076"/>
      <c r="BF70" s="1076"/>
      <c r="BG70" s="1076"/>
      <c r="BH70" s="1076"/>
      <c r="BI70" s="1420"/>
      <c r="BJ70" s="1368"/>
      <c r="BK70" s="1368"/>
      <c r="BL70" s="1368"/>
      <c r="BM70" s="1368"/>
      <c r="BN70" s="1075"/>
      <c r="BO70" s="1076"/>
      <c r="BP70" s="1076"/>
      <c r="BQ70" s="1076"/>
      <c r="BR70" s="1076"/>
      <c r="BS70" s="1115"/>
      <c r="BT70" s="1076"/>
      <c r="BU70" s="1076"/>
      <c r="BV70" s="1076"/>
      <c r="BW70" s="1116"/>
      <c r="BX70" s="1115"/>
      <c r="BY70" s="1076"/>
      <c r="BZ70" s="1076"/>
      <c r="CA70" s="1076"/>
      <c r="CB70" s="1116"/>
      <c r="CC70" s="1117"/>
      <c r="CD70" s="1376"/>
      <c r="CE70" s="1377"/>
      <c r="CF70" s="1377"/>
      <c r="CG70" s="1377"/>
      <c r="CH70" s="1440"/>
      <c r="CI70" s="1420"/>
      <c r="CJ70" s="1368"/>
      <c r="CK70" s="1368"/>
      <c r="CL70" s="1368"/>
      <c r="CM70" s="1369"/>
      <c r="CN70" s="1420"/>
      <c r="CO70" s="1368"/>
      <c r="CP70" s="1368"/>
      <c r="CQ70" s="1368"/>
      <c r="CR70" s="1369"/>
      <c r="CS70" s="1420"/>
      <c r="CT70" s="1368"/>
      <c r="CU70" s="1368"/>
      <c r="CV70" s="1368"/>
      <c r="CW70" s="1369"/>
      <c r="CX70" s="1420"/>
      <c r="CY70" s="1368"/>
      <c r="CZ70" s="1368"/>
      <c r="DA70" s="1368"/>
      <c r="DB70" s="1369"/>
      <c r="DC70" s="1368"/>
      <c r="DD70" s="1368"/>
      <c r="DE70" s="1368"/>
      <c r="DF70" s="1368"/>
      <c r="DG70" s="1369"/>
      <c r="DH70" s="1420"/>
      <c r="DI70" s="1368"/>
      <c r="DJ70" s="1368"/>
      <c r="DK70" s="1368"/>
      <c r="DL70" s="1369"/>
      <c r="DM70" s="1808"/>
      <c r="DN70" s="1809"/>
      <c r="DO70" s="1809"/>
      <c r="DP70" s="1810"/>
      <c r="DQ70" s="1809"/>
      <c r="DR70" s="1809"/>
      <c r="DS70" s="1809"/>
      <c r="DT70" s="1810"/>
      <c r="DU70" s="1377"/>
      <c r="DV70" s="1729"/>
      <c r="DW70" s="1811"/>
    </row>
    <row r="71" spans="1:127" s="397" customFormat="1" ht="15.75" hidden="1" customHeight="1">
      <c r="A71" s="1097" t="s">
        <v>1015</v>
      </c>
      <c r="B71" s="1057">
        <v>62</v>
      </c>
      <c r="C71" s="1018"/>
      <c r="D71" s="1018"/>
      <c r="E71" s="1018"/>
      <c r="F71" s="1018"/>
      <c r="G71" s="1018"/>
      <c r="H71" s="1018"/>
      <c r="I71" s="1018"/>
      <c r="J71" s="1018"/>
      <c r="K71" s="1018"/>
      <c r="L71" s="1018"/>
      <c r="M71" s="1057"/>
      <c r="N71" s="1018"/>
      <c r="O71" s="1018"/>
      <c r="P71" s="1018"/>
      <c r="Q71" s="1018"/>
      <c r="R71" s="1018"/>
      <c r="S71" s="1018"/>
      <c r="T71" s="1019"/>
      <c r="U71" s="1098" t="s">
        <v>2170</v>
      </c>
      <c r="V71" s="1099" t="s">
        <v>1942</v>
      </c>
      <c r="W71" s="1099" t="s">
        <v>1942</v>
      </c>
      <c r="X71" s="1100">
        <v>40</v>
      </c>
      <c r="Y71" s="1101" t="s">
        <v>2171</v>
      </c>
      <c r="Z71" s="1102" t="s">
        <v>1942</v>
      </c>
      <c r="AA71" s="1103" t="s">
        <v>1942</v>
      </c>
      <c r="AB71" s="1104" t="s">
        <v>1942</v>
      </c>
      <c r="AC71" s="1104" t="s">
        <v>1942</v>
      </c>
      <c r="AD71" s="1104" t="s">
        <v>1942</v>
      </c>
      <c r="AE71" s="1104" t="s">
        <v>1942</v>
      </c>
      <c r="AF71" s="1104" t="s">
        <v>1942</v>
      </c>
      <c r="AG71" s="1104" t="s">
        <v>1942</v>
      </c>
      <c r="AH71" s="1104" t="s">
        <v>1942</v>
      </c>
      <c r="AI71" s="1105">
        <f t="shared" si="0"/>
        <v>0</v>
      </c>
      <c r="AJ71" s="1106" t="s">
        <v>1007</v>
      </c>
      <c r="AK71" s="1106" t="s">
        <v>1942</v>
      </c>
      <c r="AL71" s="1106" t="s">
        <v>1942</v>
      </c>
      <c r="AM71" s="1107" t="s">
        <v>1942</v>
      </c>
      <c r="AN71" s="1018" t="s">
        <v>1942</v>
      </c>
      <c r="AO71" s="1018" t="s">
        <v>1942</v>
      </c>
      <c r="AP71" s="1313">
        <v>0</v>
      </c>
      <c r="AQ71" s="1076" t="s">
        <v>1942</v>
      </c>
      <c r="AR71" s="1109" t="s">
        <v>1942</v>
      </c>
      <c r="AS71" s="1110"/>
      <c r="AT71" s="1100"/>
      <c r="AU71" s="1100"/>
      <c r="AV71" s="1100"/>
      <c r="AW71" s="1111"/>
      <c r="AX71" s="1112"/>
      <c r="AY71" s="1075"/>
      <c r="AZ71" s="1076"/>
      <c r="BA71" s="1076"/>
      <c r="BB71" s="1076"/>
      <c r="BC71" s="1076"/>
      <c r="BD71" s="1076"/>
      <c r="BE71" s="1076"/>
      <c r="BF71" s="1076"/>
      <c r="BG71" s="1076"/>
      <c r="BH71" s="1076"/>
      <c r="BI71" s="1420"/>
      <c r="BJ71" s="1368"/>
      <c r="BK71" s="1368"/>
      <c r="BL71" s="1368"/>
      <c r="BM71" s="1368"/>
      <c r="BN71" s="1075"/>
      <c r="BO71" s="1076"/>
      <c r="BP71" s="1076"/>
      <c r="BQ71" s="1076"/>
      <c r="BR71" s="1076"/>
      <c r="BS71" s="1115"/>
      <c r="BT71" s="1076"/>
      <c r="BU71" s="1076"/>
      <c r="BV71" s="1076"/>
      <c r="BW71" s="1116"/>
      <c r="BX71" s="1115"/>
      <c r="BY71" s="1076"/>
      <c r="BZ71" s="1076"/>
      <c r="CA71" s="1076"/>
      <c r="CB71" s="1116"/>
      <c r="CC71" s="1117"/>
      <c r="CD71" s="1376"/>
      <c r="CE71" s="1377"/>
      <c r="CF71" s="1377"/>
      <c r="CG71" s="1377"/>
      <c r="CH71" s="1440"/>
      <c r="CI71" s="1420"/>
      <c r="CJ71" s="1368"/>
      <c r="CK71" s="1368"/>
      <c r="CL71" s="1368"/>
      <c r="CM71" s="1369"/>
      <c r="CN71" s="1420"/>
      <c r="CO71" s="1368"/>
      <c r="CP71" s="1368"/>
      <c r="CQ71" s="1368"/>
      <c r="CR71" s="1369"/>
      <c r="CS71" s="1420"/>
      <c r="CT71" s="1368"/>
      <c r="CU71" s="1368"/>
      <c r="CV71" s="1368"/>
      <c r="CW71" s="1369"/>
      <c r="CX71" s="1420"/>
      <c r="CY71" s="1368"/>
      <c r="CZ71" s="1368"/>
      <c r="DA71" s="1368"/>
      <c r="DB71" s="1369"/>
      <c r="DC71" s="1368"/>
      <c r="DD71" s="1368"/>
      <c r="DE71" s="1368"/>
      <c r="DF71" s="1368"/>
      <c r="DG71" s="1369"/>
      <c r="DH71" s="1420"/>
      <c r="DI71" s="1368"/>
      <c r="DJ71" s="1368"/>
      <c r="DK71" s="1368"/>
      <c r="DL71" s="1369"/>
      <c r="DM71" s="1808"/>
      <c r="DN71" s="1809"/>
      <c r="DO71" s="1809"/>
      <c r="DP71" s="1810"/>
      <c r="DQ71" s="1809"/>
      <c r="DR71" s="1809"/>
      <c r="DS71" s="1809"/>
      <c r="DT71" s="1810"/>
      <c r="DU71" s="1377"/>
      <c r="DV71" s="1729"/>
      <c r="DW71" s="1811"/>
    </row>
    <row r="72" spans="1:127" s="397" customFormat="1" ht="15.75" hidden="1" customHeight="1">
      <c r="A72" s="1097" t="s">
        <v>1015</v>
      </c>
      <c r="B72" s="1057">
        <v>63</v>
      </c>
      <c r="C72" s="1018"/>
      <c r="D72" s="1018"/>
      <c r="E72" s="1018"/>
      <c r="F72" s="1018"/>
      <c r="G72" s="1018"/>
      <c r="H72" s="1018"/>
      <c r="I72" s="1018"/>
      <c r="J72" s="1018"/>
      <c r="K72" s="1018"/>
      <c r="L72" s="1018"/>
      <c r="M72" s="1057"/>
      <c r="N72" s="1018"/>
      <c r="O72" s="1018"/>
      <c r="P72" s="1018"/>
      <c r="Q72" s="1018"/>
      <c r="R72" s="1018"/>
      <c r="S72" s="1018"/>
      <c r="T72" s="1019"/>
      <c r="U72" s="1098" t="s">
        <v>2172</v>
      </c>
      <c r="V72" s="1099" t="s">
        <v>1942</v>
      </c>
      <c r="W72" s="1099" t="s">
        <v>1942</v>
      </c>
      <c r="X72" s="1100">
        <v>41</v>
      </c>
      <c r="Y72" s="1101" t="s">
        <v>2173</v>
      </c>
      <c r="Z72" s="1102" t="s">
        <v>1942</v>
      </c>
      <c r="AA72" s="1103" t="s">
        <v>1942</v>
      </c>
      <c r="AB72" s="1104">
        <v>1</v>
      </c>
      <c r="AC72" s="1104" t="s">
        <v>1942</v>
      </c>
      <c r="AD72" s="1104" t="s">
        <v>1942</v>
      </c>
      <c r="AE72" s="1104" t="s">
        <v>1942</v>
      </c>
      <c r="AF72" s="1104" t="s">
        <v>1942</v>
      </c>
      <c r="AG72" s="1104" t="s">
        <v>1942</v>
      </c>
      <c r="AH72" s="1104" t="s">
        <v>1942</v>
      </c>
      <c r="AI72" s="1105">
        <f t="shared" si="0"/>
        <v>1</v>
      </c>
      <c r="AJ72" s="1106"/>
      <c r="AK72" s="1106"/>
      <c r="AL72" s="1106"/>
      <c r="AM72" s="1107"/>
      <c r="AN72" s="1018"/>
      <c r="AO72" s="1018"/>
      <c r="AP72" s="1313">
        <v>0</v>
      </c>
      <c r="AQ72" s="1076"/>
      <c r="AR72" s="1109"/>
      <c r="AS72" s="1110"/>
      <c r="AT72" s="1100"/>
      <c r="AU72" s="1100"/>
      <c r="AV72" s="1100"/>
      <c r="AW72" s="1111"/>
      <c r="AX72" s="1112"/>
      <c r="AY72" s="1075"/>
      <c r="AZ72" s="1076"/>
      <c r="BA72" s="1076"/>
      <c r="BB72" s="1076"/>
      <c r="BC72" s="1076"/>
      <c r="BD72" s="1076"/>
      <c r="BE72" s="1076"/>
      <c r="BF72" s="1076"/>
      <c r="BG72" s="1076"/>
      <c r="BH72" s="1076"/>
      <c r="BI72" s="1420"/>
      <c r="BJ72" s="1368"/>
      <c r="BK72" s="1368"/>
      <c r="BL72" s="1368"/>
      <c r="BM72" s="1368"/>
      <c r="BN72" s="1075"/>
      <c r="BO72" s="1076"/>
      <c r="BP72" s="1076"/>
      <c r="BQ72" s="1076"/>
      <c r="BR72" s="1076"/>
      <c r="BS72" s="1115"/>
      <c r="BT72" s="1076"/>
      <c r="BU72" s="1076"/>
      <c r="BV72" s="1076"/>
      <c r="BW72" s="1116"/>
      <c r="BX72" s="1115"/>
      <c r="BY72" s="1076"/>
      <c r="BZ72" s="1076"/>
      <c r="CA72" s="1076"/>
      <c r="CB72" s="1116"/>
      <c r="CC72" s="1117"/>
      <c r="CD72" s="1376"/>
      <c r="CE72" s="1377"/>
      <c r="CF72" s="1377"/>
      <c r="CG72" s="1377"/>
      <c r="CH72" s="1440"/>
      <c r="CI72" s="1420"/>
      <c r="CJ72" s="1368"/>
      <c r="CK72" s="1368"/>
      <c r="CL72" s="1368"/>
      <c r="CM72" s="1369"/>
      <c r="CN72" s="1420"/>
      <c r="CO72" s="1368"/>
      <c r="CP72" s="1368"/>
      <c r="CQ72" s="1368"/>
      <c r="CR72" s="1369"/>
      <c r="CS72" s="1420"/>
      <c r="CT72" s="1368"/>
      <c r="CU72" s="1368"/>
      <c r="CV72" s="1368"/>
      <c r="CW72" s="1369"/>
      <c r="CX72" s="1420"/>
      <c r="CY72" s="1368"/>
      <c r="CZ72" s="1368"/>
      <c r="DA72" s="1368"/>
      <c r="DB72" s="1369"/>
      <c r="DC72" s="1368"/>
      <c r="DD72" s="1368"/>
      <c r="DE72" s="1368"/>
      <c r="DF72" s="1368"/>
      <c r="DG72" s="1369"/>
      <c r="DH72" s="1420"/>
      <c r="DI72" s="1368"/>
      <c r="DJ72" s="1368"/>
      <c r="DK72" s="1368"/>
      <c r="DL72" s="1369"/>
      <c r="DM72" s="1808"/>
      <c r="DN72" s="1809"/>
      <c r="DO72" s="1809"/>
      <c r="DP72" s="1810"/>
      <c r="DQ72" s="1809"/>
      <c r="DR72" s="1809"/>
      <c r="DS72" s="1809"/>
      <c r="DT72" s="1810"/>
      <c r="DU72" s="1377"/>
      <c r="DV72" s="1729"/>
      <c r="DW72" s="1811"/>
    </row>
    <row r="73" spans="1:127" s="397" customFormat="1" ht="15.75" hidden="1" customHeight="1">
      <c r="A73" s="1097" t="s">
        <v>1015</v>
      </c>
      <c r="B73" s="1057">
        <v>64</v>
      </c>
      <c r="C73" s="1018"/>
      <c r="D73" s="1018"/>
      <c r="E73" s="1018"/>
      <c r="F73" s="1018"/>
      <c r="G73" s="1018"/>
      <c r="H73" s="1018"/>
      <c r="I73" s="1018"/>
      <c r="J73" s="1018"/>
      <c r="K73" s="1018"/>
      <c r="L73" s="1018"/>
      <c r="M73" s="1057"/>
      <c r="N73" s="1018"/>
      <c r="O73" s="1018"/>
      <c r="P73" s="1018"/>
      <c r="Q73" s="1018"/>
      <c r="R73" s="1018"/>
      <c r="S73" s="1018"/>
      <c r="T73" s="1019"/>
      <c r="U73" s="1098" t="s">
        <v>2174</v>
      </c>
      <c r="V73" s="1099" t="s">
        <v>1942</v>
      </c>
      <c r="W73" s="1099" t="s">
        <v>1942</v>
      </c>
      <c r="X73" s="1100" t="s">
        <v>2032</v>
      </c>
      <c r="Y73" s="1101" t="s">
        <v>2033</v>
      </c>
      <c r="Z73" s="1102" t="s">
        <v>1942</v>
      </c>
      <c r="AA73" s="1103" t="s">
        <v>1942</v>
      </c>
      <c r="AB73" s="1104" t="s">
        <v>1942</v>
      </c>
      <c r="AC73" s="1104" t="s">
        <v>1942</v>
      </c>
      <c r="AD73" s="1104" t="s">
        <v>1942</v>
      </c>
      <c r="AE73" s="1104" t="s">
        <v>1942</v>
      </c>
      <c r="AF73" s="1104" t="s">
        <v>1942</v>
      </c>
      <c r="AG73" s="1104" t="s">
        <v>1942</v>
      </c>
      <c r="AH73" s="1104" t="s">
        <v>1942</v>
      </c>
      <c r="AI73" s="1105">
        <f t="shared" si="0"/>
        <v>0</v>
      </c>
      <c r="AJ73" s="1106" t="s">
        <v>1007</v>
      </c>
      <c r="AK73" s="1106" t="s">
        <v>1942</v>
      </c>
      <c r="AL73" s="1106" t="s">
        <v>1942</v>
      </c>
      <c r="AM73" s="1107" t="s">
        <v>1942</v>
      </c>
      <c r="AN73" s="1018" t="s">
        <v>1942</v>
      </c>
      <c r="AO73" s="1018" t="s">
        <v>2034</v>
      </c>
      <c r="AP73" s="1313">
        <v>0</v>
      </c>
      <c r="AQ73" s="1076" t="s">
        <v>1942</v>
      </c>
      <c r="AR73" s="1109" t="s">
        <v>1942</v>
      </c>
      <c r="AS73" s="1110"/>
      <c r="AT73" s="1100"/>
      <c r="AU73" s="1100"/>
      <c r="AV73" s="1100"/>
      <c r="AW73" s="1111"/>
      <c r="AX73" s="1142"/>
      <c r="AY73" s="1075"/>
      <c r="AZ73" s="1076"/>
      <c r="BA73" s="1076"/>
      <c r="BB73" s="1076"/>
      <c r="BC73" s="1076"/>
      <c r="BD73" s="1076"/>
      <c r="BE73" s="1076"/>
      <c r="BF73" s="1076"/>
      <c r="BG73" s="1076"/>
      <c r="BH73" s="1076"/>
      <c r="BI73" s="1420"/>
      <c r="BJ73" s="1368"/>
      <c r="BK73" s="1368"/>
      <c r="BL73" s="1368"/>
      <c r="BM73" s="1368"/>
      <c r="BN73" s="1075"/>
      <c r="BO73" s="1076"/>
      <c r="BP73" s="1076"/>
      <c r="BQ73" s="1076"/>
      <c r="BR73" s="1076"/>
      <c r="BS73" s="1115"/>
      <c r="BT73" s="1076"/>
      <c r="BU73" s="1076"/>
      <c r="BV73" s="1076"/>
      <c r="BW73" s="1116"/>
      <c r="BX73" s="1115"/>
      <c r="BY73" s="1076"/>
      <c r="BZ73" s="1076"/>
      <c r="CA73" s="1076"/>
      <c r="CB73" s="1116"/>
      <c r="CC73" s="1117"/>
      <c r="CD73" s="1376"/>
      <c r="CE73" s="1377"/>
      <c r="CF73" s="1377"/>
      <c r="CG73" s="1377"/>
      <c r="CH73" s="1440"/>
      <c r="CI73" s="1420"/>
      <c r="CJ73" s="1368"/>
      <c r="CK73" s="1368"/>
      <c r="CL73" s="1368"/>
      <c r="CM73" s="1369"/>
      <c r="CN73" s="1420"/>
      <c r="CO73" s="1368"/>
      <c r="CP73" s="1368"/>
      <c r="CQ73" s="1368"/>
      <c r="CR73" s="1369"/>
      <c r="CS73" s="1420"/>
      <c r="CT73" s="1368"/>
      <c r="CU73" s="1368"/>
      <c r="CV73" s="1368"/>
      <c r="CW73" s="1369"/>
      <c r="CX73" s="1420"/>
      <c r="CY73" s="1368"/>
      <c r="CZ73" s="1368"/>
      <c r="DA73" s="1368"/>
      <c r="DB73" s="1369"/>
      <c r="DC73" s="1368"/>
      <c r="DD73" s="1368"/>
      <c r="DE73" s="1368"/>
      <c r="DF73" s="1368"/>
      <c r="DG73" s="1369"/>
      <c r="DH73" s="1420"/>
      <c r="DI73" s="1368"/>
      <c r="DJ73" s="1368"/>
      <c r="DK73" s="1368"/>
      <c r="DL73" s="1369"/>
      <c r="DM73" s="1808"/>
      <c r="DN73" s="1809"/>
      <c r="DO73" s="1809"/>
      <c r="DP73" s="1810"/>
      <c r="DQ73" s="1809"/>
      <c r="DR73" s="1809"/>
      <c r="DS73" s="1809"/>
      <c r="DT73" s="1810"/>
      <c r="DU73" s="1377"/>
      <c r="DV73" s="1729"/>
      <c r="DW73" s="1811"/>
    </row>
    <row r="74" spans="1:127" s="397" customFormat="1" ht="15.75" hidden="1" customHeight="1">
      <c r="A74" s="1097" t="s">
        <v>1015</v>
      </c>
      <c r="B74" s="1057">
        <v>65</v>
      </c>
      <c r="C74" s="1018"/>
      <c r="D74" s="1018"/>
      <c r="E74" s="1018"/>
      <c r="F74" s="1018"/>
      <c r="G74" s="1018"/>
      <c r="H74" s="1018"/>
      <c r="I74" s="1018"/>
      <c r="J74" s="1018"/>
      <c r="K74" s="1018"/>
      <c r="L74" s="1018"/>
      <c r="M74" s="1057"/>
      <c r="N74" s="1018"/>
      <c r="O74" s="1018"/>
      <c r="P74" s="1018"/>
      <c r="Q74" s="1018"/>
      <c r="R74" s="1018"/>
      <c r="S74" s="1018"/>
      <c r="T74" s="1019"/>
      <c r="U74" s="1098" t="s">
        <v>2175</v>
      </c>
      <c r="V74" s="1099" t="s">
        <v>1942</v>
      </c>
      <c r="W74" s="1099" t="s">
        <v>1942</v>
      </c>
      <c r="X74" s="1100">
        <v>42</v>
      </c>
      <c r="Y74" s="1101" t="s">
        <v>2176</v>
      </c>
      <c r="Z74" s="1102" t="s">
        <v>1942</v>
      </c>
      <c r="AA74" s="1103" t="s">
        <v>1942</v>
      </c>
      <c r="AB74" s="1104" t="s">
        <v>1942</v>
      </c>
      <c r="AC74" s="1104">
        <v>1</v>
      </c>
      <c r="AD74" s="1104" t="s">
        <v>1942</v>
      </c>
      <c r="AE74" s="1104" t="s">
        <v>1942</v>
      </c>
      <c r="AF74" s="1104" t="s">
        <v>1942</v>
      </c>
      <c r="AG74" s="1104" t="s">
        <v>1942</v>
      </c>
      <c r="AH74" s="1104" t="s">
        <v>1942</v>
      </c>
      <c r="AI74" s="1105">
        <f t="shared" ref="AI74:AI137" si="1">SUM(AA74:AH74)</f>
        <v>1</v>
      </c>
      <c r="AJ74" s="1106" t="s">
        <v>1026</v>
      </c>
      <c r="AK74" s="1106" t="s">
        <v>1008</v>
      </c>
      <c r="AL74" s="1106" t="s">
        <v>1019</v>
      </c>
      <c r="AM74" s="1107" t="s">
        <v>1942</v>
      </c>
      <c r="AN74" s="1018"/>
      <c r="AO74" s="1018"/>
      <c r="AP74" s="1313">
        <v>0</v>
      </c>
      <c r="AQ74" s="1076"/>
      <c r="AR74" s="1109" t="s">
        <v>1942</v>
      </c>
      <c r="AS74" s="1110"/>
      <c r="AT74" s="1100"/>
      <c r="AU74" s="1100"/>
      <c r="AV74" s="1100"/>
      <c r="AW74" s="1111"/>
      <c r="AX74" s="1142"/>
      <c r="AY74" s="1075"/>
      <c r="AZ74" s="1076"/>
      <c r="BA74" s="1076"/>
      <c r="BB74" s="1076"/>
      <c r="BC74" s="1076"/>
      <c r="BD74" s="1076"/>
      <c r="BE74" s="1076"/>
      <c r="BF74" s="1076"/>
      <c r="BG74" s="1076"/>
      <c r="BH74" s="1076"/>
      <c r="BI74" s="1420"/>
      <c r="BJ74" s="1368"/>
      <c r="BK74" s="1368"/>
      <c r="BL74" s="1368"/>
      <c r="BM74" s="1368"/>
      <c r="BN74" s="1075"/>
      <c r="BO74" s="1076"/>
      <c r="BP74" s="1076"/>
      <c r="BQ74" s="1076"/>
      <c r="BR74" s="1076"/>
      <c r="BS74" s="1115"/>
      <c r="BT74" s="1076"/>
      <c r="BU74" s="1076"/>
      <c r="BV74" s="1076"/>
      <c r="BW74" s="1116"/>
      <c r="BX74" s="1115"/>
      <c r="BY74" s="1076"/>
      <c r="BZ74" s="1076"/>
      <c r="CA74" s="1076"/>
      <c r="CB74" s="1116"/>
      <c r="CC74" s="1117"/>
      <c r="CD74" s="1376"/>
      <c r="CE74" s="1377"/>
      <c r="CF74" s="1377"/>
      <c r="CG74" s="1377"/>
      <c r="CH74" s="1440"/>
      <c r="CI74" s="1420"/>
      <c r="CJ74" s="1368"/>
      <c r="CK74" s="1368"/>
      <c r="CL74" s="1368"/>
      <c r="CM74" s="1369"/>
      <c r="CN74" s="1420"/>
      <c r="CO74" s="1368"/>
      <c r="CP74" s="1368"/>
      <c r="CQ74" s="1368"/>
      <c r="CR74" s="1369"/>
      <c r="CS74" s="1420"/>
      <c r="CT74" s="1368"/>
      <c r="CU74" s="1368"/>
      <c r="CV74" s="1368"/>
      <c r="CW74" s="1369"/>
      <c r="CX74" s="1420"/>
      <c r="CY74" s="1368"/>
      <c r="CZ74" s="1368"/>
      <c r="DA74" s="1368"/>
      <c r="DB74" s="1369"/>
      <c r="DC74" s="1368"/>
      <c r="DD74" s="1368"/>
      <c r="DE74" s="1368"/>
      <c r="DF74" s="1368"/>
      <c r="DG74" s="1369"/>
      <c r="DH74" s="1420"/>
      <c r="DI74" s="1368"/>
      <c r="DJ74" s="1368"/>
      <c r="DK74" s="1368"/>
      <c r="DL74" s="1369"/>
      <c r="DM74" s="1808"/>
      <c r="DN74" s="1809"/>
      <c r="DO74" s="1809"/>
      <c r="DP74" s="1810"/>
      <c r="DQ74" s="1809"/>
      <c r="DR74" s="1809"/>
      <c r="DS74" s="1809"/>
      <c r="DT74" s="1810"/>
      <c r="DU74" s="1377"/>
      <c r="DV74" s="1729"/>
      <c r="DW74" s="1811"/>
    </row>
    <row r="75" spans="1:127" s="397" customFormat="1" ht="15.75" hidden="1" customHeight="1">
      <c r="A75" s="1097"/>
      <c r="B75" s="1057">
        <v>66</v>
      </c>
      <c r="C75" s="1018"/>
      <c r="D75" s="1018"/>
      <c r="E75" s="1018"/>
      <c r="F75" s="1018"/>
      <c r="G75" s="1018"/>
      <c r="H75" s="1018"/>
      <c r="I75" s="1018"/>
      <c r="J75" s="1018"/>
      <c r="K75" s="1018"/>
      <c r="L75" s="1018"/>
      <c r="M75" s="1057"/>
      <c r="N75" s="1018"/>
      <c r="O75" s="1018"/>
      <c r="P75" s="1018"/>
      <c r="Q75" s="1018"/>
      <c r="R75" s="1018"/>
      <c r="S75" s="1018"/>
      <c r="T75" s="1019"/>
      <c r="U75" s="1098"/>
      <c r="V75" s="1099"/>
      <c r="W75" s="1099"/>
      <c r="X75" s="1100"/>
      <c r="Y75" s="1101"/>
      <c r="Z75" s="1102"/>
      <c r="AA75" s="1103"/>
      <c r="AB75" s="1104"/>
      <c r="AC75" s="1104"/>
      <c r="AD75" s="1104"/>
      <c r="AE75" s="1104"/>
      <c r="AF75" s="1104"/>
      <c r="AG75" s="1104"/>
      <c r="AH75" s="1104"/>
      <c r="AI75" s="1105">
        <f t="shared" si="1"/>
        <v>0</v>
      </c>
      <c r="AJ75" s="1106"/>
      <c r="AK75" s="1106"/>
      <c r="AL75" s="1106"/>
      <c r="AM75" s="1107"/>
      <c r="AN75" s="1018"/>
      <c r="AO75" s="1018"/>
      <c r="AP75" s="800"/>
      <c r="AQ75" s="1076"/>
      <c r="AR75" s="1109"/>
      <c r="AS75" s="1110"/>
      <c r="AT75" s="1100"/>
      <c r="AU75" s="1100"/>
      <c r="AV75" s="1100"/>
      <c r="AW75" s="1111"/>
      <c r="AX75" s="1142"/>
      <c r="AY75" s="1075"/>
      <c r="AZ75" s="1076"/>
      <c r="BA75" s="1076"/>
      <c r="BB75" s="1076"/>
      <c r="BC75" s="1076"/>
      <c r="BD75" s="1076"/>
      <c r="BE75" s="1076"/>
      <c r="BF75" s="1076"/>
      <c r="BG75" s="1076"/>
      <c r="BH75" s="1076"/>
      <c r="BI75" s="1420"/>
      <c r="BJ75" s="1368"/>
      <c r="BK75" s="1368"/>
      <c r="BL75" s="1368"/>
      <c r="BM75" s="1368"/>
      <c r="BN75" s="1075"/>
      <c r="BO75" s="1076"/>
      <c r="BP75" s="1076"/>
      <c r="BQ75" s="1076"/>
      <c r="BR75" s="1076"/>
      <c r="BS75" s="1115"/>
      <c r="BT75" s="1076"/>
      <c r="BU75" s="1076"/>
      <c r="BV75" s="1076"/>
      <c r="BW75" s="1116"/>
      <c r="BX75" s="1115"/>
      <c r="BY75" s="1076"/>
      <c r="BZ75" s="1076"/>
      <c r="CA75" s="1076"/>
      <c r="CB75" s="1116"/>
      <c r="CC75" s="1117"/>
      <c r="CD75" s="1376"/>
      <c r="CE75" s="1377"/>
      <c r="CF75" s="1377"/>
      <c r="CG75" s="1377"/>
      <c r="CH75" s="1440"/>
      <c r="CI75" s="1420"/>
      <c r="CJ75" s="1368"/>
      <c r="CK75" s="1368"/>
      <c r="CL75" s="1368"/>
      <c r="CM75" s="1369"/>
      <c r="CN75" s="1420"/>
      <c r="CO75" s="1368"/>
      <c r="CP75" s="1368"/>
      <c r="CQ75" s="1368"/>
      <c r="CR75" s="1369"/>
      <c r="CS75" s="1420"/>
      <c r="CT75" s="1368"/>
      <c r="CU75" s="1368"/>
      <c r="CV75" s="1368"/>
      <c r="CW75" s="1369"/>
      <c r="CX75" s="1420"/>
      <c r="CY75" s="1368"/>
      <c r="CZ75" s="1368"/>
      <c r="DA75" s="1368"/>
      <c r="DB75" s="1369"/>
      <c r="DC75" s="1368"/>
      <c r="DD75" s="1368"/>
      <c r="DE75" s="1368"/>
      <c r="DF75" s="1368"/>
      <c r="DG75" s="1369"/>
      <c r="DH75" s="1420"/>
      <c r="DI75" s="1368"/>
      <c r="DJ75" s="1368"/>
      <c r="DK75" s="1368"/>
      <c r="DL75" s="1369"/>
      <c r="DM75" s="1808"/>
      <c r="DN75" s="1809"/>
      <c r="DO75" s="1809"/>
      <c r="DP75" s="1810"/>
      <c r="DQ75" s="1809"/>
      <c r="DR75" s="1809"/>
      <c r="DS75" s="1809"/>
      <c r="DT75" s="1810"/>
      <c r="DU75" s="1377"/>
      <c r="DV75" s="1729"/>
      <c r="DW75" s="1811"/>
    </row>
    <row r="76" spans="1:127" s="397" customFormat="1" ht="15.75" hidden="1" customHeight="1">
      <c r="A76" s="1097" t="s">
        <v>1015</v>
      </c>
      <c r="B76" s="1057">
        <v>67</v>
      </c>
      <c r="C76" s="1018"/>
      <c r="D76" s="1018"/>
      <c r="E76" s="1018"/>
      <c r="F76" s="1018"/>
      <c r="G76" s="1018"/>
      <c r="H76" s="1018"/>
      <c r="I76" s="1018"/>
      <c r="J76" s="1018"/>
      <c r="K76" s="1018"/>
      <c r="L76" s="1018"/>
      <c r="M76" s="1057"/>
      <c r="N76" s="1018"/>
      <c r="O76" s="1018"/>
      <c r="P76" s="1018"/>
      <c r="Q76" s="1018"/>
      <c r="R76" s="1018"/>
      <c r="S76" s="1018"/>
      <c r="T76" s="1019"/>
      <c r="U76" s="1098" t="s">
        <v>2179</v>
      </c>
      <c r="V76" s="1099" t="s">
        <v>1942</v>
      </c>
      <c r="W76" s="1099" t="s">
        <v>1942</v>
      </c>
      <c r="X76" s="1100">
        <v>43</v>
      </c>
      <c r="Y76" s="1101" t="s">
        <v>2180</v>
      </c>
      <c r="Z76" s="1102" t="s">
        <v>1942</v>
      </c>
      <c r="AA76" s="1103" t="s">
        <v>1942</v>
      </c>
      <c r="AB76" s="1104" t="s">
        <v>1942</v>
      </c>
      <c r="AC76" s="1104" t="s">
        <v>1942</v>
      </c>
      <c r="AD76" s="1104" t="s">
        <v>1942</v>
      </c>
      <c r="AE76" s="1104" t="s">
        <v>1942</v>
      </c>
      <c r="AF76" s="1104" t="s">
        <v>1942</v>
      </c>
      <c r="AG76" s="1104" t="s">
        <v>1942</v>
      </c>
      <c r="AH76" s="1104" t="s">
        <v>1942</v>
      </c>
      <c r="AI76" s="1105">
        <f t="shared" si="1"/>
        <v>0</v>
      </c>
      <c r="AJ76" s="1106" t="s">
        <v>1007</v>
      </c>
      <c r="AK76" s="1106" t="s">
        <v>1942</v>
      </c>
      <c r="AL76" s="1106" t="s">
        <v>1942</v>
      </c>
      <c r="AM76" s="1107" t="s">
        <v>1942</v>
      </c>
      <c r="AN76" s="1018"/>
      <c r="AO76" s="1018"/>
      <c r="AP76" s="833">
        <v>2</v>
      </c>
      <c r="AQ76" s="1076"/>
      <c r="AR76" s="1109" t="s">
        <v>1942</v>
      </c>
      <c r="AS76" s="1110"/>
      <c r="AT76" s="1100"/>
      <c r="AU76" s="1100"/>
      <c r="AV76" s="1100"/>
      <c r="AW76" s="1111"/>
      <c r="AX76" s="1142"/>
      <c r="AY76" s="1075"/>
      <c r="AZ76" s="1076"/>
      <c r="BA76" s="1076"/>
      <c r="BB76" s="1076"/>
      <c r="BC76" s="1076"/>
      <c r="BD76" s="1076"/>
      <c r="BE76" s="1076"/>
      <c r="BF76" s="1076"/>
      <c r="BG76" s="1076"/>
      <c r="BH76" s="1076"/>
      <c r="BI76" s="1420"/>
      <c r="BJ76" s="1368"/>
      <c r="BK76" s="1368"/>
      <c r="BL76" s="1368"/>
      <c r="BM76" s="1368"/>
      <c r="BN76" s="1075"/>
      <c r="BO76" s="1076"/>
      <c r="BP76" s="1076"/>
      <c r="BQ76" s="1076"/>
      <c r="BR76" s="1076"/>
      <c r="BS76" s="1115"/>
      <c r="BT76" s="1076"/>
      <c r="BU76" s="1076"/>
      <c r="BV76" s="1076"/>
      <c r="BW76" s="1116"/>
      <c r="BX76" s="1115"/>
      <c r="BY76" s="1076"/>
      <c r="BZ76" s="1076"/>
      <c r="CA76" s="1076"/>
      <c r="CB76" s="1116"/>
      <c r="CC76" s="1117"/>
      <c r="CD76" s="1376"/>
      <c r="CE76" s="1377"/>
      <c r="CF76" s="1377"/>
      <c r="CG76" s="1377"/>
      <c r="CH76" s="1440"/>
      <c r="CI76" s="1420"/>
      <c r="CJ76" s="1368"/>
      <c r="CK76" s="1368"/>
      <c r="CL76" s="1368"/>
      <c r="CM76" s="1369"/>
      <c r="CN76" s="1420"/>
      <c r="CO76" s="1368"/>
      <c r="CP76" s="1368"/>
      <c r="CQ76" s="1368"/>
      <c r="CR76" s="1369"/>
      <c r="CS76" s="1420"/>
      <c r="CT76" s="1368"/>
      <c r="CU76" s="1368"/>
      <c r="CV76" s="1368"/>
      <c r="CW76" s="1369"/>
      <c r="CX76" s="1420"/>
      <c r="CY76" s="1368"/>
      <c r="CZ76" s="1368"/>
      <c r="DA76" s="1368"/>
      <c r="DB76" s="1369"/>
      <c r="DC76" s="1368"/>
      <c r="DD76" s="1368"/>
      <c r="DE76" s="1368"/>
      <c r="DF76" s="1368"/>
      <c r="DG76" s="1369"/>
      <c r="DH76" s="1420"/>
      <c r="DI76" s="1368"/>
      <c r="DJ76" s="1368"/>
      <c r="DK76" s="1368"/>
      <c r="DL76" s="1369"/>
      <c r="DM76" s="1808"/>
      <c r="DN76" s="1809"/>
      <c r="DO76" s="1809"/>
      <c r="DP76" s="1810"/>
      <c r="DQ76" s="1809"/>
      <c r="DR76" s="1809"/>
      <c r="DS76" s="1809"/>
      <c r="DT76" s="1810"/>
      <c r="DU76" s="1377"/>
      <c r="DV76" s="1729"/>
      <c r="DW76" s="1811"/>
    </row>
    <row r="77" spans="1:127" s="397" customFormat="1" ht="15.75" hidden="1" customHeight="1">
      <c r="A77" s="1097" t="s">
        <v>1015</v>
      </c>
      <c r="B77" s="1057">
        <v>68</v>
      </c>
      <c r="C77" s="1018"/>
      <c r="D77" s="1018"/>
      <c r="E77" s="1018"/>
      <c r="F77" s="1018"/>
      <c r="G77" s="1018"/>
      <c r="H77" s="1018"/>
      <c r="I77" s="1018"/>
      <c r="J77" s="1018"/>
      <c r="K77" s="1018"/>
      <c r="L77" s="1018"/>
      <c r="M77" s="1057"/>
      <c r="N77" s="1018"/>
      <c r="O77" s="1018"/>
      <c r="P77" s="1018"/>
      <c r="Q77" s="1018"/>
      <c r="R77" s="1018"/>
      <c r="S77" s="1018"/>
      <c r="T77" s="1019"/>
      <c r="U77" s="1098" t="s">
        <v>2181</v>
      </c>
      <c r="V77" s="1099" t="s">
        <v>1942</v>
      </c>
      <c r="W77" s="1099" t="s">
        <v>1942</v>
      </c>
      <c r="X77" s="1100">
        <v>44</v>
      </c>
      <c r="Y77" s="1101" t="s">
        <v>2182</v>
      </c>
      <c r="Z77" s="1102" t="s">
        <v>1942</v>
      </c>
      <c r="AA77" s="1103" t="s">
        <v>1942</v>
      </c>
      <c r="AB77" s="1104" t="s">
        <v>1942</v>
      </c>
      <c r="AC77" s="1104" t="s">
        <v>1942</v>
      </c>
      <c r="AD77" s="1104" t="s">
        <v>1942</v>
      </c>
      <c r="AE77" s="1104" t="s">
        <v>1942</v>
      </c>
      <c r="AF77" s="1104" t="s">
        <v>1942</v>
      </c>
      <c r="AG77" s="1104" t="s">
        <v>1942</v>
      </c>
      <c r="AH77" s="1104" t="s">
        <v>1942</v>
      </c>
      <c r="AI77" s="1105">
        <f t="shared" si="1"/>
        <v>0</v>
      </c>
      <c r="AJ77" s="1106" t="s">
        <v>1007</v>
      </c>
      <c r="AK77" s="1106" t="s">
        <v>1942</v>
      </c>
      <c r="AL77" s="1106" t="s">
        <v>1942</v>
      </c>
      <c r="AM77" s="1107" t="s">
        <v>1942</v>
      </c>
      <c r="AN77" s="1018"/>
      <c r="AO77" s="1018"/>
      <c r="AP77" s="1313">
        <v>0</v>
      </c>
      <c r="AQ77" s="1076"/>
      <c r="AR77" s="1109" t="s">
        <v>1942</v>
      </c>
      <c r="AS77" s="1110"/>
      <c r="AT77" s="1100"/>
      <c r="AU77" s="1100"/>
      <c r="AV77" s="1100"/>
      <c r="AW77" s="1111"/>
      <c r="AX77" s="1142"/>
      <c r="AY77" s="1075"/>
      <c r="AZ77" s="1076"/>
      <c r="BA77" s="1076"/>
      <c r="BB77" s="1076"/>
      <c r="BC77" s="1076"/>
      <c r="BD77" s="1076"/>
      <c r="BE77" s="1076"/>
      <c r="BF77" s="1076"/>
      <c r="BG77" s="1076"/>
      <c r="BH77" s="1076"/>
      <c r="BI77" s="1420"/>
      <c r="BJ77" s="1368"/>
      <c r="BK77" s="1368"/>
      <c r="BL77" s="1368"/>
      <c r="BM77" s="1368"/>
      <c r="BN77" s="1075"/>
      <c r="BO77" s="1076"/>
      <c r="BP77" s="1076"/>
      <c r="BQ77" s="1076"/>
      <c r="BR77" s="1076"/>
      <c r="BS77" s="1115"/>
      <c r="BT77" s="1076"/>
      <c r="BU77" s="1076"/>
      <c r="BV77" s="1076"/>
      <c r="BW77" s="1116"/>
      <c r="BX77" s="1115"/>
      <c r="BY77" s="1076"/>
      <c r="BZ77" s="1076"/>
      <c r="CA77" s="1076"/>
      <c r="CB77" s="1116"/>
      <c r="CC77" s="1117"/>
      <c r="CD77" s="1376"/>
      <c r="CE77" s="1377"/>
      <c r="CF77" s="1377"/>
      <c r="CG77" s="1377"/>
      <c r="CH77" s="1440"/>
      <c r="CI77" s="1420"/>
      <c r="CJ77" s="1368"/>
      <c r="CK77" s="1368"/>
      <c r="CL77" s="1368"/>
      <c r="CM77" s="1369"/>
      <c r="CN77" s="1420"/>
      <c r="CO77" s="1368"/>
      <c r="CP77" s="1368"/>
      <c r="CQ77" s="1368"/>
      <c r="CR77" s="1369"/>
      <c r="CS77" s="1420"/>
      <c r="CT77" s="1368"/>
      <c r="CU77" s="1368"/>
      <c r="CV77" s="1368"/>
      <c r="CW77" s="1369"/>
      <c r="CX77" s="1420"/>
      <c r="CY77" s="1368"/>
      <c r="CZ77" s="1368"/>
      <c r="DA77" s="1368"/>
      <c r="DB77" s="1369"/>
      <c r="DC77" s="1368"/>
      <c r="DD77" s="1368"/>
      <c r="DE77" s="1368"/>
      <c r="DF77" s="1368"/>
      <c r="DG77" s="1369"/>
      <c r="DH77" s="1420"/>
      <c r="DI77" s="1368"/>
      <c r="DJ77" s="1368"/>
      <c r="DK77" s="1368"/>
      <c r="DL77" s="1369"/>
      <c r="DM77" s="1808"/>
      <c r="DN77" s="1809"/>
      <c r="DO77" s="1809"/>
      <c r="DP77" s="1810"/>
      <c r="DQ77" s="1809"/>
      <c r="DR77" s="1809"/>
      <c r="DS77" s="1809"/>
      <c r="DT77" s="1810"/>
      <c r="DU77" s="1377"/>
      <c r="DV77" s="1729"/>
      <c r="DW77" s="1811"/>
    </row>
    <row r="78" spans="1:127" s="397" customFormat="1" ht="15.75" hidden="1" customHeight="1">
      <c r="A78" s="1097" t="s">
        <v>1015</v>
      </c>
      <c r="B78" s="1057">
        <v>69</v>
      </c>
      <c r="C78" s="1018"/>
      <c r="D78" s="1018"/>
      <c r="E78" s="1018"/>
      <c r="F78" s="1018"/>
      <c r="G78" s="1018"/>
      <c r="H78" s="1018"/>
      <c r="I78" s="1018"/>
      <c r="J78" s="1018"/>
      <c r="K78" s="1018"/>
      <c r="L78" s="1018"/>
      <c r="M78" s="1057"/>
      <c r="N78" s="1018"/>
      <c r="O78" s="1018"/>
      <c r="P78" s="1018"/>
      <c r="Q78" s="1018"/>
      <c r="R78" s="1018"/>
      <c r="S78" s="1018"/>
      <c r="T78" s="1019"/>
      <c r="U78" s="1098" t="s">
        <v>2183</v>
      </c>
      <c r="V78" s="1099" t="s">
        <v>1942</v>
      </c>
      <c r="W78" s="1099" t="s">
        <v>1942</v>
      </c>
      <c r="X78" s="1100">
        <v>45</v>
      </c>
      <c r="Y78" s="1101" t="s">
        <v>2184</v>
      </c>
      <c r="Z78" s="1102" t="s">
        <v>1942</v>
      </c>
      <c r="AA78" s="1103" t="s">
        <v>1942</v>
      </c>
      <c r="AB78" s="1104" t="s">
        <v>1942</v>
      </c>
      <c r="AC78" s="1104" t="s">
        <v>1942</v>
      </c>
      <c r="AD78" s="1104" t="s">
        <v>1942</v>
      </c>
      <c r="AE78" s="1104" t="s">
        <v>1942</v>
      </c>
      <c r="AF78" s="1104" t="s">
        <v>1942</v>
      </c>
      <c r="AG78" s="1104" t="s">
        <v>1942</v>
      </c>
      <c r="AH78" s="1104" t="s">
        <v>1942</v>
      </c>
      <c r="AI78" s="1105">
        <f t="shared" si="1"/>
        <v>0</v>
      </c>
      <c r="AJ78" s="1106"/>
      <c r="AK78" s="1106"/>
      <c r="AL78" s="1106"/>
      <c r="AM78" s="1107"/>
      <c r="AN78" s="1018"/>
      <c r="AO78" s="1018"/>
      <c r="AP78" s="1313">
        <v>0</v>
      </c>
      <c r="AQ78" s="1076"/>
      <c r="AR78" s="1109"/>
      <c r="AS78" s="1110"/>
      <c r="AT78" s="1100"/>
      <c r="AU78" s="1100"/>
      <c r="AV78" s="1100"/>
      <c r="AW78" s="1111"/>
      <c r="AX78" s="1142"/>
      <c r="AY78" s="1075"/>
      <c r="AZ78" s="1076"/>
      <c r="BA78" s="1076"/>
      <c r="BB78" s="1076"/>
      <c r="BC78" s="1076"/>
      <c r="BD78" s="1076"/>
      <c r="BE78" s="1076"/>
      <c r="BF78" s="1076"/>
      <c r="BG78" s="1076"/>
      <c r="BH78" s="1076"/>
      <c r="BI78" s="1420"/>
      <c r="BJ78" s="1368"/>
      <c r="BK78" s="1368"/>
      <c r="BL78" s="1368"/>
      <c r="BM78" s="1368"/>
      <c r="BN78" s="1075"/>
      <c r="BO78" s="1076"/>
      <c r="BP78" s="1076"/>
      <c r="BQ78" s="1076"/>
      <c r="BR78" s="1076"/>
      <c r="BS78" s="1115"/>
      <c r="BT78" s="1076"/>
      <c r="BU78" s="1076"/>
      <c r="BV78" s="1076"/>
      <c r="BW78" s="1116"/>
      <c r="BX78" s="1115"/>
      <c r="BY78" s="1076"/>
      <c r="BZ78" s="1076"/>
      <c r="CA78" s="1076"/>
      <c r="CB78" s="1116"/>
      <c r="CC78" s="1117"/>
      <c r="CD78" s="1376"/>
      <c r="CE78" s="1377"/>
      <c r="CF78" s="1377"/>
      <c r="CG78" s="1377"/>
      <c r="CH78" s="1440"/>
      <c r="CI78" s="1420"/>
      <c r="CJ78" s="1368"/>
      <c r="CK78" s="1368"/>
      <c r="CL78" s="1368"/>
      <c r="CM78" s="1369"/>
      <c r="CN78" s="1420"/>
      <c r="CO78" s="1368"/>
      <c r="CP78" s="1368"/>
      <c r="CQ78" s="1368"/>
      <c r="CR78" s="1369"/>
      <c r="CS78" s="1420"/>
      <c r="CT78" s="1368"/>
      <c r="CU78" s="1368"/>
      <c r="CV78" s="1368"/>
      <c r="CW78" s="1369"/>
      <c r="CX78" s="1420"/>
      <c r="CY78" s="1368"/>
      <c r="CZ78" s="1368"/>
      <c r="DA78" s="1368"/>
      <c r="DB78" s="1369"/>
      <c r="DC78" s="1368"/>
      <c r="DD78" s="1368"/>
      <c r="DE78" s="1368"/>
      <c r="DF78" s="1368"/>
      <c r="DG78" s="1369"/>
      <c r="DH78" s="1420"/>
      <c r="DI78" s="1368"/>
      <c r="DJ78" s="1368"/>
      <c r="DK78" s="1368"/>
      <c r="DL78" s="1369"/>
      <c r="DM78" s="1808"/>
      <c r="DN78" s="1809"/>
      <c r="DO78" s="1809"/>
      <c r="DP78" s="1810"/>
      <c r="DQ78" s="1809"/>
      <c r="DR78" s="1809"/>
      <c r="DS78" s="1809"/>
      <c r="DT78" s="1810"/>
      <c r="DU78" s="1377"/>
      <c r="DV78" s="1729"/>
      <c r="DW78" s="1811"/>
    </row>
    <row r="79" spans="1:127" s="397" customFormat="1" ht="15.75" hidden="1" customHeight="1">
      <c r="A79" s="1097" t="s">
        <v>1015</v>
      </c>
      <c r="B79" s="1057">
        <v>70</v>
      </c>
      <c r="C79" s="1018"/>
      <c r="D79" s="1018"/>
      <c r="E79" s="1018"/>
      <c r="F79" s="1018"/>
      <c r="G79" s="1018"/>
      <c r="H79" s="1018"/>
      <c r="I79" s="1018"/>
      <c r="J79" s="1018"/>
      <c r="K79" s="1018"/>
      <c r="L79" s="1018"/>
      <c r="M79" s="1057"/>
      <c r="N79" s="1018"/>
      <c r="O79" s="1018"/>
      <c r="P79" s="1018"/>
      <c r="Q79" s="1018"/>
      <c r="R79" s="1018"/>
      <c r="S79" s="1018"/>
      <c r="T79" s="1019"/>
      <c r="U79" s="1098" t="s">
        <v>2186</v>
      </c>
      <c r="V79" s="1099" t="s">
        <v>1942</v>
      </c>
      <c r="W79" s="1099" t="s">
        <v>1942</v>
      </c>
      <c r="X79" s="1100">
        <v>46</v>
      </c>
      <c r="Y79" s="1101" t="s">
        <v>2187</v>
      </c>
      <c r="Z79" s="1102" t="s">
        <v>1942</v>
      </c>
      <c r="AA79" s="1103" t="s">
        <v>1942</v>
      </c>
      <c r="AB79" s="1104" t="s">
        <v>1942</v>
      </c>
      <c r="AC79" s="1104" t="s">
        <v>1942</v>
      </c>
      <c r="AD79" s="1104" t="s">
        <v>1942</v>
      </c>
      <c r="AE79" s="1104" t="s">
        <v>1942</v>
      </c>
      <c r="AF79" s="1104" t="s">
        <v>1942</v>
      </c>
      <c r="AG79" s="1104" t="s">
        <v>1942</v>
      </c>
      <c r="AH79" s="1104" t="s">
        <v>1942</v>
      </c>
      <c r="AI79" s="1105">
        <f t="shared" si="1"/>
        <v>0</v>
      </c>
      <c r="AJ79" s="1106"/>
      <c r="AK79" s="1106"/>
      <c r="AL79" s="1106"/>
      <c r="AM79" s="1107"/>
      <c r="AN79" s="1018"/>
      <c r="AO79" s="1018"/>
      <c r="AP79" s="1274">
        <v>0</v>
      </c>
      <c r="AQ79" s="1076"/>
      <c r="AR79" s="1109"/>
      <c r="AS79" s="1110"/>
      <c r="AT79" s="1100"/>
      <c r="AU79" s="1100"/>
      <c r="AV79" s="1100"/>
      <c r="AW79" s="1111"/>
      <c r="AX79" s="1142"/>
      <c r="AY79" s="1075"/>
      <c r="AZ79" s="1076"/>
      <c r="BA79" s="1076"/>
      <c r="BB79" s="1076"/>
      <c r="BC79" s="1076"/>
      <c r="BD79" s="1076"/>
      <c r="BE79" s="1076"/>
      <c r="BF79" s="1076"/>
      <c r="BG79" s="1076"/>
      <c r="BH79" s="1076"/>
      <c r="BI79" s="1420"/>
      <c r="BJ79" s="1368"/>
      <c r="BK79" s="1368"/>
      <c r="BL79" s="1368"/>
      <c r="BM79" s="1368"/>
      <c r="BN79" s="1075"/>
      <c r="BO79" s="1076"/>
      <c r="BP79" s="1076"/>
      <c r="BQ79" s="1076"/>
      <c r="BR79" s="1076"/>
      <c r="BS79" s="1115"/>
      <c r="BT79" s="1076"/>
      <c r="BU79" s="1076"/>
      <c r="BV79" s="1076"/>
      <c r="BW79" s="1116"/>
      <c r="BX79" s="1115"/>
      <c r="BY79" s="1076"/>
      <c r="BZ79" s="1076"/>
      <c r="CA79" s="1076"/>
      <c r="CB79" s="1116"/>
      <c r="CC79" s="1117"/>
      <c r="CD79" s="1376"/>
      <c r="CE79" s="1377"/>
      <c r="CF79" s="1377"/>
      <c r="CG79" s="1377"/>
      <c r="CH79" s="1440"/>
      <c r="CI79" s="1420"/>
      <c r="CJ79" s="1368"/>
      <c r="CK79" s="1368"/>
      <c r="CL79" s="1368"/>
      <c r="CM79" s="1369"/>
      <c r="CN79" s="1420"/>
      <c r="CO79" s="1368"/>
      <c r="CP79" s="1368"/>
      <c r="CQ79" s="1368"/>
      <c r="CR79" s="1369"/>
      <c r="CS79" s="1420"/>
      <c r="CT79" s="1368"/>
      <c r="CU79" s="1368"/>
      <c r="CV79" s="1368"/>
      <c r="CW79" s="1369"/>
      <c r="CX79" s="1420"/>
      <c r="CY79" s="1368"/>
      <c r="CZ79" s="1368"/>
      <c r="DA79" s="1368"/>
      <c r="DB79" s="1369"/>
      <c r="DC79" s="1368"/>
      <c r="DD79" s="1368"/>
      <c r="DE79" s="1368"/>
      <c r="DF79" s="1368"/>
      <c r="DG79" s="1369"/>
      <c r="DH79" s="1420"/>
      <c r="DI79" s="1368"/>
      <c r="DJ79" s="1368"/>
      <c r="DK79" s="1368"/>
      <c r="DL79" s="1369"/>
      <c r="DM79" s="1808"/>
      <c r="DN79" s="1809"/>
      <c r="DO79" s="1809"/>
      <c r="DP79" s="1810"/>
      <c r="DQ79" s="1809"/>
      <c r="DR79" s="1809"/>
      <c r="DS79" s="1809"/>
      <c r="DT79" s="1810"/>
      <c r="DU79" s="1377"/>
      <c r="DV79" s="1729"/>
      <c r="DW79" s="1811"/>
    </row>
    <row r="80" spans="1:127" s="397" customFormat="1" ht="15.75" hidden="1" customHeight="1">
      <c r="A80" s="1097" t="s">
        <v>1064</v>
      </c>
      <c r="B80" s="1057">
        <v>71</v>
      </c>
      <c r="C80" s="1018"/>
      <c r="D80" s="1018"/>
      <c r="E80" s="1018"/>
      <c r="F80" s="1018"/>
      <c r="G80" s="1018"/>
      <c r="H80" s="1018"/>
      <c r="I80" s="1018"/>
      <c r="J80" s="1018"/>
      <c r="K80" s="1018"/>
      <c r="L80" s="1018"/>
      <c r="M80" s="1057"/>
      <c r="N80" s="1018"/>
      <c r="O80" s="1018"/>
      <c r="P80" s="1018"/>
      <c r="Q80" s="1018"/>
      <c r="R80" s="1018"/>
      <c r="S80" s="1018"/>
      <c r="T80" s="1019"/>
      <c r="U80" s="1098" t="s">
        <v>2196</v>
      </c>
      <c r="V80" s="1099" t="s">
        <v>2197</v>
      </c>
      <c r="W80" s="1099" t="s">
        <v>1907</v>
      </c>
      <c r="X80" s="1100" t="s">
        <v>2198</v>
      </c>
      <c r="Y80" s="1101" t="s">
        <v>130</v>
      </c>
      <c r="Z80" s="1102" t="s">
        <v>2199</v>
      </c>
      <c r="AA80" s="1103" t="s">
        <v>1942</v>
      </c>
      <c r="AB80" s="1104">
        <v>1</v>
      </c>
      <c r="AC80" s="1104" t="s">
        <v>1942</v>
      </c>
      <c r="AD80" s="1104" t="s">
        <v>1942</v>
      </c>
      <c r="AE80" s="1104" t="s">
        <v>1942</v>
      </c>
      <c r="AF80" s="1104" t="s">
        <v>1942</v>
      </c>
      <c r="AG80" s="1104" t="s">
        <v>1942</v>
      </c>
      <c r="AH80" s="1104" t="s">
        <v>1942</v>
      </c>
      <c r="AI80" s="1105">
        <f t="shared" si="1"/>
        <v>1</v>
      </c>
      <c r="AJ80" s="1106" t="s">
        <v>1026</v>
      </c>
      <c r="AK80" s="1106" t="s">
        <v>1008</v>
      </c>
      <c r="AL80" s="1106" t="s">
        <v>1009</v>
      </c>
      <c r="AM80" s="1107" t="s">
        <v>1926</v>
      </c>
      <c r="AN80" s="1018" t="s">
        <v>2177</v>
      </c>
      <c r="AO80" s="1018" t="s">
        <v>4795</v>
      </c>
      <c r="AP80" s="1313">
        <v>2</v>
      </c>
      <c r="AQ80" s="1076" t="s">
        <v>1020</v>
      </c>
      <c r="AR80" s="1109" t="s">
        <v>130</v>
      </c>
      <c r="AS80" s="1110"/>
      <c r="AT80" s="1100"/>
      <c r="AU80" s="1100"/>
      <c r="AV80" s="1100"/>
      <c r="AW80" s="1111"/>
      <c r="AX80" s="1142"/>
      <c r="AY80" s="1075"/>
      <c r="AZ80" s="1076"/>
      <c r="BA80" s="1076"/>
      <c r="BB80" s="1076"/>
      <c r="BC80" s="1076"/>
      <c r="BD80" s="1076"/>
      <c r="BE80" s="1076"/>
      <c r="BF80" s="1076"/>
      <c r="BG80" s="1126"/>
      <c r="BH80" s="1126"/>
      <c r="BI80" s="1127">
        <v>0</v>
      </c>
      <c r="BJ80" s="1126">
        <v>0</v>
      </c>
      <c r="BK80" s="1126">
        <v>0</v>
      </c>
      <c r="BL80" s="1126">
        <v>0</v>
      </c>
      <c r="BM80" s="1126">
        <v>0</v>
      </c>
      <c r="BN80" s="1075"/>
      <c r="BO80" s="1076"/>
      <c r="BP80" s="1076"/>
      <c r="BQ80" s="1076"/>
      <c r="BR80" s="1076"/>
      <c r="BS80" s="1115"/>
      <c r="BT80" s="1076"/>
      <c r="BU80" s="1076"/>
      <c r="BV80" s="1076"/>
      <c r="BW80" s="1116"/>
      <c r="BX80" s="1115"/>
      <c r="BY80" s="1076"/>
      <c r="BZ80" s="1076"/>
      <c r="CA80" s="1076"/>
      <c r="CB80" s="1116"/>
      <c r="CC80" s="1117"/>
      <c r="CD80" s="1118" t="s">
        <v>168</v>
      </c>
      <c r="CE80" s="1119" t="s">
        <v>168</v>
      </c>
      <c r="CF80" s="1119" t="s">
        <v>168</v>
      </c>
      <c r="CG80" s="1119" t="s">
        <v>168</v>
      </c>
      <c r="CH80" s="1120" t="s">
        <v>168</v>
      </c>
      <c r="CI80" s="1075" t="s">
        <v>1942</v>
      </c>
      <c r="CJ80" s="1076" t="s">
        <v>1942</v>
      </c>
      <c r="CK80" s="1076" t="s">
        <v>1942</v>
      </c>
      <c r="CL80" s="1076" t="s">
        <v>1942</v>
      </c>
      <c r="CM80" s="1117" t="s">
        <v>1942</v>
      </c>
      <c r="CN80" s="1075">
        <v>9.5</v>
      </c>
      <c r="CO80" s="1076">
        <v>9.5</v>
      </c>
      <c r="CP80" s="1076">
        <v>9.5</v>
      </c>
      <c r="CQ80" s="1076">
        <v>9.5</v>
      </c>
      <c r="CR80" s="1117">
        <v>9.5</v>
      </c>
      <c r="CS80" s="1075">
        <v>2</v>
      </c>
      <c r="CT80" s="1076">
        <v>2</v>
      </c>
      <c r="CU80" s="1210">
        <v>1.5</v>
      </c>
      <c r="CV80" s="1210">
        <v>1.5</v>
      </c>
      <c r="CW80" s="1211">
        <v>1.5</v>
      </c>
      <c r="CX80" s="1075" t="s">
        <v>1942</v>
      </c>
      <c r="CY80" s="1076" t="s">
        <v>1942</v>
      </c>
      <c r="CZ80" s="1076" t="s">
        <v>1942</v>
      </c>
      <c r="DA80" s="1076" t="s">
        <v>1942</v>
      </c>
      <c r="DB80" s="1117" t="s">
        <v>1942</v>
      </c>
      <c r="DC80" s="1076" t="s">
        <v>1942</v>
      </c>
      <c r="DD80" s="1076" t="s">
        <v>1942</v>
      </c>
      <c r="DE80" s="1076" t="s">
        <v>1942</v>
      </c>
      <c r="DF80" s="1076" t="s">
        <v>1942</v>
      </c>
      <c r="DG80" s="1117" t="s">
        <v>1942</v>
      </c>
      <c r="DH80" s="1075" t="s">
        <v>1942</v>
      </c>
      <c r="DI80" s="1076" t="s">
        <v>1942</v>
      </c>
      <c r="DJ80" s="1076" t="s">
        <v>1942</v>
      </c>
      <c r="DK80" s="1076" t="s">
        <v>1942</v>
      </c>
      <c r="DL80" s="1117" t="s">
        <v>1942</v>
      </c>
      <c r="DM80" s="1121">
        <v>-0.191</v>
      </c>
      <c r="DN80" s="1122" t="s">
        <v>1942</v>
      </c>
      <c r="DO80" s="1122" t="s">
        <v>1942</v>
      </c>
      <c r="DP80" s="1123" t="s">
        <v>1942</v>
      </c>
      <c r="DQ80" s="1122">
        <v>0</v>
      </c>
      <c r="DR80" s="1122" t="s">
        <v>1942</v>
      </c>
      <c r="DS80" s="1122" t="s">
        <v>1942</v>
      </c>
      <c r="DT80" s="1123" t="s">
        <v>1942</v>
      </c>
      <c r="DU80" s="1119" t="s">
        <v>1942</v>
      </c>
      <c r="DV80" s="1124">
        <v>1</v>
      </c>
      <c r="DW80" s="1125" t="s">
        <v>1942</v>
      </c>
    </row>
    <row r="81" spans="1:127" s="397" customFormat="1" ht="15.75" hidden="1" customHeight="1">
      <c r="A81" s="1054" t="s">
        <v>1064</v>
      </c>
      <c r="B81" s="1055">
        <v>72</v>
      </c>
      <c r="C81" s="1143"/>
      <c r="D81" s="1143"/>
      <c r="E81" s="1143"/>
      <c r="F81" s="1143"/>
      <c r="G81" s="1143"/>
      <c r="H81" s="1143"/>
      <c r="I81" s="1143"/>
      <c r="J81" s="1143"/>
      <c r="K81" s="1143"/>
      <c r="L81" s="1143"/>
      <c r="M81" s="1055"/>
      <c r="N81" s="1143"/>
      <c r="O81" s="1143"/>
      <c r="P81" s="1143"/>
      <c r="Q81" s="1143"/>
      <c r="R81" s="1143"/>
      <c r="S81" s="1143"/>
      <c r="T81" s="1058"/>
      <c r="U81" s="1059" t="s">
        <v>2201</v>
      </c>
      <c r="V81" s="1060" t="s">
        <v>2197</v>
      </c>
      <c r="W81" s="1060" t="s">
        <v>1889</v>
      </c>
      <c r="X81" s="1061" t="s">
        <v>2202</v>
      </c>
      <c r="Y81" s="1062" t="s">
        <v>137</v>
      </c>
      <c r="Z81" s="1063" t="s">
        <v>2203</v>
      </c>
      <c r="AA81" s="1064" t="s">
        <v>1942</v>
      </c>
      <c r="AB81" s="1065">
        <v>1</v>
      </c>
      <c r="AC81" s="1065" t="s">
        <v>1942</v>
      </c>
      <c r="AD81" s="1065" t="s">
        <v>1942</v>
      </c>
      <c r="AE81" s="1065" t="s">
        <v>1942</v>
      </c>
      <c r="AF81" s="1065" t="s">
        <v>1942</v>
      </c>
      <c r="AG81" s="1065" t="s">
        <v>1942</v>
      </c>
      <c r="AH81" s="1065" t="s">
        <v>1942</v>
      </c>
      <c r="AI81" s="1066">
        <f t="shared" si="1"/>
        <v>1</v>
      </c>
      <c r="AJ81" s="1067" t="s">
        <v>1030</v>
      </c>
      <c r="AK81" s="1067" t="s">
        <v>1008</v>
      </c>
      <c r="AL81" s="1067" t="s">
        <v>1009</v>
      </c>
      <c r="AM81" s="1068" t="s">
        <v>1892</v>
      </c>
      <c r="AN81" s="1062" t="s">
        <v>4789</v>
      </c>
      <c r="AO81" s="1062" t="s">
        <v>4790</v>
      </c>
      <c r="AP81" s="1080">
        <v>0</v>
      </c>
      <c r="AQ81" s="1080" t="s">
        <v>1020</v>
      </c>
      <c r="AR81" s="1071" t="s">
        <v>137</v>
      </c>
      <c r="AS81" s="1072"/>
      <c r="AT81" s="1061"/>
      <c r="AU81" s="1061"/>
      <c r="AV81" s="1061"/>
      <c r="AW81" s="1073"/>
      <c r="AX81" s="1144"/>
      <c r="AY81" s="1079"/>
      <c r="AZ81" s="1080"/>
      <c r="BA81" s="1080"/>
      <c r="BB81" s="1080"/>
      <c r="BC81" s="1080"/>
      <c r="BD81" s="1080"/>
      <c r="BE81" s="1080"/>
      <c r="BF81" s="1080"/>
      <c r="BG81" s="1135"/>
      <c r="BH81" s="1135"/>
      <c r="BI81" s="1136">
        <v>4.5138888888888893E-3</v>
      </c>
      <c r="BJ81" s="1135">
        <v>4.2592592592592595E-3</v>
      </c>
      <c r="BK81" s="1135">
        <v>3.9930555555555561E-3</v>
      </c>
      <c r="BL81" s="1135">
        <v>3.7384259259259263E-3</v>
      </c>
      <c r="BM81" s="1135">
        <v>3.472222222222222E-3</v>
      </c>
      <c r="BN81" s="1079"/>
      <c r="BO81" s="1080"/>
      <c r="BP81" s="1080"/>
      <c r="BQ81" s="1080"/>
      <c r="BR81" s="1080"/>
      <c r="BS81" s="1081"/>
      <c r="BT81" s="1080"/>
      <c r="BU81" s="1080"/>
      <c r="BV81" s="1080"/>
      <c r="BW81" s="1082"/>
      <c r="BX81" s="1081"/>
      <c r="BY81" s="1080"/>
      <c r="BZ81" s="1080"/>
      <c r="CA81" s="1080"/>
      <c r="CB81" s="1082"/>
      <c r="CC81" s="1083"/>
      <c r="CD81" s="1084" t="s">
        <v>168</v>
      </c>
      <c r="CE81" s="1085" t="s">
        <v>168</v>
      </c>
      <c r="CF81" s="1085" t="s">
        <v>168</v>
      </c>
      <c r="CG81" s="1085" t="s">
        <v>168</v>
      </c>
      <c r="CH81" s="1086" t="s">
        <v>168</v>
      </c>
      <c r="CI81" s="1136" t="s">
        <v>1942</v>
      </c>
      <c r="CJ81" s="1135" t="s">
        <v>1942</v>
      </c>
      <c r="CK81" s="1135" t="s">
        <v>1942</v>
      </c>
      <c r="CL81" s="1135" t="s">
        <v>1942</v>
      </c>
      <c r="CM81" s="1139" t="s">
        <v>1942</v>
      </c>
      <c r="CN81" s="1136">
        <v>1.5798611111111114E-2</v>
      </c>
      <c r="CO81" s="1135">
        <v>1.5798611111111114E-2</v>
      </c>
      <c r="CP81" s="1135">
        <v>1.5798611111111114E-2</v>
      </c>
      <c r="CQ81" s="1135">
        <v>1.5798611111111114E-2</v>
      </c>
      <c r="CR81" s="1139">
        <v>1.5798611111111114E-2</v>
      </c>
      <c r="CS81" s="1359"/>
      <c r="CT81" s="1360"/>
      <c r="CU81" s="1360"/>
      <c r="CV81" s="1360"/>
      <c r="CW81" s="1361"/>
      <c r="CX81" s="1359"/>
      <c r="CY81" s="1360"/>
      <c r="CZ81" s="1360"/>
      <c r="DA81" s="1360"/>
      <c r="DB81" s="1361"/>
      <c r="DC81" s="1298">
        <v>1.8171296296296297E-3</v>
      </c>
      <c r="DD81" s="1298">
        <v>1.6203703703703703E-3</v>
      </c>
      <c r="DE81" s="1298">
        <v>1.0416666666666667E-3</v>
      </c>
      <c r="DF81" s="1298">
        <v>1.0416666666666667E-3</v>
      </c>
      <c r="DG81" s="1298">
        <v>1.0416666666666667E-3</v>
      </c>
      <c r="DH81" s="1136" t="s">
        <v>1942</v>
      </c>
      <c r="DI81" s="1135" t="s">
        <v>1942</v>
      </c>
      <c r="DJ81" s="1135" t="s">
        <v>1942</v>
      </c>
      <c r="DK81" s="1135" t="s">
        <v>1942</v>
      </c>
      <c r="DL81" s="1139" t="s">
        <v>1942</v>
      </c>
      <c r="DM81" s="1091">
        <v>-9.5000000000000001E-2</v>
      </c>
      <c r="DN81" s="1092" t="s">
        <v>1942</v>
      </c>
      <c r="DO81" s="1092" t="s">
        <v>1942</v>
      </c>
      <c r="DP81" s="1093" t="s">
        <v>1942</v>
      </c>
      <c r="DQ81" s="1092">
        <v>9.5000000000000001E-2</v>
      </c>
      <c r="DR81" s="1092" t="s">
        <v>1942</v>
      </c>
      <c r="DS81" s="1092" t="s">
        <v>1942</v>
      </c>
      <c r="DT81" s="1093" t="s">
        <v>1942</v>
      </c>
      <c r="DU81" s="1085" t="s">
        <v>1942</v>
      </c>
      <c r="DV81" s="1094">
        <v>1</v>
      </c>
      <c r="DW81" s="1095" t="s">
        <v>1942</v>
      </c>
    </row>
    <row r="82" spans="1:127" s="397" customFormat="1" ht="15.75" hidden="1" customHeight="1">
      <c r="A82" s="1097" t="s">
        <v>1064</v>
      </c>
      <c r="B82" s="1057">
        <v>73</v>
      </c>
      <c r="C82" s="1018"/>
      <c r="D82" s="1018"/>
      <c r="E82" s="1018"/>
      <c r="F82" s="1018"/>
      <c r="G82" s="1018"/>
      <c r="H82" s="1018"/>
      <c r="I82" s="1018"/>
      <c r="J82" s="1018"/>
      <c r="K82" s="1018"/>
      <c r="L82" s="1018"/>
      <c r="M82" s="1057"/>
      <c r="N82" s="1018"/>
      <c r="O82" s="1018"/>
      <c r="P82" s="1018"/>
      <c r="Q82" s="1018"/>
      <c r="R82" s="1018"/>
      <c r="S82" s="1018"/>
      <c r="T82" s="1019"/>
      <c r="U82" s="1098" t="s">
        <v>2204</v>
      </c>
      <c r="V82" s="1099" t="s">
        <v>2197</v>
      </c>
      <c r="W82" s="1099" t="s">
        <v>1889</v>
      </c>
      <c r="X82" s="1100" t="s">
        <v>2205</v>
      </c>
      <c r="Y82" s="1101" t="s">
        <v>161</v>
      </c>
      <c r="Z82" s="1102" t="s">
        <v>2206</v>
      </c>
      <c r="AA82" s="1103" t="s">
        <v>1942</v>
      </c>
      <c r="AB82" s="1104">
        <v>1</v>
      </c>
      <c r="AC82" s="1104" t="s">
        <v>1942</v>
      </c>
      <c r="AD82" s="1104" t="s">
        <v>1942</v>
      </c>
      <c r="AE82" s="1104" t="s">
        <v>1942</v>
      </c>
      <c r="AF82" s="1104" t="s">
        <v>1942</v>
      </c>
      <c r="AG82" s="1104" t="s">
        <v>1942</v>
      </c>
      <c r="AH82" s="1104" t="s">
        <v>1942</v>
      </c>
      <c r="AI82" s="1105">
        <f t="shared" si="1"/>
        <v>1</v>
      </c>
      <c r="AJ82" s="1106" t="s">
        <v>1026</v>
      </c>
      <c r="AK82" s="1106" t="s">
        <v>1008</v>
      </c>
      <c r="AL82" s="1106" t="s">
        <v>1009</v>
      </c>
      <c r="AM82" s="1107" t="s">
        <v>2074</v>
      </c>
      <c r="AN82" s="1018" t="s">
        <v>2177</v>
      </c>
      <c r="AO82" s="1018" t="s">
        <v>4794</v>
      </c>
      <c r="AP82" s="1313">
        <v>1</v>
      </c>
      <c r="AQ82" s="1076" t="s">
        <v>1020</v>
      </c>
      <c r="AR82" s="1109" t="s">
        <v>161</v>
      </c>
      <c r="AS82" s="1110"/>
      <c r="AT82" s="1100"/>
      <c r="AU82" s="1100"/>
      <c r="AV82" s="1100"/>
      <c r="AW82" s="1111"/>
      <c r="AX82" s="1142"/>
      <c r="AY82" s="1075"/>
      <c r="AZ82" s="1076"/>
      <c r="BA82" s="1076"/>
      <c r="BB82" s="1076"/>
      <c r="BC82" s="1076"/>
      <c r="BD82" s="1076"/>
      <c r="BE82" s="1076"/>
      <c r="BF82" s="1076"/>
      <c r="BG82" s="1113"/>
      <c r="BH82" s="1113"/>
      <c r="BI82" s="1114">
        <v>138.4</v>
      </c>
      <c r="BJ82" s="1113">
        <v>136.5</v>
      </c>
      <c r="BK82" s="1113">
        <v>134.6</v>
      </c>
      <c r="BL82" s="1113">
        <v>132.69999999999999</v>
      </c>
      <c r="BM82" s="1113">
        <v>130.69999999999999</v>
      </c>
      <c r="BN82" s="1075"/>
      <c r="BO82" s="1076"/>
      <c r="BP82" s="1076"/>
      <c r="BQ82" s="1076"/>
      <c r="BR82" s="1076"/>
      <c r="BS82" s="1115"/>
      <c r="BT82" s="1076"/>
      <c r="BU82" s="1076"/>
      <c r="BV82" s="1076"/>
      <c r="BW82" s="1116"/>
      <c r="BX82" s="1115"/>
      <c r="BY82" s="1076"/>
      <c r="BZ82" s="1076"/>
      <c r="CA82" s="1076"/>
      <c r="CB82" s="1116"/>
      <c r="CC82" s="1117"/>
      <c r="CD82" s="1118" t="s">
        <v>168</v>
      </c>
      <c r="CE82" s="1119" t="s">
        <v>168</v>
      </c>
      <c r="CF82" s="1119" t="s">
        <v>168</v>
      </c>
      <c r="CG82" s="1119" t="s">
        <v>168</v>
      </c>
      <c r="CH82" s="1120" t="s">
        <v>168</v>
      </c>
      <c r="CI82" s="1075" t="s">
        <v>1942</v>
      </c>
      <c r="CJ82" s="1076" t="s">
        <v>1942</v>
      </c>
      <c r="CK82" s="1076" t="s">
        <v>1942</v>
      </c>
      <c r="CL82" s="1076" t="s">
        <v>1942</v>
      </c>
      <c r="CM82" s="1117" t="s">
        <v>1942</v>
      </c>
      <c r="CN82" s="1075">
        <v>193.8</v>
      </c>
      <c r="CO82" s="1076">
        <v>193.8</v>
      </c>
      <c r="CP82" s="1076">
        <v>193.8</v>
      </c>
      <c r="CQ82" s="1076">
        <v>193.8</v>
      </c>
      <c r="CR82" s="1117">
        <v>193.8</v>
      </c>
      <c r="CS82" s="1214">
        <v>148.4</v>
      </c>
      <c r="CT82" s="1216">
        <v>146.5</v>
      </c>
      <c r="CU82" s="1216">
        <v>144.6</v>
      </c>
      <c r="CV82" s="1216">
        <v>142.69999999999999</v>
      </c>
      <c r="CW82" s="1217">
        <v>140.69999999999999</v>
      </c>
      <c r="CX82" s="1075" t="s">
        <v>1942</v>
      </c>
      <c r="CY82" s="1076" t="s">
        <v>1942</v>
      </c>
      <c r="CZ82" s="1076" t="s">
        <v>1942</v>
      </c>
      <c r="DA82" s="1076" t="s">
        <v>1942</v>
      </c>
      <c r="DB82" s="1117" t="s">
        <v>1942</v>
      </c>
      <c r="DC82" s="1076" t="s">
        <v>1942</v>
      </c>
      <c r="DD82" s="1076" t="s">
        <v>1942</v>
      </c>
      <c r="DE82" s="1076" t="s">
        <v>1942</v>
      </c>
      <c r="DF82" s="1076" t="s">
        <v>1942</v>
      </c>
      <c r="DG82" s="1117" t="s">
        <v>1942</v>
      </c>
      <c r="DH82" s="1075" t="s">
        <v>1942</v>
      </c>
      <c r="DI82" s="1076" t="s">
        <v>1942</v>
      </c>
      <c r="DJ82" s="1076" t="s">
        <v>1942</v>
      </c>
      <c r="DK82" s="1076" t="s">
        <v>1942</v>
      </c>
      <c r="DL82" s="1117" t="s">
        <v>1942</v>
      </c>
      <c r="DM82" s="1121">
        <v>-0.04</v>
      </c>
      <c r="DN82" s="1122" t="s">
        <v>1942</v>
      </c>
      <c r="DO82" s="1122" t="s">
        <v>1942</v>
      </c>
      <c r="DP82" s="1123" t="s">
        <v>1942</v>
      </c>
      <c r="DQ82" s="1122" t="s">
        <v>1942</v>
      </c>
      <c r="DR82" s="1122" t="s">
        <v>1942</v>
      </c>
      <c r="DS82" s="1122" t="s">
        <v>1942</v>
      </c>
      <c r="DT82" s="1123" t="s">
        <v>1942</v>
      </c>
      <c r="DU82" s="1119" t="s">
        <v>1942</v>
      </c>
      <c r="DV82" s="1124">
        <v>1</v>
      </c>
      <c r="DW82" s="1125" t="s">
        <v>1942</v>
      </c>
    </row>
    <row r="83" spans="1:127" s="397" customFormat="1" ht="15.75" hidden="1" customHeight="1">
      <c r="A83" s="1097" t="s">
        <v>1064</v>
      </c>
      <c r="B83" s="1057">
        <v>74</v>
      </c>
      <c r="C83" s="1018"/>
      <c r="D83" s="1018"/>
      <c r="E83" s="1018"/>
      <c r="F83" s="1018"/>
      <c r="G83" s="1018"/>
      <c r="H83" s="1018"/>
      <c r="I83" s="1018"/>
      <c r="J83" s="1018"/>
      <c r="K83" s="1018"/>
      <c r="L83" s="1018"/>
      <c r="M83" s="1057"/>
      <c r="N83" s="1018"/>
      <c r="O83" s="1018"/>
      <c r="P83" s="1018"/>
      <c r="Q83" s="1018"/>
      <c r="R83" s="1018"/>
      <c r="S83" s="1018"/>
      <c r="T83" s="1019"/>
      <c r="U83" s="1098" t="s">
        <v>2208</v>
      </c>
      <c r="V83" s="1099" t="s">
        <v>2197</v>
      </c>
      <c r="W83" s="1099" t="s">
        <v>1907</v>
      </c>
      <c r="X83" s="1100" t="s">
        <v>2209</v>
      </c>
      <c r="Y83" s="1101" t="s">
        <v>167</v>
      </c>
      <c r="Z83" s="1102" t="s">
        <v>2210</v>
      </c>
      <c r="AA83" s="1103" t="s">
        <v>1942</v>
      </c>
      <c r="AB83" s="1104">
        <v>1</v>
      </c>
      <c r="AC83" s="1104" t="s">
        <v>1942</v>
      </c>
      <c r="AD83" s="1104" t="s">
        <v>1942</v>
      </c>
      <c r="AE83" s="1104" t="s">
        <v>1942</v>
      </c>
      <c r="AF83" s="1104" t="s">
        <v>1942</v>
      </c>
      <c r="AG83" s="1104" t="s">
        <v>1942</v>
      </c>
      <c r="AH83" s="1104" t="s">
        <v>1942</v>
      </c>
      <c r="AI83" s="1105">
        <f t="shared" si="1"/>
        <v>1</v>
      </c>
      <c r="AJ83" s="1106" t="s">
        <v>1026</v>
      </c>
      <c r="AK83" s="1106" t="s">
        <v>1008</v>
      </c>
      <c r="AL83" s="1106" t="s">
        <v>1009</v>
      </c>
      <c r="AM83" s="1107" t="s">
        <v>1915</v>
      </c>
      <c r="AN83" s="1018" t="s">
        <v>278</v>
      </c>
      <c r="AO83" s="1018" t="s">
        <v>4793</v>
      </c>
      <c r="AP83" s="1314">
        <v>2</v>
      </c>
      <c r="AQ83" s="1108" t="s">
        <v>1020</v>
      </c>
      <c r="AR83" s="1109" t="s">
        <v>167</v>
      </c>
      <c r="AS83" s="1110"/>
      <c r="AT83" s="1100"/>
      <c r="AU83" s="1100"/>
      <c r="AV83" s="1100"/>
      <c r="AW83" s="1111"/>
      <c r="AX83" s="1142"/>
      <c r="AY83" s="1075"/>
      <c r="AZ83" s="1076"/>
      <c r="BA83" s="1076"/>
      <c r="BB83" s="1076"/>
      <c r="BC83" s="1076"/>
      <c r="BD83" s="1076"/>
      <c r="BE83" s="1076"/>
      <c r="BF83" s="1076"/>
      <c r="BG83" s="1126"/>
      <c r="BH83" s="1126"/>
      <c r="BI83" s="1127">
        <v>2.34</v>
      </c>
      <c r="BJ83" s="1126">
        <v>2.34</v>
      </c>
      <c r="BK83" s="1126">
        <v>2.34</v>
      </c>
      <c r="BL83" s="1126">
        <v>2.34</v>
      </c>
      <c r="BM83" s="1126">
        <v>2.34</v>
      </c>
      <c r="BN83" s="1145"/>
      <c r="BO83" s="1108"/>
      <c r="BP83" s="1108"/>
      <c r="BQ83" s="1108"/>
      <c r="BR83" s="1108"/>
      <c r="BS83" s="1115"/>
      <c r="BT83" s="1076"/>
      <c r="BU83" s="1076"/>
      <c r="BV83" s="1076"/>
      <c r="BW83" s="1116"/>
      <c r="BX83" s="1115"/>
      <c r="BY83" s="1076"/>
      <c r="BZ83" s="1076"/>
      <c r="CA83" s="1076"/>
      <c r="CB83" s="1116"/>
      <c r="CC83" s="1117"/>
      <c r="CD83" s="1118" t="s">
        <v>168</v>
      </c>
      <c r="CE83" s="1119" t="s">
        <v>168</v>
      </c>
      <c r="CF83" s="1119" t="s">
        <v>168</v>
      </c>
      <c r="CG83" s="1119" t="s">
        <v>168</v>
      </c>
      <c r="CH83" s="1120" t="s">
        <v>168</v>
      </c>
      <c r="CI83" s="1075" t="s">
        <v>1942</v>
      </c>
      <c r="CJ83" s="1076" t="s">
        <v>1942</v>
      </c>
      <c r="CK83" s="1076" t="s">
        <v>1942</v>
      </c>
      <c r="CL83" s="1076" t="s">
        <v>1942</v>
      </c>
      <c r="CM83" s="1117" t="s">
        <v>1942</v>
      </c>
      <c r="CN83" s="1145">
        <v>4.68</v>
      </c>
      <c r="CO83" s="1108">
        <v>4.68</v>
      </c>
      <c r="CP83" s="1108">
        <v>4.68</v>
      </c>
      <c r="CQ83" s="1108">
        <v>4.68</v>
      </c>
      <c r="CR83" s="1146">
        <v>4.68</v>
      </c>
      <c r="CS83" s="1212">
        <v>2.81</v>
      </c>
      <c r="CT83" s="1213">
        <v>2.81</v>
      </c>
      <c r="CU83" s="1213">
        <v>2.81</v>
      </c>
      <c r="CV83" s="1213">
        <v>2.81</v>
      </c>
      <c r="CW83" s="1215">
        <v>2.81</v>
      </c>
      <c r="CX83" s="1075" t="s">
        <v>1942</v>
      </c>
      <c r="CY83" s="1076" t="s">
        <v>1942</v>
      </c>
      <c r="CZ83" s="1076" t="s">
        <v>1942</v>
      </c>
      <c r="DA83" s="1076" t="s">
        <v>1942</v>
      </c>
      <c r="DB83" s="1117" t="s">
        <v>1942</v>
      </c>
      <c r="DC83" s="1076" t="s">
        <v>1942</v>
      </c>
      <c r="DD83" s="1076" t="s">
        <v>1942</v>
      </c>
      <c r="DE83" s="1076" t="s">
        <v>1942</v>
      </c>
      <c r="DF83" s="1076" t="s">
        <v>1942</v>
      </c>
      <c r="DG83" s="1117" t="s">
        <v>1942</v>
      </c>
      <c r="DH83" s="1075" t="s">
        <v>1942</v>
      </c>
      <c r="DI83" s="1076" t="s">
        <v>1942</v>
      </c>
      <c r="DJ83" s="1076" t="s">
        <v>1942</v>
      </c>
      <c r="DK83" s="1076" t="s">
        <v>1942</v>
      </c>
      <c r="DL83" s="1117" t="s">
        <v>1942</v>
      </c>
      <c r="DM83" s="1121">
        <v>-0.38100000000000001</v>
      </c>
      <c r="DN83" s="1122" t="s">
        <v>1942</v>
      </c>
      <c r="DO83" s="1122" t="s">
        <v>1942</v>
      </c>
      <c r="DP83" s="1123" t="s">
        <v>1942</v>
      </c>
      <c r="DQ83" s="1122" t="s">
        <v>1942</v>
      </c>
      <c r="DR83" s="1122" t="s">
        <v>1942</v>
      </c>
      <c r="DS83" s="1122" t="s">
        <v>1942</v>
      </c>
      <c r="DT83" s="1123" t="s">
        <v>1942</v>
      </c>
      <c r="DU83" s="1119" t="s">
        <v>1942</v>
      </c>
      <c r="DV83" s="1124">
        <v>1</v>
      </c>
      <c r="DW83" s="1125" t="s">
        <v>1942</v>
      </c>
    </row>
    <row r="84" spans="1:127" s="397" customFormat="1" ht="15.75" hidden="1" customHeight="1">
      <c r="A84" s="1097" t="s">
        <v>1064</v>
      </c>
      <c r="B84" s="1057">
        <v>75</v>
      </c>
      <c r="C84" s="1018"/>
      <c r="D84" s="1018"/>
      <c r="E84" s="1018"/>
      <c r="F84" s="1018"/>
      <c r="G84" s="1018"/>
      <c r="H84" s="1018"/>
      <c r="I84" s="1018"/>
      <c r="J84" s="1018"/>
      <c r="K84" s="1018"/>
      <c r="L84" s="1018"/>
      <c r="M84" s="1057"/>
      <c r="N84" s="1018"/>
      <c r="O84" s="1018"/>
      <c r="P84" s="1018"/>
      <c r="Q84" s="1018"/>
      <c r="R84" s="1018"/>
      <c r="S84" s="1018"/>
      <c r="T84" s="1019"/>
      <c r="U84" s="1098" t="s">
        <v>2211</v>
      </c>
      <c r="V84" s="1099" t="s">
        <v>2197</v>
      </c>
      <c r="W84" s="1099" t="s">
        <v>1907</v>
      </c>
      <c r="X84" s="1100" t="s">
        <v>2212</v>
      </c>
      <c r="Y84" s="1101" t="s">
        <v>535</v>
      </c>
      <c r="Z84" s="1102" t="s">
        <v>2213</v>
      </c>
      <c r="AA84" s="1103">
        <v>1</v>
      </c>
      <c r="AB84" s="1104" t="s">
        <v>1942</v>
      </c>
      <c r="AC84" s="1104" t="s">
        <v>1942</v>
      </c>
      <c r="AD84" s="1104" t="s">
        <v>1942</v>
      </c>
      <c r="AE84" s="1104" t="s">
        <v>1942</v>
      </c>
      <c r="AF84" s="1104" t="s">
        <v>1942</v>
      </c>
      <c r="AG84" s="1104" t="s">
        <v>1942</v>
      </c>
      <c r="AH84" s="1104" t="s">
        <v>1942</v>
      </c>
      <c r="AI84" s="1105">
        <f t="shared" si="1"/>
        <v>1</v>
      </c>
      <c r="AJ84" s="1106" t="s">
        <v>1007</v>
      </c>
      <c r="AK84" s="1106" t="s">
        <v>1942</v>
      </c>
      <c r="AL84" s="1106" t="s">
        <v>1942</v>
      </c>
      <c r="AM84" s="1107" t="s">
        <v>1910</v>
      </c>
      <c r="AN84" s="1018" t="s">
        <v>278</v>
      </c>
      <c r="AO84" s="1018" t="s">
        <v>4792</v>
      </c>
      <c r="AP84" s="1313">
        <v>1</v>
      </c>
      <c r="AQ84" s="1076" t="s">
        <v>1020</v>
      </c>
      <c r="AR84" s="1109" t="s">
        <v>535</v>
      </c>
      <c r="AS84" s="1110"/>
      <c r="AT84" s="1100"/>
      <c r="AU84" s="1100"/>
      <c r="AV84" s="1100"/>
      <c r="AW84" s="1111"/>
      <c r="AX84" s="1142"/>
      <c r="AY84" s="1075"/>
      <c r="AZ84" s="1076"/>
      <c r="BA84" s="1076"/>
      <c r="BB84" s="1076"/>
      <c r="BC84" s="1076"/>
      <c r="BD84" s="1076"/>
      <c r="BE84" s="1076"/>
      <c r="BF84" s="1076"/>
      <c r="BG84" s="1113"/>
      <c r="BH84" s="1113"/>
      <c r="BI84" s="1114">
        <v>38</v>
      </c>
      <c r="BJ84" s="1113">
        <v>29.8</v>
      </c>
      <c r="BK84" s="1113">
        <v>29.8</v>
      </c>
      <c r="BL84" s="1113">
        <v>29.8</v>
      </c>
      <c r="BM84" s="1113">
        <v>25.6</v>
      </c>
      <c r="BN84" s="1075"/>
      <c r="BO84" s="1076"/>
      <c r="BP84" s="1076"/>
      <c r="BQ84" s="1076"/>
      <c r="BR84" s="1076"/>
      <c r="BS84" s="1115"/>
      <c r="BT84" s="1076"/>
      <c r="BU84" s="1076"/>
      <c r="BV84" s="1076"/>
      <c r="BW84" s="1116"/>
      <c r="BX84" s="1115"/>
      <c r="BY84" s="1076"/>
      <c r="BZ84" s="1076"/>
      <c r="CA84" s="1076"/>
      <c r="CB84" s="1116"/>
      <c r="CC84" s="1117"/>
      <c r="CD84" s="1118" t="s">
        <v>1942</v>
      </c>
      <c r="CE84" s="1119" t="s">
        <v>1942</v>
      </c>
      <c r="CF84" s="1119" t="s">
        <v>1942</v>
      </c>
      <c r="CG84" s="1119" t="s">
        <v>1942</v>
      </c>
      <c r="CH84" s="1120" t="s">
        <v>1942</v>
      </c>
      <c r="CI84" s="1075" t="s">
        <v>1942</v>
      </c>
      <c r="CJ84" s="1076" t="s">
        <v>1942</v>
      </c>
      <c r="CK84" s="1076" t="s">
        <v>1942</v>
      </c>
      <c r="CL84" s="1076" t="s">
        <v>1942</v>
      </c>
      <c r="CM84" s="1117" t="s">
        <v>1942</v>
      </c>
      <c r="CN84" s="1075" t="s">
        <v>1942</v>
      </c>
      <c r="CO84" s="1076" t="s">
        <v>1942</v>
      </c>
      <c r="CP84" s="1076" t="s">
        <v>1942</v>
      </c>
      <c r="CQ84" s="1076" t="s">
        <v>1942</v>
      </c>
      <c r="CR84" s="1117" t="s">
        <v>1942</v>
      </c>
      <c r="CS84" s="1075" t="s">
        <v>1942</v>
      </c>
      <c r="CT84" s="1076" t="s">
        <v>1942</v>
      </c>
      <c r="CU84" s="1076" t="s">
        <v>1942</v>
      </c>
      <c r="CV84" s="1076" t="s">
        <v>1942</v>
      </c>
      <c r="CW84" s="1117" t="s">
        <v>1942</v>
      </c>
      <c r="CX84" s="1075" t="s">
        <v>1942</v>
      </c>
      <c r="CY84" s="1076" t="s">
        <v>1942</v>
      </c>
      <c r="CZ84" s="1076" t="s">
        <v>1942</v>
      </c>
      <c r="DA84" s="1076" t="s">
        <v>1942</v>
      </c>
      <c r="DB84" s="1117" t="s">
        <v>1942</v>
      </c>
      <c r="DC84" s="1076" t="s">
        <v>1942</v>
      </c>
      <c r="DD84" s="1076" t="s">
        <v>1942</v>
      </c>
      <c r="DE84" s="1076" t="s">
        <v>1942</v>
      </c>
      <c r="DF84" s="1076" t="s">
        <v>1942</v>
      </c>
      <c r="DG84" s="1117" t="s">
        <v>1942</v>
      </c>
      <c r="DH84" s="1075" t="s">
        <v>1942</v>
      </c>
      <c r="DI84" s="1076" t="s">
        <v>1942</v>
      </c>
      <c r="DJ84" s="1076" t="s">
        <v>1942</v>
      </c>
      <c r="DK84" s="1076" t="s">
        <v>1942</v>
      </c>
      <c r="DL84" s="1117" t="s">
        <v>1942</v>
      </c>
      <c r="DM84" s="1121" t="s">
        <v>1942</v>
      </c>
      <c r="DN84" s="1122" t="s">
        <v>1942</v>
      </c>
      <c r="DO84" s="1122" t="s">
        <v>1942</v>
      </c>
      <c r="DP84" s="1123" t="s">
        <v>1942</v>
      </c>
      <c r="DQ84" s="1122" t="s">
        <v>1942</v>
      </c>
      <c r="DR84" s="1122" t="s">
        <v>1942</v>
      </c>
      <c r="DS84" s="1122" t="s">
        <v>1942</v>
      </c>
      <c r="DT84" s="1123" t="s">
        <v>1942</v>
      </c>
      <c r="DU84" s="1119" t="s">
        <v>1942</v>
      </c>
      <c r="DV84" s="1124">
        <v>1</v>
      </c>
      <c r="DW84" s="1125" t="s">
        <v>1942</v>
      </c>
    </row>
    <row r="85" spans="1:127" s="397" customFormat="1" ht="15.75" hidden="1" customHeight="1">
      <c r="A85" s="1097" t="s">
        <v>1064</v>
      </c>
      <c r="B85" s="1057">
        <v>76</v>
      </c>
      <c r="C85" s="1018"/>
      <c r="D85" s="1018"/>
      <c r="E85" s="1018"/>
      <c r="F85" s="1018"/>
      <c r="G85" s="1018"/>
      <c r="H85" s="1018"/>
      <c r="I85" s="1018"/>
      <c r="J85" s="1018"/>
      <c r="K85" s="1018"/>
      <c r="L85" s="1018"/>
      <c r="M85" s="1057"/>
      <c r="N85" s="1018"/>
      <c r="O85" s="1018"/>
      <c r="P85" s="1018"/>
      <c r="Q85" s="1018"/>
      <c r="R85" s="1018"/>
      <c r="S85" s="1018"/>
      <c r="T85" s="1019"/>
      <c r="U85" s="1098" t="s">
        <v>2215</v>
      </c>
      <c r="V85" s="1099" t="s">
        <v>2197</v>
      </c>
      <c r="W85" s="1099" t="s">
        <v>1889</v>
      </c>
      <c r="X85" s="1100" t="s">
        <v>2216</v>
      </c>
      <c r="Y85" s="1101" t="s">
        <v>2217</v>
      </c>
      <c r="Z85" s="1102" t="s">
        <v>2218</v>
      </c>
      <c r="AA85" s="1103" t="s">
        <v>1942</v>
      </c>
      <c r="AB85" s="1104">
        <v>1</v>
      </c>
      <c r="AC85" s="1104" t="s">
        <v>1942</v>
      </c>
      <c r="AD85" s="1104" t="s">
        <v>1942</v>
      </c>
      <c r="AE85" s="1104" t="s">
        <v>1942</v>
      </c>
      <c r="AF85" s="1104" t="s">
        <v>1942</v>
      </c>
      <c r="AG85" s="1104" t="s">
        <v>1942</v>
      </c>
      <c r="AH85" s="1104" t="s">
        <v>1942</v>
      </c>
      <c r="AI85" s="1105">
        <f t="shared" si="1"/>
        <v>1</v>
      </c>
      <c r="AJ85" s="1106" t="s">
        <v>1030</v>
      </c>
      <c r="AK85" s="1106" t="s">
        <v>1008</v>
      </c>
      <c r="AL85" s="1106" t="s">
        <v>1009</v>
      </c>
      <c r="AM85" s="1107" t="s">
        <v>2149</v>
      </c>
      <c r="AN85" s="1018" t="s">
        <v>396</v>
      </c>
      <c r="AO85" s="1018" t="s">
        <v>4798</v>
      </c>
      <c r="AP85" s="1314">
        <v>2</v>
      </c>
      <c r="AQ85" s="1108" t="s">
        <v>1020</v>
      </c>
      <c r="AR85" s="1109"/>
      <c r="AS85" s="1110"/>
      <c r="AT85" s="1100"/>
      <c r="AU85" s="1100"/>
      <c r="AV85" s="1100"/>
      <c r="AW85" s="1111"/>
      <c r="AX85" s="1112"/>
      <c r="AY85" s="1075"/>
      <c r="AZ85" s="1076"/>
      <c r="BA85" s="1076"/>
      <c r="BB85" s="1076"/>
      <c r="BC85" s="1076"/>
      <c r="BD85" s="1076"/>
      <c r="BE85" s="1076"/>
      <c r="BF85" s="1076"/>
      <c r="BG85" s="1076"/>
      <c r="BH85" s="1076"/>
      <c r="BI85" s="1420"/>
      <c r="BJ85" s="1368"/>
      <c r="BK85" s="1368"/>
      <c r="BL85" s="1368"/>
      <c r="BM85" s="1368"/>
      <c r="BN85" s="1075"/>
      <c r="BO85" s="1076"/>
      <c r="BP85" s="1076"/>
      <c r="BQ85" s="1076"/>
      <c r="BR85" s="1076"/>
      <c r="BS85" s="1115"/>
      <c r="BT85" s="1076"/>
      <c r="BU85" s="1076"/>
      <c r="BV85" s="1076"/>
      <c r="BW85" s="1116"/>
      <c r="BX85" s="1115"/>
      <c r="BY85" s="1076"/>
      <c r="BZ85" s="1076"/>
      <c r="CA85" s="1076"/>
      <c r="CB85" s="1116"/>
      <c r="CC85" s="1117"/>
      <c r="CD85" s="1376"/>
      <c r="CE85" s="1377"/>
      <c r="CF85" s="1377"/>
      <c r="CG85" s="1377"/>
      <c r="CH85" s="1440"/>
      <c r="CI85" s="1420"/>
      <c r="CJ85" s="1368"/>
      <c r="CK85" s="1368"/>
      <c r="CL85" s="1368"/>
      <c r="CM85" s="1369"/>
      <c r="CN85" s="1420"/>
      <c r="CO85" s="1368"/>
      <c r="CP85" s="1368"/>
      <c r="CQ85" s="1368"/>
      <c r="CR85" s="1369"/>
      <c r="CS85" s="1420"/>
      <c r="CT85" s="1368"/>
      <c r="CU85" s="1368"/>
      <c r="CV85" s="1368"/>
      <c r="CW85" s="1369"/>
      <c r="CX85" s="1420"/>
      <c r="CY85" s="1368"/>
      <c r="CZ85" s="1368"/>
      <c r="DA85" s="1368"/>
      <c r="DB85" s="1369"/>
      <c r="DC85" s="1368"/>
      <c r="DD85" s="1368"/>
      <c r="DE85" s="1368"/>
      <c r="DF85" s="1368"/>
      <c r="DG85" s="1369"/>
      <c r="DH85" s="1420"/>
      <c r="DI85" s="1368"/>
      <c r="DJ85" s="1368"/>
      <c r="DK85" s="1368"/>
      <c r="DL85" s="1369"/>
      <c r="DM85" s="1808"/>
      <c r="DN85" s="1809"/>
      <c r="DO85" s="1809"/>
      <c r="DP85" s="1810"/>
      <c r="DQ85" s="1809"/>
      <c r="DR85" s="1809"/>
      <c r="DS85" s="1809"/>
      <c r="DT85" s="1810"/>
      <c r="DU85" s="1377"/>
      <c r="DV85" s="1729"/>
      <c r="DW85" s="1811"/>
    </row>
    <row r="86" spans="1:127" s="397" customFormat="1" ht="15.75" hidden="1" customHeight="1">
      <c r="A86" s="1097" t="s">
        <v>1064</v>
      </c>
      <c r="B86" s="1057">
        <v>77</v>
      </c>
      <c r="C86" s="1018"/>
      <c r="D86" s="1018"/>
      <c r="E86" s="1018"/>
      <c r="F86" s="1018"/>
      <c r="G86" s="1018"/>
      <c r="H86" s="1018"/>
      <c r="I86" s="1018"/>
      <c r="J86" s="1018"/>
      <c r="K86" s="1018"/>
      <c r="L86" s="1018"/>
      <c r="M86" s="1057"/>
      <c r="N86" s="1018"/>
      <c r="O86" s="1018"/>
      <c r="P86" s="1018"/>
      <c r="Q86" s="1018"/>
      <c r="R86" s="1018"/>
      <c r="S86" s="1018"/>
      <c r="T86" s="1019"/>
      <c r="U86" s="1098" t="s">
        <v>2220</v>
      </c>
      <c r="V86" s="1099" t="s">
        <v>2197</v>
      </c>
      <c r="W86" s="1099" t="s">
        <v>1889</v>
      </c>
      <c r="X86" s="1100" t="s">
        <v>2221</v>
      </c>
      <c r="Y86" s="1101" t="s">
        <v>2222</v>
      </c>
      <c r="Z86" s="1102" t="s">
        <v>2223</v>
      </c>
      <c r="AA86" s="1103" t="s">
        <v>1942</v>
      </c>
      <c r="AB86" s="1104">
        <v>1</v>
      </c>
      <c r="AC86" s="1104" t="s">
        <v>1942</v>
      </c>
      <c r="AD86" s="1104" t="s">
        <v>1942</v>
      </c>
      <c r="AE86" s="1104" t="s">
        <v>1942</v>
      </c>
      <c r="AF86" s="1104" t="s">
        <v>1942</v>
      </c>
      <c r="AG86" s="1104" t="s">
        <v>1942</v>
      </c>
      <c r="AH86" s="1104" t="s">
        <v>1942</v>
      </c>
      <c r="AI86" s="1105">
        <f t="shared" si="1"/>
        <v>1</v>
      </c>
      <c r="AJ86" s="1106" t="s">
        <v>1030</v>
      </c>
      <c r="AK86" s="1106" t="s">
        <v>1008</v>
      </c>
      <c r="AL86" s="1106" t="s">
        <v>1009</v>
      </c>
      <c r="AM86" s="1107" t="s">
        <v>2149</v>
      </c>
      <c r="AN86" s="1018" t="s">
        <v>396</v>
      </c>
      <c r="AO86" s="1018" t="s">
        <v>4798</v>
      </c>
      <c r="AP86" s="1313">
        <v>2</v>
      </c>
      <c r="AQ86" s="1076" t="s">
        <v>1020</v>
      </c>
      <c r="AR86" s="1109"/>
      <c r="AS86" s="1110"/>
      <c r="AT86" s="1100"/>
      <c r="AU86" s="1100"/>
      <c r="AV86" s="1100"/>
      <c r="AW86" s="1111"/>
      <c r="AX86" s="1142"/>
      <c r="AY86" s="1075"/>
      <c r="AZ86" s="1076"/>
      <c r="BA86" s="1076"/>
      <c r="BB86" s="1076"/>
      <c r="BC86" s="1076"/>
      <c r="BD86" s="1076"/>
      <c r="BE86" s="1076"/>
      <c r="BF86" s="1076"/>
      <c r="BG86" s="1076"/>
      <c r="BH86" s="1076"/>
      <c r="BI86" s="1420"/>
      <c r="BJ86" s="1368"/>
      <c r="BK86" s="1368"/>
      <c r="BL86" s="1368"/>
      <c r="BM86" s="1368"/>
      <c r="BN86" s="1075"/>
      <c r="BO86" s="1076"/>
      <c r="BP86" s="1076"/>
      <c r="BQ86" s="1076"/>
      <c r="BR86" s="1076"/>
      <c r="BS86" s="1115"/>
      <c r="BT86" s="1076"/>
      <c r="BU86" s="1076"/>
      <c r="BV86" s="1076"/>
      <c r="BW86" s="1116"/>
      <c r="BX86" s="1115"/>
      <c r="BY86" s="1076"/>
      <c r="BZ86" s="1076"/>
      <c r="CA86" s="1076"/>
      <c r="CB86" s="1116"/>
      <c r="CC86" s="1117"/>
      <c r="CD86" s="1376"/>
      <c r="CE86" s="1377"/>
      <c r="CF86" s="1377"/>
      <c r="CG86" s="1377"/>
      <c r="CH86" s="1440"/>
      <c r="CI86" s="1420"/>
      <c r="CJ86" s="1368"/>
      <c r="CK86" s="1368"/>
      <c r="CL86" s="1368"/>
      <c r="CM86" s="1369"/>
      <c r="CN86" s="1420"/>
      <c r="CO86" s="1368"/>
      <c r="CP86" s="1368"/>
      <c r="CQ86" s="1368"/>
      <c r="CR86" s="1369"/>
      <c r="CS86" s="1420"/>
      <c r="CT86" s="1368"/>
      <c r="CU86" s="1368"/>
      <c r="CV86" s="1368"/>
      <c r="CW86" s="1369"/>
      <c r="CX86" s="1420"/>
      <c r="CY86" s="1368"/>
      <c r="CZ86" s="1368"/>
      <c r="DA86" s="1368"/>
      <c r="DB86" s="1369"/>
      <c r="DC86" s="1368"/>
      <c r="DD86" s="1368"/>
      <c r="DE86" s="1368"/>
      <c r="DF86" s="1368"/>
      <c r="DG86" s="1369"/>
      <c r="DH86" s="1420"/>
      <c r="DI86" s="1368"/>
      <c r="DJ86" s="1368"/>
      <c r="DK86" s="1368"/>
      <c r="DL86" s="1369"/>
      <c r="DM86" s="1808"/>
      <c r="DN86" s="1809"/>
      <c r="DO86" s="1809"/>
      <c r="DP86" s="1810"/>
      <c r="DQ86" s="1809"/>
      <c r="DR86" s="1809"/>
      <c r="DS86" s="1809"/>
      <c r="DT86" s="1810"/>
      <c r="DU86" s="1377"/>
      <c r="DV86" s="1729"/>
      <c r="DW86" s="1811"/>
    </row>
    <row r="87" spans="1:127" s="397" customFormat="1" ht="15.75" hidden="1" customHeight="1">
      <c r="A87" s="1097" t="s">
        <v>1064</v>
      </c>
      <c r="B87" s="1057">
        <v>78</v>
      </c>
      <c r="C87" s="1018"/>
      <c r="D87" s="1018"/>
      <c r="E87" s="1018"/>
      <c r="F87" s="1018"/>
      <c r="G87" s="1018"/>
      <c r="H87" s="1018"/>
      <c r="I87" s="1018"/>
      <c r="J87" s="1018"/>
      <c r="K87" s="1018"/>
      <c r="L87" s="1018"/>
      <c r="M87" s="1057"/>
      <c r="N87" s="1018"/>
      <c r="O87" s="1018"/>
      <c r="P87" s="1018"/>
      <c r="Q87" s="1018"/>
      <c r="R87" s="1018"/>
      <c r="S87" s="1018"/>
      <c r="T87" s="1019"/>
      <c r="U87" s="1098" t="s">
        <v>2224</v>
      </c>
      <c r="V87" s="1099" t="s">
        <v>2197</v>
      </c>
      <c r="W87" s="1099" t="s">
        <v>1889</v>
      </c>
      <c r="X87" s="1100" t="s">
        <v>2225</v>
      </c>
      <c r="Y87" s="1101" t="s">
        <v>1983</v>
      </c>
      <c r="Z87" s="1102" t="s">
        <v>2226</v>
      </c>
      <c r="AA87" s="1103" t="s">
        <v>1942</v>
      </c>
      <c r="AB87" s="1104">
        <v>1</v>
      </c>
      <c r="AC87" s="1104" t="s">
        <v>1942</v>
      </c>
      <c r="AD87" s="1104" t="s">
        <v>1942</v>
      </c>
      <c r="AE87" s="1104" t="s">
        <v>1942</v>
      </c>
      <c r="AF87" s="1104" t="s">
        <v>1942</v>
      </c>
      <c r="AG87" s="1104" t="s">
        <v>1942</v>
      </c>
      <c r="AH87" s="1104" t="s">
        <v>1942</v>
      </c>
      <c r="AI87" s="1105">
        <f t="shared" si="1"/>
        <v>1</v>
      </c>
      <c r="AJ87" s="1106" t="s">
        <v>1030</v>
      </c>
      <c r="AK87" s="1106" t="s">
        <v>1008</v>
      </c>
      <c r="AL87" s="1106" t="s">
        <v>1009</v>
      </c>
      <c r="AM87" s="1107" t="s">
        <v>1985</v>
      </c>
      <c r="AN87" s="1018" t="s">
        <v>2177</v>
      </c>
      <c r="AO87" s="1018" t="s">
        <v>4796</v>
      </c>
      <c r="AP87" s="1070">
        <v>0</v>
      </c>
      <c r="AQ87" s="1108" t="s">
        <v>1020</v>
      </c>
      <c r="AR87" s="1109"/>
      <c r="AS87" s="1110"/>
      <c r="AT87" s="1100"/>
      <c r="AU87" s="1100"/>
      <c r="AV87" s="1100"/>
      <c r="AW87" s="1111"/>
      <c r="AX87" s="1142"/>
      <c r="AY87" s="1075"/>
      <c r="AZ87" s="1076"/>
      <c r="BA87" s="1076"/>
      <c r="BB87" s="1076"/>
      <c r="BC87" s="1076"/>
      <c r="BD87" s="1076"/>
      <c r="BE87" s="1076"/>
      <c r="BF87" s="1076"/>
      <c r="BG87" s="1076"/>
      <c r="BH87" s="1076"/>
      <c r="BI87" s="1420"/>
      <c r="BJ87" s="1368"/>
      <c r="BK87" s="1368"/>
      <c r="BL87" s="1368"/>
      <c r="BM87" s="1368"/>
      <c r="BN87" s="1075"/>
      <c r="BO87" s="1076"/>
      <c r="BP87" s="1076"/>
      <c r="BQ87" s="1076"/>
      <c r="BR87" s="1076"/>
      <c r="BS87" s="1115"/>
      <c r="BT87" s="1076"/>
      <c r="BU87" s="1076"/>
      <c r="BV87" s="1076"/>
      <c r="BW87" s="1116"/>
      <c r="BX87" s="1115"/>
      <c r="BY87" s="1076"/>
      <c r="BZ87" s="1076"/>
      <c r="CA87" s="1076"/>
      <c r="CB87" s="1116"/>
      <c r="CC87" s="1117"/>
      <c r="CD87" s="1376"/>
      <c r="CE87" s="1377"/>
      <c r="CF87" s="1377"/>
      <c r="CG87" s="1377"/>
      <c r="CH87" s="1440"/>
      <c r="CI87" s="1420"/>
      <c r="CJ87" s="1368"/>
      <c r="CK87" s="1368"/>
      <c r="CL87" s="1368"/>
      <c r="CM87" s="1369"/>
      <c r="CN87" s="1420"/>
      <c r="CO87" s="1368"/>
      <c r="CP87" s="1368"/>
      <c r="CQ87" s="1368"/>
      <c r="CR87" s="1369"/>
      <c r="CS87" s="1420"/>
      <c r="CT87" s="1368"/>
      <c r="CU87" s="1368"/>
      <c r="CV87" s="1368"/>
      <c r="CW87" s="1369"/>
      <c r="CX87" s="1420"/>
      <c r="CY87" s="1368"/>
      <c r="CZ87" s="1368"/>
      <c r="DA87" s="1368"/>
      <c r="DB87" s="1369"/>
      <c r="DC87" s="1368"/>
      <c r="DD87" s="1368"/>
      <c r="DE87" s="1368"/>
      <c r="DF87" s="1368"/>
      <c r="DG87" s="1369"/>
      <c r="DH87" s="1420"/>
      <c r="DI87" s="1368"/>
      <c r="DJ87" s="1368"/>
      <c r="DK87" s="1368"/>
      <c r="DL87" s="1369"/>
      <c r="DM87" s="1808"/>
      <c r="DN87" s="1809"/>
      <c r="DO87" s="1809"/>
      <c r="DP87" s="1810"/>
      <c r="DQ87" s="1809"/>
      <c r="DR87" s="1809"/>
      <c r="DS87" s="1809"/>
      <c r="DT87" s="1810"/>
      <c r="DU87" s="1377"/>
      <c r="DV87" s="1729"/>
      <c r="DW87" s="1811"/>
    </row>
    <row r="88" spans="1:127" s="397" customFormat="1" ht="15.75" hidden="1" customHeight="1">
      <c r="A88" s="1097" t="s">
        <v>1064</v>
      </c>
      <c r="B88" s="1057">
        <v>79</v>
      </c>
      <c r="C88" s="1018"/>
      <c r="D88" s="1018"/>
      <c r="E88" s="1018"/>
      <c r="F88" s="1018"/>
      <c r="G88" s="1018"/>
      <c r="H88" s="1018"/>
      <c r="I88" s="1018"/>
      <c r="J88" s="1018"/>
      <c r="K88" s="1018"/>
      <c r="L88" s="1018"/>
      <c r="M88" s="1057"/>
      <c r="N88" s="1018"/>
      <c r="O88" s="1018"/>
      <c r="P88" s="1018"/>
      <c r="Q88" s="1018"/>
      <c r="R88" s="1018"/>
      <c r="S88" s="1018"/>
      <c r="T88" s="1019"/>
      <c r="U88" s="1098" t="s">
        <v>2227</v>
      </c>
      <c r="V88" s="1099" t="s">
        <v>2197</v>
      </c>
      <c r="W88" s="1099" t="s">
        <v>1889</v>
      </c>
      <c r="X88" s="1100" t="s">
        <v>2228</v>
      </c>
      <c r="Y88" s="1101" t="s">
        <v>2229</v>
      </c>
      <c r="Z88" s="1102" t="s">
        <v>2230</v>
      </c>
      <c r="AA88" s="1103" t="s">
        <v>1942</v>
      </c>
      <c r="AB88" s="1104">
        <v>1</v>
      </c>
      <c r="AC88" s="1104" t="s">
        <v>1942</v>
      </c>
      <c r="AD88" s="1104" t="s">
        <v>1942</v>
      </c>
      <c r="AE88" s="1104" t="s">
        <v>1942</v>
      </c>
      <c r="AF88" s="1104" t="s">
        <v>1942</v>
      </c>
      <c r="AG88" s="1104" t="s">
        <v>1942</v>
      </c>
      <c r="AH88" s="1104" t="s">
        <v>1942</v>
      </c>
      <c r="AI88" s="1105">
        <f t="shared" si="1"/>
        <v>1</v>
      </c>
      <c r="AJ88" s="1106" t="s">
        <v>1026</v>
      </c>
      <c r="AK88" s="1106" t="s">
        <v>1008</v>
      </c>
      <c r="AL88" s="1106" t="s">
        <v>1009</v>
      </c>
      <c r="AM88" s="1107" t="s">
        <v>2231</v>
      </c>
      <c r="AN88" s="1018" t="s">
        <v>1033</v>
      </c>
      <c r="AO88" s="1018" t="s">
        <v>2232</v>
      </c>
      <c r="AP88" s="1070">
        <v>0</v>
      </c>
      <c r="AQ88" s="1108" t="s">
        <v>1020</v>
      </c>
      <c r="AR88" s="1109" t="s">
        <v>1942</v>
      </c>
      <c r="AS88" s="1110"/>
      <c r="AT88" s="1100"/>
      <c r="AU88" s="1100"/>
      <c r="AV88" s="1100"/>
      <c r="AW88" s="1111"/>
      <c r="AX88" s="1142"/>
      <c r="AY88" s="1075"/>
      <c r="AZ88" s="1076"/>
      <c r="BA88" s="1076"/>
      <c r="BB88" s="1076"/>
      <c r="BC88" s="1076"/>
      <c r="BD88" s="1076"/>
      <c r="BE88" s="1076"/>
      <c r="BF88" s="1076"/>
      <c r="BG88" s="1076"/>
      <c r="BH88" s="1076"/>
      <c r="BI88" s="1420"/>
      <c r="BJ88" s="1368"/>
      <c r="BK88" s="1368"/>
      <c r="BL88" s="1368"/>
      <c r="BM88" s="1368"/>
      <c r="BN88" s="1075"/>
      <c r="BO88" s="1076"/>
      <c r="BP88" s="1076"/>
      <c r="BQ88" s="1076"/>
      <c r="BR88" s="1076"/>
      <c r="BS88" s="1115"/>
      <c r="BT88" s="1076"/>
      <c r="BU88" s="1076"/>
      <c r="BV88" s="1076"/>
      <c r="BW88" s="1116"/>
      <c r="BX88" s="1115"/>
      <c r="BY88" s="1076"/>
      <c r="BZ88" s="1076"/>
      <c r="CA88" s="1076"/>
      <c r="CB88" s="1116"/>
      <c r="CC88" s="1117"/>
      <c r="CD88" s="1376"/>
      <c r="CE88" s="1377"/>
      <c r="CF88" s="1377"/>
      <c r="CG88" s="1377"/>
      <c r="CH88" s="1440"/>
      <c r="CI88" s="1420"/>
      <c r="CJ88" s="1368"/>
      <c r="CK88" s="1368"/>
      <c r="CL88" s="1368"/>
      <c r="CM88" s="1369"/>
      <c r="CN88" s="1420"/>
      <c r="CO88" s="1368"/>
      <c r="CP88" s="1368"/>
      <c r="CQ88" s="1368"/>
      <c r="CR88" s="1369"/>
      <c r="CS88" s="1420"/>
      <c r="CT88" s="1368"/>
      <c r="CU88" s="1368"/>
      <c r="CV88" s="1368"/>
      <c r="CW88" s="1369"/>
      <c r="CX88" s="1420"/>
      <c r="CY88" s="1368"/>
      <c r="CZ88" s="1368"/>
      <c r="DA88" s="1368"/>
      <c r="DB88" s="1369"/>
      <c r="DC88" s="1368"/>
      <c r="DD88" s="1368"/>
      <c r="DE88" s="1368"/>
      <c r="DF88" s="1368"/>
      <c r="DG88" s="1369"/>
      <c r="DH88" s="1420"/>
      <c r="DI88" s="1368"/>
      <c r="DJ88" s="1368"/>
      <c r="DK88" s="1368"/>
      <c r="DL88" s="1369"/>
      <c r="DM88" s="1808"/>
      <c r="DN88" s="1809"/>
      <c r="DO88" s="1809"/>
      <c r="DP88" s="1810"/>
      <c r="DQ88" s="1809"/>
      <c r="DR88" s="1809"/>
      <c r="DS88" s="1809"/>
      <c r="DT88" s="1810"/>
      <c r="DU88" s="1377"/>
      <c r="DV88" s="1729"/>
      <c r="DW88" s="1811"/>
    </row>
    <row r="89" spans="1:127" s="397" customFormat="1" ht="15.75" hidden="1" customHeight="1">
      <c r="A89" s="1097" t="s">
        <v>1064</v>
      </c>
      <c r="B89" s="1057">
        <v>80</v>
      </c>
      <c r="C89" s="1018"/>
      <c r="D89" s="1018"/>
      <c r="E89" s="1018"/>
      <c r="F89" s="1018"/>
      <c r="G89" s="1018"/>
      <c r="H89" s="1018"/>
      <c r="I89" s="1018"/>
      <c r="J89" s="1018"/>
      <c r="K89" s="1018"/>
      <c r="L89" s="1018"/>
      <c r="M89" s="1057"/>
      <c r="N89" s="1018"/>
      <c r="O89" s="1018"/>
      <c r="P89" s="1018"/>
      <c r="Q89" s="1018"/>
      <c r="R89" s="1018"/>
      <c r="S89" s="1018"/>
      <c r="T89" s="1019"/>
      <c r="U89" s="1098" t="s">
        <v>2233</v>
      </c>
      <c r="V89" s="1099" t="s">
        <v>2197</v>
      </c>
      <c r="W89" s="1099" t="s">
        <v>1889</v>
      </c>
      <c r="X89" s="1100" t="s">
        <v>2234</v>
      </c>
      <c r="Y89" s="1101" t="s">
        <v>2235</v>
      </c>
      <c r="Z89" s="1102" t="s">
        <v>2236</v>
      </c>
      <c r="AA89" s="1103" t="s">
        <v>1942</v>
      </c>
      <c r="AB89" s="1104">
        <v>1</v>
      </c>
      <c r="AC89" s="1104" t="s">
        <v>1942</v>
      </c>
      <c r="AD89" s="1104" t="s">
        <v>1942</v>
      </c>
      <c r="AE89" s="1104" t="s">
        <v>1942</v>
      </c>
      <c r="AF89" s="1104" t="s">
        <v>1942</v>
      </c>
      <c r="AG89" s="1104" t="s">
        <v>1942</v>
      </c>
      <c r="AH89" s="1104" t="s">
        <v>1942</v>
      </c>
      <c r="AI89" s="1105">
        <f t="shared" si="1"/>
        <v>1</v>
      </c>
      <c r="AJ89" s="1106" t="s">
        <v>1026</v>
      </c>
      <c r="AK89" s="1106" t="s">
        <v>1008</v>
      </c>
      <c r="AL89" s="1106" t="s">
        <v>1009</v>
      </c>
      <c r="AM89" s="1107" t="s">
        <v>2237</v>
      </c>
      <c r="AN89" s="1018" t="s">
        <v>1033</v>
      </c>
      <c r="AO89" s="1018" t="s">
        <v>2238</v>
      </c>
      <c r="AP89" s="1070">
        <v>0</v>
      </c>
      <c r="AQ89" s="1108" t="s">
        <v>1020</v>
      </c>
      <c r="AR89" s="1109" t="s">
        <v>1942</v>
      </c>
      <c r="AS89" s="1110"/>
      <c r="AT89" s="1100"/>
      <c r="AU89" s="1100"/>
      <c r="AV89" s="1100"/>
      <c r="AW89" s="1111"/>
      <c r="AX89" s="1112"/>
      <c r="AY89" s="1075"/>
      <c r="AZ89" s="1076"/>
      <c r="BA89" s="1076"/>
      <c r="BB89" s="1076"/>
      <c r="BC89" s="1076"/>
      <c r="BD89" s="1076"/>
      <c r="BE89" s="1076"/>
      <c r="BF89" s="1076"/>
      <c r="BG89" s="1076"/>
      <c r="BH89" s="1076"/>
      <c r="BI89" s="1420"/>
      <c r="BJ89" s="1368"/>
      <c r="BK89" s="1368"/>
      <c r="BL89" s="1368"/>
      <c r="BM89" s="1368"/>
      <c r="BN89" s="1075"/>
      <c r="BO89" s="1076"/>
      <c r="BP89" s="1076"/>
      <c r="BQ89" s="1076"/>
      <c r="BR89" s="1076"/>
      <c r="BS89" s="1115"/>
      <c r="BT89" s="1076"/>
      <c r="BU89" s="1076"/>
      <c r="BV89" s="1076"/>
      <c r="BW89" s="1116"/>
      <c r="BX89" s="1115"/>
      <c r="BY89" s="1076"/>
      <c r="BZ89" s="1076"/>
      <c r="CA89" s="1076"/>
      <c r="CB89" s="1116"/>
      <c r="CC89" s="1117"/>
      <c r="CD89" s="1376"/>
      <c r="CE89" s="1377"/>
      <c r="CF89" s="1377"/>
      <c r="CG89" s="1377"/>
      <c r="CH89" s="1440"/>
      <c r="CI89" s="1420"/>
      <c r="CJ89" s="1368"/>
      <c r="CK89" s="1368"/>
      <c r="CL89" s="1368"/>
      <c r="CM89" s="1369"/>
      <c r="CN89" s="1420"/>
      <c r="CO89" s="1368"/>
      <c r="CP89" s="1368"/>
      <c r="CQ89" s="1368"/>
      <c r="CR89" s="1369"/>
      <c r="CS89" s="1420"/>
      <c r="CT89" s="1368"/>
      <c r="CU89" s="1368"/>
      <c r="CV89" s="1368"/>
      <c r="CW89" s="1369"/>
      <c r="CX89" s="1420"/>
      <c r="CY89" s="1368"/>
      <c r="CZ89" s="1368"/>
      <c r="DA89" s="1368"/>
      <c r="DB89" s="1369"/>
      <c r="DC89" s="1368"/>
      <c r="DD89" s="1368"/>
      <c r="DE89" s="1368"/>
      <c r="DF89" s="1368"/>
      <c r="DG89" s="1369"/>
      <c r="DH89" s="1420"/>
      <c r="DI89" s="1368"/>
      <c r="DJ89" s="1368"/>
      <c r="DK89" s="1368"/>
      <c r="DL89" s="1369"/>
      <c r="DM89" s="1808"/>
      <c r="DN89" s="1809"/>
      <c r="DO89" s="1809"/>
      <c r="DP89" s="1810"/>
      <c r="DQ89" s="1809"/>
      <c r="DR89" s="1809"/>
      <c r="DS89" s="1809"/>
      <c r="DT89" s="1810"/>
      <c r="DU89" s="1377"/>
      <c r="DV89" s="1729"/>
      <c r="DW89" s="1811"/>
    </row>
    <row r="90" spans="1:127" s="397" customFormat="1" ht="15.75" hidden="1" customHeight="1">
      <c r="A90" s="1097" t="s">
        <v>1064</v>
      </c>
      <c r="B90" s="1057">
        <v>81</v>
      </c>
      <c r="C90" s="1018"/>
      <c r="D90" s="1018"/>
      <c r="E90" s="1018"/>
      <c r="F90" s="1018"/>
      <c r="G90" s="1018"/>
      <c r="H90" s="1018"/>
      <c r="I90" s="1018"/>
      <c r="J90" s="1018"/>
      <c r="K90" s="1018"/>
      <c r="L90" s="1018"/>
      <c r="M90" s="1057"/>
      <c r="N90" s="1018"/>
      <c r="O90" s="1018"/>
      <c r="P90" s="1018"/>
      <c r="Q90" s="1018"/>
      <c r="R90" s="1018"/>
      <c r="S90" s="1018"/>
      <c r="T90" s="1019"/>
      <c r="U90" s="1098" t="s">
        <v>4814</v>
      </c>
      <c r="V90" s="1099" t="s">
        <v>2197</v>
      </c>
      <c r="W90" s="1099" t="s">
        <v>1907</v>
      </c>
      <c r="X90" s="1100" t="s">
        <v>4815</v>
      </c>
      <c r="Y90" s="1101" t="s">
        <v>4816</v>
      </c>
      <c r="Z90" s="1102" t="s">
        <v>4817</v>
      </c>
      <c r="AA90" s="1103" t="s">
        <v>1942</v>
      </c>
      <c r="AB90" s="1104">
        <v>1</v>
      </c>
      <c r="AC90" s="1104" t="s">
        <v>1942</v>
      </c>
      <c r="AD90" s="1104" t="s">
        <v>1942</v>
      </c>
      <c r="AE90" s="1104" t="s">
        <v>1942</v>
      </c>
      <c r="AF90" s="1104" t="s">
        <v>1942</v>
      </c>
      <c r="AG90" s="1104" t="s">
        <v>1942</v>
      </c>
      <c r="AH90" s="1104" t="s">
        <v>1942</v>
      </c>
      <c r="AI90" s="1105">
        <f t="shared" si="1"/>
        <v>1</v>
      </c>
      <c r="AJ90" s="1106" t="s">
        <v>1007</v>
      </c>
      <c r="AK90" s="1106" t="s">
        <v>1942</v>
      </c>
      <c r="AL90" s="1106" t="s">
        <v>1942</v>
      </c>
      <c r="AM90" s="1107" t="s">
        <v>1910</v>
      </c>
      <c r="AN90" s="1018"/>
      <c r="AO90" s="1018"/>
      <c r="AP90" s="1313">
        <v>0</v>
      </c>
      <c r="AQ90" s="1108" t="s">
        <v>1020</v>
      </c>
      <c r="AR90" s="1109" t="s">
        <v>1942</v>
      </c>
      <c r="AS90" s="1110"/>
      <c r="AT90" s="1100"/>
      <c r="AU90" s="1100"/>
      <c r="AV90" s="1100"/>
      <c r="AW90" s="1111"/>
      <c r="AX90" s="1112"/>
      <c r="AY90" s="1075"/>
      <c r="AZ90" s="1076"/>
      <c r="BA90" s="1076"/>
      <c r="BB90" s="1076"/>
      <c r="BC90" s="1076"/>
      <c r="BD90" s="1076"/>
      <c r="BE90" s="1076"/>
      <c r="BF90" s="1076"/>
      <c r="BG90" s="1076"/>
      <c r="BH90" s="1076"/>
      <c r="BI90" s="1420"/>
      <c r="BJ90" s="1368"/>
      <c r="BK90" s="1368"/>
      <c r="BL90" s="1368"/>
      <c r="BM90" s="1368"/>
      <c r="BN90" s="1075"/>
      <c r="BO90" s="1076"/>
      <c r="BP90" s="1076"/>
      <c r="BQ90" s="1076"/>
      <c r="BR90" s="1076"/>
      <c r="BS90" s="1115"/>
      <c r="BT90" s="1076"/>
      <c r="BU90" s="1076"/>
      <c r="BV90" s="1076"/>
      <c r="BW90" s="1116"/>
      <c r="BX90" s="1115"/>
      <c r="BY90" s="1076"/>
      <c r="BZ90" s="1076"/>
      <c r="CA90" s="1076"/>
      <c r="CB90" s="1116"/>
      <c r="CC90" s="1117"/>
      <c r="CD90" s="1376"/>
      <c r="CE90" s="1377"/>
      <c r="CF90" s="1377"/>
      <c r="CG90" s="1377"/>
      <c r="CH90" s="1440"/>
      <c r="CI90" s="1420"/>
      <c r="CJ90" s="1368"/>
      <c r="CK90" s="1368"/>
      <c r="CL90" s="1368"/>
      <c r="CM90" s="1369"/>
      <c r="CN90" s="1420"/>
      <c r="CO90" s="1368"/>
      <c r="CP90" s="1368"/>
      <c r="CQ90" s="1368"/>
      <c r="CR90" s="1369"/>
      <c r="CS90" s="1420"/>
      <c r="CT90" s="1368"/>
      <c r="CU90" s="1368"/>
      <c r="CV90" s="1368"/>
      <c r="CW90" s="1369"/>
      <c r="CX90" s="1420"/>
      <c r="CY90" s="1368"/>
      <c r="CZ90" s="1368"/>
      <c r="DA90" s="1368"/>
      <c r="DB90" s="1369"/>
      <c r="DC90" s="1368"/>
      <c r="DD90" s="1368"/>
      <c r="DE90" s="1368"/>
      <c r="DF90" s="1368"/>
      <c r="DG90" s="1369"/>
      <c r="DH90" s="1420"/>
      <c r="DI90" s="1368"/>
      <c r="DJ90" s="1368"/>
      <c r="DK90" s="1368"/>
      <c r="DL90" s="1369"/>
      <c r="DM90" s="1808"/>
      <c r="DN90" s="1809"/>
      <c r="DO90" s="1809"/>
      <c r="DP90" s="1810"/>
      <c r="DQ90" s="1809"/>
      <c r="DR90" s="1809"/>
      <c r="DS90" s="1809"/>
      <c r="DT90" s="1810"/>
      <c r="DU90" s="1377"/>
      <c r="DV90" s="1729"/>
      <c r="DW90" s="1811"/>
    </row>
    <row r="91" spans="1:127" s="397" customFormat="1" ht="15.75" hidden="1" customHeight="1">
      <c r="A91" s="1097" t="s">
        <v>1064</v>
      </c>
      <c r="B91" s="1057">
        <v>82</v>
      </c>
      <c r="C91" s="1018"/>
      <c r="D91" s="1018"/>
      <c r="E91" s="1018"/>
      <c r="F91" s="1018"/>
      <c r="G91" s="1018"/>
      <c r="H91" s="1018"/>
      <c r="I91" s="1018"/>
      <c r="J91" s="1018"/>
      <c r="K91" s="1018"/>
      <c r="L91" s="1018"/>
      <c r="M91" s="1057"/>
      <c r="N91" s="1018"/>
      <c r="O91" s="1018"/>
      <c r="P91" s="1018"/>
      <c r="Q91" s="1018"/>
      <c r="R91" s="1018"/>
      <c r="S91" s="1018"/>
      <c r="T91" s="1019"/>
      <c r="U91" s="1098" t="s">
        <v>2239</v>
      </c>
      <c r="V91" s="1099" t="s">
        <v>2240</v>
      </c>
      <c r="W91" s="1099" t="s">
        <v>1907</v>
      </c>
      <c r="X91" s="1100" t="s">
        <v>2241</v>
      </c>
      <c r="Y91" s="1101" t="s">
        <v>1931</v>
      </c>
      <c r="Z91" s="1102" t="s">
        <v>2242</v>
      </c>
      <c r="AA91" s="1103" t="s">
        <v>1942</v>
      </c>
      <c r="AB91" s="1104" t="s">
        <v>1942</v>
      </c>
      <c r="AC91" s="1104" t="s">
        <v>1942</v>
      </c>
      <c r="AD91" s="1104" t="s">
        <v>1942</v>
      </c>
      <c r="AE91" s="1104">
        <v>1</v>
      </c>
      <c r="AF91" s="1104" t="s">
        <v>1942</v>
      </c>
      <c r="AG91" s="1104" t="s">
        <v>1942</v>
      </c>
      <c r="AH91" s="1104" t="s">
        <v>1942</v>
      </c>
      <c r="AI91" s="1105">
        <f t="shared" si="1"/>
        <v>1</v>
      </c>
      <c r="AJ91" s="1106" t="s">
        <v>1030</v>
      </c>
      <c r="AK91" s="1106" t="s">
        <v>1008</v>
      </c>
      <c r="AL91" s="1106" t="s">
        <v>1009</v>
      </c>
      <c r="AM91" s="1107" t="s">
        <v>1069</v>
      </c>
      <c r="AN91" s="1018" t="s">
        <v>1081</v>
      </c>
      <c r="AO91" s="1018" t="s">
        <v>2038</v>
      </c>
      <c r="AP91" s="1070">
        <v>2</v>
      </c>
      <c r="AQ91" s="1108" t="s">
        <v>1010</v>
      </c>
      <c r="AR91" s="1109" t="s">
        <v>1931</v>
      </c>
      <c r="AS91" s="1110"/>
      <c r="AT91" s="1100"/>
      <c r="AU91" s="1100"/>
      <c r="AV91" s="1100"/>
      <c r="AW91" s="1111"/>
      <c r="AX91" s="1142"/>
      <c r="AY91" s="1075"/>
      <c r="AZ91" s="1076"/>
      <c r="BA91" s="1076"/>
      <c r="BB91" s="1076"/>
      <c r="BC91" s="1076"/>
      <c r="BD91" s="1076"/>
      <c r="BE91" s="1076"/>
      <c r="BF91" s="1076"/>
      <c r="BG91" s="1076"/>
      <c r="BH91" s="1076"/>
      <c r="BI91" s="1147" t="s">
        <v>1942</v>
      </c>
      <c r="BJ91" s="1148" t="s">
        <v>1942</v>
      </c>
      <c r="BK91" s="1148" t="s">
        <v>1942</v>
      </c>
      <c r="BL91" s="1148" t="s">
        <v>1942</v>
      </c>
      <c r="BM91" s="1148" t="s">
        <v>1942</v>
      </c>
      <c r="BN91" s="1075"/>
      <c r="BO91" s="1076"/>
      <c r="BP91" s="1076"/>
      <c r="BQ91" s="1076"/>
      <c r="BR91" s="1076"/>
      <c r="BS91" s="1115"/>
      <c r="BT91" s="1076"/>
      <c r="BU91" s="1076"/>
      <c r="BV91" s="1076"/>
      <c r="BW91" s="1116"/>
      <c r="BX91" s="1115"/>
      <c r="BY91" s="1076"/>
      <c r="BZ91" s="1076"/>
      <c r="CA91" s="1076"/>
      <c r="CB91" s="1116"/>
      <c r="CC91" s="1117"/>
      <c r="CD91" s="1118" t="s">
        <v>168</v>
      </c>
      <c r="CE91" s="1119" t="s">
        <v>168</v>
      </c>
      <c r="CF91" s="1119" t="s">
        <v>168</v>
      </c>
      <c r="CG91" s="1119" t="s">
        <v>168</v>
      </c>
      <c r="CH91" s="1120" t="s">
        <v>168</v>
      </c>
      <c r="CI91" s="1075" t="s">
        <v>1942</v>
      </c>
      <c r="CJ91" s="1076" t="s">
        <v>1942</v>
      </c>
      <c r="CK91" s="1076" t="s">
        <v>1942</v>
      </c>
      <c r="CL91" s="1076" t="s">
        <v>1942</v>
      </c>
      <c r="CM91" s="1117" t="s">
        <v>1942</v>
      </c>
      <c r="CN91" s="1075" t="s">
        <v>1942</v>
      </c>
      <c r="CO91" s="1076" t="s">
        <v>1942</v>
      </c>
      <c r="CP91" s="1076" t="s">
        <v>1942</v>
      </c>
      <c r="CQ91" s="1076" t="s">
        <v>1942</v>
      </c>
      <c r="CR91" s="1117" t="s">
        <v>1942</v>
      </c>
      <c r="CS91" s="1075" t="s">
        <v>1942</v>
      </c>
      <c r="CT91" s="1076" t="s">
        <v>1942</v>
      </c>
      <c r="CU91" s="1076" t="s">
        <v>1942</v>
      </c>
      <c r="CV91" s="1076" t="s">
        <v>1942</v>
      </c>
      <c r="CW91" s="1117" t="s">
        <v>1942</v>
      </c>
      <c r="CX91" s="1075" t="s">
        <v>1942</v>
      </c>
      <c r="CY91" s="1076" t="s">
        <v>1942</v>
      </c>
      <c r="CZ91" s="1076" t="s">
        <v>1942</v>
      </c>
      <c r="DA91" s="1076" t="s">
        <v>1942</v>
      </c>
      <c r="DB91" s="1117" t="s">
        <v>1942</v>
      </c>
      <c r="DC91" s="1076" t="s">
        <v>1942</v>
      </c>
      <c r="DD91" s="1076" t="s">
        <v>1942</v>
      </c>
      <c r="DE91" s="1076" t="s">
        <v>1942</v>
      </c>
      <c r="DF91" s="1076" t="s">
        <v>1942</v>
      </c>
      <c r="DG91" s="1117" t="s">
        <v>1942</v>
      </c>
      <c r="DH91" s="1075" t="s">
        <v>1942</v>
      </c>
      <c r="DI91" s="1076" t="s">
        <v>1942</v>
      </c>
      <c r="DJ91" s="1076" t="s">
        <v>1942</v>
      </c>
      <c r="DK91" s="1076" t="s">
        <v>1942</v>
      </c>
      <c r="DL91" s="1117" t="s">
        <v>1942</v>
      </c>
      <c r="DM91" s="1121" t="s">
        <v>1942</v>
      </c>
      <c r="DN91" s="1122" t="s">
        <v>1942</v>
      </c>
      <c r="DO91" s="1122" t="s">
        <v>1942</v>
      </c>
      <c r="DP91" s="1123" t="s">
        <v>1942</v>
      </c>
      <c r="DQ91" s="1122" t="s">
        <v>1942</v>
      </c>
      <c r="DR91" s="1122" t="s">
        <v>1942</v>
      </c>
      <c r="DS91" s="1122" t="s">
        <v>1942</v>
      </c>
      <c r="DT91" s="1123" t="s">
        <v>1942</v>
      </c>
      <c r="DU91" s="1119" t="s">
        <v>1942</v>
      </c>
      <c r="DV91" s="1124">
        <v>1</v>
      </c>
      <c r="DW91" s="1125" t="s">
        <v>1942</v>
      </c>
    </row>
    <row r="92" spans="1:127" s="397" customFormat="1" ht="15.75" hidden="1" customHeight="1">
      <c r="A92" s="1097" t="s">
        <v>1064</v>
      </c>
      <c r="B92" s="1057">
        <v>83</v>
      </c>
      <c r="C92" s="1018"/>
      <c r="D92" s="1018"/>
      <c r="E92" s="1018"/>
      <c r="F92" s="1018"/>
      <c r="G92" s="1018"/>
      <c r="H92" s="1018"/>
      <c r="I92" s="1018"/>
      <c r="J92" s="1018"/>
      <c r="K92" s="1018"/>
      <c r="L92" s="1018"/>
      <c r="M92" s="1057"/>
      <c r="N92" s="1018"/>
      <c r="O92" s="1018"/>
      <c r="P92" s="1018"/>
      <c r="Q92" s="1018"/>
      <c r="R92" s="1018"/>
      <c r="S92" s="1018"/>
      <c r="T92" s="1019"/>
      <c r="U92" s="1098" t="s">
        <v>2243</v>
      </c>
      <c r="V92" s="1099" t="s">
        <v>2240</v>
      </c>
      <c r="W92" s="1099" t="s">
        <v>1907</v>
      </c>
      <c r="X92" s="1100" t="s">
        <v>2244</v>
      </c>
      <c r="Y92" s="1101" t="s">
        <v>1935</v>
      </c>
      <c r="Z92" s="1102" t="s">
        <v>2245</v>
      </c>
      <c r="AA92" s="1103" t="s">
        <v>1942</v>
      </c>
      <c r="AB92" s="1104">
        <v>1</v>
      </c>
      <c r="AC92" s="1104" t="s">
        <v>1942</v>
      </c>
      <c r="AD92" s="1104" t="s">
        <v>1942</v>
      </c>
      <c r="AE92" s="1104" t="s">
        <v>1942</v>
      </c>
      <c r="AF92" s="1104" t="s">
        <v>1942</v>
      </c>
      <c r="AG92" s="1104" t="s">
        <v>1942</v>
      </c>
      <c r="AH92" s="1104" t="s">
        <v>1942</v>
      </c>
      <c r="AI92" s="1105">
        <f t="shared" si="1"/>
        <v>1</v>
      </c>
      <c r="AJ92" s="1106" t="s">
        <v>1030</v>
      </c>
      <c r="AK92" s="1106" t="s">
        <v>1008</v>
      </c>
      <c r="AL92" s="1106" t="s">
        <v>1009</v>
      </c>
      <c r="AM92" s="1107" t="s">
        <v>1073</v>
      </c>
      <c r="AN92" s="1018" t="s">
        <v>1081</v>
      </c>
      <c r="AO92" s="1018" t="s">
        <v>427</v>
      </c>
      <c r="AP92" s="833">
        <v>2</v>
      </c>
      <c r="AQ92" s="1076" t="s">
        <v>1010</v>
      </c>
      <c r="AR92" s="1109" t="s">
        <v>1935</v>
      </c>
      <c r="AS92" s="1110"/>
      <c r="AT92" s="1100"/>
      <c r="AU92" s="1100"/>
      <c r="AV92" s="1100"/>
      <c r="AW92" s="1111"/>
      <c r="AX92" s="1142"/>
      <c r="AY92" s="1075"/>
      <c r="AZ92" s="1076"/>
      <c r="BA92" s="1076"/>
      <c r="BB92" s="1076"/>
      <c r="BC92" s="1076"/>
      <c r="BD92" s="1076"/>
      <c r="BE92" s="1076"/>
      <c r="BF92" s="1076"/>
      <c r="BG92" s="1076"/>
      <c r="BH92" s="1076"/>
      <c r="BI92" s="1075" t="s">
        <v>1942</v>
      </c>
      <c r="BJ92" s="1076" t="s">
        <v>1942</v>
      </c>
      <c r="BK92" s="1076" t="s">
        <v>1942</v>
      </c>
      <c r="BL92" s="1076" t="s">
        <v>1942</v>
      </c>
      <c r="BM92" s="1076" t="s">
        <v>1942</v>
      </c>
      <c r="BN92" s="1075"/>
      <c r="BO92" s="1076"/>
      <c r="BP92" s="1076"/>
      <c r="BQ92" s="1076"/>
      <c r="BR92" s="1076"/>
      <c r="BS92" s="1115"/>
      <c r="BT92" s="1076"/>
      <c r="BU92" s="1076"/>
      <c r="BV92" s="1076"/>
      <c r="BW92" s="1116"/>
      <c r="BX92" s="1115"/>
      <c r="BY92" s="1076"/>
      <c r="BZ92" s="1076"/>
      <c r="CA92" s="1076"/>
      <c r="CB92" s="1116"/>
      <c r="CC92" s="1117"/>
      <c r="CD92" s="1118" t="s">
        <v>168</v>
      </c>
      <c r="CE92" s="1119" t="s">
        <v>168</v>
      </c>
      <c r="CF92" s="1119" t="s">
        <v>168</v>
      </c>
      <c r="CG92" s="1119" t="s">
        <v>168</v>
      </c>
      <c r="CH92" s="1120" t="s">
        <v>168</v>
      </c>
      <c r="CI92" s="1075" t="s">
        <v>1942</v>
      </c>
      <c r="CJ92" s="1076" t="s">
        <v>1942</v>
      </c>
      <c r="CK92" s="1076" t="s">
        <v>1942</v>
      </c>
      <c r="CL92" s="1076" t="s">
        <v>1942</v>
      </c>
      <c r="CM92" s="1117" t="s">
        <v>1942</v>
      </c>
      <c r="CN92" s="1075" t="s">
        <v>1942</v>
      </c>
      <c r="CO92" s="1076" t="s">
        <v>1942</v>
      </c>
      <c r="CP92" s="1076" t="s">
        <v>1942</v>
      </c>
      <c r="CQ92" s="1076" t="s">
        <v>1942</v>
      </c>
      <c r="CR92" s="1117" t="s">
        <v>1942</v>
      </c>
      <c r="CS92" s="1075" t="s">
        <v>1942</v>
      </c>
      <c r="CT92" s="1076" t="s">
        <v>1942</v>
      </c>
      <c r="CU92" s="1076" t="s">
        <v>1942</v>
      </c>
      <c r="CV92" s="1076" t="s">
        <v>1942</v>
      </c>
      <c r="CW92" s="1117" t="s">
        <v>1942</v>
      </c>
      <c r="CX92" s="1075" t="s">
        <v>1942</v>
      </c>
      <c r="CY92" s="1076" t="s">
        <v>1942</v>
      </c>
      <c r="CZ92" s="1076" t="s">
        <v>1942</v>
      </c>
      <c r="DA92" s="1076" t="s">
        <v>1942</v>
      </c>
      <c r="DB92" s="1117" t="s">
        <v>1942</v>
      </c>
      <c r="DC92" s="1076" t="s">
        <v>1942</v>
      </c>
      <c r="DD92" s="1076" t="s">
        <v>1942</v>
      </c>
      <c r="DE92" s="1076" t="s">
        <v>1942</v>
      </c>
      <c r="DF92" s="1076" t="s">
        <v>1942</v>
      </c>
      <c r="DG92" s="1117" t="s">
        <v>1942</v>
      </c>
      <c r="DH92" s="1075" t="s">
        <v>1942</v>
      </c>
      <c r="DI92" s="1076" t="s">
        <v>1942</v>
      </c>
      <c r="DJ92" s="1076" t="s">
        <v>1942</v>
      </c>
      <c r="DK92" s="1076" t="s">
        <v>1942</v>
      </c>
      <c r="DL92" s="1117" t="s">
        <v>1942</v>
      </c>
      <c r="DM92" s="1121" t="s">
        <v>1942</v>
      </c>
      <c r="DN92" s="1122" t="s">
        <v>1942</v>
      </c>
      <c r="DO92" s="1122" t="s">
        <v>1942</v>
      </c>
      <c r="DP92" s="1123" t="s">
        <v>1942</v>
      </c>
      <c r="DQ92" s="1122" t="s">
        <v>1942</v>
      </c>
      <c r="DR92" s="1122" t="s">
        <v>1942</v>
      </c>
      <c r="DS92" s="1122" t="s">
        <v>1942</v>
      </c>
      <c r="DT92" s="1123" t="s">
        <v>1942</v>
      </c>
      <c r="DU92" s="1119" t="s">
        <v>1942</v>
      </c>
      <c r="DV92" s="1124">
        <v>1</v>
      </c>
      <c r="DW92" s="1125" t="s">
        <v>1942</v>
      </c>
    </row>
    <row r="93" spans="1:127" s="397" customFormat="1" ht="15.75" hidden="1" customHeight="1">
      <c r="A93" s="1097" t="s">
        <v>1064</v>
      </c>
      <c r="B93" s="1057">
        <v>84</v>
      </c>
      <c r="C93" s="1018"/>
      <c r="D93" s="1018"/>
      <c r="E93" s="1018"/>
      <c r="F93" s="1018"/>
      <c r="G93" s="1018"/>
      <c r="H93" s="1018"/>
      <c r="I93" s="1018"/>
      <c r="J93" s="1018"/>
      <c r="K93" s="1018"/>
      <c r="L93" s="1018"/>
      <c r="M93" s="1057"/>
      <c r="N93" s="1018"/>
      <c r="O93" s="1018"/>
      <c r="P93" s="1018"/>
      <c r="Q93" s="1018"/>
      <c r="R93" s="1018"/>
      <c r="S93" s="1018"/>
      <c r="T93" s="1019"/>
      <c r="U93" s="1098" t="s">
        <v>2246</v>
      </c>
      <c r="V93" s="1099" t="s">
        <v>2240</v>
      </c>
      <c r="W93" s="1099" t="s">
        <v>1896</v>
      </c>
      <c r="X93" s="1100" t="s">
        <v>2247</v>
      </c>
      <c r="Y93" s="1101" t="s">
        <v>4818</v>
      </c>
      <c r="Z93" s="1102" t="s">
        <v>2249</v>
      </c>
      <c r="AA93" s="1103" t="s">
        <v>1942</v>
      </c>
      <c r="AB93" s="1104" t="s">
        <v>1942</v>
      </c>
      <c r="AC93" s="1104" t="s">
        <v>1942</v>
      </c>
      <c r="AD93" s="1104" t="s">
        <v>1942</v>
      </c>
      <c r="AE93" s="1104">
        <v>1</v>
      </c>
      <c r="AF93" s="1104" t="s">
        <v>1942</v>
      </c>
      <c r="AG93" s="1104" t="s">
        <v>1942</v>
      </c>
      <c r="AH93" s="1104" t="s">
        <v>1942</v>
      </c>
      <c r="AI93" s="1105">
        <f t="shared" si="1"/>
        <v>1</v>
      </c>
      <c r="AJ93" s="1106" t="s">
        <v>1007</v>
      </c>
      <c r="AK93" s="1106" t="s">
        <v>1942</v>
      </c>
      <c r="AL93" s="1106" t="s">
        <v>1942</v>
      </c>
      <c r="AM93" s="1107" t="s">
        <v>2117</v>
      </c>
      <c r="AN93" s="1018" t="s">
        <v>278</v>
      </c>
      <c r="AO93" s="1018" t="s">
        <v>2250</v>
      </c>
      <c r="AP93" s="833">
        <v>0</v>
      </c>
      <c r="AQ93" s="1076" t="s">
        <v>1020</v>
      </c>
      <c r="AR93" s="1109" t="s">
        <v>1942</v>
      </c>
      <c r="AS93" s="1110"/>
      <c r="AT93" s="1100"/>
      <c r="AU93" s="1100"/>
      <c r="AV93" s="1100"/>
      <c r="AW93" s="1111"/>
      <c r="AX93" s="1142"/>
      <c r="AY93" s="1075"/>
      <c r="AZ93" s="1076"/>
      <c r="BA93" s="1076"/>
      <c r="BB93" s="1076"/>
      <c r="BC93" s="1076"/>
      <c r="BD93" s="1076"/>
      <c r="BE93" s="1076"/>
      <c r="BF93" s="1076"/>
      <c r="BG93" s="1076"/>
      <c r="BH93" s="1076"/>
      <c r="BI93" s="1420"/>
      <c r="BJ93" s="1368"/>
      <c r="BK93" s="1368"/>
      <c r="BL93" s="1368"/>
      <c r="BM93" s="1368"/>
      <c r="BN93" s="1075"/>
      <c r="BO93" s="1076"/>
      <c r="BP93" s="1076"/>
      <c r="BQ93" s="1076"/>
      <c r="BR93" s="1076"/>
      <c r="BS93" s="1115"/>
      <c r="BT93" s="1076"/>
      <c r="BU93" s="1076"/>
      <c r="BV93" s="1076"/>
      <c r="BW93" s="1116"/>
      <c r="BX93" s="1115"/>
      <c r="BY93" s="1076"/>
      <c r="BZ93" s="1076"/>
      <c r="CA93" s="1076"/>
      <c r="CB93" s="1116"/>
      <c r="CC93" s="1117"/>
      <c r="CD93" s="1376"/>
      <c r="CE93" s="1377"/>
      <c r="CF93" s="1377"/>
      <c r="CG93" s="1377"/>
      <c r="CH93" s="1440"/>
      <c r="CI93" s="1420"/>
      <c r="CJ93" s="1368"/>
      <c r="CK93" s="1368"/>
      <c r="CL93" s="1368"/>
      <c r="CM93" s="1369"/>
      <c r="CN93" s="1420"/>
      <c r="CO93" s="1368"/>
      <c r="CP93" s="1368"/>
      <c r="CQ93" s="1368"/>
      <c r="CR93" s="1369"/>
      <c r="CS93" s="1420"/>
      <c r="CT93" s="1368"/>
      <c r="CU93" s="1368"/>
      <c r="CV93" s="1368"/>
      <c r="CW93" s="1369"/>
      <c r="CX93" s="1420"/>
      <c r="CY93" s="1368"/>
      <c r="CZ93" s="1368"/>
      <c r="DA93" s="1368"/>
      <c r="DB93" s="1369"/>
      <c r="DC93" s="1368"/>
      <c r="DD93" s="1368"/>
      <c r="DE93" s="1368"/>
      <c r="DF93" s="1368"/>
      <c r="DG93" s="1368"/>
      <c r="DH93" s="1420"/>
      <c r="DI93" s="1368"/>
      <c r="DJ93" s="1368"/>
      <c r="DK93" s="1368"/>
      <c r="DL93" s="1369"/>
      <c r="DM93" s="1808"/>
      <c r="DN93" s="1809"/>
      <c r="DO93" s="1809"/>
      <c r="DP93" s="1810"/>
      <c r="DQ93" s="1809"/>
      <c r="DR93" s="1809"/>
      <c r="DS93" s="1809"/>
      <c r="DT93" s="1810"/>
      <c r="DU93" s="1377"/>
      <c r="DV93" s="1729"/>
      <c r="DW93" s="1811"/>
    </row>
    <row r="94" spans="1:127" s="397" customFormat="1" ht="15.75" hidden="1" customHeight="1">
      <c r="A94" s="1097" t="s">
        <v>1064</v>
      </c>
      <c r="B94" s="1057">
        <v>85</v>
      </c>
      <c r="C94" s="1018"/>
      <c r="D94" s="1018"/>
      <c r="E94" s="1018"/>
      <c r="F94" s="1018"/>
      <c r="G94" s="1018"/>
      <c r="H94" s="1018"/>
      <c r="I94" s="1018"/>
      <c r="J94" s="1018"/>
      <c r="K94" s="1018"/>
      <c r="L94" s="1018"/>
      <c r="M94" s="1057"/>
      <c r="N94" s="1018"/>
      <c r="O94" s="1018"/>
      <c r="P94" s="1018"/>
      <c r="Q94" s="1018"/>
      <c r="R94" s="1018"/>
      <c r="S94" s="1018"/>
      <c r="T94" s="1019"/>
      <c r="U94" s="1098" t="s">
        <v>2251</v>
      </c>
      <c r="V94" s="1099" t="s">
        <v>2240</v>
      </c>
      <c r="W94" s="1099" t="s">
        <v>1896</v>
      </c>
      <c r="X94" s="1100" t="s">
        <v>2252</v>
      </c>
      <c r="Y94" s="1101" t="s">
        <v>2253</v>
      </c>
      <c r="Z94" s="1102" t="s">
        <v>2254</v>
      </c>
      <c r="AA94" s="1103" t="s">
        <v>1942</v>
      </c>
      <c r="AB94" s="1104" t="s">
        <v>1942</v>
      </c>
      <c r="AC94" s="1104" t="s">
        <v>1942</v>
      </c>
      <c r="AD94" s="1104" t="s">
        <v>1942</v>
      </c>
      <c r="AE94" s="1104">
        <v>1</v>
      </c>
      <c r="AF94" s="1104" t="s">
        <v>1942</v>
      </c>
      <c r="AG94" s="1104" t="s">
        <v>1942</v>
      </c>
      <c r="AH94" s="1104" t="s">
        <v>1942</v>
      </c>
      <c r="AI94" s="1105">
        <f t="shared" si="1"/>
        <v>1</v>
      </c>
      <c r="AJ94" s="1106" t="s">
        <v>1007</v>
      </c>
      <c r="AK94" s="1106" t="s">
        <v>1942</v>
      </c>
      <c r="AL94" s="1106" t="s">
        <v>1942</v>
      </c>
      <c r="AM94" s="1107" t="s">
        <v>2117</v>
      </c>
      <c r="AN94" s="1018" t="s">
        <v>278</v>
      </c>
      <c r="AO94" s="1018" t="s">
        <v>2255</v>
      </c>
      <c r="AP94" s="833">
        <v>0</v>
      </c>
      <c r="AQ94" s="1076" t="s">
        <v>1010</v>
      </c>
      <c r="AR94" s="1109" t="s">
        <v>1942</v>
      </c>
      <c r="AS94" s="1110"/>
      <c r="AT94" s="1100"/>
      <c r="AU94" s="1100"/>
      <c r="AV94" s="1100"/>
      <c r="AW94" s="1111"/>
      <c r="AX94" s="1142"/>
      <c r="AY94" s="1075"/>
      <c r="AZ94" s="1076"/>
      <c r="BA94" s="1076"/>
      <c r="BB94" s="1076"/>
      <c r="BC94" s="1076"/>
      <c r="BD94" s="1076"/>
      <c r="BE94" s="1076"/>
      <c r="BF94" s="1076"/>
      <c r="BG94" s="1076"/>
      <c r="BH94" s="1076"/>
      <c r="BI94" s="1420"/>
      <c r="BJ94" s="1368"/>
      <c r="BK94" s="1368"/>
      <c r="BL94" s="1368"/>
      <c r="BM94" s="1368"/>
      <c r="BN94" s="1075"/>
      <c r="BO94" s="1076"/>
      <c r="BP94" s="1076"/>
      <c r="BQ94" s="1076"/>
      <c r="BR94" s="1076"/>
      <c r="BS94" s="1115"/>
      <c r="BT94" s="1076"/>
      <c r="BU94" s="1076"/>
      <c r="BV94" s="1076"/>
      <c r="BW94" s="1116"/>
      <c r="BX94" s="1115"/>
      <c r="BY94" s="1076"/>
      <c r="BZ94" s="1076"/>
      <c r="CA94" s="1076"/>
      <c r="CB94" s="1116"/>
      <c r="CC94" s="1117"/>
      <c r="CD94" s="1376"/>
      <c r="CE94" s="1377"/>
      <c r="CF94" s="1377"/>
      <c r="CG94" s="1377"/>
      <c r="CH94" s="1440"/>
      <c r="CI94" s="1420"/>
      <c r="CJ94" s="1368"/>
      <c r="CK94" s="1368"/>
      <c r="CL94" s="1368"/>
      <c r="CM94" s="1369"/>
      <c r="CN94" s="1420"/>
      <c r="CO94" s="1368"/>
      <c r="CP94" s="1368"/>
      <c r="CQ94" s="1368"/>
      <c r="CR94" s="1369"/>
      <c r="CS94" s="1420"/>
      <c r="CT94" s="1368"/>
      <c r="CU94" s="1368"/>
      <c r="CV94" s="1368"/>
      <c r="CW94" s="1369"/>
      <c r="CX94" s="1420"/>
      <c r="CY94" s="1368"/>
      <c r="CZ94" s="1368"/>
      <c r="DA94" s="1368"/>
      <c r="DB94" s="1369"/>
      <c r="DC94" s="1368"/>
      <c r="DD94" s="1368"/>
      <c r="DE94" s="1368"/>
      <c r="DF94" s="1368"/>
      <c r="DG94" s="1369"/>
      <c r="DH94" s="1420"/>
      <c r="DI94" s="1368"/>
      <c r="DJ94" s="1368"/>
      <c r="DK94" s="1368"/>
      <c r="DL94" s="1369"/>
      <c r="DM94" s="1808"/>
      <c r="DN94" s="1809"/>
      <c r="DO94" s="1809"/>
      <c r="DP94" s="1810"/>
      <c r="DQ94" s="1809"/>
      <c r="DR94" s="1809"/>
      <c r="DS94" s="1809"/>
      <c r="DT94" s="1810"/>
      <c r="DU94" s="1377"/>
      <c r="DV94" s="1729"/>
      <c r="DW94" s="1811"/>
    </row>
    <row r="95" spans="1:127" s="397" customFormat="1" ht="15.75" hidden="1" customHeight="1">
      <c r="A95" s="1097" t="s">
        <v>1064</v>
      </c>
      <c r="B95" s="1057">
        <v>86</v>
      </c>
      <c r="C95" s="1018"/>
      <c r="D95" s="1018"/>
      <c r="E95" s="1018"/>
      <c r="F95" s="1018"/>
      <c r="G95" s="1018"/>
      <c r="H95" s="1018"/>
      <c r="I95" s="1018"/>
      <c r="J95" s="1018"/>
      <c r="K95" s="1018"/>
      <c r="L95" s="1018"/>
      <c r="M95" s="1057"/>
      <c r="N95" s="1018"/>
      <c r="O95" s="1018"/>
      <c r="P95" s="1018"/>
      <c r="Q95" s="1018"/>
      <c r="R95" s="1018"/>
      <c r="S95" s="1018"/>
      <c r="T95" s="1019"/>
      <c r="U95" s="1098" t="s">
        <v>2256</v>
      </c>
      <c r="V95" s="1099" t="s">
        <v>2240</v>
      </c>
      <c r="W95" s="1099" t="s">
        <v>1907</v>
      </c>
      <c r="X95" s="1100" t="s">
        <v>2257</v>
      </c>
      <c r="Y95" s="1101" t="s">
        <v>2258</v>
      </c>
      <c r="Z95" s="1102" t="s">
        <v>2259</v>
      </c>
      <c r="AA95" s="1103" t="s">
        <v>1942</v>
      </c>
      <c r="AB95" s="1104" t="s">
        <v>1942</v>
      </c>
      <c r="AC95" s="1104" t="s">
        <v>1942</v>
      </c>
      <c r="AD95" s="1104" t="s">
        <v>1942</v>
      </c>
      <c r="AE95" s="1104">
        <v>1</v>
      </c>
      <c r="AF95" s="1104" t="s">
        <v>1942</v>
      </c>
      <c r="AG95" s="1104" t="s">
        <v>1942</v>
      </c>
      <c r="AH95" s="1104" t="s">
        <v>1942</v>
      </c>
      <c r="AI95" s="1105">
        <f t="shared" si="1"/>
        <v>1</v>
      </c>
      <c r="AJ95" s="1106" t="s">
        <v>1007</v>
      </c>
      <c r="AK95" s="1106" t="s">
        <v>1942</v>
      </c>
      <c r="AL95" s="1106" t="s">
        <v>1942</v>
      </c>
      <c r="AM95" s="1107" t="s">
        <v>2117</v>
      </c>
      <c r="AN95" s="1018" t="s">
        <v>278</v>
      </c>
      <c r="AO95" s="1018" t="s">
        <v>2260</v>
      </c>
      <c r="AP95" s="833">
        <v>0</v>
      </c>
      <c r="AQ95" s="1076" t="s">
        <v>1010</v>
      </c>
      <c r="AR95" s="1109" t="s">
        <v>1942</v>
      </c>
      <c r="AS95" s="1110"/>
      <c r="AT95" s="1100"/>
      <c r="AU95" s="1100"/>
      <c r="AV95" s="1100"/>
      <c r="AW95" s="1111"/>
      <c r="AX95" s="1142"/>
      <c r="AY95" s="1075"/>
      <c r="AZ95" s="1076"/>
      <c r="BA95" s="1076"/>
      <c r="BB95" s="1076"/>
      <c r="BC95" s="1076"/>
      <c r="BD95" s="1076"/>
      <c r="BE95" s="1076"/>
      <c r="BF95" s="1076"/>
      <c r="BG95" s="1076"/>
      <c r="BH95" s="1076"/>
      <c r="BI95" s="1420"/>
      <c r="BJ95" s="1368"/>
      <c r="BK95" s="1368"/>
      <c r="BL95" s="1368"/>
      <c r="BM95" s="1368"/>
      <c r="BN95" s="1075"/>
      <c r="BO95" s="1076"/>
      <c r="BP95" s="1076"/>
      <c r="BQ95" s="1076"/>
      <c r="BR95" s="1076"/>
      <c r="BS95" s="1115"/>
      <c r="BT95" s="1076"/>
      <c r="BU95" s="1076"/>
      <c r="BV95" s="1076"/>
      <c r="BW95" s="1116"/>
      <c r="BX95" s="1115"/>
      <c r="BY95" s="1076"/>
      <c r="BZ95" s="1076"/>
      <c r="CA95" s="1076"/>
      <c r="CB95" s="1116"/>
      <c r="CC95" s="1117"/>
      <c r="CD95" s="1376"/>
      <c r="CE95" s="1377"/>
      <c r="CF95" s="1377"/>
      <c r="CG95" s="1377"/>
      <c r="CH95" s="1440"/>
      <c r="CI95" s="1420"/>
      <c r="CJ95" s="1368"/>
      <c r="CK95" s="1368"/>
      <c r="CL95" s="1368"/>
      <c r="CM95" s="1369"/>
      <c r="CN95" s="1420"/>
      <c r="CO95" s="1368"/>
      <c r="CP95" s="1368"/>
      <c r="CQ95" s="1368"/>
      <c r="CR95" s="1369"/>
      <c r="CS95" s="1420"/>
      <c r="CT95" s="1368"/>
      <c r="CU95" s="1368"/>
      <c r="CV95" s="1368"/>
      <c r="CW95" s="1369"/>
      <c r="CX95" s="1420"/>
      <c r="CY95" s="1368"/>
      <c r="CZ95" s="1368"/>
      <c r="DA95" s="1368"/>
      <c r="DB95" s="1369"/>
      <c r="DC95" s="1368"/>
      <c r="DD95" s="1368"/>
      <c r="DE95" s="1368"/>
      <c r="DF95" s="1368"/>
      <c r="DG95" s="1369"/>
      <c r="DH95" s="1420"/>
      <c r="DI95" s="1368"/>
      <c r="DJ95" s="1368"/>
      <c r="DK95" s="1368"/>
      <c r="DL95" s="1369"/>
      <c r="DM95" s="1808"/>
      <c r="DN95" s="1809"/>
      <c r="DO95" s="1809"/>
      <c r="DP95" s="1810"/>
      <c r="DQ95" s="1809"/>
      <c r="DR95" s="1809"/>
      <c r="DS95" s="1809"/>
      <c r="DT95" s="1810"/>
      <c r="DU95" s="1377"/>
      <c r="DV95" s="1729"/>
      <c r="DW95" s="1811"/>
    </row>
    <row r="96" spans="1:127" s="397" customFormat="1" ht="15.75" hidden="1" customHeight="1">
      <c r="A96" s="1097" t="s">
        <v>1064</v>
      </c>
      <c r="B96" s="1057">
        <v>87</v>
      </c>
      <c r="C96" s="1018"/>
      <c r="D96" s="1018"/>
      <c r="E96" s="1018"/>
      <c r="F96" s="1018"/>
      <c r="G96" s="1018"/>
      <c r="H96" s="1018"/>
      <c r="I96" s="1018"/>
      <c r="J96" s="1018"/>
      <c r="K96" s="1018"/>
      <c r="L96" s="1018"/>
      <c r="M96" s="1057"/>
      <c r="N96" s="1018"/>
      <c r="O96" s="1018"/>
      <c r="P96" s="1018"/>
      <c r="Q96" s="1018"/>
      <c r="R96" s="1018"/>
      <c r="S96" s="1018"/>
      <c r="T96" s="1019"/>
      <c r="U96" s="1098" t="s">
        <v>2261</v>
      </c>
      <c r="V96" s="1099" t="s">
        <v>2240</v>
      </c>
      <c r="W96" s="1099" t="s">
        <v>1907</v>
      </c>
      <c r="X96" s="1100" t="s">
        <v>2262</v>
      </c>
      <c r="Y96" s="1101" t="s">
        <v>2263</v>
      </c>
      <c r="Z96" s="1102" t="s">
        <v>2264</v>
      </c>
      <c r="AA96" s="1103" t="s">
        <v>1942</v>
      </c>
      <c r="AB96" s="1104" t="s">
        <v>1942</v>
      </c>
      <c r="AC96" s="1104" t="s">
        <v>1942</v>
      </c>
      <c r="AD96" s="1104" t="s">
        <v>1942</v>
      </c>
      <c r="AE96" s="1104">
        <v>1</v>
      </c>
      <c r="AF96" s="1104" t="s">
        <v>1942</v>
      </c>
      <c r="AG96" s="1104" t="s">
        <v>1942</v>
      </c>
      <c r="AH96" s="1104" t="s">
        <v>1942</v>
      </c>
      <c r="AI96" s="1105">
        <f t="shared" si="1"/>
        <v>1</v>
      </c>
      <c r="AJ96" s="1106" t="s">
        <v>1030</v>
      </c>
      <c r="AK96" s="1106" t="s">
        <v>1008</v>
      </c>
      <c r="AL96" s="1106" t="s">
        <v>1009</v>
      </c>
      <c r="AM96" s="1107" t="s">
        <v>2117</v>
      </c>
      <c r="AN96" s="1018" t="s">
        <v>278</v>
      </c>
      <c r="AO96" s="1018" t="s">
        <v>2265</v>
      </c>
      <c r="AP96" s="833">
        <v>2</v>
      </c>
      <c r="AQ96" s="1076" t="s">
        <v>1020</v>
      </c>
      <c r="AR96" s="1109" t="s">
        <v>1942</v>
      </c>
      <c r="AS96" s="1110"/>
      <c r="AT96" s="1100"/>
      <c r="AU96" s="1100"/>
      <c r="AV96" s="1100"/>
      <c r="AW96" s="1111"/>
      <c r="AX96" s="1112"/>
      <c r="AY96" s="1075"/>
      <c r="AZ96" s="1076"/>
      <c r="BA96" s="1076"/>
      <c r="BB96" s="1076"/>
      <c r="BC96" s="1076"/>
      <c r="BD96" s="1076"/>
      <c r="BE96" s="1076"/>
      <c r="BF96" s="1076"/>
      <c r="BG96" s="1076"/>
      <c r="BH96" s="1076"/>
      <c r="BI96" s="1420"/>
      <c r="BJ96" s="1368"/>
      <c r="BK96" s="1368"/>
      <c r="BL96" s="1368"/>
      <c r="BM96" s="1368"/>
      <c r="BN96" s="1075"/>
      <c r="BO96" s="1076"/>
      <c r="BP96" s="1076"/>
      <c r="BQ96" s="1076"/>
      <c r="BR96" s="1076"/>
      <c r="BS96" s="1115"/>
      <c r="BT96" s="1076"/>
      <c r="BU96" s="1076"/>
      <c r="BV96" s="1076"/>
      <c r="BW96" s="1116"/>
      <c r="BX96" s="1115"/>
      <c r="BY96" s="1076"/>
      <c r="BZ96" s="1076"/>
      <c r="CA96" s="1076"/>
      <c r="CB96" s="1116"/>
      <c r="CC96" s="1117"/>
      <c r="CD96" s="1376"/>
      <c r="CE96" s="1377"/>
      <c r="CF96" s="1377"/>
      <c r="CG96" s="1377"/>
      <c r="CH96" s="1440"/>
      <c r="CI96" s="1420"/>
      <c r="CJ96" s="1368"/>
      <c r="CK96" s="1368"/>
      <c r="CL96" s="1368"/>
      <c r="CM96" s="1369"/>
      <c r="CN96" s="1420"/>
      <c r="CO96" s="1368"/>
      <c r="CP96" s="1368"/>
      <c r="CQ96" s="1368"/>
      <c r="CR96" s="1369"/>
      <c r="CS96" s="1420"/>
      <c r="CT96" s="1368"/>
      <c r="CU96" s="1368"/>
      <c r="CV96" s="1368"/>
      <c r="CW96" s="1369"/>
      <c r="CX96" s="1420"/>
      <c r="CY96" s="1368"/>
      <c r="CZ96" s="1368"/>
      <c r="DA96" s="1368"/>
      <c r="DB96" s="1369"/>
      <c r="DC96" s="1368"/>
      <c r="DD96" s="1368"/>
      <c r="DE96" s="1368"/>
      <c r="DF96" s="1368"/>
      <c r="DG96" s="1369"/>
      <c r="DH96" s="1420"/>
      <c r="DI96" s="1368"/>
      <c r="DJ96" s="1368"/>
      <c r="DK96" s="1368"/>
      <c r="DL96" s="1369"/>
      <c r="DM96" s="1808"/>
      <c r="DN96" s="1809"/>
      <c r="DO96" s="1809"/>
      <c r="DP96" s="1810"/>
      <c r="DQ96" s="1809"/>
      <c r="DR96" s="1809"/>
      <c r="DS96" s="1809"/>
      <c r="DT96" s="1810"/>
      <c r="DU96" s="1377"/>
      <c r="DV96" s="1729"/>
      <c r="DW96" s="1811"/>
    </row>
    <row r="97" spans="1:127" s="397" customFormat="1" ht="15.75" hidden="1" customHeight="1">
      <c r="A97" s="1054" t="s">
        <v>1064</v>
      </c>
      <c r="B97" s="1055">
        <v>88</v>
      </c>
      <c r="C97" s="1143"/>
      <c r="D97" s="1143"/>
      <c r="E97" s="1143"/>
      <c r="F97" s="1143"/>
      <c r="G97" s="1143"/>
      <c r="H97" s="1143"/>
      <c r="I97" s="1143"/>
      <c r="J97" s="1143"/>
      <c r="K97" s="1143"/>
      <c r="L97" s="1143"/>
      <c r="M97" s="1055"/>
      <c r="N97" s="1143"/>
      <c r="O97" s="1143"/>
      <c r="P97" s="1143"/>
      <c r="Q97" s="1143"/>
      <c r="R97" s="1143"/>
      <c r="S97" s="1143"/>
      <c r="T97" s="1058"/>
      <c r="U97" s="1059" t="s">
        <v>2266</v>
      </c>
      <c r="V97" s="1060" t="s">
        <v>2267</v>
      </c>
      <c r="W97" s="1060" t="s">
        <v>1896</v>
      </c>
      <c r="X97" s="1061" t="s">
        <v>2268</v>
      </c>
      <c r="Y97" s="1062" t="s">
        <v>669</v>
      </c>
      <c r="Z97" s="1063" t="s">
        <v>2269</v>
      </c>
      <c r="AA97" s="1064" t="s">
        <v>1942</v>
      </c>
      <c r="AB97" s="1065">
        <v>1</v>
      </c>
      <c r="AC97" s="1065" t="s">
        <v>1942</v>
      </c>
      <c r="AD97" s="1065" t="s">
        <v>1942</v>
      </c>
      <c r="AE97" s="1065" t="s">
        <v>1942</v>
      </c>
      <c r="AF97" s="1065" t="s">
        <v>1942</v>
      </c>
      <c r="AG97" s="1065" t="s">
        <v>1942</v>
      </c>
      <c r="AH97" s="1065" t="s">
        <v>1942</v>
      </c>
      <c r="AI97" s="1066">
        <f t="shared" si="1"/>
        <v>1</v>
      </c>
      <c r="AJ97" s="1067" t="s">
        <v>1030</v>
      </c>
      <c r="AK97" s="1067" t="s">
        <v>1008</v>
      </c>
      <c r="AL97" s="1067" t="s">
        <v>1009</v>
      </c>
      <c r="AM97" s="1068" t="s">
        <v>669</v>
      </c>
      <c r="AN97" s="1062" t="s">
        <v>278</v>
      </c>
      <c r="AO97" s="1062" t="s">
        <v>4791</v>
      </c>
      <c r="AP97" s="1080">
        <v>1</v>
      </c>
      <c r="AQ97" s="833" t="s">
        <v>1010</v>
      </c>
      <c r="AR97" s="1071" t="s">
        <v>669</v>
      </c>
      <c r="AS97" s="1072"/>
      <c r="AT97" s="1061"/>
      <c r="AU97" s="1061"/>
      <c r="AV97" s="1061"/>
      <c r="AW97" s="1073"/>
      <c r="AX97" s="1074"/>
      <c r="AY97" s="1079"/>
      <c r="AZ97" s="1080"/>
      <c r="BA97" s="1080"/>
      <c r="BB97" s="1080"/>
      <c r="BC97" s="1080"/>
      <c r="BD97" s="1080"/>
      <c r="BE97" s="1080"/>
      <c r="BF97" s="1080"/>
      <c r="BG97" s="1077"/>
      <c r="BH97" s="1077"/>
      <c r="BI97" s="1078">
        <v>6.1</v>
      </c>
      <c r="BJ97" s="1077">
        <v>11.4</v>
      </c>
      <c r="BK97" s="1077">
        <v>15.8</v>
      </c>
      <c r="BL97" s="1077">
        <v>19</v>
      </c>
      <c r="BM97" s="1077">
        <v>21.2</v>
      </c>
      <c r="BN97" s="1079"/>
      <c r="BO97" s="1080"/>
      <c r="BP97" s="1080"/>
      <c r="BQ97" s="1080"/>
      <c r="BR97" s="1080"/>
      <c r="BS97" s="1081"/>
      <c r="BT97" s="1080"/>
      <c r="BU97" s="1080"/>
      <c r="BV97" s="1080"/>
      <c r="BW97" s="1082"/>
      <c r="BX97" s="1081"/>
      <c r="BY97" s="1080"/>
      <c r="BZ97" s="1080"/>
      <c r="CA97" s="1080"/>
      <c r="CB97" s="1082"/>
      <c r="CC97" s="1083"/>
      <c r="CD97" s="1084" t="s">
        <v>168</v>
      </c>
      <c r="CE97" s="1085" t="s">
        <v>168</v>
      </c>
      <c r="CF97" s="1085" t="s">
        <v>168</v>
      </c>
      <c r="CG97" s="1085" t="s">
        <v>168</v>
      </c>
      <c r="CH97" s="1086" t="s">
        <v>168</v>
      </c>
      <c r="CI97" s="1421">
        <v>-5</v>
      </c>
      <c r="CJ97" s="1373">
        <v>-5</v>
      </c>
      <c r="CK97" s="1373">
        <v>-5</v>
      </c>
      <c r="CL97" s="1373">
        <v>-5</v>
      </c>
      <c r="CM97" s="1374">
        <v>-5</v>
      </c>
      <c r="CN97" s="1421">
        <v>0</v>
      </c>
      <c r="CO97" s="1373">
        <v>0</v>
      </c>
      <c r="CP97" s="1373">
        <v>0</v>
      </c>
      <c r="CQ97" s="1373">
        <v>0</v>
      </c>
      <c r="CR97" s="1374">
        <v>0</v>
      </c>
      <c r="CS97" s="1079" t="s">
        <v>1942</v>
      </c>
      <c r="CT97" s="1080" t="s">
        <v>1942</v>
      </c>
      <c r="CU97" s="1080" t="s">
        <v>1942</v>
      </c>
      <c r="CV97" s="1080" t="s">
        <v>1942</v>
      </c>
      <c r="CW97" s="1083" t="s">
        <v>1942</v>
      </c>
      <c r="CX97" s="1079" t="s">
        <v>1942</v>
      </c>
      <c r="CY97" s="1080" t="s">
        <v>1942</v>
      </c>
      <c r="CZ97" s="1080" t="s">
        <v>1942</v>
      </c>
      <c r="DA97" s="1080" t="s">
        <v>1942</v>
      </c>
      <c r="DB97" s="1083" t="s">
        <v>1942</v>
      </c>
      <c r="DC97" s="1087">
        <v>14.8</v>
      </c>
      <c r="DD97" s="1087">
        <v>18.5</v>
      </c>
      <c r="DE97" s="1087">
        <v>22.1</v>
      </c>
      <c r="DF97" s="1087">
        <v>25.8</v>
      </c>
      <c r="DG97" s="1088">
        <v>29.4</v>
      </c>
      <c r="DH97" s="1089" t="s">
        <v>1942</v>
      </c>
      <c r="DI97" s="1080" t="s">
        <v>1942</v>
      </c>
      <c r="DJ97" s="1080" t="s">
        <v>1942</v>
      </c>
      <c r="DK97" s="1080" t="s">
        <v>1942</v>
      </c>
      <c r="DL97" s="1083" t="s">
        <v>1942</v>
      </c>
      <c r="DM97" s="2016">
        <v>-0.26200000000000001</v>
      </c>
      <c r="DN97" s="2017">
        <v>-0.191</v>
      </c>
      <c r="DO97" s="1092" t="s">
        <v>1942</v>
      </c>
      <c r="DP97" s="1093" t="s">
        <v>1942</v>
      </c>
      <c r="DQ97" s="1092">
        <v>0.16400000000000001</v>
      </c>
      <c r="DR97" s="1092" t="s">
        <v>1942</v>
      </c>
      <c r="DS97" s="1092" t="s">
        <v>1942</v>
      </c>
      <c r="DT97" s="1093" t="s">
        <v>1942</v>
      </c>
      <c r="DU97" s="1085" t="s">
        <v>1942</v>
      </c>
      <c r="DV97" s="1094">
        <v>1</v>
      </c>
      <c r="DW97" s="1095" t="s">
        <v>1942</v>
      </c>
    </row>
    <row r="98" spans="1:127" s="397" customFormat="1" ht="15.75" hidden="1" customHeight="1">
      <c r="A98" s="1054" t="s">
        <v>1064</v>
      </c>
      <c r="B98" s="1055">
        <v>89</v>
      </c>
      <c r="C98" s="1143"/>
      <c r="D98" s="1143"/>
      <c r="E98" s="1143"/>
      <c r="F98" s="1143"/>
      <c r="G98" s="1143"/>
      <c r="H98" s="1143"/>
      <c r="I98" s="1143"/>
      <c r="J98" s="1143"/>
      <c r="K98" s="1143"/>
      <c r="L98" s="1143"/>
      <c r="M98" s="1055"/>
      <c r="N98" s="1143"/>
      <c r="O98" s="1143"/>
      <c r="P98" s="1143"/>
      <c r="Q98" s="1143"/>
      <c r="R98" s="1143"/>
      <c r="S98" s="1143"/>
      <c r="T98" s="1058"/>
      <c r="U98" s="1059" t="s">
        <v>2271</v>
      </c>
      <c r="V98" s="1060" t="s">
        <v>2267</v>
      </c>
      <c r="W98" s="1060" t="s">
        <v>1896</v>
      </c>
      <c r="X98" s="1061" t="s">
        <v>2272</v>
      </c>
      <c r="Y98" s="1062" t="s">
        <v>1902</v>
      </c>
      <c r="Z98" s="1063" t="s">
        <v>2273</v>
      </c>
      <c r="AA98" s="1064" t="s">
        <v>1942</v>
      </c>
      <c r="AB98" s="1065">
        <v>0.5</v>
      </c>
      <c r="AC98" s="1065" t="s">
        <v>1942</v>
      </c>
      <c r="AD98" s="1065" t="s">
        <v>1942</v>
      </c>
      <c r="AE98" s="1065">
        <v>0.5</v>
      </c>
      <c r="AF98" s="1065" t="s">
        <v>1942</v>
      </c>
      <c r="AG98" s="1065" t="s">
        <v>1942</v>
      </c>
      <c r="AH98" s="1065" t="s">
        <v>1942</v>
      </c>
      <c r="AI98" s="1066">
        <f t="shared" si="1"/>
        <v>1</v>
      </c>
      <c r="AJ98" s="1067" t="s">
        <v>1030</v>
      </c>
      <c r="AK98" s="1067" t="s">
        <v>1008</v>
      </c>
      <c r="AL98" s="1440" t="s">
        <v>1019</v>
      </c>
      <c r="AM98" s="1068" t="s">
        <v>2054</v>
      </c>
      <c r="AN98" s="1062" t="s">
        <v>2118</v>
      </c>
      <c r="AO98" s="1062" t="s">
        <v>4791</v>
      </c>
      <c r="AP98" s="1080">
        <v>1</v>
      </c>
      <c r="AQ98" s="833" t="s">
        <v>1010</v>
      </c>
      <c r="AR98" s="1071" t="s">
        <v>1902</v>
      </c>
      <c r="AS98" s="1072"/>
      <c r="AT98" s="1061"/>
      <c r="AU98" s="1061"/>
      <c r="AV98" s="1061"/>
      <c r="AW98" s="1073"/>
      <c r="AX98" s="1074"/>
      <c r="AY98" s="1079"/>
      <c r="AZ98" s="1080"/>
      <c r="BA98" s="1080"/>
      <c r="BB98" s="1080"/>
      <c r="BC98" s="1080"/>
      <c r="BD98" s="1080"/>
      <c r="BE98" s="1080"/>
      <c r="BF98" s="1080"/>
      <c r="BG98" s="1077"/>
      <c r="BH98" s="1077"/>
      <c r="BI98" s="1078">
        <v>1.3</v>
      </c>
      <c r="BJ98" s="1077">
        <v>2.6</v>
      </c>
      <c r="BK98" s="1077">
        <v>3.9</v>
      </c>
      <c r="BL98" s="1077">
        <v>5.0999999999999996</v>
      </c>
      <c r="BM98" s="1077">
        <v>6.3</v>
      </c>
      <c r="BN98" s="1079"/>
      <c r="BO98" s="1080"/>
      <c r="BP98" s="1080"/>
      <c r="BQ98" s="1080"/>
      <c r="BR98" s="1080"/>
      <c r="BS98" s="1081"/>
      <c r="BT98" s="1080"/>
      <c r="BU98" s="1080"/>
      <c r="BV98" s="1080"/>
      <c r="BW98" s="1082"/>
      <c r="BX98" s="1081"/>
      <c r="BY98" s="1080"/>
      <c r="BZ98" s="1080"/>
      <c r="CA98" s="1080"/>
      <c r="CB98" s="1082"/>
      <c r="CC98" s="1083"/>
      <c r="CD98" s="1084" t="s">
        <v>168</v>
      </c>
      <c r="CE98" s="1085" t="s">
        <v>168</v>
      </c>
      <c r="CF98" s="1085" t="s">
        <v>168</v>
      </c>
      <c r="CG98" s="1085" t="s">
        <v>168</v>
      </c>
      <c r="CH98" s="1086" t="s">
        <v>168</v>
      </c>
      <c r="CI98" s="1089" t="s">
        <v>1942</v>
      </c>
      <c r="CJ98" s="1087" t="s">
        <v>1942</v>
      </c>
      <c r="CK98" s="1087" t="s">
        <v>1942</v>
      </c>
      <c r="CL98" s="1087" t="s">
        <v>1942</v>
      </c>
      <c r="CM98" s="1088" t="s">
        <v>1942</v>
      </c>
      <c r="CN98" s="1089">
        <v>-8.6</v>
      </c>
      <c r="CO98" s="1087">
        <v>-8.6</v>
      </c>
      <c r="CP98" s="1087">
        <v>-8.6</v>
      </c>
      <c r="CQ98" s="1087">
        <v>-8.6</v>
      </c>
      <c r="CR98" s="1088">
        <v>-8.6</v>
      </c>
      <c r="CS98" s="1079" t="s">
        <v>1942</v>
      </c>
      <c r="CT98" s="1080" t="s">
        <v>1942</v>
      </c>
      <c r="CU98" s="1080" t="s">
        <v>1942</v>
      </c>
      <c r="CV98" s="1080" t="s">
        <v>1942</v>
      </c>
      <c r="CW98" s="1083" t="s">
        <v>1942</v>
      </c>
      <c r="CX98" s="1079" t="s">
        <v>1942</v>
      </c>
      <c r="CY98" s="1080" t="s">
        <v>1942</v>
      </c>
      <c r="CZ98" s="1080" t="s">
        <v>1942</v>
      </c>
      <c r="DA98" s="1080" t="s">
        <v>1942</v>
      </c>
      <c r="DB98" s="1083" t="s">
        <v>1942</v>
      </c>
      <c r="DC98" s="1087">
        <v>9.6999999999999993</v>
      </c>
      <c r="DD98" s="1087">
        <v>10.1</v>
      </c>
      <c r="DE98" s="1087">
        <v>10.4</v>
      </c>
      <c r="DF98" s="1087">
        <v>10.7</v>
      </c>
      <c r="DG98" s="1088">
        <v>11</v>
      </c>
      <c r="DH98" s="1089" t="s">
        <v>1942</v>
      </c>
      <c r="DI98" s="1080" t="s">
        <v>1942</v>
      </c>
      <c r="DJ98" s="1080" t="s">
        <v>1942</v>
      </c>
      <c r="DK98" s="1080" t="s">
        <v>1942</v>
      </c>
      <c r="DL98" s="1083" t="s">
        <v>1942</v>
      </c>
      <c r="DM98" s="1221">
        <v>-0.03</v>
      </c>
      <c r="DN98" s="1092" t="s">
        <v>1942</v>
      </c>
      <c r="DO98" s="1092" t="s">
        <v>1942</v>
      </c>
      <c r="DP98" s="1093" t="s">
        <v>1942</v>
      </c>
      <c r="DQ98" s="1220">
        <v>2.5000000000000001E-2</v>
      </c>
      <c r="DR98" s="1092" t="s">
        <v>1942</v>
      </c>
      <c r="DS98" s="1092" t="s">
        <v>1942</v>
      </c>
      <c r="DT98" s="1093" t="s">
        <v>1942</v>
      </c>
      <c r="DU98" s="1085" t="s">
        <v>1942</v>
      </c>
      <c r="DV98" s="1094">
        <v>1</v>
      </c>
      <c r="DW98" s="1095" t="s">
        <v>1942</v>
      </c>
    </row>
    <row r="99" spans="1:127" s="397" customFormat="1" ht="15.75" hidden="1" customHeight="1">
      <c r="A99" s="1097" t="s">
        <v>1064</v>
      </c>
      <c r="B99" s="1057">
        <v>90</v>
      </c>
      <c r="C99" s="1018"/>
      <c r="D99" s="1018"/>
      <c r="E99" s="1018"/>
      <c r="F99" s="1018"/>
      <c r="G99" s="1018"/>
      <c r="H99" s="1018"/>
      <c r="I99" s="1018"/>
      <c r="J99" s="1018"/>
      <c r="K99" s="1018"/>
      <c r="L99" s="1018"/>
      <c r="M99" s="1057"/>
      <c r="N99" s="1018"/>
      <c r="O99" s="1018"/>
      <c r="P99" s="1018"/>
      <c r="Q99" s="1018"/>
      <c r="R99" s="1018"/>
      <c r="S99" s="1018"/>
      <c r="T99" s="1019"/>
      <c r="U99" s="1098" t="s">
        <v>2275</v>
      </c>
      <c r="V99" s="1099" t="s">
        <v>2267</v>
      </c>
      <c r="W99" s="1099" t="s">
        <v>1896</v>
      </c>
      <c r="X99" s="1100" t="s">
        <v>2276</v>
      </c>
      <c r="Y99" s="1101" t="s">
        <v>2277</v>
      </c>
      <c r="Z99" s="1102" t="s">
        <v>2278</v>
      </c>
      <c r="AA99" s="1103" t="s">
        <v>1942</v>
      </c>
      <c r="AB99" s="1104">
        <v>1</v>
      </c>
      <c r="AC99" s="1104" t="s">
        <v>1942</v>
      </c>
      <c r="AD99" s="1104" t="s">
        <v>1942</v>
      </c>
      <c r="AE99" s="1104" t="s">
        <v>1942</v>
      </c>
      <c r="AF99" s="1104" t="s">
        <v>1942</v>
      </c>
      <c r="AG99" s="1104" t="s">
        <v>1942</v>
      </c>
      <c r="AH99" s="1104" t="s">
        <v>1942</v>
      </c>
      <c r="AI99" s="1105">
        <f t="shared" si="1"/>
        <v>1</v>
      </c>
      <c r="AJ99" s="1106" t="s">
        <v>1030</v>
      </c>
      <c r="AK99" s="1106" t="s">
        <v>1008</v>
      </c>
      <c r="AL99" s="1106" t="s">
        <v>1009</v>
      </c>
      <c r="AM99" s="1107" t="s">
        <v>1961</v>
      </c>
      <c r="AN99" s="1018" t="s">
        <v>278</v>
      </c>
      <c r="AO99" s="1018" t="s">
        <v>2279</v>
      </c>
      <c r="AP99" s="833">
        <v>2</v>
      </c>
      <c r="AQ99" s="1076" t="s">
        <v>1010</v>
      </c>
      <c r="AR99" s="1109" t="s">
        <v>1942</v>
      </c>
      <c r="AS99" s="1110"/>
      <c r="AT99" s="1100"/>
      <c r="AU99" s="1100"/>
      <c r="AV99" s="1100"/>
      <c r="AW99" s="1111"/>
      <c r="AX99" s="1112"/>
      <c r="AY99" s="1075"/>
      <c r="AZ99" s="1076"/>
      <c r="BA99" s="1076"/>
      <c r="BB99" s="1076"/>
      <c r="BC99" s="1076"/>
      <c r="BD99" s="1076"/>
      <c r="BE99" s="1076"/>
      <c r="BF99" s="1076"/>
      <c r="BG99" s="1076"/>
      <c r="BH99" s="1076"/>
      <c r="BI99" s="1420"/>
      <c r="BJ99" s="1368"/>
      <c r="BK99" s="1368"/>
      <c r="BL99" s="1368"/>
      <c r="BM99" s="1368"/>
      <c r="BN99" s="1075"/>
      <c r="BO99" s="1076"/>
      <c r="BP99" s="1076"/>
      <c r="BQ99" s="1076"/>
      <c r="BR99" s="1076"/>
      <c r="BS99" s="1115"/>
      <c r="BT99" s="1076"/>
      <c r="BU99" s="1076"/>
      <c r="BV99" s="1076"/>
      <c r="BW99" s="1116"/>
      <c r="BX99" s="1115"/>
      <c r="BY99" s="1076"/>
      <c r="BZ99" s="1076"/>
      <c r="CA99" s="1076"/>
      <c r="CB99" s="1116"/>
      <c r="CC99" s="1117"/>
      <c r="CD99" s="1376"/>
      <c r="CE99" s="1377"/>
      <c r="CF99" s="1377"/>
      <c r="CG99" s="1377"/>
      <c r="CH99" s="1440"/>
      <c r="CI99" s="1420"/>
      <c r="CJ99" s="1368"/>
      <c r="CK99" s="1368"/>
      <c r="CL99" s="1368"/>
      <c r="CM99" s="1369"/>
      <c r="CN99" s="1420"/>
      <c r="CO99" s="1368"/>
      <c r="CP99" s="1368"/>
      <c r="CQ99" s="1368"/>
      <c r="CR99" s="1369"/>
      <c r="CS99" s="1420"/>
      <c r="CT99" s="1368"/>
      <c r="CU99" s="1368"/>
      <c r="CV99" s="1368"/>
      <c r="CW99" s="1369"/>
      <c r="CX99" s="1420"/>
      <c r="CY99" s="1368"/>
      <c r="CZ99" s="1368"/>
      <c r="DA99" s="1368"/>
      <c r="DB99" s="1369"/>
      <c r="DC99" s="1368"/>
      <c r="DD99" s="1368"/>
      <c r="DE99" s="1368"/>
      <c r="DF99" s="1368"/>
      <c r="DG99" s="1369"/>
      <c r="DH99" s="1420"/>
      <c r="DI99" s="1368"/>
      <c r="DJ99" s="1368"/>
      <c r="DK99" s="1368"/>
      <c r="DL99" s="1369"/>
      <c r="DM99" s="1808"/>
      <c r="DN99" s="1809"/>
      <c r="DO99" s="1809"/>
      <c r="DP99" s="1810"/>
      <c r="DQ99" s="1809"/>
      <c r="DR99" s="1809"/>
      <c r="DS99" s="1809"/>
      <c r="DT99" s="1810"/>
      <c r="DU99" s="1377"/>
      <c r="DV99" s="1729"/>
      <c r="DW99" s="1811"/>
    </row>
    <row r="100" spans="1:127" s="397" customFormat="1" ht="15.75" hidden="1" customHeight="1">
      <c r="A100" s="1097" t="s">
        <v>1064</v>
      </c>
      <c r="B100" s="1057">
        <v>91</v>
      </c>
      <c r="C100" s="1018"/>
      <c r="D100" s="1018"/>
      <c r="E100" s="1018"/>
      <c r="F100" s="1018"/>
      <c r="G100" s="1018"/>
      <c r="H100" s="1018"/>
      <c r="I100" s="1018"/>
      <c r="J100" s="1018"/>
      <c r="K100" s="1018"/>
      <c r="L100" s="1018"/>
      <c r="M100" s="1057"/>
      <c r="N100" s="1018"/>
      <c r="O100" s="1018"/>
      <c r="P100" s="1018"/>
      <c r="Q100" s="1018"/>
      <c r="R100" s="1018"/>
      <c r="S100" s="1018"/>
      <c r="T100" s="1019"/>
      <c r="U100" s="1098" t="s">
        <v>2280</v>
      </c>
      <c r="V100" s="1099" t="s">
        <v>2267</v>
      </c>
      <c r="W100" s="1099" t="s">
        <v>1889</v>
      </c>
      <c r="X100" s="1100" t="s">
        <v>2281</v>
      </c>
      <c r="Y100" s="1101" t="s">
        <v>2282</v>
      </c>
      <c r="Z100" s="1102" t="s">
        <v>2283</v>
      </c>
      <c r="AA100" s="1103">
        <v>1</v>
      </c>
      <c r="AB100" s="1104" t="s">
        <v>1942</v>
      </c>
      <c r="AC100" s="1104" t="s">
        <v>1942</v>
      </c>
      <c r="AD100" s="1104" t="s">
        <v>1942</v>
      </c>
      <c r="AE100" s="1104" t="s">
        <v>1942</v>
      </c>
      <c r="AF100" s="1104" t="s">
        <v>1942</v>
      </c>
      <c r="AG100" s="1104" t="s">
        <v>1942</v>
      </c>
      <c r="AH100" s="1104" t="s">
        <v>1942</v>
      </c>
      <c r="AI100" s="1105">
        <f t="shared" si="1"/>
        <v>1</v>
      </c>
      <c r="AJ100" s="1106" t="s">
        <v>1030</v>
      </c>
      <c r="AK100" s="1106" t="s">
        <v>1008</v>
      </c>
      <c r="AL100" s="1106" t="s">
        <v>1009</v>
      </c>
      <c r="AM100" s="1107" t="s">
        <v>1967</v>
      </c>
      <c r="AN100" s="1018" t="s">
        <v>1033</v>
      </c>
      <c r="AO100" s="1018" t="s">
        <v>2284</v>
      </c>
      <c r="AP100" s="833">
        <v>0</v>
      </c>
      <c r="AQ100" s="1076" t="s">
        <v>1010</v>
      </c>
      <c r="AR100" s="1109" t="s">
        <v>1942</v>
      </c>
      <c r="AS100" s="1110"/>
      <c r="AT100" s="1100"/>
      <c r="AU100" s="1100"/>
      <c r="AV100" s="1100"/>
      <c r="AW100" s="1111"/>
      <c r="AX100" s="1112"/>
      <c r="AY100" s="1075"/>
      <c r="AZ100" s="1076"/>
      <c r="BA100" s="1076"/>
      <c r="BB100" s="1076"/>
      <c r="BC100" s="1076"/>
      <c r="BD100" s="1076"/>
      <c r="BE100" s="1076"/>
      <c r="BF100" s="1076"/>
      <c r="BG100" s="1076"/>
      <c r="BH100" s="1076"/>
      <c r="BI100" s="1420"/>
      <c r="BJ100" s="1368"/>
      <c r="BK100" s="1368"/>
      <c r="BL100" s="1368"/>
      <c r="BM100" s="1368"/>
      <c r="BN100" s="1075"/>
      <c r="BO100" s="1076"/>
      <c r="BP100" s="1076"/>
      <c r="BQ100" s="1076"/>
      <c r="BR100" s="1076"/>
      <c r="BS100" s="1115"/>
      <c r="BT100" s="1076"/>
      <c r="BU100" s="1076"/>
      <c r="BV100" s="1076"/>
      <c r="BW100" s="1116"/>
      <c r="BX100" s="1115"/>
      <c r="BY100" s="1076"/>
      <c r="BZ100" s="1076"/>
      <c r="CA100" s="1076"/>
      <c r="CB100" s="1116"/>
      <c r="CC100" s="1117"/>
      <c r="CD100" s="1376"/>
      <c r="CE100" s="1377"/>
      <c r="CF100" s="1377"/>
      <c r="CG100" s="1377"/>
      <c r="CH100" s="1440"/>
      <c r="CI100" s="1420"/>
      <c r="CJ100" s="1368"/>
      <c r="CK100" s="1368"/>
      <c r="CL100" s="1368"/>
      <c r="CM100" s="1369"/>
      <c r="CN100" s="1420"/>
      <c r="CO100" s="1368"/>
      <c r="CP100" s="1368"/>
      <c r="CQ100" s="1368"/>
      <c r="CR100" s="1369"/>
      <c r="CS100" s="1420"/>
      <c r="CT100" s="1368"/>
      <c r="CU100" s="1368"/>
      <c r="CV100" s="1368"/>
      <c r="CW100" s="1369"/>
      <c r="CX100" s="1420"/>
      <c r="CY100" s="1368"/>
      <c r="CZ100" s="1368"/>
      <c r="DA100" s="1368"/>
      <c r="DB100" s="1369"/>
      <c r="DC100" s="1368"/>
      <c r="DD100" s="1368"/>
      <c r="DE100" s="1368"/>
      <c r="DF100" s="1368"/>
      <c r="DG100" s="1369"/>
      <c r="DH100" s="1420"/>
      <c r="DI100" s="1368"/>
      <c r="DJ100" s="1368"/>
      <c r="DK100" s="1368"/>
      <c r="DL100" s="1369"/>
      <c r="DM100" s="1808"/>
      <c r="DN100" s="1809"/>
      <c r="DO100" s="1809"/>
      <c r="DP100" s="1810"/>
      <c r="DQ100" s="1809"/>
      <c r="DR100" s="1809"/>
      <c r="DS100" s="1809"/>
      <c r="DT100" s="1810"/>
      <c r="DU100" s="1377"/>
      <c r="DV100" s="1729"/>
      <c r="DW100" s="1811"/>
    </row>
    <row r="101" spans="1:127" s="397" customFormat="1" ht="15.75" hidden="1" customHeight="1">
      <c r="A101" s="1097" t="s">
        <v>1064</v>
      </c>
      <c r="B101" s="1057">
        <v>92</v>
      </c>
      <c r="C101" s="1018"/>
      <c r="D101" s="1018"/>
      <c r="E101" s="1018"/>
      <c r="F101" s="1018"/>
      <c r="G101" s="1018"/>
      <c r="H101" s="1018"/>
      <c r="I101" s="1018"/>
      <c r="J101" s="1018"/>
      <c r="K101" s="1018"/>
      <c r="L101" s="1018"/>
      <c r="M101" s="1057"/>
      <c r="N101" s="1018"/>
      <c r="O101" s="1018"/>
      <c r="P101" s="1018"/>
      <c r="Q101" s="1018"/>
      <c r="R101" s="1018"/>
      <c r="S101" s="1018"/>
      <c r="T101" s="1019"/>
      <c r="U101" s="1098" t="s">
        <v>2285</v>
      </c>
      <c r="V101" s="1099" t="s">
        <v>2267</v>
      </c>
      <c r="W101" s="1099" t="s">
        <v>1896</v>
      </c>
      <c r="X101" s="1100" t="s">
        <v>2286</v>
      </c>
      <c r="Y101" s="1101" t="s">
        <v>2287</v>
      </c>
      <c r="Z101" s="1102" t="s">
        <v>2288</v>
      </c>
      <c r="AA101" s="1103">
        <v>0.5</v>
      </c>
      <c r="AB101" s="1104">
        <v>0.5</v>
      </c>
      <c r="AC101" s="1104" t="s">
        <v>1942</v>
      </c>
      <c r="AD101" s="1104" t="s">
        <v>1942</v>
      </c>
      <c r="AE101" s="1104" t="s">
        <v>1942</v>
      </c>
      <c r="AF101" s="1104" t="s">
        <v>1942</v>
      </c>
      <c r="AG101" s="1104" t="s">
        <v>1942</v>
      </c>
      <c r="AH101" s="1104" t="s">
        <v>1942</v>
      </c>
      <c r="AI101" s="1105">
        <f t="shared" si="1"/>
        <v>1</v>
      </c>
      <c r="AJ101" s="1106" t="s">
        <v>1030</v>
      </c>
      <c r="AK101" s="1106" t="s">
        <v>1008</v>
      </c>
      <c r="AL101" s="1106" t="s">
        <v>1009</v>
      </c>
      <c r="AM101" s="1107" t="s">
        <v>2289</v>
      </c>
      <c r="AN101" s="1018" t="s">
        <v>1081</v>
      </c>
      <c r="AO101" s="1018" t="s">
        <v>2290</v>
      </c>
      <c r="AP101" s="833">
        <v>0</v>
      </c>
      <c r="AQ101" s="1076" t="s">
        <v>1010</v>
      </c>
      <c r="AR101" s="1109" t="s">
        <v>1942</v>
      </c>
      <c r="AS101" s="1110"/>
      <c r="AT101" s="1100"/>
      <c r="AU101" s="1100"/>
      <c r="AV101" s="1100"/>
      <c r="AW101" s="1111"/>
      <c r="AX101" s="1112"/>
      <c r="AY101" s="1075"/>
      <c r="AZ101" s="1076"/>
      <c r="BA101" s="1076"/>
      <c r="BB101" s="1076"/>
      <c r="BC101" s="1076"/>
      <c r="BD101" s="1076"/>
      <c r="BE101" s="1076"/>
      <c r="BF101" s="1076"/>
      <c r="BG101" s="1076"/>
      <c r="BH101" s="1076"/>
      <c r="BI101" s="1420"/>
      <c r="BJ101" s="1368"/>
      <c r="BK101" s="1368"/>
      <c r="BL101" s="1368"/>
      <c r="BM101" s="1368"/>
      <c r="BN101" s="1075"/>
      <c r="BO101" s="1076"/>
      <c r="BP101" s="1076"/>
      <c r="BQ101" s="1076"/>
      <c r="BR101" s="1076"/>
      <c r="BS101" s="1115"/>
      <c r="BT101" s="1076"/>
      <c r="BU101" s="1076"/>
      <c r="BV101" s="1076"/>
      <c r="BW101" s="1116"/>
      <c r="BX101" s="1115"/>
      <c r="BY101" s="1076"/>
      <c r="BZ101" s="1076"/>
      <c r="CA101" s="1076"/>
      <c r="CB101" s="1116"/>
      <c r="CC101" s="1117"/>
      <c r="CD101" s="1376"/>
      <c r="CE101" s="1377"/>
      <c r="CF101" s="1377"/>
      <c r="CG101" s="1377"/>
      <c r="CH101" s="1440"/>
      <c r="CI101" s="1420"/>
      <c r="CJ101" s="1368"/>
      <c r="CK101" s="1368"/>
      <c r="CL101" s="1368"/>
      <c r="CM101" s="1369"/>
      <c r="CN101" s="1420"/>
      <c r="CO101" s="1368"/>
      <c r="CP101" s="1368"/>
      <c r="CQ101" s="1368"/>
      <c r="CR101" s="1369"/>
      <c r="CS101" s="1420"/>
      <c r="CT101" s="1368"/>
      <c r="CU101" s="1368"/>
      <c r="CV101" s="1368"/>
      <c r="CW101" s="1369"/>
      <c r="CX101" s="1420"/>
      <c r="CY101" s="1368"/>
      <c r="CZ101" s="1368"/>
      <c r="DA101" s="1368"/>
      <c r="DB101" s="1369"/>
      <c r="DC101" s="1368"/>
      <c r="DD101" s="1368"/>
      <c r="DE101" s="1368"/>
      <c r="DF101" s="1368"/>
      <c r="DG101" s="1369"/>
      <c r="DH101" s="1420"/>
      <c r="DI101" s="1368"/>
      <c r="DJ101" s="1368"/>
      <c r="DK101" s="1368"/>
      <c r="DL101" s="1369"/>
      <c r="DM101" s="1808"/>
      <c r="DN101" s="1809"/>
      <c r="DO101" s="1809"/>
      <c r="DP101" s="1810"/>
      <c r="DQ101" s="1809"/>
      <c r="DR101" s="1809"/>
      <c r="DS101" s="1809"/>
      <c r="DT101" s="1810"/>
      <c r="DU101" s="1377"/>
      <c r="DV101" s="1729"/>
      <c r="DW101" s="1811"/>
    </row>
    <row r="102" spans="1:127" s="397" customFormat="1" ht="15.75" hidden="1" customHeight="1">
      <c r="A102" s="1097" t="s">
        <v>1064</v>
      </c>
      <c r="B102" s="1057">
        <v>93</v>
      </c>
      <c r="C102" s="1018"/>
      <c r="D102" s="1018"/>
      <c r="E102" s="1018"/>
      <c r="F102" s="1018"/>
      <c r="G102" s="1018"/>
      <c r="H102" s="1018"/>
      <c r="I102" s="1018"/>
      <c r="J102" s="1018"/>
      <c r="K102" s="1018"/>
      <c r="L102" s="1018"/>
      <c r="M102" s="1057"/>
      <c r="N102" s="1018"/>
      <c r="O102" s="1018"/>
      <c r="P102" s="1018"/>
      <c r="Q102" s="1018"/>
      <c r="R102" s="1018"/>
      <c r="S102" s="1018"/>
      <c r="T102" s="1019"/>
      <c r="U102" s="1098" t="s">
        <v>2291</v>
      </c>
      <c r="V102" s="1099" t="s">
        <v>2267</v>
      </c>
      <c r="W102" s="1099" t="s">
        <v>1896</v>
      </c>
      <c r="X102" s="1100" t="s">
        <v>2292</v>
      </c>
      <c r="Y102" s="1101" t="s">
        <v>2293</v>
      </c>
      <c r="Z102" s="1102" t="s">
        <v>2294</v>
      </c>
      <c r="AA102" s="1103" t="s">
        <v>1942</v>
      </c>
      <c r="AB102" s="1104">
        <v>1</v>
      </c>
      <c r="AC102" s="1104" t="s">
        <v>1942</v>
      </c>
      <c r="AD102" s="1104" t="s">
        <v>1942</v>
      </c>
      <c r="AE102" s="1104" t="s">
        <v>1942</v>
      </c>
      <c r="AF102" s="1104" t="s">
        <v>1942</v>
      </c>
      <c r="AG102" s="1104" t="s">
        <v>1942</v>
      </c>
      <c r="AH102" s="1104" t="s">
        <v>1942</v>
      </c>
      <c r="AI102" s="1105">
        <f t="shared" si="1"/>
        <v>1</v>
      </c>
      <c r="AJ102" s="1106" t="s">
        <v>1026</v>
      </c>
      <c r="AK102" s="1106" t="s">
        <v>1008</v>
      </c>
      <c r="AL102" s="1106" t="s">
        <v>1009</v>
      </c>
      <c r="AM102" s="1107" t="s">
        <v>2295</v>
      </c>
      <c r="AN102" s="1018" t="s">
        <v>278</v>
      </c>
      <c r="AO102" s="1018" t="s">
        <v>2296</v>
      </c>
      <c r="AP102" s="833">
        <v>1</v>
      </c>
      <c r="AQ102" s="1076" t="s">
        <v>1010</v>
      </c>
      <c r="AR102" s="1109" t="s">
        <v>1942</v>
      </c>
      <c r="AS102" s="1110"/>
      <c r="AT102" s="1100"/>
      <c r="AU102" s="1100"/>
      <c r="AV102" s="1100"/>
      <c r="AW102" s="1111"/>
      <c r="AX102" s="1112"/>
      <c r="AY102" s="1075"/>
      <c r="AZ102" s="1076"/>
      <c r="BA102" s="1076"/>
      <c r="BB102" s="1076"/>
      <c r="BC102" s="1076"/>
      <c r="BD102" s="1076"/>
      <c r="BE102" s="1076"/>
      <c r="BF102" s="1076"/>
      <c r="BG102" s="1076"/>
      <c r="BH102" s="1076"/>
      <c r="BI102" s="1420"/>
      <c r="BJ102" s="1368"/>
      <c r="BK102" s="1368"/>
      <c r="BL102" s="1368"/>
      <c r="BM102" s="1368"/>
      <c r="BN102" s="1075"/>
      <c r="BO102" s="1076"/>
      <c r="BP102" s="1076"/>
      <c r="BQ102" s="1076"/>
      <c r="BR102" s="1076"/>
      <c r="BS102" s="1115"/>
      <c r="BT102" s="1076"/>
      <c r="BU102" s="1076"/>
      <c r="BV102" s="1076"/>
      <c r="BW102" s="1116"/>
      <c r="BX102" s="1115"/>
      <c r="BY102" s="1076"/>
      <c r="BZ102" s="1076"/>
      <c r="CA102" s="1076"/>
      <c r="CB102" s="1116"/>
      <c r="CC102" s="1117"/>
      <c r="CD102" s="1376"/>
      <c r="CE102" s="1377"/>
      <c r="CF102" s="1377"/>
      <c r="CG102" s="1377"/>
      <c r="CH102" s="1440"/>
      <c r="CI102" s="1420"/>
      <c r="CJ102" s="1368"/>
      <c r="CK102" s="1368"/>
      <c r="CL102" s="1368"/>
      <c r="CM102" s="1369"/>
      <c r="CN102" s="1420"/>
      <c r="CO102" s="1368"/>
      <c r="CP102" s="1368"/>
      <c r="CQ102" s="1368"/>
      <c r="CR102" s="1369"/>
      <c r="CS102" s="1420"/>
      <c r="CT102" s="1368"/>
      <c r="CU102" s="1368"/>
      <c r="CV102" s="1368"/>
      <c r="CW102" s="1369"/>
      <c r="CX102" s="1420"/>
      <c r="CY102" s="1368"/>
      <c r="CZ102" s="1368"/>
      <c r="DA102" s="1368"/>
      <c r="DB102" s="1369"/>
      <c r="DC102" s="1368"/>
      <c r="DD102" s="1368"/>
      <c r="DE102" s="1368"/>
      <c r="DF102" s="1368"/>
      <c r="DG102" s="1369"/>
      <c r="DH102" s="1420"/>
      <c r="DI102" s="1368"/>
      <c r="DJ102" s="1368"/>
      <c r="DK102" s="1368"/>
      <c r="DL102" s="1369"/>
      <c r="DM102" s="1808"/>
      <c r="DN102" s="1809"/>
      <c r="DO102" s="1809"/>
      <c r="DP102" s="1810"/>
      <c r="DQ102" s="1809"/>
      <c r="DR102" s="1809"/>
      <c r="DS102" s="1809"/>
      <c r="DT102" s="1810"/>
      <c r="DU102" s="1377"/>
      <c r="DV102" s="1729"/>
      <c r="DW102" s="1811"/>
    </row>
    <row r="103" spans="1:127" s="397" customFormat="1" ht="15.75" hidden="1" customHeight="1">
      <c r="A103" s="1097" t="s">
        <v>1064</v>
      </c>
      <c r="B103" s="1057">
        <v>94</v>
      </c>
      <c r="C103" s="1018"/>
      <c r="D103" s="1018"/>
      <c r="E103" s="1018"/>
      <c r="F103" s="1018"/>
      <c r="G103" s="1018"/>
      <c r="H103" s="1018"/>
      <c r="I103" s="1018"/>
      <c r="J103" s="1018"/>
      <c r="K103" s="1018"/>
      <c r="L103" s="1018"/>
      <c r="M103" s="1057"/>
      <c r="N103" s="1018"/>
      <c r="O103" s="1018"/>
      <c r="P103" s="1018"/>
      <c r="Q103" s="1018"/>
      <c r="R103" s="1018"/>
      <c r="S103" s="1018"/>
      <c r="T103" s="1019"/>
      <c r="U103" s="1098" t="s">
        <v>2297</v>
      </c>
      <c r="V103" s="1099" t="s">
        <v>2267</v>
      </c>
      <c r="W103" s="1099" t="s">
        <v>1907</v>
      </c>
      <c r="X103" s="1100" t="s">
        <v>2298</v>
      </c>
      <c r="Y103" s="1101" t="s">
        <v>2299</v>
      </c>
      <c r="Z103" s="1102" t="s">
        <v>2300</v>
      </c>
      <c r="AA103" s="1103">
        <v>1</v>
      </c>
      <c r="AB103" s="1104" t="s">
        <v>1942</v>
      </c>
      <c r="AC103" s="1104" t="s">
        <v>1942</v>
      </c>
      <c r="AD103" s="1104" t="s">
        <v>1942</v>
      </c>
      <c r="AE103" s="1104" t="s">
        <v>1942</v>
      </c>
      <c r="AF103" s="1104" t="s">
        <v>1942</v>
      </c>
      <c r="AG103" s="1104" t="s">
        <v>1942</v>
      </c>
      <c r="AH103" s="1104" t="s">
        <v>1942</v>
      </c>
      <c r="AI103" s="1105">
        <f t="shared" si="1"/>
        <v>1</v>
      </c>
      <c r="AJ103" s="1106" t="s">
        <v>1026</v>
      </c>
      <c r="AK103" s="1106" t="s">
        <v>1008</v>
      </c>
      <c r="AL103" s="1106" t="s">
        <v>1009</v>
      </c>
      <c r="AM103" s="1107" t="s">
        <v>1979</v>
      </c>
      <c r="AN103" s="1018" t="s">
        <v>278</v>
      </c>
      <c r="AO103" s="1018" t="s">
        <v>2301</v>
      </c>
      <c r="AP103" s="833">
        <v>0</v>
      </c>
      <c r="AQ103" s="1076" t="s">
        <v>1010</v>
      </c>
      <c r="AR103" s="1109" t="s">
        <v>1942</v>
      </c>
      <c r="AS103" s="1110"/>
      <c r="AT103" s="1100"/>
      <c r="AU103" s="1100"/>
      <c r="AV103" s="1100"/>
      <c r="AW103" s="1111"/>
      <c r="AX103" s="1112"/>
      <c r="AY103" s="1075"/>
      <c r="AZ103" s="1076"/>
      <c r="BA103" s="1076"/>
      <c r="BB103" s="1076"/>
      <c r="BC103" s="1076"/>
      <c r="BD103" s="1076"/>
      <c r="BE103" s="1076"/>
      <c r="BF103" s="1076"/>
      <c r="BG103" s="1076"/>
      <c r="BH103" s="1076"/>
      <c r="BI103" s="1420"/>
      <c r="BJ103" s="1368"/>
      <c r="BK103" s="1368"/>
      <c r="BL103" s="1368"/>
      <c r="BM103" s="1368"/>
      <c r="BN103" s="1075"/>
      <c r="BO103" s="1076"/>
      <c r="BP103" s="1076"/>
      <c r="BQ103" s="1076"/>
      <c r="BR103" s="1076"/>
      <c r="BS103" s="1115"/>
      <c r="BT103" s="1076"/>
      <c r="BU103" s="1076"/>
      <c r="BV103" s="1076"/>
      <c r="BW103" s="1116"/>
      <c r="BX103" s="1115"/>
      <c r="BY103" s="1076"/>
      <c r="BZ103" s="1076"/>
      <c r="CA103" s="1076"/>
      <c r="CB103" s="1116"/>
      <c r="CC103" s="1117"/>
      <c r="CD103" s="1376"/>
      <c r="CE103" s="1377"/>
      <c r="CF103" s="1377"/>
      <c r="CG103" s="1377"/>
      <c r="CH103" s="1440"/>
      <c r="CI103" s="1420"/>
      <c r="CJ103" s="1368"/>
      <c r="CK103" s="1368"/>
      <c r="CL103" s="1368"/>
      <c r="CM103" s="1369"/>
      <c r="CN103" s="1420"/>
      <c r="CO103" s="1368"/>
      <c r="CP103" s="1368"/>
      <c r="CQ103" s="1368"/>
      <c r="CR103" s="1369"/>
      <c r="CS103" s="1420"/>
      <c r="CT103" s="1368"/>
      <c r="CU103" s="1368"/>
      <c r="CV103" s="1368"/>
      <c r="CW103" s="1369"/>
      <c r="CX103" s="1420"/>
      <c r="CY103" s="1368"/>
      <c r="CZ103" s="1368"/>
      <c r="DA103" s="1368"/>
      <c r="DB103" s="1369"/>
      <c r="DC103" s="1368"/>
      <c r="DD103" s="1368"/>
      <c r="DE103" s="1368"/>
      <c r="DF103" s="1368"/>
      <c r="DG103" s="1369"/>
      <c r="DH103" s="1420"/>
      <c r="DI103" s="1368"/>
      <c r="DJ103" s="1368"/>
      <c r="DK103" s="1368"/>
      <c r="DL103" s="1369"/>
      <c r="DM103" s="1808"/>
      <c r="DN103" s="1809"/>
      <c r="DO103" s="1809"/>
      <c r="DP103" s="1810"/>
      <c r="DQ103" s="1809"/>
      <c r="DR103" s="1809"/>
      <c r="DS103" s="1809"/>
      <c r="DT103" s="1810"/>
      <c r="DU103" s="1377"/>
      <c r="DV103" s="1729"/>
      <c r="DW103" s="1811"/>
    </row>
    <row r="104" spans="1:127" s="397" customFormat="1" ht="15.75" hidden="1" customHeight="1">
      <c r="A104" s="1097" t="s">
        <v>1064</v>
      </c>
      <c r="B104" s="1057">
        <v>95</v>
      </c>
      <c r="C104" s="1018"/>
      <c r="D104" s="1018"/>
      <c r="E104" s="1018"/>
      <c r="F104" s="1018"/>
      <c r="G104" s="1018"/>
      <c r="H104" s="1018"/>
      <c r="I104" s="1018"/>
      <c r="J104" s="1018"/>
      <c r="K104" s="1018"/>
      <c r="L104" s="1018"/>
      <c r="M104" s="1057"/>
      <c r="N104" s="1018"/>
      <c r="O104" s="1018"/>
      <c r="P104" s="1018"/>
      <c r="Q104" s="1018"/>
      <c r="R104" s="1018"/>
      <c r="S104" s="1018"/>
      <c r="T104" s="1019"/>
      <c r="U104" s="1098" t="s">
        <v>2302</v>
      </c>
      <c r="V104" s="1099" t="s">
        <v>2267</v>
      </c>
      <c r="W104" s="1099" t="s">
        <v>1896</v>
      </c>
      <c r="X104" s="1100" t="s">
        <v>2303</v>
      </c>
      <c r="Y104" s="1101" t="s">
        <v>2304</v>
      </c>
      <c r="Z104" s="1102" t="s">
        <v>2305</v>
      </c>
      <c r="AA104" s="1103">
        <v>0.2</v>
      </c>
      <c r="AB104" s="1104">
        <v>0.8</v>
      </c>
      <c r="AC104" s="1104" t="s">
        <v>1942</v>
      </c>
      <c r="AD104" s="1104" t="s">
        <v>1942</v>
      </c>
      <c r="AE104" s="1104" t="s">
        <v>1942</v>
      </c>
      <c r="AF104" s="1104" t="s">
        <v>1942</v>
      </c>
      <c r="AG104" s="1104" t="s">
        <v>1942</v>
      </c>
      <c r="AH104" s="1104" t="s">
        <v>1942</v>
      </c>
      <c r="AI104" s="1105">
        <f t="shared" si="1"/>
        <v>1</v>
      </c>
      <c r="AJ104" s="1106" t="s">
        <v>1030</v>
      </c>
      <c r="AK104" s="1106" t="s">
        <v>1008</v>
      </c>
      <c r="AL104" s="1106" t="s">
        <v>1009</v>
      </c>
      <c r="AM104" s="1107" t="s">
        <v>2306</v>
      </c>
      <c r="AN104" s="1018" t="s">
        <v>278</v>
      </c>
      <c r="AO104" s="1018" t="s">
        <v>2307</v>
      </c>
      <c r="AP104" s="833">
        <v>1</v>
      </c>
      <c r="AQ104" s="1076" t="s">
        <v>1010</v>
      </c>
      <c r="AR104" s="1109" t="s">
        <v>1942</v>
      </c>
      <c r="AS104" s="1110"/>
      <c r="AT104" s="1100"/>
      <c r="AU104" s="1100"/>
      <c r="AV104" s="1100"/>
      <c r="AW104" s="1111"/>
      <c r="AX104" s="1112"/>
      <c r="AY104" s="1075"/>
      <c r="AZ104" s="1076"/>
      <c r="BA104" s="1076"/>
      <c r="BB104" s="1076"/>
      <c r="BC104" s="1076"/>
      <c r="BD104" s="1076"/>
      <c r="BE104" s="1076"/>
      <c r="BF104" s="1076"/>
      <c r="BG104" s="1076"/>
      <c r="BH104" s="1076"/>
      <c r="BI104" s="1420"/>
      <c r="BJ104" s="1368"/>
      <c r="BK104" s="1368"/>
      <c r="BL104" s="1368"/>
      <c r="BM104" s="1368"/>
      <c r="BN104" s="1075"/>
      <c r="BO104" s="1076"/>
      <c r="BP104" s="1076"/>
      <c r="BQ104" s="1076"/>
      <c r="BR104" s="1076"/>
      <c r="BS104" s="1115"/>
      <c r="BT104" s="1076"/>
      <c r="BU104" s="1076"/>
      <c r="BV104" s="1076"/>
      <c r="BW104" s="1116"/>
      <c r="BX104" s="1115"/>
      <c r="BY104" s="1076"/>
      <c r="BZ104" s="1076"/>
      <c r="CA104" s="1076"/>
      <c r="CB104" s="1116"/>
      <c r="CC104" s="1117"/>
      <c r="CD104" s="1376"/>
      <c r="CE104" s="1377"/>
      <c r="CF104" s="1377"/>
      <c r="CG104" s="1377"/>
      <c r="CH104" s="1440"/>
      <c r="CI104" s="1420"/>
      <c r="CJ104" s="1368"/>
      <c r="CK104" s="1368"/>
      <c r="CL104" s="1368"/>
      <c r="CM104" s="1369"/>
      <c r="CN104" s="1420"/>
      <c r="CO104" s="1368"/>
      <c r="CP104" s="1368"/>
      <c r="CQ104" s="1368"/>
      <c r="CR104" s="1369"/>
      <c r="CS104" s="1420"/>
      <c r="CT104" s="1368"/>
      <c r="CU104" s="1368"/>
      <c r="CV104" s="1368"/>
      <c r="CW104" s="1369"/>
      <c r="CX104" s="1420"/>
      <c r="CY104" s="1368"/>
      <c r="CZ104" s="1368"/>
      <c r="DA104" s="1368"/>
      <c r="DB104" s="1369"/>
      <c r="DC104" s="1368"/>
      <c r="DD104" s="1368"/>
      <c r="DE104" s="1368"/>
      <c r="DF104" s="1368"/>
      <c r="DG104" s="1369"/>
      <c r="DH104" s="1420"/>
      <c r="DI104" s="1368"/>
      <c r="DJ104" s="1368"/>
      <c r="DK104" s="1368"/>
      <c r="DL104" s="1369"/>
      <c r="DM104" s="1808"/>
      <c r="DN104" s="1809"/>
      <c r="DO104" s="1809"/>
      <c r="DP104" s="1810"/>
      <c r="DQ104" s="1809"/>
      <c r="DR104" s="1809"/>
      <c r="DS104" s="1809"/>
      <c r="DT104" s="1810"/>
      <c r="DU104" s="1377"/>
      <c r="DV104" s="1729"/>
      <c r="DW104" s="1811"/>
    </row>
    <row r="105" spans="1:127" s="397" customFormat="1" ht="15.75" hidden="1" customHeight="1">
      <c r="A105" s="1097" t="s">
        <v>1064</v>
      </c>
      <c r="B105" s="1057">
        <v>96</v>
      </c>
      <c r="C105" s="1018"/>
      <c r="D105" s="1018"/>
      <c r="E105" s="1018"/>
      <c r="F105" s="1018"/>
      <c r="G105" s="1018"/>
      <c r="H105" s="1018"/>
      <c r="I105" s="1018"/>
      <c r="J105" s="1018"/>
      <c r="K105" s="1018"/>
      <c r="L105" s="1018"/>
      <c r="M105" s="1057"/>
      <c r="N105" s="1018"/>
      <c r="O105" s="1018"/>
      <c r="P105" s="1018"/>
      <c r="Q105" s="1018"/>
      <c r="R105" s="1018"/>
      <c r="S105" s="1018"/>
      <c r="T105" s="1019"/>
      <c r="U105" s="1098" t="s">
        <v>2308</v>
      </c>
      <c r="V105" s="1099" t="s">
        <v>2267</v>
      </c>
      <c r="W105" s="1099" t="s">
        <v>1907</v>
      </c>
      <c r="X105" s="1100" t="s">
        <v>2309</v>
      </c>
      <c r="Y105" s="1101" t="s">
        <v>2310</v>
      </c>
      <c r="Z105" s="1102" t="s">
        <v>2311</v>
      </c>
      <c r="AA105" s="1103">
        <v>1</v>
      </c>
      <c r="AB105" s="1104" t="s">
        <v>1942</v>
      </c>
      <c r="AC105" s="1104" t="s">
        <v>1942</v>
      </c>
      <c r="AD105" s="1104" t="s">
        <v>1942</v>
      </c>
      <c r="AE105" s="1104" t="s">
        <v>1942</v>
      </c>
      <c r="AF105" s="1104" t="s">
        <v>1942</v>
      </c>
      <c r="AG105" s="1104" t="s">
        <v>1942</v>
      </c>
      <c r="AH105" s="1104" t="s">
        <v>1942</v>
      </c>
      <c r="AI105" s="1105">
        <f t="shared" si="1"/>
        <v>1</v>
      </c>
      <c r="AJ105" s="1106" t="s">
        <v>1030</v>
      </c>
      <c r="AK105" s="1106" t="s">
        <v>1008</v>
      </c>
      <c r="AL105" s="1106" t="s">
        <v>1009</v>
      </c>
      <c r="AM105" s="1107" t="s">
        <v>1979</v>
      </c>
      <c r="AN105" s="1018" t="s">
        <v>1033</v>
      </c>
      <c r="AO105" s="1018" t="s">
        <v>2312</v>
      </c>
      <c r="AP105" s="833">
        <v>1</v>
      </c>
      <c r="AQ105" s="1076" t="s">
        <v>1020</v>
      </c>
      <c r="AR105" s="1109" t="s">
        <v>1942</v>
      </c>
      <c r="AS105" s="1110"/>
      <c r="AT105" s="1100"/>
      <c r="AU105" s="1100"/>
      <c r="AV105" s="1100"/>
      <c r="AW105" s="1111"/>
      <c r="AX105" s="1112"/>
      <c r="AY105" s="1075"/>
      <c r="AZ105" s="1076"/>
      <c r="BA105" s="1076"/>
      <c r="BB105" s="1076"/>
      <c r="BC105" s="1076"/>
      <c r="BD105" s="1076"/>
      <c r="BE105" s="1076"/>
      <c r="BF105" s="1076"/>
      <c r="BG105" s="1076"/>
      <c r="BH105" s="1076"/>
      <c r="BI105" s="1420"/>
      <c r="BJ105" s="1368"/>
      <c r="BK105" s="1368"/>
      <c r="BL105" s="1368"/>
      <c r="BM105" s="1368"/>
      <c r="BN105" s="1075"/>
      <c r="BO105" s="1076"/>
      <c r="BP105" s="1076"/>
      <c r="BQ105" s="1076"/>
      <c r="BR105" s="1076"/>
      <c r="BS105" s="1115"/>
      <c r="BT105" s="1076"/>
      <c r="BU105" s="1076"/>
      <c r="BV105" s="1076"/>
      <c r="BW105" s="1116"/>
      <c r="BX105" s="1115"/>
      <c r="BY105" s="1076"/>
      <c r="BZ105" s="1076"/>
      <c r="CA105" s="1076"/>
      <c r="CB105" s="1116"/>
      <c r="CC105" s="1117"/>
      <c r="CD105" s="1376"/>
      <c r="CE105" s="1377"/>
      <c r="CF105" s="1377"/>
      <c r="CG105" s="1377"/>
      <c r="CH105" s="1440"/>
      <c r="CI105" s="1420"/>
      <c r="CJ105" s="1368"/>
      <c r="CK105" s="1368"/>
      <c r="CL105" s="1368"/>
      <c r="CM105" s="1369"/>
      <c r="CN105" s="1420"/>
      <c r="CO105" s="1368"/>
      <c r="CP105" s="1368"/>
      <c r="CQ105" s="1368"/>
      <c r="CR105" s="1369"/>
      <c r="CS105" s="1420"/>
      <c r="CT105" s="1368"/>
      <c r="CU105" s="1368"/>
      <c r="CV105" s="1368"/>
      <c r="CW105" s="1369"/>
      <c r="CX105" s="1420"/>
      <c r="CY105" s="1368"/>
      <c r="CZ105" s="1368"/>
      <c r="DA105" s="1368"/>
      <c r="DB105" s="1369"/>
      <c r="DC105" s="1368"/>
      <c r="DD105" s="1368"/>
      <c r="DE105" s="1368"/>
      <c r="DF105" s="1368"/>
      <c r="DG105" s="1369"/>
      <c r="DH105" s="1420"/>
      <c r="DI105" s="1368"/>
      <c r="DJ105" s="1368"/>
      <c r="DK105" s="1368"/>
      <c r="DL105" s="1369"/>
      <c r="DM105" s="1808"/>
      <c r="DN105" s="1809"/>
      <c r="DO105" s="1809"/>
      <c r="DP105" s="1810"/>
      <c r="DQ105" s="1809"/>
      <c r="DR105" s="1809"/>
      <c r="DS105" s="1809"/>
      <c r="DT105" s="1810"/>
      <c r="DU105" s="1377"/>
      <c r="DV105" s="1729"/>
      <c r="DW105" s="1811"/>
    </row>
    <row r="106" spans="1:127" s="397" customFormat="1" ht="15.75" hidden="1" customHeight="1">
      <c r="A106" s="1097" t="s">
        <v>1064</v>
      </c>
      <c r="B106" s="1057">
        <v>97</v>
      </c>
      <c r="C106" s="1018"/>
      <c r="D106" s="1018"/>
      <c r="E106" s="1018"/>
      <c r="F106" s="1018"/>
      <c r="G106" s="1018"/>
      <c r="H106" s="1018"/>
      <c r="I106" s="1018"/>
      <c r="J106" s="1018"/>
      <c r="K106" s="1018"/>
      <c r="L106" s="1018"/>
      <c r="M106" s="1057"/>
      <c r="N106" s="1018"/>
      <c r="O106" s="1018"/>
      <c r="P106" s="1018"/>
      <c r="Q106" s="1018"/>
      <c r="R106" s="1018"/>
      <c r="S106" s="1018"/>
      <c r="T106" s="1019"/>
      <c r="U106" s="1098" t="s">
        <v>2314</v>
      </c>
      <c r="V106" s="1099" t="s">
        <v>2240</v>
      </c>
      <c r="W106" s="1099" t="s">
        <v>1907</v>
      </c>
      <c r="X106" s="1100" t="s">
        <v>2315</v>
      </c>
      <c r="Y106" s="1101" t="s">
        <v>703</v>
      </c>
      <c r="Z106" s="1102" t="s">
        <v>2316</v>
      </c>
      <c r="AA106" s="1103" t="s">
        <v>1942</v>
      </c>
      <c r="AB106" s="1104" t="s">
        <v>1942</v>
      </c>
      <c r="AC106" s="1104" t="s">
        <v>1942</v>
      </c>
      <c r="AD106" s="1104" t="s">
        <v>1942</v>
      </c>
      <c r="AE106" s="1104">
        <v>1</v>
      </c>
      <c r="AF106" s="1104" t="s">
        <v>1942</v>
      </c>
      <c r="AG106" s="1104" t="s">
        <v>1942</v>
      </c>
      <c r="AH106" s="1104" t="s">
        <v>1942</v>
      </c>
      <c r="AI106" s="1105">
        <f t="shared" si="1"/>
        <v>1</v>
      </c>
      <c r="AJ106" s="1106" t="s">
        <v>1007</v>
      </c>
      <c r="AK106" s="1106" t="s">
        <v>1942</v>
      </c>
      <c r="AL106" s="1106" t="s">
        <v>1942</v>
      </c>
      <c r="AM106" s="1107" t="s">
        <v>2117</v>
      </c>
      <c r="AN106" s="1018" t="s">
        <v>278</v>
      </c>
      <c r="AO106" s="1018" t="s">
        <v>4799</v>
      </c>
      <c r="AP106" s="1313">
        <v>1</v>
      </c>
      <c r="AQ106" s="1076" t="s">
        <v>1010</v>
      </c>
      <c r="AR106" s="1109" t="s">
        <v>703</v>
      </c>
      <c r="AS106" s="1110"/>
      <c r="AT106" s="1100"/>
      <c r="AU106" s="1100"/>
      <c r="AV106" s="1100"/>
      <c r="AW106" s="1111"/>
      <c r="AX106" s="1112"/>
      <c r="AY106" s="1075"/>
      <c r="AZ106" s="1076"/>
      <c r="BA106" s="1076"/>
      <c r="BB106" s="1076"/>
      <c r="BC106" s="1076"/>
      <c r="BD106" s="1076"/>
      <c r="BE106" s="1076"/>
      <c r="BF106" s="1076"/>
      <c r="BG106" s="1076"/>
      <c r="BH106" s="1076"/>
      <c r="BI106" s="1075" t="s">
        <v>4819</v>
      </c>
      <c r="BJ106" s="1076" t="s">
        <v>4820</v>
      </c>
      <c r="BK106" s="1076" t="s">
        <v>4821</v>
      </c>
      <c r="BL106" s="1076" t="s">
        <v>4811</v>
      </c>
      <c r="BM106" s="1076" t="s">
        <v>4822</v>
      </c>
      <c r="BN106" s="1075"/>
      <c r="BO106" s="1076"/>
      <c r="BP106" s="1076"/>
      <c r="BQ106" s="1076"/>
      <c r="BR106" s="1076"/>
      <c r="BS106" s="1115"/>
      <c r="BT106" s="1076"/>
      <c r="BU106" s="1076"/>
      <c r="BV106" s="1076"/>
      <c r="BW106" s="1116"/>
      <c r="BX106" s="1115"/>
      <c r="BY106" s="1076"/>
      <c r="BZ106" s="1076"/>
      <c r="CA106" s="1076"/>
      <c r="CB106" s="1116"/>
      <c r="CC106" s="1117"/>
      <c r="CD106" s="1118" t="s">
        <v>1942</v>
      </c>
      <c r="CE106" s="1119" t="s">
        <v>1942</v>
      </c>
      <c r="CF106" s="1119" t="s">
        <v>1942</v>
      </c>
      <c r="CG106" s="1119" t="s">
        <v>1942</v>
      </c>
      <c r="CH106" s="1120" t="s">
        <v>1942</v>
      </c>
      <c r="CI106" s="1075" t="s">
        <v>1942</v>
      </c>
      <c r="CJ106" s="1076" t="s">
        <v>1942</v>
      </c>
      <c r="CK106" s="1076" t="s">
        <v>1942</v>
      </c>
      <c r="CL106" s="1076" t="s">
        <v>1942</v>
      </c>
      <c r="CM106" s="1117" t="s">
        <v>1942</v>
      </c>
      <c r="CN106" s="1075" t="s">
        <v>1942</v>
      </c>
      <c r="CO106" s="1076" t="s">
        <v>1942</v>
      </c>
      <c r="CP106" s="1076" t="s">
        <v>1942</v>
      </c>
      <c r="CQ106" s="1076" t="s">
        <v>1942</v>
      </c>
      <c r="CR106" s="1117" t="s">
        <v>1942</v>
      </c>
      <c r="CS106" s="1075" t="s">
        <v>1942</v>
      </c>
      <c r="CT106" s="1076" t="s">
        <v>1942</v>
      </c>
      <c r="CU106" s="1076" t="s">
        <v>1942</v>
      </c>
      <c r="CV106" s="1076" t="s">
        <v>1942</v>
      </c>
      <c r="CW106" s="1117" t="s">
        <v>1942</v>
      </c>
      <c r="CX106" s="1075" t="s">
        <v>1942</v>
      </c>
      <c r="CY106" s="1076" t="s">
        <v>1942</v>
      </c>
      <c r="CZ106" s="1076" t="s">
        <v>1942</v>
      </c>
      <c r="DA106" s="1076" t="s">
        <v>1942</v>
      </c>
      <c r="DB106" s="1117" t="s">
        <v>1942</v>
      </c>
      <c r="DC106" s="1076" t="s">
        <v>1942</v>
      </c>
      <c r="DD106" s="1076" t="s">
        <v>1942</v>
      </c>
      <c r="DE106" s="1076" t="s">
        <v>1942</v>
      </c>
      <c r="DF106" s="1076" t="s">
        <v>1942</v>
      </c>
      <c r="DG106" s="1117" t="s">
        <v>1942</v>
      </c>
      <c r="DH106" s="1075" t="s">
        <v>1942</v>
      </c>
      <c r="DI106" s="1076" t="s">
        <v>1942</v>
      </c>
      <c r="DJ106" s="1076" t="s">
        <v>1942</v>
      </c>
      <c r="DK106" s="1076" t="s">
        <v>1942</v>
      </c>
      <c r="DL106" s="1117" t="s">
        <v>1942</v>
      </c>
      <c r="DM106" s="1121" t="s">
        <v>1942</v>
      </c>
      <c r="DN106" s="1122" t="s">
        <v>1942</v>
      </c>
      <c r="DO106" s="1122" t="s">
        <v>1942</v>
      </c>
      <c r="DP106" s="1123" t="s">
        <v>1942</v>
      </c>
      <c r="DQ106" s="1122" t="s">
        <v>1942</v>
      </c>
      <c r="DR106" s="1122" t="s">
        <v>1942</v>
      </c>
      <c r="DS106" s="1122" t="s">
        <v>1942</v>
      </c>
      <c r="DT106" s="1123" t="s">
        <v>1942</v>
      </c>
      <c r="DU106" s="1119" t="s">
        <v>1942</v>
      </c>
      <c r="DV106" s="1124" t="s">
        <v>1942</v>
      </c>
      <c r="DW106" s="1125" t="s">
        <v>1942</v>
      </c>
    </row>
    <row r="107" spans="1:127" s="397" customFormat="1" ht="13.15" hidden="1">
      <c r="A107" s="1097" t="s">
        <v>1064</v>
      </c>
      <c r="B107" s="1057">
        <v>98</v>
      </c>
      <c r="C107" s="1018"/>
      <c r="D107" s="1018"/>
      <c r="E107" s="1018"/>
      <c r="F107" s="1018"/>
      <c r="G107" s="1018"/>
      <c r="H107" s="1018"/>
      <c r="I107" s="1018"/>
      <c r="J107" s="1018"/>
      <c r="K107" s="1018"/>
      <c r="L107" s="1018"/>
      <c r="M107" s="1057"/>
      <c r="N107" s="1018"/>
      <c r="O107" s="1018"/>
      <c r="P107" s="1018"/>
      <c r="Q107" s="1018"/>
      <c r="R107" s="1018"/>
      <c r="S107" s="1018"/>
      <c r="T107" s="1019"/>
      <c r="U107" s="1098" t="s">
        <v>2317</v>
      </c>
      <c r="V107" s="1099" t="s">
        <v>1942</v>
      </c>
      <c r="W107" s="1099" t="s">
        <v>1942</v>
      </c>
      <c r="X107" s="1100" t="s">
        <v>2318</v>
      </c>
      <c r="Y107" s="1101" t="s">
        <v>2319</v>
      </c>
      <c r="Z107" s="1102" t="s">
        <v>1942</v>
      </c>
      <c r="AA107" s="1103" t="s">
        <v>1942</v>
      </c>
      <c r="AB107" s="1104">
        <v>1</v>
      </c>
      <c r="AC107" s="1104" t="s">
        <v>1942</v>
      </c>
      <c r="AD107" s="1104" t="s">
        <v>1942</v>
      </c>
      <c r="AE107" s="1104" t="s">
        <v>1942</v>
      </c>
      <c r="AF107" s="1104" t="s">
        <v>1942</v>
      </c>
      <c r="AG107" s="1104" t="s">
        <v>1942</v>
      </c>
      <c r="AH107" s="1104" t="s">
        <v>1942</v>
      </c>
      <c r="AI107" s="1105">
        <f t="shared" si="1"/>
        <v>1</v>
      </c>
      <c r="AJ107" s="1106" t="s">
        <v>1026</v>
      </c>
      <c r="AK107" s="1106" t="s">
        <v>1008</v>
      </c>
      <c r="AL107" s="1106" t="s">
        <v>1019</v>
      </c>
      <c r="AM107" s="1107" t="s">
        <v>1942</v>
      </c>
      <c r="AN107" s="856" t="s">
        <v>1033</v>
      </c>
      <c r="AO107" s="1018" t="s">
        <v>2320</v>
      </c>
      <c r="AP107" s="833">
        <v>0</v>
      </c>
      <c r="AQ107" s="833" t="s">
        <v>1020</v>
      </c>
      <c r="AR107" s="1109" t="s">
        <v>1942</v>
      </c>
      <c r="AS107" s="1110"/>
      <c r="AT107" s="1100"/>
      <c r="AU107" s="1100"/>
      <c r="AV107" s="1100"/>
      <c r="AW107" s="1111"/>
      <c r="AX107" s="1112"/>
      <c r="AY107" s="1075"/>
      <c r="AZ107" s="1076"/>
      <c r="BA107" s="1076"/>
      <c r="BB107" s="1076"/>
      <c r="BC107" s="1076"/>
      <c r="BD107" s="1076"/>
      <c r="BE107" s="1076"/>
      <c r="BF107" s="1076"/>
      <c r="BG107" s="1076"/>
      <c r="BH107" s="1076"/>
      <c r="BI107" s="1420"/>
      <c r="BJ107" s="1368"/>
      <c r="BK107" s="1368"/>
      <c r="BL107" s="1368"/>
      <c r="BM107" s="1368"/>
      <c r="BN107" s="1075"/>
      <c r="BO107" s="1076"/>
      <c r="BP107" s="1076"/>
      <c r="BQ107" s="1076"/>
      <c r="BR107" s="1076"/>
      <c r="BS107" s="1115"/>
      <c r="BT107" s="1076"/>
      <c r="BU107" s="1076"/>
      <c r="BV107" s="1076"/>
      <c r="BW107" s="1116"/>
      <c r="BX107" s="1115"/>
      <c r="BY107" s="1076"/>
      <c r="BZ107" s="1076"/>
      <c r="CA107" s="1076"/>
      <c r="CB107" s="1116"/>
      <c r="CC107" s="1117"/>
      <c r="CD107" s="1376"/>
      <c r="CE107" s="1377"/>
      <c r="CF107" s="1377"/>
      <c r="CG107" s="1377"/>
      <c r="CH107" s="1440"/>
      <c r="CI107" s="1420"/>
      <c r="CJ107" s="1368"/>
      <c r="CK107" s="1368"/>
      <c r="CL107" s="1368"/>
      <c r="CM107" s="1369"/>
      <c r="CN107" s="1420"/>
      <c r="CO107" s="1368"/>
      <c r="CP107" s="1368"/>
      <c r="CQ107" s="1368"/>
      <c r="CR107" s="1369"/>
      <c r="CS107" s="1420"/>
      <c r="CT107" s="1368"/>
      <c r="CU107" s="1368"/>
      <c r="CV107" s="1368"/>
      <c r="CW107" s="1369"/>
      <c r="CX107" s="1420"/>
      <c r="CY107" s="1368"/>
      <c r="CZ107" s="1368"/>
      <c r="DA107" s="1368"/>
      <c r="DB107" s="1369"/>
      <c r="DC107" s="1368"/>
      <c r="DD107" s="1368"/>
      <c r="DE107" s="1368"/>
      <c r="DF107" s="1368"/>
      <c r="DG107" s="1369"/>
      <c r="DH107" s="1420"/>
      <c r="DI107" s="1368"/>
      <c r="DJ107" s="1368"/>
      <c r="DK107" s="1368"/>
      <c r="DL107" s="1369"/>
      <c r="DM107" s="1808"/>
      <c r="DN107" s="1809"/>
      <c r="DO107" s="1809"/>
      <c r="DP107" s="1810"/>
      <c r="DQ107" s="1809"/>
      <c r="DR107" s="1809"/>
      <c r="DS107" s="1809"/>
      <c r="DT107" s="1810"/>
      <c r="DU107" s="1377"/>
      <c r="DV107" s="1729"/>
      <c r="DW107" s="1811"/>
    </row>
    <row r="108" spans="1:127" s="397" customFormat="1" ht="15.75" hidden="1" customHeight="1">
      <c r="A108" s="1097" t="s">
        <v>1064</v>
      </c>
      <c r="B108" s="1057">
        <v>99</v>
      </c>
      <c r="C108" s="1018"/>
      <c r="D108" s="1018"/>
      <c r="E108" s="1018"/>
      <c r="F108" s="1018"/>
      <c r="G108" s="1018"/>
      <c r="H108" s="1018"/>
      <c r="I108" s="1018"/>
      <c r="J108" s="1018"/>
      <c r="K108" s="1018"/>
      <c r="L108" s="1018"/>
      <c r="M108" s="1057"/>
      <c r="N108" s="1018"/>
      <c r="O108" s="1018"/>
      <c r="P108" s="1018"/>
      <c r="Q108" s="1018"/>
      <c r="R108" s="1018"/>
      <c r="S108" s="1018"/>
      <c r="T108" s="1019"/>
      <c r="U108" s="1098" t="s">
        <v>2321</v>
      </c>
      <c r="V108" s="1099" t="s">
        <v>1942</v>
      </c>
      <c r="W108" s="1099" t="s">
        <v>1942</v>
      </c>
      <c r="X108" s="1100" t="s">
        <v>2032</v>
      </c>
      <c r="Y108" s="1101" t="s">
        <v>2033</v>
      </c>
      <c r="Z108" s="1102" t="s">
        <v>1942</v>
      </c>
      <c r="AA108" s="1103" t="s">
        <v>1942</v>
      </c>
      <c r="AB108" s="1104" t="s">
        <v>1942</v>
      </c>
      <c r="AC108" s="1104" t="s">
        <v>1942</v>
      </c>
      <c r="AD108" s="1104" t="s">
        <v>1942</v>
      </c>
      <c r="AE108" s="1104" t="s">
        <v>1942</v>
      </c>
      <c r="AF108" s="1104" t="s">
        <v>1942</v>
      </c>
      <c r="AG108" s="1104" t="s">
        <v>1942</v>
      </c>
      <c r="AH108" s="1104" t="s">
        <v>1942</v>
      </c>
      <c r="AI108" s="1105">
        <f t="shared" si="1"/>
        <v>0</v>
      </c>
      <c r="AJ108" s="1106" t="s">
        <v>1007</v>
      </c>
      <c r="AK108" s="1106" t="s">
        <v>1942</v>
      </c>
      <c r="AL108" s="1106" t="s">
        <v>1942</v>
      </c>
      <c r="AM108" s="1107" t="s">
        <v>1942</v>
      </c>
      <c r="AN108" s="1018" t="s">
        <v>1942</v>
      </c>
      <c r="AO108" s="1018" t="s">
        <v>2034</v>
      </c>
      <c r="AP108" s="1313">
        <v>0</v>
      </c>
      <c r="AQ108" s="1076" t="s">
        <v>1942</v>
      </c>
      <c r="AR108" s="1109" t="s">
        <v>1942</v>
      </c>
      <c r="AS108" s="1110"/>
      <c r="AT108" s="1100"/>
      <c r="AU108" s="1100"/>
      <c r="AV108" s="1100"/>
      <c r="AW108" s="1111"/>
      <c r="AX108" s="1112"/>
      <c r="AY108" s="1075"/>
      <c r="AZ108" s="1076"/>
      <c r="BA108" s="1076"/>
      <c r="BB108" s="1076"/>
      <c r="BC108" s="1076"/>
      <c r="BD108" s="1076"/>
      <c r="BE108" s="1076"/>
      <c r="BF108" s="1076"/>
      <c r="BG108" s="1076"/>
      <c r="BH108" s="1076"/>
      <c r="BI108" s="1420"/>
      <c r="BJ108" s="1368"/>
      <c r="BK108" s="1368"/>
      <c r="BL108" s="1368"/>
      <c r="BM108" s="1368"/>
      <c r="BN108" s="1075"/>
      <c r="BO108" s="1076"/>
      <c r="BP108" s="1076"/>
      <c r="BQ108" s="1076"/>
      <c r="BR108" s="1076"/>
      <c r="BS108" s="1115"/>
      <c r="BT108" s="1076"/>
      <c r="BU108" s="1076"/>
      <c r="BV108" s="1076"/>
      <c r="BW108" s="1116"/>
      <c r="BX108" s="1115"/>
      <c r="BY108" s="1076"/>
      <c r="BZ108" s="1076"/>
      <c r="CA108" s="1076"/>
      <c r="CB108" s="1116"/>
      <c r="CC108" s="1117"/>
      <c r="CD108" s="1376"/>
      <c r="CE108" s="1377"/>
      <c r="CF108" s="1377"/>
      <c r="CG108" s="1377"/>
      <c r="CH108" s="1440"/>
      <c r="CI108" s="1420"/>
      <c r="CJ108" s="1368"/>
      <c r="CK108" s="1368"/>
      <c r="CL108" s="1368"/>
      <c r="CM108" s="1369"/>
      <c r="CN108" s="1420"/>
      <c r="CO108" s="1368"/>
      <c r="CP108" s="1368"/>
      <c r="CQ108" s="1368"/>
      <c r="CR108" s="1369"/>
      <c r="CS108" s="1420"/>
      <c r="CT108" s="1368"/>
      <c r="CU108" s="1368"/>
      <c r="CV108" s="1368"/>
      <c r="CW108" s="1369"/>
      <c r="CX108" s="1420"/>
      <c r="CY108" s="1368"/>
      <c r="CZ108" s="1368"/>
      <c r="DA108" s="1368"/>
      <c r="DB108" s="1369"/>
      <c r="DC108" s="1368"/>
      <c r="DD108" s="1368"/>
      <c r="DE108" s="1368"/>
      <c r="DF108" s="1368"/>
      <c r="DG108" s="1369"/>
      <c r="DH108" s="1420"/>
      <c r="DI108" s="1368"/>
      <c r="DJ108" s="1368"/>
      <c r="DK108" s="1368"/>
      <c r="DL108" s="1369"/>
      <c r="DM108" s="1808"/>
      <c r="DN108" s="1809"/>
      <c r="DO108" s="1809"/>
      <c r="DP108" s="1810"/>
      <c r="DQ108" s="1809"/>
      <c r="DR108" s="1809"/>
      <c r="DS108" s="1809"/>
      <c r="DT108" s="1810"/>
      <c r="DU108" s="1377"/>
      <c r="DV108" s="1729"/>
      <c r="DW108" s="1811"/>
    </row>
    <row r="109" spans="1:127" s="397" customFormat="1" ht="15.75" hidden="1" customHeight="1">
      <c r="A109" s="1097" t="s">
        <v>1064</v>
      </c>
      <c r="B109" s="1057">
        <v>100</v>
      </c>
      <c r="C109" s="1018"/>
      <c r="D109" s="1018"/>
      <c r="E109" s="1018"/>
      <c r="F109" s="1018"/>
      <c r="G109" s="1018"/>
      <c r="H109" s="1018"/>
      <c r="I109" s="1018"/>
      <c r="J109" s="1018"/>
      <c r="K109" s="1018"/>
      <c r="L109" s="1018"/>
      <c r="M109" s="1057"/>
      <c r="N109" s="1018"/>
      <c r="O109" s="1018"/>
      <c r="P109" s="1018"/>
      <c r="Q109" s="1018"/>
      <c r="R109" s="1018"/>
      <c r="S109" s="1018"/>
      <c r="T109" s="1019"/>
      <c r="U109" s="1098" t="s">
        <v>2322</v>
      </c>
      <c r="V109" s="1099" t="s">
        <v>1942</v>
      </c>
      <c r="W109" s="1099" t="s">
        <v>1942</v>
      </c>
      <c r="X109" s="1100" t="s">
        <v>2323</v>
      </c>
      <c r="Y109" s="1101" t="s">
        <v>2324</v>
      </c>
      <c r="Z109" s="1102" t="s">
        <v>1942</v>
      </c>
      <c r="AA109" s="1103" t="s">
        <v>1942</v>
      </c>
      <c r="AB109" s="1104" t="s">
        <v>1942</v>
      </c>
      <c r="AC109" s="1104" t="s">
        <v>1942</v>
      </c>
      <c r="AD109" s="1104" t="s">
        <v>1942</v>
      </c>
      <c r="AE109" s="1104" t="s">
        <v>1942</v>
      </c>
      <c r="AF109" s="1104" t="s">
        <v>1942</v>
      </c>
      <c r="AG109" s="1104" t="s">
        <v>1942</v>
      </c>
      <c r="AH109" s="1104" t="s">
        <v>1942</v>
      </c>
      <c r="AI109" s="1105">
        <f t="shared" si="1"/>
        <v>0</v>
      </c>
      <c r="AJ109" s="1106"/>
      <c r="AK109" s="1106"/>
      <c r="AL109" s="1106"/>
      <c r="AM109" s="1107"/>
      <c r="AN109" s="1018"/>
      <c r="AO109" s="1018"/>
      <c r="AP109" s="833">
        <v>1</v>
      </c>
      <c r="AQ109" s="1076"/>
      <c r="AR109" s="1109"/>
      <c r="AS109" s="1110"/>
      <c r="AT109" s="1100"/>
      <c r="AU109" s="1100"/>
      <c r="AV109" s="1100"/>
      <c r="AW109" s="1111"/>
      <c r="AX109" s="1112"/>
      <c r="AY109" s="1075"/>
      <c r="AZ109" s="1076"/>
      <c r="BA109" s="1076"/>
      <c r="BB109" s="1076"/>
      <c r="BC109" s="1076"/>
      <c r="BD109" s="1076"/>
      <c r="BE109" s="1076"/>
      <c r="BF109" s="1076"/>
      <c r="BG109" s="1076"/>
      <c r="BH109" s="1076"/>
      <c r="BI109" s="1420"/>
      <c r="BJ109" s="1368"/>
      <c r="BK109" s="1368"/>
      <c r="BL109" s="1368"/>
      <c r="BM109" s="1368"/>
      <c r="BN109" s="1075"/>
      <c r="BO109" s="1076"/>
      <c r="BP109" s="1076"/>
      <c r="BQ109" s="1076"/>
      <c r="BR109" s="1076"/>
      <c r="BS109" s="1115"/>
      <c r="BT109" s="1076"/>
      <c r="BU109" s="1076"/>
      <c r="BV109" s="1076"/>
      <c r="BW109" s="1116"/>
      <c r="BX109" s="1115"/>
      <c r="BY109" s="1076"/>
      <c r="BZ109" s="1076"/>
      <c r="CA109" s="1076"/>
      <c r="CB109" s="1116"/>
      <c r="CC109" s="1117"/>
      <c r="CD109" s="1376"/>
      <c r="CE109" s="1377"/>
      <c r="CF109" s="1377"/>
      <c r="CG109" s="1377"/>
      <c r="CH109" s="1440"/>
      <c r="CI109" s="1420"/>
      <c r="CJ109" s="1368"/>
      <c r="CK109" s="1368"/>
      <c r="CL109" s="1368"/>
      <c r="CM109" s="1369"/>
      <c r="CN109" s="1420"/>
      <c r="CO109" s="1368"/>
      <c r="CP109" s="1368"/>
      <c r="CQ109" s="1368"/>
      <c r="CR109" s="1369"/>
      <c r="CS109" s="1420"/>
      <c r="CT109" s="1368"/>
      <c r="CU109" s="1368"/>
      <c r="CV109" s="1368"/>
      <c r="CW109" s="1369"/>
      <c r="CX109" s="1420"/>
      <c r="CY109" s="1368"/>
      <c r="CZ109" s="1368"/>
      <c r="DA109" s="1368"/>
      <c r="DB109" s="1369"/>
      <c r="DC109" s="1368"/>
      <c r="DD109" s="1368"/>
      <c r="DE109" s="1368"/>
      <c r="DF109" s="1368"/>
      <c r="DG109" s="1369"/>
      <c r="DH109" s="1420"/>
      <c r="DI109" s="1368"/>
      <c r="DJ109" s="1368"/>
      <c r="DK109" s="1368"/>
      <c r="DL109" s="1369"/>
      <c r="DM109" s="1808"/>
      <c r="DN109" s="1809"/>
      <c r="DO109" s="1809"/>
      <c r="DP109" s="1810"/>
      <c r="DQ109" s="1809"/>
      <c r="DR109" s="1809"/>
      <c r="DS109" s="1809"/>
      <c r="DT109" s="1810"/>
      <c r="DU109" s="1377"/>
      <c r="DV109" s="1729"/>
      <c r="DW109" s="1811"/>
    </row>
    <row r="110" spans="1:127" s="397" customFormat="1" ht="15.75" hidden="1" customHeight="1">
      <c r="A110" s="1097" t="s">
        <v>1013</v>
      </c>
      <c r="B110" s="1057">
        <v>101</v>
      </c>
      <c r="C110" s="1018"/>
      <c r="D110" s="1018"/>
      <c r="E110" s="1018"/>
      <c r="F110" s="1018"/>
      <c r="G110" s="1018"/>
      <c r="H110" s="1018"/>
      <c r="I110" s="1018"/>
      <c r="J110" s="1018"/>
      <c r="K110" s="1018"/>
      <c r="L110" s="1018"/>
      <c r="M110" s="1057"/>
      <c r="N110" s="1018"/>
      <c r="O110" s="1018"/>
      <c r="P110" s="1018"/>
      <c r="Q110" s="1018"/>
      <c r="R110" s="1018"/>
      <c r="S110" s="1018"/>
      <c r="T110" s="1019"/>
      <c r="U110" s="1098" t="s">
        <v>2331</v>
      </c>
      <c r="V110" s="1099" t="s">
        <v>2332</v>
      </c>
      <c r="W110" s="1099" t="s">
        <v>1907</v>
      </c>
      <c r="X110" s="1100" t="s">
        <v>2333</v>
      </c>
      <c r="Y110" s="1101" t="s">
        <v>130</v>
      </c>
      <c r="Z110" s="1102" t="s">
        <v>2334</v>
      </c>
      <c r="AA110" s="1103">
        <v>0.5</v>
      </c>
      <c r="AB110" s="1104">
        <v>0.5</v>
      </c>
      <c r="AC110" s="1104" t="s">
        <v>1942</v>
      </c>
      <c r="AD110" s="1104" t="s">
        <v>1942</v>
      </c>
      <c r="AE110" s="1104" t="s">
        <v>1942</v>
      </c>
      <c r="AF110" s="1104" t="s">
        <v>1942</v>
      </c>
      <c r="AG110" s="1104" t="s">
        <v>1942</v>
      </c>
      <c r="AH110" s="1104" t="s">
        <v>1942</v>
      </c>
      <c r="AI110" s="1105">
        <f t="shared" si="1"/>
        <v>1</v>
      </c>
      <c r="AJ110" s="1106" t="s">
        <v>1026</v>
      </c>
      <c r="AK110" s="1106" t="s">
        <v>1008</v>
      </c>
      <c r="AL110" s="1106" t="s">
        <v>1009</v>
      </c>
      <c r="AM110" s="1107" t="s">
        <v>1926</v>
      </c>
      <c r="AN110" s="1018" t="s">
        <v>2177</v>
      </c>
      <c r="AO110" s="1018" t="s">
        <v>4795</v>
      </c>
      <c r="AP110" s="1332">
        <v>2</v>
      </c>
      <c r="AQ110" s="1076" t="s">
        <v>1020</v>
      </c>
      <c r="AR110" s="1109" t="s">
        <v>130</v>
      </c>
      <c r="AS110" s="1110"/>
      <c r="AT110" s="1100"/>
      <c r="AU110" s="1100"/>
      <c r="AV110" s="1100"/>
      <c r="AW110" s="1111"/>
      <c r="AX110" s="1112"/>
      <c r="AY110" s="1075"/>
      <c r="AZ110" s="1076"/>
      <c r="BA110" s="1076"/>
      <c r="BB110" s="1076"/>
      <c r="BC110" s="1076"/>
      <c r="BD110" s="1076"/>
      <c r="BE110" s="1076"/>
      <c r="BF110" s="1076"/>
      <c r="BG110" s="1126"/>
      <c r="BH110" s="1126"/>
      <c r="BI110" s="1127">
        <v>0</v>
      </c>
      <c r="BJ110" s="1126">
        <v>0</v>
      </c>
      <c r="BK110" s="1126">
        <v>0</v>
      </c>
      <c r="BL110" s="1126">
        <v>0</v>
      </c>
      <c r="BM110" s="1126">
        <v>0</v>
      </c>
      <c r="BN110" s="1075"/>
      <c r="BO110" s="1076"/>
      <c r="BP110" s="1076"/>
      <c r="BQ110" s="1076"/>
      <c r="BR110" s="1076"/>
      <c r="BS110" s="1115"/>
      <c r="BT110" s="1076"/>
      <c r="BU110" s="1076"/>
      <c r="BV110" s="1076"/>
      <c r="BW110" s="1116"/>
      <c r="BX110" s="1115"/>
      <c r="BY110" s="1076"/>
      <c r="BZ110" s="1076"/>
      <c r="CA110" s="1076"/>
      <c r="CB110" s="1116"/>
      <c r="CC110" s="1117"/>
      <c r="CD110" s="1118" t="s">
        <v>168</v>
      </c>
      <c r="CE110" s="1119" t="s">
        <v>168</v>
      </c>
      <c r="CF110" s="1119" t="s">
        <v>168</v>
      </c>
      <c r="CG110" s="1119" t="s">
        <v>168</v>
      </c>
      <c r="CH110" s="1120" t="s">
        <v>168</v>
      </c>
      <c r="CI110" s="1075" t="s">
        <v>1942</v>
      </c>
      <c r="CJ110" s="1076" t="s">
        <v>1942</v>
      </c>
      <c r="CK110" s="1076" t="s">
        <v>1942</v>
      </c>
      <c r="CL110" s="1076" t="s">
        <v>1942</v>
      </c>
      <c r="CM110" s="1117" t="s">
        <v>1942</v>
      </c>
      <c r="CN110" s="1075">
        <v>9.5</v>
      </c>
      <c r="CO110" s="1076">
        <v>9.5</v>
      </c>
      <c r="CP110" s="1076">
        <v>9.5</v>
      </c>
      <c r="CQ110" s="1076">
        <v>9.5</v>
      </c>
      <c r="CR110" s="1117">
        <v>9.5</v>
      </c>
      <c r="CS110" s="1075">
        <v>2</v>
      </c>
      <c r="CT110" s="1076">
        <v>2</v>
      </c>
      <c r="CU110" s="1076">
        <v>2</v>
      </c>
      <c r="CV110" s="1076">
        <v>2</v>
      </c>
      <c r="CW110" s="1117">
        <v>2</v>
      </c>
      <c r="CX110" s="1075" t="s">
        <v>1942</v>
      </c>
      <c r="CY110" s="1076" t="s">
        <v>1942</v>
      </c>
      <c r="CZ110" s="1076" t="s">
        <v>1942</v>
      </c>
      <c r="DA110" s="1076" t="s">
        <v>1942</v>
      </c>
      <c r="DB110" s="1117" t="s">
        <v>1942</v>
      </c>
      <c r="DC110" s="1076" t="s">
        <v>1942</v>
      </c>
      <c r="DD110" s="1076" t="s">
        <v>1942</v>
      </c>
      <c r="DE110" s="1076" t="s">
        <v>1942</v>
      </c>
      <c r="DF110" s="1076" t="s">
        <v>1942</v>
      </c>
      <c r="DG110" s="1117" t="s">
        <v>1942</v>
      </c>
      <c r="DH110" s="1075" t="s">
        <v>1942</v>
      </c>
      <c r="DI110" s="1076" t="s">
        <v>1942</v>
      </c>
      <c r="DJ110" s="1076" t="s">
        <v>1942</v>
      </c>
      <c r="DK110" s="1076" t="s">
        <v>1942</v>
      </c>
      <c r="DL110" s="1117" t="s">
        <v>1942</v>
      </c>
      <c r="DM110" s="1121">
        <v>-3.3000000000000002E-2</v>
      </c>
      <c r="DN110" s="1122" t="s">
        <v>1942</v>
      </c>
      <c r="DO110" s="1122" t="s">
        <v>1942</v>
      </c>
      <c r="DP110" s="1123" t="s">
        <v>1942</v>
      </c>
      <c r="DQ110" s="1122">
        <v>0</v>
      </c>
      <c r="DR110" s="1122" t="s">
        <v>1942</v>
      </c>
      <c r="DS110" s="1122" t="s">
        <v>1942</v>
      </c>
      <c r="DT110" s="1123" t="s">
        <v>1942</v>
      </c>
      <c r="DU110" s="1119" t="s">
        <v>1942</v>
      </c>
      <c r="DV110" s="1124">
        <v>1</v>
      </c>
      <c r="DW110" s="1125" t="s">
        <v>1942</v>
      </c>
    </row>
    <row r="111" spans="1:127" s="397" customFormat="1" ht="15.75" hidden="1" customHeight="1">
      <c r="A111" s="1097" t="s">
        <v>1013</v>
      </c>
      <c r="B111" s="1057">
        <v>102</v>
      </c>
      <c r="C111" s="1018"/>
      <c r="D111" s="1018"/>
      <c r="E111" s="1018"/>
      <c r="F111" s="1018"/>
      <c r="G111" s="1018"/>
      <c r="H111" s="1018"/>
      <c r="I111" s="1018"/>
      <c r="J111" s="1018"/>
      <c r="K111" s="1018"/>
      <c r="L111" s="1018"/>
      <c r="M111" s="1057"/>
      <c r="N111" s="1018"/>
      <c r="O111" s="1018"/>
      <c r="P111" s="1018"/>
      <c r="Q111" s="1018"/>
      <c r="R111" s="1018"/>
      <c r="S111" s="1018"/>
      <c r="T111" s="1019"/>
      <c r="U111" s="1098" t="s">
        <v>2336</v>
      </c>
      <c r="V111" s="1099" t="s">
        <v>2332</v>
      </c>
      <c r="W111" s="1099" t="s">
        <v>1889</v>
      </c>
      <c r="X111" s="1100" t="s">
        <v>2337</v>
      </c>
      <c r="Y111" s="1101" t="s">
        <v>2338</v>
      </c>
      <c r="Z111" s="1102" t="s">
        <v>2339</v>
      </c>
      <c r="AA111" s="1103">
        <v>0.5</v>
      </c>
      <c r="AB111" s="1104">
        <v>0.5</v>
      </c>
      <c r="AC111" s="1104" t="s">
        <v>1942</v>
      </c>
      <c r="AD111" s="1104" t="s">
        <v>1942</v>
      </c>
      <c r="AE111" s="1104" t="s">
        <v>1942</v>
      </c>
      <c r="AF111" s="1104" t="s">
        <v>1942</v>
      </c>
      <c r="AG111" s="1104" t="s">
        <v>1942</v>
      </c>
      <c r="AH111" s="1104" t="s">
        <v>1942</v>
      </c>
      <c r="AI111" s="1105">
        <f t="shared" si="1"/>
        <v>1</v>
      </c>
      <c r="AJ111" s="1106" t="s">
        <v>1030</v>
      </c>
      <c r="AK111" s="1106" t="s">
        <v>1008</v>
      </c>
      <c r="AL111" s="1106" t="s">
        <v>1009</v>
      </c>
      <c r="AM111" s="1107" t="s">
        <v>2149</v>
      </c>
      <c r="AN111" s="1018" t="s">
        <v>396</v>
      </c>
      <c r="AO111" s="1018" t="s">
        <v>4798</v>
      </c>
      <c r="AP111" s="1333">
        <v>0</v>
      </c>
      <c r="AQ111" s="1076" t="s">
        <v>1020</v>
      </c>
      <c r="AR111" s="1109"/>
      <c r="AS111" s="1110"/>
      <c r="AT111" s="1100"/>
      <c r="AU111" s="1100"/>
      <c r="AV111" s="1100"/>
      <c r="AW111" s="1111"/>
      <c r="AX111" s="1112"/>
      <c r="AY111" s="1075"/>
      <c r="AZ111" s="1076"/>
      <c r="BA111" s="1076"/>
      <c r="BB111" s="1076"/>
      <c r="BC111" s="1076"/>
      <c r="BD111" s="1076"/>
      <c r="BE111" s="1076"/>
      <c r="BF111" s="1076"/>
      <c r="BG111" s="1126"/>
      <c r="BH111" s="1126"/>
      <c r="BI111" s="1725"/>
      <c r="BJ111" s="1726"/>
      <c r="BK111" s="1726"/>
      <c r="BL111" s="1726"/>
      <c r="BM111" s="1726"/>
      <c r="BN111" s="1075"/>
      <c r="BO111" s="1076"/>
      <c r="BP111" s="1076"/>
      <c r="BQ111" s="1076"/>
      <c r="BR111" s="1076"/>
      <c r="BS111" s="1115"/>
      <c r="BT111" s="1076"/>
      <c r="BU111" s="1076"/>
      <c r="BV111" s="1076"/>
      <c r="BW111" s="1116"/>
      <c r="BX111" s="1115"/>
      <c r="BY111" s="1076"/>
      <c r="BZ111" s="1076"/>
      <c r="CA111" s="1076"/>
      <c r="CB111" s="1116"/>
      <c r="CC111" s="1117"/>
      <c r="CD111" s="1376"/>
      <c r="CE111" s="1377"/>
      <c r="CF111" s="1377"/>
      <c r="CG111" s="1377"/>
      <c r="CH111" s="1440"/>
      <c r="CI111" s="1420"/>
      <c r="CJ111" s="1368"/>
      <c r="CK111" s="1368"/>
      <c r="CL111" s="1368"/>
      <c r="CM111" s="1369"/>
      <c r="CN111" s="1420"/>
      <c r="CO111" s="1368"/>
      <c r="CP111" s="1368"/>
      <c r="CQ111" s="1368"/>
      <c r="CR111" s="1369"/>
      <c r="CS111" s="1420"/>
      <c r="CT111" s="1368"/>
      <c r="CU111" s="1368"/>
      <c r="CV111" s="1368"/>
      <c r="CW111" s="1369"/>
      <c r="CX111" s="1420"/>
      <c r="CY111" s="1368"/>
      <c r="CZ111" s="1368"/>
      <c r="DA111" s="1368"/>
      <c r="DB111" s="1369"/>
      <c r="DC111" s="1368"/>
      <c r="DD111" s="1368"/>
      <c r="DE111" s="1368"/>
      <c r="DF111" s="1368"/>
      <c r="DG111" s="1369"/>
      <c r="DH111" s="1420"/>
      <c r="DI111" s="1368"/>
      <c r="DJ111" s="1368"/>
      <c r="DK111" s="1368"/>
      <c r="DL111" s="1369"/>
      <c r="DM111" s="1808"/>
      <c r="DN111" s="1809"/>
      <c r="DO111" s="1809"/>
      <c r="DP111" s="1810"/>
      <c r="DQ111" s="1809"/>
      <c r="DR111" s="1809"/>
      <c r="DS111" s="1809"/>
      <c r="DT111" s="1810"/>
      <c r="DU111" s="1377"/>
      <c r="DV111" s="1729"/>
      <c r="DW111" s="1811"/>
    </row>
    <row r="112" spans="1:127" s="397" customFormat="1" ht="15.75" hidden="1" customHeight="1">
      <c r="A112" s="1097" t="s">
        <v>1013</v>
      </c>
      <c r="B112" s="1057">
        <v>103</v>
      </c>
      <c r="C112" s="1018"/>
      <c r="D112" s="1018"/>
      <c r="E112" s="1018"/>
      <c r="F112" s="1018"/>
      <c r="G112" s="1018"/>
      <c r="H112" s="1018"/>
      <c r="I112" s="1018"/>
      <c r="J112" s="1018"/>
      <c r="K112" s="1018"/>
      <c r="L112" s="1018"/>
      <c r="M112" s="1057"/>
      <c r="N112" s="1018"/>
      <c r="O112" s="1018"/>
      <c r="P112" s="1018"/>
      <c r="Q112" s="1018"/>
      <c r="R112" s="1018"/>
      <c r="S112" s="1018"/>
      <c r="T112" s="1019"/>
      <c r="U112" s="1098" t="s">
        <v>2341</v>
      </c>
      <c r="V112" s="1099" t="s">
        <v>2332</v>
      </c>
      <c r="W112" s="1099" t="s">
        <v>1907</v>
      </c>
      <c r="X112" s="1100" t="s">
        <v>2342</v>
      </c>
      <c r="Y112" s="1101" t="s">
        <v>2343</v>
      </c>
      <c r="Z112" s="1102" t="s">
        <v>2344</v>
      </c>
      <c r="AA112" s="1103" t="s">
        <v>1942</v>
      </c>
      <c r="AB112" s="1104">
        <v>1</v>
      </c>
      <c r="AC112" s="1104" t="s">
        <v>1942</v>
      </c>
      <c r="AD112" s="1104" t="s">
        <v>1942</v>
      </c>
      <c r="AE112" s="1104" t="s">
        <v>1942</v>
      </c>
      <c r="AF112" s="1104" t="s">
        <v>1942</v>
      </c>
      <c r="AG112" s="1104" t="s">
        <v>1942</v>
      </c>
      <c r="AH112" s="1104" t="s">
        <v>1942</v>
      </c>
      <c r="AI112" s="1105">
        <f t="shared" si="1"/>
        <v>1</v>
      </c>
      <c r="AJ112" s="1106" t="s">
        <v>1030</v>
      </c>
      <c r="AK112" s="1106" t="s">
        <v>1008</v>
      </c>
      <c r="AL112" s="1106" t="s">
        <v>1009</v>
      </c>
      <c r="AM112" s="1107" t="s">
        <v>2345</v>
      </c>
      <c r="AN112" s="1018" t="s">
        <v>1033</v>
      </c>
      <c r="AO112" s="1018" t="s">
        <v>2346</v>
      </c>
      <c r="AP112" s="1333">
        <v>0</v>
      </c>
      <c r="AQ112" s="1076" t="s">
        <v>1010</v>
      </c>
      <c r="AR112" s="1109" t="s">
        <v>1942</v>
      </c>
      <c r="AS112" s="1110"/>
      <c r="AT112" s="1100"/>
      <c r="AU112" s="1100"/>
      <c r="AV112" s="1100"/>
      <c r="AW112" s="1111"/>
      <c r="AX112" s="1112"/>
      <c r="AY112" s="1075"/>
      <c r="AZ112" s="1076"/>
      <c r="BA112" s="1076"/>
      <c r="BB112" s="1076"/>
      <c r="BC112" s="1076"/>
      <c r="BD112" s="1076"/>
      <c r="BE112" s="1076"/>
      <c r="BF112" s="1076"/>
      <c r="BG112" s="1076"/>
      <c r="BH112" s="1076"/>
      <c r="BI112" s="1420"/>
      <c r="BJ112" s="1368"/>
      <c r="BK112" s="1368"/>
      <c r="BL112" s="1368"/>
      <c r="BM112" s="1368"/>
      <c r="BN112" s="1075"/>
      <c r="BO112" s="1076"/>
      <c r="BP112" s="1076"/>
      <c r="BQ112" s="1076"/>
      <c r="BR112" s="1076"/>
      <c r="BS112" s="1115"/>
      <c r="BT112" s="1076"/>
      <c r="BU112" s="1076"/>
      <c r="BV112" s="1076"/>
      <c r="BW112" s="1116"/>
      <c r="BX112" s="1115"/>
      <c r="BY112" s="1076"/>
      <c r="BZ112" s="1076"/>
      <c r="CA112" s="1076"/>
      <c r="CB112" s="1116"/>
      <c r="CC112" s="1117"/>
      <c r="CD112" s="1376"/>
      <c r="CE112" s="1377"/>
      <c r="CF112" s="1377"/>
      <c r="CG112" s="1377"/>
      <c r="CH112" s="1440"/>
      <c r="CI112" s="1420"/>
      <c r="CJ112" s="1368"/>
      <c r="CK112" s="1368"/>
      <c r="CL112" s="1368"/>
      <c r="CM112" s="1369"/>
      <c r="CN112" s="1420"/>
      <c r="CO112" s="1368"/>
      <c r="CP112" s="1368"/>
      <c r="CQ112" s="1368"/>
      <c r="CR112" s="1369"/>
      <c r="CS112" s="1420"/>
      <c r="CT112" s="1368"/>
      <c r="CU112" s="1368"/>
      <c r="CV112" s="1368"/>
      <c r="CW112" s="1369"/>
      <c r="CX112" s="1420"/>
      <c r="CY112" s="1368"/>
      <c r="CZ112" s="1368"/>
      <c r="DA112" s="1368"/>
      <c r="DB112" s="1369"/>
      <c r="DC112" s="1368"/>
      <c r="DD112" s="1368"/>
      <c r="DE112" s="1368"/>
      <c r="DF112" s="1368"/>
      <c r="DG112" s="1369"/>
      <c r="DH112" s="1420"/>
      <c r="DI112" s="1368"/>
      <c r="DJ112" s="1368"/>
      <c r="DK112" s="1368"/>
      <c r="DL112" s="1369"/>
      <c r="DM112" s="1808"/>
      <c r="DN112" s="1809"/>
      <c r="DO112" s="1809"/>
      <c r="DP112" s="1810"/>
      <c r="DQ112" s="1809"/>
      <c r="DR112" s="1809"/>
      <c r="DS112" s="1809"/>
      <c r="DT112" s="1810"/>
      <c r="DU112" s="1377"/>
      <c r="DV112" s="1729"/>
      <c r="DW112" s="1811"/>
    </row>
    <row r="113" spans="1:127" s="397" customFormat="1" ht="15.75" hidden="1" customHeight="1">
      <c r="A113" s="1097" t="s">
        <v>1013</v>
      </c>
      <c r="B113" s="1057">
        <v>104</v>
      </c>
      <c r="C113" s="1018"/>
      <c r="D113" s="1018"/>
      <c r="E113" s="1018"/>
      <c r="F113" s="1018"/>
      <c r="G113" s="1018"/>
      <c r="H113" s="1018"/>
      <c r="I113" s="1018"/>
      <c r="J113" s="1018"/>
      <c r="K113" s="1018"/>
      <c r="L113" s="1018"/>
      <c r="M113" s="1057"/>
      <c r="N113" s="1018"/>
      <c r="O113" s="1018"/>
      <c r="P113" s="1018"/>
      <c r="Q113" s="1018"/>
      <c r="R113" s="1018"/>
      <c r="S113" s="1018"/>
      <c r="T113" s="1019"/>
      <c r="U113" s="1098" t="s">
        <v>2347</v>
      </c>
      <c r="V113" s="1099" t="s">
        <v>2348</v>
      </c>
      <c r="W113" s="1099" t="s">
        <v>1889</v>
      </c>
      <c r="X113" s="1100" t="s">
        <v>2349</v>
      </c>
      <c r="Y113" s="1101" t="s">
        <v>137</v>
      </c>
      <c r="Z113" s="1102" t="s">
        <v>2350</v>
      </c>
      <c r="AA113" s="1103">
        <v>0.5</v>
      </c>
      <c r="AB113" s="1104">
        <v>0.5</v>
      </c>
      <c r="AC113" s="1104" t="s">
        <v>1942</v>
      </c>
      <c r="AD113" s="1104" t="s">
        <v>1942</v>
      </c>
      <c r="AE113" s="1104" t="s">
        <v>1942</v>
      </c>
      <c r="AF113" s="1104" t="s">
        <v>1942</v>
      </c>
      <c r="AG113" s="1104" t="s">
        <v>1942</v>
      </c>
      <c r="AH113" s="1104" t="s">
        <v>1942</v>
      </c>
      <c r="AI113" s="1105">
        <f t="shared" si="1"/>
        <v>1</v>
      </c>
      <c r="AJ113" s="1106" t="s">
        <v>1026</v>
      </c>
      <c r="AK113" s="1106" t="s">
        <v>1008</v>
      </c>
      <c r="AL113" s="1106" t="s">
        <v>1009</v>
      </c>
      <c r="AM113" s="1107" t="s">
        <v>1892</v>
      </c>
      <c r="AN113" s="1018" t="s">
        <v>4789</v>
      </c>
      <c r="AO113" s="1018" t="s">
        <v>4790</v>
      </c>
      <c r="AP113" s="1332">
        <v>0</v>
      </c>
      <c r="AQ113" s="1076" t="s">
        <v>1020</v>
      </c>
      <c r="AR113" s="1109" t="s">
        <v>137</v>
      </c>
      <c r="AS113" s="1110"/>
      <c r="AT113" s="1100"/>
      <c r="AU113" s="1100"/>
      <c r="AV113" s="1100"/>
      <c r="AW113" s="1111"/>
      <c r="AX113" s="1112"/>
      <c r="AY113" s="1075"/>
      <c r="AZ113" s="1076"/>
      <c r="BA113" s="1076"/>
      <c r="BB113" s="1076"/>
      <c r="BC113" s="1076"/>
      <c r="BD113" s="1076"/>
      <c r="BE113" s="1076"/>
      <c r="BF113" s="1076"/>
      <c r="BG113" s="1149"/>
      <c r="BH113" s="1150"/>
      <c r="BI113" s="1149">
        <v>4.5138888888888893E-3</v>
      </c>
      <c r="BJ113" s="1150">
        <v>4.2592592592592595E-3</v>
      </c>
      <c r="BK113" s="1150">
        <v>3.9930555555555561E-3</v>
      </c>
      <c r="BL113" s="1150">
        <v>3.7384259259259263E-3</v>
      </c>
      <c r="BM113" s="1150">
        <v>3.472222222222222E-3</v>
      </c>
      <c r="BN113" s="1075"/>
      <c r="BO113" s="1076"/>
      <c r="BP113" s="1076"/>
      <c r="BQ113" s="1076"/>
      <c r="BR113" s="1076"/>
      <c r="BS113" s="1115"/>
      <c r="BT113" s="1076"/>
      <c r="BU113" s="1076"/>
      <c r="BV113" s="1076"/>
      <c r="BW113" s="1116"/>
      <c r="BX113" s="1115"/>
      <c r="BY113" s="1076"/>
      <c r="BZ113" s="1076"/>
      <c r="CA113" s="1076"/>
      <c r="CB113" s="1116"/>
      <c r="CC113" s="1117"/>
      <c r="CD113" s="1118" t="s">
        <v>168</v>
      </c>
      <c r="CE113" s="1119" t="s">
        <v>168</v>
      </c>
      <c r="CF113" s="1119" t="s">
        <v>168</v>
      </c>
      <c r="CG113" s="1119" t="s">
        <v>168</v>
      </c>
      <c r="CH113" s="1120" t="s">
        <v>168</v>
      </c>
      <c r="CI113" s="1149" t="s">
        <v>1942</v>
      </c>
      <c r="CJ113" s="1150" t="s">
        <v>1942</v>
      </c>
      <c r="CK113" s="1150" t="s">
        <v>1942</v>
      </c>
      <c r="CL113" s="1150" t="s">
        <v>1942</v>
      </c>
      <c r="CM113" s="1153" t="s">
        <v>1942</v>
      </c>
      <c r="CN113" s="1149">
        <v>1.5798611111111114E-2</v>
      </c>
      <c r="CO113" s="1150">
        <v>1.5798611111111114E-2</v>
      </c>
      <c r="CP113" s="1150">
        <v>1.5798611111111114E-2</v>
      </c>
      <c r="CQ113" s="1150">
        <v>1.5798611111111114E-2</v>
      </c>
      <c r="CR113" s="1153">
        <v>1.5798611111111114E-2</v>
      </c>
      <c r="CS113" s="1149" t="s">
        <v>1942</v>
      </c>
      <c r="CT113" s="1150" t="s">
        <v>1942</v>
      </c>
      <c r="CU113" s="1150" t="s">
        <v>1942</v>
      </c>
      <c r="CV113" s="1150" t="s">
        <v>1942</v>
      </c>
      <c r="CW113" s="1153" t="s">
        <v>1942</v>
      </c>
      <c r="CX113" s="1149" t="s">
        <v>1942</v>
      </c>
      <c r="CY113" s="1150" t="s">
        <v>1942</v>
      </c>
      <c r="CZ113" s="1150" t="s">
        <v>1942</v>
      </c>
      <c r="DA113" s="1150" t="s">
        <v>1942</v>
      </c>
      <c r="DB113" s="1153" t="s">
        <v>1942</v>
      </c>
      <c r="DC113" s="1150" t="s">
        <v>1942</v>
      </c>
      <c r="DD113" s="1150" t="s">
        <v>1942</v>
      </c>
      <c r="DE113" s="1150" t="s">
        <v>1942</v>
      </c>
      <c r="DF113" s="1150" t="s">
        <v>1942</v>
      </c>
      <c r="DG113" s="1153" t="s">
        <v>1942</v>
      </c>
      <c r="DH113" s="1149" t="s">
        <v>1942</v>
      </c>
      <c r="DI113" s="1150" t="s">
        <v>1942</v>
      </c>
      <c r="DJ113" s="1150" t="s">
        <v>1942</v>
      </c>
      <c r="DK113" s="1150" t="s">
        <v>1942</v>
      </c>
      <c r="DL113" s="1153" t="s">
        <v>1942</v>
      </c>
      <c r="DM113" s="1121">
        <v>-3.7999999999999999E-2</v>
      </c>
      <c r="DN113" s="1122" t="s">
        <v>1942</v>
      </c>
      <c r="DO113" s="1122" t="s">
        <v>1942</v>
      </c>
      <c r="DP113" s="1123" t="s">
        <v>1942</v>
      </c>
      <c r="DQ113" s="1122" t="s">
        <v>1942</v>
      </c>
      <c r="DR113" s="1122" t="s">
        <v>1942</v>
      </c>
      <c r="DS113" s="1122" t="s">
        <v>1942</v>
      </c>
      <c r="DT113" s="1123" t="s">
        <v>1942</v>
      </c>
      <c r="DU113" s="1119" t="s">
        <v>1942</v>
      </c>
      <c r="DV113" s="1124">
        <v>1</v>
      </c>
      <c r="DW113" s="1125" t="s">
        <v>1942</v>
      </c>
    </row>
    <row r="114" spans="1:127" s="397" customFormat="1" ht="15.75" hidden="1" customHeight="1">
      <c r="A114" s="1054" t="s">
        <v>1013</v>
      </c>
      <c r="B114" s="1055">
        <v>105</v>
      </c>
      <c r="C114" s="1143"/>
      <c r="D114" s="1143"/>
      <c r="E114" s="1143"/>
      <c r="F114" s="1143"/>
      <c r="G114" s="1143"/>
      <c r="H114" s="1143"/>
      <c r="I114" s="1143"/>
      <c r="J114" s="1143"/>
      <c r="K114" s="1143"/>
      <c r="L114" s="1143"/>
      <c r="M114" s="1055"/>
      <c r="N114" s="1143"/>
      <c r="O114" s="1143"/>
      <c r="P114" s="1143"/>
      <c r="Q114" s="1143"/>
      <c r="R114" s="1143"/>
      <c r="S114" s="1143"/>
      <c r="T114" s="1058"/>
      <c r="U114" s="1059" t="s">
        <v>2352</v>
      </c>
      <c r="V114" s="1060" t="s">
        <v>2348</v>
      </c>
      <c r="W114" s="1060" t="s">
        <v>1889</v>
      </c>
      <c r="X114" s="1061" t="s">
        <v>2353</v>
      </c>
      <c r="Y114" s="1062" t="s">
        <v>669</v>
      </c>
      <c r="Z114" s="1063" t="s">
        <v>2354</v>
      </c>
      <c r="AA114" s="1064" t="s">
        <v>1942</v>
      </c>
      <c r="AB114" s="1065">
        <v>1</v>
      </c>
      <c r="AC114" s="1065" t="s">
        <v>1942</v>
      </c>
      <c r="AD114" s="1065" t="s">
        <v>1942</v>
      </c>
      <c r="AE114" s="1065" t="s">
        <v>1942</v>
      </c>
      <c r="AF114" s="1065" t="s">
        <v>1942</v>
      </c>
      <c r="AG114" s="1065" t="s">
        <v>1942</v>
      </c>
      <c r="AH114" s="1065" t="s">
        <v>1942</v>
      </c>
      <c r="AI114" s="1066">
        <f t="shared" si="1"/>
        <v>1</v>
      </c>
      <c r="AJ114" s="1067" t="s">
        <v>1026</v>
      </c>
      <c r="AK114" s="1067" t="s">
        <v>1008</v>
      </c>
      <c r="AL114" s="1067" t="s">
        <v>1009</v>
      </c>
      <c r="AM114" s="1068" t="s">
        <v>669</v>
      </c>
      <c r="AN114" s="1062" t="s">
        <v>278</v>
      </c>
      <c r="AO114" s="1062" t="s">
        <v>4791</v>
      </c>
      <c r="AP114" s="1332">
        <v>1</v>
      </c>
      <c r="AQ114" s="833" t="s">
        <v>1010</v>
      </c>
      <c r="AR114" s="1071" t="s">
        <v>669</v>
      </c>
      <c r="AS114" s="1072"/>
      <c r="AT114" s="1061"/>
      <c r="AU114" s="1061"/>
      <c r="AV114" s="1061"/>
      <c r="AW114" s="1073"/>
      <c r="AX114" s="1074"/>
      <c r="AY114" s="1079"/>
      <c r="AZ114" s="1080"/>
      <c r="BA114" s="1080"/>
      <c r="BB114" s="1080"/>
      <c r="BC114" s="1080"/>
      <c r="BD114" s="1080"/>
      <c r="BE114" s="1080"/>
      <c r="BF114" s="1080"/>
      <c r="BG114" s="1077"/>
      <c r="BH114" s="1077"/>
      <c r="BI114" s="1078">
        <v>1.2</v>
      </c>
      <c r="BJ114" s="1077">
        <v>3.4</v>
      </c>
      <c r="BK114" s="1077">
        <v>6.4</v>
      </c>
      <c r="BL114" s="1077">
        <v>9.4</v>
      </c>
      <c r="BM114" s="1077">
        <v>12.4</v>
      </c>
      <c r="BN114" s="1079"/>
      <c r="BO114" s="1080"/>
      <c r="BP114" s="1080"/>
      <c r="BQ114" s="1080"/>
      <c r="BR114" s="1080"/>
      <c r="BS114" s="1081"/>
      <c r="BT114" s="1080"/>
      <c r="BU114" s="1080"/>
      <c r="BV114" s="1080"/>
      <c r="BW114" s="1082"/>
      <c r="BX114" s="1081"/>
      <c r="BY114" s="1080"/>
      <c r="BZ114" s="1080"/>
      <c r="CA114" s="1080"/>
      <c r="CB114" s="1082"/>
      <c r="CC114" s="1083"/>
      <c r="CD114" s="1084" t="s">
        <v>168</v>
      </c>
      <c r="CE114" s="1085" t="s">
        <v>168</v>
      </c>
      <c r="CF114" s="1085" t="s">
        <v>168</v>
      </c>
      <c r="CG114" s="1085" t="s">
        <v>168</v>
      </c>
      <c r="CH114" s="1086" t="s">
        <v>168</v>
      </c>
      <c r="CI114" s="1089" t="s">
        <v>1942</v>
      </c>
      <c r="CJ114" s="1087" t="s">
        <v>1942</v>
      </c>
      <c r="CK114" s="1087" t="s">
        <v>1942</v>
      </c>
      <c r="CL114" s="1087" t="s">
        <v>1942</v>
      </c>
      <c r="CM114" s="1088" t="s">
        <v>1942</v>
      </c>
      <c r="CN114" s="1089">
        <v>-5</v>
      </c>
      <c r="CO114" s="1087">
        <v>-5</v>
      </c>
      <c r="CP114" s="1087">
        <v>-5</v>
      </c>
      <c r="CQ114" s="1087">
        <v>-5</v>
      </c>
      <c r="CR114" s="1088">
        <v>-5</v>
      </c>
      <c r="CS114" s="1079" t="s">
        <v>1942</v>
      </c>
      <c r="CT114" s="1080" t="s">
        <v>1942</v>
      </c>
      <c r="CU114" s="1080" t="s">
        <v>1942</v>
      </c>
      <c r="CV114" s="1080" t="s">
        <v>1942</v>
      </c>
      <c r="CW114" s="1083" t="s">
        <v>1942</v>
      </c>
      <c r="CX114" s="1079" t="s">
        <v>1942</v>
      </c>
      <c r="CY114" s="1080" t="s">
        <v>1942</v>
      </c>
      <c r="CZ114" s="1080" t="s">
        <v>1942</v>
      </c>
      <c r="DA114" s="1080" t="s">
        <v>1942</v>
      </c>
      <c r="DB114" s="1083" t="s">
        <v>1942</v>
      </c>
      <c r="DC114" s="1151" t="s">
        <v>1942</v>
      </c>
      <c r="DD114" s="1080" t="s">
        <v>1942</v>
      </c>
      <c r="DE114" s="1080" t="s">
        <v>1942</v>
      </c>
      <c r="DF114" s="1080" t="s">
        <v>1942</v>
      </c>
      <c r="DG114" s="1083" t="s">
        <v>1942</v>
      </c>
      <c r="DH114" s="1089" t="s">
        <v>1942</v>
      </c>
      <c r="DI114" s="1080" t="s">
        <v>1942</v>
      </c>
      <c r="DJ114" s="1080" t="s">
        <v>1942</v>
      </c>
      <c r="DK114" s="1080" t="s">
        <v>1942</v>
      </c>
      <c r="DL114" s="1083" t="s">
        <v>1942</v>
      </c>
      <c r="DM114" s="1091">
        <v>-0.10199999999999999</v>
      </c>
      <c r="DN114" s="1092" t="s">
        <v>1942</v>
      </c>
      <c r="DO114" s="1092" t="s">
        <v>1942</v>
      </c>
      <c r="DP114" s="1093" t="s">
        <v>1942</v>
      </c>
      <c r="DQ114" s="1092" t="s">
        <v>1942</v>
      </c>
      <c r="DR114" s="1092" t="s">
        <v>1942</v>
      </c>
      <c r="DS114" s="1092" t="s">
        <v>1942</v>
      </c>
      <c r="DT114" s="1093" t="s">
        <v>1942</v>
      </c>
      <c r="DU114" s="1085" t="s">
        <v>1942</v>
      </c>
      <c r="DV114" s="1094">
        <v>1</v>
      </c>
      <c r="DW114" s="1095" t="s">
        <v>1942</v>
      </c>
    </row>
    <row r="115" spans="1:127" s="397" customFormat="1" ht="15.75" hidden="1" customHeight="1">
      <c r="A115" s="1054" t="s">
        <v>1013</v>
      </c>
      <c r="B115" s="1055">
        <v>106</v>
      </c>
      <c r="C115" s="1143"/>
      <c r="D115" s="1143"/>
      <c r="E115" s="1143"/>
      <c r="F115" s="1143"/>
      <c r="G115" s="1143"/>
      <c r="H115" s="1143"/>
      <c r="I115" s="1143"/>
      <c r="J115" s="1143"/>
      <c r="K115" s="1143"/>
      <c r="L115" s="1143"/>
      <c r="M115" s="1055"/>
      <c r="N115" s="1143"/>
      <c r="O115" s="1143"/>
      <c r="P115" s="1143"/>
      <c r="Q115" s="1143"/>
      <c r="R115" s="1143"/>
      <c r="S115" s="1143"/>
      <c r="T115" s="1058"/>
      <c r="U115" s="1059" t="s">
        <v>2355</v>
      </c>
      <c r="V115" s="1060" t="s">
        <v>2348</v>
      </c>
      <c r="W115" s="1060" t="s">
        <v>1889</v>
      </c>
      <c r="X115" s="1061" t="s">
        <v>2356</v>
      </c>
      <c r="Y115" s="1062" t="s">
        <v>1902</v>
      </c>
      <c r="Z115" s="1063" t="s">
        <v>2357</v>
      </c>
      <c r="AA115" s="1064">
        <v>0.5</v>
      </c>
      <c r="AB115" s="1065">
        <v>0.5</v>
      </c>
      <c r="AC115" s="1065" t="s">
        <v>1942</v>
      </c>
      <c r="AD115" s="1065" t="s">
        <v>1942</v>
      </c>
      <c r="AE115" s="1065" t="s">
        <v>1942</v>
      </c>
      <c r="AF115" s="1065" t="s">
        <v>1942</v>
      </c>
      <c r="AG115" s="1065" t="s">
        <v>1942</v>
      </c>
      <c r="AH115" s="1065" t="s">
        <v>1942</v>
      </c>
      <c r="AI115" s="1066">
        <f t="shared" si="1"/>
        <v>1</v>
      </c>
      <c r="AJ115" s="1067" t="s">
        <v>1026</v>
      </c>
      <c r="AK115" s="1067" t="s">
        <v>1008</v>
      </c>
      <c r="AL115" s="1440" t="s">
        <v>1019</v>
      </c>
      <c r="AM115" s="1068" t="s">
        <v>2054</v>
      </c>
      <c r="AN115" s="1062" t="s">
        <v>2118</v>
      </c>
      <c r="AO115" s="1062" t="s">
        <v>4791</v>
      </c>
      <c r="AP115" s="1332">
        <v>1</v>
      </c>
      <c r="AQ115" s="833" t="s">
        <v>1010</v>
      </c>
      <c r="AR115" s="1071" t="s">
        <v>1902</v>
      </c>
      <c r="AS115" s="1072"/>
      <c r="AT115" s="1061"/>
      <c r="AU115" s="1061"/>
      <c r="AV115" s="1061"/>
      <c r="AW115" s="1073"/>
      <c r="AX115" s="1074"/>
      <c r="AY115" s="1079"/>
      <c r="AZ115" s="1080"/>
      <c r="BA115" s="1080"/>
      <c r="BB115" s="1080"/>
      <c r="BC115" s="1080"/>
      <c r="BD115" s="1080"/>
      <c r="BE115" s="1080"/>
      <c r="BF115" s="1080"/>
      <c r="BG115" s="1077"/>
      <c r="BH115" s="1077"/>
      <c r="BI115" s="1078">
        <v>0.9</v>
      </c>
      <c r="BJ115" s="1077">
        <v>1.8</v>
      </c>
      <c r="BK115" s="1077">
        <v>2.7</v>
      </c>
      <c r="BL115" s="1077">
        <v>3.5</v>
      </c>
      <c r="BM115" s="1077">
        <v>4.2</v>
      </c>
      <c r="BN115" s="1079"/>
      <c r="BO115" s="1080"/>
      <c r="BP115" s="1080"/>
      <c r="BQ115" s="1080"/>
      <c r="BR115" s="1080"/>
      <c r="BS115" s="1081"/>
      <c r="BT115" s="1080"/>
      <c r="BU115" s="1080"/>
      <c r="BV115" s="1080"/>
      <c r="BW115" s="1082"/>
      <c r="BX115" s="1081"/>
      <c r="BY115" s="1080"/>
      <c r="BZ115" s="1080"/>
      <c r="CA115" s="1080"/>
      <c r="CB115" s="1082"/>
      <c r="CC115" s="1083"/>
      <c r="CD115" s="1084" t="s">
        <v>168</v>
      </c>
      <c r="CE115" s="1085" t="s">
        <v>168</v>
      </c>
      <c r="CF115" s="1085" t="s">
        <v>168</v>
      </c>
      <c r="CG115" s="1085" t="s">
        <v>168</v>
      </c>
      <c r="CH115" s="1086" t="s">
        <v>168</v>
      </c>
      <c r="CI115" s="1089" t="s">
        <v>1942</v>
      </c>
      <c r="CJ115" s="1087" t="s">
        <v>1942</v>
      </c>
      <c r="CK115" s="1087" t="s">
        <v>1942</v>
      </c>
      <c r="CL115" s="1087" t="s">
        <v>1942</v>
      </c>
      <c r="CM115" s="1088" t="s">
        <v>1942</v>
      </c>
      <c r="CN115" s="1089" t="s">
        <v>1942</v>
      </c>
      <c r="CO115" s="1087" t="s">
        <v>1942</v>
      </c>
      <c r="CP115" s="1087" t="s">
        <v>1942</v>
      </c>
      <c r="CQ115" s="1087" t="s">
        <v>1942</v>
      </c>
      <c r="CR115" s="1088" t="s">
        <v>1942</v>
      </c>
      <c r="CS115" s="1079" t="s">
        <v>1942</v>
      </c>
      <c r="CT115" s="1080" t="s">
        <v>1942</v>
      </c>
      <c r="CU115" s="1080" t="s">
        <v>1942</v>
      </c>
      <c r="CV115" s="1080" t="s">
        <v>1942</v>
      </c>
      <c r="CW115" s="1083" t="s">
        <v>1942</v>
      </c>
      <c r="CX115" s="1079" t="s">
        <v>1942</v>
      </c>
      <c r="CY115" s="1080" t="s">
        <v>1942</v>
      </c>
      <c r="CZ115" s="1080" t="s">
        <v>1942</v>
      </c>
      <c r="DA115" s="1080" t="s">
        <v>1942</v>
      </c>
      <c r="DB115" s="1083" t="s">
        <v>1942</v>
      </c>
      <c r="DC115" s="1080" t="s">
        <v>1942</v>
      </c>
      <c r="DD115" s="1080" t="s">
        <v>1942</v>
      </c>
      <c r="DE115" s="1080" t="s">
        <v>1942</v>
      </c>
      <c r="DF115" s="1080" t="s">
        <v>1942</v>
      </c>
      <c r="DG115" s="1083" t="s">
        <v>1942</v>
      </c>
      <c r="DH115" s="1089" t="s">
        <v>1942</v>
      </c>
      <c r="DI115" s="1080" t="s">
        <v>1942</v>
      </c>
      <c r="DJ115" s="1080" t="s">
        <v>1942</v>
      </c>
      <c r="DK115" s="1080" t="s">
        <v>1942</v>
      </c>
      <c r="DL115" s="1083" t="s">
        <v>1942</v>
      </c>
      <c r="DM115" s="1091">
        <v>-1.4E-2</v>
      </c>
      <c r="DN115" s="1092" t="s">
        <v>1942</v>
      </c>
      <c r="DO115" s="1092" t="s">
        <v>1942</v>
      </c>
      <c r="DP115" s="1093" t="s">
        <v>1942</v>
      </c>
      <c r="DQ115" s="1092" t="s">
        <v>1942</v>
      </c>
      <c r="DR115" s="1092" t="s">
        <v>1942</v>
      </c>
      <c r="DS115" s="1092" t="s">
        <v>1942</v>
      </c>
      <c r="DT115" s="1093" t="s">
        <v>1942</v>
      </c>
      <c r="DU115" s="1085" t="s">
        <v>1942</v>
      </c>
      <c r="DV115" s="1094">
        <v>1</v>
      </c>
      <c r="DW115" s="1095" t="s">
        <v>1942</v>
      </c>
    </row>
    <row r="116" spans="1:127" s="397" customFormat="1" ht="15.75" hidden="1" customHeight="1">
      <c r="A116" s="1097" t="s">
        <v>1013</v>
      </c>
      <c r="B116" s="1057">
        <v>107</v>
      </c>
      <c r="C116" s="1018"/>
      <c r="D116" s="1018"/>
      <c r="E116" s="1018"/>
      <c r="F116" s="1018"/>
      <c r="G116" s="1018"/>
      <c r="H116" s="1018"/>
      <c r="I116" s="1018"/>
      <c r="J116" s="1018"/>
      <c r="K116" s="1018"/>
      <c r="L116" s="1018"/>
      <c r="M116" s="1057"/>
      <c r="N116" s="1018"/>
      <c r="O116" s="1018"/>
      <c r="P116" s="1018"/>
      <c r="Q116" s="1018"/>
      <c r="R116" s="1018"/>
      <c r="S116" s="1018"/>
      <c r="T116" s="1019"/>
      <c r="U116" s="1098" t="s">
        <v>2359</v>
      </c>
      <c r="V116" s="1099" t="s">
        <v>2348</v>
      </c>
      <c r="W116" s="1099" t="s">
        <v>1907</v>
      </c>
      <c r="X116" s="1100" t="s">
        <v>2360</v>
      </c>
      <c r="Y116" s="1101" t="s">
        <v>535</v>
      </c>
      <c r="Z116" s="1102" t="s">
        <v>2361</v>
      </c>
      <c r="AA116" s="1103">
        <v>1</v>
      </c>
      <c r="AB116" s="1104" t="s">
        <v>1942</v>
      </c>
      <c r="AC116" s="1104" t="s">
        <v>1942</v>
      </c>
      <c r="AD116" s="1104" t="s">
        <v>1942</v>
      </c>
      <c r="AE116" s="1104" t="s">
        <v>1942</v>
      </c>
      <c r="AF116" s="1104" t="s">
        <v>1942</v>
      </c>
      <c r="AG116" s="1104" t="s">
        <v>1942</v>
      </c>
      <c r="AH116" s="1104" t="s">
        <v>1942</v>
      </c>
      <c r="AI116" s="1105">
        <f t="shared" si="1"/>
        <v>1</v>
      </c>
      <c r="AJ116" s="1106" t="s">
        <v>1007</v>
      </c>
      <c r="AK116" s="1106" t="s">
        <v>1942</v>
      </c>
      <c r="AL116" s="1106" t="s">
        <v>1942</v>
      </c>
      <c r="AM116" s="1107" t="s">
        <v>1910</v>
      </c>
      <c r="AN116" s="1018" t="s">
        <v>278</v>
      </c>
      <c r="AO116" s="1018" t="s">
        <v>4792</v>
      </c>
      <c r="AP116" s="1332">
        <v>1</v>
      </c>
      <c r="AQ116" s="1076" t="s">
        <v>1020</v>
      </c>
      <c r="AR116" s="1109" t="s">
        <v>535</v>
      </c>
      <c r="AS116" s="1110"/>
      <c r="AT116" s="1100"/>
      <c r="AU116" s="1100"/>
      <c r="AV116" s="1100"/>
      <c r="AW116" s="1111"/>
      <c r="AX116" s="1112"/>
      <c r="AY116" s="1075"/>
      <c r="AZ116" s="1076"/>
      <c r="BA116" s="1076"/>
      <c r="BB116" s="1076"/>
      <c r="BC116" s="1076"/>
      <c r="BD116" s="1076"/>
      <c r="BE116" s="1076"/>
      <c r="BF116" s="1076"/>
      <c r="BG116" s="1113"/>
      <c r="BH116" s="1113"/>
      <c r="BI116" s="1114">
        <v>0</v>
      </c>
      <c r="BJ116" s="1113">
        <v>0</v>
      </c>
      <c r="BK116" s="1113">
        <v>0</v>
      </c>
      <c r="BL116" s="1113">
        <v>0</v>
      </c>
      <c r="BM116" s="1113">
        <v>0</v>
      </c>
      <c r="BN116" s="1075"/>
      <c r="BO116" s="1076"/>
      <c r="BP116" s="1076"/>
      <c r="BQ116" s="1076"/>
      <c r="BR116" s="1076"/>
      <c r="BS116" s="1115"/>
      <c r="BT116" s="1076"/>
      <c r="BU116" s="1076"/>
      <c r="BV116" s="1076"/>
      <c r="BW116" s="1116"/>
      <c r="BX116" s="1115"/>
      <c r="BY116" s="1076"/>
      <c r="BZ116" s="1076"/>
      <c r="CA116" s="1076"/>
      <c r="CB116" s="1116"/>
      <c r="CC116" s="1117"/>
      <c r="CD116" s="1118" t="s">
        <v>1942</v>
      </c>
      <c r="CE116" s="1119" t="s">
        <v>1942</v>
      </c>
      <c r="CF116" s="1119" t="s">
        <v>1942</v>
      </c>
      <c r="CG116" s="1119" t="s">
        <v>1942</v>
      </c>
      <c r="CH116" s="1120" t="s">
        <v>1942</v>
      </c>
      <c r="CI116" s="1075" t="s">
        <v>1942</v>
      </c>
      <c r="CJ116" s="1076" t="s">
        <v>1942</v>
      </c>
      <c r="CK116" s="1076" t="s">
        <v>1942</v>
      </c>
      <c r="CL116" s="1076" t="s">
        <v>1942</v>
      </c>
      <c r="CM116" s="1117" t="s">
        <v>1942</v>
      </c>
      <c r="CN116" s="1075" t="s">
        <v>1942</v>
      </c>
      <c r="CO116" s="1076" t="s">
        <v>1942</v>
      </c>
      <c r="CP116" s="1076" t="s">
        <v>1942</v>
      </c>
      <c r="CQ116" s="1076" t="s">
        <v>1942</v>
      </c>
      <c r="CR116" s="1117" t="s">
        <v>1942</v>
      </c>
      <c r="CS116" s="1075" t="s">
        <v>1942</v>
      </c>
      <c r="CT116" s="1076" t="s">
        <v>1942</v>
      </c>
      <c r="CU116" s="1076" t="s">
        <v>1942</v>
      </c>
      <c r="CV116" s="1076" t="s">
        <v>1942</v>
      </c>
      <c r="CW116" s="1117" t="s">
        <v>1942</v>
      </c>
      <c r="CX116" s="1075" t="s">
        <v>1942</v>
      </c>
      <c r="CY116" s="1076" t="s">
        <v>1942</v>
      </c>
      <c r="CZ116" s="1076" t="s">
        <v>1942</v>
      </c>
      <c r="DA116" s="1076" t="s">
        <v>1942</v>
      </c>
      <c r="DB116" s="1117" t="s">
        <v>1942</v>
      </c>
      <c r="DC116" s="1076" t="s">
        <v>1942</v>
      </c>
      <c r="DD116" s="1076" t="s">
        <v>1942</v>
      </c>
      <c r="DE116" s="1076" t="s">
        <v>1942</v>
      </c>
      <c r="DF116" s="1076" t="s">
        <v>1942</v>
      </c>
      <c r="DG116" s="1117" t="s">
        <v>1942</v>
      </c>
      <c r="DH116" s="1075" t="s">
        <v>1942</v>
      </c>
      <c r="DI116" s="1076" t="s">
        <v>1942</v>
      </c>
      <c r="DJ116" s="1076" t="s">
        <v>1942</v>
      </c>
      <c r="DK116" s="1076" t="s">
        <v>1942</v>
      </c>
      <c r="DL116" s="1117" t="s">
        <v>1942</v>
      </c>
      <c r="DM116" s="1121" t="s">
        <v>1942</v>
      </c>
      <c r="DN116" s="1122" t="s">
        <v>1942</v>
      </c>
      <c r="DO116" s="1122" t="s">
        <v>1942</v>
      </c>
      <c r="DP116" s="1123" t="s">
        <v>1942</v>
      </c>
      <c r="DQ116" s="1122" t="s">
        <v>1942</v>
      </c>
      <c r="DR116" s="1122" t="s">
        <v>1942</v>
      </c>
      <c r="DS116" s="1122" t="s">
        <v>1942</v>
      </c>
      <c r="DT116" s="1123" t="s">
        <v>1942</v>
      </c>
      <c r="DU116" s="1119" t="s">
        <v>1942</v>
      </c>
      <c r="DV116" s="1124">
        <v>1</v>
      </c>
      <c r="DW116" s="1125" t="s">
        <v>1942</v>
      </c>
    </row>
    <row r="117" spans="1:127" s="397" customFormat="1" ht="15.75" hidden="1" customHeight="1">
      <c r="A117" s="1097" t="s">
        <v>1013</v>
      </c>
      <c r="B117" s="1057">
        <v>108</v>
      </c>
      <c r="C117" s="1018"/>
      <c r="D117" s="1018"/>
      <c r="E117" s="1018"/>
      <c r="F117" s="1018"/>
      <c r="G117" s="1018"/>
      <c r="H117" s="1018"/>
      <c r="I117" s="1018"/>
      <c r="J117" s="1018"/>
      <c r="K117" s="1018"/>
      <c r="L117" s="1018"/>
      <c r="M117" s="1057"/>
      <c r="N117" s="1018"/>
      <c r="O117" s="1018"/>
      <c r="P117" s="1018"/>
      <c r="Q117" s="1018"/>
      <c r="R117" s="1018"/>
      <c r="S117" s="1018"/>
      <c r="T117" s="1019"/>
      <c r="U117" s="1098" t="s">
        <v>2363</v>
      </c>
      <c r="V117" s="1099" t="s">
        <v>2348</v>
      </c>
      <c r="W117" s="1099" t="s">
        <v>1889</v>
      </c>
      <c r="X117" s="1100" t="s">
        <v>2364</v>
      </c>
      <c r="Y117" s="1101" t="s">
        <v>161</v>
      </c>
      <c r="Z117" s="1102" t="s">
        <v>2365</v>
      </c>
      <c r="AA117" s="1103" t="s">
        <v>1942</v>
      </c>
      <c r="AB117" s="1104">
        <v>1</v>
      </c>
      <c r="AC117" s="1104" t="s">
        <v>1942</v>
      </c>
      <c r="AD117" s="1104" t="s">
        <v>1942</v>
      </c>
      <c r="AE117" s="1104" t="s">
        <v>1942</v>
      </c>
      <c r="AF117" s="1104" t="s">
        <v>1942</v>
      </c>
      <c r="AG117" s="1104" t="s">
        <v>1942</v>
      </c>
      <c r="AH117" s="1104" t="s">
        <v>1942</v>
      </c>
      <c r="AI117" s="1105">
        <f t="shared" si="1"/>
        <v>1</v>
      </c>
      <c r="AJ117" s="1106" t="s">
        <v>1026</v>
      </c>
      <c r="AK117" s="1106" t="s">
        <v>1008</v>
      </c>
      <c r="AL117" s="1106" t="s">
        <v>1009</v>
      </c>
      <c r="AM117" s="1107" t="s">
        <v>2074</v>
      </c>
      <c r="AN117" s="1018" t="s">
        <v>2177</v>
      </c>
      <c r="AO117" s="1018" t="s">
        <v>4794</v>
      </c>
      <c r="AP117" s="1332">
        <v>1</v>
      </c>
      <c r="AQ117" s="1076" t="s">
        <v>1020</v>
      </c>
      <c r="AR117" s="1109" t="s">
        <v>161</v>
      </c>
      <c r="AS117" s="1110"/>
      <c r="AT117" s="1100"/>
      <c r="AU117" s="1100"/>
      <c r="AV117" s="1100"/>
      <c r="AW117" s="1111"/>
      <c r="AX117" s="1112"/>
      <c r="AY117" s="1075"/>
      <c r="AZ117" s="1076"/>
      <c r="BA117" s="1076"/>
      <c r="BB117" s="1076"/>
      <c r="BC117" s="1076"/>
      <c r="BD117" s="1076"/>
      <c r="BE117" s="1076"/>
      <c r="BF117" s="1076"/>
      <c r="BG117" s="1113"/>
      <c r="BH117" s="1113"/>
      <c r="BI117" s="1114">
        <v>121</v>
      </c>
      <c r="BJ117" s="1113">
        <v>118.9</v>
      </c>
      <c r="BK117" s="1113">
        <v>116.7</v>
      </c>
      <c r="BL117" s="1113">
        <v>114.6</v>
      </c>
      <c r="BM117" s="1113">
        <v>112.5</v>
      </c>
      <c r="BN117" s="1075"/>
      <c r="BO117" s="1076"/>
      <c r="BP117" s="1076"/>
      <c r="BQ117" s="1076"/>
      <c r="BR117" s="1076"/>
      <c r="BS117" s="1115"/>
      <c r="BT117" s="1076"/>
      <c r="BU117" s="1076"/>
      <c r="BV117" s="1076"/>
      <c r="BW117" s="1116"/>
      <c r="BX117" s="1115"/>
      <c r="BY117" s="1076"/>
      <c r="BZ117" s="1076"/>
      <c r="CA117" s="1076"/>
      <c r="CB117" s="1116"/>
      <c r="CC117" s="1117"/>
      <c r="CD117" s="1118" t="s">
        <v>168</v>
      </c>
      <c r="CE117" s="1119" t="s">
        <v>168</v>
      </c>
      <c r="CF117" s="1119" t="s">
        <v>168</v>
      </c>
      <c r="CG117" s="1119" t="s">
        <v>168</v>
      </c>
      <c r="CH117" s="1120" t="s">
        <v>168</v>
      </c>
      <c r="CI117" s="1075" t="s">
        <v>1942</v>
      </c>
      <c r="CJ117" s="1076" t="s">
        <v>1942</v>
      </c>
      <c r="CK117" s="1076" t="s">
        <v>1942</v>
      </c>
      <c r="CL117" s="1076" t="s">
        <v>1942</v>
      </c>
      <c r="CM117" s="1117" t="s">
        <v>1942</v>
      </c>
      <c r="CN117" s="1075" t="s">
        <v>1942</v>
      </c>
      <c r="CO117" s="1076" t="s">
        <v>1942</v>
      </c>
      <c r="CP117" s="1076" t="s">
        <v>1942</v>
      </c>
      <c r="CQ117" s="1076" t="s">
        <v>1942</v>
      </c>
      <c r="CR117" s="1117" t="s">
        <v>1942</v>
      </c>
      <c r="CS117" s="1075" t="s">
        <v>1942</v>
      </c>
      <c r="CT117" s="1076" t="s">
        <v>1942</v>
      </c>
      <c r="CU117" s="1076" t="s">
        <v>1942</v>
      </c>
      <c r="CV117" s="1076" t="s">
        <v>1942</v>
      </c>
      <c r="CW117" s="1117" t="s">
        <v>1942</v>
      </c>
      <c r="CX117" s="1075" t="s">
        <v>1942</v>
      </c>
      <c r="CY117" s="1076" t="s">
        <v>1942</v>
      </c>
      <c r="CZ117" s="1076" t="s">
        <v>1942</v>
      </c>
      <c r="DA117" s="1076" t="s">
        <v>1942</v>
      </c>
      <c r="DB117" s="1117" t="s">
        <v>1942</v>
      </c>
      <c r="DC117" s="1076" t="s">
        <v>1942</v>
      </c>
      <c r="DD117" s="1076" t="s">
        <v>1942</v>
      </c>
      <c r="DE117" s="1076" t="s">
        <v>1942</v>
      </c>
      <c r="DF117" s="1076" t="s">
        <v>1942</v>
      </c>
      <c r="DG117" s="1117" t="s">
        <v>1942</v>
      </c>
      <c r="DH117" s="1075" t="s">
        <v>1942</v>
      </c>
      <c r="DI117" s="1076" t="s">
        <v>1942</v>
      </c>
      <c r="DJ117" s="1076" t="s">
        <v>1942</v>
      </c>
      <c r="DK117" s="1076" t="s">
        <v>1942</v>
      </c>
      <c r="DL117" s="1117" t="s">
        <v>1942</v>
      </c>
      <c r="DM117" s="1121">
        <v>-7.0000000000000001E-3</v>
      </c>
      <c r="DN117" s="1122" t="s">
        <v>1942</v>
      </c>
      <c r="DO117" s="1122" t="s">
        <v>1942</v>
      </c>
      <c r="DP117" s="1123" t="s">
        <v>1942</v>
      </c>
      <c r="DQ117" s="1122" t="s">
        <v>1942</v>
      </c>
      <c r="DR117" s="1122" t="s">
        <v>1942</v>
      </c>
      <c r="DS117" s="1122" t="s">
        <v>1942</v>
      </c>
      <c r="DT117" s="1123" t="s">
        <v>1942</v>
      </c>
      <c r="DU117" s="1119" t="s">
        <v>1942</v>
      </c>
      <c r="DV117" s="1124">
        <v>1</v>
      </c>
      <c r="DW117" s="1125" t="s">
        <v>1942</v>
      </c>
    </row>
    <row r="118" spans="1:127" s="397" customFormat="1" ht="15.75" hidden="1" customHeight="1">
      <c r="A118" s="1097" t="s">
        <v>1013</v>
      </c>
      <c r="B118" s="1057">
        <v>109</v>
      </c>
      <c r="C118" s="1018"/>
      <c r="D118" s="1018"/>
      <c r="E118" s="1018"/>
      <c r="F118" s="1018"/>
      <c r="G118" s="1018"/>
      <c r="H118" s="1018"/>
      <c r="I118" s="1018"/>
      <c r="J118" s="1018"/>
      <c r="K118" s="1018"/>
      <c r="L118" s="1018"/>
      <c r="M118" s="1057"/>
      <c r="N118" s="1018"/>
      <c r="O118" s="1018"/>
      <c r="P118" s="1018"/>
      <c r="Q118" s="1018"/>
      <c r="R118" s="1018"/>
      <c r="S118" s="1018"/>
      <c r="T118" s="1019"/>
      <c r="U118" s="1098" t="s">
        <v>2367</v>
      </c>
      <c r="V118" s="1099" t="s">
        <v>2348</v>
      </c>
      <c r="W118" s="1099" t="s">
        <v>1907</v>
      </c>
      <c r="X118" s="1100" t="s">
        <v>2368</v>
      </c>
      <c r="Y118" s="1101" t="s">
        <v>167</v>
      </c>
      <c r="Z118" s="1102" t="s">
        <v>2369</v>
      </c>
      <c r="AA118" s="1103">
        <v>0.5</v>
      </c>
      <c r="AB118" s="1104">
        <v>0.5</v>
      </c>
      <c r="AC118" s="1104" t="s">
        <v>1942</v>
      </c>
      <c r="AD118" s="1104" t="s">
        <v>1942</v>
      </c>
      <c r="AE118" s="1104" t="s">
        <v>1942</v>
      </c>
      <c r="AF118" s="1104" t="s">
        <v>1942</v>
      </c>
      <c r="AG118" s="1104" t="s">
        <v>1942</v>
      </c>
      <c r="AH118" s="1104" t="s">
        <v>1942</v>
      </c>
      <c r="AI118" s="1105">
        <f t="shared" si="1"/>
        <v>1</v>
      </c>
      <c r="AJ118" s="1106" t="s">
        <v>1026</v>
      </c>
      <c r="AK118" s="1106" t="s">
        <v>1008</v>
      </c>
      <c r="AL118" s="1106" t="s">
        <v>1009</v>
      </c>
      <c r="AM118" s="1107" t="s">
        <v>1915</v>
      </c>
      <c r="AN118" s="1018" t="s">
        <v>278</v>
      </c>
      <c r="AO118" s="1018" t="s">
        <v>4793</v>
      </c>
      <c r="AP118" s="1332">
        <v>2</v>
      </c>
      <c r="AQ118" s="1076" t="s">
        <v>1020</v>
      </c>
      <c r="AR118" s="1109" t="s">
        <v>167</v>
      </c>
      <c r="AS118" s="1110"/>
      <c r="AT118" s="1100"/>
      <c r="AU118" s="1100"/>
      <c r="AV118" s="1100"/>
      <c r="AW118" s="1111"/>
      <c r="AX118" s="1112"/>
      <c r="AY118" s="1075"/>
      <c r="AZ118" s="1076"/>
      <c r="BA118" s="1076"/>
      <c r="BB118" s="1076"/>
      <c r="BC118" s="1076"/>
      <c r="BD118" s="1076"/>
      <c r="BE118" s="1076"/>
      <c r="BF118" s="1076"/>
      <c r="BG118" s="1076"/>
      <c r="BH118" s="1076"/>
      <c r="BI118" s="1127">
        <v>2.34</v>
      </c>
      <c r="BJ118" s="1126">
        <v>2.34</v>
      </c>
      <c r="BK118" s="1126">
        <v>2.34</v>
      </c>
      <c r="BL118" s="1126">
        <v>2.34</v>
      </c>
      <c r="BM118" s="1126">
        <v>2.34</v>
      </c>
      <c r="BN118" s="1075"/>
      <c r="BO118" s="1076"/>
      <c r="BP118" s="1076"/>
      <c r="BQ118" s="1076"/>
      <c r="BR118" s="1076"/>
      <c r="BS118" s="1115"/>
      <c r="BT118" s="1076"/>
      <c r="BU118" s="1076"/>
      <c r="BV118" s="1076"/>
      <c r="BW118" s="1116"/>
      <c r="BX118" s="1115"/>
      <c r="BY118" s="1076"/>
      <c r="BZ118" s="1076"/>
      <c r="CA118" s="1076"/>
      <c r="CB118" s="1116"/>
      <c r="CC118" s="1117"/>
      <c r="CD118" s="1118" t="s">
        <v>168</v>
      </c>
      <c r="CE118" s="1119" t="s">
        <v>168</v>
      </c>
      <c r="CF118" s="1119" t="s">
        <v>168</v>
      </c>
      <c r="CG118" s="1119" t="s">
        <v>168</v>
      </c>
      <c r="CH118" s="1120" t="s">
        <v>168</v>
      </c>
      <c r="CI118" s="1075" t="s">
        <v>1942</v>
      </c>
      <c r="CJ118" s="1076" t="s">
        <v>1942</v>
      </c>
      <c r="CK118" s="1076" t="s">
        <v>1942</v>
      </c>
      <c r="CL118" s="1076" t="s">
        <v>1942</v>
      </c>
      <c r="CM118" s="1117" t="s">
        <v>1942</v>
      </c>
      <c r="CN118" s="1075">
        <v>4.68</v>
      </c>
      <c r="CO118" s="1076">
        <v>4.68</v>
      </c>
      <c r="CP118" s="1076">
        <v>4.68</v>
      </c>
      <c r="CQ118" s="1076">
        <v>4.68</v>
      </c>
      <c r="CR118" s="1117">
        <v>4.68</v>
      </c>
      <c r="CS118" s="1075" t="s">
        <v>1942</v>
      </c>
      <c r="CT118" s="1076" t="s">
        <v>1942</v>
      </c>
      <c r="CU118" s="1076" t="s">
        <v>1942</v>
      </c>
      <c r="CV118" s="1076" t="s">
        <v>1942</v>
      </c>
      <c r="CW118" s="1117" t="s">
        <v>1942</v>
      </c>
      <c r="CX118" s="1075" t="s">
        <v>1942</v>
      </c>
      <c r="CY118" s="1076" t="s">
        <v>1942</v>
      </c>
      <c r="CZ118" s="1076" t="s">
        <v>1942</v>
      </c>
      <c r="DA118" s="1076" t="s">
        <v>1942</v>
      </c>
      <c r="DB118" s="1117" t="s">
        <v>1942</v>
      </c>
      <c r="DC118" s="1076" t="s">
        <v>1942</v>
      </c>
      <c r="DD118" s="1076" t="s">
        <v>1942</v>
      </c>
      <c r="DE118" s="1076" t="s">
        <v>1942</v>
      </c>
      <c r="DF118" s="1076" t="s">
        <v>1942</v>
      </c>
      <c r="DG118" s="1117" t="s">
        <v>1942</v>
      </c>
      <c r="DH118" s="1075" t="s">
        <v>1942</v>
      </c>
      <c r="DI118" s="1076" t="s">
        <v>1942</v>
      </c>
      <c r="DJ118" s="1076" t="s">
        <v>1942</v>
      </c>
      <c r="DK118" s="1076" t="s">
        <v>1942</v>
      </c>
      <c r="DL118" s="1117" t="s">
        <v>1942</v>
      </c>
      <c r="DM118" s="1121">
        <v>-5.8999999999999997E-2</v>
      </c>
      <c r="DN118" s="1122" t="s">
        <v>1942</v>
      </c>
      <c r="DO118" s="1122" t="s">
        <v>1942</v>
      </c>
      <c r="DP118" s="1123" t="s">
        <v>1942</v>
      </c>
      <c r="DQ118" s="1122" t="s">
        <v>1942</v>
      </c>
      <c r="DR118" s="1122" t="s">
        <v>1942</v>
      </c>
      <c r="DS118" s="1122" t="s">
        <v>1942</v>
      </c>
      <c r="DT118" s="1123" t="s">
        <v>1942</v>
      </c>
      <c r="DU118" s="1119" t="s">
        <v>1942</v>
      </c>
      <c r="DV118" s="1124">
        <v>1</v>
      </c>
      <c r="DW118" s="1125" t="s">
        <v>1942</v>
      </c>
    </row>
    <row r="119" spans="1:127" s="397" customFormat="1" ht="15.75" hidden="1" customHeight="1">
      <c r="A119" s="1097" t="s">
        <v>1013</v>
      </c>
      <c r="B119" s="1057">
        <v>110</v>
      </c>
      <c r="C119" s="1018"/>
      <c r="D119" s="1018"/>
      <c r="E119" s="1018"/>
      <c r="F119" s="1018"/>
      <c r="G119" s="1018"/>
      <c r="H119" s="1018"/>
      <c r="I119" s="1018"/>
      <c r="J119" s="1018"/>
      <c r="K119" s="1018"/>
      <c r="L119" s="1018"/>
      <c r="M119" s="1057"/>
      <c r="N119" s="1018"/>
      <c r="O119" s="1018"/>
      <c r="P119" s="1018"/>
      <c r="Q119" s="1018"/>
      <c r="R119" s="1018"/>
      <c r="S119" s="1018"/>
      <c r="T119" s="1019"/>
      <c r="U119" s="1098" t="s">
        <v>2371</v>
      </c>
      <c r="V119" s="1099" t="s">
        <v>2348</v>
      </c>
      <c r="W119" s="1099" t="s">
        <v>1889</v>
      </c>
      <c r="X119" s="1100" t="s">
        <v>2372</v>
      </c>
      <c r="Y119" s="1101" t="s">
        <v>1983</v>
      </c>
      <c r="Z119" s="1102" t="s">
        <v>2373</v>
      </c>
      <c r="AA119" s="1103" t="s">
        <v>1942</v>
      </c>
      <c r="AB119" s="1104">
        <v>1</v>
      </c>
      <c r="AC119" s="1104" t="s">
        <v>1942</v>
      </c>
      <c r="AD119" s="1104" t="s">
        <v>1942</v>
      </c>
      <c r="AE119" s="1104" t="s">
        <v>1942</v>
      </c>
      <c r="AF119" s="1104" t="s">
        <v>1942</v>
      </c>
      <c r="AG119" s="1104" t="s">
        <v>1942</v>
      </c>
      <c r="AH119" s="1104" t="s">
        <v>1942</v>
      </c>
      <c r="AI119" s="1105">
        <f t="shared" si="1"/>
        <v>1</v>
      </c>
      <c r="AJ119" s="1106" t="s">
        <v>1026</v>
      </c>
      <c r="AK119" s="1106" t="s">
        <v>1008</v>
      </c>
      <c r="AL119" s="1106" t="s">
        <v>1009</v>
      </c>
      <c r="AM119" s="1107" t="s">
        <v>1985</v>
      </c>
      <c r="AN119" s="1018" t="s">
        <v>2177</v>
      </c>
      <c r="AO119" s="1018" t="s">
        <v>4796</v>
      </c>
      <c r="AP119" s="1333">
        <v>0</v>
      </c>
      <c r="AQ119" s="1076" t="s">
        <v>1020</v>
      </c>
      <c r="AR119" s="1109"/>
      <c r="AS119" s="1110"/>
      <c r="AT119" s="1100"/>
      <c r="AU119" s="1100"/>
      <c r="AV119" s="1100"/>
      <c r="AW119" s="1111"/>
      <c r="AX119" s="1112"/>
      <c r="AY119" s="1075"/>
      <c r="AZ119" s="1076"/>
      <c r="BA119" s="1076"/>
      <c r="BB119" s="1076"/>
      <c r="BC119" s="1076"/>
      <c r="BD119" s="1076"/>
      <c r="BE119" s="1076"/>
      <c r="BF119" s="1076"/>
      <c r="BG119" s="1076"/>
      <c r="BH119" s="1076"/>
      <c r="BI119" s="1420"/>
      <c r="BJ119" s="1368"/>
      <c r="BK119" s="1368"/>
      <c r="BL119" s="1368"/>
      <c r="BM119" s="1368"/>
      <c r="BN119" s="1075"/>
      <c r="BO119" s="1076"/>
      <c r="BP119" s="1076"/>
      <c r="BQ119" s="1076"/>
      <c r="BR119" s="1076"/>
      <c r="BS119" s="1115"/>
      <c r="BT119" s="1076"/>
      <c r="BU119" s="1076"/>
      <c r="BV119" s="1076"/>
      <c r="BW119" s="1116"/>
      <c r="BX119" s="1115"/>
      <c r="BY119" s="1076"/>
      <c r="BZ119" s="1076"/>
      <c r="CA119" s="1076"/>
      <c r="CB119" s="1116"/>
      <c r="CC119" s="1117"/>
      <c r="CD119" s="1376"/>
      <c r="CE119" s="1377"/>
      <c r="CF119" s="1377"/>
      <c r="CG119" s="1377"/>
      <c r="CH119" s="1440"/>
      <c r="CI119" s="1420"/>
      <c r="CJ119" s="1368"/>
      <c r="CK119" s="1368"/>
      <c r="CL119" s="1368"/>
      <c r="CM119" s="1369"/>
      <c r="CN119" s="1420"/>
      <c r="CO119" s="1368"/>
      <c r="CP119" s="1368"/>
      <c r="CQ119" s="1368"/>
      <c r="CR119" s="1369"/>
      <c r="CS119" s="1420"/>
      <c r="CT119" s="1368"/>
      <c r="CU119" s="1368"/>
      <c r="CV119" s="1368"/>
      <c r="CW119" s="1369"/>
      <c r="CX119" s="1420"/>
      <c r="CY119" s="1368"/>
      <c r="CZ119" s="1368"/>
      <c r="DA119" s="1368"/>
      <c r="DB119" s="1369"/>
      <c r="DC119" s="1368"/>
      <c r="DD119" s="1368"/>
      <c r="DE119" s="1368"/>
      <c r="DF119" s="1368"/>
      <c r="DG119" s="1369"/>
      <c r="DH119" s="1420"/>
      <c r="DI119" s="1368"/>
      <c r="DJ119" s="1368"/>
      <c r="DK119" s="1368"/>
      <c r="DL119" s="1369"/>
      <c r="DM119" s="1808"/>
      <c r="DN119" s="1809"/>
      <c r="DO119" s="1809"/>
      <c r="DP119" s="1810"/>
      <c r="DQ119" s="1809"/>
      <c r="DR119" s="1809"/>
      <c r="DS119" s="1809"/>
      <c r="DT119" s="1810"/>
      <c r="DU119" s="1377"/>
      <c r="DV119" s="1729"/>
      <c r="DW119" s="1811"/>
    </row>
    <row r="120" spans="1:127" s="397" customFormat="1" ht="15.75" hidden="1" customHeight="1">
      <c r="A120" s="1097" t="s">
        <v>1013</v>
      </c>
      <c r="B120" s="1057">
        <v>111</v>
      </c>
      <c r="C120" s="1018"/>
      <c r="D120" s="1018"/>
      <c r="E120" s="1018"/>
      <c r="F120" s="1018"/>
      <c r="G120" s="1018"/>
      <c r="H120" s="1018"/>
      <c r="I120" s="1018"/>
      <c r="J120" s="1018"/>
      <c r="K120" s="1018"/>
      <c r="L120" s="1018"/>
      <c r="M120" s="1057"/>
      <c r="N120" s="1018"/>
      <c r="O120" s="1018"/>
      <c r="P120" s="1018"/>
      <c r="Q120" s="1018"/>
      <c r="R120" s="1018"/>
      <c r="S120" s="1018"/>
      <c r="T120" s="1019"/>
      <c r="U120" s="1098" t="s">
        <v>2375</v>
      </c>
      <c r="V120" s="1099" t="s">
        <v>2376</v>
      </c>
      <c r="W120" s="1099" t="s">
        <v>1907</v>
      </c>
      <c r="X120" s="1100" t="s">
        <v>2377</v>
      </c>
      <c r="Y120" s="1101" t="s">
        <v>2378</v>
      </c>
      <c r="Z120" s="1102" t="s">
        <v>2379</v>
      </c>
      <c r="AA120" s="1103" t="s">
        <v>1942</v>
      </c>
      <c r="AB120" s="1104" t="s">
        <v>1942</v>
      </c>
      <c r="AC120" s="1104">
        <v>1</v>
      </c>
      <c r="AD120" s="1104" t="s">
        <v>1942</v>
      </c>
      <c r="AE120" s="1104" t="s">
        <v>1942</v>
      </c>
      <c r="AF120" s="1104" t="s">
        <v>1942</v>
      </c>
      <c r="AG120" s="1104" t="s">
        <v>1942</v>
      </c>
      <c r="AH120" s="1104" t="s">
        <v>1942</v>
      </c>
      <c r="AI120" s="1105">
        <f t="shared" si="1"/>
        <v>1</v>
      </c>
      <c r="AJ120" s="1106" t="s">
        <v>1030</v>
      </c>
      <c r="AK120" s="1106" t="s">
        <v>1008</v>
      </c>
      <c r="AL120" s="1106" t="s">
        <v>1019</v>
      </c>
      <c r="AM120" s="1107" t="s">
        <v>2106</v>
      </c>
      <c r="AN120" s="1018" t="s">
        <v>1033</v>
      </c>
      <c r="AO120" s="1018" t="s">
        <v>2380</v>
      </c>
      <c r="AP120" s="1333">
        <v>1</v>
      </c>
      <c r="AQ120" s="1076" t="s">
        <v>1010</v>
      </c>
      <c r="AR120" s="1109" t="s">
        <v>1942</v>
      </c>
      <c r="AS120" s="1110"/>
      <c r="AT120" s="1100"/>
      <c r="AU120" s="1100"/>
      <c r="AV120" s="1100"/>
      <c r="AW120" s="1111"/>
      <c r="AX120" s="1112"/>
      <c r="AY120" s="1075"/>
      <c r="AZ120" s="1076"/>
      <c r="BA120" s="1076"/>
      <c r="BB120" s="1076"/>
      <c r="BC120" s="1076"/>
      <c r="BD120" s="1076"/>
      <c r="BE120" s="1076"/>
      <c r="BF120" s="1076"/>
      <c r="BG120" s="1076"/>
      <c r="BH120" s="1076"/>
      <c r="BI120" s="1420"/>
      <c r="BJ120" s="1368"/>
      <c r="BK120" s="1368"/>
      <c r="BL120" s="1368"/>
      <c r="BM120" s="1368"/>
      <c r="BN120" s="1075"/>
      <c r="BO120" s="1076"/>
      <c r="BP120" s="1076"/>
      <c r="BQ120" s="1076"/>
      <c r="BR120" s="1076"/>
      <c r="BS120" s="1115"/>
      <c r="BT120" s="1076"/>
      <c r="BU120" s="1076"/>
      <c r="BV120" s="1076"/>
      <c r="BW120" s="1116"/>
      <c r="BX120" s="1115"/>
      <c r="BY120" s="1076"/>
      <c r="BZ120" s="1076"/>
      <c r="CA120" s="1076"/>
      <c r="CB120" s="1116"/>
      <c r="CC120" s="1117"/>
      <c r="CD120" s="1376"/>
      <c r="CE120" s="1377"/>
      <c r="CF120" s="1377"/>
      <c r="CG120" s="1377"/>
      <c r="CH120" s="1440"/>
      <c r="CI120" s="1420"/>
      <c r="CJ120" s="1368"/>
      <c r="CK120" s="1368"/>
      <c r="CL120" s="1368"/>
      <c r="CM120" s="1369"/>
      <c r="CN120" s="1420"/>
      <c r="CO120" s="1368"/>
      <c r="CP120" s="1368"/>
      <c r="CQ120" s="1368"/>
      <c r="CR120" s="1369"/>
      <c r="CS120" s="1420"/>
      <c r="CT120" s="1368"/>
      <c r="CU120" s="1368"/>
      <c r="CV120" s="1368"/>
      <c r="CW120" s="1369"/>
      <c r="CX120" s="1420"/>
      <c r="CY120" s="1368"/>
      <c r="CZ120" s="1368"/>
      <c r="DA120" s="1368"/>
      <c r="DB120" s="1369"/>
      <c r="DC120" s="1368"/>
      <c r="DD120" s="1368"/>
      <c r="DE120" s="1368"/>
      <c r="DF120" s="1368"/>
      <c r="DG120" s="1369"/>
      <c r="DH120" s="1420"/>
      <c r="DI120" s="1368"/>
      <c r="DJ120" s="1368"/>
      <c r="DK120" s="1368"/>
      <c r="DL120" s="1369"/>
      <c r="DM120" s="1808"/>
      <c r="DN120" s="1809"/>
      <c r="DO120" s="1809"/>
      <c r="DP120" s="1810"/>
      <c r="DQ120" s="1809"/>
      <c r="DR120" s="1809"/>
      <c r="DS120" s="1809"/>
      <c r="DT120" s="1810"/>
      <c r="DU120" s="1377"/>
      <c r="DV120" s="1729"/>
      <c r="DW120" s="1811"/>
    </row>
    <row r="121" spans="1:127" s="397" customFormat="1" ht="15.75" hidden="1" customHeight="1">
      <c r="A121" s="1097" t="s">
        <v>1013</v>
      </c>
      <c r="B121" s="1057">
        <v>112</v>
      </c>
      <c r="C121" s="1018"/>
      <c r="D121" s="1018"/>
      <c r="E121" s="1018"/>
      <c r="F121" s="1018"/>
      <c r="G121" s="1018"/>
      <c r="H121" s="1018"/>
      <c r="I121" s="1018"/>
      <c r="J121" s="1018"/>
      <c r="K121" s="1018"/>
      <c r="L121" s="1018"/>
      <c r="M121" s="1057"/>
      <c r="N121" s="1018"/>
      <c r="O121" s="1018"/>
      <c r="P121" s="1018"/>
      <c r="Q121" s="1018"/>
      <c r="R121" s="1018"/>
      <c r="S121" s="1018"/>
      <c r="T121" s="1019"/>
      <c r="U121" s="1098" t="s">
        <v>2381</v>
      </c>
      <c r="V121" s="1099" t="s">
        <v>2376</v>
      </c>
      <c r="W121" s="1099" t="s">
        <v>1907</v>
      </c>
      <c r="X121" s="1100" t="s">
        <v>2382</v>
      </c>
      <c r="Y121" s="1101" t="s">
        <v>2383</v>
      </c>
      <c r="Z121" s="1102" t="s">
        <v>2384</v>
      </c>
      <c r="AA121" s="1103">
        <v>0.5</v>
      </c>
      <c r="AB121" s="1104" t="s">
        <v>1942</v>
      </c>
      <c r="AC121" s="1104">
        <v>0.5</v>
      </c>
      <c r="AD121" s="1104" t="s">
        <v>1942</v>
      </c>
      <c r="AE121" s="1104" t="s">
        <v>1942</v>
      </c>
      <c r="AF121" s="1104" t="s">
        <v>1942</v>
      </c>
      <c r="AG121" s="1104" t="s">
        <v>1942</v>
      </c>
      <c r="AH121" s="1104" t="s">
        <v>1942</v>
      </c>
      <c r="AI121" s="1105">
        <f t="shared" si="1"/>
        <v>1</v>
      </c>
      <c r="AJ121" s="1106" t="s">
        <v>1030</v>
      </c>
      <c r="AK121" s="1106" t="s">
        <v>1008</v>
      </c>
      <c r="AL121" s="1106" t="s">
        <v>1009</v>
      </c>
      <c r="AM121" s="1107" t="s">
        <v>2289</v>
      </c>
      <c r="AN121" s="1018" t="s">
        <v>1033</v>
      </c>
      <c r="AO121" s="1018" t="s">
        <v>2385</v>
      </c>
      <c r="AP121" s="1333">
        <v>2</v>
      </c>
      <c r="AQ121" s="1076" t="s">
        <v>1010</v>
      </c>
      <c r="AR121" s="1109" t="s">
        <v>1942</v>
      </c>
      <c r="AS121" s="1110"/>
      <c r="AT121" s="1100"/>
      <c r="AU121" s="1100"/>
      <c r="AV121" s="1100"/>
      <c r="AW121" s="1111"/>
      <c r="AX121" s="1112"/>
      <c r="AY121" s="1075"/>
      <c r="AZ121" s="1076"/>
      <c r="BA121" s="1076"/>
      <c r="BB121" s="1076"/>
      <c r="BC121" s="1076"/>
      <c r="BD121" s="1076"/>
      <c r="BE121" s="1076"/>
      <c r="BF121" s="1076"/>
      <c r="BG121" s="1076"/>
      <c r="BH121" s="1076"/>
      <c r="BI121" s="1420"/>
      <c r="BJ121" s="1368"/>
      <c r="BK121" s="1368"/>
      <c r="BL121" s="1368"/>
      <c r="BM121" s="1368"/>
      <c r="BN121" s="1075"/>
      <c r="BO121" s="1076"/>
      <c r="BP121" s="1076"/>
      <c r="BQ121" s="1076"/>
      <c r="BR121" s="1076"/>
      <c r="BS121" s="1115"/>
      <c r="BT121" s="1076"/>
      <c r="BU121" s="1076"/>
      <c r="BV121" s="1076"/>
      <c r="BW121" s="1116"/>
      <c r="BX121" s="1115"/>
      <c r="BY121" s="1076"/>
      <c r="BZ121" s="1076"/>
      <c r="CA121" s="1076"/>
      <c r="CB121" s="1116"/>
      <c r="CC121" s="1117"/>
      <c r="CD121" s="1376"/>
      <c r="CE121" s="1377"/>
      <c r="CF121" s="1377"/>
      <c r="CG121" s="1377"/>
      <c r="CH121" s="1440"/>
      <c r="CI121" s="1420"/>
      <c r="CJ121" s="1368"/>
      <c r="CK121" s="1368"/>
      <c r="CL121" s="1368"/>
      <c r="CM121" s="1369"/>
      <c r="CN121" s="1420"/>
      <c r="CO121" s="1368"/>
      <c r="CP121" s="1368"/>
      <c r="CQ121" s="1368"/>
      <c r="CR121" s="1369"/>
      <c r="CS121" s="1420"/>
      <c r="CT121" s="1368"/>
      <c r="CU121" s="1368"/>
      <c r="CV121" s="1368"/>
      <c r="CW121" s="1369"/>
      <c r="CX121" s="1420"/>
      <c r="CY121" s="1368"/>
      <c r="CZ121" s="1368"/>
      <c r="DA121" s="1368"/>
      <c r="DB121" s="1369"/>
      <c r="DC121" s="1368"/>
      <c r="DD121" s="1368"/>
      <c r="DE121" s="1368"/>
      <c r="DF121" s="1368"/>
      <c r="DG121" s="1369"/>
      <c r="DH121" s="1420"/>
      <c r="DI121" s="1368"/>
      <c r="DJ121" s="1368"/>
      <c r="DK121" s="1368"/>
      <c r="DL121" s="1369"/>
      <c r="DM121" s="1808"/>
      <c r="DN121" s="1809"/>
      <c r="DO121" s="1809"/>
      <c r="DP121" s="1810"/>
      <c r="DQ121" s="1809"/>
      <c r="DR121" s="1809"/>
      <c r="DS121" s="1809"/>
      <c r="DT121" s="1810"/>
      <c r="DU121" s="1377"/>
      <c r="DV121" s="1729"/>
      <c r="DW121" s="1811"/>
    </row>
    <row r="122" spans="1:127" s="397" customFormat="1" ht="15.75" hidden="1" customHeight="1">
      <c r="A122" s="1097" t="s">
        <v>1013</v>
      </c>
      <c r="B122" s="1057">
        <v>113</v>
      </c>
      <c r="C122" s="1018"/>
      <c r="D122" s="1018"/>
      <c r="E122" s="1018"/>
      <c r="F122" s="1018"/>
      <c r="G122" s="1018"/>
      <c r="H122" s="1018"/>
      <c r="I122" s="1018"/>
      <c r="J122" s="1018"/>
      <c r="K122" s="1018"/>
      <c r="L122" s="1018"/>
      <c r="M122" s="1057"/>
      <c r="N122" s="1018"/>
      <c r="O122" s="1018"/>
      <c r="P122" s="1018"/>
      <c r="Q122" s="1018"/>
      <c r="R122" s="1018"/>
      <c r="S122" s="1018"/>
      <c r="T122" s="1019"/>
      <c r="U122" s="1098" t="s">
        <v>2386</v>
      </c>
      <c r="V122" s="1099" t="s">
        <v>2376</v>
      </c>
      <c r="W122" s="1099" t="s">
        <v>1907</v>
      </c>
      <c r="X122" s="1100" t="s">
        <v>2387</v>
      </c>
      <c r="Y122" s="1101" t="s">
        <v>2388</v>
      </c>
      <c r="Z122" s="1102" t="s">
        <v>2389</v>
      </c>
      <c r="AA122" s="1103" t="s">
        <v>1942</v>
      </c>
      <c r="AB122" s="1104" t="s">
        <v>1942</v>
      </c>
      <c r="AC122" s="1104" t="s">
        <v>1942</v>
      </c>
      <c r="AD122" s="1104">
        <v>1</v>
      </c>
      <c r="AE122" s="1104" t="s">
        <v>1942</v>
      </c>
      <c r="AF122" s="1104" t="s">
        <v>1942</v>
      </c>
      <c r="AG122" s="1104" t="s">
        <v>1942</v>
      </c>
      <c r="AH122" s="1104" t="s">
        <v>1942</v>
      </c>
      <c r="AI122" s="1105">
        <f t="shared" si="1"/>
        <v>1</v>
      </c>
      <c r="AJ122" s="1106" t="s">
        <v>1026</v>
      </c>
      <c r="AK122" s="1106" t="s">
        <v>1008</v>
      </c>
      <c r="AL122" s="1106" t="s">
        <v>1009</v>
      </c>
      <c r="AM122" s="1107" t="s">
        <v>763</v>
      </c>
      <c r="AN122" s="1018" t="s">
        <v>278</v>
      </c>
      <c r="AO122" s="1018" t="s">
        <v>2390</v>
      </c>
      <c r="AP122" s="1333">
        <v>2</v>
      </c>
      <c r="AQ122" s="1076" t="s">
        <v>1010</v>
      </c>
      <c r="AR122" s="1109" t="s">
        <v>1942</v>
      </c>
      <c r="AS122" s="1110"/>
      <c r="AT122" s="1100"/>
      <c r="AU122" s="1100"/>
      <c r="AV122" s="1100"/>
      <c r="AW122" s="1111"/>
      <c r="AX122" s="1112"/>
      <c r="AY122" s="1075"/>
      <c r="AZ122" s="1076"/>
      <c r="BA122" s="1076"/>
      <c r="BB122" s="1076"/>
      <c r="BC122" s="1076"/>
      <c r="BD122" s="1076"/>
      <c r="BE122" s="1076"/>
      <c r="BF122" s="1076"/>
      <c r="BG122" s="1076"/>
      <c r="BH122" s="1076"/>
      <c r="BI122" s="1420"/>
      <c r="BJ122" s="1368"/>
      <c r="BK122" s="1368"/>
      <c r="BL122" s="1368"/>
      <c r="BM122" s="1368"/>
      <c r="BN122" s="1075"/>
      <c r="BO122" s="1076"/>
      <c r="BP122" s="1076"/>
      <c r="BQ122" s="1076"/>
      <c r="BR122" s="1076"/>
      <c r="BS122" s="1115"/>
      <c r="BT122" s="1076"/>
      <c r="BU122" s="1076"/>
      <c r="BV122" s="1076"/>
      <c r="BW122" s="1116"/>
      <c r="BX122" s="1115"/>
      <c r="BY122" s="1076"/>
      <c r="BZ122" s="1076"/>
      <c r="CA122" s="1076"/>
      <c r="CB122" s="1116"/>
      <c r="CC122" s="1117"/>
      <c r="CD122" s="1376"/>
      <c r="CE122" s="1377"/>
      <c r="CF122" s="1377"/>
      <c r="CG122" s="1377"/>
      <c r="CH122" s="1440"/>
      <c r="CI122" s="1420"/>
      <c r="CJ122" s="1368"/>
      <c r="CK122" s="1368"/>
      <c r="CL122" s="1368"/>
      <c r="CM122" s="1369"/>
      <c r="CN122" s="1420"/>
      <c r="CO122" s="1368"/>
      <c r="CP122" s="1368"/>
      <c r="CQ122" s="1368"/>
      <c r="CR122" s="1369"/>
      <c r="CS122" s="1420"/>
      <c r="CT122" s="1368"/>
      <c r="CU122" s="1368"/>
      <c r="CV122" s="1368"/>
      <c r="CW122" s="1369"/>
      <c r="CX122" s="1420"/>
      <c r="CY122" s="1368"/>
      <c r="CZ122" s="1368"/>
      <c r="DA122" s="1368"/>
      <c r="DB122" s="1369"/>
      <c r="DC122" s="1368"/>
      <c r="DD122" s="1368"/>
      <c r="DE122" s="1368"/>
      <c r="DF122" s="1368"/>
      <c r="DG122" s="1369"/>
      <c r="DH122" s="1420"/>
      <c r="DI122" s="1368"/>
      <c r="DJ122" s="1368"/>
      <c r="DK122" s="1368"/>
      <c r="DL122" s="1369"/>
      <c r="DM122" s="1808"/>
      <c r="DN122" s="1809"/>
      <c r="DO122" s="1809"/>
      <c r="DP122" s="1810"/>
      <c r="DQ122" s="1809"/>
      <c r="DR122" s="1809"/>
      <c r="DS122" s="1809"/>
      <c r="DT122" s="1810"/>
      <c r="DU122" s="1377"/>
      <c r="DV122" s="1729"/>
      <c r="DW122" s="1811"/>
    </row>
    <row r="123" spans="1:127" s="397" customFormat="1" ht="15.75" hidden="1" customHeight="1">
      <c r="A123" s="1097" t="s">
        <v>1013</v>
      </c>
      <c r="B123" s="1057">
        <v>114</v>
      </c>
      <c r="C123" s="1018"/>
      <c r="D123" s="1018"/>
      <c r="E123" s="1018"/>
      <c r="F123" s="1018"/>
      <c r="G123" s="1018"/>
      <c r="H123" s="1018"/>
      <c r="I123" s="1018"/>
      <c r="J123" s="1018"/>
      <c r="K123" s="1018"/>
      <c r="L123" s="1018"/>
      <c r="M123" s="1057"/>
      <c r="N123" s="1018"/>
      <c r="O123" s="1018"/>
      <c r="P123" s="1018"/>
      <c r="Q123" s="1018"/>
      <c r="R123" s="1018"/>
      <c r="S123" s="1018"/>
      <c r="T123" s="1019"/>
      <c r="U123" s="1098" t="s">
        <v>2391</v>
      </c>
      <c r="V123" s="1099" t="s">
        <v>2376</v>
      </c>
      <c r="W123" s="1099" t="s">
        <v>1907</v>
      </c>
      <c r="X123" s="1100" t="s">
        <v>2392</v>
      </c>
      <c r="Y123" s="1101" t="s">
        <v>1058</v>
      </c>
      <c r="Z123" s="1102" t="s">
        <v>2393</v>
      </c>
      <c r="AA123" s="1103" t="s">
        <v>1942</v>
      </c>
      <c r="AB123" s="1104">
        <v>0.5</v>
      </c>
      <c r="AC123" s="1104">
        <v>0.5</v>
      </c>
      <c r="AD123" s="1104" t="s">
        <v>1942</v>
      </c>
      <c r="AE123" s="1104" t="s">
        <v>1942</v>
      </c>
      <c r="AF123" s="1104" t="s">
        <v>1942</v>
      </c>
      <c r="AG123" s="1104" t="s">
        <v>1942</v>
      </c>
      <c r="AH123" s="1104" t="s">
        <v>1942</v>
      </c>
      <c r="AI123" s="1105">
        <f t="shared" si="1"/>
        <v>1</v>
      </c>
      <c r="AJ123" s="1106" t="s">
        <v>1026</v>
      </c>
      <c r="AK123" s="1106" t="s">
        <v>1008</v>
      </c>
      <c r="AL123" s="1106" t="s">
        <v>1009</v>
      </c>
      <c r="AM123" s="1107" t="s">
        <v>2085</v>
      </c>
      <c r="AN123" s="1018" t="s">
        <v>278</v>
      </c>
      <c r="AO123" s="1018" t="s">
        <v>2449</v>
      </c>
      <c r="AP123" s="1332">
        <v>2</v>
      </c>
      <c r="AQ123" s="1076" t="s">
        <v>1010</v>
      </c>
      <c r="AR123" s="1109" t="s">
        <v>1058</v>
      </c>
      <c r="AS123" s="1110"/>
      <c r="AT123" s="1100"/>
      <c r="AU123" s="1100"/>
      <c r="AV123" s="1100"/>
      <c r="AW123" s="1111"/>
      <c r="AX123" s="1112"/>
      <c r="AY123" s="1075"/>
      <c r="AZ123" s="1076"/>
      <c r="BA123" s="1076"/>
      <c r="BB123" s="1076"/>
      <c r="BC123" s="1076"/>
      <c r="BD123" s="1076"/>
      <c r="BE123" s="1076"/>
      <c r="BF123" s="1076"/>
      <c r="BG123" s="1126"/>
      <c r="BH123" s="1126"/>
      <c r="BI123" s="1127">
        <v>100</v>
      </c>
      <c r="BJ123" s="1126">
        <v>100</v>
      </c>
      <c r="BK123" s="1126">
        <v>100</v>
      </c>
      <c r="BL123" s="1126">
        <v>100</v>
      </c>
      <c r="BM123" s="1126">
        <v>100</v>
      </c>
      <c r="BN123" s="1075"/>
      <c r="BO123" s="1076"/>
      <c r="BP123" s="1076"/>
      <c r="BQ123" s="1076"/>
      <c r="BR123" s="1076"/>
      <c r="BS123" s="1115"/>
      <c r="BT123" s="1076"/>
      <c r="BU123" s="1076"/>
      <c r="BV123" s="1076"/>
      <c r="BW123" s="1116"/>
      <c r="BX123" s="1115"/>
      <c r="BY123" s="1076"/>
      <c r="BZ123" s="1076"/>
      <c r="CA123" s="1076"/>
      <c r="CB123" s="1116"/>
      <c r="CC123" s="1117"/>
      <c r="CD123" s="1118" t="s">
        <v>168</v>
      </c>
      <c r="CE123" s="1119" t="s">
        <v>168</v>
      </c>
      <c r="CF123" s="1119" t="s">
        <v>168</v>
      </c>
      <c r="CG123" s="1119" t="s">
        <v>168</v>
      </c>
      <c r="CH123" s="1120" t="s">
        <v>168</v>
      </c>
      <c r="CI123" s="1075" t="s">
        <v>1942</v>
      </c>
      <c r="CJ123" s="1076" t="s">
        <v>1942</v>
      </c>
      <c r="CK123" s="1076" t="s">
        <v>1942</v>
      </c>
      <c r="CL123" s="1076" t="s">
        <v>1942</v>
      </c>
      <c r="CM123" s="1117" t="s">
        <v>1942</v>
      </c>
      <c r="CN123" s="1075" t="s">
        <v>1942</v>
      </c>
      <c r="CO123" s="1076" t="s">
        <v>1942</v>
      </c>
      <c r="CP123" s="1076" t="s">
        <v>1942</v>
      </c>
      <c r="CQ123" s="1076" t="s">
        <v>1942</v>
      </c>
      <c r="CR123" s="1117" t="s">
        <v>1942</v>
      </c>
      <c r="CS123" s="1075">
        <v>97.9</v>
      </c>
      <c r="CT123" s="1076">
        <v>97.9</v>
      </c>
      <c r="CU123" s="1076">
        <v>97.9</v>
      </c>
      <c r="CV123" s="1076">
        <v>97.9</v>
      </c>
      <c r="CW123" s="1117">
        <v>97.9</v>
      </c>
      <c r="CX123" s="1075" t="s">
        <v>1942</v>
      </c>
      <c r="CY123" s="1076" t="s">
        <v>1942</v>
      </c>
      <c r="CZ123" s="1076" t="s">
        <v>1942</v>
      </c>
      <c r="DA123" s="1076" t="s">
        <v>1942</v>
      </c>
      <c r="DB123" s="1117" t="s">
        <v>1942</v>
      </c>
      <c r="DC123" s="1076" t="s">
        <v>1942</v>
      </c>
      <c r="DD123" s="1076" t="s">
        <v>1942</v>
      </c>
      <c r="DE123" s="1076" t="s">
        <v>1942</v>
      </c>
      <c r="DF123" s="1076" t="s">
        <v>1942</v>
      </c>
      <c r="DG123" s="1117" t="s">
        <v>1942</v>
      </c>
      <c r="DH123" s="1075" t="s">
        <v>1942</v>
      </c>
      <c r="DI123" s="1076" t="s">
        <v>1942</v>
      </c>
      <c r="DJ123" s="1076" t="s">
        <v>1942</v>
      </c>
      <c r="DK123" s="1076" t="s">
        <v>1942</v>
      </c>
      <c r="DL123" s="1117" t="s">
        <v>1942</v>
      </c>
      <c r="DM123" s="1121">
        <v>-7.7000000000000002E-3</v>
      </c>
      <c r="DN123" s="1122" t="s">
        <v>1942</v>
      </c>
      <c r="DO123" s="1122" t="s">
        <v>1942</v>
      </c>
      <c r="DP123" s="1123" t="s">
        <v>1942</v>
      </c>
      <c r="DQ123" s="1122" t="s">
        <v>1942</v>
      </c>
      <c r="DR123" s="1122" t="s">
        <v>1942</v>
      </c>
      <c r="DS123" s="1122" t="s">
        <v>1942</v>
      </c>
      <c r="DT123" s="1123" t="s">
        <v>1942</v>
      </c>
      <c r="DU123" s="1119" t="s">
        <v>1942</v>
      </c>
      <c r="DV123" s="1124">
        <v>1</v>
      </c>
      <c r="DW123" s="1125" t="s">
        <v>1942</v>
      </c>
    </row>
    <row r="124" spans="1:127" s="397" customFormat="1" ht="15.75" hidden="1" customHeight="1">
      <c r="A124" s="1097" t="s">
        <v>1013</v>
      </c>
      <c r="B124" s="1057">
        <v>115</v>
      </c>
      <c r="C124" s="1018"/>
      <c r="D124" s="1018"/>
      <c r="E124" s="1018"/>
      <c r="F124" s="1018"/>
      <c r="G124" s="1018"/>
      <c r="H124" s="1018"/>
      <c r="I124" s="1018"/>
      <c r="J124" s="1018"/>
      <c r="K124" s="1018"/>
      <c r="L124" s="1018"/>
      <c r="M124" s="1057"/>
      <c r="N124" s="1018"/>
      <c r="O124" s="1018"/>
      <c r="P124" s="1018"/>
      <c r="Q124" s="1018"/>
      <c r="R124" s="1018"/>
      <c r="S124" s="1018"/>
      <c r="T124" s="1019"/>
      <c r="U124" s="1098" t="s">
        <v>2395</v>
      </c>
      <c r="V124" s="1099" t="s">
        <v>2396</v>
      </c>
      <c r="W124" s="1099" t="s">
        <v>1907</v>
      </c>
      <c r="X124" s="1100" t="s">
        <v>2397</v>
      </c>
      <c r="Y124" s="1101" t="s">
        <v>2398</v>
      </c>
      <c r="Z124" s="1102" t="s">
        <v>2399</v>
      </c>
      <c r="AA124" s="1103">
        <v>0.35</v>
      </c>
      <c r="AB124" s="1104">
        <v>0.35</v>
      </c>
      <c r="AC124" s="1104">
        <v>0.3</v>
      </c>
      <c r="AD124" s="1104" t="s">
        <v>1942</v>
      </c>
      <c r="AE124" s="1104" t="s">
        <v>1942</v>
      </c>
      <c r="AF124" s="1104" t="s">
        <v>1942</v>
      </c>
      <c r="AG124" s="1104" t="s">
        <v>1942</v>
      </c>
      <c r="AH124" s="1104" t="s">
        <v>1942</v>
      </c>
      <c r="AI124" s="1105">
        <f t="shared" si="1"/>
        <v>1</v>
      </c>
      <c r="AJ124" s="1106" t="s">
        <v>1007</v>
      </c>
      <c r="AK124" s="1106" t="s">
        <v>1942</v>
      </c>
      <c r="AL124" s="1106" t="s">
        <v>1942</v>
      </c>
      <c r="AM124" s="1107" t="s">
        <v>2400</v>
      </c>
      <c r="AN124" s="1018" t="s">
        <v>1033</v>
      </c>
      <c r="AO124" s="1018" t="s">
        <v>2401</v>
      </c>
      <c r="AP124" s="1333">
        <v>0</v>
      </c>
      <c r="AQ124" s="1076" t="s">
        <v>1010</v>
      </c>
      <c r="AR124" s="1109" t="s">
        <v>1942</v>
      </c>
      <c r="AS124" s="1110"/>
      <c r="AT124" s="1100"/>
      <c r="AU124" s="1100"/>
      <c r="AV124" s="1100"/>
      <c r="AW124" s="1111"/>
      <c r="AX124" s="1112"/>
      <c r="AY124" s="1075"/>
      <c r="AZ124" s="1076"/>
      <c r="BA124" s="1076"/>
      <c r="BB124" s="1076"/>
      <c r="BC124" s="1076"/>
      <c r="BD124" s="1076"/>
      <c r="BE124" s="1076"/>
      <c r="BF124" s="1076"/>
      <c r="BG124" s="1076"/>
      <c r="BH124" s="1076"/>
      <c r="BI124" s="1420"/>
      <c r="BJ124" s="1368"/>
      <c r="BK124" s="1368"/>
      <c r="BL124" s="1368"/>
      <c r="BM124" s="1368"/>
      <c r="BN124" s="1075"/>
      <c r="BO124" s="1076"/>
      <c r="BP124" s="1076"/>
      <c r="BQ124" s="1076"/>
      <c r="BR124" s="1076"/>
      <c r="BS124" s="1115"/>
      <c r="BT124" s="1076"/>
      <c r="BU124" s="1076"/>
      <c r="BV124" s="1076"/>
      <c r="BW124" s="1116"/>
      <c r="BX124" s="1115"/>
      <c r="BY124" s="1076"/>
      <c r="BZ124" s="1076"/>
      <c r="CA124" s="1076"/>
      <c r="CB124" s="1116"/>
      <c r="CC124" s="1117"/>
      <c r="CD124" s="1376"/>
      <c r="CE124" s="1377"/>
      <c r="CF124" s="1377"/>
      <c r="CG124" s="1377"/>
      <c r="CH124" s="1440"/>
      <c r="CI124" s="1420"/>
      <c r="CJ124" s="1368"/>
      <c r="CK124" s="1368"/>
      <c r="CL124" s="1368"/>
      <c r="CM124" s="1369"/>
      <c r="CN124" s="1420"/>
      <c r="CO124" s="1368"/>
      <c r="CP124" s="1368"/>
      <c r="CQ124" s="1368"/>
      <c r="CR124" s="1369"/>
      <c r="CS124" s="1420"/>
      <c r="CT124" s="1368"/>
      <c r="CU124" s="1368"/>
      <c r="CV124" s="1368"/>
      <c r="CW124" s="1369"/>
      <c r="CX124" s="1420"/>
      <c r="CY124" s="1368"/>
      <c r="CZ124" s="1368"/>
      <c r="DA124" s="1368"/>
      <c r="DB124" s="1369"/>
      <c r="DC124" s="1368"/>
      <c r="DD124" s="1368"/>
      <c r="DE124" s="1368"/>
      <c r="DF124" s="1368"/>
      <c r="DG124" s="1369"/>
      <c r="DH124" s="1420"/>
      <c r="DI124" s="1368"/>
      <c r="DJ124" s="1368"/>
      <c r="DK124" s="1368"/>
      <c r="DL124" s="1369"/>
      <c r="DM124" s="1808"/>
      <c r="DN124" s="1809"/>
      <c r="DO124" s="1809"/>
      <c r="DP124" s="1810"/>
      <c r="DQ124" s="1809"/>
      <c r="DR124" s="1809"/>
      <c r="DS124" s="1809"/>
      <c r="DT124" s="1810"/>
      <c r="DU124" s="1377"/>
      <c r="DV124" s="1729"/>
      <c r="DW124" s="1811"/>
    </row>
    <row r="125" spans="1:127" s="397" customFormat="1" ht="15.75" hidden="1" customHeight="1">
      <c r="A125" s="1097" t="s">
        <v>1013</v>
      </c>
      <c r="B125" s="1057">
        <v>116</v>
      </c>
      <c r="C125" s="1018"/>
      <c r="D125" s="1018"/>
      <c r="E125" s="1018"/>
      <c r="F125" s="1018"/>
      <c r="G125" s="1018"/>
      <c r="H125" s="1018"/>
      <c r="I125" s="1018"/>
      <c r="J125" s="1018"/>
      <c r="K125" s="1018"/>
      <c r="L125" s="1018"/>
      <c r="M125" s="1057"/>
      <c r="N125" s="1018"/>
      <c r="O125" s="1018"/>
      <c r="P125" s="1018"/>
      <c r="Q125" s="1018"/>
      <c r="R125" s="1018"/>
      <c r="S125" s="1018"/>
      <c r="T125" s="1019"/>
      <c r="U125" s="1098" t="s">
        <v>2402</v>
      </c>
      <c r="V125" s="1099" t="s">
        <v>2403</v>
      </c>
      <c r="W125" s="1099" t="s">
        <v>1889</v>
      </c>
      <c r="X125" s="1100" t="s">
        <v>2404</v>
      </c>
      <c r="Y125" s="1101" t="s">
        <v>732</v>
      </c>
      <c r="Z125" s="1102" t="s">
        <v>2405</v>
      </c>
      <c r="AA125" s="1103" t="s">
        <v>1942</v>
      </c>
      <c r="AB125" s="1104" t="s">
        <v>1942</v>
      </c>
      <c r="AC125" s="1104">
        <v>1</v>
      </c>
      <c r="AD125" s="1104" t="s">
        <v>1942</v>
      </c>
      <c r="AE125" s="1104" t="s">
        <v>1942</v>
      </c>
      <c r="AF125" s="1104" t="s">
        <v>1942</v>
      </c>
      <c r="AG125" s="1104" t="s">
        <v>1942</v>
      </c>
      <c r="AH125" s="1104" t="s">
        <v>1942</v>
      </c>
      <c r="AI125" s="1105">
        <f t="shared" si="1"/>
        <v>1</v>
      </c>
      <c r="AJ125" s="1106" t="s">
        <v>1030</v>
      </c>
      <c r="AK125" s="1106" t="s">
        <v>1008</v>
      </c>
      <c r="AL125" s="1106" t="s">
        <v>1009</v>
      </c>
      <c r="AM125" s="1107" t="s">
        <v>2058</v>
      </c>
      <c r="AN125" s="1018" t="s">
        <v>2177</v>
      </c>
      <c r="AO125" s="1018" t="s">
        <v>4492</v>
      </c>
      <c r="AP125" s="1332">
        <v>2</v>
      </c>
      <c r="AQ125" s="1076" t="s">
        <v>1020</v>
      </c>
      <c r="AR125" s="1109" t="s">
        <v>732</v>
      </c>
      <c r="AS125" s="1110"/>
      <c r="AT125" s="1100"/>
      <c r="AU125" s="1100"/>
      <c r="AV125" s="1100"/>
      <c r="AW125" s="1111"/>
      <c r="AX125" s="1112"/>
      <c r="AY125" s="1075"/>
      <c r="AZ125" s="1076"/>
      <c r="BA125" s="1076"/>
      <c r="BB125" s="1076"/>
      <c r="BC125" s="1076"/>
      <c r="BD125" s="1076"/>
      <c r="BE125" s="1076"/>
      <c r="BF125" s="1076"/>
      <c r="BG125" s="1126"/>
      <c r="BH125" s="1126"/>
      <c r="BI125" s="1127">
        <v>1.68</v>
      </c>
      <c r="BJ125" s="1126">
        <v>1.63</v>
      </c>
      <c r="BK125" s="1126">
        <v>1.58</v>
      </c>
      <c r="BL125" s="1126">
        <v>1.44</v>
      </c>
      <c r="BM125" s="1126">
        <v>1.34</v>
      </c>
      <c r="BN125" s="1075"/>
      <c r="BO125" s="1076"/>
      <c r="BP125" s="1076"/>
      <c r="BQ125" s="1076"/>
      <c r="BR125" s="1076"/>
      <c r="BS125" s="1115"/>
      <c r="BT125" s="1076"/>
      <c r="BU125" s="1076"/>
      <c r="BV125" s="1076"/>
      <c r="BW125" s="1116"/>
      <c r="BX125" s="1115"/>
      <c r="BY125" s="1076"/>
      <c r="BZ125" s="1076"/>
      <c r="CA125" s="1076"/>
      <c r="CB125" s="1116"/>
      <c r="CC125" s="1117"/>
      <c r="CD125" s="1118" t="s">
        <v>168</v>
      </c>
      <c r="CE125" s="1119" t="s">
        <v>168</v>
      </c>
      <c r="CF125" s="1119" t="s">
        <v>168</v>
      </c>
      <c r="CG125" s="1119" t="s">
        <v>168</v>
      </c>
      <c r="CH125" s="1120" t="s">
        <v>168</v>
      </c>
      <c r="CI125" s="1075" t="s">
        <v>1942</v>
      </c>
      <c r="CJ125" s="1076" t="s">
        <v>1942</v>
      </c>
      <c r="CK125" s="1076" t="s">
        <v>1942</v>
      </c>
      <c r="CL125" s="1076" t="s">
        <v>1942</v>
      </c>
      <c r="CM125" s="1117" t="s">
        <v>1942</v>
      </c>
      <c r="CN125" s="1075">
        <v>3.35</v>
      </c>
      <c r="CO125" s="1076">
        <v>3.35</v>
      </c>
      <c r="CP125" s="1076">
        <v>3.35</v>
      </c>
      <c r="CQ125" s="1076">
        <v>3.35</v>
      </c>
      <c r="CR125" s="1117">
        <v>3.35</v>
      </c>
      <c r="CS125" s="1075" t="s">
        <v>1942</v>
      </c>
      <c r="CT125" s="1076" t="s">
        <v>1942</v>
      </c>
      <c r="CU125" s="1076" t="s">
        <v>1942</v>
      </c>
      <c r="CV125" s="1076" t="s">
        <v>1942</v>
      </c>
      <c r="CW125" s="1117" t="s">
        <v>1942</v>
      </c>
      <c r="CX125" s="1075" t="s">
        <v>1942</v>
      </c>
      <c r="CY125" s="1076" t="s">
        <v>1942</v>
      </c>
      <c r="CZ125" s="1076" t="s">
        <v>1942</v>
      </c>
      <c r="DA125" s="1076" t="s">
        <v>1942</v>
      </c>
      <c r="DB125" s="1117" t="s">
        <v>1942</v>
      </c>
      <c r="DC125" s="1076">
        <v>1.1499999999999999</v>
      </c>
      <c r="DD125" s="1076">
        <v>1.1100000000000001</v>
      </c>
      <c r="DE125" s="1076">
        <v>1.06</v>
      </c>
      <c r="DF125" s="1076">
        <v>1.06</v>
      </c>
      <c r="DG125" s="1117">
        <v>1.05</v>
      </c>
      <c r="DH125" s="1075" t="s">
        <v>1942</v>
      </c>
      <c r="DI125" s="1076" t="s">
        <v>1942</v>
      </c>
      <c r="DJ125" s="1076" t="s">
        <v>1942</v>
      </c>
      <c r="DK125" s="1076" t="s">
        <v>1942</v>
      </c>
      <c r="DL125" s="1117" t="s">
        <v>1942</v>
      </c>
      <c r="DM125" s="1121">
        <v>-3.5000000000000003E-2</v>
      </c>
      <c r="DN125" s="1122" t="s">
        <v>1942</v>
      </c>
      <c r="DO125" s="1122" t="s">
        <v>1942</v>
      </c>
      <c r="DP125" s="1123" t="s">
        <v>1942</v>
      </c>
      <c r="DQ125" s="1122">
        <v>3.5000000000000003E-2</v>
      </c>
      <c r="DR125" s="1122" t="s">
        <v>1942</v>
      </c>
      <c r="DS125" s="1122" t="s">
        <v>1942</v>
      </c>
      <c r="DT125" s="1123" t="s">
        <v>1942</v>
      </c>
      <c r="DU125" s="1119" t="s">
        <v>1942</v>
      </c>
      <c r="DV125" s="1124">
        <v>1</v>
      </c>
      <c r="DW125" s="1125" t="s">
        <v>1942</v>
      </c>
    </row>
    <row r="126" spans="1:127" s="397" customFormat="1" ht="15.75" hidden="1" customHeight="1">
      <c r="A126" s="1097" t="s">
        <v>1013</v>
      </c>
      <c r="B126" s="1057">
        <v>117</v>
      </c>
      <c r="C126" s="1018"/>
      <c r="D126" s="1018"/>
      <c r="E126" s="1018"/>
      <c r="F126" s="1018"/>
      <c r="G126" s="1018"/>
      <c r="H126" s="1018"/>
      <c r="I126" s="1018"/>
      <c r="J126" s="1018"/>
      <c r="K126" s="1018"/>
      <c r="L126" s="1018"/>
      <c r="M126" s="1057"/>
      <c r="N126" s="1018"/>
      <c r="O126" s="1018"/>
      <c r="P126" s="1018"/>
      <c r="Q126" s="1018"/>
      <c r="R126" s="1018"/>
      <c r="S126" s="1018"/>
      <c r="T126" s="1019"/>
      <c r="U126" s="1098" t="s">
        <v>2407</v>
      </c>
      <c r="V126" s="1099" t="s">
        <v>2403</v>
      </c>
      <c r="W126" s="1099" t="s">
        <v>1889</v>
      </c>
      <c r="X126" s="1100" t="s">
        <v>2408</v>
      </c>
      <c r="Y126" s="1101" t="s">
        <v>736</v>
      </c>
      <c r="Z126" s="1102" t="s">
        <v>2409</v>
      </c>
      <c r="AA126" s="1103" t="s">
        <v>1942</v>
      </c>
      <c r="AB126" s="1104" t="s">
        <v>1942</v>
      </c>
      <c r="AC126" s="1104">
        <v>1</v>
      </c>
      <c r="AD126" s="1104" t="s">
        <v>1942</v>
      </c>
      <c r="AE126" s="1104" t="s">
        <v>1942</v>
      </c>
      <c r="AF126" s="1104" t="s">
        <v>1942</v>
      </c>
      <c r="AG126" s="1104" t="s">
        <v>1942</v>
      </c>
      <c r="AH126" s="1104" t="s">
        <v>1942</v>
      </c>
      <c r="AI126" s="1105">
        <f t="shared" si="1"/>
        <v>1</v>
      </c>
      <c r="AJ126" s="1106" t="s">
        <v>1026</v>
      </c>
      <c r="AK126" s="1106" t="s">
        <v>1008</v>
      </c>
      <c r="AL126" s="1106" t="s">
        <v>1009</v>
      </c>
      <c r="AM126" s="1107" t="s">
        <v>736</v>
      </c>
      <c r="AN126" s="1018" t="s">
        <v>2177</v>
      </c>
      <c r="AO126" s="1018" t="s">
        <v>4806</v>
      </c>
      <c r="AP126" s="1332">
        <v>2</v>
      </c>
      <c r="AQ126" s="1076" t="s">
        <v>1020</v>
      </c>
      <c r="AR126" s="1109" t="s">
        <v>736</v>
      </c>
      <c r="AS126" s="1110"/>
      <c r="AT126" s="1100"/>
      <c r="AU126" s="1100"/>
      <c r="AV126" s="1100"/>
      <c r="AW126" s="1111"/>
      <c r="AX126" s="1112"/>
      <c r="AY126" s="1075"/>
      <c r="AZ126" s="1076"/>
      <c r="BA126" s="1076"/>
      <c r="BB126" s="1076"/>
      <c r="BC126" s="1076"/>
      <c r="BD126" s="1076"/>
      <c r="BE126" s="1076"/>
      <c r="BF126" s="1076"/>
      <c r="BG126" s="1126"/>
      <c r="BH126" s="1126"/>
      <c r="BI126" s="1127">
        <v>138</v>
      </c>
      <c r="BJ126" s="1126">
        <v>137</v>
      </c>
      <c r="BK126" s="1126">
        <v>117</v>
      </c>
      <c r="BL126" s="1126">
        <v>117</v>
      </c>
      <c r="BM126" s="1126">
        <v>97</v>
      </c>
      <c r="BN126" s="1075"/>
      <c r="BO126" s="1076"/>
      <c r="BP126" s="1076"/>
      <c r="BQ126" s="1076"/>
      <c r="BR126" s="1076"/>
      <c r="BS126" s="1115"/>
      <c r="BT126" s="1076"/>
      <c r="BU126" s="1076"/>
      <c r="BV126" s="1076"/>
      <c r="BW126" s="1116"/>
      <c r="BX126" s="1115"/>
      <c r="BY126" s="1076"/>
      <c r="BZ126" s="1076"/>
      <c r="CA126" s="1076"/>
      <c r="CB126" s="1116"/>
      <c r="CC126" s="1117"/>
      <c r="CD126" s="1118" t="s">
        <v>168</v>
      </c>
      <c r="CE126" s="1119" t="s">
        <v>168</v>
      </c>
      <c r="CF126" s="1119" t="s">
        <v>168</v>
      </c>
      <c r="CG126" s="1119" t="s">
        <v>168</v>
      </c>
      <c r="CH126" s="1120" t="s">
        <v>168</v>
      </c>
      <c r="CI126" s="1075" t="s">
        <v>1942</v>
      </c>
      <c r="CJ126" s="1076" t="s">
        <v>1942</v>
      </c>
      <c r="CK126" s="1076" t="s">
        <v>1942</v>
      </c>
      <c r="CL126" s="1076" t="s">
        <v>1942</v>
      </c>
      <c r="CM126" s="1117" t="s">
        <v>1942</v>
      </c>
      <c r="CN126" s="1075">
        <v>207</v>
      </c>
      <c r="CO126" s="1076">
        <v>207</v>
      </c>
      <c r="CP126" s="1076">
        <v>207</v>
      </c>
      <c r="CQ126" s="1076">
        <v>207</v>
      </c>
      <c r="CR126" s="1117">
        <v>207</v>
      </c>
      <c r="CS126" s="1075" t="s">
        <v>1942</v>
      </c>
      <c r="CT126" s="1076" t="s">
        <v>1942</v>
      </c>
      <c r="CU126" s="1076" t="s">
        <v>1942</v>
      </c>
      <c r="CV126" s="1076" t="s">
        <v>1942</v>
      </c>
      <c r="CW126" s="1117" t="s">
        <v>1942</v>
      </c>
      <c r="CX126" s="1075" t="s">
        <v>1942</v>
      </c>
      <c r="CY126" s="1076" t="s">
        <v>1942</v>
      </c>
      <c r="CZ126" s="1076" t="s">
        <v>1942</v>
      </c>
      <c r="DA126" s="1076" t="s">
        <v>1942</v>
      </c>
      <c r="DB126" s="1117" t="s">
        <v>1942</v>
      </c>
      <c r="DC126" s="1076" t="s">
        <v>1942</v>
      </c>
      <c r="DD126" s="1076" t="s">
        <v>1942</v>
      </c>
      <c r="DE126" s="1076" t="s">
        <v>1942</v>
      </c>
      <c r="DF126" s="1076" t="s">
        <v>1942</v>
      </c>
      <c r="DG126" s="1117" t="s">
        <v>1942</v>
      </c>
      <c r="DH126" s="1075" t="s">
        <v>1942</v>
      </c>
      <c r="DI126" s="1076" t="s">
        <v>1942</v>
      </c>
      <c r="DJ126" s="1076" t="s">
        <v>1942</v>
      </c>
      <c r="DK126" s="1076" t="s">
        <v>1942</v>
      </c>
      <c r="DL126" s="1117" t="s">
        <v>1942</v>
      </c>
      <c r="DM126" s="1121">
        <v>-2E-3</v>
      </c>
      <c r="DN126" s="1122" t="s">
        <v>1942</v>
      </c>
      <c r="DO126" s="1122" t="s">
        <v>1942</v>
      </c>
      <c r="DP126" s="1123" t="s">
        <v>1942</v>
      </c>
      <c r="DQ126" s="1122" t="s">
        <v>1942</v>
      </c>
      <c r="DR126" s="1122" t="s">
        <v>1942</v>
      </c>
      <c r="DS126" s="1122" t="s">
        <v>1942</v>
      </c>
      <c r="DT126" s="1123" t="s">
        <v>1942</v>
      </c>
      <c r="DU126" s="1119" t="s">
        <v>1942</v>
      </c>
      <c r="DV126" s="1124">
        <v>1</v>
      </c>
      <c r="DW126" s="1125" t="s">
        <v>1942</v>
      </c>
    </row>
    <row r="127" spans="1:127" s="397" customFormat="1" ht="15.75" hidden="1" customHeight="1">
      <c r="A127" s="1097" t="s">
        <v>1013</v>
      </c>
      <c r="B127" s="1057">
        <v>118</v>
      </c>
      <c r="C127" s="1018"/>
      <c r="D127" s="1018"/>
      <c r="E127" s="1018"/>
      <c r="F127" s="1018"/>
      <c r="G127" s="1018"/>
      <c r="H127" s="1018"/>
      <c r="I127" s="1018"/>
      <c r="J127" s="1018"/>
      <c r="K127" s="1018"/>
      <c r="L127" s="1018"/>
      <c r="M127" s="1057"/>
      <c r="N127" s="1018"/>
      <c r="O127" s="1018"/>
      <c r="P127" s="1018"/>
      <c r="Q127" s="1018"/>
      <c r="R127" s="1018"/>
      <c r="S127" s="1018"/>
      <c r="T127" s="1019"/>
      <c r="U127" s="1098" t="s">
        <v>2411</v>
      </c>
      <c r="V127" s="1099" t="s">
        <v>2403</v>
      </c>
      <c r="W127" s="1099" t="s">
        <v>1896</v>
      </c>
      <c r="X127" s="1100" t="s">
        <v>2412</v>
      </c>
      <c r="Y127" s="1101" t="s">
        <v>2413</v>
      </c>
      <c r="Z127" s="1102" t="s">
        <v>2414</v>
      </c>
      <c r="AA127" s="1103" t="s">
        <v>1942</v>
      </c>
      <c r="AB127" s="1104" t="s">
        <v>1942</v>
      </c>
      <c r="AC127" s="1104">
        <v>1</v>
      </c>
      <c r="AD127" s="1104" t="s">
        <v>1942</v>
      </c>
      <c r="AE127" s="1104" t="s">
        <v>1942</v>
      </c>
      <c r="AF127" s="1104" t="s">
        <v>1942</v>
      </c>
      <c r="AG127" s="1104" t="s">
        <v>1942</v>
      </c>
      <c r="AH127" s="1104" t="s">
        <v>1942</v>
      </c>
      <c r="AI127" s="1105">
        <f t="shared" si="1"/>
        <v>1</v>
      </c>
      <c r="AJ127" s="1106" t="s">
        <v>1030</v>
      </c>
      <c r="AK127" s="1106" t="s">
        <v>1008</v>
      </c>
      <c r="AL127" s="1106" t="s">
        <v>1009</v>
      </c>
      <c r="AM127" s="1107" t="s">
        <v>2081</v>
      </c>
      <c r="AN127" s="1018" t="s">
        <v>2177</v>
      </c>
      <c r="AO127" s="1018" t="s">
        <v>4823</v>
      </c>
      <c r="AP127" s="1333">
        <v>0</v>
      </c>
      <c r="AQ127" s="1076" t="s">
        <v>1020</v>
      </c>
      <c r="AR127" s="1109"/>
      <c r="AS127" s="1110"/>
      <c r="AT127" s="1100"/>
      <c r="AU127" s="1100"/>
      <c r="AV127" s="1100"/>
      <c r="AW127" s="1111"/>
      <c r="AX127" s="1112"/>
      <c r="AY127" s="1075"/>
      <c r="AZ127" s="1076"/>
      <c r="BA127" s="1076"/>
      <c r="BB127" s="1076"/>
      <c r="BC127" s="1076"/>
      <c r="BD127" s="1076"/>
      <c r="BE127" s="1076"/>
      <c r="BF127" s="1076"/>
      <c r="BG127" s="1076"/>
      <c r="BH127" s="1076"/>
      <c r="BI127" s="1420"/>
      <c r="BJ127" s="1368"/>
      <c r="BK127" s="1368"/>
      <c r="BL127" s="1368"/>
      <c r="BM127" s="1368"/>
      <c r="BN127" s="1075"/>
      <c r="BO127" s="1076"/>
      <c r="BP127" s="1076"/>
      <c r="BQ127" s="1076"/>
      <c r="BR127" s="1076"/>
      <c r="BS127" s="1115"/>
      <c r="BT127" s="1076"/>
      <c r="BU127" s="1076"/>
      <c r="BV127" s="1076"/>
      <c r="BW127" s="1116"/>
      <c r="BX127" s="1115"/>
      <c r="BY127" s="1076"/>
      <c r="BZ127" s="1076"/>
      <c r="CA127" s="1076"/>
      <c r="CB127" s="1116"/>
      <c r="CC127" s="1117"/>
      <c r="CD127" s="1376"/>
      <c r="CE127" s="1377"/>
      <c r="CF127" s="1377"/>
      <c r="CG127" s="1377"/>
      <c r="CH127" s="1440"/>
      <c r="CI127" s="1420"/>
      <c r="CJ127" s="1368"/>
      <c r="CK127" s="1368"/>
      <c r="CL127" s="1368"/>
      <c r="CM127" s="1369"/>
      <c r="CN127" s="1420"/>
      <c r="CO127" s="1368"/>
      <c r="CP127" s="1368"/>
      <c r="CQ127" s="1368"/>
      <c r="CR127" s="1369"/>
      <c r="CS127" s="1420"/>
      <c r="CT127" s="1368"/>
      <c r="CU127" s="1368"/>
      <c r="CV127" s="1368"/>
      <c r="CW127" s="1369"/>
      <c r="CX127" s="1420"/>
      <c r="CY127" s="1368"/>
      <c r="CZ127" s="1368"/>
      <c r="DA127" s="1368"/>
      <c r="DB127" s="1369"/>
      <c r="DC127" s="1368"/>
      <c r="DD127" s="1368"/>
      <c r="DE127" s="1368"/>
      <c r="DF127" s="1368"/>
      <c r="DG127" s="1369"/>
      <c r="DH127" s="1420"/>
      <c r="DI127" s="1368"/>
      <c r="DJ127" s="1368"/>
      <c r="DK127" s="1368"/>
      <c r="DL127" s="1369"/>
      <c r="DM127" s="1808"/>
      <c r="DN127" s="1809"/>
      <c r="DO127" s="1809"/>
      <c r="DP127" s="1810"/>
      <c r="DQ127" s="1809"/>
      <c r="DR127" s="1809"/>
      <c r="DS127" s="1809"/>
      <c r="DT127" s="1810"/>
      <c r="DU127" s="1377"/>
      <c r="DV127" s="1729"/>
      <c r="DW127" s="1811"/>
    </row>
    <row r="128" spans="1:127" s="397" customFormat="1" ht="15.75" hidden="1" customHeight="1">
      <c r="A128" s="1097" t="s">
        <v>1013</v>
      </c>
      <c r="B128" s="1057">
        <v>119</v>
      </c>
      <c r="C128" s="1018"/>
      <c r="D128" s="1018"/>
      <c r="E128" s="1018"/>
      <c r="F128" s="1018"/>
      <c r="G128" s="1018"/>
      <c r="H128" s="1018"/>
      <c r="I128" s="1018"/>
      <c r="J128" s="1018"/>
      <c r="K128" s="1018"/>
      <c r="L128" s="1018"/>
      <c r="M128" s="1057"/>
      <c r="N128" s="1018"/>
      <c r="O128" s="1018"/>
      <c r="P128" s="1018"/>
      <c r="Q128" s="1018"/>
      <c r="R128" s="1018"/>
      <c r="S128" s="1018"/>
      <c r="T128" s="1019"/>
      <c r="U128" s="1098" t="s">
        <v>2417</v>
      </c>
      <c r="V128" s="1099" t="s">
        <v>2403</v>
      </c>
      <c r="W128" s="1099" t="s">
        <v>1907</v>
      </c>
      <c r="X128" s="1100" t="s">
        <v>2418</v>
      </c>
      <c r="Y128" s="1101" t="s">
        <v>839</v>
      </c>
      <c r="Z128" s="1102" t="s">
        <v>2419</v>
      </c>
      <c r="AA128" s="1103" t="s">
        <v>1942</v>
      </c>
      <c r="AB128" s="1104" t="s">
        <v>1942</v>
      </c>
      <c r="AC128" s="1104">
        <v>1</v>
      </c>
      <c r="AD128" s="1104" t="s">
        <v>1942</v>
      </c>
      <c r="AE128" s="1104" t="s">
        <v>1942</v>
      </c>
      <c r="AF128" s="1104" t="s">
        <v>1942</v>
      </c>
      <c r="AG128" s="1104" t="s">
        <v>1942</v>
      </c>
      <c r="AH128" s="1104" t="s">
        <v>1942</v>
      </c>
      <c r="AI128" s="1105">
        <f t="shared" si="1"/>
        <v>1</v>
      </c>
      <c r="AJ128" s="1106" t="s">
        <v>1007</v>
      </c>
      <c r="AK128" s="1106" t="s">
        <v>1942</v>
      </c>
      <c r="AL128" s="1106" t="s">
        <v>1942</v>
      </c>
      <c r="AM128" s="1107" t="s">
        <v>1910</v>
      </c>
      <c r="AN128" s="1018" t="s">
        <v>278</v>
      </c>
      <c r="AO128" s="1018" t="s">
        <v>4792</v>
      </c>
      <c r="AP128" s="1332">
        <v>2</v>
      </c>
      <c r="AQ128" s="1076" t="s">
        <v>1010</v>
      </c>
      <c r="AR128" s="1109" t="s">
        <v>839</v>
      </c>
      <c r="AS128" s="1110"/>
      <c r="AT128" s="1100"/>
      <c r="AU128" s="1100"/>
      <c r="AV128" s="1100"/>
      <c r="AW128" s="1111"/>
      <c r="AX128" s="1112"/>
      <c r="AY128" s="1075"/>
      <c r="AZ128" s="1076"/>
      <c r="BA128" s="1076"/>
      <c r="BB128" s="1076"/>
      <c r="BC128" s="1076"/>
      <c r="BD128" s="1076"/>
      <c r="BE128" s="1076"/>
      <c r="BF128" s="1076"/>
      <c r="BG128" s="1126"/>
      <c r="BH128" s="1126"/>
      <c r="BI128" s="1127">
        <v>6.64</v>
      </c>
      <c r="BJ128" s="1126">
        <v>6.64</v>
      </c>
      <c r="BK128" s="1126">
        <v>6.64</v>
      </c>
      <c r="BL128" s="1126">
        <v>6.64</v>
      </c>
      <c r="BM128" s="1126">
        <v>6.64</v>
      </c>
      <c r="BN128" s="1075"/>
      <c r="BO128" s="1076"/>
      <c r="BP128" s="1076"/>
      <c r="BQ128" s="1076"/>
      <c r="BR128" s="1076"/>
      <c r="BS128" s="1115"/>
      <c r="BT128" s="1076"/>
      <c r="BU128" s="1076"/>
      <c r="BV128" s="1076"/>
      <c r="BW128" s="1116"/>
      <c r="BX128" s="1115"/>
      <c r="BY128" s="1076"/>
      <c r="BZ128" s="1076"/>
      <c r="CA128" s="1076"/>
      <c r="CB128" s="1116"/>
      <c r="CC128" s="1117"/>
      <c r="CD128" s="1118" t="s">
        <v>1942</v>
      </c>
      <c r="CE128" s="1119" t="s">
        <v>1942</v>
      </c>
      <c r="CF128" s="1119" t="s">
        <v>1942</v>
      </c>
      <c r="CG128" s="1119" t="s">
        <v>1942</v>
      </c>
      <c r="CH128" s="1120" t="s">
        <v>1942</v>
      </c>
      <c r="CI128" s="1075" t="s">
        <v>1942</v>
      </c>
      <c r="CJ128" s="1076" t="s">
        <v>1942</v>
      </c>
      <c r="CK128" s="1076" t="s">
        <v>1942</v>
      </c>
      <c r="CL128" s="1076" t="s">
        <v>1942</v>
      </c>
      <c r="CM128" s="1117" t="s">
        <v>1942</v>
      </c>
      <c r="CN128" s="1075" t="s">
        <v>1942</v>
      </c>
      <c r="CO128" s="1076" t="s">
        <v>1942</v>
      </c>
      <c r="CP128" s="1076" t="s">
        <v>1942</v>
      </c>
      <c r="CQ128" s="1076" t="s">
        <v>1942</v>
      </c>
      <c r="CR128" s="1117" t="s">
        <v>1942</v>
      </c>
      <c r="CS128" s="1075" t="s">
        <v>1942</v>
      </c>
      <c r="CT128" s="1076" t="s">
        <v>1942</v>
      </c>
      <c r="CU128" s="1076" t="s">
        <v>1942</v>
      </c>
      <c r="CV128" s="1076" t="s">
        <v>1942</v>
      </c>
      <c r="CW128" s="1117" t="s">
        <v>1942</v>
      </c>
      <c r="CX128" s="1075" t="s">
        <v>1942</v>
      </c>
      <c r="CY128" s="1076" t="s">
        <v>1942</v>
      </c>
      <c r="CZ128" s="1076" t="s">
        <v>1942</v>
      </c>
      <c r="DA128" s="1076" t="s">
        <v>1942</v>
      </c>
      <c r="DB128" s="1117" t="s">
        <v>1942</v>
      </c>
      <c r="DC128" s="1076" t="s">
        <v>1942</v>
      </c>
      <c r="DD128" s="1076" t="s">
        <v>1942</v>
      </c>
      <c r="DE128" s="1076" t="s">
        <v>1942</v>
      </c>
      <c r="DF128" s="1076" t="s">
        <v>1942</v>
      </c>
      <c r="DG128" s="1117" t="s">
        <v>1942</v>
      </c>
      <c r="DH128" s="1075" t="s">
        <v>1942</v>
      </c>
      <c r="DI128" s="1076" t="s">
        <v>1942</v>
      </c>
      <c r="DJ128" s="1076" t="s">
        <v>1942</v>
      </c>
      <c r="DK128" s="1076" t="s">
        <v>1942</v>
      </c>
      <c r="DL128" s="1117" t="s">
        <v>1942</v>
      </c>
      <c r="DM128" s="1121" t="s">
        <v>1942</v>
      </c>
      <c r="DN128" s="1122" t="s">
        <v>1942</v>
      </c>
      <c r="DO128" s="1122" t="s">
        <v>1942</v>
      </c>
      <c r="DP128" s="1123" t="s">
        <v>1942</v>
      </c>
      <c r="DQ128" s="1122" t="s">
        <v>1942</v>
      </c>
      <c r="DR128" s="1122" t="s">
        <v>1942</v>
      </c>
      <c r="DS128" s="1122" t="s">
        <v>1942</v>
      </c>
      <c r="DT128" s="1123" t="s">
        <v>1942</v>
      </c>
      <c r="DU128" s="1119" t="s">
        <v>1942</v>
      </c>
      <c r="DV128" s="1124">
        <v>1</v>
      </c>
      <c r="DW128" s="1125" t="s">
        <v>1942</v>
      </c>
    </row>
    <row r="129" spans="1:127" s="397" customFormat="1" ht="15.75" hidden="1" customHeight="1">
      <c r="A129" s="1097" t="s">
        <v>1013</v>
      </c>
      <c r="B129" s="1057">
        <v>120</v>
      </c>
      <c r="C129" s="1018"/>
      <c r="D129" s="1018"/>
      <c r="E129" s="1018"/>
      <c r="F129" s="1018"/>
      <c r="G129" s="1018"/>
      <c r="H129" s="1018"/>
      <c r="I129" s="1018"/>
      <c r="J129" s="1018"/>
      <c r="K129" s="1018"/>
      <c r="L129" s="1018"/>
      <c r="M129" s="1057"/>
      <c r="N129" s="1018"/>
      <c r="O129" s="1018"/>
      <c r="P129" s="1018"/>
      <c r="Q129" s="1018"/>
      <c r="R129" s="1018"/>
      <c r="S129" s="1018"/>
      <c r="T129" s="1019"/>
      <c r="U129" s="1098" t="s">
        <v>2421</v>
      </c>
      <c r="V129" s="1099" t="s">
        <v>2403</v>
      </c>
      <c r="W129" s="1099" t="s">
        <v>1907</v>
      </c>
      <c r="X129" s="1100" t="s">
        <v>2422</v>
      </c>
      <c r="Y129" s="1101" t="s">
        <v>743</v>
      </c>
      <c r="Z129" s="1102" t="s">
        <v>2423</v>
      </c>
      <c r="AA129" s="1103" t="s">
        <v>1942</v>
      </c>
      <c r="AB129" s="1104" t="s">
        <v>1942</v>
      </c>
      <c r="AC129" s="1104">
        <v>1</v>
      </c>
      <c r="AD129" s="1104" t="s">
        <v>1942</v>
      </c>
      <c r="AE129" s="1104" t="s">
        <v>1942</v>
      </c>
      <c r="AF129" s="1104" t="s">
        <v>1942</v>
      </c>
      <c r="AG129" s="1104" t="s">
        <v>1942</v>
      </c>
      <c r="AH129" s="1104" t="s">
        <v>1942</v>
      </c>
      <c r="AI129" s="1105">
        <f t="shared" si="1"/>
        <v>1</v>
      </c>
      <c r="AJ129" s="1106" t="s">
        <v>1026</v>
      </c>
      <c r="AK129" s="1106" t="s">
        <v>1008</v>
      </c>
      <c r="AL129" s="1106" t="s">
        <v>1009</v>
      </c>
      <c r="AM129" s="1107" t="s">
        <v>2081</v>
      </c>
      <c r="AN129" s="1018" t="s">
        <v>2177</v>
      </c>
      <c r="AO129" s="1018" t="s">
        <v>4807</v>
      </c>
      <c r="AP129" s="1332">
        <v>2</v>
      </c>
      <c r="AQ129" s="1076" t="s">
        <v>1020</v>
      </c>
      <c r="AR129" s="1109" t="s">
        <v>743</v>
      </c>
      <c r="AS129" s="1110"/>
      <c r="AT129" s="1100"/>
      <c r="AU129" s="1100"/>
      <c r="AV129" s="1100"/>
      <c r="AW129" s="1111"/>
      <c r="AX129" s="1112"/>
      <c r="AY129" s="1075"/>
      <c r="AZ129" s="1076"/>
      <c r="BA129" s="1076"/>
      <c r="BB129" s="1076"/>
      <c r="BC129" s="1076"/>
      <c r="BD129" s="1076"/>
      <c r="BE129" s="1076"/>
      <c r="BF129" s="1076"/>
      <c r="BG129" s="1126"/>
      <c r="BH129" s="1126"/>
      <c r="BI129" s="1127">
        <v>5.37</v>
      </c>
      <c r="BJ129" s="1126">
        <v>5.37</v>
      </c>
      <c r="BK129" s="1126">
        <v>5.37</v>
      </c>
      <c r="BL129" s="1126">
        <v>5.37</v>
      </c>
      <c r="BM129" s="1126">
        <v>5.37</v>
      </c>
      <c r="BN129" s="1075"/>
      <c r="BO129" s="1076"/>
      <c r="BP129" s="1076"/>
      <c r="BQ129" s="1076"/>
      <c r="BR129" s="1076"/>
      <c r="BS129" s="1115"/>
      <c r="BT129" s="1076"/>
      <c r="BU129" s="1076"/>
      <c r="BV129" s="1076"/>
      <c r="BW129" s="1116"/>
      <c r="BX129" s="1115"/>
      <c r="BY129" s="1076"/>
      <c r="BZ129" s="1076"/>
      <c r="CA129" s="1076"/>
      <c r="CB129" s="1116"/>
      <c r="CC129" s="1117"/>
      <c r="CD129" s="1118" t="s">
        <v>168</v>
      </c>
      <c r="CE129" s="1119" t="s">
        <v>168</v>
      </c>
      <c r="CF129" s="1119" t="s">
        <v>168</v>
      </c>
      <c r="CG129" s="1119" t="s">
        <v>168</v>
      </c>
      <c r="CH129" s="1120" t="s">
        <v>168</v>
      </c>
      <c r="CI129" s="1075" t="s">
        <v>1942</v>
      </c>
      <c r="CJ129" s="1076" t="s">
        <v>1942</v>
      </c>
      <c r="CK129" s="1076" t="s">
        <v>1942</v>
      </c>
      <c r="CL129" s="1076" t="s">
        <v>1942</v>
      </c>
      <c r="CM129" s="1117" t="s">
        <v>1942</v>
      </c>
      <c r="CN129" s="1075" t="s">
        <v>1942</v>
      </c>
      <c r="CO129" s="1076" t="s">
        <v>1942</v>
      </c>
      <c r="CP129" s="1076" t="s">
        <v>1942</v>
      </c>
      <c r="CQ129" s="1076" t="s">
        <v>1942</v>
      </c>
      <c r="CR129" s="1117" t="s">
        <v>1942</v>
      </c>
      <c r="CS129" s="1075" t="s">
        <v>1942</v>
      </c>
      <c r="CT129" s="1076" t="s">
        <v>1942</v>
      </c>
      <c r="CU129" s="1076" t="s">
        <v>1942</v>
      </c>
      <c r="CV129" s="1076" t="s">
        <v>1942</v>
      </c>
      <c r="CW129" s="1117" t="s">
        <v>1942</v>
      </c>
      <c r="CX129" s="1075" t="s">
        <v>1942</v>
      </c>
      <c r="CY129" s="1076" t="s">
        <v>1942</v>
      </c>
      <c r="CZ129" s="1076" t="s">
        <v>1942</v>
      </c>
      <c r="DA129" s="1076" t="s">
        <v>1942</v>
      </c>
      <c r="DB129" s="1117" t="s">
        <v>1942</v>
      </c>
      <c r="DC129" s="1076" t="s">
        <v>1942</v>
      </c>
      <c r="DD129" s="1076" t="s">
        <v>1942</v>
      </c>
      <c r="DE129" s="1076" t="s">
        <v>1942</v>
      </c>
      <c r="DF129" s="1076" t="s">
        <v>1942</v>
      </c>
      <c r="DG129" s="1117" t="s">
        <v>1942</v>
      </c>
      <c r="DH129" s="1075" t="s">
        <v>1942</v>
      </c>
      <c r="DI129" s="1076" t="s">
        <v>1942</v>
      </c>
      <c r="DJ129" s="1076" t="s">
        <v>1942</v>
      </c>
      <c r="DK129" s="1076" t="s">
        <v>1942</v>
      </c>
      <c r="DL129" s="1117" t="s">
        <v>1942</v>
      </c>
      <c r="DM129" s="1121">
        <v>-1.534E-3</v>
      </c>
      <c r="DN129" s="1122" t="s">
        <v>1942</v>
      </c>
      <c r="DO129" s="1122" t="s">
        <v>1942</v>
      </c>
      <c r="DP129" s="1123" t="s">
        <v>1942</v>
      </c>
      <c r="DQ129" s="1122" t="s">
        <v>1942</v>
      </c>
      <c r="DR129" s="1122" t="s">
        <v>1942</v>
      </c>
      <c r="DS129" s="1122" t="s">
        <v>1942</v>
      </c>
      <c r="DT129" s="1123" t="s">
        <v>1942</v>
      </c>
      <c r="DU129" s="1119" t="s">
        <v>1942</v>
      </c>
      <c r="DV129" s="1124">
        <v>1</v>
      </c>
      <c r="DW129" s="1125" t="s">
        <v>1942</v>
      </c>
    </row>
    <row r="130" spans="1:127" s="397" customFormat="1" ht="15.75" hidden="1" customHeight="1">
      <c r="A130" s="1097" t="s">
        <v>1013</v>
      </c>
      <c r="B130" s="1057">
        <v>121</v>
      </c>
      <c r="C130" s="1018"/>
      <c r="D130" s="1018"/>
      <c r="E130" s="1018"/>
      <c r="F130" s="1018"/>
      <c r="G130" s="1018"/>
      <c r="H130" s="1018"/>
      <c r="I130" s="1018"/>
      <c r="J130" s="1018"/>
      <c r="K130" s="1018"/>
      <c r="L130" s="1018"/>
      <c r="M130" s="1057"/>
      <c r="N130" s="1018"/>
      <c r="O130" s="1018"/>
      <c r="P130" s="1018"/>
      <c r="Q130" s="1018"/>
      <c r="R130" s="1018"/>
      <c r="S130" s="1018"/>
      <c r="T130" s="1019"/>
      <c r="U130" s="1098" t="s">
        <v>2425</v>
      </c>
      <c r="V130" s="1099" t="s">
        <v>2426</v>
      </c>
      <c r="W130" s="1099" t="s">
        <v>1907</v>
      </c>
      <c r="X130" s="1100" t="s">
        <v>2427</v>
      </c>
      <c r="Y130" s="1101" t="s">
        <v>2428</v>
      </c>
      <c r="Z130" s="1102" t="s">
        <v>2429</v>
      </c>
      <c r="AA130" s="1103" t="s">
        <v>1942</v>
      </c>
      <c r="AB130" s="1104" t="s">
        <v>1942</v>
      </c>
      <c r="AC130" s="1104" t="s">
        <v>1942</v>
      </c>
      <c r="AD130" s="1104" t="s">
        <v>1942</v>
      </c>
      <c r="AE130" s="1104">
        <v>1</v>
      </c>
      <c r="AF130" s="1104" t="s">
        <v>1942</v>
      </c>
      <c r="AG130" s="1104" t="s">
        <v>1942</v>
      </c>
      <c r="AH130" s="1104" t="s">
        <v>1942</v>
      </c>
      <c r="AI130" s="1105">
        <f t="shared" si="1"/>
        <v>1</v>
      </c>
      <c r="AJ130" s="1106" t="s">
        <v>1030</v>
      </c>
      <c r="AK130" s="1106" t="s">
        <v>1008</v>
      </c>
      <c r="AL130" s="1106" t="s">
        <v>1009</v>
      </c>
      <c r="AM130" s="1107" t="s">
        <v>2117</v>
      </c>
      <c r="AN130" s="1018" t="s">
        <v>2118</v>
      </c>
      <c r="AO130" s="1018" t="s">
        <v>2430</v>
      </c>
      <c r="AP130" s="1333">
        <v>2</v>
      </c>
      <c r="AQ130" s="1076" t="s">
        <v>1020</v>
      </c>
      <c r="AR130" s="1109" t="s">
        <v>1942</v>
      </c>
      <c r="AS130" s="1110"/>
      <c r="AT130" s="1100"/>
      <c r="AU130" s="1100"/>
      <c r="AV130" s="1100"/>
      <c r="AW130" s="1111"/>
      <c r="AX130" s="1112"/>
      <c r="AY130" s="1075"/>
      <c r="AZ130" s="1076"/>
      <c r="BA130" s="1076"/>
      <c r="BB130" s="1076"/>
      <c r="BC130" s="1076"/>
      <c r="BD130" s="1076"/>
      <c r="BE130" s="1076"/>
      <c r="BF130" s="1076"/>
      <c r="BG130" s="1076"/>
      <c r="BH130" s="1076"/>
      <c r="BI130" s="1420"/>
      <c r="BJ130" s="1368"/>
      <c r="BK130" s="1368"/>
      <c r="BL130" s="1368"/>
      <c r="BM130" s="1368"/>
      <c r="BN130" s="1075"/>
      <c r="BO130" s="1076"/>
      <c r="BP130" s="1076"/>
      <c r="BQ130" s="1076"/>
      <c r="BR130" s="1076"/>
      <c r="BS130" s="1115"/>
      <c r="BT130" s="1076"/>
      <c r="BU130" s="1076"/>
      <c r="BV130" s="1076"/>
      <c r="BW130" s="1116"/>
      <c r="BX130" s="1115"/>
      <c r="BY130" s="1076"/>
      <c r="BZ130" s="1076"/>
      <c r="CA130" s="1076"/>
      <c r="CB130" s="1116"/>
      <c r="CC130" s="1117"/>
      <c r="CD130" s="1376"/>
      <c r="CE130" s="1377"/>
      <c r="CF130" s="1377"/>
      <c r="CG130" s="1377"/>
      <c r="CH130" s="1440"/>
      <c r="CI130" s="1420"/>
      <c r="CJ130" s="1368"/>
      <c r="CK130" s="1368"/>
      <c r="CL130" s="1368"/>
      <c r="CM130" s="1369"/>
      <c r="CN130" s="1420"/>
      <c r="CO130" s="1368"/>
      <c r="CP130" s="1368"/>
      <c r="CQ130" s="1368"/>
      <c r="CR130" s="1369"/>
      <c r="CS130" s="1420"/>
      <c r="CT130" s="1368"/>
      <c r="CU130" s="1368"/>
      <c r="CV130" s="1368"/>
      <c r="CW130" s="1369"/>
      <c r="CX130" s="1420"/>
      <c r="CY130" s="1368"/>
      <c r="CZ130" s="1368"/>
      <c r="DA130" s="1368"/>
      <c r="DB130" s="1369"/>
      <c r="DC130" s="1368"/>
      <c r="DD130" s="1368"/>
      <c r="DE130" s="1368"/>
      <c r="DF130" s="1368"/>
      <c r="DG130" s="1369"/>
      <c r="DH130" s="1420"/>
      <c r="DI130" s="1368"/>
      <c r="DJ130" s="1368"/>
      <c r="DK130" s="1368"/>
      <c r="DL130" s="1369"/>
      <c r="DM130" s="1808"/>
      <c r="DN130" s="1809"/>
      <c r="DO130" s="1809"/>
      <c r="DP130" s="1810"/>
      <c r="DQ130" s="1809"/>
      <c r="DR130" s="1809"/>
      <c r="DS130" s="1809"/>
      <c r="DT130" s="1810"/>
      <c r="DU130" s="1377"/>
      <c r="DV130" s="1729"/>
      <c r="DW130" s="1811"/>
    </row>
    <row r="131" spans="1:127" s="397" customFormat="1" ht="15.75" hidden="1" customHeight="1">
      <c r="A131" s="1097" t="s">
        <v>1013</v>
      </c>
      <c r="B131" s="1057">
        <v>122</v>
      </c>
      <c r="C131" s="1018"/>
      <c r="D131" s="1018"/>
      <c r="E131" s="1018"/>
      <c r="F131" s="1018"/>
      <c r="G131" s="1018"/>
      <c r="H131" s="1018"/>
      <c r="I131" s="1018"/>
      <c r="J131" s="1018"/>
      <c r="K131" s="1018"/>
      <c r="L131" s="1018"/>
      <c r="M131" s="1057"/>
      <c r="N131" s="1018"/>
      <c r="O131" s="1018"/>
      <c r="P131" s="1018"/>
      <c r="Q131" s="1018"/>
      <c r="R131" s="1018"/>
      <c r="S131" s="1018"/>
      <c r="T131" s="1019"/>
      <c r="U131" s="1098" t="s">
        <v>2431</v>
      </c>
      <c r="V131" s="1099" t="s">
        <v>2432</v>
      </c>
      <c r="W131" s="1099" t="s">
        <v>1907</v>
      </c>
      <c r="X131" s="1100" t="s">
        <v>2433</v>
      </c>
      <c r="Y131" s="1101" t="s">
        <v>1931</v>
      </c>
      <c r="Z131" s="1102" t="s">
        <v>2434</v>
      </c>
      <c r="AA131" s="1103" t="s">
        <v>1942</v>
      </c>
      <c r="AB131" s="1104" t="s">
        <v>1942</v>
      </c>
      <c r="AC131" s="1104" t="s">
        <v>1942</v>
      </c>
      <c r="AD131" s="1104" t="s">
        <v>1942</v>
      </c>
      <c r="AE131" s="1104">
        <v>1</v>
      </c>
      <c r="AF131" s="1104" t="s">
        <v>1942</v>
      </c>
      <c r="AG131" s="1104" t="s">
        <v>1942</v>
      </c>
      <c r="AH131" s="1104" t="s">
        <v>1942</v>
      </c>
      <c r="AI131" s="1105">
        <f t="shared" si="1"/>
        <v>1</v>
      </c>
      <c r="AJ131" s="1106" t="s">
        <v>1030</v>
      </c>
      <c r="AK131" s="1106" t="s">
        <v>1008</v>
      </c>
      <c r="AL131" s="1106" t="s">
        <v>1009</v>
      </c>
      <c r="AM131" s="1107" t="s">
        <v>1069</v>
      </c>
      <c r="AN131" s="1018" t="s">
        <v>1081</v>
      </c>
      <c r="AO131" s="1018" t="s">
        <v>2435</v>
      </c>
      <c r="AP131" s="1333">
        <v>2</v>
      </c>
      <c r="AQ131" s="1076" t="s">
        <v>1010</v>
      </c>
      <c r="AR131" s="1109" t="s">
        <v>1931</v>
      </c>
      <c r="AS131" s="1110"/>
      <c r="AT131" s="1100"/>
      <c r="AU131" s="1100"/>
      <c r="AV131" s="1100"/>
      <c r="AW131" s="1111"/>
      <c r="AX131" s="1112"/>
      <c r="AY131" s="1075"/>
      <c r="AZ131" s="1076"/>
      <c r="BA131" s="1076"/>
      <c r="BB131" s="1076"/>
      <c r="BC131" s="1076"/>
      <c r="BD131" s="1076"/>
      <c r="BE131" s="1076"/>
      <c r="BF131" s="1076"/>
      <c r="BG131" s="1076"/>
      <c r="BH131" s="1076"/>
      <c r="BI131" s="1075" t="s">
        <v>4824</v>
      </c>
      <c r="BJ131" s="1076" t="s">
        <v>4824</v>
      </c>
      <c r="BK131" s="1076" t="s">
        <v>4824</v>
      </c>
      <c r="BL131" s="1076" t="s">
        <v>4824</v>
      </c>
      <c r="BM131" s="1076" t="s">
        <v>4824</v>
      </c>
      <c r="BN131" s="1075"/>
      <c r="BO131" s="1076"/>
      <c r="BP131" s="1076"/>
      <c r="BQ131" s="1076"/>
      <c r="BR131" s="1076"/>
      <c r="BS131" s="1115"/>
      <c r="BT131" s="1076"/>
      <c r="BU131" s="1076"/>
      <c r="BV131" s="1076"/>
      <c r="BW131" s="1116"/>
      <c r="BX131" s="1115"/>
      <c r="BY131" s="1076"/>
      <c r="BZ131" s="1076"/>
      <c r="CA131" s="1076"/>
      <c r="CB131" s="1116"/>
      <c r="CC131" s="1117"/>
      <c r="CD131" s="1118" t="s">
        <v>168</v>
      </c>
      <c r="CE131" s="1119" t="s">
        <v>168</v>
      </c>
      <c r="CF131" s="1119" t="s">
        <v>168</v>
      </c>
      <c r="CG131" s="1119" t="s">
        <v>168</v>
      </c>
      <c r="CH131" s="1120" t="s">
        <v>168</v>
      </c>
      <c r="CI131" s="1075" t="s">
        <v>1942</v>
      </c>
      <c r="CJ131" s="1076" t="s">
        <v>1942</v>
      </c>
      <c r="CK131" s="1076" t="s">
        <v>1942</v>
      </c>
      <c r="CL131" s="1076" t="s">
        <v>1942</v>
      </c>
      <c r="CM131" s="1117" t="s">
        <v>1942</v>
      </c>
      <c r="CN131" s="1075" t="s">
        <v>1942</v>
      </c>
      <c r="CO131" s="1076" t="s">
        <v>1942</v>
      </c>
      <c r="CP131" s="1076" t="s">
        <v>1942</v>
      </c>
      <c r="CQ131" s="1076" t="s">
        <v>1942</v>
      </c>
      <c r="CR131" s="1117" t="s">
        <v>1942</v>
      </c>
      <c r="CS131" s="1075" t="s">
        <v>1942</v>
      </c>
      <c r="CT131" s="1076" t="s">
        <v>1942</v>
      </c>
      <c r="CU131" s="1076" t="s">
        <v>1942</v>
      </c>
      <c r="CV131" s="1076" t="s">
        <v>1942</v>
      </c>
      <c r="CW131" s="1117" t="s">
        <v>1942</v>
      </c>
      <c r="CX131" s="1075" t="s">
        <v>1942</v>
      </c>
      <c r="CY131" s="1076" t="s">
        <v>1942</v>
      </c>
      <c r="CZ131" s="1076" t="s">
        <v>1942</v>
      </c>
      <c r="DA131" s="1076" t="s">
        <v>1942</v>
      </c>
      <c r="DB131" s="1117" t="s">
        <v>1942</v>
      </c>
      <c r="DC131" s="1076" t="s">
        <v>1942</v>
      </c>
      <c r="DD131" s="1076" t="s">
        <v>1942</v>
      </c>
      <c r="DE131" s="1076" t="s">
        <v>1942</v>
      </c>
      <c r="DF131" s="1076" t="s">
        <v>1942</v>
      </c>
      <c r="DG131" s="1117" t="s">
        <v>1942</v>
      </c>
      <c r="DH131" s="1075" t="s">
        <v>1942</v>
      </c>
      <c r="DI131" s="1076" t="s">
        <v>1942</v>
      </c>
      <c r="DJ131" s="1076" t="s">
        <v>1942</v>
      </c>
      <c r="DK131" s="1076" t="s">
        <v>1942</v>
      </c>
      <c r="DL131" s="1117" t="s">
        <v>1942</v>
      </c>
      <c r="DM131" s="1121" t="s">
        <v>1942</v>
      </c>
      <c r="DN131" s="1122" t="s">
        <v>1942</v>
      </c>
      <c r="DO131" s="1122" t="s">
        <v>1942</v>
      </c>
      <c r="DP131" s="1123" t="s">
        <v>1942</v>
      </c>
      <c r="DQ131" s="1122" t="s">
        <v>1942</v>
      </c>
      <c r="DR131" s="1122" t="s">
        <v>1942</v>
      </c>
      <c r="DS131" s="1122" t="s">
        <v>1942</v>
      </c>
      <c r="DT131" s="1123" t="s">
        <v>1942</v>
      </c>
      <c r="DU131" s="1119" t="s">
        <v>1942</v>
      </c>
      <c r="DV131" s="1124">
        <v>1</v>
      </c>
      <c r="DW131" s="1125" t="s">
        <v>1942</v>
      </c>
    </row>
    <row r="132" spans="1:127" s="397" customFormat="1" ht="15.75" hidden="1" customHeight="1">
      <c r="A132" s="1097" t="s">
        <v>1013</v>
      </c>
      <c r="B132" s="1057">
        <v>123</v>
      </c>
      <c r="C132" s="1018"/>
      <c r="D132" s="1018"/>
      <c r="E132" s="1018"/>
      <c r="F132" s="1018"/>
      <c r="G132" s="1018"/>
      <c r="H132" s="1018"/>
      <c r="I132" s="1018"/>
      <c r="J132" s="1018"/>
      <c r="K132" s="1018"/>
      <c r="L132" s="1018"/>
      <c r="M132" s="1057"/>
      <c r="N132" s="1018"/>
      <c r="O132" s="1018"/>
      <c r="P132" s="1018"/>
      <c r="Q132" s="1018"/>
      <c r="R132" s="1018"/>
      <c r="S132" s="1018"/>
      <c r="T132" s="1019"/>
      <c r="U132" s="1098" t="s">
        <v>2436</v>
      </c>
      <c r="V132" s="1099" t="s">
        <v>2432</v>
      </c>
      <c r="W132" s="1099" t="s">
        <v>1907</v>
      </c>
      <c r="X132" s="1100" t="s">
        <v>2437</v>
      </c>
      <c r="Y132" s="1101" t="s">
        <v>1935</v>
      </c>
      <c r="Z132" s="1102" t="s">
        <v>2438</v>
      </c>
      <c r="AA132" s="1103" t="s">
        <v>1942</v>
      </c>
      <c r="AB132" s="1104">
        <v>0.5</v>
      </c>
      <c r="AC132" s="1104">
        <v>0.5</v>
      </c>
      <c r="AD132" s="1104" t="s">
        <v>1942</v>
      </c>
      <c r="AE132" s="1104" t="s">
        <v>1942</v>
      </c>
      <c r="AF132" s="1104" t="s">
        <v>1942</v>
      </c>
      <c r="AG132" s="1104" t="s">
        <v>1942</v>
      </c>
      <c r="AH132" s="1104" t="s">
        <v>1942</v>
      </c>
      <c r="AI132" s="1105">
        <f t="shared" si="1"/>
        <v>1</v>
      </c>
      <c r="AJ132" s="1106" t="s">
        <v>1030</v>
      </c>
      <c r="AK132" s="1106" t="s">
        <v>1008</v>
      </c>
      <c r="AL132" s="1106" t="s">
        <v>1009</v>
      </c>
      <c r="AM132" s="1107" t="s">
        <v>1073</v>
      </c>
      <c r="AN132" s="1018" t="s">
        <v>1081</v>
      </c>
      <c r="AO132" s="1018" t="s">
        <v>2439</v>
      </c>
      <c r="AP132" s="1333">
        <v>2</v>
      </c>
      <c r="AQ132" s="1076" t="s">
        <v>1010</v>
      </c>
      <c r="AR132" s="1109" t="s">
        <v>1935</v>
      </c>
      <c r="AS132" s="1110"/>
      <c r="AT132" s="1100"/>
      <c r="AU132" s="1100"/>
      <c r="AV132" s="1100"/>
      <c r="AW132" s="1111"/>
      <c r="AX132" s="1112"/>
      <c r="AY132" s="1075"/>
      <c r="AZ132" s="1076"/>
      <c r="BA132" s="1076"/>
      <c r="BB132" s="1076"/>
      <c r="BC132" s="1076"/>
      <c r="BD132" s="1076"/>
      <c r="BE132" s="1076"/>
      <c r="BF132" s="1076"/>
      <c r="BG132" s="1076"/>
      <c r="BH132" s="1076"/>
      <c r="BI132" s="1075" t="s">
        <v>4824</v>
      </c>
      <c r="BJ132" s="1076" t="s">
        <v>4824</v>
      </c>
      <c r="BK132" s="1076" t="s">
        <v>4824</v>
      </c>
      <c r="BL132" s="1076" t="s">
        <v>4824</v>
      </c>
      <c r="BM132" s="1076" t="s">
        <v>4824</v>
      </c>
      <c r="BN132" s="1075"/>
      <c r="BO132" s="1076"/>
      <c r="BP132" s="1076"/>
      <c r="BQ132" s="1076"/>
      <c r="BR132" s="1076"/>
      <c r="BS132" s="1115"/>
      <c r="BT132" s="1076"/>
      <c r="BU132" s="1076"/>
      <c r="BV132" s="1076"/>
      <c r="BW132" s="1116"/>
      <c r="BX132" s="1115"/>
      <c r="BY132" s="1076"/>
      <c r="BZ132" s="1076"/>
      <c r="CA132" s="1076"/>
      <c r="CB132" s="1116"/>
      <c r="CC132" s="1117"/>
      <c r="CD132" s="1118" t="s">
        <v>168</v>
      </c>
      <c r="CE132" s="1119" t="s">
        <v>168</v>
      </c>
      <c r="CF132" s="1119" t="s">
        <v>168</v>
      </c>
      <c r="CG132" s="1119" t="s">
        <v>168</v>
      </c>
      <c r="CH132" s="1120" t="s">
        <v>168</v>
      </c>
      <c r="CI132" s="1075" t="s">
        <v>1942</v>
      </c>
      <c r="CJ132" s="1076" t="s">
        <v>1942</v>
      </c>
      <c r="CK132" s="1076" t="s">
        <v>1942</v>
      </c>
      <c r="CL132" s="1076" t="s">
        <v>1942</v>
      </c>
      <c r="CM132" s="1117" t="s">
        <v>1942</v>
      </c>
      <c r="CN132" s="1075" t="s">
        <v>1942</v>
      </c>
      <c r="CO132" s="1076" t="s">
        <v>1942</v>
      </c>
      <c r="CP132" s="1076" t="s">
        <v>1942</v>
      </c>
      <c r="CQ132" s="1076" t="s">
        <v>1942</v>
      </c>
      <c r="CR132" s="1117" t="s">
        <v>1942</v>
      </c>
      <c r="CS132" s="1075" t="s">
        <v>1942</v>
      </c>
      <c r="CT132" s="1076" t="s">
        <v>1942</v>
      </c>
      <c r="CU132" s="1076" t="s">
        <v>1942</v>
      </c>
      <c r="CV132" s="1076" t="s">
        <v>1942</v>
      </c>
      <c r="CW132" s="1117" t="s">
        <v>1942</v>
      </c>
      <c r="CX132" s="1075" t="s">
        <v>1942</v>
      </c>
      <c r="CY132" s="1076" t="s">
        <v>1942</v>
      </c>
      <c r="CZ132" s="1076" t="s">
        <v>1942</v>
      </c>
      <c r="DA132" s="1076" t="s">
        <v>1942</v>
      </c>
      <c r="DB132" s="1117" t="s">
        <v>1942</v>
      </c>
      <c r="DC132" s="1076" t="s">
        <v>1942</v>
      </c>
      <c r="DD132" s="1076" t="s">
        <v>1942</v>
      </c>
      <c r="DE132" s="1076" t="s">
        <v>1942</v>
      </c>
      <c r="DF132" s="1076" t="s">
        <v>1942</v>
      </c>
      <c r="DG132" s="1117" t="s">
        <v>1942</v>
      </c>
      <c r="DH132" s="1075" t="s">
        <v>1942</v>
      </c>
      <c r="DI132" s="1076" t="s">
        <v>1942</v>
      </c>
      <c r="DJ132" s="1076" t="s">
        <v>1942</v>
      </c>
      <c r="DK132" s="1076" t="s">
        <v>1942</v>
      </c>
      <c r="DL132" s="1117" t="s">
        <v>1942</v>
      </c>
      <c r="DM132" s="1121" t="s">
        <v>1942</v>
      </c>
      <c r="DN132" s="1122" t="s">
        <v>1942</v>
      </c>
      <c r="DO132" s="1122" t="s">
        <v>1942</v>
      </c>
      <c r="DP132" s="1123" t="s">
        <v>1942</v>
      </c>
      <c r="DQ132" s="1122" t="s">
        <v>1942</v>
      </c>
      <c r="DR132" s="1122" t="s">
        <v>1942</v>
      </c>
      <c r="DS132" s="1122" t="s">
        <v>1942</v>
      </c>
      <c r="DT132" s="1123" t="s">
        <v>1942</v>
      </c>
      <c r="DU132" s="1119" t="s">
        <v>1942</v>
      </c>
      <c r="DV132" s="1124">
        <v>1</v>
      </c>
      <c r="DW132" s="1125" t="s">
        <v>1942</v>
      </c>
    </row>
    <row r="133" spans="1:127" s="397" customFormat="1" ht="15.75" hidden="1" customHeight="1">
      <c r="A133" s="1097" t="s">
        <v>1013</v>
      </c>
      <c r="B133" s="1057">
        <v>124</v>
      </c>
      <c r="C133" s="1018"/>
      <c r="D133" s="1018"/>
      <c r="E133" s="1018"/>
      <c r="F133" s="1018"/>
      <c r="G133" s="1018"/>
      <c r="H133" s="1018"/>
      <c r="I133" s="1018"/>
      <c r="J133" s="1018"/>
      <c r="K133" s="1018"/>
      <c r="L133" s="1018"/>
      <c r="M133" s="1057"/>
      <c r="N133" s="1018"/>
      <c r="O133" s="1018"/>
      <c r="P133" s="1018"/>
      <c r="Q133" s="1018"/>
      <c r="R133" s="1018"/>
      <c r="S133" s="1018"/>
      <c r="T133" s="1019"/>
      <c r="U133" s="1098" t="s">
        <v>2440</v>
      </c>
      <c r="V133" s="1099" t="s">
        <v>2432</v>
      </c>
      <c r="W133" s="1099" t="s">
        <v>1907</v>
      </c>
      <c r="X133" s="1100" t="s">
        <v>2441</v>
      </c>
      <c r="Y133" s="1101" t="s">
        <v>2442</v>
      </c>
      <c r="Z133" s="1102" t="s">
        <v>2443</v>
      </c>
      <c r="AA133" s="1103" t="s">
        <v>1942</v>
      </c>
      <c r="AB133" s="1104" t="s">
        <v>1942</v>
      </c>
      <c r="AC133" s="1104" t="s">
        <v>1942</v>
      </c>
      <c r="AD133" s="1104" t="s">
        <v>1942</v>
      </c>
      <c r="AE133" s="1104" t="s">
        <v>1942</v>
      </c>
      <c r="AF133" s="1104">
        <v>1</v>
      </c>
      <c r="AG133" s="1104" t="s">
        <v>1942</v>
      </c>
      <c r="AH133" s="1104" t="s">
        <v>1942</v>
      </c>
      <c r="AI133" s="1105">
        <f t="shared" si="1"/>
        <v>1</v>
      </c>
      <c r="AJ133" s="1106" t="s">
        <v>1030</v>
      </c>
      <c r="AK133" s="1106" t="s">
        <v>1008</v>
      </c>
      <c r="AL133" s="1106" t="s">
        <v>1009</v>
      </c>
      <c r="AM133" s="1107" t="s">
        <v>1947</v>
      </c>
      <c r="AN133" s="1018" t="s">
        <v>1081</v>
      </c>
      <c r="AO133" s="1018" t="s">
        <v>2444</v>
      </c>
      <c r="AP133" s="1333">
        <v>1</v>
      </c>
      <c r="AQ133" s="1076" t="s">
        <v>1010</v>
      </c>
      <c r="AR133" s="1109" t="s">
        <v>1942</v>
      </c>
      <c r="AS133" s="1110"/>
      <c r="AT133" s="1100"/>
      <c r="AU133" s="1100"/>
      <c r="AV133" s="1100"/>
      <c r="AW133" s="1111"/>
      <c r="AX133" s="1112"/>
      <c r="AY133" s="1075"/>
      <c r="AZ133" s="1076"/>
      <c r="BA133" s="1076"/>
      <c r="BB133" s="1076"/>
      <c r="BC133" s="1076"/>
      <c r="BD133" s="1076"/>
      <c r="BE133" s="1076"/>
      <c r="BF133" s="1076"/>
      <c r="BG133" s="1076"/>
      <c r="BH133" s="1076"/>
      <c r="BI133" s="1420"/>
      <c r="BJ133" s="1368"/>
      <c r="BK133" s="1368"/>
      <c r="BL133" s="1368"/>
      <c r="BM133" s="1368"/>
      <c r="BN133" s="1075"/>
      <c r="BO133" s="1076"/>
      <c r="BP133" s="1076"/>
      <c r="BQ133" s="1076"/>
      <c r="BR133" s="1076"/>
      <c r="BS133" s="1115"/>
      <c r="BT133" s="1076"/>
      <c r="BU133" s="1076"/>
      <c r="BV133" s="1076"/>
      <c r="BW133" s="1116"/>
      <c r="BX133" s="1115"/>
      <c r="BY133" s="1076"/>
      <c r="BZ133" s="1076"/>
      <c r="CA133" s="1076"/>
      <c r="CB133" s="1116"/>
      <c r="CC133" s="1117"/>
      <c r="CD133" s="1376"/>
      <c r="CE133" s="1377"/>
      <c r="CF133" s="1377"/>
      <c r="CG133" s="1377"/>
      <c r="CH133" s="1440"/>
      <c r="CI133" s="1420"/>
      <c r="CJ133" s="1368"/>
      <c r="CK133" s="1368"/>
      <c r="CL133" s="1368"/>
      <c r="CM133" s="1369"/>
      <c r="CN133" s="1420"/>
      <c r="CO133" s="1368"/>
      <c r="CP133" s="1368"/>
      <c r="CQ133" s="1368"/>
      <c r="CR133" s="1369"/>
      <c r="CS133" s="1420"/>
      <c r="CT133" s="1368"/>
      <c r="CU133" s="1368"/>
      <c r="CV133" s="1368"/>
      <c r="CW133" s="1369"/>
      <c r="CX133" s="1420"/>
      <c r="CY133" s="1368"/>
      <c r="CZ133" s="1368"/>
      <c r="DA133" s="1368"/>
      <c r="DB133" s="1369"/>
      <c r="DC133" s="1368"/>
      <c r="DD133" s="1368"/>
      <c r="DE133" s="1368"/>
      <c r="DF133" s="1368"/>
      <c r="DG133" s="1369"/>
      <c r="DH133" s="1420"/>
      <c r="DI133" s="1368"/>
      <c r="DJ133" s="1368"/>
      <c r="DK133" s="1368"/>
      <c r="DL133" s="1369"/>
      <c r="DM133" s="1808"/>
      <c r="DN133" s="1809"/>
      <c r="DO133" s="1809"/>
      <c r="DP133" s="1810"/>
      <c r="DQ133" s="1809"/>
      <c r="DR133" s="1809"/>
      <c r="DS133" s="1809"/>
      <c r="DT133" s="1810"/>
      <c r="DU133" s="1377"/>
      <c r="DV133" s="1729"/>
      <c r="DW133" s="1811"/>
    </row>
    <row r="134" spans="1:127" s="397" customFormat="1" ht="15.75" hidden="1" customHeight="1">
      <c r="A134" s="1097" t="s">
        <v>1013</v>
      </c>
      <c r="B134" s="1057">
        <v>125</v>
      </c>
      <c r="C134" s="1018"/>
      <c r="D134" s="1018"/>
      <c r="E134" s="1018"/>
      <c r="F134" s="1018"/>
      <c r="G134" s="1018"/>
      <c r="H134" s="1018"/>
      <c r="I134" s="1018"/>
      <c r="J134" s="1018"/>
      <c r="K134" s="1018"/>
      <c r="L134" s="1018"/>
      <c r="M134" s="1057"/>
      <c r="N134" s="1018"/>
      <c r="O134" s="1018"/>
      <c r="P134" s="1018"/>
      <c r="Q134" s="1018"/>
      <c r="R134" s="1018"/>
      <c r="S134" s="1018"/>
      <c r="T134" s="1019"/>
      <c r="U134" s="1098" t="s">
        <v>2445</v>
      </c>
      <c r="V134" s="1099" t="s">
        <v>2432</v>
      </c>
      <c r="W134" s="1099" t="s">
        <v>1907</v>
      </c>
      <c r="X134" s="1100" t="s">
        <v>2446</v>
      </c>
      <c r="Y134" s="1101" t="s">
        <v>2447</v>
      </c>
      <c r="Z134" s="1102" t="s">
        <v>2448</v>
      </c>
      <c r="AA134" s="1103" t="s">
        <v>1942</v>
      </c>
      <c r="AB134" s="1104" t="s">
        <v>1942</v>
      </c>
      <c r="AC134" s="1104" t="s">
        <v>1942</v>
      </c>
      <c r="AD134" s="1104" t="s">
        <v>1942</v>
      </c>
      <c r="AE134" s="1104">
        <v>0.9</v>
      </c>
      <c r="AF134" s="1104">
        <v>0.1</v>
      </c>
      <c r="AG134" s="1104" t="s">
        <v>1942</v>
      </c>
      <c r="AH134" s="1104" t="s">
        <v>1942</v>
      </c>
      <c r="AI134" s="1105">
        <f t="shared" si="1"/>
        <v>1</v>
      </c>
      <c r="AJ134" s="1106" t="s">
        <v>1007</v>
      </c>
      <c r="AK134" s="1106" t="s">
        <v>1942</v>
      </c>
      <c r="AL134" s="1106" t="s">
        <v>1942</v>
      </c>
      <c r="AM134" s="1107" t="s">
        <v>1947</v>
      </c>
      <c r="AN134" s="1018" t="s">
        <v>278</v>
      </c>
      <c r="AO134" s="1018" t="s">
        <v>2449</v>
      </c>
      <c r="AP134" s="1333">
        <v>1</v>
      </c>
      <c r="AQ134" s="1076" t="s">
        <v>1010</v>
      </c>
      <c r="AR134" s="1109" t="s">
        <v>1942</v>
      </c>
      <c r="AS134" s="1110"/>
      <c r="AT134" s="1100"/>
      <c r="AU134" s="1100"/>
      <c r="AV134" s="1100"/>
      <c r="AW134" s="1111"/>
      <c r="AX134" s="1112"/>
      <c r="AY134" s="1075"/>
      <c r="AZ134" s="1076"/>
      <c r="BA134" s="1076"/>
      <c r="BB134" s="1076"/>
      <c r="BC134" s="1076"/>
      <c r="BD134" s="1076"/>
      <c r="BE134" s="1076"/>
      <c r="BF134" s="1076"/>
      <c r="BG134" s="1076"/>
      <c r="BH134" s="1076"/>
      <c r="BI134" s="1420"/>
      <c r="BJ134" s="1368"/>
      <c r="BK134" s="1368"/>
      <c r="BL134" s="1368"/>
      <c r="BM134" s="1368"/>
      <c r="BN134" s="1075"/>
      <c r="BO134" s="1076"/>
      <c r="BP134" s="1076"/>
      <c r="BQ134" s="1076"/>
      <c r="BR134" s="1076"/>
      <c r="BS134" s="1115"/>
      <c r="BT134" s="1076"/>
      <c r="BU134" s="1076"/>
      <c r="BV134" s="1076"/>
      <c r="BW134" s="1116"/>
      <c r="BX134" s="1115"/>
      <c r="BY134" s="1076"/>
      <c r="BZ134" s="1076"/>
      <c r="CA134" s="1076"/>
      <c r="CB134" s="1116"/>
      <c r="CC134" s="1117"/>
      <c r="CD134" s="1376"/>
      <c r="CE134" s="1377"/>
      <c r="CF134" s="1377"/>
      <c r="CG134" s="1377"/>
      <c r="CH134" s="1440"/>
      <c r="CI134" s="1420"/>
      <c r="CJ134" s="1368"/>
      <c r="CK134" s="1368"/>
      <c r="CL134" s="1368"/>
      <c r="CM134" s="1369"/>
      <c r="CN134" s="1420"/>
      <c r="CO134" s="1368"/>
      <c r="CP134" s="1368"/>
      <c r="CQ134" s="1368"/>
      <c r="CR134" s="1369"/>
      <c r="CS134" s="1420"/>
      <c r="CT134" s="1368"/>
      <c r="CU134" s="1368"/>
      <c r="CV134" s="1368"/>
      <c r="CW134" s="1369"/>
      <c r="CX134" s="1420"/>
      <c r="CY134" s="1368"/>
      <c r="CZ134" s="1368"/>
      <c r="DA134" s="1368"/>
      <c r="DB134" s="1369"/>
      <c r="DC134" s="1368"/>
      <c r="DD134" s="1368"/>
      <c r="DE134" s="1368"/>
      <c r="DF134" s="1368"/>
      <c r="DG134" s="1369"/>
      <c r="DH134" s="1420"/>
      <c r="DI134" s="1368"/>
      <c r="DJ134" s="1368"/>
      <c r="DK134" s="1368"/>
      <c r="DL134" s="1369"/>
      <c r="DM134" s="1808"/>
      <c r="DN134" s="1809"/>
      <c r="DO134" s="1809"/>
      <c r="DP134" s="1810"/>
      <c r="DQ134" s="1809"/>
      <c r="DR134" s="1809"/>
      <c r="DS134" s="1809"/>
      <c r="DT134" s="1810"/>
      <c r="DU134" s="1377"/>
      <c r="DV134" s="1729"/>
      <c r="DW134" s="1811"/>
    </row>
    <row r="135" spans="1:127" s="397" customFormat="1" ht="15.75" hidden="1" customHeight="1">
      <c r="A135" s="1097" t="s">
        <v>1013</v>
      </c>
      <c r="B135" s="1057">
        <v>126</v>
      </c>
      <c r="C135" s="1018"/>
      <c r="D135" s="1018"/>
      <c r="E135" s="1018"/>
      <c r="F135" s="1018"/>
      <c r="G135" s="1018"/>
      <c r="H135" s="1018"/>
      <c r="I135" s="1018"/>
      <c r="J135" s="1018"/>
      <c r="K135" s="1018"/>
      <c r="L135" s="1018"/>
      <c r="M135" s="1057"/>
      <c r="N135" s="1018"/>
      <c r="O135" s="1018"/>
      <c r="P135" s="1018"/>
      <c r="Q135" s="1018"/>
      <c r="R135" s="1018"/>
      <c r="S135" s="1018"/>
      <c r="T135" s="1019"/>
      <c r="U135" s="1098" t="s">
        <v>2450</v>
      </c>
      <c r="V135" s="1099" t="s">
        <v>2451</v>
      </c>
      <c r="W135" s="1099" t="s">
        <v>1907</v>
      </c>
      <c r="X135" s="1100" t="s">
        <v>2452</v>
      </c>
      <c r="Y135" s="1101" t="s">
        <v>703</v>
      </c>
      <c r="Z135" s="1102" t="s">
        <v>2453</v>
      </c>
      <c r="AA135" s="1103" t="s">
        <v>1942</v>
      </c>
      <c r="AB135" s="1104" t="s">
        <v>1942</v>
      </c>
      <c r="AC135" s="1104" t="s">
        <v>1942</v>
      </c>
      <c r="AD135" s="1104" t="s">
        <v>1942</v>
      </c>
      <c r="AE135" s="1104">
        <v>1</v>
      </c>
      <c r="AF135" s="1104" t="s">
        <v>1942</v>
      </c>
      <c r="AG135" s="1104" t="s">
        <v>1942</v>
      </c>
      <c r="AH135" s="1104" t="s">
        <v>1942</v>
      </c>
      <c r="AI135" s="1105">
        <f t="shared" si="1"/>
        <v>1</v>
      </c>
      <c r="AJ135" s="1106" t="s">
        <v>1007</v>
      </c>
      <c r="AK135" s="1106" t="s">
        <v>1942</v>
      </c>
      <c r="AL135" s="1106" t="s">
        <v>1942</v>
      </c>
      <c r="AM135" s="1107" t="s">
        <v>2029</v>
      </c>
      <c r="AN135" s="1018" t="s">
        <v>278</v>
      </c>
      <c r="AO135" s="1018" t="s">
        <v>4799</v>
      </c>
      <c r="AP135" s="1332">
        <v>1</v>
      </c>
      <c r="AQ135" s="1076" t="s">
        <v>1010</v>
      </c>
      <c r="AR135" s="1109" t="s">
        <v>703</v>
      </c>
      <c r="AS135" s="1110"/>
      <c r="AT135" s="1100"/>
      <c r="AU135" s="1100"/>
      <c r="AV135" s="1100"/>
      <c r="AW135" s="1111"/>
      <c r="AX135" s="1112"/>
      <c r="AY135" s="1075"/>
      <c r="AZ135" s="1076"/>
      <c r="BA135" s="1076"/>
      <c r="BB135" s="1076"/>
      <c r="BC135" s="1076"/>
      <c r="BD135" s="1076"/>
      <c r="BE135" s="1076"/>
      <c r="BF135" s="1076"/>
      <c r="BG135" s="1076"/>
      <c r="BH135" s="1076"/>
      <c r="BI135" s="1075" t="s">
        <v>4825</v>
      </c>
      <c r="BJ135" s="1076" t="s">
        <v>4826</v>
      </c>
      <c r="BK135" s="1076" t="s">
        <v>4827</v>
      </c>
      <c r="BL135" s="1076" t="s">
        <v>4828</v>
      </c>
      <c r="BM135" s="1076" t="s">
        <v>4822</v>
      </c>
      <c r="BN135" s="1075"/>
      <c r="BO135" s="1076"/>
      <c r="BP135" s="1076"/>
      <c r="BQ135" s="1076"/>
      <c r="BR135" s="1076"/>
      <c r="BS135" s="1115"/>
      <c r="BT135" s="1076"/>
      <c r="BU135" s="1076"/>
      <c r="BV135" s="1076"/>
      <c r="BW135" s="1116"/>
      <c r="BX135" s="1115"/>
      <c r="BY135" s="1076"/>
      <c r="BZ135" s="1076"/>
      <c r="CA135" s="1076"/>
      <c r="CB135" s="1116"/>
      <c r="CC135" s="1117"/>
      <c r="CD135" s="1118" t="s">
        <v>1942</v>
      </c>
      <c r="CE135" s="1119" t="s">
        <v>1942</v>
      </c>
      <c r="CF135" s="1119" t="s">
        <v>1942</v>
      </c>
      <c r="CG135" s="1119" t="s">
        <v>1942</v>
      </c>
      <c r="CH135" s="1120" t="s">
        <v>1942</v>
      </c>
      <c r="CI135" s="1075" t="s">
        <v>1942</v>
      </c>
      <c r="CJ135" s="1076" t="s">
        <v>1942</v>
      </c>
      <c r="CK135" s="1076" t="s">
        <v>1942</v>
      </c>
      <c r="CL135" s="1076" t="s">
        <v>1942</v>
      </c>
      <c r="CM135" s="1117" t="s">
        <v>1942</v>
      </c>
      <c r="CN135" s="1075" t="s">
        <v>1942</v>
      </c>
      <c r="CO135" s="1076" t="s">
        <v>1942</v>
      </c>
      <c r="CP135" s="1076" t="s">
        <v>1942</v>
      </c>
      <c r="CQ135" s="1076" t="s">
        <v>1942</v>
      </c>
      <c r="CR135" s="1117" t="s">
        <v>1942</v>
      </c>
      <c r="CS135" s="1075" t="s">
        <v>1942</v>
      </c>
      <c r="CT135" s="1076" t="s">
        <v>1942</v>
      </c>
      <c r="CU135" s="1076" t="s">
        <v>1942</v>
      </c>
      <c r="CV135" s="1076" t="s">
        <v>1942</v>
      </c>
      <c r="CW135" s="1117" t="s">
        <v>1942</v>
      </c>
      <c r="CX135" s="1075" t="s">
        <v>1942</v>
      </c>
      <c r="CY135" s="1076" t="s">
        <v>1942</v>
      </c>
      <c r="CZ135" s="1076" t="s">
        <v>1942</v>
      </c>
      <c r="DA135" s="1076" t="s">
        <v>1942</v>
      </c>
      <c r="DB135" s="1117" t="s">
        <v>1942</v>
      </c>
      <c r="DC135" s="1076" t="s">
        <v>1942</v>
      </c>
      <c r="DD135" s="1076" t="s">
        <v>1942</v>
      </c>
      <c r="DE135" s="1076" t="s">
        <v>1942</v>
      </c>
      <c r="DF135" s="1076" t="s">
        <v>1942</v>
      </c>
      <c r="DG135" s="1117" t="s">
        <v>1942</v>
      </c>
      <c r="DH135" s="1075" t="s">
        <v>1942</v>
      </c>
      <c r="DI135" s="1076" t="s">
        <v>1942</v>
      </c>
      <c r="DJ135" s="1076" t="s">
        <v>1942</v>
      </c>
      <c r="DK135" s="1076" t="s">
        <v>1942</v>
      </c>
      <c r="DL135" s="1117" t="s">
        <v>1942</v>
      </c>
      <c r="DM135" s="1121" t="s">
        <v>1942</v>
      </c>
      <c r="DN135" s="1122" t="s">
        <v>1942</v>
      </c>
      <c r="DO135" s="1122" t="s">
        <v>1942</v>
      </c>
      <c r="DP135" s="1123" t="s">
        <v>1942</v>
      </c>
      <c r="DQ135" s="1122" t="s">
        <v>1942</v>
      </c>
      <c r="DR135" s="1122" t="s">
        <v>1942</v>
      </c>
      <c r="DS135" s="1122" t="s">
        <v>1942</v>
      </c>
      <c r="DT135" s="1123" t="s">
        <v>1942</v>
      </c>
      <c r="DU135" s="1119" t="s">
        <v>1942</v>
      </c>
      <c r="DV135" s="1124">
        <v>1</v>
      </c>
      <c r="DW135" s="1125" t="s">
        <v>1942</v>
      </c>
    </row>
    <row r="136" spans="1:127" s="397" customFormat="1" ht="15.75" hidden="1" customHeight="1">
      <c r="A136" s="1097" t="s">
        <v>1013</v>
      </c>
      <c r="B136" s="1057">
        <v>127</v>
      </c>
      <c r="C136" s="1018"/>
      <c r="D136" s="1018"/>
      <c r="E136" s="1018"/>
      <c r="F136" s="1018"/>
      <c r="G136" s="1018"/>
      <c r="H136" s="1018"/>
      <c r="I136" s="1018"/>
      <c r="J136" s="1018"/>
      <c r="K136" s="1018"/>
      <c r="L136" s="1018"/>
      <c r="M136" s="1057"/>
      <c r="N136" s="1018"/>
      <c r="O136" s="1018"/>
      <c r="P136" s="1018"/>
      <c r="Q136" s="1018"/>
      <c r="R136" s="1018"/>
      <c r="S136" s="1018"/>
      <c r="T136" s="1019"/>
      <c r="U136" s="1098" t="s">
        <v>2455</v>
      </c>
      <c r="V136" s="1099" t="s">
        <v>2451</v>
      </c>
      <c r="W136" s="1099" t="s">
        <v>1907</v>
      </c>
      <c r="X136" s="1100" t="s">
        <v>2456</v>
      </c>
      <c r="Y136" s="1101" t="s">
        <v>2457</v>
      </c>
      <c r="Z136" s="1102" t="s">
        <v>2458</v>
      </c>
      <c r="AA136" s="1103" t="s">
        <v>1942</v>
      </c>
      <c r="AB136" s="1104" t="s">
        <v>1942</v>
      </c>
      <c r="AC136" s="1104" t="s">
        <v>1942</v>
      </c>
      <c r="AD136" s="1104" t="s">
        <v>1942</v>
      </c>
      <c r="AE136" s="1104">
        <v>1</v>
      </c>
      <c r="AF136" s="1104" t="s">
        <v>1942</v>
      </c>
      <c r="AG136" s="1104" t="s">
        <v>1942</v>
      </c>
      <c r="AH136" s="1104" t="s">
        <v>1942</v>
      </c>
      <c r="AI136" s="1105">
        <f t="shared" si="1"/>
        <v>1</v>
      </c>
      <c r="AJ136" s="1106" t="s">
        <v>1007</v>
      </c>
      <c r="AK136" s="1106" t="s">
        <v>1942</v>
      </c>
      <c r="AL136" s="1106" t="s">
        <v>1942</v>
      </c>
      <c r="AM136" s="1107" t="s">
        <v>2029</v>
      </c>
      <c r="AN136" s="1018" t="s">
        <v>278</v>
      </c>
      <c r="AO136" s="1018" t="s">
        <v>2459</v>
      </c>
      <c r="AP136" s="1333">
        <v>0</v>
      </c>
      <c r="AQ136" s="1076" t="s">
        <v>1010</v>
      </c>
      <c r="AR136" s="1109" t="s">
        <v>1942</v>
      </c>
      <c r="AS136" s="1110"/>
      <c r="AT136" s="1100"/>
      <c r="AU136" s="1100"/>
      <c r="AV136" s="1100"/>
      <c r="AW136" s="1111"/>
      <c r="AX136" s="1112"/>
      <c r="AY136" s="1075"/>
      <c r="AZ136" s="1076"/>
      <c r="BA136" s="1076"/>
      <c r="BB136" s="1076"/>
      <c r="BC136" s="1076"/>
      <c r="BD136" s="1076"/>
      <c r="BE136" s="1076"/>
      <c r="BF136" s="1076"/>
      <c r="BG136" s="1076"/>
      <c r="BH136" s="1076"/>
      <c r="BI136" s="1420"/>
      <c r="BJ136" s="1368"/>
      <c r="BK136" s="1368"/>
      <c r="BL136" s="1368"/>
      <c r="BM136" s="1368"/>
      <c r="BN136" s="1075"/>
      <c r="BO136" s="1076"/>
      <c r="BP136" s="1076"/>
      <c r="BQ136" s="1076"/>
      <c r="BR136" s="1076"/>
      <c r="BS136" s="1115"/>
      <c r="BT136" s="1076"/>
      <c r="BU136" s="1076"/>
      <c r="BV136" s="1076"/>
      <c r="BW136" s="1116"/>
      <c r="BX136" s="1115"/>
      <c r="BY136" s="1076"/>
      <c r="BZ136" s="1076"/>
      <c r="CA136" s="1076"/>
      <c r="CB136" s="1116"/>
      <c r="CC136" s="1117"/>
      <c r="CD136" s="1376"/>
      <c r="CE136" s="1377"/>
      <c r="CF136" s="1377"/>
      <c r="CG136" s="1377"/>
      <c r="CH136" s="1440"/>
      <c r="CI136" s="1420"/>
      <c r="CJ136" s="1368"/>
      <c r="CK136" s="1368"/>
      <c r="CL136" s="1368"/>
      <c r="CM136" s="1369"/>
      <c r="CN136" s="1420"/>
      <c r="CO136" s="1368"/>
      <c r="CP136" s="1368"/>
      <c r="CQ136" s="1368"/>
      <c r="CR136" s="1369"/>
      <c r="CS136" s="1420"/>
      <c r="CT136" s="1368"/>
      <c r="CU136" s="1368"/>
      <c r="CV136" s="1368"/>
      <c r="CW136" s="1369"/>
      <c r="CX136" s="1420"/>
      <c r="CY136" s="1368"/>
      <c r="CZ136" s="1368"/>
      <c r="DA136" s="1368"/>
      <c r="DB136" s="1369"/>
      <c r="DC136" s="1368"/>
      <c r="DD136" s="1368"/>
      <c r="DE136" s="1368"/>
      <c r="DF136" s="1368"/>
      <c r="DG136" s="1369"/>
      <c r="DH136" s="1420"/>
      <c r="DI136" s="1368"/>
      <c r="DJ136" s="1368"/>
      <c r="DK136" s="1368"/>
      <c r="DL136" s="1369"/>
      <c r="DM136" s="1808"/>
      <c r="DN136" s="1809"/>
      <c r="DO136" s="1809"/>
      <c r="DP136" s="1810"/>
      <c r="DQ136" s="1809"/>
      <c r="DR136" s="1809"/>
      <c r="DS136" s="1809"/>
      <c r="DT136" s="1810"/>
      <c r="DU136" s="1377"/>
      <c r="DV136" s="1729"/>
      <c r="DW136" s="1811"/>
    </row>
    <row r="137" spans="1:127" s="397" customFormat="1" ht="15.75" hidden="1" customHeight="1">
      <c r="A137" s="1097" t="s">
        <v>1013</v>
      </c>
      <c r="B137" s="1057">
        <v>128</v>
      </c>
      <c r="C137" s="1018"/>
      <c r="D137" s="1018"/>
      <c r="E137" s="1018"/>
      <c r="F137" s="1018"/>
      <c r="G137" s="1018"/>
      <c r="H137" s="1018"/>
      <c r="I137" s="1018"/>
      <c r="J137" s="1018"/>
      <c r="K137" s="1018"/>
      <c r="L137" s="1018"/>
      <c r="M137" s="1057"/>
      <c r="N137" s="1018"/>
      <c r="O137" s="1018"/>
      <c r="P137" s="1018"/>
      <c r="Q137" s="1018"/>
      <c r="R137" s="1018"/>
      <c r="S137" s="1018"/>
      <c r="T137" s="1019"/>
      <c r="U137" s="1098" t="s">
        <v>2460</v>
      </c>
      <c r="V137" s="1099" t="s">
        <v>2451</v>
      </c>
      <c r="W137" s="1099" t="s">
        <v>1907</v>
      </c>
      <c r="X137" s="1100" t="s">
        <v>2461</v>
      </c>
      <c r="Y137" s="1101" t="s">
        <v>2462</v>
      </c>
      <c r="Z137" s="1102" t="s">
        <v>2463</v>
      </c>
      <c r="AA137" s="1103" t="s">
        <v>1942</v>
      </c>
      <c r="AB137" s="1104" t="s">
        <v>1942</v>
      </c>
      <c r="AC137" s="1104" t="s">
        <v>1942</v>
      </c>
      <c r="AD137" s="1104" t="s">
        <v>1942</v>
      </c>
      <c r="AE137" s="1104">
        <v>1</v>
      </c>
      <c r="AF137" s="1104" t="s">
        <v>1942</v>
      </c>
      <c r="AG137" s="1104" t="s">
        <v>1942</v>
      </c>
      <c r="AH137" s="1104" t="s">
        <v>1942</v>
      </c>
      <c r="AI137" s="1105">
        <f t="shared" si="1"/>
        <v>1</v>
      </c>
      <c r="AJ137" s="1106" t="s">
        <v>1007</v>
      </c>
      <c r="AK137" s="1106" t="s">
        <v>1942</v>
      </c>
      <c r="AL137" s="1106" t="s">
        <v>1942</v>
      </c>
      <c r="AM137" s="1107" t="s">
        <v>2029</v>
      </c>
      <c r="AN137" s="1018" t="s">
        <v>278</v>
      </c>
      <c r="AO137" s="1018" t="s">
        <v>2464</v>
      </c>
      <c r="AP137" s="1333">
        <v>1</v>
      </c>
      <c r="AQ137" s="1076" t="s">
        <v>1010</v>
      </c>
      <c r="AR137" s="1109" t="s">
        <v>1942</v>
      </c>
      <c r="AS137" s="1110"/>
      <c r="AT137" s="1100"/>
      <c r="AU137" s="1100"/>
      <c r="AV137" s="1100"/>
      <c r="AW137" s="1111"/>
      <c r="AX137" s="1112"/>
      <c r="AY137" s="1075"/>
      <c r="AZ137" s="1076"/>
      <c r="BA137" s="1076"/>
      <c r="BB137" s="1076"/>
      <c r="BC137" s="1076"/>
      <c r="BD137" s="1076"/>
      <c r="BE137" s="1076"/>
      <c r="BF137" s="1076"/>
      <c r="BG137" s="1076"/>
      <c r="BH137" s="1076"/>
      <c r="BI137" s="1420"/>
      <c r="BJ137" s="1368"/>
      <c r="BK137" s="1368"/>
      <c r="BL137" s="1368"/>
      <c r="BM137" s="1368"/>
      <c r="BN137" s="1075"/>
      <c r="BO137" s="1076"/>
      <c r="BP137" s="1076"/>
      <c r="BQ137" s="1076"/>
      <c r="BR137" s="1076"/>
      <c r="BS137" s="1115"/>
      <c r="BT137" s="1076"/>
      <c r="BU137" s="1076"/>
      <c r="BV137" s="1076"/>
      <c r="BW137" s="1116"/>
      <c r="BX137" s="1115"/>
      <c r="BY137" s="1076"/>
      <c r="BZ137" s="1076"/>
      <c r="CA137" s="1076"/>
      <c r="CB137" s="1116"/>
      <c r="CC137" s="1117"/>
      <c r="CD137" s="1376"/>
      <c r="CE137" s="1377"/>
      <c r="CF137" s="1377"/>
      <c r="CG137" s="1377"/>
      <c r="CH137" s="1440"/>
      <c r="CI137" s="1420"/>
      <c r="CJ137" s="1368"/>
      <c r="CK137" s="1368"/>
      <c r="CL137" s="1368"/>
      <c r="CM137" s="1369"/>
      <c r="CN137" s="1420"/>
      <c r="CO137" s="1368"/>
      <c r="CP137" s="1368"/>
      <c r="CQ137" s="1368"/>
      <c r="CR137" s="1369"/>
      <c r="CS137" s="1420"/>
      <c r="CT137" s="1368"/>
      <c r="CU137" s="1368"/>
      <c r="CV137" s="1368"/>
      <c r="CW137" s="1369"/>
      <c r="CX137" s="1420"/>
      <c r="CY137" s="1368"/>
      <c r="CZ137" s="1368"/>
      <c r="DA137" s="1368"/>
      <c r="DB137" s="1369"/>
      <c r="DC137" s="1368"/>
      <c r="DD137" s="1368"/>
      <c r="DE137" s="1368"/>
      <c r="DF137" s="1368"/>
      <c r="DG137" s="1369"/>
      <c r="DH137" s="1420"/>
      <c r="DI137" s="1368"/>
      <c r="DJ137" s="1368"/>
      <c r="DK137" s="1368"/>
      <c r="DL137" s="1369"/>
      <c r="DM137" s="1808"/>
      <c r="DN137" s="1809"/>
      <c r="DO137" s="1809"/>
      <c r="DP137" s="1810"/>
      <c r="DQ137" s="1809"/>
      <c r="DR137" s="1809"/>
      <c r="DS137" s="1809"/>
      <c r="DT137" s="1810"/>
      <c r="DU137" s="1377"/>
      <c r="DV137" s="1729"/>
      <c r="DW137" s="1811"/>
    </row>
    <row r="138" spans="1:127" s="397" customFormat="1" ht="15.75" hidden="1" customHeight="1">
      <c r="A138" s="1097" t="s">
        <v>1013</v>
      </c>
      <c r="B138" s="1057">
        <v>129</v>
      </c>
      <c r="C138" s="1018"/>
      <c r="D138" s="1018"/>
      <c r="E138" s="1018"/>
      <c r="F138" s="1018"/>
      <c r="G138" s="1018"/>
      <c r="H138" s="1018"/>
      <c r="I138" s="1018"/>
      <c r="J138" s="1018"/>
      <c r="K138" s="1018"/>
      <c r="L138" s="1018"/>
      <c r="M138" s="1057"/>
      <c r="N138" s="1018"/>
      <c r="O138" s="1018"/>
      <c r="P138" s="1018"/>
      <c r="Q138" s="1018"/>
      <c r="R138" s="1018"/>
      <c r="S138" s="1018"/>
      <c r="T138" s="1019"/>
      <c r="U138" s="1098" t="s">
        <v>2465</v>
      </c>
      <c r="V138" s="1099" t="s">
        <v>1942</v>
      </c>
      <c r="W138" s="1099" t="s">
        <v>1942</v>
      </c>
      <c r="X138" s="1100" t="s">
        <v>2466</v>
      </c>
      <c r="Y138" s="1101" t="s">
        <v>2467</v>
      </c>
      <c r="Z138" s="1102" t="s">
        <v>1942</v>
      </c>
      <c r="AA138" s="1103" t="s">
        <v>1942</v>
      </c>
      <c r="AB138" s="1104" t="s">
        <v>1942</v>
      </c>
      <c r="AC138" s="1104" t="s">
        <v>1942</v>
      </c>
      <c r="AD138" s="1104" t="s">
        <v>1942</v>
      </c>
      <c r="AE138" s="1104" t="s">
        <v>1942</v>
      </c>
      <c r="AF138" s="1104" t="s">
        <v>1942</v>
      </c>
      <c r="AG138" s="1104" t="s">
        <v>1942</v>
      </c>
      <c r="AH138" s="1104" t="s">
        <v>1942</v>
      </c>
      <c r="AI138" s="1105">
        <f t="shared" ref="AI138:AI201" si="2">SUM(AA138:AH138)</f>
        <v>0</v>
      </c>
      <c r="AJ138" s="1106" t="s">
        <v>1007</v>
      </c>
      <c r="AK138" s="1106" t="s">
        <v>1942</v>
      </c>
      <c r="AL138" s="1106" t="s">
        <v>1942</v>
      </c>
      <c r="AM138" s="1107" t="s">
        <v>1942</v>
      </c>
      <c r="AN138" s="1018" t="s">
        <v>1942</v>
      </c>
      <c r="AO138" s="1018" t="s">
        <v>1942</v>
      </c>
      <c r="AP138" s="1333">
        <v>0</v>
      </c>
      <c r="AQ138" s="1076" t="s">
        <v>1942</v>
      </c>
      <c r="AR138" s="1109" t="s">
        <v>1942</v>
      </c>
      <c r="AS138" s="1110"/>
      <c r="AT138" s="1100"/>
      <c r="AU138" s="1100"/>
      <c r="AV138" s="1100"/>
      <c r="AW138" s="1111"/>
      <c r="AX138" s="1112"/>
      <c r="AY138" s="1075"/>
      <c r="AZ138" s="1076"/>
      <c r="BA138" s="1076"/>
      <c r="BB138" s="1076"/>
      <c r="BC138" s="1076"/>
      <c r="BD138" s="1076"/>
      <c r="BE138" s="1076"/>
      <c r="BF138" s="1076"/>
      <c r="BG138" s="1076"/>
      <c r="BH138" s="1076"/>
      <c r="BI138" s="1420"/>
      <c r="BJ138" s="1368"/>
      <c r="BK138" s="1368"/>
      <c r="BL138" s="1368"/>
      <c r="BM138" s="1368"/>
      <c r="BN138" s="1075"/>
      <c r="BO138" s="1076"/>
      <c r="BP138" s="1076"/>
      <c r="BQ138" s="1076"/>
      <c r="BR138" s="1076"/>
      <c r="BS138" s="1115"/>
      <c r="BT138" s="1076"/>
      <c r="BU138" s="1076"/>
      <c r="BV138" s="1076"/>
      <c r="BW138" s="1116"/>
      <c r="BX138" s="1115"/>
      <c r="BY138" s="1076"/>
      <c r="BZ138" s="1076"/>
      <c r="CA138" s="1076"/>
      <c r="CB138" s="1116"/>
      <c r="CC138" s="1117"/>
      <c r="CD138" s="1376"/>
      <c r="CE138" s="1377"/>
      <c r="CF138" s="1377"/>
      <c r="CG138" s="1377"/>
      <c r="CH138" s="1440"/>
      <c r="CI138" s="1420"/>
      <c r="CJ138" s="1368"/>
      <c r="CK138" s="1368"/>
      <c r="CL138" s="1368"/>
      <c r="CM138" s="1369"/>
      <c r="CN138" s="1420"/>
      <c r="CO138" s="1368"/>
      <c r="CP138" s="1368"/>
      <c r="CQ138" s="1368"/>
      <c r="CR138" s="1369"/>
      <c r="CS138" s="1420"/>
      <c r="CT138" s="1368"/>
      <c r="CU138" s="1368"/>
      <c r="CV138" s="1368"/>
      <c r="CW138" s="1369"/>
      <c r="CX138" s="1420"/>
      <c r="CY138" s="1368"/>
      <c r="CZ138" s="1368"/>
      <c r="DA138" s="1368"/>
      <c r="DB138" s="1369"/>
      <c r="DC138" s="1368"/>
      <c r="DD138" s="1368"/>
      <c r="DE138" s="1368"/>
      <c r="DF138" s="1368"/>
      <c r="DG138" s="1369"/>
      <c r="DH138" s="1420"/>
      <c r="DI138" s="1368"/>
      <c r="DJ138" s="1368"/>
      <c r="DK138" s="1368"/>
      <c r="DL138" s="1369"/>
      <c r="DM138" s="1808"/>
      <c r="DN138" s="1809"/>
      <c r="DO138" s="1809"/>
      <c r="DP138" s="1810"/>
      <c r="DQ138" s="1809"/>
      <c r="DR138" s="1809"/>
      <c r="DS138" s="1809"/>
      <c r="DT138" s="1810"/>
      <c r="DU138" s="1377"/>
      <c r="DV138" s="1729"/>
      <c r="DW138" s="1811"/>
    </row>
    <row r="139" spans="1:127" s="397" customFormat="1" ht="15.75" hidden="1" customHeight="1">
      <c r="A139" s="1097" t="s">
        <v>1013</v>
      </c>
      <c r="B139" s="1057">
        <v>130</v>
      </c>
      <c r="C139" s="1018"/>
      <c r="D139" s="1018"/>
      <c r="E139" s="1018"/>
      <c r="F139" s="1018"/>
      <c r="G139" s="1018"/>
      <c r="H139" s="1018"/>
      <c r="I139" s="1018"/>
      <c r="J139" s="1018"/>
      <c r="K139" s="1018"/>
      <c r="L139" s="1018"/>
      <c r="M139" s="1057"/>
      <c r="N139" s="1018"/>
      <c r="O139" s="1018"/>
      <c r="P139" s="1018"/>
      <c r="Q139" s="1018"/>
      <c r="R139" s="1018"/>
      <c r="S139" s="1018"/>
      <c r="T139" s="1019"/>
      <c r="U139" s="1098" t="s">
        <v>2468</v>
      </c>
      <c r="V139" s="1099" t="s">
        <v>1942</v>
      </c>
      <c r="W139" s="1099" t="s">
        <v>1942</v>
      </c>
      <c r="X139" s="1100" t="s">
        <v>2032</v>
      </c>
      <c r="Y139" s="1101" t="s">
        <v>2033</v>
      </c>
      <c r="Z139" s="1102" t="s">
        <v>1942</v>
      </c>
      <c r="AA139" s="1103" t="s">
        <v>1942</v>
      </c>
      <c r="AB139" s="1104" t="s">
        <v>1942</v>
      </c>
      <c r="AC139" s="1104" t="s">
        <v>1942</v>
      </c>
      <c r="AD139" s="1104" t="s">
        <v>1942</v>
      </c>
      <c r="AE139" s="1104" t="s">
        <v>1942</v>
      </c>
      <c r="AF139" s="1104" t="s">
        <v>1942</v>
      </c>
      <c r="AG139" s="1104" t="s">
        <v>1942</v>
      </c>
      <c r="AH139" s="1104" t="s">
        <v>1942</v>
      </c>
      <c r="AI139" s="1105">
        <f t="shared" si="2"/>
        <v>0</v>
      </c>
      <c r="AJ139" s="1106" t="s">
        <v>1007</v>
      </c>
      <c r="AK139" s="1106" t="s">
        <v>1942</v>
      </c>
      <c r="AL139" s="1106" t="s">
        <v>1942</v>
      </c>
      <c r="AM139" s="1107" t="s">
        <v>1942</v>
      </c>
      <c r="AN139" s="1018" t="s">
        <v>1942</v>
      </c>
      <c r="AO139" s="1018" t="s">
        <v>2034</v>
      </c>
      <c r="AP139" s="1333">
        <v>0</v>
      </c>
      <c r="AQ139" s="1076" t="s">
        <v>1942</v>
      </c>
      <c r="AR139" s="1109" t="s">
        <v>1942</v>
      </c>
      <c r="AS139" s="1110"/>
      <c r="AT139" s="1100"/>
      <c r="AU139" s="1100"/>
      <c r="AV139" s="1100"/>
      <c r="AW139" s="1111"/>
      <c r="AX139" s="1112"/>
      <c r="AY139" s="1075"/>
      <c r="AZ139" s="1076"/>
      <c r="BA139" s="1076"/>
      <c r="BB139" s="1076"/>
      <c r="BC139" s="1076"/>
      <c r="BD139" s="1076"/>
      <c r="BE139" s="1076"/>
      <c r="BF139" s="1076"/>
      <c r="BG139" s="1076"/>
      <c r="BH139" s="1076"/>
      <c r="BI139" s="1420"/>
      <c r="BJ139" s="1368"/>
      <c r="BK139" s="1368"/>
      <c r="BL139" s="1368"/>
      <c r="BM139" s="1368"/>
      <c r="BN139" s="1075"/>
      <c r="BO139" s="1076"/>
      <c r="BP139" s="1076"/>
      <c r="BQ139" s="1076"/>
      <c r="BR139" s="1076"/>
      <c r="BS139" s="1115"/>
      <c r="BT139" s="1076"/>
      <c r="BU139" s="1076"/>
      <c r="BV139" s="1076"/>
      <c r="BW139" s="1116"/>
      <c r="BX139" s="1115"/>
      <c r="BY139" s="1076"/>
      <c r="BZ139" s="1076"/>
      <c r="CA139" s="1076"/>
      <c r="CB139" s="1116"/>
      <c r="CC139" s="1117"/>
      <c r="CD139" s="1376"/>
      <c r="CE139" s="1377"/>
      <c r="CF139" s="1377"/>
      <c r="CG139" s="1377"/>
      <c r="CH139" s="1440"/>
      <c r="CI139" s="1420"/>
      <c r="CJ139" s="1368"/>
      <c r="CK139" s="1368"/>
      <c r="CL139" s="1368"/>
      <c r="CM139" s="1369"/>
      <c r="CN139" s="1420"/>
      <c r="CO139" s="1368"/>
      <c r="CP139" s="1368"/>
      <c r="CQ139" s="1368"/>
      <c r="CR139" s="1369"/>
      <c r="CS139" s="1420"/>
      <c r="CT139" s="1368"/>
      <c r="CU139" s="1368"/>
      <c r="CV139" s="1368"/>
      <c r="CW139" s="1369"/>
      <c r="CX139" s="1420"/>
      <c r="CY139" s="1368"/>
      <c r="CZ139" s="1368"/>
      <c r="DA139" s="1368"/>
      <c r="DB139" s="1369"/>
      <c r="DC139" s="1368"/>
      <c r="DD139" s="1368"/>
      <c r="DE139" s="1368"/>
      <c r="DF139" s="1368"/>
      <c r="DG139" s="1369"/>
      <c r="DH139" s="1420"/>
      <c r="DI139" s="1368"/>
      <c r="DJ139" s="1368"/>
      <c r="DK139" s="1368"/>
      <c r="DL139" s="1369"/>
      <c r="DM139" s="1808"/>
      <c r="DN139" s="1809"/>
      <c r="DO139" s="1809"/>
      <c r="DP139" s="1810"/>
      <c r="DQ139" s="1809"/>
      <c r="DR139" s="1809"/>
      <c r="DS139" s="1809"/>
      <c r="DT139" s="1810"/>
      <c r="DU139" s="1377"/>
      <c r="DV139" s="1729"/>
      <c r="DW139" s="1811"/>
    </row>
    <row r="140" spans="1:127" s="397" customFormat="1" ht="15.75" hidden="1" customHeight="1">
      <c r="A140" s="1097" t="s">
        <v>1013</v>
      </c>
      <c r="B140" s="1057">
        <v>131</v>
      </c>
      <c r="C140" s="1018"/>
      <c r="D140" s="1018"/>
      <c r="E140" s="1018"/>
      <c r="F140" s="1018"/>
      <c r="G140" s="1018"/>
      <c r="H140" s="1018"/>
      <c r="I140" s="1018"/>
      <c r="J140" s="1018"/>
      <c r="K140" s="1018"/>
      <c r="L140" s="1018"/>
      <c r="M140" s="1057"/>
      <c r="N140" s="1018"/>
      <c r="O140" s="1018"/>
      <c r="P140" s="1018"/>
      <c r="Q140" s="1018"/>
      <c r="R140" s="1018"/>
      <c r="S140" s="1018"/>
      <c r="T140" s="1019"/>
      <c r="U140" s="1098" t="s">
        <v>2469</v>
      </c>
      <c r="V140" s="1099" t="s">
        <v>1942</v>
      </c>
      <c r="W140" s="1099" t="s">
        <v>1942</v>
      </c>
      <c r="X140" s="1100" t="s">
        <v>2470</v>
      </c>
      <c r="Y140" s="1101" t="s">
        <v>2471</v>
      </c>
      <c r="Z140" s="1102" t="s">
        <v>1942</v>
      </c>
      <c r="AA140" s="1103">
        <v>1</v>
      </c>
      <c r="AB140" s="1104" t="s">
        <v>1942</v>
      </c>
      <c r="AC140" s="1104" t="s">
        <v>1942</v>
      </c>
      <c r="AD140" s="1104" t="s">
        <v>1942</v>
      </c>
      <c r="AE140" s="1104" t="s">
        <v>1942</v>
      </c>
      <c r="AF140" s="1104" t="s">
        <v>1942</v>
      </c>
      <c r="AG140" s="1104" t="s">
        <v>1942</v>
      </c>
      <c r="AH140" s="1104" t="s">
        <v>1942</v>
      </c>
      <c r="AI140" s="1105">
        <f t="shared" si="2"/>
        <v>1</v>
      </c>
      <c r="AJ140" s="1106" t="s">
        <v>1026</v>
      </c>
      <c r="AK140" s="1106" t="s">
        <v>1008</v>
      </c>
      <c r="AL140" s="1106" t="s">
        <v>2472</v>
      </c>
      <c r="AM140" s="1107" t="s">
        <v>1942</v>
      </c>
      <c r="AN140" s="1018"/>
      <c r="AO140" s="1018"/>
      <c r="AP140" s="1333">
        <v>1</v>
      </c>
      <c r="AQ140" s="1076"/>
      <c r="AR140" s="1109" t="s">
        <v>1942</v>
      </c>
      <c r="AS140" s="1110"/>
      <c r="AT140" s="1100"/>
      <c r="AU140" s="1100"/>
      <c r="AV140" s="1100"/>
      <c r="AW140" s="1111"/>
      <c r="AX140" s="1112"/>
      <c r="AY140" s="1075"/>
      <c r="AZ140" s="1076"/>
      <c r="BA140" s="1076"/>
      <c r="BB140" s="1076"/>
      <c r="BC140" s="1076"/>
      <c r="BD140" s="1076"/>
      <c r="BE140" s="1076"/>
      <c r="BF140" s="1076"/>
      <c r="BG140" s="1076"/>
      <c r="BH140" s="1076"/>
      <c r="BI140" s="1420"/>
      <c r="BJ140" s="1368"/>
      <c r="BK140" s="1368"/>
      <c r="BL140" s="1368"/>
      <c r="BM140" s="1368"/>
      <c r="BN140" s="1075"/>
      <c r="BO140" s="1076"/>
      <c r="BP140" s="1076"/>
      <c r="BQ140" s="1076"/>
      <c r="BR140" s="1076"/>
      <c r="BS140" s="1115"/>
      <c r="BT140" s="1076"/>
      <c r="BU140" s="1076"/>
      <c r="BV140" s="1076"/>
      <c r="BW140" s="1116"/>
      <c r="BX140" s="1115"/>
      <c r="BY140" s="1076"/>
      <c r="BZ140" s="1076"/>
      <c r="CA140" s="1076"/>
      <c r="CB140" s="1116"/>
      <c r="CC140" s="1117"/>
      <c r="CD140" s="1376"/>
      <c r="CE140" s="1377"/>
      <c r="CF140" s="1377"/>
      <c r="CG140" s="1377"/>
      <c r="CH140" s="1440"/>
      <c r="CI140" s="1420"/>
      <c r="CJ140" s="1368"/>
      <c r="CK140" s="1368"/>
      <c r="CL140" s="1368"/>
      <c r="CM140" s="1369"/>
      <c r="CN140" s="1420"/>
      <c r="CO140" s="1368"/>
      <c r="CP140" s="1368"/>
      <c r="CQ140" s="1368"/>
      <c r="CR140" s="1369"/>
      <c r="CS140" s="1420"/>
      <c r="CT140" s="1368"/>
      <c r="CU140" s="1368"/>
      <c r="CV140" s="1368"/>
      <c r="CW140" s="1369"/>
      <c r="CX140" s="1420"/>
      <c r="CY140" s="1368"/>
      <c r="CZ140" s="1368"/>
      <c r="DA140" s="1368"/>
      <c r="DB140" s="1369"/>
      <c r="DC140" s="1368"/>
      <c r="DD140" s="1368"/>
      <c r="DE140" s="1368"/>
      <c r="DF140" s="1368"/>
      <c r="DG140" s="1369"/>
      <c r="DH140" s="1420"/>
      <c r="DI140" s="1368"/>
      <c r="DJ140" s="1368"/>
      <c r="DK140" s="1368"/>
      <c r="DL140" s="1369"/>
      <c r="DM140" s="1808"/>
      <c r="DN140" s="1809"/>
      <c r="DO140" s="1809"/>
      <c r="DP140" s="1810"/>
      <c r="DQ140" s="1809"/>
      <c r="DR140" s="1809"/>
      <c r="DS140" s="1809"/>
      <c r="DT140" s="1810"/>
      <c r="DU140" s="1377"/>
      <c r="DV140" s="1729"/>
      <c r="DW140" s="1811"/>
    </row>
    <row r="141" spans="1:127" s="397" customFormat="1" ht="15.75" hidden="1" customHeight="1">
      <c r="A141" s="1097" t="s">
        <v>1032</v>
      </c>
      <c r="B141" s="1057">
        <v>132</v>
      </c>
      <c r="C141" s="1018"/>
      <c r="D141" s="1018"/>
      <c r="E141" s="1018"/>
      <c r="F141" s="1018"/>
      <c r="G141" s="1018"/>
      <c r="H141" s="1018"/>
      <c r="I141" s="1018"/>
      <c r="J141" s="1018"/>
      <c r="K141" s="1018"/>
      <c r="L141" s="1018"/>
      <c r="M141" s="1057"/>
      <c r="N141" s="1018"/>
      <c r="O141" s="1018"/>
      <c r="P141" s="1018"/>
      <c r="Q141" s="1018"/>
      <c r="R141" s="1018"/>
      <c r="S141" s="1018"/>
      <c r="T141" s="1019"/>
      <c r="U141" s="1098" t="s">
        <v>2474</v>
      </c>
      <c r="V141" s="1099" t="s">
        <v>2475</v>
      </c>
      <c r="W141" s="1099" t="s">
        <v>1907</v>
      </c>
      <c r="X141" s="1100" t="s">
        <v>2476</v>
      </c>
      <c r="Y141" s="1101" t="s">
        <v>1931</v>
      </c>
      <c r="Z141" s="1102" t="s">
        <v>2477</v>
      </c>
      <c r="AA141" s="1103" t="s">
        <v>1942</v>
      </c>
      <c r="AB141" s="1104" t="s">
        <v>1942</v>
      </c>
      <c r="AC141" s="1104" t="s">
        <v>1942</v>
      </c>
      <c r="AD141" s="1104" t="s">
        <v>1942</v>
      </c>
      <c r="AE141" s="1104">
        <v>1</v>
      </c>
      <c r="AF141" s="1104" t="s">
        <v>1942</v>
      </c>
      <c r="AG141" s="1104" t="s">
        <v>1942</v>
      </c>
      <c r="AH141" s="1104" t="s">
        <v>1942</v>
      </c>
      <c r="AI141" s="1105">
        <f t="shared" si="2"/>
        <v>1</v>
      </c>
      <c r="AJ141" s="1106" t="s">
        <v>1030</v>
      </c>
      <c r="AK141" s="1106" t="s">
        <v>1008</v>
      </c>
      <c r="AL141" s="1106" t="s">
        <v>1009</v>
      </c>
      <c r="AM141" s="1107" t="s">
        <v>1069</v>
      </c>
      <c r="AN141" s="1018" t="s">
        <v>1081</v>
      </c>
      <c r="AO141" s="1018" t="s">
        <v>2038</v>
      </c>
      <c r="AP141" s="833">
        <v>2</v>
      </c>
      <c r="AQ141" s="1076" t="s">
        <v>1010</v>
      </c>
      <c r="AR141" s="1109" t="s">
        <v>1931</v>
      </c>
      <c r="AS141" s="1110"/>
      <c r="AT141" s="1100"/>
      <c r="AU141" s="1100"/>
      <c r="AV141" s="1100"/>
      <c r="AW141" s="1111"/>
      <c r="AX141" s="1112"/>
      <c r="AY141" s="1075"/>
      <c r="AZ141" s="1076"/>
      <c r="BA141" s="1076"/>
      <c r="BB141" s="1076"/>
      <c r="BC141" s="1076"/>
      <c r="BD141" s="1076"/>
      <c r="BE141" s="1076"/>
      <c r="BF141" s="1076"/>
      <c r="BG141" s="1076"/>
      <c r="BH141" s="1076"/>
      <c r="BI141" s="1075" t="s">
        <v>1942</v>
      </c>
      <c r="BJ141" s="1076" t="s">
        <v>1942</v>
      </c>
      <c r="BK141" s="1076" t="s">
        <v>1942</v>
      </c>
      <c r="BL141" s="1076" t="s">
        <v>1942</v>
      </c>
      <c r="BM141" s="1076" t="s">
        <v>1942</v>
      </c>
      <c r="BN141" s="1075"/>
      <c r="BO141" s="1076"/>
      <c r="BP141" s="1076"/>
      <c r="BQ141" s="1076"/>
      <c r="BR141" s="1076"/>
      <c r="BS141" s="1115"/>
      <c r="BT141" s="1076"/>
      <c r="BU141" s="1076"/>
      <c r="BV141" s="1076"/>
      <c r="BW141" s="1116"/>
      <c r="BX141" s="1115"/>
      <c r="BY141" s="1076"/>
      <c r="BZ141" s="1076"/>
      <c r="CA141" s="1076"/>
      <c r="CB141" s="1116"/>
      <c r="CC141" s="1117"/>
      <c r="CD141" s="1118" t="s">
        <v>168</v>
      </c>
      <c r="CE141" s="1119" t="s">
        <v>168</v>
      </c>
      <c r="CF141" s="1119" t="s">
        <v>168</v>
      </c>
      <c r="CG141" s="1119" t="s">
        <v>168</v>
      </c>
      <c r="CH141" s="1120" t="s">
        <v>168</v>
      </c>
      <c r="CI141" s="1075" t="s">
        <v>1942</v>
      </c>
      <c r="CJ141" s="1076" t="s">
        <v>1942</v>
      </c>
      <c r="CK141" s="1076" t="s">
        <v>1942</v>
      </c>
      <c r="CL141" s="1076" t="s">
        <v>1942</v>
      </c>
      <c r="CM141" s="1117" t="s">
        <v>1942</v>
      </c>
      <c r="CN141" s="1075" t="s">
        <v>1942</v>
      </c>
      <c r="CO141" s="1076" t="s">
        <v>1942</v>
      </c>
      <c r="CP141" s="1076" t="s">
        <v>1942</v>
      </c>
      <c r="CQ141" s="1076" t="s">
        <v>1942</v>
      </c>
      <c r="CR141" s="1117" t="s">
        <v>1942</v>
      </c>
      <c r="CS141" s="1075" t="s">
        <v>1942</v>
      </c>
      <c r="CT141" s="1076" t="s">
        <v>1942</v>
      </c>
      <c r="CU141" s="1076" t="s">
        <v>1942</v>
      </c>
      <c r="CV141" s="1076" t="s">
        <v>1942</v>
      </c>
      <c r="CW141" s="1117" t="s">
        <v>1942</v>
      </c>
      <c r="CX141" s="1075" t="s">
        <v>1942</v>
      </c>
      <c r="CY141" s="1076" t="s">
        <v>1942</v>
      </c>
      <c r="CZ141" s="1076" t="s">
        <v>1942</v>
      </c>
      <c r="DA141" s="1076" t="s">
        <v>1942</v>
      </c>
      <c r="DB141" s="1117" t="s">
        <v>1942</v>
      </c>
      <c r="DC141" s="1076" t="s">
        <v>1942</v>
      </c>
      <c r="DD141" s="1076" t="s">
        <v>1942</v>
      </c>
      <c r="DE141" s="1076" t="s">
        <v>1942</v>
      </c>
      <c r="DF141" s="1076" t="s">
        <v>1942</v>
      </c>
      <c r="DG141" s="1117" t="s">
        <v>1942</v>
      </c>
      <c r="DH141" s="1075" t="s">
        <v>1942</v>
      </c>
      <c r="DI141" s="1076" t="s">
        <v>1942</v>
      </c>
      <c r="DJ141" s="1076" t="s">
        <v>1942</v>
      </c>
      <c r="DK141" s="1076" t="s">
        <v>1942</v>
      </c>
      <c r="DL141" s="1117" t="s">
        <v>1942</v>
      </c>
      <c r="DM141" s="1121" t="s">
        <v>1942</v>
      </c>
      <c r="DN141" s="1122" t="s">
        <v>1942</v>
      </c>
      <c r="DO141" s="1122" t="s">
        <v>1942</v>
      </c>
      <c r="DP141" s="1123" t="s">
        <v>1942</v>
      </c>
      <c r="DQ141" s="1122" t="s">
        <v>1942</v>
      </c>
      <c r="DR141" s="1122" t="s">
        <v>1942</v>
      </c>
      <c r="DS141" s="1122" t="s">
        <v>1942</v>
      </c>
      <c r="DT141" s="1123" t="s">
        <v>1942</v>
      </c>
      <c r="DU141" s="1119" t="s">
        <v>1942</v>
      </c>
      <c r="DV141" s="1124">
        <v>1</v>
      </c>
      <c r="DW141" s="1125" t="s">
        <v>1942</v>
      </c>
    </row>
    <row r="142" spans="1:127" s="397" customFormat="1" ht="15.75" hidden="1" customHeight="1">
      <c r="A142" s="1097" t="s">
        <v>1032</v>
      </c>
      <c r="B142" s="1057">
        <v>133</v>
      </c>
      <c r="C142" s="1018"/>
      <c r="D142" s="1018"/>
      <c r="E142" s="1018"/>
      <c r="F142" s="1018"/>
      <c r="G142" s="1018"/>
      <c r="H142" s="1018"/>
      <c r="I142" s="1018"/>
      <c r="J142" s="1018"/>
      <c r="K142" s="1018"/>
      <c r="L142" s="1018"/>
      <c r="M142" s="1057"/>
      <c r="N142" s="1018"/>
      <c r="O142" s="1018"/>
      <c r="P142" s="1018"/>
      <c r="Q142" s="1018"/>
      <c r="R142" s="1018"/>
      <c r="S142" s="1018"/>
      <c r="T142" s="1019"/>
      <c r="U142" s="1098" t="s">
        <v>2478</v>
      </c>
      <c r="V142" s="1099" t="s">
        <v>2475</v>
      </c>
      <c r="W142" s="1099" t="s">
        <v>1907</v>
      </c>
      <c r="X142" s="1100" t="s">
        <v>2479</v>
      </c>
      <c r="Y142" s="1101" t="s">
        <v>1935</v>
      </c>
      <c r="Z142" s="1102" t="s">
        <v>2477</v>
      </c>
      <c r="AA142" s="1103" t="s">
        <v>1942</v>
      </c>
      <c r="AB142" s="1104">
        <v>0.63500000000000001</v>
      </c>
      <c r="AC142" s="1104">
        <v>0.36499999999999999</v>
      </c>
      <c r="AD142" s="1104" t="s">
        <v>1942</v>
      </c>
      <c r="AE142" s="1104" t="s">
        <v>1942</v>
      </c>
      <c r="AF142" s="1104" t="s">
        <v>1942</v>
      </c>
      <c r="AG142" s="1104" t="s">
        <v>1942</v>
      </c>
      <c r="AH142" s="1104" t="s">
        <v>1942</v>
      </c>
      <c r="AI142" s="1105">
        <f t="shared" si="2"/>
        <v>1</v>
      </c>
      <c r="AJ142" s="1106" t="s">
        <v>1030</v>
      </c>
      <c r="AK142" s="1106" t="s">
        <v>1008</v>
      </c>
      <c r="AL142" s="1106" t="s">
        <v>1009</v>
      </c>
      <c r="AM142" s="1107" t="s">
        <v>1073</v>
      </c>
      <c r="AN142" s="1018" t="s">
        <v>1081</v>
      </c>
      <c r="AO142" s="1018" t="s">
        <v>427</v>
      </c>
      <c r="AP142" s="833">
        <v>2</v>
      </c>
      <c r="AQ142" s="1076" t="s">
        <v>1010</v>
      </c>
      <c r="AR142" s="1109" t="s">
        <v>1935</v>
      </c>
      <c r="AS142" s="1110"/>
      <c r="AT142" s="1100"/>
      <c r="AU142" s="1100"/>
      <c r="AV142" s="1100"/>
      <c r="AW142" s="1111"/>
      <c r="AX142" s="1112"/>
      <c r="AY142" s="1075"/>
      <c r="AZ142" s="1076"/>
      <c r="BA142" s="1076"/>
      <c r="BB142" s="1076"/>
      <c r="BC142" s="1076"/>
      <c r="BD142" s="1076"/>
      <c r="BE142" s="1076"/>
      <c r="BF142" s="1076"/>
      <c r="BG142" s="1076"/>
      <c r="BH142" s="1076"/>
      <c r="BI142" s="1075" t="s">
        <v>1942</v>
      </c>
      <c r="BJ142" s="1076" t="s">
        <v>1942</v>
      </c>
      <c r="BK142" s="1076" t="s">
        <v>1942</v>
      </c>
      <c r="BL142" s="1076" t="s">
        <v>1942</v>
      </c>
      <c r="BM142" s="1076" t="s">
        <v>1942</v>
      </c>
      <c r="BN142" s="1075"/>
      <c r="BO142" s="1076"/>
      <c r="BP142" s="1076"/>
      <c r="BQ142" s="1076"/>
      <c r="BR142" s="1076"/>
      <c r="BS142" s="1115"/>
      <c r="BT142" s="1076"/>
      <c r="BU142" s="1076"/>
      <c r="BV142" s="1076"/>
      <c r="BW142" s="1116"/>
      <c r="BX142" s="1115"/>
      <c r="BY142" s="1076"/>
      <c r="BZ142" s="1076"/>
      <c r="CA142" s="1076"/>
      <c r="CB142" s="1116"/>
      <c r="CC142" s="1117"/>
      <c r="CD142" s="1118" t="s">
        <v>168</v>
      </c>
      <c r="CE142" s="1119" t="s">
        <v>168</v>
      </c>
      <c r="CF142" s="1119" t="s">
        <v>168</v>
      </c>
      <c r="CG142" s="1119" t="s">
        <v>168</v>
      </c>
      <c r="CH142" s="1120" t="s">
        <v>168</v>
      </c>
      <c r="CI142" s="1075" t="s">
        <v>1942</v>
      </c>
      <c r="CJ142" s="1076" t="s">
        <v>1942</v>
      </c>
      <c r="CK142" s="1076" t="s">
        <v>1942</v>
      </c>
      <c r="CL142" s="1076" t="s">
        <v>1942</v>
      </c>
      <c r="CM142" s="1117" t="s">
        <v>1942</v>
      </c>
      <c r="CN142" s="1075" t="s">
        <v>1942</v>
      </c>
      <c r="CO142" s="1076" t="s">
        <v>1942</v>
      </c>
      <c r="CP142" s="1076" t="s">
        <v>1942</v>
      </c>
      <c r="CQ142" s="1076" t="s">
        <v>1942</v>
      </c>
      <c r="CR142" s="1117" t="s">
        <v>1942</v>
      </c>
      <c r="CS142" s="1075" t="s">
        <v>1942</v>
      </c>
      <c r="CT142" s="1076" t="s">
        <v>1942</v>
      </c>
      <c r="CU142" s="1076" t="s">
        <v>1942</v>
      </c>
      <c r="CV142" s="1076" t="s">
        <v>1942</v>
      </c>
      <c r="CW142" s="1117" t="s">
        <v>1942</v>
      </c>
      <c r="CX142" s="1075" t="s">
        <v>1942</v>
      </c>
      <c r="CY142" s="1076" t="s">
        <v>1942</v>
      </c>
      <c r="CZ142" s="1076" t="s">
        <v>1942</v>
      </c>
      <c r="DA142" s="1076" t="s">
        <v>1942</v>
      </c>
      <c r="DB142" s="1117" t="s">
        <v>1942</v>
      </c>
      <c r="DC142" s="1076" t="s">
        <v>1942</v>
      </c>
      <c r="DD142" s="1076" t="s">
        <v>1942</v>
      </c>
      <c r="DE142" s="1076" t="s">
        <v>1942</v>
      </c>
      <c r="DF142" s="1076" t="s">
        <v>1942</v>
      </c>
      <c r="DG142" s="1117" t="s">
        <v>1942</v>
      </c>
      <c r="DH142" s="1075" t="s">
        <v>1942</v>
      </c>
      <c r="DI142" s="1076" t="s">
        <v>1942</v>
      </c>
      <c r="DJ142" s="1076" t="s">
        <v>1942</v>
      </c>
      <c r="DK142" s="1076" t="s">
        <v>1942</v>
      </c>
      <c r="DL142" s="1117" t="s">
        <v>1942</v>
      </c>
      <c r="DM142" s="1121" t="s">
        <v>1942</v>
      </c>
      <c r="DN142" s="1122" t="s">
        <v>1942</v>
      </c>
      <c r="DO142" s="1122" t="s">
        <v>1942</v>
      </c>
      <c r="DP142" s="1123" t="s">
        <v>1942</v>
      </c>
      <c r="DQ142" s="1122" t="s">
        <v>1942</v>
      </c>
      <c r="DR142" s="1122" t="s">
        <v>1942</v>
      </c>
      <c r="DS142" s="1122" t="s">
        <v>1942</v>
      </c>
      <c r="DT142" s="1123" t="s">
        <v>1942</v>
      </c>
      <c r="DU142" s="1119" t="s">
        <v>1942</v>
      </c>
      <c r="DV142" s="1124">
        <v>1</v>
      </c>
      <c r="DW142" s="1125" t="s">
        <v>1942</v>
      </c>
    </row>
    <row r="143" spans="1:127" s="397" customFormat="1" ht="15.75" hidden="1" customHeight="1">
      <c r="A143" s="1097" t="s">
        <v>1032</v>
      </c>
      <c r="B143" s="1057">
        <v>134</v>
      </c>
      <c r="C143" s="1018"/>
      <c r="D143" s="1018"/>
      <c r="E143" s="1018"/>
      <c r="F143" s="1018"/>
      <c r="G143" s="1018"/>
      <c r="H143" s="1018"/>
      <c r="I143" s="1018"/>
      <c r="J143" s="1018"/>
      <c r="K143" s="1018"/>
      <c r="L143" s="1018"/>
      <c r="M143" s="1057"/>
      <c r="N143" s="1018"/>
      <c r="O143" s="1018"/>
      <c r="P143" s="1018"/>
      <c r="Q143" s="1018"/>
      <c r="R143" s="1018"/>
      <c r="S143" s="1018"/>
      <c r="T143" s="1019"/>
      <c r="U143" s="1098" t="s">
        <v>2480</v>
      </c>
      <c r="V143" s="1099" t="s">
        <v>2481</v>
      </c>
      <c r="W143" s="1099" t="s">
        <v>1907</v>
      </c>
      <c r="X143" s="1100" t="s">
        <v>2482</v>
      </c>
      <c r="Y143" s="1101" t="s">
        <v>130</v>
      </c>
      <c r="Z143" s="1102" t="s">
        <v>2483</v>
      </c>
      <c r="AA143" s="1103" t="s">
        <v>1942</v>
      </c>
      <c r="AB143" s="1104">
        <v>1</v>
      </c>
      <c r="AC143" s="1104" t="s">
        <v>1942</v>
      </c>
      <c r="AD143" s="1104" t="s">
        <v>1942</v>
      </c>
      <c r="AE143" s="1104" t="s">
        <v>1942</v>
      </c>
      <c r="AF143" s="1104" t="s">
        <v>1942</v>
      </c>
      <c r="AG143" s="1104" t="s">
        <v>1942</v>
      </c>
      <c r="AH143" s="1104" t="s">
        <v>1942</v>
      </c>
      <c r="AI143" s="1105">
        <f t="shared" si="2"/>
        <v>1</v>
      </c>
      <c r="AJ143" s="1106" t="s">
        <v>1026</v>
      </c>
      <c r="AK143" s="1106" t="s">
        <v>1008</v>
      </c>
      <c r="AL143" s="1106" t="s">
        <v>1009</v>
      </c>
      <c r="AM143" s="1107" t="s">
        <v>1926</v>
      </c>
      <c r="AN143" s="1018" t="s">
        <v>2177</v>
      </c>
      <c r="AO143" s="1018" t="s">
        <v>4795</v>
      </c>
      <c r="AP143" s="1313">
        <v>2</v>
      </c>
      <c r="AQ143" s="1076" t="s">
        <v>1020</v>
      </c>
      <c r="AR143" s="1109" t="s">
        <v>130</v>
      </c>
      <c r="AS143" s="1110"/>
      <c r="AT143" s="1100"/>
      <c r="AU143" s="1100"/>
      <c r="AV143" s="1100"/>
      <c r="AW143" s="1111"/>
      <c r="AX143" s="1112"/>
      <c r="AY143" s="1075"/>
      <c r="AZ143" s="1076"/>
      <c r="BA143" s="1076"/>
      <c r="BB143" s="1076"/>
      <c r="BC143" s="1076"/>
      <c r="BD143" s="1076"/>
      <c r="BE143" s="1076"/>
      <c r="BF143" s="1076"/>
      <c r="BG143" s="1126"/>
      <c r="BH143" s="1126"/>
      <c r="BI143" s="1127">
        <v>0</v>
      </c>
      <c r="BJ143" s="1126">
        <v>0</v>
      </c>
      <c r="BK143" s="1126">
        <v>0</v>
      </c>
      <c r="BL143" s="1126">
        <v>0</v>
      </c>
      <c r="BM143" s="1126">
        <v>0</v>
      </c>
      <c r="BN143" s="1075"/>
      <c r="BO143" s="1076"/>
      <c r="BP143" s="1076"/>
      <c r="BQ143" s="1076"/>
      <c r="BR143" s="1076"/>
      <c r="BS143" s="1115"/>
      <c r="BT143" s="1076"/>
      <c r="BU143" s="1076"/>
      <c r="BV143" s="1076"/>
      <c r="BW143" s="1116"/>
      <c r="BX143" s="1115"/>
      <c r="BY143" s="1076"/>
      <c r="BZ143" s="1076"/>
      <c r="CA143" s="1076"/>
      <c r="CB143" s="1116"/>
      <c r="CC143" s="1117"/>
      <c r="CD143" s="1118" t="s">
        <v>168</v>
      </c>
      <c r="CE143" s="1119" t="s">
        <v>168</v>
      </c>
      <c r="CF143" s="1119" t="s">
        <v>168</v>
      </c>
      <c r="CG143" s="1119" t="s">
        <v>168</v>
      </c>
      <c r="CH143" s="1120" t="s">
        <v>168</v>
      </c>
      <c r="CI143" s="1075" t="s">
        <v>1942</v>
      </c>
      <c r="CJ143" s="1076" t="s">
        <v>1942</v>
      </c>
      <c r="CK143" s="1076" t="s">
        <v>1942</v>
      </c>
      <c r="CL143" s="1076" t="s">
        <v>1942</v>
      </c>
      <c r="CM143" s="1117" t="s">
        <v>1942</v>
      </c>
      <c r="CN143" s="1075">
        <v>9.5</v>
      </c>
      <c r="CO143" s="1076">
        <v>9.5</v>
      </c>
      <c r="CP143" s="1076">
        <v>9.5</v>
      </c>
      <c r="CQ143" s="1076">
        <v>9.5</v>
      </c>
      <c r="CR143" s="1117">
        <v>9.5</v>
      </c>
      <c r="CS143" s="1075">
        <v>2</v>
      </c>
      <c r="CT143" s="1076">
        <v>2</v>
      </c>
      <c r="CU143" s="1210">
        <v>1.5</v>
      </c>
      <c r="CV143" s="1210">
        <v>1.5</v>
      </c>
      <c r="CW143" s="1211">
        <v>1.5</v>
      </c>
      <c r="CX143" s="1075" t="s">
        <v>1942</v>
      </c>
      <c r="CY143" s="1076" t="s">
        <v>1942</v>
      </c>
      <c r="CZ143" s="1076" t="s">
        <v>1942</v>
      </c>
      <c r="DA143" s="1076" t="s">
        <v>1942</v>
      </c>
      <c r="DB143" s="1117" t="s">
        <v>1942</v>
      </c>
      <c r="DC143" s="1076" t="s">
        <v>1942</v>
      </c>
      <c r="DD143" s="1076" t="s">
        <v>1942</v>
      </c>
      <c r="DE143" s="1076" t="s">
        <v>1942</v>
      </c>
      <c r="DF143" s="1076" t="s">
        <v>1942</v>
      </c>
      <c r="DG143" s="1117" t="s">
        <v>1942</v>
      </c>
      <c r="DH143" s="1075" t="s">
        <v>1942</v>
      </c>
      <c r="DI143" s="1076" t="s">
        <v>1942</v>
      </c>
      <c r="DJ143" s="1076" t="s">
        <v>1942</v>
      </c>
      <c r="DK143" s="1076" t="s">
        <v>1942</v>
      </c>
      <c r="DL143" s="1117" t="s">
        <v>1942</v>
      </c>
      <c r="DM143" s="1121">
        <v>-1.3939999999999999</v>
      </c>
      <c r="DN143" s="1122" t="s">
        <v>1942</v>
      </c>
      <c r="DO143" s="1122" t="s">
        <v>1942</v>
      </c>
      <c r="DP143" s="1123" t="s">
        <v>1942</v>
      </c>
      <c r="DQ143" s="1122">
        <v>0</v>
      </c>
      <c r="DR143" s="1122" t="s">
        <v>1942</v>
      </c>
      <c r="DS143" s="1122" t="s">
        <v>1942</v>
      </c>
      <c r="DT143" s="1123" t="s">
        <v>1942</v>
      </c>
      <c r="DU143" s="1119" t="s">
        <v>1942</v>
      </c>
      <c r="DV143" s="1124">
        <v>1</v>
      </c>
      <c r="DW143" s="1125" t="s">
        <v>1942</v>
      </c>
    </row>
    <row r="144" spans="1:127" s="397" customFormat="1" ht="15.75" hidden="1" customHeight="1">
      <c r="A144" s="1097" t="s">
        <v>1032</v>
      </c>
      <c r="B144" s="1057">
        <v>135</v>
      </c>
      <c r="C144" s="1018"/>
      <c r="D144" s="1018"/>
      <c r="E144" s="1018"/>
      <c r="F144" s="1018"/>
      <c r="G144" s="1018"/>
      <c r="H144" s="1018"/>
      <c r="I144" s="1018"/>
      <c r="J144" s="1018"/>
      <c r="K144" s="1018"/>
      <c r="L144" s="1018"/>
      <c r="M144" s="1057"/>
      <c r="N144" s="1018"/>
      <c r="O144" s="1018"/>
      <c r="P144" s="1018"/>
      <c r="Q144" s="1018"/>
      <c r="R144" s="1018"/>
      <c r="S144" s="1018"/>
      <c r="T144" s="1019"/>
      <c r="U144" s="1098" t="s">
        <v>2485</v>
      </c>
      <c r="V144" s="1099" t="s">
        <v>2486</v>
      </c>
      <c r="W144" s="1099" t="s">
        <v>1889</v>
      </c>
      <c r="X144" s="1100" t="s">
        <v>2487</v>
      </c>
      <c r="Y144" s="1101" t="s">
        <v>137</v>
      </c>
      <c r="Z144" s="1102" t="s">
        <v>1893</v>
      </c>
      <c r="AA144" s="1103" t="s">
        <v>1942</v>
      </c>
      <c r="AB144" s="1104">
        <v>1</v>
      </c>
      <c r="AC144" s="1104" t="s">
        <v>1942</v>
      </c>
      <c r="AD144" s="1104" t="s">
        <v>1942</v>
      </c>
      <c r="AE144" s="1104" t="s">
        <v>1942</v>
      </c>
      <c r="AF144" s="1104" t="s">
        <v>1942</v>
      </c>
      <c r="AG144" s="1104" t="s">
        <v>1942</v>
      </c>
      <c r="AH144" s="1104" t="s">
        <v>1942</v>
      </c>
      <c r="AI144" s="1105">
        <f t="shared" si="2"/>
        <v>1</v>
      </c>
      <c r="AJ144" s="1106" t="s">
        <v>1030</v>
      </c>
      <c r="AK144" s="1106" t="s">
        <v>1008</v>
      </c>
      <c r="AL144" s="1106" t="s">
        <v>1009</v>
      </c>
      <c r="AM144" s="1107" t="s">
        <v>1892</v>
      </c>
      <c r="AN144" s="1018" t="s">
        <v>4789</v>
      </c>
      <c r="AO144" s="1018" t="s">
        <v>4790</v>
      </c>
      <c r="AP144" s="1313">
        <v>0</v>
      </c>
      <c r="AQ144" s="1076" t="s">
        <v>1020</v>
      </c>
      <c r="AR144" s="1109" t="s">
        <v>137</v>
      </c>
      <c r="AS144" s="1110"/>
      <c r="AT144" s="1100"/>
      <c r="AU144" s="1100"/>
      <c r="AV144" s="1100"/>
      <c r="AW144" s="1111"/>
      <c r="AX144" s="1112"/>
      <c r="AY144" s="1075"/>
      <c r="AZ144" s="1076"/>
      <c r="BA144" s="1076"/>
      <c r="BB144" s="1076"/>
      <c r="BC144" s="1076"/>
      <c r="BD144" s="1076"/>
      <c r="BE144" s="1076"/>
      <c r="BF144" s="1076"/>
      <c r="BG144" s="1150"/>
      <c r="BH144" s="1150"/>
      <c r="BI144" s="1149">
        <v>4.5138888888888893E-3</v>
      </c>
      <c r="BJ144" s="1150">
        <v>4.2592592592592595E-3</v>
      </c>
      <c r="BK144" s="1150">
        <v>3.9930555555555561E-3</v>
      </c>
      <c r="BL144" s="1150">
        <v>3.7384259259259263E-3</v>
      </c>
      <c r="BM144" s="1150">
        <v>3.472222222222222E-3</v>
      </c>
      <c r="BN144" s="1075"/>
      <c r="BO144" s="1076"/>
      <c r="BP144" s="1076"/>
      <c r="BQ144" s="1076"/>
      <c r="BR144" s="1076"/>
      <c r="BS144" s="1115"/>
      <c r="BT144" s="1076"/>
      <c r="BU144" s="1076"/>
      <c r="BV144" s="1076"/>
      <c r="BW144" s="1116"/>
      <c r="BX144" s="1115"/>
      <c r="BY144" s="1076"/>
      <c r="BZ144" s="1076"/>
      <c r="CA144" s="1076"/>
      <c r="CB144" s="1116"/>
      <c r="CC144" s="1117"/>
      <c r="CD144" s="1118" t="s">
        <v>168</v>
      </c>
      <c r="CE144" s="1119" t="s">
        <v>168</v>
      </c>
      <c r="CF144" s="1119" t="s">
        <v>168</v>
      </c>
      <c r="CG144" s="1119" t="s">
        <v>168</v>
      </c>
      <c r="CH144" s="1120" t="s">
        <v>168</v>
      </c>
      <c r="CI144" s="1370">
        <v>1.3391203703703704E-2</v>
      </c>
      <c r="CJ144" s="1371">
        <v>1.3391203703703704E-2</v>
      </c>
      <c r="CK144" s="1371">
        <v>1.3391203703703704E-2</v>
      </c>
      <c r="CL144" s="1371">
        <v>1.3391203703703704E-2</v>
      </c>
      <c r="CM144" s="1372">
        <v>1.3391203703703704E-2</v>
      </c>
      <c r="CN144" s="1370">
        <v>1.1793981481481482E-2</v>
      </c>
      <c r="CO144" s="1371">
        <v>1.1793981481481482E-2</v>
      </c>
      <c r="CP144" s="1371">
        <v>1.1793981481481482E-2</v>
      </c>
      <c r="CQ144" s="1371">
        <v>1.1793981481481482E-2</v>
      </c>
      <c r="CR144" s="1372">
        <v>1.1793981481481482E-2</v>
      </c>
      <c r="CS144" s="1149" t="s">
        <v>1942</v>
      </c>
      <c r="CT144" s="1150" t="s">
        <v>1942</v>
      </c>
      <c r="CU144" s="1150" t="s">
        <v>1942</v>
      </c>
      <c r="CV144" s="1150" t="s">
        <v>1942</v>
      </c>
      <c r="CW144" s="1153" t="s">
        <v>1942</v>
      </c>
      <c r="CX144" s="1149" t="s">
        <v>1942</v>
      </c>
      <c r="CY144" s="1150" t="s">
        <v>1942</v>
      </c>
      <c r="CZ144" s="1150" t="s">
        <v>1942</v>
      </c>
      <c r="DA144" s="1150" t="s">
        <v>1942</v>
      </c>
      <c r="DB144" s="1153" t="s">
        <v>1942</v>
      </c>
      <c r="DC144" s="1371">
        <v>1.8287037037037037E-3</v>
      </c>
      <c r="DD144" s="1371">
        <v>1.689814814814815E-3</v>
      </c>
      <c r="DE144" s="1371">
        <v>1.5624999999999999E-3</v>
      </c>
      <c r="DF144" s="1371">
        <v>1.4351851851851854E-3</v>
      </c>
      <c r="DG144" s="1153">
        <v>1.25E-3</v>
      </c>
      <c r="DH144" s="1149" t="s">
        <v>4805</v>
      </c>
      <c r="DI144" s="1150" t="s">
        <v>4805</v>
      </c>
      <c r="DJ144" s="1150" t="s">
        <v>4805</v>
      </c>
      <c r="DK144" s="1150" t="s">
        <v>4805</v>
      </c>
      <c r="DL144" s="1153" t="s">
        <v>4805</v>
      </c>
      <c r="DM144" s="1121">
        <v>-1.028</v>
      </c>
      <c r="DN144" s="1122" t="s">
        <v>1942</v>
      </c>
      <c r="DO144" s="1122" t="s">
        <v>1942</v>
      </c>
      <c r="DP144" s="1123">
        <v>-2.9660000000000002</v>
      </c>
      <c r="DQ144" s="1122">
        <v>1.028</v>
      </c>
      <c r="DR144" s="1122" t="s">
        <v>1942</v>
      </c>
      <c r="DS144" s="1122" t="s">
        <v>1942</v>
      </c>
      <c r="DT144" s="1123">
        <v>2.9660000000000002</v>
      </c>
      <c r="DU144" s="1119" t="s">
        <v>1942</v>
      </c>
      <c r="DV144" s="1124">
        <v>1</v>
      </c>
      <c r="DW144" s="1125" t="s">
        <v>1942</v>
      </c>
    </row>
    <row r="145" spans="1:127" s="397" customFormat="1" ht="15.75" hidden="1" customHeight="1">
      <c r="A145" s="1054" t="s">
        <v>1032</v>
      </c>
      <c r="B145" s="1055">
        <v>136</v>
      </c>
      <c r="C145" s="1143"/>
      <c r="D145" s="1143"/>
      <c r="E145" s="1143"/>
      <c r="F145" s="1143"/>
      <c r="G145" s="1143"/>
      <c r="H145" s="1143"/>
      <c r="I145" s="1143"/>
      <c r="J145" s="1143"/>
      <c r="K145" s="1143"/>
      <c r="L145" s="1143"/>
      <c r="M145" s="1055"/>
      <c r="N145" s="1143"/>
      <c r="O145" s="1143"/>
      <c r="P145" s="1143"/>
      <c r="Q145" s="1143"/>
      <c r="R145" s="1143"/>
      <c r="S145" s="1143"/>
      <c r="T145" s="1058"/>
      <c r="U145" s="1059" t="s">
        <v>2489</v>
      </c>
      <c r="V145" s="1060" t="s">
        <v>2486</v>
      </c>
      <c r="W145" s="1060" t="s">
        <v>1889</v>
      </c>
      <c r="X145" s="1061" t="s">
        <v>2490</v>
      </c>
      <c r="Y145" s="1062" t="s">
        <v>2491</v>
      </c>
      <c r="Z145" s="1063" t="s">
        <v>2492</v>
      </c>
      <c r="AA145" s="1064" t="s">
        <v>1942</v>
      </c>
      <c r="AB145" s="1065">
        <v>1</v>
      </c>
      <c r="AC145" s="1065" t="s">
        <v>1942</v>
      </c>
      <c r="AD145" s="1065" t="s">
        <v>1942</v>
      </c>
      <c r="AE145" s="1065" t="s">
        <v>1942</v>
      </c>
      <c r="AF145" s="1065" t="s">
        <v>1942</v>
      </c>
      <c r="AG145" s="1065" t="s">
        <v>1942</v>
      </c>
      <c r="AH145" s="1065" t="s">
        <v>1942</v>
      </c>
      <c r="AI145" s="1066">
        <f t="shared" si="2"/>
        <v>1</v>
      </c>
      <c r="AJ145" s="1067" t="s">
        <v>1030</v>
      </c>
      <c r="AK145" s="1067" t="s">
        <v>1008</v>
      </c>
      <c r="AL145" s="1067" t="s">
        <v>1009</v>
      </c>
      <c r="AM145" s="1068" t="s">
        <v>669</v>
      </c>
      <c r="AN145" s="1062" t="s">
        <v>278</v>
      </c>
      <c r="AO145" s="1062" t="s">
        <v>4791</v>
      </c>
      <c r="AP145" s="1080">
        <v>1</v>
      </c>
      <c r="AQ145" s="833" t="s">
        <v>1010</v>
      </c>
      <c r="AR145" s="1071" t="s">
        <v>669</v>
      </c>
      <c r="AS145" s="1072"/>
      <c r="AT145" s="1061"/>
      <c r="AU145" s="1061"/>
      <c r="AV145" s="1061"/>
      <c r="AW145" s="1073"/>
      <c r="AX145" s="1074"/>
      <c r="AY145" s="1079"/>
      <c r="AZ145" s="1080"/>
      <c r="BA145" s="1080"/>
      <c r="BB145" s="1080"/>
      <c r="BC145" s="1080"/>
      <c r="BD145" s="1080"/>
      <c r="BE145" s="1080"/>
      <c r="BF145" s="1080"/>
      <c r="BG145" s="1077"/>
      <c r="BH145" s="1077"/>
      <c r="BI145" s="1218">
        <v>1</v>
      </c>
      <c r="BJ145" s="1352">
        <v>3</v>
      </c>
      <c r="BK145" s="1352">
        <v>6</v>
      </c>
      <c r="BL145" s="1352">
        <v>9</v>
      </c>
      <c r="BM145" s="1352">
        <v>12</v>
      </c>
      <c r="BN145" s="1079"/>
      <c r="BO145" s="1080"/>
      <c r="BP145" s="1080"/>
      <c r="BQ145" s="1080"/>
      <c r="BR145" s="1080"/>
      <c r="BS145" s="1081"/>
      <c r="BT145" s="1080"/>
      <c r="BU145" s="1080"/>
      <c r="BV145" s="1080"/>
      <c r="BW145" s="1082"/>
      <c r="BX145" s="1081"/>
      <c r="BY145" s="1080"/>
      <c r="BZ145" s="1080"/>
      <c r="CA145" s="1080"/>
      <c r="CB145" s="1082"/>
      <c r="CC145" s="1083"/>
      <c r="CD145" s="1084" t="s">
        <v>168</v>
      </c>
      <c r="CE145" s="1085" t="s">
        <v>168</v>
      </c>
      <c r="CF145" s="1085" t="s">
        <v>168</v>
      </c>
      <c r="CG145" s="1085" t="s">
        <v>168</v>
      </c>
      <c r="CH145" s="1086" t="s">
        <v>168</v>
      </c>
      <c r="CI145" s="1212" t="s">
        <v>1942</v>
      </c>
      <c r="CJ145" s="1213" t="s">
        <v>1942</v>
      </c>
      <c r="CK145" s="1213" t="s">
        <v>1942</v>
      </c>
      <c r="CL145" s="1213" t="s">
        <v>1942</v>
      </c>
      <c r="CM145" s="1215" t="s">
        <v>1942</v>
      </c>
      <c r="CN145" s="1212">
        <v>-38</v>
      </c>
      <c r="CO145" s="1213">
        <v>-38</v>
      </c>
      <c r="CP145" s="1213">
        <v>-38</v>
      </c>
      <c r="CQ145" s="1213">
        <v>-38</v>
      </c>
      <c r="CR145" s="1213">
        <v>-38</v>
      </c>
      <c r="CS145" s="1079" t="s">
        <v>1942</v>
      </c>
      <c r="CT145" s="1080" t="s">
        <v>1942</v>
      </c>
      <c r="CU145" s="1080" t="s">
        <v>1942</v>
      </c>
      <c r="CV145" s="1080" t="s">
        <v>1942</v>
      </c>
      <c r="CW145" s="1083" t="s">
        <v>1942</v>
      </c>
      <c r="CX145" s="1079" t="s">
        <v>1942</v>
      </c>
      <c r="CY145" s="1080" t="s">
        <v>1942</v>
      </c>
      <c r="CZ145" s="1080" t="s">
        <v>1942</v>
      </c>
      <c r="DA145" s="1080" t="s">
        <v>1942</v>
      </c>
      <c r="DB145" s="1083" t="s">
        <v>1942</v>
      </c>
      <c r="DC145" s="1421" t="s">
        <v>4805</v>
      </c>
      <c r="DD145" s="1421" t="s">
        <v>4805</v>
      </c>
      <c r="DE145" s="1421" t="s">
        <v>4805</v>
      </c>
      <c r="DF145" s="1421" t="s">
        <v>4805</v>
      </c>
      <c r="DG145" s="1421" t="s">
        <v>4805</v>
      </c>
      <c r="DH145" s="1212"/>
      <c r="DI145" s="1213" t="s">
        <v>1942</v>
      </c>
      <c r="DJ145" s="1213" t="s">
        <v>1942</v>
      </c>
      <c r="DK145" s="1213" t="s">
        <v>1942</v>
      </c>
      <c r="DL145" s="1215" t="s">
        <v>1942</v>
      </c>
      <c r="DM145" s="1091">
        <v>-0.17499999999999999</v>
      </c>
      <c r="DN145" s="1222">
        <v>-0.17499999999999999</v>
      </c>
      <c r="DO145" s="1092" t="s">
        <v>1942</v>
      </c>
      <c r="DP145" s="1219" t="s">
        <v>1942</v>
      </c>
      <c r="DQ145" s="1092">
        <v>0.15</v>
      </c>
      <c r="DR145" s="1092" t="s">
        <v>1942</v>
      </c>
      <c r="DS145" s="1092" t="s">
        <v>1942</v>
      </c>
      <c r="DT145" s="1219" t="s">
        <v>1942</v>
      </c>
      <c r="DU145" s="1085" t="s">
        <v>1942</v>
      </c>
      <c r="DV145" s="1094">
        <v>1</v>
      </c>
      <c r="DW145" s="1095" t="s">
        <v>1942</v>
      </c>
    </row>
    <row r="146" spans="1:127" s="397" customFormat="1" ht="15.75" hidden="1" customHeight="1">
      <c r="A146" s="1054" t="s">
        <v>1032</v>
      </c>
      <c r="B146" s="1055">
        <v>137</v>
      </c>
      <c r="C146" s="1143"/>
      <c r="D146" s="1143"/>
      <c r="E146" s="1143"/>
      <c r="F146" s="1143"/>
      <c r="G146" s="1143"/>
      <c r="H146" s="1143"/>
      <c r="I146" s="1143"/>
      <c r="J146" s="1143"/>
      <c r="K146" s="1143"/>
      <c r="L146" s="1143"/>
      <c r="M146" s="1055"/>
      <c r="N146" s="1143"/>
      <c r="O146" s="1143"/>
      <c r="P146" s="1143"/>
      <c r="Q146" s="1143"/>
      <c r="R146" s="1143"/>
      <c r="S146" s="1143"/>
      <c r="T146" s="1058"/>
      <c r="U146" s="1059" t="s">
        <v>2494</v>
      </c>
      <c r="V146" s="1060" t="s">
        <v>2486</v>
      </c>
      <c r="W146" s="1060" t="s">
        <v>1889</v>
      </c>
      <c r="X146" s="1061" t="s">
        <v>2495</v>
      </c>
      <c r="Y146" s="1062" t="s">
        <v>2496</v>
      </c>
      <c r="Z146" s="1063" t="s">
        <v>2492</v>
      </c>
      <c r="AA146" s="1064" t="s">
        <v>1942</v>
      </c>
      <c r="AB146" s="1065">
        <v>1</v>
      </c>
      <c r="AC146" s="1065" t="s">
        <v>1942</v>
      </c>
      <c r="AD146" s="1065" t="s">
        <v>1942</v>
      </c>
      <c r="AE146" s="1065" t="s">
        <v>1942</v>
      </c>
      <c r="AF146" s="1065" t="s">
        <v>1942</v>
      </c>
      <c r="AG146" s="1065" t="s">
        <v>1942</v>
      </c>
      <c r="AH146" s="1065" t="s">
        <v>1942</v>
      </c>
      <c r="AI146" s="1066">
        <f t="shared" si="2"/>
        <v>1</v>
      </c>
      <c r="AJ146" s="1067" t="s">
        <v>1030</v>
      </c>
      <c r="AK146" s="1067" t="s">
        <v>1008</v>
      </c>
      <c r="AL146" s="1067" t="s">
        <v>1009</v>
      </c>
      <c r="AM146" s="1068" t="s">
        <v>669</v>
      </c>
      <c r="AN146" s="1062" t="s">
        <v>278</v>
      </c>
      <c r="AO146" s="1062" t="s">
        <v>4791</v>
      </c>
      <c r="AP146" s="1080">
        <v>1</v>
      </c>
      <c r="AQ146" s="833" t="s">
        <v>1010</v>
      </c>
      <c r="AR146" s="1071" t="s">
        <v>669</v>
      </c>
      <c r="AS146" s="1072"/>
      <c r="AT146" s="1061"/>
      <c r="AU146" s="1061"/>
      <c r="AV146" s="1061"/>
      <c r="AW146" s="1073"/>
      <c r="AX146" s="1074"/>
      <c r="AY146" s="1079"/>
      <c r="AZ146" s="1080"/>
      <c r="BA146" s="1080"/>
      <c r="BB146" s="1080"/>
      <c r="BC146" s="1080"/>
      <c r="BD146" s="1080"/>
      <c r="BE146" s="1080"/>
      <c r="BF146" s="1080"/>
      <c r="BG146" s="1077"/>
      <c r="BH146" s="1077"/>
      <c r="BI146" s="1218">
        <v>1.3</v>
      </c>
      <c r="BJ146" s="1352">
        <v>3.7</v>
      </c>
      <c r="BK146" s="1352">
        <v>7.2</v>
      </c>
      <c r="BL146" s="1352">
        <v>10.5</v>
      </c>
      <c r="BM146" s="1352">
        <v>14.1</v>
      </c>
      <c r="BN146" s="1079"/>
      <c r="BO146" s="1080"/>
      <c r="BP146" s="1080"/>
      <c r="BQ146" s="1080"/>
      <c r="BR146" s="1080"/>
      <c r="BS146" s="1081"/>
      <c r="BT146" s="1080"/>
      <c r="BU146" s="1080"/>
      <c r="BV146" s="1080"/>
      <c r="BW146" s="1082"/>
      <c r="BX146" s="1081"/>
      <c r="BY146" s="1080"/>
      <c r="BZ146" s="1080"/>
      <c r="CA146" s="1080"/>
      <c r="CB146" s="1082"/>
      <c r="CC146" s="1083"/>
      <c r="CD146" s="1084" t="s">
        <v>168</v>
      </c>
      <c r="CE146" s="1085" t="s">
        <v>168</v>
      </c>
      <c r="CF146" s="1085" t="s">
        <v>168</v>
      </c>
      <c r="CG146" s="1085" t="s">
        <v>168</v>
      </c>
      <c r="CH146" s="1086" t="s">
        <v>168</v>
      </c>
      <c r="CI146" s="1212" t="s">
        <v>1942</v>
      </c>
      <c r="CJ146" s="1213" t="s">
        <v>1942</v>
      </c>
      <c r="CK146" s="1213" t="s">
        <v>1942</v>
      </c>
      <c r="CL146" s="1213" t="s">
        <v>1942</v>
      </c>
      <c r="CM146" s="1215" t="s">
        <v>1942</v>
      </c>
      <c r="CN146" s="1212">
        <v>-77.3</v>
      </c>
      <c r="CO146" s="1213">
        <v>-77.3</v>
      </c>
      <c r="CP146" s="1213">
        <v>-77.3</v>
      </c>
      <c r="CQ146" s="1213">
        <v>-77.3</v>
      </c>
      <c r="CR146" s="1213">
        <v>-77.3</v>
      </c>
      <c r="CS146" s="1079" t="s">
        <v>1942</v>
      </c>
      <c r="CT146" s="1080" t="s">
        <v>1942</v>
      </c>
      <c r="CU146" s="1080" t="s">
        <v>1942</v>
      </c>
      <c r="CV146" s="1080" t="s">
        <v>1942</v>
      </c>
      <c r="CW146" s="1083" t="s">
        <v>1942</v>
      </c>
      <c r="CX146" s="1079" t="s">
        <v>1942</v>
      </c>
      <c r="CY146" s="1080" t="s">
        <v>1942</v>
      </c>
      <c r="CZ146" s="1080" t="s">
        <v>1942</v>
      </c>
      <c r="DA146" s="1080" t="s">
        <v>1942</v>
      </c>
      <c r="DB146" s="1083" t="s">
        <v>1942</v>
      </c>
      <c r="DC146" s="1421" t="s">
        <v>4805</v>
      </c>
      <c r="DD146" s="1421" t="s">
        <v>4805</v>
      </c>
      <c r="DE146" s="1421" t="s">
        <v>4805</v>
      </c>
      <c r="DF146" s="1421" t="s">
        <v>4805</v>
      </c>
      <c r="DG146" s="1421" t="s">
        <v>4805</v>
      </c>
      <c r="DH146" s="1212" t="s">
        <v>1942</v>
      </c>
      <c r="DI146" s="1213" t="s">
        <v>1942</v>
      </c>
      <c r="DJ146" s="1213" t="s">
        <v>1942</v>
      </c>
      <c r="DK146" s="1213" t="s">
        <v>1942</v>
      </c>
      <c r="DL146" s="1215" t="s">
        <v>1942</v>
      </c>
      <c r="DM146" s="1091">
        <v>-0.18</v>
      </c>
      <c r="DN146" s="1222">
        <v>-0.18</v>
      </c>
      <c r="DO146" s="1092" t="s">
        <v>1942</v>
      </c>
      <c r="DP146" s="1219" t="s">
        <v>1942</v>
      </c>
      <c r="DQ146" s="1092">
        <v>0.154</v>
      </c>
      <c r="DR146" s="1092" t="s">
        <v>1942</v>
      </c>
      <c r="DS146" s="1092" t="s">
        <v>1942</v>
      </c>
      <c r="DT146" s="1219" t="s">
        <v>1942</v>
      </c>
      <c r="DU146" s="1085" t="s">
        <v>1942</v>
      </c>
      <c r="DV146" s="1094">
        <v>1</v>
      </c>
      <c r="DW146" s="1095" t="s">
        <v>1942</v>
      </c>
    </row>
    <row r="147" spans="1:127" s="397" customFormat="1" ht="15.75" hidden="1" customHeight="1">
      <c r="A147" s="1054" t="s">
        <v>1032</v>
      </c>
      <c r="B147" s="1055">
        <v>138</v>
      </c>
      <c r="C147" s="1143"/>
      <c r="D147" s="1143"/>
      <c r="E147" s="1143"/>
      <c r="F147" s="1143"/>
      <c r="G147" s="1143"/>
      <c r="H147" s="1143"/>
      <c r="I147" s="1143"/>
      <c r="J147" s="1143"/>
      <c r="K147" s="1143"/>
      <c r="L147" s="1143"/>
      <c r="M147" s="1055"/>
      <c r="N147" s="1143"/>
      <c r="O147" s="1143"/>
      <c r="P147" s="1143"/>
      <c r="Q147" s="1143"/>
      <c r="R147" s="1143"/>
      <c r="S147" s="1143"/>
      <c r="T147" s="1058"/>
      <c r="U147" s="1059" t="s">
        <v>2497</v>
      </c>
      <c r="V147" s="1060" t="s">
        <v>2486</v>
      </c>
      <c r="W147" s="1060" t="s">
        <v>1907</v>
      </c>
      <c r="X147" s="1061" t="s">
        <v>2498</v>
      </c>
      <c r="Y147" s="1062" t="s">
        <v>1902</v>
      </c>
      <c r="Z147" s="1063" t="s">
        <v>2499</v>
      </c>
      <c r="AA147" s="1064" t="s">
        <v>1942</v>
      </c>
      <c r="AB147" s="1065">
        <v>1</v>
      </c>
      <c r="AC147" s="1065" t="s">
        <v>1942</v>
      </c>
      <c r="AD147" s="1065" t="s">
        <v>1942</v>
      </c>
      <c r="AE147" s="1065" t="s">
        <v>1942</v>
      </c>
      <c r="AF147" s="1065" t="s">
        <v>1942</v>
      </c>
      <c r="AG147" s="1065" t="s">
        <v>1942</v>
      </c>
      <c r="AH147" s="1065" t="s">
        <v>1942</v>
      </c>
      <c r="AI147" s="1066">
        <f t="shared" si="2"/>
        <v>1</v>
      </c>
      <c r="AJ147" s="1067" t="s">
        <v>1030</v>
      </c>
      <c r="AK147" s="1067" t="s">
        <v>1008</v>
      </c>
      <c r="AL147" s="1440" t="s">
        <v>1019</v>
      </c>
      <c r="AM147" s="1068" t="s">
        <v>2054</v>
      </c>
      <c r="AN147" s="1062" t="s">
        <v>2118</v>
      </c>
      <c r="AO147" s="1062" t="s">
        <v>4791</v>
      </c>
      <c r="AP147" s="1080">
        <v>1</v>
      </c>
      <c r="AQ147" s="833" t="s">
        <v>1010</v>
      </c>
      <c r="AR147" s="1071" t="s">
        <v>1902</v>
      </c>
      <c r="AS147" s="1072"/>
      <c r="AT147" s="1061"/>
      <c r="AU147" s="1061"/>
      <c r="AV147" s="1061"/>
      <c r="AW147" s="1073"/>
      <c r="AX147" s="1074"/>
      <c r="AY147" s="1079"/>
      <c r="AZ147" s="1080"/>
      <c r="BA147" s="1080"/>
      <c r="BB147" s="1080"/>
      <c r="BC147" s="1080"/>
      <c r="BD147" s="1080"/>
      <c r="BE147" s="1080"/>
      <c r="BF147" s="1080"/>
      <c r="BG147" s="1077"/>
      <c r="BH147" s="1077"/>
      <c r="BI147" s="1078">
        <v>0.8</v>
      </c>
      <c r="BJ147" s="1077">
        <v>1.8</v>
      </c>
      <c r="BK147" s="1077">
        <v>2.9</v>
      </c>
      <c r="BL147" s="1077">
        <v>4.0999999999999996</v>
      </c>
      <c r="BM147" s="1077">
        <v>5.3</v>
      </c>
      <c r="BN147" s="1079"/>
      <c r="BO147" s="1080"/>
      <c r="BP147" s="1080"/>
      <c r="BQ147" s="1080"/>
      <c r="BR147" s="1080"/>
      <c r="BS147" s="1081"/>
      <c r="BT147" s="1080"/>
      <c r="BU147" s="1080"/>
      <c r="BV147" s="1080"/>
      <c r="BW147" s="1082"/>
      <c r="BX147" s="1081"/>
      <c r="BY147" s="1080"/>
      <c r="BZ147" s="1080"/>
      <c r="CA147" s="1080"/>
      <c r="CB147" s="1082"/>
      <c r="CC147" s="1083"/>
      <c r="CD147" s="1084" t="s">
        <v>168</v>
      </c>
      <c r="CE147" s="1085" t="s">
        <v>168</v>
      </c>
      <c r="CF147" s="1085" t="s">
        <v>168</v>
      </c>
      <c r="CG147" s="1085" t="s">
        <v>168</v>
      </c>
      <c r="CH147" s="1086" t="s">
        <v>168</v>
      </c>
      <c r="CI147" s="1089" t="s">
        <v>1942</v>
      </c>
      <c r="CJ147" s="1087" t="s">
        <v>1942</v>
      </c>
      <c r="CK147" s="1087" t="s">
        <v>1942</v>
      </c>
      <c r="CL147" s="1087" t="s">
        <v>1942</v>
      </c>
      <c r="CM147" s="1088" t="s">
        <v>1942</v>
      </c>
      <c r="CN147" s="1089" t="s">
        <v>1942</v>
      </c>
      <c r="CO147" s="1087" t="s">
        <v>1942</v>
      </c>
      <c r="CP147" s="1087" t="s">
        <v>1942</v>
      </c>
      <c r="CQ147" s="1087" t="s">
        <v>1942</v>
      </c>
      <c r="CR147" s="1088" t="s">
        <v>1942</v>
      </c>
      <c r="CS147" s="1079" t="s">
        <v>1942</v>
      </c>
      <c r="CT147" s="1080" t="s">
        <v>1942</v>
      </c>
      <c r="CU147" s="1080" t="s">
        <v>1942</v>
      </c>
      <c r="CV147" s="1080" t="s">
        <v>1942</v>
      </c>
      <c r="CW147" s="1083" t="s">
        <v>1942</v>
      </c>
      <c r="CX147" s="1079" t="s">
        <v>1942</v>
      </c>
      <c r="CY147" s="1080" t="s">
        <v>1942</v>
      </c>
      <c r="CZ147" s="1080" t="s">
        <v>1942</v>
      </c>
      <c r="DA147" s="1080" t="s">
        <v>1942</v>
      </c>
      <c r="DB147" s="1083" t="s">
        <v>1942</v>
      </c>
      <c r="DC147" s="1087" t="s">
        <v>1942</v>
      </c>
      <c r="DD147" s="1087" t="s">
        <v>1942</v>
      </c>
      <c r="DE147" s="1087" t="s">
        <v>1942</v>
      </c>
      <c r="DF147" s="1087" t="s">
        <v>1942</v>
      </c>
      <c r="DG147" s="1088" t="s">
        <v>1942</v>
      </c>
      <c r="DH147" s="1089" t="s">
        <v>1942</v>
      </c>
      <c r="DI147" s="1080" t="s">
        <v>1942</v>
      </c>
      <c r="DJ147" s="1080" t="s">
        <v>1942</v>
      </c>
      <c r="DK147" s="1080" t="s">
        <v>1942</v>
      </c>
      <c r="DL147" s="1083" t="s">
        <v>1942</v>
      </c>
      <c r="DM147" s="1091">
        <v>-0.19800000000000001</v>
      </c>
      <c r="DN147" s="1092" t="s">
        <v>1942</v>
      </c>
      <c r="DO147" s="1092" t="s">
        <v>1942</v>
      </c>
      <c r="DP147" s="1093" t="s">
        <v>1942</v>
      </c>
      <c r="DQ147" s="1092">
        <v>0.17499999999999999</v>
      </c>
      <c r="DR147" s="1092" t="s">
        <v>1942</v>
      </c>
      <c r="DS147" s="1092" t="s">
        <v>1942</v>
      </c>
      <c r="DT147" s="1093" t="s">
        <v>1942</v>
      </c>
      <c r="DU147" s="1085" t="s">
        <v>1942</v>
      </c>
      <c r="DV147" s="1094">
        <v>1</v>
      </c>
      <c r="DW147" s="1095" t="s">
        <v>1942</v>
      </c>
    </row>
    <row r="148" spans="1:127" s="397" customFormat="1" ht="15.75" hidden="1" customHeight="1">
      <c r="A148" s="1097" t="s">
        <v>1032</v>
      </c>
      <c r="B148" s="1057">
        <v>139</v>
      </c>
      <c r="C148" s="1018"/>
      <c r="D148" s="1018"/>
      <c r="E148" s="1018"/>
      <c r="F148" s="1018"/>
      <c r="G148" s="1018"/>
      <c r="H148" s="1018"/>
      <c r="I148" s="1018"/>
      <c r="J148" s="1018"/>
      <c r="K148" s="1018"/>
      <c r="L148" s="1018"/>
      <c r="M148" s="1057"/>
      <c r="N148" s="1018"/>
      <c r="O148" s="1018"/>
      <c r="P148" s="1018"/>
      <c r="Q148" s="1018"/>
      <c r="R148" s="1018"/>
      <c r="S148" s="1018"/>
      <c r="T148" s="1019"/>
      <c r="U148" s="1098" t="s">
        <v>2501</v>
      </c>
      <c r="V148" s="1099" t="s">
        <v>2502</v>
      </c>
      <c r="W148" s="1099" t="s">
        <v>1889</v>
      </c>
      <c r="X148" s="1100" t="s">
        <v>2503</v>
      </c>
      <c r="Y148" s="1101" t="s">
        <v>732</v>
      </c>
      <c r="Z148" s="1102" t="s">
        <v>2504</v>
      </c>
      <c r="AA148" s="1103" t="s">
        <v>1942</v>
      </c>
      <c r="AB148" s="1104" t="s">
        <v>1942</v>
      </c>
      <c r="AC148" s="1104">
        <v>1</v>
      </c>
      <c r="AD148" s="1104" t="s">
        <v>1942</v>
      </c>
      <c r="AE148" s="1104" t="s">
        <v>1942</v>
      </c>
      <c r="AF148" s="1104" t="s">
        <v>1942</v>
      </c>
      <c r="AG148" s="1104" t="s">
        <v>1942</v>
      </c>
      <c r="AH148" s="1104" t="s">
        <v>1942</v>
      </c>
      <c r="AI148" s="1105">
        <f t="shared" si="2"/>
        <v>1</v>
      </c>
      <c r="AJ148" s="1106" t="s">
        <v>1030</v>
      </c>
      <c r="AK148" s="1106" t="s">
        <v>1008</v>
      </c>
      <c r="AL148" s="1106" t="s">
        <v>1009</v>
      </c>
      <c r="AM148" s="1107" t="s">
        <v>2058</v>
      </c>
      <c r="AN148" s="1018" t="s">
        <v>2177</v>
      </c>
      <c r="AO148" s="1018" t="s">
        <v>4492</v>
      </c>
      <c r="AP148" s="1313">
        <v>2</v>
      </c>
      <c r="AQ148" s="1076" t="s">
        <v>1020</v>
      </c>
      <c r="AR148" s="1109" t="s">
        <v>732</v>
      </c>
      <c r="AS148" s="1110"/>
      <c r="AT148" s="1100"/>
      <c r="AU148" s="1100"/>
      <c r="AV148" s="1100"/>
      <c r="AW148" s="1111"/>
      <c r="AX148" s="1112"/>
      <c r="AY148" s="1075"/>
      <c r="AZ148" s="1076"/>
      <c r="BA148" s="1076"/>
      <c r="BB148" s="1076"/>
      <c r="BC148" s="1076"/>
      <c r="BD148" s="1076"/>
      <c r="BE148" s="1076"/>
      <c r="BF148" s="1076"/>
      <c r="BG148" s="1126"/>
      <c r="BH148" s="1126"/>
      <c r="BI148" s="1127">
        <v>1.68</v>
      </c>
      <c r="BJ148" s="1126">
        <v>1.63</v>
      </c>
      <c r="BK148" s="1126">
        <v>1.58</v>
      </c>
      <c r="BL148" s="1126">
        <v>1.44</v>
      </c>
      <c r="BM148" s="1126">
        <v>1.34</v>
      </c>
      <c r="BN148" s="1075"/>
      <c r="BO148" s="1076"/>
      <c r="BP148" s="1076"/>
      <c r="BQ148" s="1076"/>
      <c r="BR148" s="1076"/>
      <c r="BS148" s="1115"/>
      <c r="BT148" s="1076"/>
      <c r="BU148" s="1076"/>
      <c r="BV148" s="1076"/>
      <c r="BW148" s="1116"/>
      <c r="BX148" s="1115"/>
      <c r="BY148" s="1076"/>
      <c r="BZ148" s="1076"/>
      <c r="CA148" s="1076"/>
      <c r="CB148" s="1116"/>
      <c r="CC148" s="1117"/>
      <c r="CD148" s="1118" t="s">
        <v>168</v>
      </c>
      <c r="CE148" s="1119" t="s">
        <v>168</v>
      </c>
      <c r="CF148" s="1119" t="s">
        <v>168</v>
      </c>
      <c r="CG148" s="1119" t="s">
        <v>168</v>
      </c>
      <c r="CH148" s="1120" t="s">
        <v>168</v>
      </c>
      <c r="CI148" s="1075" t="s">
        <v>1942</v>
      </c>
      <c r="CJ148" s="1076" t="s">
        <v>1942</v>
      </c>
      <c r="CK148" s="1076" t="s">
        <v>1942</v>
      </c>
      <c r="CL148" s="1076" t="s">
        <v>1942</v>
      </c>
      <c r="CM148" s="1117" t="s">
        <v>1942</v>
      </c>
      <c r="CN148" s="1075">
        <v>2.75</v>
      </c>
      <c r="CO148" s="1076">
        <v>3</v>
      </c>
      <c r="CP148" s="1076">
        <v>3.4</v>
      </c>
      <c r="CQ148" s="1076">
        <v>3.6</v>
      </c>
      <c r="CR148" s="1117">
        <v>4</v>
      </c>
      <c r="CS148" s="1075" t="s">
        <v>1942</v>
      </c>
      <c r="CT148" s="1076" t="s">
        <v>1942</v>
      </c>
      <c r="CU148" s="1076" t="s">
        <v>1942</v>
      </c>
      <c r="CV148" s="1076" t="s">
        <v>1942</v>
      </c>
      <c r="CW148" s="1117" t="s">
        <v>1942</v>
      </c>
      <c r="CX148" s="1075" t="s">
        <v>1942</v>
      </c>
      <c r="CY148" s="1076" t="s">
        <v>1942</v>
      </c>
      <c r="CZ148" s="1076" t="s">
        <v>1942</v>
      </c>
      <c r="DA148" s="1076" t="s">
        <v>1942</v>
      </c>
      <c r="DB148" s="1117" t="s">
        <v>1942</v>
      </c>
      <c r="DC148" s="1076">
        <v>1.3</v>
      </c>
      <c r="DD148" s="1076">
        <v>1.25</v>
      </c>
      <c r="DE148" s="1076">
        <v>1.2</v>
      </c>
      <c r="DF148" s="1076">
        <v>1.17</v>
      </c>
      <c r="DG148" s="1117">
        <v>1.1499999999999999</v>
      </c>
      <c r="DH148" s="1075" t="s">
        <v>1942</v>
      </c>
      <c r="DI148" s="1076" t="s">
        <v>1942</v>
      </c>
      <c r="DJ148" s="1076" t="s">
        <v>1942</v>
      </c>
      <c r="DK148" s="1076" t="s">
        <v>1942</v>
      </c>
      <c r="DL148" s="1117" t="s">
        <v>1942</v>
      </c>
      <c r="DM148" s="1121">
        <v>-2.5230000000000001</v>
      </c>
      <c r="DN148" s="1122" t="s">
        <v>1942</v>
      </c>
      <c r="DO148" s="1122" t="s">
        <v>1942</v>
      </c>
      <c r="DP148" s="1123" t="s">
        <v>1942</v>
      </c>
      <c r="DQ148" s="1122">
        <v>2.5230000000000001</v>
      </c>
      <c r="DR148" s="1122" t="s">
        <v>1942</v>
      </c>
      <c r="DS148" s="1122" t="s">
        <v>1942</v>
      </c>
      <c r="DT148" s="1123" t="s">
        <v>1942</v>
      </c>
      <c r="DU148" s="1119" t="s">
        <v>1942</v>
      </c>
      <c r="DV148" s="1124">
        <v>1</v>
      </c>
      <c r="DW148" s="1125" t="s">
        <v>1942</v>
      </c>
    </row>
    <row r="149" spans="1:127" s="397" customFormat="1" ht="15.75" hidden="1" customHeight="1">
      <c r="A149" s="1097" t="s">
        <v>1032</v>
      </c>
      <c r="B149" s="1057">
        <v>140</v>
      </c>
      <c r="C149" s="1018"/>
      <c r="D149" s="1018"/>
      <c r="E149" s="1018"/>
      <c r="F149" s="1018"/>
      <c r="G149" s="1018"/>
      <c r="H149" s="1018"/>
      <c r="I149" s="1018"/>
      <c r="J149" s="1018"/>
      <c r="K149" s="1018"/>
      <c r="L149" s="1018"/>
      <c r="M149" s="1057"/>
      <c r="N149" s="1018"/>
      <c r="O149" s="1018"/>
      <c r="P149" s="1018"/>
      <c r="Q149" s="1018"/>
      <c r="R149" s="1018"/>
      <c r="S149" s="1018"/>
      <c r="T149" s="1019"/>
      <c r="U149" s="1098" t="s">
        <v>2506</v>
      </c>
      <c r="V149" s="1099" t="s">
        <v>2507</v>
      </c>
      <c r="W149" s="1099" t="s">
        <v>1889</v>
      </c>
      <c r="X149" s="1100" t="s">
        <v>2508</v>
      </c>
      <c r="Y149" s="1101" t="s">
        <v>736</v>
      </c>
      <c r="Z149" s="1102" t="s">
        <v>2509</v>
      </c>
      <c r="AA149" s="1103" t="s">
        <v>1942</v>
      </c>
      <c r="AB149" s="1104" t="s">
        <v>1942</v>
      </c>
      <c r="AC149" s="1104">
        <v>1</v>
      </c>
      <c r="AD149" s="1104" t="s">
        <v>1942</v>
      </c>
      <c r="AE149" s="1104" t="s">
        <v>1942</v>
      </c>
      <c r="AF149" s="1104" t="s">
        <v>1942</v>
      </c>
      <c r="AG149" s="1104" t="s">
        <v>1942</v>
      </c>
      <c r="AH149" s="1104" t="s">
        <v>1942</v>
      </c>
      <c r="AI149" s="1105">
        <f t="shared" si="2"/>
        <v>1</v>
      </c>
      <c r="AJ149" s="1106" t="s">
        <v>1030</v>
      </c>
      <c r="AK149" s="1106" t="s">
        <v>1008</v>
      </c>
      <c r="AL149" s="1106" t="s">
        <v>1009</v>
      </c>
      <c r="AM149" s="1107" t="s">
        <v>736</v>
      </c>
      <c r="AN149" s="1018" t="s">
        <v>2177</v>
      </c>
      <c r="AO149" s="1018" t="s">
        <v>4806</v>
      </c>
      <c r="AP149" s="1313">
        <v>2</v>
      </c>
      <c r="AQ149" s="1076" t="s">
        <v>1020</v>
      </c>
      <c r="AR149" s="1109" t="s">
        <v>736</v>
      </c>
      <c r="AS149" s="1110"/>
      <c r="AT149" s="1100"/>
      <c r="AU149" s="1100"/>
      <c r="AV149" s="1100"/>
      <c r="AW149" s="1111"/>
      <c r="AX149" s="1112"/>
      <c r="AY149" s="1075"/>
      <c r="AZ149" s="1076"/>
      <c r="BA149" s="1076"/>
      <c r="BB149" s="1076"/>
      <c r="BC149" s="1076"/>
      <c r="BD149" s="1076"/>
      <c r="BE149" s="1076"/>
      <c r="BF149" s="1076"/>
      <c r="BG149" s="1126"/>
      <c r="BH149" s="1126"/>
      <c r="BI149" s="1127">
        <v>24.51</v>
      </c>
      <c r="BJ149" s="1126">
        <v>23.74</v>
      </c>
      <c r="BK149" s="1126">
        <v>23</v>
      </c>
      <c r="BL149" s="1126">
        <v>22.4</v>
      </c>
      <c r="BM149" s="1126">
        <v>19.5</v>
      </c>
      <c r="BN149" s="1075"/>
      <c r="BO149" s="1076"/>
      <c r="BP149" s="1076"/>
      <c r="BQ149" s="1076"/>
      <c r="BR149" s="1076"/>
      <c r="BS149" s="1115"/>
      <c r="BT149" s="1076"/>
      <c r="BU149" s="1076"/>
      <c r="BV149" s="1076"/>
      <c r="BW149" s="1116"/>
      <c r="BX149" s="1115"/>
      <c r="BY149" s="1076"/>
      <c r="BZ149" s="1076"/>
      <c r="CA149" s="1076"/>
      <c r="CB149" s="1116"/>
      <c r="CC149" s="1117"/>
      <c r="CD149" s="1118" t="s">
        <v>168</v>
      </c>
      <c r="CE149" s="1119" t="s">
        <v>168</v>
      </c>
      <c r="CF149" s="1119" t="s">
        <v>168</v>
      </c>
      <c r="CG149" s="1119" t="s">
        <v>168</v>
      </c>
      <c r="CH149" s="1120" t="s">
        <v>168</v>
      </c>
      <c r="CI149" s="1075">
        <v>98</v>
      </c>
      <c r="CJ149" s="1076">
        <v>98</v>
      </c>
      <c r="CK149" s="1076">
        <v>98</v>
      </c>
      <c r="CL149" s="1076">
        <v>98</v>
      </c>
      <c r="CM149" s="1117">
        <v>98</v>
      </c>
      <c r="CN149" s="1075">
        <v>41.6</v>
      </c>
      <c r="CO149" s="1076">
        <v>41.6</v>
      </c>
      <c r="CP149" s="1076">
        <v>41.6</v>
      </c>
      <c r="CQ149" s="1076">
        <v>41.6</v>
      </c>
      <c r="CR149" s="1117">
        <v>41.6</v>
      </c>
      <c r="CS149" s="1075" t="s">
        <v>1942</v>
      </c>
      <c r="CT149" s="1076" t="s">
        <v>1942</v>
      </c>
      <c r="CU149" s="1076" t="s">
        <v>1942</v>
      </c>
      <c r="CV149" s="1076" t="s">
        <v>1942</v>
      </c>
      <c r="CW149" s="1117" t="s">
        <v>1942</v>
      </c>
      <c r="CX149" s="1075" t="s">
        <v>1942</v>
      </c>
      <c r="CY149" s="1076" t="s">
        <v>1942</v>
      </c>
      <c r="CZ149" s="1076" t="s">
        <v>1942</v>
      </c>
      <c r="DA149" s="1076" t="s">
        <v>1942</v>
      </c>
      <c r="DB149" s="1117" t="s">
        <v>1942</v>
      </c>
      <c r="DC149" s="1076">
        <v>11.83</v>
      </c>
      <c r="DD149" s="1076">
        <v>11.46</v>
      </c>
      <c r="DE149" s="1076">
        <v>11.11</v>
      </c>
      <c r="DF149" s="1076">
        <v>10.82</v>
      </c>
      <c r="DG149" s="1117">
        <v>9.42</v>
      </c>
      <c r="DH149" s="1075" t="s">
        <v>4805</v>
      </c>
      <c r="DI149" s="1076" t="s">
        <v>4805</v>
      </c>
      <c r="DJ149" s="1076" t="s">
        <v>4805</v>
      </c>
      <c r="DK149" s="1076" t="s">
        <v>4805</v>
      </c>
      <c r="DL149" s="1117" t="s">
        <v>4805</v>
      </c>
      <c r="DM149" s="1121">
        <v>-0.36499999999999999</v>
      </c>
      <c r="DN149" s="1122" t="s">
        <v>1942</v>
      </c>
      <c r="DO149" s="1122" t="s">
        <v>1942</v>
      </c>
      <c r="DP149" s="1123">
        <v>-0.877</v>
      </c>
      <c r="DQ149" s="1122">
        <v>0.29899999999999999</v>
      </c>
      <c r="DR149" s="1122" t="s">
        <v>1942</v>
      </c>
      <c r="DS149" s="1122" t="s">
        <v>1942</v>
      </c>
      <c r="DT149" s="1123">
        <v>0.874</v>
      </c>
      <c r="DU149" s="1119" t="s">
        <v>1942</v>
      </c>
      <c r="DV149" s="1124">
        <v>1</v>
      </c>
      <c r="DW149" s="1125" t="s">
        <v>1942</v>
      </c>
    </row>
    <row r="150" spans="1:127" s="397" customFormat="1" ht="15.75" hidden="1" customHeight="1">
      <c r="A150" s="1097" t="s">
        <v>1032</v>
      </c>
      <c r="B150" s="1057">
        <v>141</v>
      </c>
      <c r="C150" s="1018"/>
      <c r="D150" s="1018"/>
      <c r="E150" s="1018"/>
      <c r="F150" s="1018"/>
      <c r="G150" s="1018"/>
      <c r="H150" s="1018"/>
      <c r="I150" s="1018"/>
      <c r="J150" s="1018"/>
      <c r="K150" s="1018"/>
      <c r="L150" s="1018"/>
      <c r="M150" s="1057"/>
      <c r="N150" s="1018"/>
      <c r="O150" s="1018"/>
      <c r="P150" s="1018"/>
      <c r="Q150" s="1018"/>
      <c r="R150" s="1018"/>
      <c r="S150" s="1018"/>
      <c r="T150" s="1019"/>
      <c r="U150" s="1098" t="s">
        <v>2511</v>
      </c>
      <c r="V150" s="1099" t="s">
        <v>2512</v>
      </c>
      <c r="W150" s="1099" t="s">
        <v>1907</v>
      </c>
      <c r="X150" s="1100" t="s">
        <v>2513</v>
      </c>
      <c r="Y150" s="1101" t="s">
        <v>535</v>
      </c>
      <c r="Z150" s="1102" t="s">
        <v>2514</v>
      </c>
      <c r="AA150" s="1103">
        <v>1</v>
      </c>
      <c r="AB150" s="1104" t="s">
        <v>1942</v>
      </c>
      <c r="AC150" s="1104" t="s">
        <v>1942</v>
      </c>
      <c r="AD150" s="1104" t="s">
        <v>1942</v>
      </c>
      <c r="AE150" s="1104" t="s">
        <v>1942</v>
      </c>
      <c r="AF150" s="1104" t="s">
        <v>1942</v>
      </c>
      <c r="AG150" s="1104" t="s">
        <v>1942</v>
      </c>
      <c r="AH150" s="1104" t="s">
        <v>1942</v>
      </c>
      <c r="AI150" s="1105">
        <f t="shared" si="2"/>
        <v>1</v>
      </c>
      <c r="AJ150" s="1106" t="s">
        <v>1007</v>
      </c>
      <c r="AK150" s="1106" t="s">
        <v>1942</v>
      </c>
      <c r="AL150" s="1106" t="s">
        <v>1942</v>
      </c>
      <c r="AM150" s="1107" t="s">
        <v>2515</v>
      </c>
      <c r="AN150" s="1018" t="s">
        <v>278</v>
      </c>
      <c r="AO150" s="1018" t="s">
        <v>4792</v>
      </c>
      <c r="AP150" s="1313">
        <v>1</v>
      </c>
      <c r="AQ150" s="1076" t="s">
        <v>1020</v>
      </c>
      <c r="AR150" s="1109" t="s">
        <v>535</v>
      </c>
      <c r="AS150" s="1110"/>
      <c r="AT150" s="1100"/>
      <c r="AU150" s="1100"/>
      <c r="AV150" s="1100"/>
      <c r="AW150" s="1111"/>
      <c r="AX150" s="1112"/>
      <c r="AY150" s="1075"/>
      <c r="AZ150" s="1076"/>
      <c r="BA150" s="1076"/>
      <c r="BB150" s="1076"/>
      <c r="BC150" s="1076"/>
      <c r="BD150" s="1076"/>
      <c r="BE150" s="1076"/>
      <c r="BF150" s="1076"/>
      <c r="BG150" s="1113"/>
      <c r="BH150" s="1113"/>
      <c r="BI150" s="1114">
        <v>0</v>
      </c>
      <c r="BJ150" s="1113">
        <v>0</v>
      </c>
      <c r="BK150" s="1113">
        <v>0</v>
      </c>
      <c r="BL150" s="1113">
        <v>0</v>
      </c>
      <c r="BM150" s="1113">
        <v>0</v>
      </c>
      <c r="BN150" s="1075"/>
      <c r="BO150" s="1076"/>
      <c r="BP150" s="1076"/>
      <c r="BQ150" s="1076"/>
      <c r="BR150" s="1076"/>
      <c r="BS150" s="1115"/>
      <c r="BT150" s="1076"/>
      <c r="BU150" s="1076"/>
      <c r="BV150" s="1076"/>
      <c r="BW150" s="1116"/>
      <c r="BX150" s="1115"/>
      <c r="BY150" s="1076"/>
      <c r="BZ150" s="1076"/>
      <c r="CA150" s="1076"/>
      <c r="CB150" s="1116"/>
      <c r="CC150" s="1117"/>
      <c r="CD150" s="1118" t="s">
        <v>1942</v>
      </c>
      <c r="CE150" s="1119" t="s">
        <v>1942</v>
      </c>
      <c r="CF150" s="1119" t="s">
        <v>1942</v>
      </c>
      <c r="CG150" s="1119" t="s">
        <v>1942</v>
      </c>
      <c r="CH150" s="1120" t="s">
        <v>1942</v>
      </c>
      <c r="CI150" s="1075" t="s">
        <v>1942</v>
      </c>
      <c r="CJ150" s="1076" t="s">
        <v>1942</v>
      </c>
      <c r="CK150" s="1076" t="s">
        <v>1942</v>
      </c>
      <c r="CL150" s="1076" t="s">
        <v>1942</v>
      </c>
      <c r="CM150" s="1117" t="s">
        <v>1942</v>
      </c>
      <c r="CN150" s="1075" t="s">
        <v>1942</v>
      </c>
      <c r="CO150" s="1076" t="s">
        <v>1942</v>
      </c>
      <c r="CP150" s="1076" t="s">
        <v>1942</v>
      </c>
      <c r="CQ150" s="1076" t="s">
        <v>1942</v>
      </c>
      <c r="CR150" s="1117" t="s">
        <v>1942</v>
      </c>
      <c r="CS150" s="1075" t="s">
        <v>1942</v>
      </c>
      <c r="CT150" s="1076" t="s">
        <v>1942</v>
      </c>
      <c r="CU150" s="1076" t="s">
        <v>1942</v>
      </c>
      <c r="CV150" s="1076" t="s">
        <v>1942</v>
      </c>
      <c r="CW150" s="1117" t="s">
        <v>1942</v>
      </c>
      <c r="CX150" s="1075" t="s">
        <v>1942</v>
      </c>
      <c r="CY150" s="1076" t="s">
        <v>1942</v>
      </c>
      <c r="CZ150" s="1076" t="s">
        <v>1942</v>
      </c>
      <c r="DA150" s="1076" t="s">
        <v>1942</v>
      </c>
      <c r="DB150" s="1117" t="s">
        <v>1942</v>
      </c>
      <c r="DC150" s="1076" t="s">
        <v>1942</v>
      </c>
      <c r="DD150" s="1076" t="s">
        <v>1942</v>
      </c>
      <c r="DE150" s="1076" t="s">
        <v>1942</v>
      </c>
      <c r="DF150" s="1076" t="s">
        <v>1942</v>
      </c>
      <c r="DG150" s="1117" t="s">
        <v>1942</v>
      </c>
      <c r="DH150" s="1075" t="s">
        <v>1942</v>
      </c>
      <c r="DI150" s="1076" t="s">
        <v>1942</v>
      </c>
      <c r="DJ150" s="1076" t="s">
        <v>1942</v>
      </c>
      <c r="DK150" s="1076" t="s">
        <v>1942</v>
      </c>
      <c r="DL150" s="1117" t="s">
        <v>1942</v>
      </c>
      <c r="DM150" s="1121" t="s">
        <v>1942</v>
      </c>
      <c r="DN150" s="1122" t="s">
        <v>1942</v>
      </c>
      <c r="DO150" s="1122" t="s">
        <v>1942</v>
      </c>
      <c r="DP150" s="1123" t="s">
        <v>1942</v>
      </c>
      <c r="DQ150" s="1122" t="s">
        <v>1942</v>
      </c>
      <c r="DR150" s="1122" t="s">
        <v>1942</v>
      </c>
      <c r="DS150" s="1122" t="s">
        <v>1942</v>
      </c>
      <c r="DT150" s="1123" t="s">
        <v>1942</v>
      </c>
      <c r="DU150" s="1119" t="s">
        <v>1942</v>
      </c>
      <c r="DV150" s="1124">
        <v>1</v>
      </c>
      <c r="DW150" s="1125" t="s">
        <v>1942</v>
      </c>
    </row>
    <row r="151" spans="1:127" s="397" customFormat="1" ht="15.75" hidden="1" customHeight="1">
      <c r="A151" s="1097" t="s">
        <v>1032</v>
      </c>
      <c r="B151" s="1057">
        <v>142</v>
      </c>
      <c r="C151" s="1018"/>
      <c r="D151" s="1018"/>
      <c r="E151" s="1018"/>
      <c r="F151" s="1018"/>
      <c r="G151" s="1018"/>
      <c r="H151" s="1018"/>
      <c r="I151" s="1018"/>
      <c r="J151" s="1018"/>
      <c r="K151" s="1018"/>
      <c r="L151" s="1018"/>
      <c r="M151" s="1057"/>
      <c r="N151" s="1018"/>
      <c r="O151" s="1018"/>
      <c r="P151" s="1018"/>
      <c r="Q151" s="1018"/>
      <c r="R151" s="1018"/>
      <c r="S151" s="1018"/>
      <c r="T151" s="1019"/>
      <c r="U151" s="1098" t="s">
        <v>2517</v>
      </c>
      <c r="V151" s="1099" t="s">
        <v>2512</v>
      </c>
      <c r="W151" s="1099" t="s">
        <v>1907</v>
      </c>
      <c r="X151" s="1100" t="s">
        <v>2518</v>
      </c>
      <c r="Y151" s="1101" t="s">
        <v>839</v>
      </c>
      <c r="Z151" s="1102" t="s">
        <v>2519</v>
      </c>
      <c r="AA151" s="1103" t="s">
        <v>1942</v>
      </c>
      <c r="AB151" s="1104" t="s">
        <v>1942</v>
      </c>
      <c r="AC151" s="1104">
        <v>1</v>
      </c>
      <c r="AD151" s="1104" t="s">
        <v>1942</v>
      </c>
      <c r="AE151" s="1104" t="s">
        <v>1942</v>
      </c>
      <c r="AF151" s="1104" t="s">
        <v>1942</v>
      </c>
      <c r="AG151" s="1104" t="s">
        <v>1942</v>
      </c>
      <c r="AH151" s="1104" t="s">
        <v>1942</v>
      </c>
      <c r="AI151" s="1105">
        <f t="shared" si="2"/>
        <v>1</v>
      </c>
      <c r="AJ151" s="1106" t="s">
        <v>1007</v>
      </c>
      <c r="AK151" s="1106" t="s">
        <v>1942</v>
      </c>
      <c r="AL151" s="1106" t="s">
        <v>1942</v>
      </c>
      <c r="AM151" s="1107" t="s">
        <v>2058</v>
      </c>
      <c r="AN151" s="1018" t="s">
        <v>278</v>
      </c>
      <c r="AO151" s="1018" t="s">
        <v>4792</v>
      </c>
      <c r="AP151" s="1313">
        <v>2</v>
      </c>
      <c r="AQ151" s="1076" t="s">
        <v>1020</v>
      </c>
      <c r="AR151" s="1109" t="s">
        <v>839</v>
      </c>
      <c r="AS151" s="1110"/>
      <c r="AT151" s="1100"/>
      <c r="AU151" s="1100"/>
      <c r="AV151" s="1100"/>
      <c r="AW151" s="1111"/>
      <c r="AX151" s="1112"/>
      <c r="AY151" s="1075"/>
      <c r="AZ151" s="1076"/>
      <c r="BA151" s="1076"/>
      <c r="BB151" s="1076"/>
      <c r="BC151" s="1076"/>
      <c r="BD151" s="1076"/>
      <c r="BE151" s="1076"/>
      <c r="BF151" s="1076"/>
      <c r="BG151" s="1126"/>
      <c r="BH151" s="1126"/>
      <c r="BI151" s="1127">
        <v>32.299999999999997</v>
      </c>
      <c r="BJ151" s="1126">
        <v>29.8</v>
      </c>
      <c r="BK151" s="1126">
        <v>27.3</v>
      </c>
      <c r="BL151" s="1126">
        <v>24.8</v>
      </c>
      <c r="BM151" s="1126">
        <v>22</v>
      </c>
      <c r="BN151" s="1075"/>
      <c r="BO151" s="1076"/>
      <c r="BP151" s="1076"/>
      <c r="BQ151" s="1076"/>
      <c r="BR151" s="1076"/>
      <c r="BS151" s="1115"/>
      <c r="BT151" s="1076"/>
      <c r="BU151" s="1076"/>
      <c r="BV151" s="1076"/>
      <c r="BW151" s="1116"/>
      <c r="BX151" s="1115"/>
      <c r="BY151" s="1076"/>
      <c r="BZ151" s="1076"/>
      <c r="CA151" s="1076"/>
      <c r="CB151" s="1116"/>
      <c r="CC151" s="1117"/>
      <c r="CD151" s="1118" t="s">
        <v>1942</v>
      </c>
      <c r="CE151" s="1119" t="s">
        <v>1942</v>
      </c>
      <c r="CF151" s="1119" t="s">
        <v>1942</v>
      </c>
      <c r="CG151" s="1119" t="s">
        <v>1942</v>
      </c>
      <c r="CH151" s="1120" t="s">
        <v>1942</v>
      </c>
      <c r="CI151" s="1075" t="s">
        <v>1942</v>
      </c>
      <c r="CJ151" s="1076" t="s">
        <v>1942</v>
      </c>
      <c r="CK151" s="1076" t="s">
        <v>1942</v>
      </c>
      <c r="CL151" s="1076" t="s">
        <v>1942</v>
      </c>
      <c r="CM151" s="1117" t="s">
        <v>1942</v>
      </c>
      <c r="CN151" s="1075" t="s">
        <v>1942</v>
      </c>
      <c r="CO151" s="1076" t="s">
        <v>1942</v>
      </c>
      <c r="CP151" s="1076" t="s">
        <v>1942</v>
      </c>
      <c r="CQ151" s="1076" t="s">
        <v>1942</v>
      </c>
      <c r="CR151" s="1117" t="s">
        <v>1942</v>
      </c>
      <c r="CS151" s="1075" t="s">
        <v>1942</v>
      </c>
      <c r="CT151" s="1076" t="s">
        <v>1942</v>
      </c>
      <c r="CU151" s="1076" t="s">
        <v>1942</v>
      </c>
      <c r="CV151" s="1076" t="s">
        <v>1942</v>
      </c>
      <c r="CW151" s="1117" t="s">
        <v>1942</v>
      </c>
      <c r="CX151" s="1075" t="s">
        <v>1942</v>
      </c>
      <c r="CY151" s="1076" t="s">
        <v>1942</v>
      </c>
      <c r="CZ151" s="1076" t="s">
        <v>1942</v>
      </c>
      <c r="DA151" s="1076" t="s">
        <v>1942</v>
      </c>
      <c r="DB151" s="1117" t="s">
        <v>1942</v>
      </c>
      <c r="DC151" s="1076" t="s">
        <v>1942</v>
      </c>
      <c r="DD151" s="1076" t="s">
        <v>1942</v>
      </c>
      <c r="DE151" s="1076" t="s">
        <v>1942</v>
      </c>
      <c r="DF151" s="1076" t="s">
        <v>1942</v>
      </c>
      <c r="DG151" s="1117" t="s">
        <v>1942</v>
      </c>
      <c r="DH151" s="1075" t="s">
        <v>1942</v>
      </c>
      <c r="DI151" s="1076" t="s">
        <v>1942</v>
      </c>
      <c r="DJ151" s="1076" t="s">
        <v>1942</v>
      </c>
      <c r="DK151" s="1076" t="s">
        <v>1942</v>
      </c>
      <c r="DL151" s="1117" t="s">
        <v>1942</v>
      </c>
      <c r="DM151" s="1121" t="s">
        <v>1942</v>
      </c>
      <c r="DN151" s="1122" t="s">
        <v>1942</v>
      </c>
      <c r="DO151" s="1122" t="s">
        <v>1942</v>
      </c>
      <c r="DP151" s="1123" t="s">
        <v>1942</v>
      </c>
      <c r="DQ151" s="1122" t="s">
        <v>1942</v>
      </c>
      <c r="DR151" s="1122" t="s">
        <v>1942</v>
      </c>
      <c r="DS151" s="1122" t="s">
        <v>1942</v>
      </c>
      <c r="DT151" s="1123" t="s">
        <v>1942</v>
      </c>
      <c r="DU151" s="1119" t="s">
        <v>1942</v>
      </c>
      <c r="DV151" s="1124">
        <v>1</v>
      </c>
      <c r="DW151" s="1125" t="s">
        <v>1942</v>
      </c>
    </row>
    <row r="152" spans="1:127" s="397" customFormat="1" ht="15.75" hidden="1" customHeight="1">
      <c r="A152" s="1097" t="s">
        <v>1032</v>
      </c>
      <c r="B152" s="1057">
        <v>143</v>
      </c>
      <c r="C152" s="1018"/>
      <c r="D152" s="1018"/>
      <c r="E152" s="1018"/>
      <c r="F152" s="1018"/>
      <c r="G152" s="1018"/>
      <c r="H152" s="1018"/>
      <c r="I152" s="1018"/>
      <c r="J152" s="1018"/>
      <c r="K152" s="1018"/>
      <c r="L152" s="1018"/>
      <c r="M152" s="1057"/>
      <c r="N152" s="1018"/>
      <c r="O152" s="1018"/>
      <c r="P152" s="1018"/>
      <c r="Q152" s="1018"/>
      <c r="R152" s="1018"/>
      <c r="S152" s="1018"/>
      <c r="T152" s="1019"/>
      <c r="U152" s="1098" t="s">
        <v>2521</v>
      </c>
      <c r="V152" s="1099" t="s">
        <v>2486</v>
      </c>
      <c r="W152" s="1099" t="s">
        <v>1889</v>
      </c>
      <c r="X152" s="1100" t="s">
        <v>2522</v>
      </c>
      <c r="Y152" s="1101" t="s">
        <v>161</v>
      </c>
      <c r="Z152" s="1102" t="s">
        <v>2523</v>
      </c>
      <c r="AA152" s="1103" t="s">
        <v>1942</v>
      </c>
      <c r="AB152" s="1104">
        <v>1</v>
      </c>
      <c r="AC152" s="1104" t="s">
        <v>1942</v>
      </c>
      <c r="AD152" s="1104" t="s">
        <v>1942</v>
      </c>
      <c r="AE152" s="1104" t="s">
        <v>1942</v>
      </c>
      <c r="AF152" s="1104" t="s">
        <v>1942</v>
      </c>
      <c r="AG152" s="1104" t="s">
        <v>1942</v>
      </c>
      <c r="AH152" s="1104" t="s">
        <v>1942</v>
      </c>
      <c r="AI152" s="1105">
        <f t="shared" si="2"/>
        <v>1</v>
      </c>
      <c r="AJ152" s="1106" t="s">
        <v>1030</v>
      </c>
      <c r="AK152" s="1106" t="s">
        <v>1008</v>
      </c>
      <c r="AL152" s="1106" t="s">
        <v>1009</v>
      </c>
      <c r="AM152" s="1107" t="s">
        <v>1920</v>
      </c>
      <c r="AN152" s="1018" t="s">
        <v>2177</v>
      </c>
      <c r="AO152" s="1018" t="s">
        <v>4794</v>
      </c>
      <c r="AP152" s="1313">
        <v>1</v>
      </c>
      <c r="AQ152" s="1076" t="s">
        <v>1020</v>
      </c>
      <c r="AR152" s="1109" t="s">
        <v>161</v>
      </c>
      <c r="AS152" s="1110"/>
      <c r="AT152" s="1100"/>
      <c r="AU152" s="1100"/>
      <c r="AV152" s="1100"/>
      <c r="AW152" s="1111"/>
      <c r="AX152" s="1112"/>
      <c r="AY152" s="1075"/>
      <c r="AZ152" s="1076"/>
      <c r="BA152" s="1076"/>
      <c r="BB152" s="1076"/>
      <c r="BC152" s="1076"/>
      <c r="BD152" s="1076"/>
      <c r="BE152" s="1076"/>
      <c r="BF152" s="1076"/>
      <c r="BG152" s="1113"/>
      <c r="BH152" s="1113"/>
      <c r="BI152" s="1114">
        <v>141.9</v>
      </c>
      <c r="BJ152" s="1113">
        <v>137.1</v>
      </c>
      <c r="BK152" s="1113">
        <v>132.4</v>
      </c>
      <c r="BL152" s="1113">
        <v>127.9</v>
      </c>
      <c r="BM152" s="1113">
        <v>123.4</v>
      </c>
      <c r="BN152" s="1075"/>
      <c r="BO152" s="1076"/>
      <c r="BP152" s="1076"/>
      <c r="BQ152" s="1076"/>
      <c r="BR152" s="1076"/>
      <c r="BS152" s="1115"/>
      <c r="BT152" s="1076"/>
      <c r="BU152" s="1076"/>
      <c r="BV152" s="1076"/>
      <c r="BW152" s="1116"/>
      <c r="BX152" s="1115"/>
      <c r="BY152" s="1076"/>
      <c r="BZ152" s="1076"/>
      <c r="CA152" s="1076"/>
      <c r="CB152" s="1116"/>
      <c r="CC152" s="1117"/>
      <c r="CD152" s="1118" t="s">
        <v>168</v>
      </c>
      <c r="CE152" s="1119" t="s">
        <v>168</v>
      </c>
      <c r="CF152" s="1119" t="s">
        <v>168</v>
      </c>
      <c r="CG152" s="1119" t="s">
        <v>168</v>
      </c>
      <c r="CH152" s="1120" t="s">
        <v>168</v>
      </c>
      <c r="CI152" s="1075" t="s">
        <v>1942</v>
      </c>
      <c r="CJ152" s="1076" t="s">
        <v>1942</v>
      </c>
      <c r="CK152" s="1076" t="s">
        <v>1942</v>
      </c>
      <c r="CL152" s="1076" t="s">
        <v>1942</v>
      </c>
      <c r="CM152" s="1117" t="s">
        <v>1942</v>
      </c>
      <c r="CN152" s="1075">
        <v>198.6</v>
      </c>
      <c r="CO152" s="1076">
        <v>198.6</v>
      </c>
      <c r="CP152" s="1076">
        <v>198.6</v>
      </c>
      <c r="CQ152" s="1076">
        <v>198.6</v>
      </c>
      <c r="CR152" s="1117">
        <v>198.6</v>
      </c>
      <c r="CS152" s="1214">
        <v>151.9</v>
      </c>
      <c r="CT152" s="1216">
        <v>147.1</v>
      </c>
      <c r="CU152" s="1216">
        <v>142.4</v>
      </c>
      <c r="CV152" s="1216">
        <v>137.9</v>
      </c>
      <c r="CW152" s="1217">
        <v>133.4</v>
      </c>
      <c r="CX152" s="1075" t="s">
        <v>1942</v>
      </c>
      <c r="CY152" s="1076" t="s">
        <v>1942</v>
      </c>
      <c r="CZ152" s="1076" t="s">
        <v>1942</v>
      </c>
      <c r="DA152" s="1076" t="s">
        <v>1942</v>
      </c>
      <c r="DB152" s="1117" t="s">
        <v>1942</v>
      </c>
      <c r="DC152" s="1076">
        <v>127.1</v>
      </c>
      <c r="DD152" s="1076">
        <v>122.7</v>
      </c>
      <c r="DE152" s="1076">
        <v>118.7</v>
      </c>
      <c r="DF152" s="1076">
        <v>114.3</v>
      </c>
      <c r="DG152" s="1117">
        <v>110</v>
      </c>
      <c r="DH152" s="1075" t="s">
        <v>1942</v>
      </c>
      <c r="DI152" s="1076" t="s">
        <v>1942</v>
      </c>
      <c r="DJ152" s="1076" t="s">
        <v>1942</v>
      </c>
      <c r="DK152" s="1076" t="s">
        <v>1942</v>
      </c>
      <c r="DL152" s="1117" t="s">
        <v>1942</v>
      </c>
      <c r="DM152" s="1121">
        <v>-0.14899999999999999</v>
      </c>
      <c r="DN152" s="1122" t="s">
        <v>1942</v>
      </c>
      <c r="DO152" s="1122" t="s">
        <v>1942</v>
      </c>
      <c r="DP152" s="1123" t="s">
        <v>1942</v>
      </c>
      <c r="DQ152" s="1122">
        <v>9.8000000000000004E-2</v>
      </c>
      <c r="DR152" s="1122" t="s">
        <v>1942</v>
      </c>
      <c r="DS152" s="1122" t="s">
        <v>1942</v>
      </c>
      <c r="DT152" s="1123" t="s">
        <v>1942</v>
      </c>
      <c r="DU152" s="1119" t="s">
        <v>1942</v>
      </c>
      <c r="DV152" s="1124">
        <v>1</v>
      </c>
      <c r="DW152" s="1125" t="s">
        <v>1942</v>
      </c>
    </row>
    <row r="153" spans="1:127" s="397" customFormat="1" ht="15.75" hidden="1" customHeight="1">
      <c r="A153" s="1097" t="s">
        <v>1032</v>
      </c>
      <c r="B153" s="1057">
        <v>144</v>
      </c>
      <c r="C153" s="1018"/>
      <c r="D153" s="1018"/>
      <c r="E153" s="1018"/>
      <c r="F153" s="1018"/>
      <c r="G153" s="1018"/>
      <c r="H153" s="1018"/>
      <c r="I153" s="1018"/>
      <c r="J153" s="1018"/>
      <c r="K153" s="1018"/>
      <c r="L153" s="1018"/>
      <c r="M153" s="1057"/>
      <c r="N153" s="1018"/>
      <c r="O153" s="1018"/>
      <c r="P153" s="1018"/>
      <c r="Q153" s="1018"/>
      <c r="R153" s="1018"/>
      <c r="S153" s="1018"/>
      <c r="T153" s="1019"/>
      <c r="U153" s="1098" t="s">
        <v>2525</v>
      </c>
      <c r="V153" s="1099" t="s">
        <v>2486</v>
      </c>
      <c r="W153" s="1099" t="s">
        <v>1907</v>
      </c>
      <c r="X153" s="1100" t="s">
        <v>2526</v>
      </c>
      <c r="Y153" s="1101" t="s">
        <v>167</v>
      </c>
      <c r="Z153" s="1102" t="s">
        <v>2527</v>
      </c>
      <c r="AA153" s="1103" t="s">
        <v>1942</v>
      </c>
      <c r="AB153" s="1104">
        <v>1</v>
      </c>
      <c r="AC153" s="1104" t="s">
        <v>1942</v>
      </c>
      <c r="AD153" s="1104" t="s">
        <v>1942</v>
      </c>
      <c r="AE153" s="1104" t="s">
        <v>1942</v>
      </c>
      <c r="AF153" s="1104" t="s">
        <v>1942</v>
      </c>
      <c r="AG153" s="1104" t="s">
        <v>1942</v>
      </c>
      <c r="AH153" s="1104" t="s">
        <v>1942</v>
      </c>
      <c r="AI153" s="1105">
        <f t="shared" si="2"/>
        <v>1</v>
      </c>
      <c r="AJ153" s="1106" t="s">
        <v>1026</v>
      </c>
      <c r="AK153" s="1106" t="s">
        <v>1008</v>
      </c>
      <c r="AL153" s="1106" t="s">
        <v>1009</v>
      </c>
      <c r="AM153" s="1107" t="s">
        <v>1915</v>
      </c>
      <c r="AN153" s="1018" t="s">
        <v>278</v>
      </c>
      <c r="AO153" s="1018" t="s">
        <v>4793</v>
      </c>
      <c r="AP153" s="1313">
        <v>2</v>
      </c>
      <c r="AQ153" s="1076" t="s">
        <v>1020</v>
      </c>
      <c r="AR153" s="1109" t="s">
        <v>167</v>
      </c>
      <c r="AS153" s="1110"/>
      <c r="AT153" s="1100"/>
      <c r="AU153" s="1100"/>
      <c r="AV153" s="1100"/>
      <c r="AW153" s="1111"/>
      <c r="AX153" s="1112"/>
      <c r="AY153" s="1075"/>
      <c r="AZ153" s="1076"/>
      <c r="BA153" s="1076"/>
      <c r="BB153" s="1076"/>
      <c r="BC153" s="1076"/>
      <c r="BD153" s="1076"/>
      <c r="BE153" s="1076"/>
      <c r="BF153" s="1076"/>
      <c r="BG153" s="1126"/>
      <c r="BH153" s="1126"/>
      <c r="BI153" s="1127">
        <v>6.37</v>
      </c>
      <c r="BJ153" s="1126">
        <v>5.36</v>
      </c>
      <c r="BK153" s="1126">
        <v>4.3600000000000003</v>
      </c>
      <c r="BL153" s="1126">
        <v>3.35</v>
      </c>
      <c r="BM153" s="1126">
        <v>2.34</v>
      </c>
      <c r="BN153" s="1075"/>
      <c r="BO153" s="1076"/>
      <c r="BP153" s="1076"/>
      <c r="BQ153" s="1076"/>
      <c r="BR153" s="1076"/>
      <c r="BS153" s="1115"/>
      <c r="BT153" s="1076"/>
      <c r="BU153" s="1076"/>
      <c r="BV153" s="1076"/>
      <c r="BW153" s="1116"/>
      <c r="BX153" s="1115"/>
      <c r="BY153" s="1076"/>
      <c r="BZ153" s="1076"/>
      <c r="CA153" s="1076"/>
      <c r="CB153" s="1116"/>
      <c r="CC153" s="1117"/>
      <c r="CD153" s="1118" t="s">
        <v>168</v>
      </c>
      <c r="CE153" s="1119" t="s">
        <v>168</v>
      </c>
      <c r="CF153" s="1119" t="s">
        <v>168</v>
      </c>
      <c r="CG153" s="1119" t="s">
        <v>168</v>
      </c>
      <c r="CH153" s="1120" t="s">
        <v>168</v>
      </c>
      <c r="CI153" s="1075" t="s">
        <v>1942</v>
      </c>
      <c r="CJ153" s="1076" t="s">
        <v>1942</v>
      </c>
      <c r="CK153" s="1076" t="s">
        <v>1942</v>
      </c>
      <c r="CL153" s="1076" t="s">
        <v>1942</v>
      </c>
      <c r="CM153" s="1117" t="s">
        <v>1942</v>
      </c>
      <c r="CN153" s="1075">
        <v>12.74</v>
      </c>
      <c r="CO153" s="1076">
        <v>12.74</v>
      </c>
      <c r="CP153" s="1076">
        <v>12.74</v>
      </c>
      <c r="CQ153" s="1076">
        <v>12.74</v>
      </c>
      <c r="CR153" s="1117">
        <v>12.74</v>
      </c>
      <c r="CS153" s="1212">
        <v>7.64</v>
      </c>
      <c r="CT153" s="1213">
        <v>6.43</v>
      </c>
      <c r="CU153" s="1213">
        <v>5.23</v>
      </c>
      <c r="CV153" s="1213">
        <v>4.0199999999999996</v>
      </c>
      <c r="CW153" s="1215">
        <v>2.81</v>
      </c>
      <c r="CX153" s="1075" t="s">
        <v>1942</v>
      </c>
      <c r="CY153" s="1076" t="s">
        <v>1942</v>
      </c>
      <c r="CZ153" s="1076" t="s">
        <v>1942</v>
      </c>
      <c r="DA153" s="1076" t="s">
        <v>1942</v>
      </c>
      <c r="DB153" s="1117" t="s">
        <v>1942</v>
      </c>
      <c r="DC153" s="1076" t="s">
        <v>1942</v>
      </c>
      <c r="DD153" s="1076" t="s">
        <v>1942</v>
      </c>
      <c r="DE153" s="1076" t="s">
        <v>1942</v>
      </c>
      <c r="DF153" s="1076" t="s">
        <v>1942</v>
      </c>
      <c r="DG153" s="1117" t="s">
        <v>1942</v>
      </c>
      <c r="DH153" s="1075" t="s">
        <v>1942</v>
      </c>
      <c r="DI153" s="1076" t="s">
        <v>1942</v>
      </c>
      <c r="DJ153" s="1076" t="s">
        <v>1942</v>
      </c>
      <c r="DK153" s="1076" t="s">
        <v>1942</v>
      </c>
      <c r="DL153" s="1117" t="s">
        <v>1942</v>
      </c>
      <c r="DM153" s="1121">
        <v>-1.72</v>
      </c>
      <c r="DN153" s="1122" t="s">
        <v>1942</v>
      </c>
      <c r="DO153" s="1122" t="s">
        <v>1942</v>
      </c>
      <c r="DP153" s="1123" t="s">
        <v>1942</v>
      </c>
      <c r="DQ153" s="1122" t="s">
        <v>1942</v>
      </c>
      <c r="DR153" s="1122" t="s">
        <v>1942</v>
      </c>
      <c r="DS153" s="1122" t="s">
        <v>1942</v>
      </c>
      <c r="DT153" s="1123" t="s">
        <v>1942</v>
      </c>
      <c r="DU153" s="1119" t="s">
        <v>1942</v>
      </c>
      <c r="DV153" s="1124">
        <v>1</v>
      </c>
      <c r="DW153" s="1125" t="s">
        <v>1942</v>
      </c>
    </row>
    <row r="154" spans="1:127" s="397" customFormat="1" ht="15.75" hidden="1" customHeight="1">
      <c r="A154" s="1097" t="s">
        <v>1032</v>
      </c>
      <c r="B154" s="1057">
        <v>145</v>
      </c>
      <c r="C154" s="1018"/>
      <c r="D154" s="1018"/>
      <c r="E154" s="1018"/>
      <c r="F154" s="1018"/>
      <c r="G154" s="1018"/>
      <c r="H154" s="1018"/>
      <c r="I154" s="1018"/>
      <c r="J154" s="1018"/>
      <c r="K154" s="1018"/>
      <c r="L154" s="1018"/>
      <c r="M154" s="1057"/>
      <c r="N154" s="1018"/>
      <c r="O154" s="1018"/>
      <c r="P154" s="1018"/>
      <c r="Q154" s="1018"/>
      <c r="R154" s="1018"/>
      <c r="S154" s="1018"/>
      <c r="T154" s="1019"/>
      <c r="U154" s="1098" t="s">
        <v>2529</v>
      </c>
      <c r="V154" s="1099" t="s">
        <v>2502</v>
      </c>
      <c r="W154" s="1099" t="s">
        <v>1889</v>
      </c>
      <c r="X154" s="1100" t="s">
        <v>2530</v>
      </c>
      <c r="Y154" s="1101" t="s">
        <v>743</v>
      </c>
      <c r="Z154" s="1102" t="s">
        <v>2531</v>
      </c>
      <c r="AA154" s="1103" t="s">
        <v>1942</v>
      </c>
      <c r="AB154" s="1104" t="s">
        <v>1942</v>
      </c>
      <c r="AC154" s="1104">
        <v>1</v>
      </c>
      <c r="AD154" s="1104" t="s">
        <v>1942</v>
      </c>
      <c r="AE154" s="1104" t="s">
        <v>1942</v>
      </c>
      <c r="AF154" s="1104" t="s">
        <v>1942</v>
      </c>
      <c r="AG154" s="1104" t="s">
        <v>1942</v>
      </c>
      <c r="AH154" s="1104" t="s">
        <v>1942</v>
      </c>
      <c r="AI154" s="1105">
        <f t="shared" si="2"/>
        <v>1</v>
      </c>
      <c r="AJ154" s="1106" t="s">
        <v>1026</v>
      </c>
      <c r="AK154" s="1106" t="s">
        <v>1008</v>
      </c>
      <c r="AL154" s="1106" t="s">
        <v>1009</v>
      </c>
      <c r="AM154" s="1107" t="s">
        <v>1920</v>
      </c>
      <c r="AN154" s="1018" t="s">
        <v>2177</v>
      </c>
      <c r="AO154" s="1018" t="s">
        <v>4807</v>
      </c>
      <c r="AP154" s="1313">
        <v>2</v>
      </c>
      <c r="AQ154" s="1076" t="s">
        <v>1020</v>
      </c>
      <c r="AR154" s="1109" t="s">
        <v>743</v>
      </c>
      <c r="AS154" s="1110"/>
      <c r="AT154" s="1100"/>
      <c r="AU154" s="1100"/>
      <c r="AV154" s="1100"/>
      <c r="AW154" s="1111"/>
      <c r="AX154" s="1112"/>
      <c r="AY154" s="1075"/>
      <c r="AZ154" s="1076"/>
      <c r="BA154" s="1076"/>
      <c r="BB154" s="1076"/>
      <c r="BC154" s="1076"/>
      <c r="BD154" s="1076"/>
      <c r="BE154" s="1076"/>
      <c r="BF154" s="1076"/>
      <c r="BG154" s="1126"/>
      <c r="BH154" s="1126"/>
      <c r="BI154" s="1127">
        <v>10.69</v>
      </c>
      <c r="BJ154" s="1126">
        <v>10.06</v>
      </c>
      <c r="BK154" s="1126">
        <v>9.43</v>
      </c>
      <c r="BL154" s="1126">
        <v>8.7899999999999991</v>
      </c>
      <c r="BM154" s="1126">
        <v>8.1300000000000008</v>
      </c>
      <c r="BN154" s="1075"/>
      <c r="BO154" s="1076"/>
      <c r="BP154" s="1076"/>
      <c r="BQ154" s="1076"/>
      <c r="BR154" s="1076"/>
      <c r="BS154" s="1115"/>
      <c r="BT154" s="1076"/>
      <c r="BU154" s="1076"/>
      <c r="BV154" s="1076"/>
      <c r="BW154" s="1116"/>
      <c r="BX154" s="1115"/>
      <c r="BY154" s="1076"/>
      <c r="BZ154" s="1076"/>
      <c r="CA154" s="1076"/>
      <c r="CB154" s="1116"/>
      <c r="CC154" s="1117"/>
      <c r="CD154" s="1118" t="s">
        <v>168</v>
      </c>
      <c r="CE154" s="1119" t="s">
        <v>168</v>
      </c>
      <c r="CF154" s="1119" t="s">
        <v>168</v>
      </c>
      <c r="CG154" s="1119" t="s">
        <v>168</v>
      </c>
      <c r="CH154" s="1120" t="s">
        <v>168</v>
      </c>
      <c r="CI154" s="1075" t="s">
        <v>1942</v>
      </c>
      <c r="CJ154" s="1076" t="s">
        <v>1942</v>
      </c>
      <c r="CK154" s="1076" t="s">
        <v>1942</v>
      </c>
      <c r="CL154" s="1076" t="s">
        <v>1942</v>
      </c>
      <c r="CM154" s="1117" t="s">
        <v>1942</v>
      </c>
      <c r="CN154" s="1075" t="s">
        <v>1942</v>
      </c>
      <c r="CO154" s="1076" t="s">
        <v>1942</v>
      </c>
      <c r="CP154" s="1076" t="s">
        <v>1942</v>
      </c>
      <c r="CQ154" s="1076" t="s">
        <v>1942</v>
      </c>
      <c r="CR154" s="1117" t="s">
        <v>1942</v>
      </c>
      <c r="CS154" s="1075" t="s">
        <v>1942</v>
      </c>
      <c r="CT154" s="1076" t="s">
        <v>1942</v>
      </c>
      <c r="CU154" s="1076" t="s">
        <v>1942</v>
      </c>
      <c r="CV154" s="1076" t="s">
        <v>1942</v>
      </c>
      <c r="CW154" s="1117" t="s">
        <v>1942</v>
      </c>
      <c r="CX154" s="1075" t="s">
        <v>1942</v>
      </c>
      <c r="CY154" s="1076" t="s">
        <v>1942</v>
      </c>
      <c r="CZ154" s="1076" t="s">
        <v>1942</v>
      </c>
      <c r="DA154" s="1076" t="s">
        <v>1942</v>
      </c>
      <c r="DB154" s="1117" t="s">
        <v>1942</v>
      </c>
      <c r="DC154" s="1076" t="s">
        <v>1942</v>
      </c>
      <c r="DD154" s="1076" t="s">
        <v>1942</v>
      </c>
      <c r="DE154" s="1076" t="s">
        <v>1942</v>
      </c>
      <c r="DF154" s="1076" t="s">
        <v>1942</v>
      </c>
      <c r="DG154" s="1117" t="s">
        <v>1942</v>
      </c>
      <c r="DH154" s="1075" t="s">
        <v>1942</v>
      </c>
      <c r="DI154" s="1076" t="s">
        <v>1942</v>
      </c>
      <c r="DJ154" s="1076" t="s">
        <v>1942</v>
      </c>
      <c r="DK154" s="1076" t="s">
        <v>1942</v>
      </c>
      <c r="DL154" s="1117" t="s">
        <v>1942</v>
      </c>
      <c r="DM154" s="1121">
        <v>-0.32200000000000001</v>
      </c>
      <c r="DN154" s="1122" t="s">
        <v>1942</v>
      </c>
      <c r="DO154" s="1122" t="s">
        <v>1942</v>
      </c>
      <c r="DP154" s="1123" t="s">
        <v>1942</v>
      </c>
      <c r="DQ154" s="1122" t="s">
        <v>1942</v>
      </c>
      <c r="DR154" s="1122" t="s">
        <v>1942</v>
      </c>
      <c r="DS154" s="1122" t="s">
        <v>1942</v>
      </c>
      <c r="DT154" s="1123" t="s">
        <v>1942</v>
      </c>
      <c r="DU154" s="1119" t="s">
        <v>1942</v>
      </c>
      <c r="DV154" s="1124">
        <v>1</v>
      </c>
      <c r="DW154" s="1125" t="s">
        <v>1942</v>
      </c>
    </row>
    <row r="155" spans="1:127" s="397" customFormat="1" ht="15.75" hidden="1" customHeight="1">
      <c r="A155" s="1097" t="s">
        <v>1032</v>
      </c>
      <c r="B155" s="1057">
        <v>146</v>
      </c>
      <c r="C155" s="1018"/>
      <c r="D155" s="1018"/>
      <c r="E155" s="1018"/>
      <c r="F155" s="1018"/>
      <c r="G155" s="1018"/>
      <c r="H155" s="1018"/>
      <c r="I155" s="1018"/>
      <c r="J155" s="1018"/>
      <c r="K155" s="1018"/>
      <c r="L155" s="1018"/>
      <c r="M155" s="1057"/>
      <c r="N155" s="1018"/>
      <c r="O155" s="1018"/>
      <c r="P155" s="1018"/>
      <c r="Q155" s="1018"/>
      <c r="R155" s="1018"/>
      <c r="S155" s="1018"/>
      <c r="T155" s="1019"/>
      <c r="U155" s="1098" t="s">
        <v>2533</v>
      </c>
      <c r="V155" s="1099" t="s">
        <v>2507</v>
      </c>
      <c r="W155" s="1099" t="s">
        <v>1889</v>
      </c>
      <c r="X155" s="1100" t="s">
        <v>2534</v>
      </c>
      <c r="Y155" s="1101" t="s">
        <v>1058</v>
      </c>
      <c r="Z155" s="1102" t="s">
        <v>2535</v>
      </c>
      <c r="AA155" s="1103" t="s">
        <v>1942</v>
      </c>
      <c r="AB155" s="1104">
        <v>0.16</v>
      </c>
      <c r="AC155" s="1104">
        <v>0.84</v>
      </c>
      <c r="AD155" s="1104" t="s">
        <v>1942</v>
      </c>
      <c r="AE155" s="1104" t="s">
        <v>1942</v>
      </c>
      <c r="AF155" s="1104" t="s">
        <v>1942</v>
      </c>
      <c r="AG155" s="1104" t="s">
        <v>1942</v>
      </c>
      <c r="AH155" s="1104" t="s">
        <v>1942</v>
      </c>
      <c r="AI155" s="1105">
        <f t="shared" si="2"/>
        <v>1</v>
      </c>
      <c r="AJ155" s="1106" t="s">
        <v>1026</v>
      </c>
      <c r="AK155" s="1106" t="s">
        <v>1008</v>
      </c>
      <c r="AL155" s="1106" t="s">
        <v>1009</v>
      </c>
      <c r="AM155" s="1107" t="s">
        <v>2536</v>
      </c>
      <c r="AN155" s="1018" t="s">
        <v>278</v>
      </c>
      <c r="AO155" s="1018" t="s">
        <v>2449</v>
      </c>
      <c r="AP155" s="1313">
        <v>2</v>
      </c>
      <c r="AQ155" s="1076" t="s">
        <v>1010</v>
      </c>
      <c r="AR155" s="1109" t="s">
        <v>1058</v>
      </c>
      <c r="AS155" s="1110"/>
      <c r="AT155" s="1100"/>
      <c r="AU155" s="1100"/>
      <c r="AV155" s="1100"/>
      <c r="AW155" s="1111"/>
      <c r="AX155" s="1112"/>
      <c r="AY155" s="1075"/>
      <c r="AZ155" s="1076"/>
      <c r="BA155" s="1076"/>
      <c r="BB155" s="1076"/>
      <c r="BC155" s="1076"/>
      <c r="BD155" s="1076"/>
      <c r="BE155" s="1076"/>
      <c r="BF155" s="1076"/>
      <c r="BG155" s="1126"/>
      <c r="BH155" s="1126"/>
      <c r="BI155" s="1127">
        <v>100</v>
      </c>
      <c r="BJ155" s="1126">
        <v>100</v>
      </c>
      <c r="BK155" s="1126">
        <v>100</v>
      </c>
      <c r="BL155" s="1126">
        <v>100</v>
      </c>
      <c r="BM155" s="1126">
        <v>100</v>
      </c>
      <c r="BN155" s="1075"/>
      <c r="BO155" s="1076"/>
      <c r="BP155" s="1076"/>
      <c r="BQ155" s="1076"/>
      <c r="BR155" s="1076"/>
      <c r="BS155" s="1115"/>
      <c r="BT155" s="1076"/>
      <c r="BU155" s="1076"/>
      <c r="BV155" s="1076"/>
      <c r="BW155" s="1116"/>
      <c r="BX155" s="1115"/>
      <c r="BY155" s="1076"/>
      <c r="BZ155" s="1076"/>
      <c r="CA155" s="1076"/>
      <c r="CB155" s="1116"/>
      <c r="CC155" s="1117"/>
      <c r="CD155" s="1118" t="s">
        <v>168</v>
      </c>
      <c r="CE155" s="1119" t="s">
        <v>168</v>
      </c>
      <c r="CF155" s="1119" t="s">
        <v>168</v>
      </c>
      <c r="CG155" s="1119" t="s">
        <v>168</v>
      </c>
      <c r="CH155" s="1120" t="s">
        <v>168</v>
      </c>
      <c r="CI155" s="1075" t="s">
        <v>1942</v>
      </c>
      <c r="CJ155" s="1076" t="s">
        <v>1942</v>
      </c>
      <c r="CK155" s="1076" t="s">
        <v>1942</v>
      </c>
      <c r="CL155" s="1076" t="s">
        <v>1942</v>
      </c>
      <c r="CM155" s="1117" t="s">
        <v>1942</v>
      </c>
      <c r="CN155" s="1075" t="s">
        <v>1942</v>
      </c>
      <c r="CO155" s="1076" t="s">
        <v>1942</v>
      </c>
      <c r="CP155" s="1076" t="s">
        <v>1942</v>
      </c>
      <c r="CQ155" s="1076" t="s">
        <v>1942</v>
      </c>
      <c r="CR155" s="1117" t="s">
        <v>1942</v>
      </c>
      <c r="CS155" s="1075">
        <v>99</v>
      </c>
      <c r="CT155" s="1076">
        <v>99</v>
      </c>
      <c r="CU155" s="1076">
        <v>99</v>
      </c>
      <c r="CV155" s="1076">
        <v>99</v>
      </c>
      <c r="CW155" s="1117">
        <v>99</v>
      </c>
      <c r="CX155" s="1075" t="s">
        <v>1942</v>
      </c>
      <c r="CY155" s="1076" t="s">
        <v>1942</v>
      </c>
      <c r="CZ155" s="1076" t="s">
        <v>1942</v>
      </c>
      <c r="DA155" s="1076" t="s">
        <v>1942</v>
      </c>
      <c r="DB155" s="1117" t="s">
        <v>1942</v>
      </c>
      <c r="DC155" s="1076" t="s">
        <v>1942</v>
      </c>
      <c r="DD155" s="1076" t="s">
        <v>1942</v>
      </c>
      <c r="DE155" s="1076" t="s">
        <v>1942</v>
      </c>
      <c r="DF155" s="1076" t="s">
        <v>1942</v>
      </c>
      <c r="DG155" s="1117" t="s">
        <v>1942</v>
      </c>
      <c r="DH155" s="1075" t="s">
        <v>1942</v>
      </c>
      <c r="DI155" s="1076" t="s">
        <v>1942</v>
      </c>
      <c r="DJ155" s="1076" t="s">
        <v>1942</v>
      </c>
      <c r="DK155" s="1076" t="s">
        <v>1942</v>
      </c>
      <c r="DL155" s="1117" t="s">
        <v>1942</v>
      </c>
      <c r="DM155" s="1121">
        <v>-0.59699999999999998</v>
      </c>
      <c r="DN155" s="1122" t="s">
        <v>1942</v>
      </c>
      <c r="DO155" s="1122" t="s">
        <v>1942</v>
      </c>
      <c r="DP155" s="1123" t="s">
        <v>1942</v>
      </c>
      <c r="DQ155" s="1122" t="s">
        <v>1942</v>
      </c>
      <c r="DR155" s="1122" t="s">
        <v>1942</v>
      </c>
      <c r="DS155" s="1122" t="s">
        <v>1942</v>
      </c>
      <c r="DT155" s="1123" t="s">
        <v>1942</v>
      </c>
      <c r="DU155" s="1119" t="s">
        <v>1942</v>
      </c>
      <c r="DV155" s="1124">
        <v>1</v>
      </c>
      <c r="DW155" s="1125" t="s">
        <v>1942</v>
      </c>
    </row>
    <row r="156" spans="1:127" s="397" customFormat="1" ht="15.75" hidden="1" customHeight="1">
      <c r="A156" s="1097" t="s">
        <v>1032</v>
      </c>
      <c r="B156" s="1057">
        <v>147</v>
      </c>
      <c r="C156" s="1018"/>
      <c r="D156" s="1018"/>
      <c r="E156" s="1018"/>
      <c r="F156" s="1018"/>
      <c r="G156" s="1018"/>
      <c r="H156" s="1018"/>
      <c r="I156" s="1018"/>
      <c r="J156" s="1018"/>
      <c r="K156" s="1018"/>
      <c r="L156" s="1018"/>
      <c r="M156" s="1057"/>
      <c r="N156" s="1018"/>
      <c r="O156" s="1018"/>
      <c r="P156" s="1018"/>
      <c r="Q156" s="1018"/>
      <c r="R156" s="1018"/>
      <c r="S156" s="1018"/>
      <c r="T156" s="1019"/>
      <c r="U156" s="1098" t="s">
        <v>2538</v>
      </c>
      <c r="V156" s="1099" t="s">
        <v>2539</v>
      </c>
      <c r="W156" s="1099" t="s">
        <v>1907</v>
      </c>
      <c r="X156" s="1100" t="s">
        <v>2540</v>
      </c>
      <c r="Y156" s="1101" t="s">
        <v>2541</v>
      </c>
      <c r="Z156" s="1102" t="s">
        <v>2542</v>
      </c>
      <c r="AA156" s="1103" t="s">
        <v>1942</v>
      </c>
      <c r="AB156" s="1104" t="s">
        <v>1942</v>
      </c>
      <c r="AC156" s="1104" t="s">
        <v>1942</v>
      </c>
      <c r="AD156" s="1104" t="s">
        <v>1942</v>
      </c>
      <c r="AE156" s="1104">
        <v>1</v>
      </c>
      <c r="AF156" s="1104" t="s">
        <v>1942</v>
      </c>
      <c r="AG156" s="1104" t="s">
        <v>1942</v>
      </c>
      <c r="AH156" s="1104" t="s">
        <v>1942</v>
      </c>
      <c r="AI156" s="1105">
        <f t="shared" si="2"/>
        <v>1</v>
      </c>
      <c r="AJ156" s="1106" t="s">
        <v>1007</v>
      </c>
      <c r="AK156" s="1106" t="s">
        <v>1942</v>
      </c>
      <c r="AL156" s="1106" t="s">
        <v>1942</v>
      </c>
      <c r="AM156" s="1107" t="s">
        <v>2117</v>
      </c>
      <c r="AN156" s="1018" t="s">
        <v>1033</v>
      </c>
      <c r="AO156" s="1018" t="s">
        <v>2543</v>
      </c>
      <c r="AP156" s="833">
        <v>1</v>
      </c>
      <c r="AQ156" s="1076" t="s">
        <v>1010</v>
      </c>
      <c r="AR156" s="1109" t="s">
        <v>1942</v>
      </c>
      <c r="AS156" s="1110"/>
      <c r="AT156" s="1100"/>
      <c r="AU156" s="1100"/>
      <c r="AV156" s="1100"/>
      <c r="AW156" s="1111"/>
      <c r="AX156" s="1112"/>
      <c r="AY156" s="1075"/>
      <c r="AZ156" s="1076"/>
      <c r="BA156" s="1076"/>
      <c r="BB156" s="1076"/>
      <c r="BC156" s="1076"/>
      <c r="BD156" s="1076"/>
      <c r="BE156" s="1076"/>
      <c r="BF156" s="1076"/>
      <c r="BG156" s="1076"/>
      <c r="BH156" s="1076"/>
      <c r="BI156" s="1420"/>
      <c r="BJ156" s="1368"/>
      <c r="BK156" s="1368"/>
      <c r="BL156" s="1368"/>
      <c r="BM156" s="1368"/>
      <c r="BN156" s="1075"/>
      <c r="BO156" s="1076"/>
      <c r="BP156" s="1076"/>
      <c r="BQ156" s="1076"/>
      <c r="BR156" s="1076"/>
      <c r="BS156" s="1115"/>
      <c r="BT156" s="1076"/>
      <c r="BU156" s="1076"/>
      <c r="BV156" s="1076"/>
      <c r="BW156" s="1116"/>
      <c r="BX156" s="1115"/>
      <c r="BY156" s="1076"/>
      <c r="BZ156" s="1076"/>
      <c r="CA156" s="1076"/>
      <c r="CB156" s="1116"/>
      <c r="CC156" s="1117"/>
      <c r="CD156" s="1376"/>
      <c r="CE156" s="1377"/>
      <c r="CF156" s="1377"/>
      <c r="CG156" s="1377"/>
      <c r="CH156" s="1440"/>
      <c r="CI156" s="1420"/>
      <c r="CJ156" s="1368"/>
      <c r="CK156" s="1368"/>
      <c r="CL156" s="1368"/>
      <c r="CM156" s="1369"/>
      <c r="CN156" s="1420"/>
      <c r="CO156" s="1368"/>
      <c r="CP156" s="1368"/>
      <c r="CQ156" s="1368"/>
      <c r="CR156" s="1369"/>
      <c r="CS156" s="1420"/>
      <c r="CT156" s="1368"/>
      <c r="CU156" s="1368"/>
      <c r="CV156" s="1368"/>
      <c r="CW156" s="1369"/>
      <c r="CX156" s="1420"/>
      <c r="CY156" s="1368"/>
      <c r="CZ156" s="1368"/>
      <c r="DA156" s="1368"/>
      <c r="DB156" s="1369"/>
      <c r="DC156" s="1368"/>
      <c r="DD156" s="1368"/>
      <c r="DE156" s="1368"/>
      <c r="DF156" s="1368"/>
      <c r="DG156" s="1369"/>
      <c r="DH156" s="1420"/>
      <c r="DI156" s="1368"/>
      <c r="DJ156" s="1368"/>
      <c r="DK156" s="1368"/>
      <c r="DL156" s="1369"/>
      <c r="DM156" s="1808"/>
      <c r="DN156" s="1809"/>
      <c r="DO156" s="1809"/>
      <c r="DP156" s="1810"/>
      <c r="DQ156" s="1809"/>
      <c r="DR156" s="1809"/>
      <c r="DS156" s="1809"/>
      <c r="DT156" s="1810"/>
      <c r="DU156" s="1377"/>
      <c r="DV156" s="1729"/>
      <c r="DW156" s="1811"/>
    </row>
    <row r="157" spans="1:127" s="397" customFormat="1" ht="15.75" hidden="1" customHeight="1">
      <c r="A157" s="1097" t="s">
        <v>1032</v>
      </c>
      <c r="B157" s="1057">
        <v>148</v>
      </c>
      <c r="C157" s="1018"/>
      <c r="D157" s="1018"/>
      <c r="E157" s="1018"/>
      <c r="F157" s="1018"/>
      <c r="G157" s="1018"/>
      <c r="H157" s="1018"/>
      <c r="I157" s="1018"/>
      <c r="J157" s="1018"/>
      <c r="K157" s="1018"/>
      <c r="L157" s="1018"/>
      <c r="M157" s="1057"/>
      <c r="N157" s="1018"/>
      <c r="O157" s="1018"/>
      <c r="P157" s="1018"/>
      <c r="Q157" s="1018"/>
      <c r="R157" s="1018"/>
      <c r="S157" s="1018"/>
      <c r="T157" s="1019"/>
      <c r="U157" s="1098" t="s">
        <v>2544</v>
      </c>
      <c r="V157" s="1099" t="s">
        <v>2539</v>
      </c>
      <c r="W157" s="1099" t="s">
        <v>1907</v>
      </c>
      <c r="X157" s="1100" t="s">
        <v>2545</v>
      </c>
      <c r="Y157" s="1101" t="s">
        <v>2546</v>
      </c>
      <c r="Z157" s="1102" t="s">
        <v>2547</v>
      </c>
      <c r="AA157" s="1103" t="s">
        <v>1942</v>
      </c>
      <c r="AB157" s="1104" t="s">
        <v>1942</v>
      </c>
      <c r="AC157" s="1104" t="s">
        <v>1942</v>
      </c>
      <c r="AD157" s="1104" t="s">
        <v>1942</v>
      </c>
      <c r="AE157" s="1104">
        <v>1</v>
      </c>
      <c r="AF157" s="1104" t="s">
        <v>1942</v>
      </c>
      <c r="AG157" s="1104" t="s">
        <v>1942</v>
      </c>
      <c r="AH157" s="1104" t="s">
        <v>1942</v>
      </c>
      <c r="AI157" s="1105">
        <f t="shared" si="2"/>
        <v>1</v>
      </c>
      <c r="AJ157" s="1106" t="s">
        <v>1007</v>
      </c>
      <c r="AK157" s="1106" t="s">
        <v>1942</v>
      </c>
      <c r="AL157" s="1106" t="s">
        <v>1942</v>
      </c>
      <c r="AM157" s="1107" t="s">
        <v>2400</v>
      </c>
      <c r="AN157" s="1018" t="s">
        <v>278</v>
      </c>
      <c r="AO157" s="1018" t="s">
        <v>2548</v>
      </c>
      <c r="AP157" s="833">
        <v>1</v>
      </c>
      <c r="AQ157" s="1076" t="s">
        <v>1010</v>
      </c>
      <c r="AR157" s="1109" t="s">
        <v>1942</v>
      </c>
      <c r="AS157" s="1110"/>
      <c r="AT157" s="1100"/>
      <c r="AU157" s="1100"/>
      <c r="AV157" s="1100"/>
      <c r="AW157" s="1111"/>
      <c r="AX157" s="1112"/>
      <c r="AY157" s="1075"/>
      <c r="AZ157" s="1076"/>
      <c r="BA157" s="1076"/>
      <c r="BB157" s="1076"/>
      <c r="BC157" s="1076"/>
      <c r="BD157" s="1076"/>
      <c r="BE157" s="1076"/>
      <c r="BF157" s="1076"/>
      <c r="BG157" s="1076"/>
      <c r="BH157" s="1076"/>
      <c r="BI157" s="1420"/>
      <c r="BJ157" s="1368"/>
      <c r="BK157" s="1368"/>
      <c r="BL157" s="1368"/>
      <c r="BM157" s="1368"/>
      <c r="BN157" s="1075"/>
      <c r="BO157" s="1076"/>
      <c r="BP157" s="1076"/>
      <c r="BQ157" s="1076"/>
      <c r="BR157" s="1076"/>
      <c r="BS157" s="1115"/>
      <c r="BT157" s="1076"/>
      <c r="BU157" s="1076"/>
      <c r="BV157" s="1076"/>
      <c r="BW157" s="1116"/>
      <c r="BX157" s="1115"/>
      <c r="BY157" s="1076"/>
      <c r="BZ157" s="1076"/>
      <c r="CA157" s="1076"/>
      <c r="CB157" s="1116"/>
      <c r="CC157" s="1117"/>
      <c r="CD157" s="1376"/>
      <c r="CE157" s="1377"/>
      <c r="CF157" s="1377"/>
      <c r="CG157" s="1377"/>
      <c r="CH157" s="1440"/>
      <c r="CI157" s="1420"/>
      <c r="CJ157" s="1368"/>
      <c r="CK157" s="1368"/>
      <c r="CL157" s="1368"/>
      <c r="CM157" s="1369"/>
      <c r="CN157" s="1420"/>
      <c r="CO157" s="1368"/>
      <c r="CP157" s="1368"/>
      <c r="CQ157" s="1368"/>
      <c r="CR157" s="1369"/>
      <c r="CS157" s="1420"/>
      <c r="CT157" s="1368"/>
      <c r="CU157" s="1368"/>
      <c r="CV157" s="1368"/>
      <c r="CW157" s="1369"/>
      <c r="CX157" s="1420"/>
      <c r="CY157" s="1368"/>
      <c r="CZ157" s="1368"/>
      <c r="DA157" s="1368"/>
      <c r="DB157" s="1369"/>
      <c r="DC157" s="1368"/>
      <c r="DD157" s="1368"/>
      <c r="DE157" s="1368"/>
      <c r="DF157" s="1368"/>
      <c r="DG157" s="1369"/>
      <c r="DH157" s="1420"/>
      <c r="DI157" s="1368"/>
      <c r="DJ157" s="1368"/>
      <c r="DK157" s="1368"/>
      <c r="DL157" s="1369"/>
      <c r="DM157" s="1808"/>
      <c r="DN157" s="1809"/>
      <c r="DO157" s="1809"/>
      <c r="DP157" s="1810"/>
      <c r="DQ157" s="1809"/>
      <c r="DR157" s="1809"/>
      <c r="DS157" s="1809"/>
      <c r="DT157" s="1810"/>
      <c r="DU157" s="1377"/>
      <c r="DV157" s="1729"/>
      <c r="DW157" s="1811"/>
    </row>
    <row r="158" spans="1:127" s="397" customFormat="1" ht="15.75" hidden="1" customHeight="1">
      <c r="A158" s="1097" t="s">
        <v>1032</v>
      </c>
      <c r="B158" s="1057">
        <v>149</v>
      </c>
      <c r="C158" s="1018"/>
      <c r="D158" s="1018"/>
      <c r="E158" s="1018"/>
      <c r="F158" s="1018"/>
      <c r="G158" s="1018"/>
      <c r="H158" s="1018"/>
      <c r="I158" s="1018"/>
      <c r="J158" s="1018"/>
      <c r="K158" s="1018"/>
      <c r="L158" s="1018"/>
      <c r="M158" s="1057"/>
      <c r="N158" s="1018"/>
      <c r="O158" s="1018"/>
      <c r="P158" s="1018"/>
      <c r="Q158" s="1018"/>
      <c r="R158" s="1018"/>
      <c r="S158" s="1018"/>
      <c r="T158" s="1019"/>
      <c r="U158" s="1098" t="s">
        <v>2549</v>
      </c>
      <c r="V158" s="1099" t="s">
        <v>2550</v>
      </c>
      <c r="W158" s="1099" t="s">
        <v>1907</v>
      </c>
      <c r="X158" s="1100" t="s">
        <v>2551</v>
      </c>
      <c r="Y158" s="1101" t="s">
        <v>2552</v>
      </c>
      <c r="Z158" s="1102" t="s">
        <v>2553</v>
      </c>
      <c r="AA158" s="1103" t="s">
        <v>1942</v>
      </c>
      <c r="AB158" s="1104" t="s">
        <v>1942</v>
      </c>
      <c r="AC158" s="1104" t="s">
        <v>1942</v>
      </c>
      <c r="AD158" s="1104" t="s">
        <v>1942</v>
      </c>
      <c r="AE158" s="1104">
        <v>1</v>
      </c>
      <c r="AF158" s="1104" t="s">
        <v>1942</v>
      </c>
      <c r="AG158" s="1104" t="s">
        <v>1942</v>
      </c>
      <c r="AH158" s="1104" t="s">
        <v>1942</v>
      </c>
      <c r="AI158" s="1105">
        <f t="shared" si="2"/>
        <v>1</v>
      </c>
      <c r="AJ158" s="1106" t="s">
        <v>1007</v>
      </c>
      <c r="AK158" s="1106" t="s">
        <v>1942</v>
      </c>
      <c r="AL158" s="1106" t="s">
        <v>1942</v>
      </c>
      <c r="AM158" s="1107" t="s">
        <v>1947</v>
      </c>
      <c r="AN158" s="1018" t="s">
        <v>1033</v>
      </c>
      <c r="AO158" s="1018" t="s">
        <v>2554</v>
      </c>
      <c r="AP158" s="833">
        <v>2</v>
      </c>
      <c r="AQ158" s="1076" t="s">
        <v>1020</v>
      </c>
      <c r="AR158" s="1109" t="s">
        <v>1942</v>
      </c>
      <c r="AS158" s="1110"/>
      <c r="AT158" s="1100"/>
      <c r="AU158" s="1100"/>
      <c r="AV158" s="1100"/>
      <c r="AW158" s="1111"/>
      <c r="AX158" s="1112"/>
      <c r="AY158" s="1075"/>
      <c r="AZ158" s="1076"/>
      <c r="BA158" s="1076"/>
      <c r="BB158" s="1076"/>
      <c r="BC158" s="1076"/>
      <c r="BD158" s="1076"/>
      <c r="BE158" s="1076"/>
      <c r="BF158" s="1076"/>
      <c r="BG158" s="1076"/>
      <c r="BH158" s="1076"/>
      <c r="BI158" s="1420"/>
      <c r="BJ158" s="1368"/>
      <c r="BK158" s="1368"/>
      <c r="BL158" s="1368"/>
      <c r="BM158" s="1368"/>
      <c r="BN158" s="1075"/>
      <c r="BO158" s="1076"/>
      <c r="BP158" s="1076"/>
      <c r="BQ158" s="1076"/>
      <c r="BR158" s="1076"/>
      <c r="BS158" s="1115"/>
      <c r="BT158" s="1076"/>
      <c r="BU158" s="1076"/>
      <c r="BV158" s="1076"/>
      <c r="BW158" s="1116"/>
      <c r="BX158" s="1115"/>
      <c r="BY158" s="1076"/>
      <c r="BZ158" s="1076"/>
      <c r="CA158" s="1076"/>
      <c r="CB158" s="1116"/>
      <c r="CC158" s="1117"/>
      <c r="CD158" s="1376"/>
      <c r="CE158" s="1377"/>
      <c r="CF158" s="1377"/>
      <c r="CG158" s="1377"/>
      <c r="CH158" s="1440"/>
      <c r="CI158" s="1420"/>
      <c r="CJ158" s="1368"/>
      <c r="CK158" s="1368"/>
      <c r="CL158" s="1368"/>
      <c r="CM158" s="1369"/>
      <c r="CN158" s="1420"/>
      <c r="CO158" s="1368"/>
      <c r="CP158" s="1368"/>
      <c r="CQ158" s="1368"/>
      <c r="CR158" s="1369"/>
      <c r="CS158" s="1420"/>
      <c r="CT158" s="1368"/>
      <c r="CU158" s="1368"/>
      <c r="CV158" s="1368"/>
      <c r="CW158" s="1369"/>
      <c r="CX158" s="1420"/>
      <c r="CY158" s="1368"/>
      <c r="CZ158" s="1368"/>
      <c r="DA158" s="1368"/>
      <c r="DB158" s="1369"/>
      <c r="DC158" s="1368"/>
      <c r="DD158" s="1368"/>
      <c r="DE158" s="1368"/>
      <c r="DF158" s="1368"/>
      <c r="DG158" s="1369"/>
      <c r="DH158" s="1420"/>
      <c r="DI158" s="1368"/>
      <c r="DJ158" s="1368"/>
      <c r="DK158" s="1368"/>
      <c r="DL158" s="1369"/>
      <c r="DM158" s="1808"/>
      <c r="DN158" s="1809"/>
      <c r="DO158" s="1809"/>
      <c r="DP158" s="1810"/>
      <c r="DQ158" s="1809"/>
      <c r="DR158" s="1809"/>
      <c r="DS158" s="1809"/>
      <c r="DT158" s="1810"/>
      <c r="DU158" s="1377"/>
      <c r="DV158" s="1729"/>
      <c r="DW158" s="1811"/>
    </row>
    <row r="159" spans="1:127" s="397" customFormat="1" ht="15.75" hidden="1" customHeight="1">
      <c r="A159" s="1097" t="s">
        <v>1032</v>
      </c>
      <c r="B159" s="1057">
        <v>150</v>
      </c>
      <c r="C159" s="1018"/>
      <c r="D159" s="1018"/>
      <c r="E159" s="1018"/>
      <c r="F159" s="1018"/>
      <c r="G159" s="1018"/>
      <c r="H159" s="1018"/>
      <c r="I159" s="1018"/>
      <c r="J159" s="1018"/>
      <c r="K159" s="1018"/>
      <c r="L159" s="1018"/>
      <c r="M159" s="1057"/>
      <c r="N159" s="1018"/>
      <c r="O159" s="1018"/>
      <c r="P159" s="1018"/>
      <c r="Q159" s="1018"/>
      <c r="R159" s="1018"/>
      <c r="S159" s="1018"/>
      <c r="T159" s="1019"/>
      <c r="U159" s="1098" t="s">
        <v>2555</v>
      </c>
      <c r="V159" s="1099" t="s">
        <v>2486</v>
      </c>
      <c r="W159" s="1099" t="s">
        <v>1907</v>
      </c>
      <c r="X159" s="1100" t="s">
        <v>2556</v>
      </c>
      <c r="Y159" s="1101" t="s">
        <v>2557</v>
      </c>
      <c r="Z159" s="1102" t="s">
        <v>4829</v>
      </c>
      <c r="AA159" s="1103" t="s">
        <v>1942</v>
      </c>
      <c r="AB159" s="1104">
        <v>1</v>
      </c>
      <c r="AC159" s="1104" t="s">
        <v>1942</v>
      </c>
      <c r="AD159" s="1104" t="s">
        <v>1942</v>
      </c>
      <c r="AE159" s="1104" t="s">
        <v>1942</v>
      </c>
      <c r="AF159" s="1104" t="s">
        <v>1942</v>
      </c>
      <c r="AG159" s="1104" t="s">
        <v>1942</v>
      </c>
      <c r="AH159" s="1104" t="s">
        <v>1942</v>
      </c>
      <c r="AI159" s="1105">
        <f t="shared" si="2"/>
        <v>1</v>
      </c>
      <c r="AJ159" s="1106" t="s">
        <v>1030</v>
      </c>
      <c r="AK159" s="1106" t="s">
        <v>1008</v>
      </c>
      <c r="AL159" s="1106" t="s">
        <v>1009</v>
      </c>
      <c r="AM159" s="1107" t="s">
        <v>2237</v>
      </c>
      <c r="AN159" s="1018" t="s">
        <v>1033</v>
      </c>
      <c r="AO159" s="1018" t="s">
        <v>2559</v>
      </c>
      <c r="AP159" s="833">
        <v>1</v>
      </c>
      <c r="AQ159" s="1076" t="s">
        <v>1020</v>
      </c>
      <c r="AR159" s="1109" t="s">
        <v>1942</v>
      </c>
      <c r="AS159" s="1110"/>
      <c r="AT159" s="1100"/>
      <c r="AU159" s="1100"/>
      <c r="AV159" s="1100"/>
      <c r="AW159" s="1111"/>
      <c r="AX159" s="1112"/>
      <c r="AY159" s="1075"/>
      <c r="AZ159" s="1076"/>
      <c r="BA159" s="1076"/>
      <c r="BB159" s="1076"/>
      <c r="BC159" s="1076"/>
      <c r="BD159" s="1076"/>
      <c r="BE159" s="1076"/>
      <c r="BF159" s="1076"/>
      <c r="BG159" s="1076"/>
      <c r="BH159" s="1076"/>
      <c r="BI159" s="1420"/>
      <c r="BJ159" s="1368"/>
      <c r="BK159" s="1368"/>
      <c r="BL159" s="1368"/>
      <c r="BM159" s="1368"/>
      <c r="BN159" s="1075"/>
      <c r="BO159" s="1076"/>
      <c r="BP159" s="1076"/>
      <c r="BQ159" s="1076"/>
      <c r="BR159" s="1076"/>
      <c r="BS159" s="1115"/>
      <c r="BT159" s="1076"/>
      <c r="BU159" s="1076"/>
      <c r="BV159" s="1076"/>
      <c r="BW159" s="1116"/>
      <c r="BX159" s="1115"/>
      <c r="BY159" s="1076"/>
      <c r="BZ159" s="1076"/>
      <c r="CA159" s="1076"/>
      <c r="CB159" s="1116"/>
      <c r="CC159" s="1117"/>
      <c r="CD159" s="1376"/>
      <c r="CE159" s="1377"/>
      <c r="CF159" s="1377"/>
      <c r="CG159" s="1377"/>
      <c r="CH159" s="1440"/>
      <c r="CI159" s="1420"/>
      <c r="CJ159" s="1368"/>
      <c r="CK159" s="1368"/>
      <c r="CL159" s="1368"/>
      <c r="CM159" s="1369"/>
      <c r="CN159" s="1420"/>
      <c r="CO159" s="1368"/>
      <c r="CP159" s="1368"/>
      <c r="CQ159" s="1368"/>
      <c r="CR159" s="1369"/>
      <c r="CS159" s="1420"/>
      <c r="CT159" s="1368"/>
      <c r="CU159" s="1368"/>
      <c r="CV159" s="1368"/>
      <c r="CW159" s="1369"/>
      <c r="CX159" s="1420"/>
      <c r="CY159" s="1368"/>
      <c r="CZ159" s="1368"/>
      <c r="DA159" s="1368"/>
      <c r="DB159" s="1369"/>
      <c r="DC159" s="1368"/>
      <c r="DD159" s="1368"/>
      <c r="DE159" s="1368"/>
      <c r="DF159" s="1368"/>
      <c r="DG159" s="1369"/>
      <c r="DH159" s="1420"/>
      <c r="DI159" s="1368"/>
      <c r="DJ159" s="1368"/>
      <c r="DK159" s="1368"/>
      <c r="DL159" s="1369"/>
      <c r="DM159" s="1808"/>
      <c r="DN159" s="1809"/>
      <c r="DO159" s="1809"/>
      <c r="DP159" s="1810"/>
      <c r="DQ159" s="1809"/>
      <c r="DR159" s="1809"/>
      <c r="DS159" s="1809"/>
      <c r="DT159" s="1810"/>
      <c r="DU159" s="1377"/>
      <c r="DV159" s="1729"/>
      <c r="DW159" s="1811"/>
    </row>
    <row r="160" spans="1:127" s="397" customFormat="1" ht="15.75" hidden="1" customHeight="1">
      <c r="A160" s="1097" t="s">
        <v>1032</v>
      </c>
      <c r="B160" s="1057">
        <v>151</v>
      </c>
      <c r="C160" s="1018"/>
      <c r="D160" s="1018"/>
      <c r="E160" s="1018"/>
      <c r="F160" s="1018"/>
      <c r="G160" s="1018"/>
      <c r="H160" s="1018"/>
      <c r="I160" s="1018"/>
      <c r="J160" s="1018"/>
      <c r="K160" s="1018"/>
      <c r="L160" s="1018"/>
      <c r="M160" s="1057"/>
      <c r="N160" s="1018"/>
      <c r="O160" s="1018"/>
      <c r="P160" s="1018"/>
      <c r="Q160" s="1018"/>
      <c r="R160" s="1018"/>
      <c r="S160" s="1018"/>
      <c r="T160" s="1019"/>
      <c r="U160" s="1098" t="s">
        <v>2560</v>
      </c>
      <c r="V160" s="1099" t="s">
        <v>2561</v>
      </c>
      <c r="W160" s="1099" t="s">
        <v>1907</v>
      </c>
      <c r="X160" s="1100" t="s">
        <v>2562</v>
      </c>
      <c r="Y160" s="1101" t="s">
        <v>2563</v>
      </c>
      <c r="Z160" s="1102" t="s">
        <v>2564</v>
      </c>
      <c r="AA160" s="1103" t="s">
        <v>1942</v>
      </c>
      <c r="AB160" s="1104" t="s">
        <v>1942</v>
      </c>
      <c r="AC160" s="1104" t="s">
        <v>1942</v>
      </c>
      <c r="AD160" s="1104" t="s">
        <v>1942</v>
      </c>
      <c r="AE160" s="1104">
        <v>1</v>
      </c>
      <c r="AF160" s="1104" t="s">
        <v>1942</v>
      </c>
      <c r="AG160" s="1104" t="s">
        <v>1942</v>
      </c>
      <c r="AH160" s="1104" t="s">
        <v>1942</v>
      </c>
      <c r="AI160" s="1105">
        <f t="shared" si="2"/>
        <v>1</v>
      </c>
      <c r="AJ160" s="1106" t="s">
        <v>1007</v>
      </c>
      <c r="AK160" s="1106" t="s">
        <v>1942</v>
      </c>
      <c r="AL160" s="1106" t="s">
        <v>1942</v>
      </c>
      <c r="AM160" s="1107" t="s">
        <v>2117</v>
      </c>
      <c r="AN160" s="1018" t="s">
        <v>1033</v>
      </c>
      <c r="AO160" s="1018" t="s">
        <v>2565</v>
      </c>
      <c r="AP160" s="833">
        <v>1</v>
      </c>
      <c r="AQ160" s="1076" t="s">
        <v>1010</v>
      </c>
      <c r="AR160" s="1109" t="s">
        <v>1942</v>
      </c>
      <c r="AS160" s="1110"/>
      <c r="AT160" s="1100"/>
      <c r="AU160" s="1100"/>
      <c r="AV160" s="1100"/>
      <c r="AW160" s="1111"/>
      <c r="AX160" s="1112"/>
      <c r="AY160" s="1075"/>
      <c r="AZ160" s="1076"/>
      <c r="BA160" s="1076"/>
      <c r="BB160" s="1076"/>
      <c r="BC160" s="1076"/>
      <c r="BD160" s="1076"/>
      <c r="BE160" s="1076"/>
      <c r="BF160" s="1076"/>
      <c r="BG160" s="1076"/>
      <c r="BH160" s="1076"/>
      <c r="BI160" s="1420"/>
      <c r="BJ160" s="1368"/>
      <c r="BK160" s="1368"/>
      <c r="BL160" s="1368"/>
      <c r="BM160" s="1368"/>
      <c r="BN160" s="1075"/>
      <c r="BO160" s="1076"/>
      <c r="BP160" s="1076"/>
      <c r="BQ160" s="1076"/>
      <c r="BR160" s="1076"/>
      <c r="BS160" s="1115"/>
      <c r="BT160" s="1076"/>
      <c r="BU160" s="1076"/>
      <c r="BV160" s="1076"/>
      <c r="BW160" s="1116"/>
      <c r="BX160" s="1115"/>
      <c r="BY160" s="1076"/>
      <c r="BZ160" s="1076"/>
      <c r="CA160" s="1076"/>
      <c r="CB160" s="1116"/>
      <c r="CC160" s="1117"/>
      <c r="CD160" s="1376"/>
      <c r="CE160" s="1377"/>
      <c r="CF160" s="1377"/>
      <c r="CG160" s="1377"/>
      <c r="CH160" s="1440"/>
      <c r="CI160" s="1420"/>
      <c r="CJ160" s="1368"/>
      <c r="CK160" s="1368"/>
      <c r="CL160" s="1368"/>
      <c r="CM160" s="1369"/>
      <c r="CN160" s="1420"/>
      <c r="CO160" s="1368"/>
      <c r="CP160" s="1368"/>
      <c r="CQ160" s="1368"/>
      <c r="CR160" s="1369"/>
      <c r="CS160" s="1420"/>
      <c r="CT160" s="1368"/>
      <c r="CU160" s="1368"/>
      <c r="CV160" s="1368"/>
      <c r="CW160" s="1369"/>
      <c r="CX160" s="1420"/>
      <c r="CY160" s="1368"/>
      <c r="CZ160" s="1368"/>
      <c r="DA160" s="1368"/>
      <c r="DB160" s="1369"/>
      <c r="DC160" s="1368"/>
      <c r="DD160" s="1368"/>
      <c r="DE160" s="1368"/>
      <c r="DF160" s="1368"/>
      <c r="DG160" s="1369"/>
      <c r="DH160" s="1420"/>
      <c r="DI160" s="1368"/>
      <c r="DJ160" s="1368"/>
      <c r="DK160" s="1368"/>
      <c r="DL160" s="1369"/>
      <c r="DM160" s="1808"/>
      <c r="DN160" s="1809"/>
      <c r="DO160" s="1809"/>
      <c r="DP160" s="1810"/>
      <c r="DQ160" s="1809"/>
      <c r="DR160" s="1809"/>
      <c r="DS160" s="1809"/>
      <c r="DT160" s="1810"/>
      <c r="DU160" s="1377"/>
      <c r="DV160" s="1729"/>
      <c r="DW160" s="1811"/>
    </row>
    <row r="161" spans="1:127" s="397" customFormat="1" ht="15.75" hidden="1" customHeight="1">
      <c r="A161" s="1097" t="s">
        <v>1032</v>
      </c>
      <c r="B161" s="1057">
        <v>152</v>
      </c>
      <c r="C161" s="1018"/>
      <c r="D161" s="1018"/>
      <c r="E161" s="1018"/>
      <c r="F161" s="1018"/>
      <c r="G161" s="1018"/>
      <c r="H161" s="1018"/>
      <c r="I161" s="1018"/>
      <c r="J161" s="1018"/>
      <c r="K161" s="1018"/>
      <c r="L161" s="1018"/>
      <c r="M161" s="1057"/>
      <c r="N161" s="1018"/>
      <c r="O161" s="1018"/>
      <c r="P161" s="1018"/>
      <c r="Q161" s="1018"/>
      <c r="R161" s="1018"/>
      <c r="S161" s="1018"/>
      <c r="T161" s="1019"/>
      <c r="U161" s="1098" t="s">
        <v>2566</v>
      </c>
      <c r="V161" s="1099" t="s">
        <v>2539</v>
      </c>
      <c r="W161" s="1099" t="s">
        <v>1907</v>
      </c>
      <c r="X161" s="1100" t="s">
        <v>2567</v>
      </c>
      <c r="Y161" s="1101" t="s">
        <v>2568</v>
      </c>
      <c r="Z161" s="1102" t="s">
        <v>2569</v>
      </c>
      <c r="AA161" s="1103" t="s">
        <v>1942</v>
      </c>
      <c r="AB161" s="1104" t="s">
        <v>1942</v>
      </c>
      <c r="AC161" s="1104" t="s">
        <v>1942</v>
      </c>
      <c r="AD161" s="1104" t="s">
        <v>1942</v>
      </c>
      <c r="AE161" s="1104">
        <v>1</v>
      </c>
      <c r="AF161" s="1104" t="s">
        <v>1942</v>
      </c>
      <c r="AG161" s="1104" t="s">
        <v>1942</v>
      </c>
      <c r="AH161" s="1104" t="s">
        <v>1942</v>
      </c>
      <c r="AI161" s="1105">
        <f t="shared" si="2"/>
        <v>1</v>
      </c>
      <c r="AJ161" s="1106" t="s">
        <v>1007</v>
      </c>
      <c r="AK161" s="1106" t="s">
        <v>1942</v>
      </c>
      <c r="AL161" s="1106" t="s">
        <v>1942</v>
      </c>
      <c r="AM161" s="1107" t="s">
        <v>2117</v>
      </c>
      <c r="AN161" s="1018" t="s">
        <v>278</v>
      </c>
      <c r="AO161" s="1018" t="s">
        <v>2570</v>
      </c>
      <c r="AP161" s="833">
        <v>2</v>
      </c>
      <c r="AQ161" s="1076" t="s">
        <v>1020</v>
      </c>
      <c r="AR161" s="1109" t="s">
        <v>1942</v>
      </c>
      <c r="AS161" s="1110"/>
      <c r="AT161" s="1100"/>
      <c r="AU161" s="1100"/>
      <c r="AV161" s="1100"/>
      <c r="AW161" s="1111"/>
      <c r="AX161" s="1112"/>
      <c r="AY161" s="1075"/>
      <c r="AZ161" s="1076"/>
      <c r="BA161" s="1076"/>
      <c r="BB161" s="1076"/>
      <c r="BC161" s="1076"/>
      <c r="BD161" s="1076"/>
      <c r="BE161" s="1076"/>
      <c r="BF161" s="1076"/>
      <c r="BG161" s="1076"/>
      <c r="BH161" s="1076"/>
      <c r="BI161" s="1420"/>
      <c r="BJ161" s="1368"/>
      <c r="BK161" s="1368"/>
      <c r="BL161" s="1368"/>
      <c r="BM161" s="1368"/>
      <c r="BN161" s="1075"/>
      <c r="BO161" s="1076"/>
      <c r="BP161" s="1076"/>
      <c r="BQ161" s="1076"/>
      <c r="BR161" s="1076"/>
      <c r="BS161" s="1115"/>
      <c r="BT161" s="1076"/>
      <c r="BU161" s="1076"/>
      <c r="BV161" s="1076"/>
      <c r="BW161" s="1116"/>
      <c r="BX161" s="1115"/>
      <c r="BY161" s="1076"/>
      <c r="BZ161" s="1076"/>
      <c r="CA161" s="1076"/>
      <c r="CB161" s="1116"/>
      <c r="CC161" s="1117"/>
      <c r="CD161" s="1376"/>
      <c r="CE161" s="1377"/>
      <c r="CF161" s="1377"/>
      <c r="CG161" s="1377"/>
      <c r="CH161" s="1440"/>
      <c r="CI161" s="1420"/>
      <c r="CJ161" s="1368"/>
      <c r="CK161" s="1368"/>
      <c r="CL161" s="1368"/>
      <c r="CM161" s="1369"/>
      <c r="CN161" s="1420"/>
      <c r="CO161" s="1368"/>
      <c r="CP161" s="1368"/>
      <c r="CQ161" s="1368"/>
      <c r="CR161" s="1369"/>
      <c r="CS161" s="1420"/>
      <c r="CT161" s="1368"/>
      <c r="CU161" s="1368"/>
      <c r="CV161" s="1368"/>
      <c r="CW161" s="1369"/>
      <c r="CX161" s="1420"/>
      <c r="CY161" s="1368"/>
      <c r="CZ161" s="1368"/>
      <c r="DA161" s="1368"/>
      <c r="DB161" s="1369"/>
      <c r="DC161" s="1368"/>
      <c r="DD161" s="1368"/>
      <c r="DE161" s="1368"/>
      <c r="DF161" s="1368"/>
      <c r="DG161" s="1369"/>
      <c r="DH161" s="1420"/>
      <c r="DI161" s="1368"/>
      <c r="DJ161" s="1368"/>
      <c r="DK161" s="1368"/>
      <c r="DL161" s="1369"/>
      <c r="DM161" s="1808"/>
      <c r="DN161" s="1809"/>
      <c r="DO161" s="1809"/>
      <c r="DP161" s="1810"/>
      <c r="DQ161" s="1809"/>
      <c r="DR161" s="1809"/>
      <c r="DS161" s="1809"/>
      <c r="DT161" s="1810"/>
      <c r="DU161" s="1377"/>
      <c r="DV161" s="1729"/>
      <c r="DW161" s="1811"/>
    </row>
    <row r="162" spans="1:127" s="397" customFormat="1" ht="15.75" hidden="1" customHeight="1">
      <c r="A162" s="1097" t="s">
        <v>1032</v>
      </c>
      <c r="B162" s="1057">
        <v>153</v>
      </c>
      <c r="C162" s="1018"/>
      <c r="D162" s="1018" t="s">
        <v>2098</v>
      </c>
      <c r="E162" s="1018"/>
      <c r="F162" s="1018"/>
      <c r="G162" s="1018"/>
      <c r="H162" s="1018"/>
      <c r="I162" s="1018"/>
      <c r="J162" s="1018"/>
      <c r="K162" s="1018"/>
      <c r="L162" s="1018"/>
      <c r="M162" s="1057"/>
      <c r="N162" s="1018"/>
      <c r="O162" s="1018"/>
      <c r="P162" s="1018"/>
      <c r="Q162" s="1018"/>
      <c r="R162" s="1018"/>
      <c r="S162" s="1018"/>
      <c r="T162" s="1019"/>
      <c r="U162" s="1098" t="s">
        <v>2571</v>
      </c>
      <c r="V162" s="1099" t="s">
        <v>2572</v>
      </c>
      <c r="W162" s="1099" t="s">
        <v>1907</v>
      </c>
      <c r="X162" s="1100" t="s">
        <v>2573</v>
      </c>
      <c r="Y162" s="1101" t="s">
        <v>2574</v>
      </c>
      <c r="Z162" s="1102" t="s">
        <v>2575</v>
      </c>
      <c r="AA162" s="1103" t="s">
        <v>1942</v>
      </c>
      <c r="AB162" s="1104">
        <v>0.56999999999999995</v>
      </c>
      <c r="AC162" s="1104">
        <v>0.43</v>
      </c>
      <c r="AD162" s="1104" t="s">
        <v>1942</v>
      </c>
      <c r="AE162" s="1104" t="s">
        <v>1942</v>
      </c>
      <c r="AF162" s="1104" t="s">
        <v>1942</v>
      </c>
      <c r="AG162" s="1104" t="s">
        <v>1942</v>
      </c>
      <c r="AH162" s="1104" t="s">
        <v>1942</v>
      </c>
      <c r="AI162" s="1105">
        <f t="shared" si="2"/>
        <v>1</v>
      </c>
      <c r="AJ162" s="1106" t="s">
        <v>1007</v>
      </c>
      <c r="AK162" s="1106" t="s">
        <v>1942</v>
      </c>
      <c r="AL162" s="1106" t="s">
        <v>1942</v>
      </c>
      <c r="AM162" s="1107" t="s">
        <v>2117</v>
      </c>
      <c r="AN162" s="1018" t="s">
        <v>278</v>
      </c>
      <c r="AO162" s="1018" t="s">
        <v>2576</v>
      </c>
      <c r="AP162" s="833">
        <v>1</v>
      </c>
      <c r="AQ162" s="1076" t="s">
        <v>1010</v>
      </c>
      <c r="AR162" s="1109" t="s">
        <v>1942</v>
      </c>
      <c r="AS162" s="1110"/>
      <c r="AT162" s="1100"/>
      <c r="AU162" s="1100"/>
      <c r="AV162" s="1100"/>
      <c r="AW162" s="1111"/>
      <c r="AX162" s="1112"/>
      <c r="AY162" s="1075"/>
      <c r="AZ162" s="1076"/>
      <c r="BA162" s="1076"/>
      <c r="BB162" s="1076"/>
      <c r="BC162" s="1076"/>
      <c r="BD162" s="1076"/>
      <c r="BE162" s="1076"/>
      <c r="BF162" s="1076"/>
      <c r="BG162" s="1076"/>
      <c r="BH162" s="1076"/>
      <c r="BI162" s="1420"/>
      <c r="BJ162" s="1368"/>
      <c r="BK162" s="1368"/>
      <c r="BL162" s="1368"/>
      <c r="BM162" s="1368"/>
      <c r="BN162" s="1075"/>
      <c r="BO162" s="1076"/>
      <c r="BP162" s="1076"/>
      <c r="BQ162" s="1076"/>
      <c r="BR162" s="1076"/>
      <c r="BS162" s="1115"/>
      <c r="BT162" s="1076"/>
      <c r="BU162" s="1076"/>
      <c r="BV162" s="1076"/>
      <c r="BW162" s="1116"/>
      <c r="BX162" s="1115"/>
      <c r="BY162" s="1076"/>
      <c r="BZ162" s="1076"/>
      <c r="CA162" s="1076"/>
      <c r="CB162" s="1116"/>
      <c r="CC162" s="1117"/>
      <c r="CD162" s="1376"/>
      <c r="CE162" s="1377"/>
      <c r="CF162" s="1377"/>
      <c r="CG162" s="1377"/>
      <c r="CH162" s="1440"/>
      <c r="CI162" s="1420"/>
      <c r="CJ162" s="1368"/>
      <c r="CK162" s="1368"/>
      <c r="CL162" s="1368"/>
      <c r="CM162" s="1369"/>
      <c r="CN162" s="1420"/>
      <c r="CO162" s="1368"/>
      <c r="CP162" s="1368"/>
      <c r="CQ162" s="1368"/>
      <c r="CR162" s="1369"/>
      <c r="CS162" s="1420"/>
      <c r="CT162" s="1368"/>
      <c r="CU162" s="1368"/>
      <c r="CV162" s="1368"/>
      <c r="CW162" s="1369"/>
      <c r="CX162" s="1420"/>
      <c r="CY162" s="1368"/>
      <c r="CZ162" s="1368"/>
      <c r="DA162" s="1368"/>
      <c r="DB162" s="1369"/>
      <c r="DC162" s="1368"/>
      <c r="DD162" s="1368"/>
      <c r="DE162" s="1368"/>
      <c r="DF162" s="1368"/>
      <c r="DG162" s="1369"/>
      <c r="DH162" s="1420"/>
      <c r="DI162" s="1368"/>
      <c r="DJ162" s="1368"/>
      <c r="DK162" s="1368"/>
      <c r="DL162" s="1369"/>
      <c r="DM162" s="1808"/>
      <c r="DN162" s="1809"/>
      <c r="DO162" s="1809"/>
      <c r="DP162" s="1810"/>
      <c r="DQ162" s="1809"/>
      <c r="DR162" s="1809"/>
      <c r="DS162" s="1809"/>
      <c r="DT162" s="1810"/>
      <c r="DU162" s="1377"/>
      <c r="DV162" s="1729"/>
      <c r="DW162" s="1811"/>
    </row>
    <row r="163" spans="1:127" s="397" customFormat="1" ht="15.75" hidden="1" customHeight="1">
      <c r="A163" s="1097" t="s">
        <v>1032</v>
      </c>
      <c r="B163" s="1057">
        <v>154</v>
      </c>
      <c r="C163" s="1018"/>
      <c r="D163" s="1018"/>
      <c r="E163" s="1018"/>
      <c r="F163" s="1018"/>
      <c r="G163" s="1018"/>
      <c r="H163" s="1018"/>
      <c r="I163" s="1018"/>
      <c r="J163" s="1018"/>
      <c r="K163" s="1018"/>
      <c r="L163" s="1018"/>
      <c r="M163" s="1057"/>
      <c r="N163" s="1018"/>
      <c r="O163" s="1018"/>
      <c r="P163" s="1018"/>
      <c r="Q163" s="1018"/>
      <c r="R163" s="1018"/>
      <c r="S163" s="1018"/>
      <c r="T163" s="1019"/>
      <c r="U163" s="1098" t="s">
        <v>2577</v>
      </c>
      <c r="V163" s="1099" t="s">
        <v>2539</v>
      </c>
      <c r="W163" s="1099" t="s">
        <v>1907</v>
      </c>
      <c r="X163" s="1100" t="s">
        <v>2578</v>
      </c>
      <c r="Y163" s="1101" t="s">
        <v>2579</v>
      </c>
      <c r="Z163" s="1102" t="s">
        <v>2580</v>
      </c>
      <c r="AA163" s="1103" t="s">
        <v>1942</v>
      </c>
      <c r="AB163" s="1104" t="s">
        <v>1942</v>
      </c>
      <c r="AC163" s="1104" t="s">
        <v>1942</v>
      </c>
      <c r="AD163" s="1104" t="s">
        <v>1942</v>
      </c>
      <c r="AE163" s="1104">
        <v>1</v>
      </c>
      <c r="AF163" s="1104" t="s">
        <v>1942</v>
      </c>
      <c r="AG163" s="1104" t="s">
        <v>1942</v>
      </c>
      <c r="AH163" s="1104" t="s">
        <v>1942</v>
      </c>
      <c r="AI163" s="1105">
        <f t="shared" si="2"/>
        <v>1</v>
      </c>
      <c r="AJ163" s="1106" t="s">
        <v>1030</v>
      </c>
      <c r="AK163" s="1106" t="s">
        <v>1008</v>
      </c>
      <c r="AL163" s="1106" t="s">
        <v>1009</v>
      </c>
      <c r="AM163" s="1107" t="s">
        <v>2117</v>
      </c>
      <c r="AN163" s="1018" t="s">
        <v>278</v>
      </c>
      <c r="AO163" s="1018" t="s">
        <v>2581</v>
      </c>
      <c r="AP163" s="833">
        <v>2</v>
      </c>
      <c r="AQ163" s="1076" t="s">
        <v>1020</v>
      </c>
      <c r="AR163" s="1109" t="s">
        <v>1942</v>
      </c>
      <c r="AS163" s="1110"/>
      <c r="AT163" s="1100"/>
      <c r="AU163" s="1100"/>
      <c r="AV163" s="1100"/>
      <c r="AW163" s="1111"/>
      <c r="AX163" s="1112"/>
      <c r="AY163" s="1075"/>
      <c r="AZ163" s="1076"/>
      <c r="BA163" s="1076"/>
      <c r="BB163" s="1076"/>
      <c r="BC163" s="1076"/>
      <c r="BD163" s="1076"/>
      <c r="BE163" s="1076"/>
      <c r="BF163" s="1076"/>
      <c r="BG163" s="1076"/>
      <c r="BH163" s="1076"/>
      <c r="BI163" s="1420"/>
      <c r="BJ163" s="1368"/>
      <c r="BK163" s="1368"/>
      <c r="BL163" s="1368"/>
      <c r="BM163" s="1368"/>
      <c r="BN163" s="1075"/>
      <c r="BO163" s="1076"/>
      <c r="BP163" s="1076"/>
      <c r="BQ163" s="1076"/>
      <c r="BR163" s="1076"/>
      <c r="BS163" s="1115"/>
      <c r="BT163" s="1076"/>
      <c r="BU163" s="1076"/>
      <c r="BV163" s="1076"/>
      <c r="BW163" s="1116"/>
      <c r="BX163" s="1115"/>
      <c r="BY163" s="1076"/>
      <c r="BZ163" s="1076"/>
      <c r="CA163" s="1076"/>
      <c r="CB163" s="1116"/>
      <c r="CC163" s="1117"/>
      <c r="CD163" s="1376"/>
      <c r="CE163" s="1377"/>
      <c r="CF163" s="1377"/>
      <c r="CG163" s="1377"/>
      <c r="CH163" s="1440"/>
      <c r="CI163" s="1420"/>
      <c r="CJ163" s="1368"/>
      <c r="CK163" s="1368"/>
      <c r="CL163" s="1368"/>
      <c r="CM163" s="1369"/>
      <c r="CN163" s="1420"/>
      <c r="CO163" s="1368"/>
      <c r="CP163" s="1368"/>
      <c r="CQ163" s="1368"/>
      <c r="CR163" s="1369"/>
      <c r="CS163" s="1420"/>
      <c r="CT163" s="1368"/>
      <c r="CU163" s="1368"/>
      <c r="CV163" s="1368"/>
      <c r="CW163" s="1369"/>
      <c r="CX163" s="1420"/>
      <c r="CY163" s="1368"/>
      <c r="CZ163" s="1368"/>
      <c r="DA163" s="1368"/>
      <c r="DB163" s="1369"/>
      <c r="DC163" s="1368"/>
      <c r="DD163" s="1368"/>
      <c r="DE163" s="1368"/>
      <c r="DF163" s="1368"/>
      <c r="DG163" s="1369"/>
      <c r="DH163" s="1420"/>
      <c r="DI163" s="1368"/>
      <c r="DJ163" s="1368"/>
      <c r="DK163" s="1368"/>
      <c r="DL163" s="1369"/>
      <c r="DM163" s="1808"/>
      <c r="DN163" s="1809"/>
      <c r="DO163" s="1809"/>
      <c r="DP163" s="1810"/>
      <c r="DQ163" s="1809"/>
      <c r="DR163" s="1809"/>
      <c r="DS163" s="1809"/>
      <c r="DT163" s="1810"/>
      <c r="DU163" s="1377"/>
      <c r="DV163" s="1729"/>
      <c r="DW163" s="1811"/>
    </row>
    <row r="164" spans="1:127" s="397" customFormat="1" ht="15.75" hidden="1" customHeight="1">
      <c r="A164" s="1097" t="s">
        <v>1032</v>
      </c>
      <c r="B164" s="1057">
        <v>155</v>
      </c>
      <c r="C164" s="1018"/>
      <c r="D164" s="1018"/>
      <c r="E164" s="1018"/>
      <c r="F164" s="1018"/>
      <c r="G164" s="1018"/>
      <c r="H164" s="1018"/>
      <c r="I164" s="1018"/>
      <c r="J164" s="1018"/>
      <c r="K164" s="1018"/>
      <c r="L164" s="1018"/>
      <c r="M164" s="1057"/>
      <c r="N164" s="1018"/>
      <c r="O164" s="1018"/>
      <c r="P164" s="1018"/>
      <c r="Q164" s="1018"/>
      <c r="R164" s="1018"/>
      <c r="S164" s="1018"/>
      <c r="T164" s="1019"/>
      <c r="U164" s="1098" t="s">
        <v>2582</v>
      </c>
      <c r="V164" s="1099" t="s">
        <v>2512</v>
      </c>
      <c r="W164" s="1099" t="s">
        <v>1907</v>
      </c>
      <c r="X164" s="1100" t="s">
        <v>2583</v>
      </c>
      <c r="Y164" s="1101" t="s">
        <v>2584</v>
      </c>
      <c r="Z164" s="1102" t="s">
        <v>2585</v>
      </c>
      <c r="AA164" s="1103" t="s">
        <v>1942</v>
      </c>
      <c r="AB164" s="1104">
        <v>1</v>
      </c>
      <c r="AC164" s="1104" t="s">
        <v>1942</v>
      </c>
      <c r="AD164" s="1104" t="s">
        <v>1942</v>
      </c>
      <c r="AE164" s="1104" t="s">
        <v>1942</v>
      </c>
      <c r="AF164" s="1104" t="s">
        <v>1942</v>
      </c>
      <c r="AG164" s="1104" t="s">
        <v>1942</v>
      </c>
      <c r="AH164" s="1104" t="s">
        <v>1942</v>
      </c>
      <c r="AI164" s="1105">
        <f t="shared" si="2"/>
        <v>1</v>
      </c>
      <c r="AJ164" s="1106" t="s">
        <v>1030</v>
      </c>
      <c r="AK164" s="1106" t="s">
        <v>1008</v>
      </c>
      <c r="AL164" s="1106" t="s">
        <v>1009</v>
      </c>
      <c r="AM164" s="1107" t="s">
        <v>1892</v>
      </c>
      <c r="AN164" s="1018" t="s">
        <v>1033</v>
      </c>
      <c r="AO164" s="1018" t="s">
        <v>2586</v>
      </c>
      <c r="AP164" s="833">
        <v>0</v>
      </c>
      <c r="AQ164" s="1076" t="s">
        <v>1020</v>
      </c>
      <c r="AR164" s="1109" t="s">
        <v>1942</v>
      </c>
      <c r="AS164" s="1110"/>
      <c r="AT164" s="1100"/>
      <c r="AU164" s="1100"/>
      <c r="AV164" s="1100"/>
      <c r="AW164" s="1111"/>
      <c r="AX164" s="1112"/>
      <c r="AY164" s="1075"/>
      <c r="AZ164" s="1076"/>
      <c r="BA164" s="1076"/>
      <c r="BB164" s="1076"/>
      <c r="BC164" s="1076"/>
      <c r="BD164" s="1076"/>
      <c r="BE164" s="1076"/>
      <c r="BF164" s="1076"/>
      <c r="BG164" s="1076"/>
      <c r="BH164" s="1076"/>
      <c r="BI164" s="1420"/>
      <c r="BJ164" s="1368"/>
      <c r="BK164" s="1368"/>
      <c r="BL164" s="1368"/>
      <c r="BM164" s="1368"/>
      <c r="BN164" s="1075"/>
      <c r="BO164" s="1076"/>
      <c r="BP164" s="1076"/>
      <c r="BQ164" s="1076"/>
      <c r="BR164" s="1076"/>
      <c r="BS164" s="1115"/>
      <c r="BT164" s="1076"/>
      <c r="BU164" s="1076"/>
      <c r="BV164" s="1076"/>
      <c r="BW164" s="1116"/>
      <c r="BX164" s="1115"/>
      <c r="BY164" s="1076"/>
      <c r="BZ164" s="1076"/>
      <c r="CA164" s="1076"/>
      <c r="CB164" s="1116"/>
      <c r="CC164" s="1117"/>
      <c r="CD164" s="1376"/>
      <c r="CE164" s="1377"/>
      <c r="CF164" s="1377"/>
      <c r="CG164" s="1377"/>
      <c r="CH164" s="1440"/>
      <c r="CI164" s="1420"/>
      <c r="CJ164" s="1368"/>
      <c r="CK164" s="1368"/>
      <c r="CL164" s="1368"/>
      <c r="CM164" s="1369"/>
      <c r="CN164" s="1420"/>
      <c r="CO164" s="1368"/>
      <c r="CP164" s="1368"/>
      <c r="CQ164" s="1368"/>
      <c r="CR164" s="1369"/>
      <c r="CS164" s="1420"/>
      <c r="CT164" s="1368"/>
      <c r="CU164" s="1368"/>
      <c r="CV164" s="1368"/>
      <c r="CW164" s="1369"/>
      <c r="CX164" s="1420"/>
      <c r="CY164" s="1368"/>
      <c r="CZ164" s="1368"/>
      <c r="DA164" s="1368"/>
      <c r="DB164" s="1369"/>
      <c r="DC164" s="1368"/>
      <c r="DD164" s="1368"/>
      <c r="DE164" s="1368"/>
      <c r="DF164" s="1368"/>
      <c r="DG164" s="1369"/>
      <c r="DH164" s="1420"/>
      <c r="DI164" s="1368"/>
      <c r="DJ164" s="1368"/>
      <c r="DK164" s="1368"/>
      <c r="DL164" s="1369"/>
      <c r="DM164" s="1808"/>
      <c r="DN164" s="1809"/>
      <c r="DO164" s="1809"/>
      <c r="DP164" s="1810"/>
      <c r="DQ164" s="1809"/>
      <c r="DR164" s="1809"/>
      <c r="DS164" s="1809"/>
      <c r="DT164" s="1810"/>
      <c r="DU164" s="1377"/>
      <c r="DV164" s="1729"/>
      <c r="DW164" s="1811"/>
    </row>
    <row r="165" spans="1:127" s="397" customFormat="1" ht="15.75" hidden="1" customHeight="1">
      <c r="A165" s="1097" t="s">
        <v>1032</v>
      </c>
      <c r="B165" s="1057">
        <v>156</v>
      </c>
      <c r="C165" s="1018"/>
      <c r="D165" s="1018"/>
      <c r="E165" s="1018"/>
      <c r="F165" s="1018"/>
      <c r="G165" s="1018"/>
      <c r="H165" s="1018"/>
      <c r="I165" s="1018"/>
      <c r="J165" s="1018"/>
      <c r="K165" s="1018"/>
      <c r="L165" s="1018"/>
      <c r="M165" s="1057"/>
      <c r="N165" s="1018"/>
      <c r="O165" s="1018"/>
      <c r="P165" s="1018"/>
      <c r="Q165" s="1018"/>
      <c r="R165" s="1018"/>
      <c r="S165" s="1018"/>
      <c r="T165" s="1019"/>
      <c r="U165" s="1098" t="s">
        <v>2587</v>
      </c>
      <c r="V165" s="1099" t="s">
        <v>2481</v>
      </c>
      <c r="W165" s="1099" t="s">
        <v>1896</v>
      </c>
      <c r="X165" s="1100" t="s">
        <v>2588</v>
      </c>
      <c r="Y165" s="1101" t="s">
        <v>2589</v>
      </c>
      <c r="Z165" s="1102" t="s">
        <v>2590</v>
      </c>
      <c r="AA165" s="1103" t="s">
        <v>1942</v>
      </c>
      <c r="AB165" s="1104">
        <v>1</v>
      </c>
      <c r="AC165" s="1104" t="s">
        <v>1942</v>
      </c>
      <c r="AD165" s="1104" t="s">
        <v>1942</v>
      </c>
      <c r="AE165" s="1104" t="s">
        <v>1942</v>
      </c>
      <c r="AF165" s="1104" t="s">
        <v>1942</v>
      </c>
      <c r="AG165" s="1104" t="s">
        <v>1942</v>
      </c>
      <c r="AH165" s="1104" t="s">
        <v>1942</v>
      </c>
      <c r="AI165" s="1105">
        <f t="shared" si="2"/>
        <v>1</v>
      </c>
      <c r="AJ165" s="1106" t="s">
        <v>1030</v>
      </c>
      <c r="AK165" s="1106" t="s">
        <v>1008</v>
      </c>
      <c r="AL165" s="1106" t="s">
        <v>1009</v>
      </c>
      <c r="AM165" s="1107" t="s">
        <v>2149</v>
      </c>
      <c r="AN165" s="1018" t="s">
        <v>396</v>
      </c>
      <c r="AO165" s="1018" t="s">
        <v>4798</v>
      </c>
      <c r="AP165" s="1313">
        <v>2</v>
      </c>
      <c r="AQ165" s="1076" t="s">
        <v>1020</v>
      </c>
      <c r="AR165" s="1109"/>
      <c r="AS165" s="1110"/>
      <c r="AT165" s="1100"/>
      <c r="AU165" s="1100"/>
      <c r="AV165" s="1100"/>
      <c r="AW165" s="1111"/>
      <c r="AX165" s="1112"/>
      <c r="AY165" s="1075"/>
      <c r="AZ165" s="1076"/>
      <c r="BA165" s="1076"/>
      <c r="BB165" s="1076"/>
      <c r="BC165" s="1076"/>
      <c r="BD165" s="1076"/>
      <c r="BE165" s="1076"/>
      <c r="BF165" s="1076"/>
      <c r="BG165" s="1076"/>
      <c r="BH165" s="1076"/>
      <c r="BI165" s="1420"/>
      <c r="BJ165" s="1368"/>
      <c r="BK165" s="1368"/>
      <c r="BL165" s="1368"/>
      <c r="BM165" s="1368"/>
      <c r="BN165" s="1075"/>
      <c r="BO165" s="1076"/>
      <c r="BP165" s="1076"/>
      <c r="BQ165" s="1076"/>
      <c r="BR165" s="1076"/>
      <c r="BS165" s="1115"/>
      <c r="BT165" s="1076"/>
      <c r="BU165" s="1076"/>
      <c r="BV165" s="1076"/>
      <c r="BW165" s="1116"/>
      <c r="BX165" s="1115"/>
      <c r="BY165" s="1076"/>
      <c r="BZ165" s="1076"/>
      <c r="CA165" s="1076"/>
      <c r="CB165" s="1116"/>
      <c r="CC165" s="1117"/>
      <c r="CD165" s="1376"/>
      <c r="CE165" s="1377"/>
      <c r="CF165" s="1377"/>
      <c r="CG165" s="1377"/>
      <c r="CH165" s="1440"/>
      <c r="CI165" s="1420"/>
      <c r="CJ165" s="1368"/>
      <c r="CK165" s="1368"/>
      <c r="CL165" s="1368"/>
      <c r="CM165" s="1369"/>
      <c r="CN165" s="1420"/>
      <c r="CO165" s="1368"/>
      <c r="CP165" s="1368"/>
      <c r="CQ165" s="1368"/>
      <c r="CR165" s="1369"/>
      <c r="CS165" s="1420"/>
      <c r="CT165" s="1368"/>
      <c r="CU165" s="1368"/>
      <c r="CV165" s="1368"/>
      <c r="CW165" s="1369"/>
      <c r="CX165" s="1420"/>
      <c r="CY165" s="1368"/>
      <c r="CZ165" s="1368"/>
      <c r="DA165" s="1368"/>
      <c r="DB165" s="1369"/>
      <c r="DC165" s="1368"/>
      <c r="DD165" s="1368"/>
      <c r="DE165" s="1368"/>
      <c r="DF165" s="1368"/>
      <c r="DG165" s="1369"/>
      <c r="DH165" s="1420"/>
      <c r="DI165" s="1368"/>
      <c r="DJ165" s="1368"/>
      <c r="DK165" s="1368"/>
      <c r="DL165" s="1369"/>
      <c r="DM165" s="1808"/>
      <c r="DN165" s="1809"/>
      <c r="DO165" s="1809"/>
      <c r="DP165" s="1810"/>
      <c r="DQ165" s="1809"/>
      <c r="DR165" s="1809"/>
      <c r="DS165" s="1809"/>
      <c r="DT165" s="1810"/>
      <c r="DU165" s="1377"/>
      <c r="DV165" s="1729"/>
      <c r="DW165" s="1811"/>
    </row>
    <row r="166" spans="1:127" s="397" customFormat="1" ht="15.75" hidden="1" customHeight="1">
      <c r="A166" s="1097" t="s">
        <v>1032</v>
      </c>
      <c r="B166" s="1057">
        <v>157</v>
      </c>
      <c r="C166" s="1018"/>
      <c r="D166" s="1018"/>
      <c r="E166" s="1018"/>
      <c r="F166" s="1018"/>
      <c r="G166" s="1018"/>
      <c r="H166" s="1018"/>
      <c r="I166" s="1018"/>
      <c r="J166" s="1018"/>
      <c r="K166" s="1018"/>
      <c r="L166" s="1018"/>
      <c r="M166" s="1057"/>
      <c r="N166" s="1018"/>
      <c r="O166" s="1018"/>
      <c r="P166" s="1018"/>
      <c r="Q166" s="1018"/>
      <c r="R166" s="1018"/>
      <c r="S166" s="1018"/>
      <c r="T166" s="1019"/>
      <c r="U166" s="1098" t="s">
        <v>2592</v>
      </c>
      <c r="V166" s="1099" t="s">
        <v>2481</v>
      </c>
      <c r="W166" s="1099" t="s">
        <v>1896</v>
      </c>
      <c r="X166" s="1100" t="s">
        <v>2593</v>
      </c>
      <c r="Y166" s="1101" t="s">
        <v>2594</v>
      </c>
      <c r="Z166" s="1102" t="s">
        <v>2595</v>
      </c>
      <c r="AA166" s="1103" t="s">
        <v>1942</v>
      </c>
      <c r="AB166" s="1104">
        <v>1</v>
      </c>
      <c r="AC166" s="1104" t="s">
        <v>1942</v>
      </c>
      <c r="AD166" s="1104" t="s">
        <v>1942</v>
      </c>
      <c r="AE166" s="1104" t="s">
        <v>1942</v>
      </c>
      <c r="AF166" s="1104" t="s">
        <v>1942</v>
      </c>
      <c r="AG166" s="1104" t="s">
        <v>1942</v>
      </c>
      <c r="AH166" s="1104" t="s">
        <v>1942</v>
      </c>
      <c r="AI166" s="1105">
        <f t="shared" si="2"/>
        <v>1</v>
      </c>
      <c r="AJ166" s="1106" t="s">
        <v>1030</v>
      </c>
      <c r="AK166" s="1106" t="s">
        <v>1008</v>
      </c>
      <c r="AL166" s="1106" t="s">
        <v>1009</v>
      </c>
      <c r="AM166" s="1107" t="s">
        <v>2149</v>
      </c>
      <c r="AN166" s="1018" t="s">
        <v>396</v>
      </c>
      <c r="AO166" s="1018" t="s">
        <v>4798</v>
      </c>
      <c r="AP166" s="1313">
        <v>2</v>
      </c>
      <c r="AQ166" s="1076" t="s">
        <v>1020</v>
      </c>
      <c r="AR166" s="1109"/>
      <c r="AS166" s="1110"/>
      <c r="AT166" s="1100"/>
      <c r="AU166" s="1100"/>
      <c r="AV166" s="1100"/>
      <c r="AW166" s="1111"/>
      <c r="AX166" s="1112"/>
      <c r="AY166" s="1075"/>
      <c r="AZ166" s="1076"/>
      <c r="BA166" s="1076"/>
      <c r="BB166" s="1076"/>
      <c r="BC166" s="1076"/>
      <c r="BD166" s="1076"/>
      <c r="BE166" s="1076"/>
      <c r="BF166" s="1076"/>
      <c r="BG166" s="1076"/>
      <c r="BH166" s="1076"/>
      <c r="BI166" s="1420"/>
      <c r="BJ166" s="1368"/>
      <c r="BK166" s="1368"/>
      <c r="BL166" s="1368"/>
      <c r="BM166" s="1368"/>
      <c r="BN166" s="1075"/>
      <c r="BO166" s="1076"/>
      <c r="BP166" s="1076"/>
      <c r="BQ166" s="1076"/>
      <c r="BR166" s="1076"/>
      <c r="BS166" s="1115"/>
      <c r="BT166" s="1076"/>
      <c r="BU166" s="1076"/>
      <c r="BV166" s="1076"/>
      <c r="BW166" s="1116"/>
      <c r="BX166" s="1115"/>
      <c r="BY166" s="1076"/>
      <c r="BZ166" s="1076"/>
      <c r="CA166" s="1076"/>
      <c r="CB166" s="1116"/>
      <c r="CC166" s="1117"/>
      <c r="CD166" s="1376"/>
      <c r="CE166" s="1377"/>
      <c r="CF166" s="1377"/>
      <c r="CG166" s="1377"/>
      <c r="CH166" s="1440"/>
      <c r="CI166" s="1420"/>
      <c r="CJ166" s="1368"/>
      <c r="CK166" s="1368"/>
      <c r="CL166" s="1368"/>
      <c r="CM166" s="1369"/>
      <c r="CN166" s="1420"/>
      <c r="CO166" s="1368"/>
      <c r="CP166" s="1368"/>
      <c r="CQ166" s="1368"/>
      <c r="CR166" s="1369"/>
      <c r="CS166" s="1420"/>
      <c r="CT166" s="1368"/>
      <c r="CU166" s="1368"/>
      <c r="CV166" s="1368"/>
      <c r="CW166" s="1369"/>
      <c r="CX166" s="1420"/>
      <c r="CY166" s="1368"/>
      <c r="CZ166" s="1368"/>
      <c r="DA166" s="1368"/>
      <c r="DB166" s="1369"/>
      <c r="DC166" s="1368"/>
      <c r="DD166" s="1368"/>
      <c r="DE166" s="1368"/>
      <c r="DF166" s="1368"/>
      <c r="DG166" s="1369"/>
      <c r="DH166" s="1420"/>
      <c r="DI166" s="1368"/>
      <c r="DJ166" s="1368"/>
      <c r="DK166" s="1368"/>
      <c r="DL166" s="1369"/>
      <c r="DM166" s="1808"/>
      <c r="DN166" s="1809"/>
      <c r="DO166" s="1809"/>
      <c r="DP166" s="1810"/>
      <c r="DQ166" s="1809"/>
      <c r="DR166" s="1809"/>
      <c r="DS166" s="1809"/>
      <c r="DT166" s="1810"/>
      <c r="DU166" s="1377"/>
      <c r="DV166" s="1729"/>
      <c r="DW166" s="1811"/>
    </row>
    <row r="167" spans="1:127" s="397" customFormat="1" ht="15.75" hidden="1" customHeight="1">
      <c r="A167" s="1097" t="s">
        <v>1032</v>
      </c>
      <c r="B167" s="1057">
        <v>158</v>
      </c>
      <c r="C167" s="1018"/>
      <c r="D167" s="1018"/>
      <c r="E167" s="1018"/>
      <c r="F167" s="1018"/>
      <c r="G167" s="1018"/>
      <c r="H167" s="1018"/>
      <c r="I167" s="1018"/>
      <c r="J167" s="1018"/>
      <c r="K167" s="1018"/>
      <c r="L167" s="1018"/>
      <c r="M167" s="1057"/>
      <c r="N167" s="1018"/>
      <c r="O167" s="1018"/>
      <c r="P167" s="1018"/>
      <c r="Q167" s="1018"/>
      <c r="R167" s="1018"/>
      <c r="S167" s="1018"/>
      <c r="T167" s="1019"/>
      <c r="U167" s="1098" t="s">
        <v>2597</v>
      </c>
      <c r="V167" s="1099" t="s">
        <v>2481</v>
      </c>
      <c r="W167" s="1099" t="s">
        <v>1907</v>
      </c>
      <c r="X167" s="1100" t="s">
        <v>2598</v>
      </c>
      <c r="Y167" s="1101" t="s">
        <v>2599</v>
      </c>
      <c r="Z167" s="1102" t="s">
        <v>2600</v>
      </c>
      <c r="AA167" s="1103" t="s">
        <v>1942</v>
      </c>
      <c r="AB167" s="1104">
        <v>1</v>
      </c>
      <c r="AC167" s="1104" t="s">
        <v>1942</v>
      </c>
      <c r="AD167" s="1104" t="s">
        <v>1942</v>
      </c>
      <c r="AE167" s="1104" t="s">
        <v>1942</v>
      </c>
      <c r="AF167" s="1104" t="s">
        <v>1942</v>
      </c>
      <c r="AG167" s="1104" t="s">
        <v>1942</v>
      </c>
      <c r="AH167" s="1104" t="s">
        <v>1942</v>
      </c>
      <c r="AI167" s="1105">
        <f t="shared" si="2"/>
        <v>1</v>
      </c>
      <c r="AJ167" s="1106" t="s">
        <v>1026</v>
      </c>
      <c r="AK167" s="1106" t="s">
        <v>1008</v>
      </c>
      <c r="AL167" s="1106" t="s">
        <v>1009</v>
      </c>
      <c r="AM167" s="1107" t="s">
        <v>1910</v>
      </c>
      <c r="AN167" s="1018" t="s">
        <v>1033</v>
      </c>
      <c r="AO167" s="1018" t="s">
        <v>2601</v>
      </c>
      <c r="AP167" s="833">
        <v>3</v>
      </c>
      <c r="AQ167" s="1076" t="s">
        <v>1020</v>
      </c>
      <c r="AR167" s="1109" t="s">
        <v>1942</v>
      </c>
      <c r="AS167" s="1110"/>
      <c r="AT167" s="1100"/>
      <c r="AU167" s="1100"/>
      <c r="AV167" s="1100"/>
      <c r="AW167" s="1111"/>
      <c r="AX167" s="1112"/>
      <c r="AY167" s="1075"/>
      <c r="AZ167" s="1076"/>
      <c r="BA167" s="1076"/>
      <c r="BB167" s="1076"/>
      <c r="BC167" s="1076"/>
      <c r="BD167" s="1076"/>
      <c r="BE167" s="1076"/>
      <c r="BF167" s="1076"/>
      <c r="BG167" s="1076"/>
      <c r="BH167" s="1076"/>
      <c r="BI167" s="1420"/>
      <c r="BJ167" s="1368"/>
      <c r="BK167" s="1368"/>
      <c r="BL167" s="1368"/>
      <c r="BM167" s="1368"/>
      <c r="BN167" s="1075"/>
      <c r="BO167" s="1076"/>
      <c r="BP167" s="1076"/>
      <c r="BQ167" s="1076"/>
      <c r="BR167" s="1076"/>
      <c r="BS167" s="1115"/>
      <c r="BT167" s="1076"/>
      <c r="BU167" s="1076"/>
      <c r="BV167" s="1076"/>
      <c r="BW167" s="1116"/>
      <c r="BX167" s="1115"/>
      <c r="BY167" s="1076"/>
      <c r="BZ167" s="1076"/>
      <c r="CA167" s="1076"/>
      <c r="CB167" s="1116"/>
      <c r="CC167" s="1117"/>
      <c r="CD167" s="1376"/>
      <c r="CE167" s="1377"/>
      <c r="CF167" s="1377"/>
      <c r="CG167" s="1377"/>
      <c r="CH167" s="1440"/>
      <c r="CI167" s="1420"/>
      <c r="CJ167" s="1368"/>
      <c r="CK167" s="1368"/>
      <c r="CL167" s="1368"/>
      <c r="CM167" s="1369"/>
      <c r="CN167" s="1420"/>
      <c r="CO167" s="1368"/>
      <c r="CP167" s="1368"/>
      <c r="CQ167" s="1368"/>
      <c r="CR167" s="1369"/>
      <c r="CS167" s="1420"/>
      <c r="CT167" s="1368"/>
      <c r="CU167" s="1368"/>
      <c r="CV167" s="1368"/>
      <c r="CW167" s="1369"/>
      <c r="CX167" s="1420"/>
      <c r="CY167" s="1368"/>
      <c r="CZ167" s="1368"/>
      <c r="DA167" s="1368"/>
      <c r="DB167" s="1369"/>
      <c r="DC167" s="1368"/>
      <c r="DD167" s="1368"/>
      <c r="DE167" s="1368"/>
      <c r="DF167" s="1368"/>
      <c r="DG167" s="1369"/>
      <c r="DH167" s="1420"/>
      <c r="DI167" s="1368"/>
      <c r="DJ167" s="1368"/>
      <c r="DK167" s="1368"/>
      <c r="DL167" s="1369"/>
      <c r="DM167" s="1808"/>
      <c r="DN167" s="1809"/>
      <c r="DO167" s="1809"/>
      <c r="DP167" s="1810"/>
      <c r="DQ167" s="1809"/>
      <c r="DR167" s="1809"/>
      <c r="DS167" s="1809"/>
      <c r="DT167" s="1810"/>
      <c r="DU167" s="1377"/>
      <c r="DV167" s="1729"/>
      <c r="DW167" s="1811"/>
    </row>
    <row r="168" spans="1:127" s="397" customFormat="1" ht="15.75" hidden="1" customHeight="1">
      <c r="A168" s="1097" t="s">
        <v>1032</v>
      </c>
      <c r="B168" s="1057">
        <v>159</v>
      </c>
      <c r="C168" s="1018"/>
      <c r="D168" s="1018"/>
      <c r="E168" s="1018"/>
      <c r="F168" s="1018"/>
      <c r="G168" s="1018"/>
      <c r="H168" s="1018"/>
      <c r="I168" s="1018"/>
      <c r="J168" s="1018"/>
      <c r="K168" s="1018"/>
      <c r="L168" s="1018"/>
      <c r="M168" s="1057"/>
      <c r="N168" s="1018"/>
      <c r="O168" s="1018"/>
      <c r="P168" s="1018"/>
      <c r="Q168" s="1018"/>
      <c r="R168" s="1018"/>
      <c r="S168" s="1018"/>
      <c r="T168" s="1019"/>
      <c r="U168" s="1098" t="s">
        <v>2602</v>
      </c>
      <c r="V168" s="1099" t="s">
        <v>2486</v>
      </c>
      <c r="W168" s="1099" t="s">
        <v>1907</v>
      </c>
      <c r="X168" s="1100" t="s">
        <v>2603</v>
      </c>
      <c r="Y168" s="1101" t="s">
        <v>2604</v>
      </c>
      <c r="Z168" s="1102" t="s">
        <v>2605</v>
      </c>
      <c r="AA168" s="1103" t="s">
        <v>1942</v>
      </c>
      <c r="AB168" s="1104">
        <v>1</v>
      </c>
      <c r="AC168" s="1104" t="s">
        <v>1942</v>
      </c>
      <c r="AD168" s="1104" t="s">
        <v>1942</v>
      </c>
      <c r="AE168" s="1104" t="s">
        <v>1942</v>
      </c>
      <c r="AF168" s="1104" t="s">
        <v>1942</v>
      </c>
      <c r="AG168" s="1104" t="s">
        <v>1942</v>
      </c>
      <c r="AH168" s="1104" t="s">
        <v>1942</v>
      </c>
      <c r="AI168" s="1105">
        <f t="shared" si="2"/>
        <v>1</v>
      </c>
      <c r="AJ168" s="1106" t="s">
        <v>1030</v>
      </c>
      <c r="AK168" s="1106" t="s">
        <v>1008</v>
      </c>
      <c r="AL168" s="1106" t="s">
        <v>1009</v>
      </c>
      <c r="AM168" s="1107" t="s">
        <v>1892</v>
      </c>
      <c r="AN168" s="1018" t="s">
        <v>2118</v>
      </c>
      <c r="AO168" s="1018" t="s">
        <v>2606</v>
      </c>
      <c r="AP168" s="833">
        <v>1</v>
      </c>
      <c r="AQ168" s="1076" t="s">
        <v>1020</v>
      </c>
      <c r="AR168" s="1109" t="s">
        <v>1942</v>
      </c>
      <c r="AS168" s="1110"/>
      <c r="AT168" s="1100"/>
      <c r="AU168" s="1100"/>
      <c r="AV168" s="1100"/>
      <c r="AW168" s="1111"/>
      <c r="AX168" s="1112"/>
      <c r="AY168" s="1075"/>
      <c r="AZ168" s="1076"/>
      <c r="BA168" s="1076"/>
      <c r="BB168" s="1076"/>
      <c r="BC168" s="1076"/>
      <c r="BD168" s="1076"/>
      <c r="BE168" s="1076"/>
      <c r="BF168" s="1076"/>
      <c r="BG168" s="1076"/>
      <c r="BH168" s="1076"/>
      <c r="BI168" s="1420"/>
      <c r="BJ168" s="1368"/>
      <c r="BK168" s="1368"/>
      <c r="BL168" s="1368"/>
      <c r="BM168" s="1368"/>
      <c r="BN168" s="1075"/>
      <c r="BO168" s="1076"/>
      <c r="BP168" s="1076"/>
      <c r="BQ168" s="1076"/>
      <c r="BR168" s="1076"/>
      <c r="BS168" s="1115"/>
      <c r="BT168" s="1076"/>
      <c r="BU168" s="1076"/>
      <c r="BV168" s="1076"/>
      <c r="BW168" s="1116"/>
      <c r="BX168" s="1115"/>
      <c r="BY168" s="1076"/>
      <c r="BZ168" s="1076"/>
      <c r="CA168" s="1076"/>
      <c r="CB168" s="1116"/>
      <c r="CC168" s="1117"/>
      <c r="CD168" s="1376"/>
      <c r="CE168" s="1377"/>
      <c r="CF168" s="1377"/>
      <c r="CG168" s="1377"/>
      <c r="CH168" s="1440"/>
      <c r="CI168" s="1420"/>
      <c r="CJ168" s="1368"/>
      <c r="CK168" s="1368"/>
      <c r="CL168" s="1368"/>
      <c r="CM168" s="1369"/>
      <c r="CN168" s="1420"/>
      <c r="CO168" s="1368"/>
      <c r="CP168" s="1368"/>
      <c r="CQ168" s="1368"/>
      <c r="CR168" s="1369"/>
      <c r="CS168" s="1420"/>
      <c r="CT168" s="1368"/>
      <c r="CU168" s="1368"/>
      <c r="CV168" s="1368"/>
      <c r="CW168" s="1369"/>
      <c r="CX168" s="1420"/>
      <c r="CY168" s="1368"/>
      <c r="CZ168" s="1368"/>
      <c r="DA168" s="1368"/>
      <c r="DB168" s="1369"/>
      <c r="DC168" s="1368"/>
      <c r="DD168" s="1368"/>
      <c r="DE168" s="1368"/>
      <c r="DF168" s="1368"/>
      <c r="DG168" s="1369"/>
      <c r="DH168" s="1420"/>
      <c r="DI168" s="1368"/>
      <c r="DJ168" s="1368"/>
      <c r="DK168" s="1368"/>
      <c r="DL168" s="1369"/>
      <c r="DM168" s="1808"/>
      <c r="DN168" s="1809"/>
      <c r="DO168" s="1809"/>
      <c r="DP168" s="1810"/>
      <c r="DQ168" s="1809"/>
      <c r="DR168" s="1809"/>
      <c r="DS168" s="1809"/>
      <c r="DT168" s="1810"/>
      <c r="DU168" s="1377"/>
      <c r="DV168" s="1729"/>
      <c r="DW168" s="1811"/>
    </row>
    <row r="169" spans="1:127" s="397" customFormat="1" ht="15.75" hidden="1" customHeight="1">
      <c r="A169" s="1097" t="s">
        <v>1032</v>
      </c>
      <c r="B169" s="1057">
        <v>160</v>
      </c>
      <c r="C169" s="1018"/>
      <c r="D169" s="1018"/>
      <c r="E169" s="1018"/>
      <c r="F169" s="1018"/>
      <c r="G169" s="1018"/>
      <c r="H169" s="1018"/>
      <c r="I169" s="1018"/>
      <c r="J169" s="1018"/>
      <c r="K169" s="1018"/>
      <c r="L169" s="1018"/>
      <c r="M169" s="1057"/>
      <c r="N169" s="1018"/>
      <c r="O169" s="1018"/>
      <c r="P169" s="1018"/>
      <c r="Q169" s="1018"/>
      <c r="R169" s="1018"/>
      <c r="S169" s="1018"/>
      <c r="T169" s="1019"/>
      <c r="U169" s="1098" t="s">
        <v>2607</v>
      </c>
      <c r="V169" s="1099" t="s">
        <v>2502</v>
      </c>
      <c r="W169" s="1099" t="s">
        <v>1907</v>
      </c>
      <c r="X169" s="1100" t="s">
        <v>2608</v>
      </c>
      <c r="Y169" s="1101" t="s">
        <v>2416</v>
      </c>
      <c r="Z169" s="1102" t="s">
        <v>2609</v>
      </c>
      <c r="AA169" s="1103" t="s">
        <v>1942</v>
      </c>
      <c r="AB169" s="1104" t="s">
        <v>1942</v>
      </c>
      <c r="AC169" s="1104">
        <v>1</v>
      </c>
      <c r="AD169" s="1104" t="s">
        <v>1942</v>
      </c>
      <c r="AE169" s="1104" t="s">
        <v>1942</v>
      </c>
      <c r="AF169" s="1104" t="s">
        <v>1942</v>
      </c>
      <c r="AG169" s="1104" t="s">
        <v>1942</v>
      </c>
      <c r="AH169" s="1104" t="s">
        <v>1942</v>
      </c>
      <c r="AI169" s="1105">
        <f t="shared" si="2"/>
        <v>1</v>
      </c>
      <c r="AJ169" s="1106" t="s">
        <v>1030</v>
      </c>
      <c r="AK169" s="1106" t="s">
        <v>1008</v>
      </c>
      <c r="AL169" s="1106" t="s">
        <v>1009</v>
      </c>
      <c r="AM169" s="1107" t="s">
        <v>1920</v>
      </c>
      <c r="AN169" s="1018" t="s">
        <v>2177</v>
      </c>
      <c r="AO169" s="1018" t="s">
        <v>4823</v>
      </c>
      <c r="AP169" s="833">
        <v>2</v>
      </c>
      <c r="AQ169" s="1076" t="s">
        <v>1020</v>
      </c>
      <c r="AR169" s="1109"/>
      <c r="AS169" s="1110"/>
      <c r="AT169" s="1100"/>
      <c r="AU169" s="1100"/>
      <c r="AV169" s="1100"/>
      <c r="AW169" s="1111"/>
      <c r="AX169" s="1112"/>
      <c r="AY169" s="1075"/>
      <c r="AZ169" s="1076"/>
      <c r="BA169" s="1076"/>
      <c r="BB169" s="1076"/>
      <c r="BC169" s="1076"/>
      <c r="BD169" s="1076"/>
      <c r="BE169" s="1076"/>
      <c r="BF169" s="1076"/>
      <c r="BG169" s="1076"/>
      <c r="BH169" s="1076"/>
      <c r="BI169" s="1420"/>
      <c r="BJ169" s="1368"/>
      <c r="BK169" s="1368"/>
      <c r="BL169" s="1368"/>
      <c r="BM169" s="1368"/>
      <c r="BN169" s="1075"/>
      <c r="BO169" s="1076"/>
      <c r="BP169" s="1076"/>
      <c r="BQ169" s="1076"/>
      <c r="BR169" s="1076"/>
      <c r="BS169" s="1115"/>
      <c r="BT169" s="1076"/>
      <c r="BU169" s="1076"/>
      <c r="BV169" s="1076"/>
      <c r="BW169" s="1116"/>
      <c r="BX169" s="1115"/>
      <c r="BY169" s="1076"/>
      <c r="BZ169" s="1076"/>
      <c r="CA169" s="1076"/>
      <c r="CB169" s="1116"/>
      <c r="CC169" s="1117"/>
      <c r="CD169" s="1376"/>
      <c r="CE169" s="1377"/>
      <c r="CF169" s="1377"/>
      <c r="CG169" s="1377"/>
      <c r="CH169" s="1440"/>
      <c r="CI169" s="1420"/>
      <c r="CJ169" s="1368"/>
      <c r="CK169" s="1368"/>
      <c r="CL169" s="1368"/>
      <c r="CM169" s="1369"/>
      <c r="CN169" s="1420"/>
      <c r="CO169" s="1368"/>
      <c r="CP169" s="1368"/>
      <c r="CQ169" s="1368"/>
      <c r="CR169" s="1369"/>
      <c r="CS169" s="1420"/>
      <c r="CT169" s="1368"/>
      <c r="CU169" s="1368"/>
      <c r="CV169" s="1368"/>
      <c r="CW169" s="1369"/>
      <c r="CX169" s="1420"/>
      <c r="CY169" s="1368"/>
      <c r="CZ169" s="1368"/>
      <c r="DA169" s="1368"/>
      <c r="DB169" s="1369"/>
      <c r="DC169" s="1368"/>
      <c r="DD169" s="1368"/>
      <c r="DE169" s="1368"/>
      <c r="DF169" s="1368"/>
      <c r="DG169" s="1369"/>
      <c r="DH169" s="1420"/>
      <c r="DI169" s="1368"/>
      <c r="DJ169" s="1368"/>
      <c r="DK169" s="1368"/>
      <c r="DL169" s="1369"/>
      <c r="DM169" s="1808"/>
      <c r="DN169" s="1809"/>
      <c r="DO169" s="1809"/>
      <c r="DP169" s="1810"/>
      <c r="DQ169" s="1809"/>
      <c r="DR169" s="1809"/>
      <c r="DS169" s="1809"/>
      <c r="DT169" s="1810"/>
      <c r="DU169" s="1377"/>
      <c r="DV169" s="1729"/>
      <c r="DW169" s="1811"/>
    </row>
    <row r="170" spans="1:127" s="397" customFormat="1" ht="15.75" hidden="1" customHeight="1">
      <c r="A170" s="1097" t="s">
        <v>1032</v>
      </c>
      <c r="B170" s="1057">
        <v>161</v>
      </c>
      <c r="C170" s="1018"/>
      <c r="D170" s="1018"/>
      <c r="E170" s="1018"/>
      <c r="F170" s="1018"/>
      <c r="G170" s="1018"/>
      <c r="H170" s="1018"/>
      <c r="I170" s="1018"/>
      <c r="J170" s="1018"/>
      <c r="K170" s="1018"/>
      <c r="L170" s="1018"/>
      <c r="M170" s="1057"/>
      <c r="N170" s="1018"/>
      <c r="O170" s="1018"/>
      <c r="P170" s="1018"/>
      <c r="Q170" s="1018"/>
      <c r="R170" s="1018"/>
      <c r="S170" s="1018"/>
      <c r="T170" s="1019"/>
      <c r="U170" s="1098" t="s">
        <v>2611</v>
      </c>
      <c r="V170" s="1099" t="s">
        <v>2502</v>
      </c>
      <c r="W170" s="1099" t="s">
        <v>1889</v>
      </c>
      <c r="X170" s="1100" t="s">
        <v>2612</v>
      </c>
      <c r="Y170" s="1101" t="s">
        <v>2098</v>
      </c>
      <c r="Z170" s="1102" t="s">
        <v>2613</v>
      </c>
      <c r="AA170" s="1103" t="s">
        <v>1942</v>
      </c>
      <c r="AB170" s="1104" t="s">
        <v>1942</v>
      </c>
      <c r="AC170" s="1104">
        <v>1</v>
      </c>
      <c r="AD170" s="1104" t="s">
        <v>1942</v>
      </c>
      <c r="AE170" s="1104" t="s">
        <v>1942</v>
      </c>
      <c r="AF170" s="1104" t="s">
        <v>1942</v>
      </c>
      <c r="AG170" s="1104" t="s">
        <v>1942</v>
      </c>
      <c r="AH170" s="1104" t="s">
        <v>1942</v>
      </c>
      <c r="AI170" s="1105">
        <f t="shared" si="2"/>
        <v>1</v>
      </c>
      <c r="AJ170" s="1106" t="s">
        <v>1030</v>
      </c>
      <c r="AK170" s="1106" t="s">
        <v>1008</v>
      </c>
      <c r="AL170" s="1106" t="s">
        <v>1009</v>
      </c>
      <c r="AM170" s="1107" t="s">
        <v>2058</v>
      </c>
      <c r="AN170" s="1018" t="s">
        <v>2177</v>
      </c>
      <c r="AO170" s="1018" t="s">
        <v>4492</v>
      </c>
      <c r="AP170" s="833">
        <v>0</v>
      </c>
      <c r="AQ170" s="1076" t="s">
        <v>1020</v>
      </c>
      <c r="AR170" s="1109"/>
      <c r="AS170" s="1110"/>
      <c r="AT170" s="1100"/>
      <c r="AU170" s="1100"/>
      <c r="AV170" s="1100"/>
      <c r="AW170" s="1111"/>
      <c r="AX170" s="1112"/>
      <c r="AY170" s="1075"/>
      <c r="AZ170" s="1076"/>
      <c r="BA170" s="1076"/>
      <c r="BB170" s="1076"/>
      <c r="BC170" s="1076"/>
      <c r="BD170" s="1076"/>
      <c r="BE170" s="1076"/>
      <c r="BF170" s="1076"/>
      <c r="BG170" s="1076"/>
      <c r="BH170" s="1076"/>
      <c r="BI170" s="1420"/>
      <c r="BJ170" s="1368"/>
      <c r="BK170" s="1368"/>
      <c r="BL170" s="1368"/>
      <c r="BM170" s="1368"/>
      <c r="BN170" s="1075"/>
      <c r="BO170" s="1076"/>
      <c r="BP170" s="1076"/>
      <c r="BQ170" s="1076"/>
      <c r="BR170" s="1076"/>
      <c r="BS170" s="1115"/>
      <c r="BT170" s="1076"/>
      <c r="BU170" s="1076"/>
      <c r="BV170" s="1076"/>
      <c r="BW170" s="1116"/>
      <c r="BX170" s="1115"/>
      <c r="BY170" s="1076"/>
      <c r="BZ170" s="1076"/>
      <c r="CA170" s="1076"/>
      <c r="CB170" s="1116"/>
      <c r="CC170" s="1117"/>
      <c r="CD170" s="1376"/>
      <c r="CE170" s="1377"/>
      <c r="CF170" s="1377"/>
      <c r="CG170" s="1377"/>
      <c r="CH170" s="1440"/>
      <c r="CI170" s="1420"/>
      <c r="CJ170" s="1368"/>
      <c r="CK170" s="1368"/>
      <c r="CL170" s="1368"/>
      <c r="CM170" s="1369"/>
      <c r="CN170" s="1420"/>
      <c r="CO170" s="1368"/>
      <c r="CP170" s="1368"/>
      <c r="CQ170" s="1368"/>
      <c r="CR170" s="1369"/>
      <c r="CS170" s="1420"/>
      <c r="CT170" s="1368"/>
      <c r="CU170" s="1368"/>
      <c r="CV170" s="1368"/>
      <c r="CW170" s="1369"/>
      <c r="CX170" s="1420"/>
      <c r="CY170" s="1368"/>
      <c r="CZ170" s="1368"/>
      <c r="DA170" s="1368"/>
      <c r="DB170" s="1369"/>
      <c r="DC170" s="1368"/>
      <c r="DD170" s="1368"/>
      <c r="DE170" s="1368"/>
      <c r="DF170" s="1368"/>
      <c r="DG170" s="1369"/>
      <c r="DH170" s="1420"/>
      <c r="DI170" s="1368"/>
      <c r="DJ170" s="1368"/>
      <c r="DK170" s="1368"/>
      <c r="DL170" s="1369"/>
      <c r="DM170" s="1808"/>
      <c r="DN170" s="1809"/>
      <c r="DO170" s="1809"/>
      <c r="DP170" s="1810"/>
      <c r="DQ170" s="1809"/>
      <c r="DR170" s="1809"/>
      <c r="DS170" s="1809"/>
      <c r="DT170" s="1810"/>
      <c r="DU170" s="1377"/>
      <c r="DV170" s="1729"/>
      <c r="DW170" s="1811"/>
    </row>
    <row r="171" spans="1:127" s="397" customFormat="1" ht="15.75" hidden="1" customHeight="1">
      <c r="A171" s="1097" t="s">
        <v>1032</v>
      </c>
      <c r="B171" s="1057">
        <v>162</v>
      </c>
      <c r="C171" s="1018"/>
      <c r="D171" s="1018"/>
      <c r="E171" s="1018"/>
      <c r="F171" s="1018"/>
      <c r="G171" s="1018"/>
      <c r="H171" s="1018"/>
      <c r="I171" s="1018"/>
      <c r="J171" s="1018"/>
      <c r="K171" s="1018"/>
      <c r="L171" s="1018"/>
      <c r="M171" s="1057"/>
      <c r="N171" s="1018"/>
      <c r="O171" s="1018"/>
      <c r="P171" s="1018"/>
      <c r="Q171" s="1018"/>
      <c r="R171" s="1018"/>
      <c r="S171" s="1018"/>
      <c r="T171" s="1019"/>
      <c r="U171" s="1098" t="s">
        <v>2615</v>
      </c>
      <c r="V171" s="1099" t="s">
        <v>2502</v>
      </c>
      <c r="W171" s="1099" t="s">
        <v>1889</v>
      </c>
      <c r="X171" s="1100" t="s">
        <v>2616</v>
      </c>
      <c r="Y171" s="1101" t="s">
        <v>2617</v>
      </c>
      <c r="Z171" s="1102" t="s">
        <v>2618</v>
      </c>
      <c r="AA171" s="1103" t="s">
        <v>1942</v>
      </c>
      <c r="AB171" s="1104" t="s">
        <v>1942</v>
      </c>
      <c r="AC171" s="1104">
        <v>1</v>
      </c>
      <c r="AD171" s="1104" t="s">
        <v>1942</v>
      </c>
      <c r="AE171" s="1104" t="s">
        <v>1942</v>
      </c>
      <c r="AF171" s="1104" t="s">
        <v>1942</v>
      </c>
      <c r="AG171" s="1104" t="s">
        <v>1942</v>
      </c>
      <c r="AH171" s="1104" t="s">
        <v>1942</v>
      </c>
      <c r="AI171" s="1105">
        <f t="shared" si="2"/>
        <v>1</v>
      </c>
      <c r="AJ171" s="1106" t="s">
        <v>1030</v>
      </c>
      <c r="AK171" s="1106" t="s">
        <v>1008</v>
      </c>
      <c r="AL171" s="1106" t="s">
        <v>1009</v>
      </c>
      <c r="AM171" s="1107" t="s">
        <v>2058</v>
      </c>
      <c r="AN171" s="1018" t="s">
        <v>1033</v>
      </c>
      <c r="AO171" s="1018" t="s">
        <v>2619</v>
      </c>
      <c r="AP171" s="833">
        <v>1</v>
      </c>
      <c r="AQ171" s="1076" t="s">
        <v>1020</v>
      </c>
      <c r="AR171" s="1109" t="s">
        <v>1942</v>
      </c>
      <c r="AS171" s="1110"/>
      <c r="AT171" s="1100"/>
      <c r="AU171" s="1100"/>
      <c r="AV171" s="1100"/>
      <c r="AW171" s="1111"/>
      <c r="AX171" s="1112"/>
      <c r="AY171" s="1075"/>
      <c r="AZ171" s="1076"/>
      <c r="BA171" s="1076"/>
      <c r="BB171" s="1076"/>
      <c r="BC171" s="1076"/>
      <c r="BD171" s="1076"/>
      <c r="BE171" s="1076"/>
      <c r="BF171" s="1076"/>
      <c r="BG171" s="1076"/>
      <c r="BH171" s="1076"/>
      <c r="BI171" s="1420"/>
      <c r="BJ171" s="1368"/>
      <c r="BK171" s="1368"/>
      <c r="BL171" s="1368"/>
      <c r="BM171" s="1368"/>
      <c r="BN171" s="1075"/>
      <c r="BO171" s="1076"/>
      <c r="BP171" s="1076"/>
      <c r="BQ171" s="1076"/>
      <c r="BR171" s="1076"/>
      <c r="BS171" s="1115"/>
      <c r="BT171" s="1076"/>
      <c r="BU171" s="1076"/>
      <c r="BV171" s="1076"/>
      <c r="BW171" s="1116"/>
      <c r="BX171" s="1115"/>
      <c r="BY171" s="1076"/>
      <c r="BZ171" s="1076"/>
      <c r="CA171" s="1076"/>
      <c r="CB171" s="1116"/>
      <c r="CC171" s="1117"/>
      <c r="CD171" s="1376"/>
      <c r="CE171" s="1377"/>
      <c r="CF171" s="1377"/>
      <c r="CG171" s="1377"/>
      <c r="CH171" s="1440"/>
      <c r="CI171" s="1420"/>
      <c r="CJ171" s="1368"/>
      <c r="CK171" s="1368"/>
      <c r="CL171" s="1368"/>
      <c r="CM171" s="1369"/>
      <c r="CN171" s="1420"/>
      <c r="CO171" s="1368"/>
      <c r="CP171" s="1368"/>
      <c r="CQ171" s="1368"/>
      <c r="CR171" s="1369"/>
      <c r="CS171" s="1420"/>
      <c r="CT171" s="1368"/>
      <c r="CU171" s="1368"/>
      <c r="CV171" s="1368"/>
      <c r="CW171" s="1369"/>
      <c r="CX171" s="1420"/>
      <c r="CY171" s="1368"/>
      <c r="CZ171" s="1368"/>
      <c r="DA171" s="1368"/>
      <c r="DB171" s="1369"/>
      <c r="DC171" s="1368"/>
      <c r="DD171" s="1368"/>
      <c r="DE171" s="1368"/>
      <c r="DF171" s="1368"/>
      <c r="DG171" s="1369"/>
      <c r="DH171" s="1420"/>
      <c r="DI171" s="1368"/>
      <c r="DJ171" s="1368"/>
      <c r="DK171" s="1368"/>
      <c r="DL171" s="1369"/>
      <c r="DM171" s="1808"/>
      <c r="DN171" s="1809"/>
      <c r="DO171" s="1809"/>
      <c r="DP171" s="1810"/>
      <c r="DQ171" s="1809"/>
      <c r="DR171" s="1809"/>
      <c r="DS171" s="1809"/>
      <c r="DT171" s="1810"/>
      <c r="DU171" s="1377"/>
      <c r="DV171" s="1729"/>
      <c r="DW171" s="1811"/>
    </row>
    <row r="172" spans="1:127" s="397" customFormat="1" ht="15.75" hidden="1" customHeight="1">
      <c r="A172" s="1097" t="s">
        <v>1032</v>
      </c>
      <c r="B172" s="1057">
        <v>163</v>
      </c>
      <c r="C172" s="1018"/>
      <c r="D172" s="1018"/>
      <c r="E172" s="1018"/>
      <c r="F172" s="1018"/>
      <c r="G172" s="1018"/>
      <c r="H172" s="1018"/>
      <c r="I172" s="1018"/>
      <c r="J172" s="1018"/>
      <c r="K172" s="1018"/>
      <c r="L172" s="1018"/>
      <c r="M172" s="1057"/>
      <c r="N172" s="1018"/>
      <c r="O172" s="1018"/>
      <c r="P172" s="1018"/>
      <c r="Q172" s="1018"/>
      <c r="R172" s="1018"/>
      <c r="S172" s="1018"/>
      <c r="T172" s="1019"/>
      <c r="U172" s="1098" t="s">
        <v>2620</v>
      </c>
      <c r="V172" s="1099" t="s">
        <v>2507</v>
      </c>
      <c r="W172" s="1099" t="s">
        <v>1907</v>
      </c>
      <c r="X172" s="1100" t="s">
        <v>2621</v>
      </c>
      <c r="Y172" s="1101" t="s">
        <v>2622</v>
      </c>
      <c r="Z172" s="1102" t="s">
        <v>2623</v>
      </c>
      <c r="AA172" s="1103">
        <v>1</v>
      </c>
      <c r="AB172" s="1104" t="s">
        <v>1942</v>
      </c>
      <c r="AC172" s="1104" t="s">
        <v>1942</v>
      </c>
      <c r="AD172" s="1104" t="s">
        <v>1942</v>
      </c>
      <c r="AE172" s="1104" t="s">
        <v>1942</v>
      </c>
      <c r="AF172" s="1104" t="s">
        <v>1942</v>
      </c>
      <c r="AG172" s="1104" t="s">
        <v>1942</v>
      </c>
      <c r="AH172" s="1104" t="s">
        <v>1942</v>
      </c>
      <c r="AI172" s="1105">
        <f t="shared" si="2"/>
        <v>1</v>
      </c>
      <c r="AJ172" s="1106" t="s">
        <v>1030</v>
      </c>
      <c r="AK172" s="1106" t="s">
        <v>1008</v>
      </c>
      <c r="AL172" s="1106" t="s">
        <v>1009</v>
      </c>
      <c r="AM172" s="1107" t="s">
        <v>1979</v>
      </c>
      <c r="AN172" s="1018" t="s">
        <v>1033</v>
      </c>
      <c r="AO172" s="1018" t="s">
        <v>2312</v>
      </c>
      <c r="AP172" s="833" t="s">
        <v>1033</v>
      </c>
      <c r="AQ172" s="1076" t="s">
        <v>1020</v>
      </c>
      <c r="AR172" s="1109" t="s">
        <v>1942</v>
      </c>
      <c r="AS172" s="1110"/>
      <c r="AT172" s="1100"/>
      <c r="AU172" s="1100"/>
      <c r="AV172" s="1100"/>
      <c r="AW172" s="1111"/>
      <c r="AX172" s="1112"/>
      <c r="AY172" s="1075"/>
      <c r="AZ172" s="1076"/>
      <c r="BA172" s="1076"/>
      <c r="BB172" s="1076"/>
      <c r="BC172" s="1076"/>
      <c r="BD172" s="1076"/>
      <c r="BE172" s="1076"/>
      <c r="BF172" s="1076"/>
      <c r="BG172" s="1076"/>
      <c r="BH172" s="1076"/>
      <c r="BI172" s="1420"/>
      <c r="BJ172" s="1368"/>
      <c r="BK172" s="1368"/>
      <c r="BL172" s="1368"/>
      <c r="BM172" s="1368"/>
      <c r="BN172" s="1075"/>
      <c r="BO172" s="1076"/>
      <c r="BP172" s="1076"/>
      <c r="BQ172" s="1076"/>
      <c r="BR172" s="1076"/>
      <c r="BS172" s="1115"/>
      <c r="BT172" s="1076"/>
      <c r="BU172" s="1076"/>
      <c r="BV172" s="1076"/>
      <c r="BW172" s="1116"/>
      <c r="BX172" s="1115"/>
      <c r="BY172" s="1076"/>
      <c r="BZ172" s="1076"/>
      <c r="CA172" s="1076"/>
      <c r="CB172" s="1116"/>
      <c r="CC172" s="1117"/>
      <c r="CD172" s="1376"/>
      <c r="CE172" s="1377"/>
      <c r="CF172" s="1377"/>
      <c r="CG172" s="1377"/>
      <c r="CH172" s="1440"/>
      <c r="CI172" s="1420"/>
      <c r="CJ172" s="1368"/>
      <c r="CK172" s="1368"/>
      <c r="CL172" s="1368"/>
      <c r="CM172" s="1369"/>
      <c r="CN172" s="1420"/>
      <c r="CO172" s="1368"/>
      <c r="CP172" s="1368"/>
      <c r="CQ172" s="1368"/>
      <c r="CR172" s="1369"/>
      <c r="CS172" s="1420"/>
      <c r="CT172" s="1368"/>
      <c r="CU172" s="1368"/>
      <c r="CV172" s="1368"/>
      <c r="CW172" s="1369"/>
      <c r="CX172" s="1420"/>
      <c r="CY172" s="1368"/>
      <c r="CZ172" s="1368"/>
      <c r="DA172" s="1368"/>
      <c r="DB172" s="1369"/>
      <c r="DC172" s="1368"/>
      <c r="DD172" s="1368"/>
      <c r="DE172" s="1368"/>
      <c r="DF172" s="1368"/>
      <c r="DG172" s="1369"/>
      <c r="DH172" s="1420"/>
      <c r="DI172" s="1368"/>
      <c r="DJ172" s="1368"/>
      <c r="DK172" s="1368"/>
      <c r="DL172" s="1369"/>
      <c r="DM172" s="1808"/>
      <c r="DN172" s="1809"/>
      <c r="DO172" s="1809"/>
      <c r="DP172" s="1810"/>
      <c r="DQ172" s="1809"/>
      <c r="DR172" s="1809"/>
      <c r="DS172" s="1809"/>
      <c r="DT172" s="1810"/>
      <c r="DU172" s="1377"/>
      <c r="DV172" s="1729"/>
      <c r="DW172" s="1811"/>
    </row>
    <row r="173" spans="1:127" s="397" customFormat="1" ht="15.75" hidden="1" customHeight="1">
      <c r="A173" s="1097" t="s">
        <v>1032</v>
      </c>
      <c r="B173" s="1057">
        <v>164</v>
      </c>
      <c r="C173" s="1018"/>
      <c r="D173" s="1018"/>
      <c r="E173" s="1018"/>
      <c r="F173" s="1018"/>
      <c r="G173" s="1018"/>
      <c r="H173" s="1018"/>
      <c r="I173" s="1018"/>
      <c r="J173" s="1018"/>
      <c r="K173" s="1018"/>
      <c r="L173" s="1018"/>
      <c r="M173" s="1057"/>
      <c r="N173" s="1018"/>
      <c r="O173" s="1018"/>
      <c r="P173" s="1018"/>
      <c r="Q173" s="1018"/>
      <c r="R173" s="1018"/>
      <c r="S173" s="1018"/>
      <c r="T173" s="1019"/>
      <c r="U173" s="1098" t="s">
        <v>2624</v>
      </c>
      <c r="V173" s="1099" t="s">
        <v>2507</v>
      </c>
      <c r="W173" s="1099" t="s">
        <v>1889</v>
      </c>
      <c r="X173" s="1100" t="s">
        <v>2625</v>
      </c>
      <c r="Y173" s="1101" t="s">
        <v>2626</v>
      </c>
      <c r="Z173" s="1102" t="s">
        <v>2627</v>
      </c>
      <c r="AA173" s="1103" t="s">
        <v>1942</v>
      </c>
      <c r="AB173" s="1104" t="s">
        <v>1942</v>
      </c>
      <c r="AC173" s="1104">
        <v>1</v>
      </c>
      <c r="AD173" s="1104" t="s">
        <v>1942</v>
      </c>
      <c r="AE173" s="1104" t="s">
        <v>1942</v>
      </c>
      <c r="AF173" s="1104" t="s">
        <v>1942</v>
      </c>
      <c r="AG173" s="1104" t="s">
        <v>1942</v>
      </c>
      <c r="AH173" s="1104" t="s">
        <v>1942</v>
      </c>
      <c r="AI173" s="1105">
        <f t="shared" si="2"/>
        <v>1</v>
      </c>
      <c r="AJ173" s="1106" t="s">
        <v>1030</v>
      </c>
      <c r="AK173" s="1106" t="s">
        <v>1008</v>
      </c>
      <c r="AL173" s="1106" t="s">
        <v>1009</v>
      </c>
      <c r="AM173" s="1107" t="s">
        <v>2106</v>
      </c>
      <c r="AN173" s="1018" t="s">
        <v>278</v>
      </c>
      <c r="AO173" s="1018" t="s">
        <v>2628</v>
      </c>
      <c r="AP173" s="833">
        <v>2</v>
      </c>
      <c r="AQ173" s="1076" t="s">
        <v>1010</v>
      </c>
      <c r="AR173" s="1109" t="s">
        <v>1942</v>
      </c>
      <c r="AS173" s="1110"/>
      <c r="AT173" s="1100"/>
      <c r="AU173" s="1100"/>
      <c r="AV173" s="1100"/>
      <c r="AW173" s="1111"/>
      <c r="AX173" s="1112"/>
      <c r="AY173" s="1075"/>
      <c r="AZ173" s="1076"/>
      <c r="BA173" s="1076"/>
      <c r="BB173" s="1076"/>
      <c r="BC173" s="1076"/>
      <c r="BD173" s="1076"/>
      <c r="BE173" s="1076"/>
      <c r="BF173" s="1076"/>
      <c r="BG173" s="1076"/>
      <c r="BH173" s="1076"/>
      <c r="BI173" s="1420"/>
      <c r="BJ173" s="1368"/>
      <c r="BK173" s="1368"/>
      <c r="BL173" s="1368"/>
      <c r="BM173" s="1368"/>
      <c r="BN173" s="1075"/>
      <c r="BO173" s="1076"/>
      <c r="BP173" s="1076"/>
      <c r="BQ173" s="1076"/>
      <c r="BR173" s="1076"/>
      <c r="BS173" s="1115"/>
      <c r="BT173" s="1076"/>
      <c r="BU173" s="1076"/>
      <c r="BV173" s="1076"/>
      <c r="BW173" s="1116"/>
      <c r="BX173" s="1115"/>
      <c r="BY173" s="1076"/>
      <c r="BZ173" s="1076"/>
      <c r="CA173" s="1076"/>
      <c r="CB173" s="1116"/>
      <c r="CC173" s="1117"/>
      <c r="CD173" s="1376"/>
      <c r="CE173" s="1377"/>
      <c r="CF173" s="1377"/>
      <c r="CG173" s="1377"/>
      <c r="CH173" s="1440"/>
      <c r="CI173" s="1420"/>
      <c r="CJ173" s="1368"/>
      <c r="CK173" s="1368"/>
      <c r="CL173" s="1368"/>
      <c r="CM173" s="1369"/>
      <c r="CN173" s="1420"/>
      <c r="CO173" s="1368"/>
      <c r="CP173" s="1368"/>
      <c r="CQ173" s="1368"/>
      <c r="CR173" s="1369"/>
      <c r="CS173" s="1420"/>
      <c r="CT173" s="1368"/>
      <c r="CU173" s="1368"/>
      <c r="CV173" s="1368"/>
      <c r="CW173" s="1369"/>
      <c r="CX173" s="1420"/>
      <c r="CY173" s="1368"/>
      <c r="CZ173" s="1368"/>
      <c r="DA173" s="1368"/>
      <c r="DB173" s="1369"/>
      <c r="DC173" s="1368"/>
      <c r="DD173" s="1368"/>
      <c r="DE173" s="1368"/>
      <c r="DF173" s="1368"/>
      <c r="DG173" s="1369"/>
      <c r="DH173" s="1420"/>
      <c r="DI173" s="1368"/>
      <c r="DJ173" s="1368"/>
      <c r="DK173" s="1368"/>
      <c r="DL173" s="1369"/>
      <c r="DM173" s="1808"/>
      <c r="DN173" s="1809"/>
      <c r="DO173" s="1809"/>
      <c r="DP173" s="1810"/>
      <c r="DQ173" s="1809"/>
      <c r="DR173" s="1809"/>
      <c r="DS173" s="1809"/>
      <c r="DT173" s="1810"/>
      <c r="DU173" s="1377"/>
      <c r="DV173" s="1729"/>
      <c r="DW173" s="1811"/>
    </row>
    <row r="174" spans="1:127" s="397" customFormat="1" ht="15.75" hidden="1" customHeight="1">
      <c r="A174" s="1097" t="s">
        <v>1032</v>
      </c>
      <c r="B174" s="1057">
        <v>165</v>
      </c>
      <c r="C174" s="1018"/>
      <c r="D174" s="1018"/>
      <c r="E174" s="1018"/>
      <c r="F174" s="1018"/>
      <c r="G174" s="1018"/>
      <c r="H174" s="1018"/>
      <c r="I174" s="1018"/>
      <c r="J174" s="1018"/>
      <c r="K174" s="1018"/>
      <c r="L174" s="1018"/>
      <c r="M174" s="1057"/>
      <c r="N174" s="1018"/>
      <c r="O174" s="1018"/>
      <c r="P174" s="1018"/>
      <c r="Q174" s="1018"/>
      <c r="R174" s="1018"/>
      <c r="S174" s="1018"/>
      <c r="T174" s="1019"/>
      <c r="U174" s="1098" t="s">
        <v>2629</v>
      </c>
      <c r="V174" s="1099" t="s">
        <v>2630</v>
      </c>
      <c r="W174" s="1099" t="s">
        <v>1907</v>
      </c>
      <c r="X174" s="1100" t="s">
        <v>2631</v>
      </c>
      <c r="Y174" s="1101" t="s">
        <v>2632</v>
      </c>
      <c r="Z174" s="1102" t="s">
        <v>2633</v>
      </c>
      <c r="AA174" s="1103">
        <v>0.122</v>
      </c>
      <c r="AB174" s="1104">
        <v>0.501</v>
      </c>
      <c r="AC174" s="1104">
        <v>0.377</v>
      </c>
      <c r="AD174" s="1104" t="s">
        <v>1942</v>
      </c>
      <c r="AE174" s="1104" t="s">
        <v>1942</v>
      </c>
      <c r="AF174" s="1104" t="s">
        <v>1942</v>
      </c>
      <c r="AG174" s="1104" t="s">
        <v>1942</v>
      </c>
      <c r="AH174" s="1104" t="s">
        <v>1942</v>
      </c>
      <c r="AI174" s="1105">
        <f t="shared" si="2"/>
        <v>1</v>
      </c>
      <c r="AJ174" s="1106" t="s">
        <v>1030</v>
      </c>
      <c r="AK174" s="1106" t="s">
        <v>1008</v>
      </c>
      <c r="AL174" s="1106" t="s">
        <v>1009</v>
      </c>
      <c r="AM174" s="1107" t="s">
        <v>2106</v>
      </c>
      <c r="AN174" s="1018" t="s">
        <v>1033</v>
      </c>
      <c r="AO174" s="1018" t="s">
        <v>2634</v>
      </c>
      <c r="AP174" s="833">
        <v>1</v>
      </c>
      <c r="AQ174" s="1076" t="s">
        <v>1010</v>
      </c>
      <c r="AR174" s="1109" t="s">
        <v>1942</v>
      </c>
      <c r="AS174" s="1110"/>
      <c r="AT174" s="1100"/>
      <c r="AU174" s="1100"/>
      <c r="AV174" s="1100"/>
      <c r="AW174" s="1111"/>
      <c r="AX174" s="1112"/>
      <c r="AY174" s="1075"/>
      <c r="AZ174" s="1076"/>
      <c r="BA174" s="1076"/>
      <c r="BB174" s="1076"/>
      <c r="BC174" s="1076"/>
      <c r="BD174" s="1076"/>
      <c r="BE174" s="1076"/>
      <c r="BF174" s="1076"/>
      <c r="BG174" s="1076"/>
      <c r="BH174" s="1076"/>
      <c r="BI174" s="1420"/>
      <c r="BJ174" s="1368"/>
      <c r="BK174" s="1368"/>
      <c r="BL174" s="1368"/>
      <c r="BM174" s="1368"/>
      <c r="BN174" s="1075"/>
      <c r="BO174" s="1076"/>
      <c r="BP174" s="1076"/>
      <c r="BQ174" s="1076"/>
      <c r="BR174" s="1076"/>
      <c r="BS174" s="1115"/>
      <c r="BT174" s="1076"/>
      <c r="BU174" s="1076"/>
      <c r="BV174" s="1076"/>
      <c r="BW174" s="1116"/>
      <c r="BX174" s="1115"/>
      <c r="BY174" s="1076"/>
      <c r="BZ174" s="1076"/>
      <c r="CA174" s="1076"/>
      <c r="CB174" s="1116"/>
      <c r="CC174" s="1117"/>
      <c r="CD174" s="1376"/>
      <c r="CE174" s="1377"/>
      <c r="CF174" s="1377"/>
      <c r="CG174" s="1377"/>
      <c r="CH174" s="1440"/>
      <c r="CI174" s="1420"/>
      <c r="CJ174" s="1368"/>
      <c r="CK174" s="1368"/>
      <c r="CL174" s="1368"/>
      <c r="CM174" s="1369"/>
      <c r="CN174" s="1420"/>
      <c r="CO174" s="1368"/>
      <c r="CP174" s="1368"/>
      <c r="CQ174" s="1368"/>
      <c r="CR174" s="1369"/>
      <c r="CS174" s="1420"/>
      <c r="CT174" s="1368"/>
      <c r="CU174" s="1368"/>
      <c r="CV174" s="1368"/>
      <c r="CW174" s="1369"/>
      <c r="CX174" s="1420"/>
      <c r="CY174" s="1368"/>
      <c r="CZ174" s="1368"/>
      <c r="DA174" s="1368"/>
      <c r="DB174" s="1369"/>
      <c r="DC174" s="1368"/>
      <c r="DD174" s="1368"/>
      <c r="DE174" s="1368"/>
      <c r="DF174" s="1368"/>
      <c r="DG174" s="1369"/>
      <c r="DH174" s="1420"/>
      <c r="DI174" s="1368"/>
      <c r="DJ174" s="1368"/>
      <c r="DK174" s="1368"/>
      <c r="DL174" s="1369"/>
      <c r="DM174" s="1808"/>
      <c r="DN174" s="1809"/>
      <c r="DO174" s="1809"/>
      <c r="DP174" s="1810"/>
      <c r="DQ174" s="1809"/>
      <c r="DR174" s="1809"/>
      <c r="DS174" s="1809"/>
      <c r="DT174" s="1810"/>
      <c r="DU174" s="1377"/>
      <c r="DV174" s="1729"/>
      <c r="DW174" s="1811"/>
    </row>
    <row r="175" spans="1:127" s="397" customFormat="1" ht="15.75" hidden="1" customHeight="1">
      <c r="A175" s="1097" t="s">
        <v>1032</v>
      </c>
      <c r="B175" s="1057">
        <v>166</v>
      </c>
      <c r="C175" s="1018"/>
      <c r="D175" s="1018"/>
      <c r="E175" s="1018"/>
      <c r="F175" s="1018"/>
      <c r="G175" s="1018"/>
      <c r="H175" s="1018"/>
      <c r="I175" s="1018"/>
      <c r="J175" s="1018"/>
      <c r="K175" s="1018"/>
      <c r="L175" s="1018"/>
      <c r="M175" s="1057"/>
      <c r="N175" s="1018"/>
      <c r="O175" s="1018"/>
      <c r="P175" s="1018"/>
      <c r="Q175" s="1018"/>
      <c r="R175" s="1018"/>
      <c r="S175" s="1018"/>
      <c r="T175" s="1019"/>
      <c r="U175" s="1098" t="s">
        <v>2635</v>
      </c>
      <c r="V175" s="1099" t="s">
        <v>2630</v>
      </c>
      <c r="W175" s="1099" t="s">
        <v>1889</v>
      </c>
      <c r="X175" s="1100" t="s">
        <v>2636</v>
      </c>
      <c r="Y175" s="1101" t="s">
        <v>2637</v>
      </c>
      <c r="Z175" s="1102" t="s">
        <v>2638</v>
      </c>
      <c r="AA175" s="1103">
        <v>0.11</v>
      </c>
      <c r="AB175" s="1104">
        <v>0.44900000000000001</v>
      </c>
      <c r="AC175" s="1104">
        <v>0.33800000000000002</v>
      </c>
      <c r="AD175" s="1104">
        <v>2.9000000000000001E-2</v>
      </c>
      <c r="AE175" s="1104">
        <v>7.3999999999999996E-2</v>
      </c>
      <c r="AF175" s="1104" t="s">
        <v>1942</v>
      </c>
      <c r="AG175" s="1104" t="s">
        <v>1942</v>
      </c>
      <c r="AH175" s="1104" t="s">
        <v>1942</v>
      </c>
      <c r="AI175" s="1105">
        <f t="shared" si="2"/>
        <v>1</v>
      </c>
      <c r="AJ175" s="1106" t="s">
        <v>1030</v>
      </c>
      <c r="AK175" s="1106" t="s">
        <v>1008</v>
      </c>
      <c r="AL175" s="1106" t="s">
        <v>1009</v>
      </c>
      <c r="AM175" s="1107" t="s">
        <v>2132</v>
      </c>
      <c r="AN175" s="1018" t="s">
        <v>2639</v>
      </c>
      <c r="AO175" s="1018" t="s">
        <v>2640</v>
      </c>
      <c r="AP175" s="833">
        <v>0</v>
      </c>
      <c r="AQ175" s="1076" t="s">
        <v>1020</v>
      </c>
      <c r="AR175" s="1109" t="s">
        <v>1942</v>
      </c>
      <c r="AS175" s="1110"/>
      <c r="AT175" s="1100"/>
      <c r="AU175" s="1100"/>
      <c r="AV175" s="1100"/>
      <c r="AW175" s="1111"/>
      <c r="AX175" s="1112"/>
      <c r="AY175" s="1075"/>
      <c r="AZ175" s="1076"/>
      <c r="BA175" s="1076"/>
      <c r="BB175" s="1076"/>
      <c r="BC175" s="1076"/>
      <c r="BD175" s="1076"/>
      <c r="BE175" s="1076"/>
      <c r="BF175" s="1076"/>
      <c r="BG175" s="1076"/>
      <c r="BH175" s="1076"/>
      <c r="BI175" s="1420"/>
      <c r="BJ175" s="1368"/>
      <c r="BK175" s="1368"/>
      <c r="BL175" s="1368"/>
      <c r="BM175" s="1368"/>
      <c r="BN175" s="1075"/>
      <c r="BO175" s="1076"/>
      <c r="BP175" s="1076"/>
      <c r="BQ175" s="1076"/>
      <c r="BR175" s="1076"/>
      <c r="BS175" s="1115"/>
      <c r="BT175" s="1076"/>
      <c r="BU175" s="1076"/>
      <c r="BV175" s="1076"/>
      <c r="BW175" s="1116"/>
      <c r="BX175" s="1115"/>
      <c r="BY175" s="1076"/>
      <c r="BZ175" s="1076"/>
      <c r="CA175" s="1076"/>
      <c r="CB175" s="1116"/>
      <c r="CC175" s="1117"/>
      <c r="CD175" s="1376"/>
      <c r="CE175" s="1377"/>
      <c r="CF175" s="1377"/>
      <c r="CG175" s="1377"/>
      <c r="CH175" s="1440"/>
      <c r="CI175" s="1420"/>
      <c r="CJ175" s="1368"/>
      <c r="CK175" s="1368"/>
      <c r="CL175" s="1368"/>
      <c r="CM175" s="1369"/>
      <c r="CN175" s="1420"/>
      <c r="CO175" s="1368"/>
      <c r="CP175" s="1368"/>
      <c r="CQ175" s="1368"/>
      <c r="CR175" s="1369"/>
      <c r="CS175" s="1420"/>
      <c r="CT175" s="1368"/>
      <c r="CU175" s="1368"/>
      <c r="CV175" s="1368"/>
      <c r="CW175" s="1369"/>
      <c r="CX175" s="1420"/>
      <c r="CY175" s="1368"/>
      <c r="CZ175" s="1368"/>
      <c r="DA175" s="1368"/>
      <c r="DB175" s="1369"/>
      <c r="DC175" s="1368"/>
      <c r="DD175" s="1368"/>
      <c r="DE175" s="1368"/>
      <c r="DF175" s="1368"/>
      <c r="DG175" s="1369"/>
      <c r="DH175" s="1420"/>
      <c r="DI175" s="1368"/>
      <c r="DJ175" s="1368"/>
      <c r="DK175" s="1368"/>
      <c r="DL175" s="1369"/>
      <c r="DM175" s="1808"/>
      <c r="DN175" s="1809"/>
      <c r="DO175" s="1809"/>
      <c r="DP175" s="1810"/>
      <c r="DQ175" s="1809"/>
      <c r="DR175" s="1809"/>
      <c r="DS175" s="1809"/>
      <c r="DT175" s="1810"/>
      <c r="DU175" s="1377"/>
      <c r="DV175" s="1729"/>
      <c r="DW175" s="1811"/>
    </row>
    <row r="176" spans="1:127" s="397" customFormat="1" ht="15.75" hidden="1" customHeight="1">
      <c r="A176" s="1097" t="s">
        <v>1032</v>
      </c>
      <c r="B176" s="1057">
        <v>167</v>
      </c>
      <c r="C176" s="1018"/>
      <c r="D176" s="1018"/>
      <c r="E176" s="1018"/>
      <c r="F176" s="1018"/>
      <c r="G176" s="1018"/>
      <c r="H176" s="1018"/>
      <c r="I176" s="1018"/>
      <c r="J176" s="1018"/>
      <c r="K176" s="1018"/>
      <c r="L176" s="1018"/>
      <c r="M176" s="1057"/>
      <c r="N176" s="1018"/>
      <c r="O176" s="1018"/>
      <c r="P176" s="1018"/>
      <c r="Q176" s="1018"/>
      <c r="R176" s="1018"/>
      <c r="S176" s="1018"/>
      <c r="T176" s="1019"/>
      <c r="U176" s="1098" t="s">
        <v>2641</v>
      </c>
      <c r="V176" s="1099" t="s">
        <v>2630</v>
      </c>
      <c r="W176" s="1099" t="s">
        <v>1907</v>
      </c>
      <c r="X176" s="1100" t="s">
        <v>2642</v>
      </c>
      <c r="Y176" s="1101" t="s">
        <v>2643</v>
      </c>
      <c r="Z176" s="1102" t="s">
        <v>2644</v>
      </c>
      <c r="AA176" s="1103" t="s">
        <v>1942</v>
      </c>
      <c r="AB176" s="1104" t="s">
        <v>1942</v>
      </c>
      <c r="AC176" s="1104" t="s">
        <v>1942</v>
      </c>
      <c r="AD176" s="1104">
        <v>1</v>
      </c>
      <c r="AE176" s="1104" t="s">
        <v>1942</v>
      </c>
      <c r="AF176" s="1104" t="s">
        <v>1942</v>
      </c>
      <c r="AG176" s="1104" t="s">
        <v>1942</v>
      </c>
      <c r="AH176" s="1104" t="s">
        <v>1942</v>
      </c>
      <c r="AI176" s="1105">
        <f t="shared" si="2"/>
        <v>1</v>
      </c>
      <c r="AJ176" s="1106" t="s">
        <v>1007</v>
      </c>
      <c r="AK176" s="1106" t="s">
        <v>1942</v>
      </c>
      <c r="AL176" s="1106" t="s">
        <v>1942</v>
      </c>
      <c r="AM176" s="1107" t="s">
        <v>763</v>
      </c>
      <c r="AN176" s="1018" t="s">
        <v>278</v>
      </c>
      <c r="AO176" s="1018" t="s">
        <v>2645</v>
      </c>
      <c r="AP176" s="833">
        <v>1</v>
      </c>
      <c r="AQ176" s="1076" t="s">
        <v>1010</v>
      </c>
      <c r="AR176" s="1109" t="s">
        <v>1942</v>
      </c>
      <c r="AS176" s="1110"/>
      <c r="AT176" s="1100"/>
      <c r="AU176" s="1100"/>
      <c r="AV176" s="1100"/>
      <c r="AW176" s="1111"/>
      <c r="AX176" s="1112"/>
      <c r="AY176" s="1075"/>
      <c r="AZ176" s="1076"/>
      <c r="BA176" s="1076"/>
      <c r="BB176" s="1076"/>
      <c r="BC176" s="1076"/>
      <c r="BD176" s="1076"/>
      <c r="BE176" s="1076"/>
      <c r="BF176" s="1076"/>
      <c r="BG176" s="1076"/>
      <c r="BH176" s="1076"/>
      <c r="BI176" s="1420"/>
      <c r="BJ176" s="1368"/>
      <c r="BK176" s="1368"/>
      <c r="BL176" s="1368"/>
      <c r="BM176" s="1368"/>
      <c r="BN176" s="1075"/>
      <c r="BO176" s="1076"/>
      <c r="BP176" s="1076"/>
      <c r="BQ176" s="1076"/>
      <c r="BR176" s="1076"/>
      <c r="BS176" s="1115"/>
      <c r="BT176" s="1076"/>
      <c r="BU176" s="1076"/>
      <c r="BV176" s="1076"/>
      <c r="BW176" s="1116"/>
      <c r="BX176" s="1115"/>
      <c r="BY176" s="1076"/>
      <c r="BZ176" s="1076"/>
      <c r="CA176" s="1076"/>
      <c r="CB176" s="1116"/>
      <c r="CC176" s="1117"/>
      <c r="CD176" s="1376"/>
      <c r="CE176" s="1377"/>
      <c r="CF176" s="1377"/>
      <c r="CG176" s="1377"/>
      <c r="CH176" s="1440"/>
      <c r="CI176" s="1420"/>
      <c r="CJ176" s="1368"/>
      <c r="CK176" s="1368"/>
      <c r="CL176" s="1368"/>
      <c r="CM176" s="1369"/>
      <c r="CN176" s="1420"/>
      <c r="CO176" s="1368"/>
      <c r="CP176" s="1368"/>
      <c r="CQ176" s="1368"/>
      <c r="CR176" s="1369"/>
      <c r="CS176" s="1420"/>
      <c r="CT176" s="1368"/>
      <c r="CU176" s="1368"/>
      <c r="CV176" s="1368"/>
      <c r="CW176" s="1369"/>
      <c r="CX176" s="1420"/>
      <c r="CY176" s="1368"/>
      <c r="CZ176" s="1368"/>
      <c r="DA176" s="1368"/>
      <c r="DB176" s="1369"/>
      <c r="DC176" s="1368"/>
      <c r="DD176" s="1368"/>
      <c r="DE176" s="1368"/>
      <c r="DF176" s="1368"/>
      <c r="DG176" s="1369"/>
      <c r="DH176" s="1420"/>
      <c r="DI176" s="1368"/>
      <c r="DJ176" s="1368"/>
      <c r="DK176" s="1368"/>
      <c r="DL176" s="1369"/>
      <c r="DM176" s="1808"/>
      <c r="DN176" s="1809"/>
      <c r="DO176" s="1809"/>
      <c r="DP176" s="1810"/>
      <c r="DQ176" s="1809"/>
      <c r="DR176" s="1809"/>
      <c r="DS176" s="1809"/>
      <c r="DT176" s="1810"/>
      <c r="DU176" s="1377"/>
      <c r="DV176" s="1729"/>
      <c r="DW176" s="1811"/>
    </row>
    <row r="177" spans="1:127" s="397" customFormat="1" ht="15.75" hidden="1" customHeight="1">
      <c r="A177" s="1097" t="s">
        <v>1032</v>
      </c>
      <c r="B177" s="1057">
        <v>168</v>
      </c>
      <c r="C177" s="1018"/>
      <c r="D177" s="1018"/>
      <c r="E177" s="1018"/>
      <c r="F177" s="1018"/>
      <c r="G177" s="1018"/>
      <c r="H177" s="1018"/>
      <c r="I177" s="1018"/>
      <c r="J177" s="1018"/>
      <c r="K177" s="1018"/>
      <c r="L177" s="1018"/>
      <c r="M177" s="1057"/>
      <c r="N177" s="1018"/>
      <c r="O177" s="1018"/>
      <c r="P177" s="1018"/>
      <c r="Q177" s="1018"/>
      <c r="R177" s="1018"/>
      <c r="S177" s="1018"/>
      <c r="T177" s="1019"/>
      <c r="U177" s="1098" t="s">
        <v>2646</v>
      </c>
      <c r="V177" s="1099" t="s">
        <v>2539</v>
      </c>
      <c r="W177" s="1099" t="s">
        <v>1907</v>
      </c>
      <c r="X177" s="1100" t="s">
        <v>2647</v>
      </c>
      <c r="Y177" s="1101" t="s">
        <v>2648</v>
      </c>
      <c r="Z177" s="1102" t="s">
        <v>2649</v>
      </c>
      <c r="AA177" s="1103" t="s">
        <v>1942</v>
      </c>
      <c r="AB177" s="1104" t="s">
        <v>1942</v>
      </c>
      <c r="AC177" s="1104" t="s">
        <v>1942</v>
      </c>
      <c r="AD177" s="1104" t="s">
        <v>1942</v>
      </c>
      <c r="AE177" s="1104">
        <v>1</v>
      </c>
      <c r="AF177" s="1104" t="s">
        <v>1942</v>
      </c>
      <c r="AG177" s="1104" t="s">
        <v>1942</v>
      </c>
      <c r="AH177" s="1104" t="s">
        <v>1942</v>
      </c>
      <c r="AI177" s="1105">
        <f t="shared" si="2"/>
        <v>1</v>
      </c>
      <c r="AJ177" s="1106" t="s">
        <v>1007</v>
      </c>
      <c r="AK177" s="1106" t="s">
        <v>1942</v>
      </c>
      <c r="AL177" s="1106" t="s">
        <v>1942</v>
      </c>
      <c r="AM177" s="1107" t="s">
        <v>2117</v>
      </c>
      <c r="AN177" s="1018" t="s">
        <v>1033</v>
      </c>
      <c r="AO177" s="1018" t="s">
        <v>2543</v>
      </c>
      <c r="AP177" s="833">
        <v>1</v>
      </c>
      <c r="AQ177" s="1076" t="s">
        <v>1010</v>
      </c>
      <c r="AR177" s="1109" t="s">
        <v>1942</v>
      </c>
      <c r="AS177" s="1110"/>
      <c r="AT177" s="1100"/>
      <c r="AU177" s="1100"/>
      <c r="AV177" s="1100"/>
      <c r="AW177" s="1111"/>
      <c r="AX177" s="1112"/>
      <c r="AY177" s="1075"/>
      <c r="AZ177" s="1076"/>
      <c r="BA177" s="1076"/>
      <c r="BB177" s="1076"/>
      <c r="BC177" s="1076"/>
      <c r="BD177" s="1076"/>
      <c r="BE177" s="1076"/>
      <c r="BF177" s="1076"/>
      <c r="BG177" s="1076"/>
      <c r="BH177" s="1076"/>
      <c r="BI177" s="1420"/>
      <c r="BJ177" s="1368"/>
      <c r="BK177" s="1368"/>
      <c r="BL177" s="1368"/>
      <c r="BM177" s="1368"/>
      <c r="BN177" s="1075"/>
      <c r="BO177" s="1076"/>
      <c r="BP177" s="1076"/>
      <c r="BQ177" s="1076"/>
      <c r="BR177" s="1076"/>
      <c r="BS177" s="1115"/>
      <c r="BT177" s="1076"/>
      <c r="BU177" s="1076"/>
      <c r="BV177" s="1076"/>
      <c r="BW177" s="1116"/>
      <c r="BX177" s="1115"/>
      <c r="BY177" s="1076"/>
      <c r="BZ177" s="1076"/>
      <c r="CA177" s="1076"/>
      <c r="CB177" s="1116"/>
      <c r="CC177" s="1117"/>
      <c r="CD177" s="1376"/>
      <c r="CE177" s="1377"/>
      <c r="CF177" s="1377"/>
      <c r="CG177" s="1377"/>
      <c r="CH177" s="1440"/>
      <c r="CI177" s="1420"/>
      <c r="CJ177" s="1368"/>
      <c r="CK177" s="1368"/>
      <c r="CL177" s="1368"/>
      <c r="CM177" s="1369"/>
      <c r="CN177" s="1420"/>
      <c r="CO177" s="1368"/>
      <c r="CP177" s="1368"/>
      <c r="CQ177" s="1368"/>
      <c r="CR177" s="1369"/>
      <c r="CS177" s="1420"/>
      <c r="CT177" s="1368"/>
      <c r="CU177" s="1368"/>
      <c r="CV177" s="1368"/>
      <c r="CW177" s="1369"/>
      <c r="CX177" s="1420"/>
      <c r="CY177" s="1368"/>
      <c r="CZ177" s="1368"/>
      <c r="DA177" s="1368"/>
      <c r="DB177" s="1369"/>
      <c r="DC177" s="1368"/>
      <c r="DD177" s="1368"/>
      <c r="DE177" s="1368"/>
      <c r="DF177" s="1368"/>
      <c r="DG177" s="1369"/>
      <c r="DH177" s="1420"/>
      <c r="DI177" s="1368"/>
      <c r="DJ177" s="1368"/>
      <c r="DK177" s="1368"/>
      <c r="DL177" s="1369"/>
      <c r="DM177" s="1808"/>
      <c r="DN177" s="1809"/>
      <c r="DO177" s="1809"/>
      <c r="DP177" s="1810"/>
      <c r="DQ177" s="1809"/>
      <c r="DR177" s="1809"/>
      <c r="DS177" s="1809"/>
      <c r="DT177" s="1810"/>
      <c r="DU177" s="1377"/>
      <c r="DV177" s="1729"/>
      <c r="DW177" s="1811"/>
    </row>
    <row r="178" spans="1:127" s="397" customFormat="1" ht="15.75" hidden="1" customHeight="1">
      <c r="A178" s="1097" t="s">
        <v>1032</v>
      </c>
      <c r="B178" s="1057">
        <v>169</v>
      </c>
      <c r="C178" s="1018"/>
      <c r="D178" s="1018"/>
      <c r="E178" s="1018"/>
      <c r="F178" s="1018"/>
      <c r="G178" s="1018"/>
      <c r="H178" s="1018"/>
      <c r="I178" s="1018"/>
      <c r="J178" s="1018"/>
      <c r="K178" s="1018"/>
      <c r="L178" s="1018"/>
      <c r="M178" s="1057"/>
      <c r="N178" s="1018"/>
      <c r="O178" s="1018"/>
      <c r="P178" s="1018"/>
      <c r="Q178" s="1018"/>
      <c r="R178" s="1018"/>
      <c r="S178" s="1018"/>
      <c r="T178" s="1019"/>
      <c r="U178" s="1098" t="s">
        <v>2650</v>
      </c>
      <c r="V178" s="1099" t="s">
        <v>2539</v>
      </c>
      <c r="W178" s="1099" t="s">
        <v>1907</v>
      </c>
      <c r="X178" s="1100" t="s">
        <v>2651</v>
      </c>
      <c r="Y178" s="1101" t="s">
        <v>2652</v>
      </c>
      <c r="Z178" s="1102" t="s">
        <v>2653</v>
      </c>
      <c r="AA178" s="1103" t="s">
        <v>1942</v>
      </c>
      <c r="AB178" s="1104" t="s">
        <v>1942</v>
      </c>
      <c r="AC178" s="1104" t="s">
        <v>1942</v>
      </c>
      <c r="AD178" s="1104" t="s">
        <v>1942</v>
      </c>
      <c r="AE178" s="1104">
        <v>1</v>
      </c>
      <c r="AF178" s="1104" t="s">
        <v>1942</v>
      </c>
      <c r="AG178" s="1104" t="s">
        <v>1942</v>
      </c>
      <c r="AH178" s="1104" t="s">
        <v>1942</v>
      </c>
      <c r="AI178" s="1105">
        <f t="shared" si="2"/>
        <v>1</v>
      </c>
      <c r="AJ178" s="1106" t="s">
        <v>1007</v>
      </c>
      <c r="AK178" s="1106" t="s">
        <v>1942</v>
      </c>
      <c r="AL178" s="1106" t="s">
        <v>1942</v>
      </c>
      <c r="AM178" s="1107" t="s">
        <v>2400</v>
      </c>
      <c r="AN178" s="1018" t="s">
        <v>278</v>
      </c>
      <c r="AO178" s="1018" t="s">
        <v>2654</v>
      </c>
      <c r="AP178" s="833">
        <v>1</v>
      </c>
      <c r="AQ178" s="1076" t="s">
        <v>1010</v>
      </c>
      <c r="AR178" s="1109" t="s">
        <v>1942</v>
      </c>
      <c r="AS178" s="1110"/>
      <c r="AT178" s="1100"/>
      <c r="AU178" s="1100"/>
      <c r="AV178" s="1100"/>
      <c r="AW178" s="1111"/>
      <c r="AX178" s="1112"/>
      <c r="AY178" s="1075"/>
      <c r="AZ178" s="1076"/>
      <c r="BA178" s="1076"/>
      <c r="BB178" s="1076"/>
      <c r="BC178" s="1076"/>
      <c r="BD178" s="1076"/>
      <c r="BE178" s="1076"/>
      <c r="BF178" s="1076"/>
      <c r="BG178" s="1076"/>
      <c r="BH178" s="1076"/>
      <c r="BI178" s="1420"/>
      <c r="BJ178" s="1368"/>
      <c r="BK178" s="1368"/>
      <c r="BL178" s="1368"/>
      <c r="BM178" s="1368"/>
      <c r="BN178" s="1075"/>
      <c r="BO178" s="1076"/>
      <c r="BP178" s="1076"/>
      <c r="BQ178" s="1076"/>
      <c r="BR178" s="1076"/>
      <c r="BS178" s="1115"/>
      <c r="BT178" s="1076"/>
      <c r="BU178" s="1076"/>
      <c r="BV178" s="1076"/>
      <c r="BW178" s="1116"/>
      <c r="BX178" s="1115"/>
      <c r="BY178" s="1076"/>
      <c r="BZ178" s="1076"/>
      <c r="CA178" s="1076"/>
      <c r="CB178" s="1116"/>
      <c r="CC178" s="1117"/>
      <c r="CD178" s="1376"/>
      <c r="CE178" s="1377"/>
      <c r="CF178" s="1377"/>
      <c r="CG178" s="1377"/>
      <c r="CH178" s="1440"/>
      <c r="CI178" s="1420"/>
      <c r="CJ178" s="1368"/>
      <c r="CK178" s="1368"/>
      <c r="CL178" s="1368"/>
      <c r="CM178" s="1369"/>
      <c r="CN178" s="1420"/>
      <c r="CO178" s="1368"/>
      <c r="CP178" s="1368"/>
      <c r="CQ178" s="1368"/>
      <c r="CR178" s="1369"/>
      <c r="CS178" s="1420"/>
      <c r="CT178" s="1368"/>
      <c r="CU178" s="1368"/>
      <c r="CV178" s="1368"/>
      <c r="CW178" s="1369"/>
      <c r="CX178" s="1420"/>
      <c r="CY178" s="1368"/>
      <c r="CZ178" s="1368"/>
      <c r="DA178" s="1368"/>
      <c r="DB178" s="1369"/>
      <c r="DC178" s="1368"/>
      <c r="DD178" s="1368"/>
      <c r="DE178" s="1368"/>
      <c r="DF178" s="1368"/>
      <c r="DG178" s="1369"/>
      <c r="DH178" s="1420"/>
      <c r="DI178" s="1368"/>
      <c r="DJ178" s="1368"/>
      <c r="DK178" s="1368"/>
      <c r="DL178" s="1369"/>
      <c r="DM178" s="1808"/>
      <c r="DN178" s="1809"/>
      <c r="DO178" s="1809"/>
      <c r="DP178" s="1810"/>
      <c r="DQ178" s="1809"/>
      <c r="DR178" s="1809"/>
      <c r="DS178" s="1809"/>
      <c r="DT178" s="1810"/>
      <c r="DU178" s="1377"/>
      <c r="DV178" s="1729"/>
      <c r="DW178" s="1811"/>
    </row>
    <row r="179" spans="1:127" s="397" customFormat="1" ht="15.75" hidden="1" customHeight="1">
      <c r="A179" s="1097" t="s">
        <v>1032</v>
      </c>
      <c r="B179" s="1057">
        <v>170</v>
      </c>
      <c r="C179" s="1018"/>
      <c r="D179" s="1018"/>
      <c r="E179" s="1018"/>
      <c r="F179" s="1018"/>
      <c r="G179" s="1018"/>
      <c r="H179" s="1018"/>
      <c r="I179" s="1018"/>
      <c r="J179" s="1018"/>
      <c r="K179" s="1018"/>
      <c r="L179" s="1018"/>
      <c r="M179" s="1057"/>
      <c r="N179" s="1018"/>
      <c r="O179" s="1018"/>
      <c r="P179" s="1018"/>
      <c r="Q179" s="1018"/>
      <c r="R179" s="1018"/>
      <c r="S179" s="1018"/>
      <c r="T179" s="1019"/>
      <c r="U179" s="1098" t="s">
        <v>2655</v>
      </c>
      <c r="V179" s="1099" t="s">
        <v>2539</v>
      </c>
      <c r="W179" s="1099" t="s">
        <v>1907</v>
      </c>
      <c r="X179" s="1100" t="s">
        <v>2656</v>
      </c>
      <c r="Y179" s="1101" t="s">
        <v>703</v>
      </c>
      <c r="Z179" s="1102" t="s">
        <v>2657</v>
      </c>
      <c r="AA179" s="1103" t="s">
        <v>1942</v>
      </c>
      <c r="AB179" s="1104" t="s">
        <v>1942</v>
      </c>
      <c r="AC179" s="1104" t="s">
        <v>1942</v>
      </c>
      <c r="AD179" s="1104" t="s">
        <v>1942</v>
      </c>
      <c r="AE179" s="1104">
        <v>1</v>
      </c>
      <c r="AF179" s="1104" t="s">
        <v>1942</v>
      </c>
      <c r="AG179" s="1104" t="s">
        <v>1942</v>
      </c>
      <c r="AH179" s="1104" t="s">
        <v>1942</v>
      </c>
      <c r="AI179" s="1105">
        <f t="shared" si="2"/>
        <v>1</v>
      </c>
      <c r="AJ179" s="1106" t="s">
        <v>1007</v>
      </c>
      <c r="AK179" s="1106" t="s">
        <v>1942</v>
      </c>
      <c r="AL179" s="1106" t="s">
        <v>1942</v>
      </c>
      <c r="AM179" s="1107" t="s">
        <v>2029</v>
      </c>
      <c r="AN179" s="1018" t="s">
        <v>278</v>
      </c>
      <c r="AO179" s="1018" t="s">
        <v>4799</v>
      </c>
      <c r="AP179" s="1313">
        <v>1</v>
      </c>
      <c r="AQ179" s="1076" t="s">
        <v>1010</v>
      </c>
      <c r="AR179" s="1109" t="s">
        <v>703</v>
      </c>
      <c r="AS179" s="1110"/>
      <c r="AT179" s="1100"/>
      <c r="AU179" s="1100"/>
      <c r="AV179" s="1100"/>
      <c r="AW179" s="1111"/>
      <c r="AX179" s="1112"/>
      <c r="AY179" s="1075"/>
      <c r="AZ179" s="1076"/>
      <c r="BA179" s="1076"/>
      <c r="BB179" s="1076"/>
      <c r="BC179" s="1076"/>
      <c r="BD179" s="1076"/>
      <c r="BE179" s="1076"/>
      <c r="BF179" s="1076"/>
      <c r="BG179" s="1076"/>
      <c r="BH179" s="1076"/>
      <c r="BI179" s="1075" t="s">
        <v>4830</v>
      </c>
      <c r="BJ179" s="1076" t="s">
        <v>4831</v>
      </c>
      <c r="BK179" s="1076" t="s">
        <v>4832</v>
      </c>
      <c r="BL179" s="1076" t="s">
        <v>4833</v>
      </c>
      <c r="BM179" s="1076" t="s">
        <v>4834</v>
      </c>
      <c r="BN179" s="1075"/>
      <c r="BO179" s="1076"/>
      <c r="BP179" s="1076"/>
      <c r="BQ179" s="1076"/>
      <c r="BR179" s="1076"/>
      <c r="BS179" s="1115"/>
      <c r="BT179" s="1076"/>
      <c r="BU179" s="1076"/>
      <c r="BV179" s="1076"/>
      <c r="BW179" s="1116"/>
      <c r="BX179" s="1115"/>
      <c r="BY179" s="1076"/>
      <c r="BZ179" s="1076"/>
      <c r="CA179" s="1076"/>
      <c r="CB179" s="1116"/>
      <c r="CC179" s="1117"/>
      <c r="CD179" s="1118" t="s">
        <v>1942</v>
      </c>
      <c r="CE179" s="1119" t="s">
        <v>1942</v>
      </c>
      <c r="CF179" s="1119" t="s">
        <v>1942</v>
      </c>
      <c r="CG179" s="1119" t="s">
        <v>1942</v>
      </c>
      <c r="CH179" s="1120" t="s">
        <v>1942</v>
      </c>
      <c r="CI179" s="1075" t="s">
        <v>1942</v>
      </c>
      <c r="CJ179" s="1076" t="s">
        <v>1942</v>
      </c>
      <c r="CK179" s="1076" t="s">
        <v>1942</v>
      </c>
      <c r="CL179" s="1076" t="s">
        <v>1942</v>
      </c>
      <c r="CM179" s="1117" t="s">
        <v>1942</v>
      </c>
      <c r="CN179" s="1075" t="s">
        <v>1942</v>
      </c>
      <c r="CO179" s="1076" t="s">
        <v>1942</v>
      </c>
      <c r="CP179" s="1076" t="s">
        <v>1942</v>
      </c>
      <c r="CQ179" s="1076" t="s">
        <v>1942</v>
      </c>
      <c r="CR179" s="1117" t="s">
        <v>1942</v>
      </c>
      <c r="CS179" s="1075" t="s">
        <v>1942</v>
      </c>
      <c r="CT179" s="1076" t="s">
        <v>1942</v>
      </c>
      <c r="CU179" s="1076" t="s">
        <v>1942</v>
      </c>
      <c r="CV179" s="1076" t="s">
        <v>1942</v>
      </c>
      <c r="CW179" s="1117" t="s">
        <v>1942</v>
      </c>
      <c r="CX179" s="1075" t="s">
        <v>1942</v>
      </c>
      <c r="CY179" s="1076" t="s">
        <v>1942</v>
      </c>
      <c r="CZ179" s="1076" t="s">
        <v>1942</v>
      </c>
      <c r="DA179" s="1076" t="s">
        <v>1942</v>
      </c>
      <c r="DB179" s="1117" t="s">
        <v>1942</v>
      </c>
      <c r="DC179" s="1076" t="s">
        <v>1942</v>
      </c>
      <c r="DD179" s="1076" t="s">
        <v>1942</v>
      </c>
      <c r="DE179" s="1076" t="s">
        <v>1942</v>
      </c>
      <c r="DF179" s="1076" t="s">
        <v>1942</v>
      </c>
      <c r="DG179" s="1117" t="s">
        <v>1942</v>
      </c>
      <c r="DH179" s="1075" t="s">
        <v>1942</v>
      </c>
      <c r="DI179" s="1076" t="s">
        <v>1942</v>
      </c>
      <c r="DJ179" s="1076" t="s">
        <v>1942</v>
      </c>
      <c r="DK179" s="1076" t="s">
        <v>1942</v>
      </c>
      <c r="DL179" s="1117" t="s">
        <v>1942</v>
      </c>
      <c r="DM179" s="1121" t="s">
        <v>1942</v>
      </c>
      <c r="DN179" s="1122" t="s">
        <v>1942</v>
      </c>
      <c r="DO179" s="1122" t="s">
        <v>1942</v>
      </c>
      <c r="DP179" s="1123" t="s">
        <v>1942</v>
      </c>
      <c r="DQ179" s="1122" t="s">
        <v>1942</v>
      </c>
      <c r="DR179" s="1122" t="s">
        <v>1942</v>
      </c>
      <c r="DS179" s="1122" t="s">
        <v>1942</v>
      </c>
      <c r="DT179" s="1123" t="s">
        <v>1942</v>
      </c>
      <c r="DU179" s="1119" t="s">
        <v>1942</v>
      </c>
      <c r="DV179" s="1124">
        <v>1</v>
      </c>
      <c r="DW179" s="1125" t="s">
        <v>1942</v>
      </c>
    </row>
    <row r="180" spans="1:127" s="397" customFormat="1" ht="15.75" hidden="1" customHeight="1">
      <c r="A180" s="1097" t="s">
        <v>1032</v>
      </c>
      <c r="B180" s="1057">
        <v>171</v>
      </c>
      <c r="C180" s="1018"/>
      <c r="D180" s="1018"/>
      <c r="E180" s="1018"/>
      <c r="F180" s="1018"/>
      <c r="G180" s="1018"/>
      <c r="H180" s="1018"/>
      <c r="I180" s="1018"/>
      <c r="J180" s="1018"/>
      <c r="K180" s="1018"/>
      <c r="L180" s="1018"/>
      <c r="M180" s="1057"/>
      <c r="N180" s="1018"/>
      <c r="O180" s="1018"/>
      <c r="P180" s="1018"/>
      <c r="Q180" s="1018"/>
      <c r="R180" s="1018"/>
      <c r="S180" s="1018"/>
      <c r="T180" s="1019"/>
      <c r="U180" s="1098" t="s">
        <v>2659</v>
      </c>
      <c r="V180" s="1099" t="s">
        <v>2539</v>
      </c>
      <c r="W180" s="1099" t="s">
        <v>1907</v>
      </c>
      <c r="X180" s="1100" t="s">
        <v>2660</v>
      </c>
      <c r="Y180" s="1101" t="s">
        <v>2661</v>
      </c>
      <c r="Z180" s="1102" t="s">
        <v>2662</v>
      </c>
      <c r="AA180" s="1103" t="s">
        <v>1942</v>
      </c>
      <c r="AB180" s="1104" t="s">
        <v>1942</v>
      </c>
      <c r="AC180" s="1104" t="s">
        <v>1942</v>
      </c>
      <c r="AD180" s="1104" t="s">
        <v>1942</v>
      </c>
      <c r="AE180" s="1104">
        <v>1</v>
      </c>
      <c r="AF180" s="1104" t="s">
        <v>1942</v>
      </c>
      <c r="AG180" s="1104" t="s">
        <v>1942</v>
      </c>
      <c r="AH180" s="1104" t="s">
        <v>1942</v>
      </c>
      <c r="AI180" s="1105">
        <f t="shared" si="2"/>
        <v>1</v>
      </c>
      <c r="AJ180" s="1106" t="s">
        <v>1007</v>
      </c>
      <c r="AK180" s="1106" t="s">
        <v>1942</v>
      </c>
      <c r="AL180" s="1106" t="s">
        <v>1942</v>
      </c>
      <c r="AM180" s="1107" t="s">
        <v>2400</v>
      </c>
      <c r="AN180" s="1018" t="s">
        <v>1072</v>
      </c>
      <c r="AO180" s="1018" t="s">
        <v>2663</v>
      </c>
      <c r="AP180" s="1313">
        <v>0</v>
      </c>
      <c r="AQ180" s="1076" t="s">
        <v>1072</v>
      </c>
      <c r="AR180" s="1109" t="s">
        <v>1942</v>
      </c>
      <c r="AS180" s="1110"/>
      <c r="AT180" s="1100"/>
      <c r="AU180" s="1100"/>
      <c r="AV180" s="1100"/>
      <c r="AW180" s="1111"/>
      <c r="AX180" s="1112"/>
      <c r="AY180" s="1075"/>
      <c r="AZ180" s="1076"/>
      <c r="BA180" s="1076"/>
      <c r="BB180" s="1076"/>
      <c r="BC180" s="1076"/>
      <c r="BD180" s="1076"/>
      <c r="BE180" s="1076"/>
      <c r="BF180" s="1076"/>
      <c r="BG180" s="1076"/>
      <c r="BH180" s="1076"/>
      <c r="BI180" s="1420"/>
      <c r="BJ180" s="1368"/>
      <c r="BK180" s="1368"/>
      <c r="BL180" s="1368"/>
      <c r="BM180" s="1368"/>
      <c r="BN180" s="1075"/>
      <c r="BO180" s="1076"/>
      <c r="BP180" s="1076"/>
      <c r="BQ180" s="1076"/>
      <c r="BR180" s="1076"/>
      <c r="BS180" s="1115"/>
      <c r="BT180" s="1076"/>
      <c r="BU180" s="1076"/>
      <c r="BV180" s="1076"/>
      <c r="BW180" s="1116"/>
      <c r="BX180" s="1115"/>
      <c r="BY180" s="1076"/>
      <c r="BZ180" s="1076"/>
      <c r="CA180" s="1076"/>
      <c r="CB180" s="1116"/>
      <c r="CC180" s="1117"/>
      <c r="CD180" s="1376"/>
      <c r="CE180" s="1377"/>
      <c r="CF180" s="1377"/>
      <c r="CG180" s="1377"/>
      <c r="CH180" s="1440"/>
      <c r="CI180" s="1420"/>
      <c r="CJ180" s="1368"/>
      <c r="CK180" s="1368"/>
      <c r="CL180" s="1368"/>
      <c r="CM180" s="1369"/>
      <c r="CN180" s="1420"/>
      <c r="CO180" s="1368"/>
      <c r="CP180" s="1368"/>
      <c r="CQ180" s="1368"/>
      <c r="CR180" s="1369"/>
      <c r="CS180" s="1420"/>
      <c r="CT180" s="1368"/>
      <c r="CU180" s="1368"/>
      <c r="CV180" s="1368"/>
      <c r="CW180" s="1369"/>
      <c r="CX180" s="1420"/>
      <c r="CY180" s="1368"/>
      <c r="CZ180" s="1368"/>
      <c r="DA180" s="1368"/>
      <c r="DB180" s="1369"/>
      <c r="DC180" s="1368"/>
      <c r="DD180" s="1368"/>
      <c r="DE180" s="1368"/>
      <c r="DF180" s="1368"/>
      <c r="DG180" s="1369"/>
      <c r="DH180" s="1420"/>
      <c r="DI180" s="1368"/>
      <c r="DJ180" s="1368"/>
      <c r="DK180" s="1368"/>
      <c r="DL180" s="1369"/>
      <c r="DM180" s="1808"/>
      <c r="DN180" s="1809"/>
      <c r="DO180" s="1809"/>
      <c r="DP180" s="1810"/>
      <c r="DQ180" s="1809"/>
      <c r="DR180" s="1809"/>
      <c r="DS180" s="1809"/>
      <c r="DT180" s="1810"/>
      <c r="DU180" s="1377"/>
      <c r="DV180" s="1729"/>
      <c r="DW180" s="1811"/>
    </row>
    <row r="181" spans="1:127" s="397" customFormat="1" ht="15.75" hidden="1" customHeight="1">
      <c r="A181" s="1097" t="s">
        <v>1032</v>
      </c>
      <c r="B181" s="1057">
        <v>172</v>
      </c>
      <c r="C181" s="1018"/>
      <c r="D181" s="1018"/>
      <c r="E181" s="1018"/>
      <c r="F181" s="1018"/>
      <c r="G181" s="1018"/>
      <c r="H181" s="1018"/>
      <c r="I181" s="1018"/>
      <c r="J181" s="1018"/>
      <c r="K181" s="1018"/>
      <c r="L181" s="1018"/>
      <c r="M181" s="1057"/>
      <c r="N181" s="1018"/>
      <c r="O181" s="1018"/>
      <c r="P181" s="1018"/>
      <c r="Q181" s="1018"/>
      <c r="R181" s="1018"/>
      <c r="S181" s="1018"/>
      <c r="T181" s="1019"/>
      <c r="U181" s="1098" t="s">
        <v>2664</v>
      </c>
      <c r="V181" s="1099" t="s">
        <v>2512</v>
      </c>
      <c r="W181" s="1099" t="s">
        <v>1907</v>
      </c>
      <c r="X181" s="1100" t="s">
        <v>2665</v>
      </c>
      <c r="Y181" s="1101" t="s">
        <v>2666</v>
      </c>
      <c r="Z181" s="1102" t="s">
        <v>2667</v>
      </c>
      <c r="AA181" s="1103" t="s">
        <v>1942</v>
      </c>
      <c r="AB181" s="1104">
        <v>1</v>
      </c>
      <c r="AC181" s="1104" t="s">
        <v>1942</v>
      </c>
      <c r="AD181" s="1104" t="s">
        <v>1942</v>
      </c>
      <c r="AE181" s="1104" t="s">
        <v>1942</v>
      </c>
      <c r="AF181" s="1104" t="s">
        <v>1942</v>
      </c>
      <c r="AG181" s="1104" t="s">
        <v>1942</v>
      </c>
      <c r="AH181" s="1104" t="s">
        <v>1942</v>
      </c>
      <c r="AI181" s="1105">
        <f t="shared" si="2"/>
        <v>1</v>
      </c>
      <c r="AJ181" s="1106" t="s">
        <v>1026</v>
      </c>
      <c r="AK181" s="1106" t="s">
        <v>1008</v>
      </c>
      <c r="AL181" s="1106" t="s">
        <v>1019</v>
      </c>
      <c r="AM181" s="1107" t="s">
        <v>1910</v>
      </c>
      <c r="AN181" s="1018" t="s">
        <v>278</v>
      </c>
      <c r="AO181" s="1018" t="s">
        <v>2668</v>
      </c>
      <c r="AP181" s="833">
        <v>1</v>
      </c>
      <c r="AQ181" s="1076" t="s">
        <v>1010</v>
      </c>
      <c r="AR181" s="1109" t="s">
        <v>1942</v>
      </c>
      <c r="AS181" s="1110"/>
      <c r="AT181" s="1100"/>
      <c r="AU181" s="1100"/>
      <c r="AV181" s="1100"/>
      <c r="AW181" s="1111"/>
      <c r="AX181" s="1112"/>
      <c r="AY181" s="1075"/>
      <c r="AZ181" s="1076"/>
      <c r="BA181" s="1076"/>
      <c r="BB181" s="1076"/>
      <c r="BC181" s="1076"/>
      <c r="BD181" s="1076"/>
      <c r="BE181" s="1076"/>
      <c r="BF181" s="1076"/>
      <c r="BG181" s="1076"/>
      <c r="BH181" s="1076"/>
      <c r="BI181" s="1420"/>
      <c r="BJ181" s="1368"/>
      <c r="BK181" s="1368"/>
      <c r="BL181" s="1368"/>
      <c r="BM181" s="1368"/>
      <c r="BN181" s="1075"/>
      <c r="BO181" s="1076"/>
      <c r="BP181" s="1076"/>
      <c r="BQ181" s="1076"/>
      <c r="BR181" s="1076"/>
      <c r="BS181" s="1115"/>
      <c r="BT181" s="1076"/>
      <c r="BU181" s="1076"/>
      <c r="BV181" s="1076"/>
      <c r="BW181" s="1116"/>
      <c r="BX181" s="1115"/>
      <c r="BY181" s="1076"/>
      <c r="BZ181" s="1076"/>
      <c r="CA181" s="1076"/>
      <c r="CB181" s="1116"/>
      <c r="CC181" s="1117"/>
      <c r="CD181" s="1376"/>
      <c r="CE181" s="1377"/>
      <c r="CF181" s="1377"/>
      <c r="CG181" s="1377"/>
      <c r="CH181" s="1440"/>
      <c r="CI181" s="1420"/>
      <c r="CJ181" s="1368"/>
      <c r="CK181" s="1368"/>
      <c r="CL181" s="1368"/>
      <c r="CM181" s="1369"/>
      <c r="CN181" s="1420"/>
      <c r="CO181" s="1368"/>
      <c r="CP181" s="1368"/>
      <c r="CQ181" s="1368"/>
      <c r="CR181" s="1369"/>
      <c r="CS181" s="1420"/>
      <c r="CT181" s="1368"/>
      <c r="CU181" s="1368"/>
      <c r="CV181" s="1368"/>
      <c r="CW181" s="1369"/>
      <c r="CX181" s="1420"/>
      <c r="CY181" s="1368"/>
      <c r="CZ181" s="1368"/>
      <c r="DA181" s="1368"/>
      <c r="DB181" s="1369"/>
      <c r="DC181" s="1368"/>
      <c r="DD181" s="1368"/>
      <c r="DE181" s="1368"/>
      <c r="DF181" s="1368"/>
      <c r="DG181" s="1369"/>
      <c r="DH181" s="1420"/>
      <c r="DI181" s="1368"/>
      <c r="DJ181" s="1368"/>
      <c r="DK181" s="1368"/>
      <c r="DL181" s="1369"/>
      <c r="DM181" s="1808"/>
      <c r="DN181" s="1809"/>
      <c r="DO181" s="1809"/>
      <c r="DP181" s="1810"/>
      <c r="DQ181" s="1809"/>
      <c r="DR181" s="1809"/>
      <c r="DS181" s="1809"/>
      <c r="DT181" s="1810"/>
      <c r="DU181" s="1377"/>
      <c r="DV181" s="1729"/>
      <c r="DW181" s="1811"/>
    </row>
    <row r="182" spans="1:127" s="397" customFormat="1" ht="15.75" hidden="1" customHeight="1">
      <c r="A182" s="1097" t="s">
        <v>1032</v>
      </c>
      <c r="B182" s="1057">
        <v>173</v>
      </c>
      <c r="C182" s="1018"/>
      <c r="D182" s="1018"/>
      <c r="E182" s="1018"/>
      <c r="F182" s="1018"/>
      <c r="G182" s="1018"/>
      <c r="H182" s="1018"/>
      <c r="I182" s="1018"/>
      <c r="J182" s="1018"/>
      <c r="K182" s="1018"/>
      <c r="L182" s="1018"/>
      <c r="M182" s="1057"/>
      <c r="N182" s="1018"/>
      <c r="O182" s="1018"/>
      <c r="P182" s="1018"/>
      <c r="Q182" s="1018"/>
      <c r="R182" s="1018"/>
      <c r="S182" s="1018"/>
      <c r="T182" s="1019"/>
      <c r="U182" s="1098" t="s">
        <v>2669</v>
      </c>
      <c r="V182" s="1099" t="s">
        <v>2481</v>
      </c>
      <c r="W182" s="1099" t="s">
        <v>1907</v>
      </c>
      <c r="X182" s="1100" t="s">
        <v>2670</v>
      </c>
      <c r="Y182" s="1101" t="s">
        <v>2671</v>
      </c>
      <c r="Z182" s="1102" t="s">
        <v>2672</v>
      </c>
      <c r="AA182" s="1103" t="s">
        <v>1942</v>
      </c>
      <c r="AB182" s="1104">
        <v>1</v>
      </c>
      <c r="AC182" s="1104" t="s">
        <v>1942</v>
      </c>
      <c r="AD182" s="1104" t="s">
        <v>1942</v>
      </c>
      <c r="AE182" s="1104" t="s">
        <v>1942</v>
      </c>
      <c r="AF182" s="1104" t="s">
        <v>1942</v>
      </c>
      <c r="AG182" s="1104" t="s">
        <v>1942</v>
      </c>
      <c r="AH182" s="1104" t="s">
        <v>1942</v>
      </c>
      <c r="AI182" s="1105">
        <f t="shared" si="2"/>
        <v>1</v>
      </c>
      <c r="AJ182" s="1106" t="s">
        <v>1026</v>
      </c>
      <c r="AK182" s="1106" t="s">
        <v>1008</v>
      </c>
      <c r="AL182" s="1106" t="s">
        <v>1009</v>
      </c>
      <c r="AM182" s="1107" t="s">
        <v>1926</v>
      </c>
      <c r="AN182" s="1018" t="s">
        <v>278</v>
      </c>
      <c r="AO182" s="1018" t="s">
        <v>2668</v>
      </c>
      <c r="AP182" s="833">
        <v>1</v>
      </c>
      <c r="AQ182" s="1076" t="s">
        <v>1010</v>
      </c>
      <c r="AR182" s="1109" t="s">
        <v>1942</v>
      </c>
      <c r="AS182" s="1110"/>
      <c r="AT182" s="1100"/>
      <c r="AU182" s="1100"/>
      <c r="AV182" s="1100"/>
      <c r="AW182" s="1111"/>
      <c r="AX182" s="1112"/>
      <c r="AY182" s="1075"/>
      <c r="AZ182" s="1076"/>
      <c r="BA182" s="1076"/>
      <c r="BB182" s="1076"/>
      <c r="BC182" s="1076"/>
      <c r="BD182" s="1076"/>
      <c r="BE182" s="1076"/>
      <c r="BF182" s="1076"/>
      <c r="BG182" s="1076"/>
      <c r="BH182" s="1076"/>
      <c r="BI182" s="1420"/>
      <c r="BJ182" s="1368"/>
      <c r="BK182" s="1368"/>
      <c r="BL182" s="1368"/>
      <c r="BM182" s="1368"/>
      <c r="BN182" s="1075"/>
      <c r="BO182" s="1076"/>
      <c r="BP182" s="1076"/>
      <c r="BQ182" s="1076"/>
      <c r="BR182" s="1076"/>
      <c r="BS182" s="1115"/>
      <c r="BT182" s="1076"/>
      <c r="BU182" s="1076"/>
      <c r="BV182" s="1076"/>
      <c r="BW182" s="1116"/>
      <c r="BX182" s="1115"/>
      <c r="BY182" s="1076"/>
      <c r="BZ182" s="1076"/>
      <c r="CA182" s="1076"/>
      <c r="CB182" s="1116"/>
      <c r="CC182" s="1117"/>
      <c r="CD182" s="1376"/>
      <c r="CE182" s="1377"/>
      <c r="CF182" s="1377"/>
      <c r="CG182" s="1377"/>
      <c r="CH182" s="1440"/>
      <c r="CI182" s="1420"/>
      <c r="CJ182" s="1368"/>
      <c r="CK182" s="1368"/>
      <c r="CL182" s="1368"/>
      <c r="CM182" s="1369"/>
      <c r="CN182" s="1420"/>
      <c r="CO182" s="1368"/>
      <c r="CP182" s="1368"/>
      <c r="CQ182" s="1368"/>
      <c r="CR182" s="1369"/>
      <c r="CS182" s="1420"/>
      <c r="CT182" s="1368"/>
      <c r="CU182" s="1368"/>
      <c r="CV182" s="1368"/>
      <c r="CW182" s="1369"/>
      <c r="CX182" s="1420"/>
      <c r="CY182" s="1368"/>
      <c r="CZ182" s="1368"/>
      <c r="DA182" s="1368"/>
      <c r="DB182" s="1369"/>
      <c r="DC182" s="1368"/>
      <c r="DD182" s="1368"/>
      <c r="DE182" s="1368"/>
      <c r="DF182" s="1368"/>
      <c r="DG182" s="1369"/>
      <c r="DH182" s="1420"/>
      <c r="DI182" s="1368"/>
      <c r="DJ182" s="1368"/>
      <c r="DK182" s="1368"/>
      <c r="DL182" s="1369"/>
      <c r="DM182" s="1808"/>
      <c r="DN182" s="1809"/>
      <c r="DO182" s="1809"/>
      <c r="DP182" s="1810"/>
      <c r="DQ182" s="1809"/>
      <c r="DR182" s="1809"/>
      <c r="DS182" s="1809"/>
      <c r="DT182" s="1810"/>
      <c r="DU182" s="1377"/>
      <c r="DV182" s="1729"/>
      <c r="DW182" s="1811"/>
    </row>
    <row r="183" spans="1:127" s="397" customFormat="1" ht="15.75" hidden="1" customHeight="1">
      <c r="A183" s="1097" t="s">
        <v>1032</v>
      </c>
      <c r="B183" s="1057">
        <v>174</v>
      </c>
      <c r="C183" s="1018"/>
      <c r="D183" s="1018"/>
      <c r="E183" s="1018"/>
      <c r="F183" s="1018"/>
      <c r="G183" s="1018"/>
      <c r="H183" s="1018"/>
      <c r="I183" s="1018"/>
      <c r="J183" s="1018"/>
      <c r="K183" s="1018"/>
      <c r="L183" s="1018"/>
      <c r="M183" s="1057"/>
      <c r="N183" s="1018"/>
      <c r="O183" s="1018"/>
      <c r="P183" s="1018"/>
      <c r="Q183" s="1018"/>
      <c r="R183" s="1018"/>
      <c r="S183" s="1018"/>
      <c r="T183" s="1019"/>
      <c r="U183" s="1098" t="s">
        <v>2673</v>
      </c>
      <c r="V183" s="1099" t="s">
        <v>2539</v>
      </c>
      <c r="W183" s="1099" t="s">
        <v>1907</v>
      </c>
      <c r="X183" s="1100" t="s">
        <v>2674</v>
      </c>
      <c r="Y183" s="1101" t="s">
        <v>2675</v>
      </c>
      <c r="Z183" s="1102" t="s">
        <v>2676</v>
      </c>
      <c r="AA183" s="1103" t="s">
        <v>1942</v>
      </c>
      <c r="AB183" s="1104">
        <v>1</v>
      </c>
      <c r="AC183" s="1104" t="s">
        <v>1942</v>
      </c>
      <c r="AD183" s="1104" t="s">
        <v>1942</v>
      </c>
      <c r="AE183" s="1104" t="s">
        <v>1942</v>
      </c>
      <c r="AF183" s="1104" t="s">
        <v>1942</v>
      </c>
      <c r="AG183" s="1104" t="s">
        <v>1942</v>
      </c>
      <c r="AH183" s="1104" t="s">
        <v>1942</v>
      </c>
      <c r="AI183" s="1105">
        <f t="shared" si="2"/>
        <v>1</v>
      </c>
      <c r="AJ183" s="1106" t="s">
        <v>1026</v>
      </c>
      <c r="AK183" s="1106" t="s">
        <v>1008</v>
      </c>
      <c r="AL183" s="1106" t="s">
        <v>1009</v>
      </c>
      <c r="AM183" s="1107" t="s">
        <v>2677</v>
      </c>
      <c r="AN183" s="1018" t="s">
        <v>278</v>
      </c>
      <c r="AO183" s="1018" t="s">
        <v>2668</v>
      </c>
      <c r="AP183" s="833">
        <v>1</v>
      </c>
      <c r="AQ183" s="1076" t="s">
        <v>1010</v>
      </c>
      <c r="AR183" s="1109" t="s">
        <v>1942</v>
      </c>
      <c r="AS183" s="1110"/>
      <c r="AT183" s="1100"/>
      <c r="AU183" s="1100"/>
      <c r="AV183" s="1100"/>
      <c r="AW183" s="1111"/>
      <c r="AX183" s="1112"/>
      <c r="AY183" s="1075"/>
      <c r="AZ183" s="1076"/>
      <c r="BA183" s="1076"/>
      <c r="BB183" s="1076"/>
      <c r="BC183" s="1076"/>
      <c r="BD183" s="1076"/>
      <c r="BE183" s="1076"/>
      <c r="BF183" s="1076"/>
      <c r="BG183" s="1076"/>
      <c r="BH183" s="1076"/>
      <c r="BI183" s="1420"/>
      <c r="BJ183" s="1368"/>
      <c r="BK183" s="1368"/>
      <c r="BL183" s="1368"/>
      <c r="BM183" s="1368"/>
      <c r="BN183" s="1075"/>
      <c r="BO183" s="1076"/>
      <c r="BP183" s="1076"/>
      <c r="BQ183" s="1076"/>
      <c r="BR183" s="1076"/>
      <c r="BS183" s="1115"/>
      <c r="BT183" s="1076"/>
      <c r="BU183" s="1076"/>
      <c r="BV183" s="1076"/>
      <c r="BW183" s="1116"/>
      <c r="BX183" s="1115"/>
      <c r="BY183" s="1076"/>
      <c r="BZ183" s="1076"/>
      <c r="CA183" s="1076"/>
      <c r="CB183" s="1116"/>
      <c r="CC183" s="1117"/>
      <c r="CD183" s="1376"/>
      <c r="CE183" s="1377"/>
      <c r="CF183" s="1377"/>
      <c r="CG183" s="1377"/>
      <c r="CH183" s="1440"/>
      <c r="CI183" s="1420"/>
      <c r="CJ183" s="1368"/>
      <c r="CK183" s="1368"/>
      <c r="CL183" s="1368"/>
      <c r="CM183" s="1369"/>
      <c r="CN183" s="1420"/>
      <c r="CO183" s="1368"/>
      <c r="CP183" s="1368"/>
      <c r="CQ183" s="1368"/>
      <c r="CR183" s="1369"/>
      <c r="CS183" s="1420"/>
      <c r="CT183" s="1368"/>
      <c r="CU183" s="1368"/>
      <c r="CV183" s="1368"/>
      <c r="CW183" s="1369"/>
      <c r="CX183" s="1420"/>
      <c r="CY183" s="1368"/>
      <c r="CZ183" s="1368"/>
      <c r="DA183" s="1368"/>
      <c r="DB183" s="1369"/>
      <c r="DC183" s="1368"/>
      <c r="DD183" s="1368"/>
      <c r="DE183" s="1368"/>
      <c r="DF183" s="1368"/>
      <c r="DG183" s="1369"/>
      <c r="DH183" s="1420"/>
      <c r="DI183" s="1368"/>
      <c r="DJ183" s="1368"/>
      <c r="DK183" s="1368"/>
      <c r="DL183" s="1369"/>
      <c r="DM183" s="1808"/>
      <c r="DN183" s="1809"/>
      <c r="DO183" s="1809"/>
      <c r="DP183" s="1810"/>
      <c r="DQ183" s="1809"/>
      <c r="DR183" s="1809"/>
      <c r="DS183" s="1809"/>
      <c r="DT183" s="1810"/>
      <c r="DU183" s="1377"/>
      <c r="DV183" s="1729"/>
      <c r="DW183" s="1811"/>
    </row>
    <row r="184" spans="1:127" s="397" customFormat="1" ht="15.75" hidden="1" customHeight="1">
      <c r="A184" s="1097" t="s">
        <v>1032</v>
      </c>
      <c r="B184" s="1057">
        <v>175</v>
      </c>
      <c r="C184" s="1018"/>
      <c r="D184" s="1018"/>
      <c r="E184" s="1018"/>
      <c r="F184" s="1018"/>
      <c r="G184" s="1018"/>
      <c r="H184" s="1018"/>
      <c r="I184" s="1018"/>
      <c r="J184" s="1018"/>
      <c r="K184" s="1018"/>
      <c r="L184" s="1018"/>
      <c r="M184" s="1057"/>
      <c r="N184" s="1018"/>
      <c r="O184" s="1018"/>
      <c r="P184" s="1018"/>
      <c r="Q184" s="1018"/>
      <c r="R184" s="1018"/>
      <c r="S184" s="1018"/>
      <c r="T184" s="1019"/>
      <c r="U184" s="1098" t="s">
        <v>2678</v>
      </c>
      <c r="V184" s="1099" t="s">
        <v>2512</v>
      </c>
      <c r="W184" s="1099" t="s">
        <v>1907</v>
      </c>
      <c r="X184" s="1100" t="s">
        <v>2679</v>
      </c>
      <c r="Y184" s="1101" t="s">
        <v>2680</v>
      </c>
      <c r="Z184" s="1102" t="s">
        <v>2681</v>
      </c>
      <c r="AA184" s="1103" t="s">
        <v>1942</v>
      </c>
      <c r="AB184" s="1104" t="s">
        <v>1942</v>
      </c>
      <c r="AC184" s="1104">
        <v>1</v>
      </c>
      <c r="AD184" s="1104" t="s">
        <v>1942</v>
      </c>
      <c r="AE184" s="1104" t="s">
        <v>1942</v>
      </c>
      <c r="AF184" s="1104" t="s">
        <v>1942</v>
      </c>
      <c r="AG184" s="1104" t="s">
        <v>1942</v>
      </c>
      <c r="AH184" s="1104" t="s">
        <v>1942</v>
      </c>
      <c r="AI184" s="1105">
        <f t="shared" si="2"/>
        <v>1</v>
      </c>
      <c r="AJ184" s="1106" t="s">
        <v>1026</v>
      </c>
      <c r="AK184" s="1106" t="s">
        <v>1008</v>
      </c>
      <c r="AL184" s="1106" t="s">
        <v>1019</v>
      </c>
      <c r="AM184" s="1107" t="s">
        <v>1910</v>
      </c>
      <c r="AN184" s="1018" t="s">
        <v>1072</v>
      </c>
      <c r="AO184" s="1018" t="s">
        <v>2682</v>
      </c>
      <c r="AP184" s="833">
        <v>0</v>
      </c>
      <c r="AQ184" s="1949" t="s">
        <v>1010</v>
      </c>
      <c r="AR184" s="1109" t="s">
        <v>1942</v>
      </c>
      <c r="AS184" s="1110"/>
      <c r="AT184" s="1100"/>
      <c r="AU184" s="1100"/>
      <c r="AV184" s="1100"/>
      <c r="AW184" s="1111"/>
      <c r="AX184" s="1112"/>
      <c r="AY184" s="1075"/>
      <c r="AZ184" s="1076"/>
      <c r="BA184" s="1076"/>
      <c r="BB184" s="1076"/>
      <c r="BC184" s="1076"/>
      <c r="BD184" s="1076"/>
      <c r="BE184" s="1076"/>
      <c r="BF184" s="1076"/>
      <c r="BG184" s="1076"/>
      <c r="BH184" s="1076"/>
      <c r="BI184" s="1420"/>
      <c r="BJ184" s="1368"/>
      <c r="BK184" s="1368"/>
      <c r="BL184" s="1368"/>
      <c r="BM184" s="1368"/>
      <c r="BN184" s="1075"/>
      <c r="BO184" s="1076"/>
      <c r="BP184" s="1076"/>
      <c r="BQ184" s="1076"/>
      <c r="BR184" s="1076"/>
      <c r="BS184" s="1115"/>
      <c r="BT184" s="1076"/>
      <c r="BU184" s="1076"/>
      <c r="BV184" s="1076"/>
      <c r="BW184" s="1116"/>
      <c r="BX184" s="1115"/>
      <c r="BY184" s="1076"/>
      <c r="BZ184" s="1076"/>
      <c r="CA184" s="1076"/>
      <c r="CB184" s="1116"/>
      <c r="CC184" s="1117"/>
      <c r="CD184" s="1376"/>
      <c r="CE184" s="1377"/>
      <c r="CF184" s="1377"/>
      <c r="CG184" s="1377"/>
      <c r="CH184" s="1440"/>
      <c r="CI184" s="1420"/>
      <c r="CJ184" s="1368"/>
      <c r="CK184" s="1368"/>
      <c r="CL184" s="1368"/>
      <c r="CM184" s="1369"/>
      <c r="CN184" s="1420"/>
      <c r="CO184" s="1368"/>
      <c r="CP184" s="1368"/>
      <c r="CQ184" s="1368"/>
      <c r="CR184" s="1369"/>
      <c r="CS184" s="1420"/>
      <c r="CT184" s="1368"/>
      <c r="CU184" s="1368"/>
      <c r="CV184" s="1368"/>
      <c r="CW184" s="1369"/>
      <c r="CX184" s="1420"/>
      <c r="CY184" s="1368"/>
      <c r="CZ184" s="1368"/>
      <c r="DA184" s="1368"/>
      <c r="DB184" s="1369"/>
      <c r="DC184" s="1368"/>
      <c r="DD184" s="1368"/>
      <c r="DE184" s="1368"/>
      <c r="DF184" s="1368"/>
      <c r="DG184" s="1369"/>
      <c r="DH184" s="1420"/>
      <c r="DI184" s="1368"/>
      <c r="DJ184" s="1368"/>
      <c r="DK184" s="1368"/>
      <c r="DL184" s="1369"/>
      <c r="DM184" s="1808"/>
      <c r="DN184" s="1809"/>
      <c r="DO184" s="1809"/>
      <c r="DP184" s="1810"/>
      <c r="DQ184" s="1809"/>
      <c r="DR184" s="1809"/>
      <c r="DS184" s="1809"/>
      <c r="DT184" s="1810"/>
      <c r="DU184" s="1377"/>
      <c r="DV184" s="1729"/>
      <c r="DW184" s="1811"/>
    </row>
    <row r="185" spans="1:127" s="397" customFormat="1" ht="15.75" hidden="1" customHeight="1">
      <c r="A185" s="1097" t="s">
        <v>1032</v>
      </c>
      <c r="B185" s="1057">
        <v>176</v>
      </c>
      <c r="C185" s="1018"/>
      <c r="D185" s="1018"/>
      <c r="E185" s="1018"/>
      <c r="F185" s="1018"/>
      <c r="G185" s="1018"/>
      <c r="H185" s="1018"/>
      <c r="I185" s="1018"/>
      <c r="J185" s="1018"/>
      <c r="K185" s="1018"/>
      <c r="L185" s="1018"/>
      <c r="M185" s="1057"/>
      <c r="N185" s="1018"/>
      <c r="O185" s="1018"/>
      <c r="P185" s="1018"/>
      <c r="Q185" s="1018"/>
      <c r="R185" s="1018"/>
      <c r="S185" s="1018"/>
      <c r="T185" s="1019"/>
      <c r="U185" s="1098" t="s">
        <v>2683</v>
      </c>
      <c r="V185" s="1099" t="s">
        <v>2512</v>
      </c>
      <c r="W185" s="1099" t="s">
        <v>1907</v>
      </c>
      <c r="X185" s="1100" t="s">
        <v>2684</v>
      </c>
      <c r="Y185" s="1101" t="s">
        <v>2685</v>
      </c>
      <c r="Z185" s="1102" t="s">
        <v>2686</v>
      </c>
      <c r="AA185" s="1103" t="s">
        <v>1942</v>
      </c>
      <c r="AB185" s="1104">
        <v>0.70399999999999996</v>
      </c>
      <c r="AC185" s="1104">
        <v>0.29599999999999999</v>
      </c>
      <c r="AD185" s="1104" t="s">
        <v>1942</v>
      </c>
      <c r="AE185" s="1104" t="s">
        <v>1942</v>
      </c>
      <c r="AF185" s="1104" t="s">
        <v>1942</v>
      </c>
      <c r="AG185" s="1104" t="s">
        <v>1942</v>
      </c>
      <c r="AH185" s="1104" t="s">
        <v>1942</v>
      </c>
      <c r="AI185" s="1105">
        <f t="shared" si="2"/>
        <v>1</v>
      </c>
      <c r="AJ185" s="1106" t="s">
        <v>1026</v>
      </c>
      <c r="AK185" s="1106" t="s">
        <v>1008</v>
      </c>
      <c r="AL185" s="1106" t="s">
        <v>1009</v>
      </c>
      <c r="AM185" s="1107" t="s">
        <v>1910</v>
      </c>
      <c r="AN185" s="1018" t="s">
        <v>278</v>
      </c>
      <c r="AO185" s="1018" t="s">
        <v>2668</v>
      </c>
      <c r="AP185" s="833">
        <v>1</v>
      </c>
      <c r="AQ185" s="1076" t="s">
        <v>1010</v>
      </c>
      <c r="AR185" s="1109" t="s">
        <v>1942</v>
      </c>
      <c r="AS185" s="1110"/>
      <c r="AT185" s="1100"/>
      <c r="AU185" s="1100"/>
      <c r="AV185" s="1100"/>
      <c r="AW185" s="1111"/>
      <c r="AX185" s="1112"/>
      <c r="AY185" s="1075"/>
      <c r="AZ185" s="1076"/>
      <c r="BA185" s="1076"/>
      <c r="BB185" s="1076"/>
      <c r="BC185" s="1076"/>
      <c r="BD185" s="1076"/>
      <c r="BE185" s="1076"/>
      <c r="BF185" s="1076"/>
      <c r="BG185" s="1076"/>
      <c r="BH185" s="1076"/>
      <c r="BI185" s="1420"/>
      <c r="BJ185" s="1368"/>
      <c r="BK185" s="1368"/>
      <c r="BL185" s="1368"/>
      <c r="BM185" s="1368"/>
      <c r="BN185" s="1075"/>
      <c r="BO185" s="1076"/>
      <c r="BP185" s="1076"/>
      <c r="BQ185" s="1076"/>
      <c r="BR185" s="1076"/>
      <c r="BS185" s="1115"/>
      <c r="BT185" s="1076"/>
      <c r="BU185" s="1076"/>
      <c r="BV185" s="1076"/>
      <c r="BW185" s="1116"/>
      <c r="BX185" s="1115"/>
      <c r="BY185" s="1076"/>
      <c r="BZ185" s="1076"/>
      <c r="CA185" s="1076"/>
      <c r="CB185" s="1116"/>
      <c r="CC185" s="1117"/>
      <c r="CD185" s="1376"/>
      <c r="CE185" s="1377"/>
      <c r="CF185" s="1377"/>
      <c r="CG185" s="1377"/>
      <c r="CH185" s="1440"/>
      <c r="CI185" s="1420"/>
      <c r="CJ185" s="1368"/>
      <c r="CK185" s="1368"/>
      <c r="CL185" s="1368"/>
      <c r="CM185" s="1369"/>
      <c r="CN185" s="1420"/>
      <c r="CO185" s="1368"/>
      <c r="CP185" s="1368"/>
      <c r="CQ185" s="1368"/>
      <c r="CR185" s="1369"/>
      <c r="CS185" s="1420"/>
      <c r="CT185" s="1368"/>
      <c r="CU185" s="1368"/>
      <c r="CV185" s="1368"/>
      <c r="CW185" s="1369"/>
      <c r="CX185" s="1420"/>
      <c r="CY185" s="1368"/>
      <c r="CZ185" s="1368"/>
      <c r="DA185" s="1368"/>
      <c r="DB185" s="1369"/>
      <c r="DC185" s="1368"/>
      <c r="DD185" s="1368"/>
      <c r="DE185" s="1368"/>
      <c r="DF185" s="1368"/>
      <c r="DG185" s="1369"/>
      <c r="DH185" s="1420"/>
      <c r="DI185" s="1368"/>
      <c r="DJ185" s="1368"/>
      <c r="DK185" s="1368"/>
      <c r="DL185" s="1369"/>
      <c r="DM185" s="1808"/>
      <c r="DN185" s="1809"/>
      <c r="DO185" s="1809"/>
      <c r="DP185" s="1810"/>
      <c r="DQ185" s="1809"/>
      <c r="DR185" s="1809"/>
      <c r="DS185" s="1809"/>
      <c r="DT185" s="1810"/>
      <c r="DU185" s="1377"/>
      <c r="DV185" s="1729"/>
      <c r="DW185" s="1811"/>
    </row>
    <row r="186" spans="1:127" s="397" customFormat="1" ht="15.75" hidden="1" customHeight="1">
      <c r="A186" s="1097" t="s">
        <v>1032</v>
      </c>
      <c r="B186" s="1057">
        <v>177</v>
      </c>
      <c r="C186" s="1018"/>
      <c r="D186" s="1018"/>
      <c r="E186" s="1018"/>
      <c r="F186" s="1018"/>
      <c r="G186" s="1018"/>
      <c r="H186" s="1018"/>
      <c r="I186" s="1018"/>
      <c r="J186" s="1018"/>
      <c r="K186" s="1018"/>
      <c r="L186" s="1018"/>
      <c r="M186" s="1057"/>
      <c r="N186" s="1018"/>
      <c r="O186" s="1018"/>
      <c r="P186" s="1018"/>
      <c r="Q186" s="1018"/>
      <c r="R186" s="1018"/>
      <c r="S186" s="1018"/>
      <c r="T186" s="1019"/>
      <c r="U186" s="1098" t="s">
        <v>2687</v>
      </c>
      <c r="V186" s="1099" t="s">
        <v>2539</v>
      </c>
      <c r="W186" s="1099" t="s">
        <v>1896</v>
      </c>
      <c r="X186" s="1100" t="s">
        <v>2688</v>
      </c>
      <c r="Y186" s="1101" t="s">
        <v>2689</v>
      </c>
      <c r="Z186" s="1102" t="s">
        <v>2690</v>
      </c>
      <c r="AA186" s="1103" t="s">
        <v>1942</v>
      </c>
      <c r="AB186" s="1104" t="s">
        <v>1942</v>
      </c>
      <c r="AC186" s="1104" t="s">
        <v>1942</v>
      </c>
      <c r="AD186" s="1104" t="s">
        <v>1942</v>
      </c>
      <c r="AE186" s="1104">
        <v>1</v>
      </c>
      <c r="AF186" s="1104" t="s">
        <v>1942</v>
      </c>
      <c r="AG186" s="1104" t="s">
        <v>1942</v>
      </c>
      <c r="AH186" s="1104" t="s">
        <v>1942</v>
      </c>
      <c r="AI186" s="1105">
        <f t="shared" si="2"/>
        <v>1</v>
      </c>
      <c r="AJ186" s="1106" t="s">
        <v>1007</v>
      </c>
      <c r="AK186" s="1106" t="s">
        <v>1942</v>
      </c>
      <c r="AL186" s="1106" t="s">
        <v>1942</v>
      </c>
      <c r="AM186" s="1107" t="s">
        <v>2029</v>
      </c>
      <c r="AN186" s="1018" t="s">
        <v>1033</v>
      </c>
      <c r="AO186" s="1018" t="s">
        <v>2690</v>
      </c>
      <c r="AP186" s="833">
        <v>1</v>
      </c>
      <c r="AQ186" s="1076" t="s">
        <v>1010</v>
      </c>
      <c r="AR186" s="1109" t="s">
        <v>1942</v>
      </c>
      <c r="AS186" s="1110"/>
      <c r="AT186" s="1100"/>
      <c r="AU186" s="1100"/>
      <c r="AV186" s="1100"/>
      <c r="AW186" s="1111"/>
      <c r="AX186" s="1112"/>
      <c r="AY186" s="1075"/>
      <c r="AZ186" s="1076"/>
      <c r="BA186" s="1076"/>
      <c r="BB186" s="1076"/>
      <c r="BC186" s="1076"/>
      <c r="BD186" s="1076"/>
      <c r="BE186" s="1076"/>
      <c r="BF186" s="1076"/>
      <c r="BG186" s="1076"/>
      <c r="BH186" s="1076"/>
      <c r="BI186" s="1420"/>
      <c r="BJ186" s="1368"/>
      <c r="BK186" s="1368"/>
      <c r="BL186" s="1368"/>
      <c r="BM186" s="1368"/>
      <c r="BN186" s="1075"/>
      <c r="BO186" s="1076"/>
      <c r="BP186" s="1076"/>
      <c r="BQ186" s="1076"/>
      <c r="BR186" s="1076"/>
      <c r="BS186" s="1115"/>
      <c r="BT186" s="1076"/>
      <c r="BU186" s="1076"/>
      <c r="BV186" s="1076"/>
      <c r="BW186" s="1116"/>
      <c r="BX186" s="1115"/>
      <c r="BY186" s="1076"/>
      <c r="BZ186" s="1076"/>
      <c r="CA186" s="1076"/>
      <c r="CB186" s="1116"/>
      <c r="CC186" s="1117"/>
      <c r="CD186" s="1376"/>
      <c r="CE186" s="1377"/>
      <c r="CF186" s="1377"/>
      <c r="CG186" s="1377"/>
      <c r="CH186" s="1440"/>
      <c r="CI186" s="1420"/>
      <c r="CJ186" s="1368"/>
      <c r="CK186" s="1368"/>
      <c r="CL186" s="1368"/>
      <c r="CM186" s="1369"/>
      <c r="CN186" s="1420"/>
      <c r="CO186" s="1368"/>
      <c r="CP186" s="1368"/>
      <c r="CQ186" s="1368"/>
      <c r="CR186" s="1369"/>
      <c r="CS186" s="1420"/>
      <c r="CT186" s="1368"/>
      <c r="CU186" s="1368"/>
      <c r="CV186" s="1368"/>
      <c r="CW186" s="1369"/>
      <c r="CX186" s="1420"/>
      <c r="CY186" s="1368"/>
      <c r="CZ186" s="1368"/>
      <c r="DA186" s="1368"/>
      <c r="DB186" s="1369"/>
      <c r="DC186" s="1368"/>
      <c r="DD186" s="1368"/>
      <c r="DE186" s="1368"/>
      <c r="DF186" s="1368"/>
      <c r="DG186" s="1369"/>
      <c r="DH186" s="1420"/>
      <c r="DI186" s="1368"/>
      <c r="DJ186" s="1368"/>
      <c r="DK186" s="1368"/>
      <c r="DL186" s="1369"/>
      <c r="DM186" s="1808"/>
      <c r="DN186" s="1809"/>
      <c r="DO186" s="1809"/>
      <c r="DP186" s="1810"/>
      <c r="DQ186" s="1809"/>
      <c r="DR186" s="1809"/>
      <c r="DS186" s="1809"/>
      <c r="DT186" s="1810"/>
      <c r="DU186" s="1377"/>
      <c r="DV186" s="1729"/>
      <c r="DW186" s="1811"/>
    </row>
    <row r="187" spans="1:127" s="397" customFormat="1" ht="15.75" hidden="1" customHeight="1">
      <c r="A187" s="1097" t="s">
        <v>1032</v>
      </c>
      <c r="B187" s="1057">
        <v>178</v>
      </c>
      <c r="C187" s="1018"/>
      <c r="D187" s="1018"/>
      <c r="E187" s="1018"/>
      <c r="F187" s="1018"/>
      <c r="G187" s="1018"/>
      <c r="H187" s="1018"/>
      <c r="I187" s="1018"/>
      <c r="J187" s="1018"/>
      <c r="K187" s="1018"/>
      <c r="L187" s="1018"/>
      <c r="M187" s="1057"/>
      <c r="N187" s="1018"/>
      <c r="O187" s="1018"/>
      <c r="P187" s="1018"/>
      <c r="Q187" s="1018"/>
      <c r="R187" s="1018"/>
      <c r="S187" s="1018"/>
      <c r="T187" s="1019"/>
      <c r="U187" s="1098" t="s">
        <v>2691</v>
      </c>
      <c r="V187" s="1099" t="s">
        <v>1942</v>
      </c>
      <c r="W187" s="1099" t="s">
        <v>1942</v>
      </c>
      <c r="X187" s="1100" t="s">
        <v>2032</v>
      </c>
      <c r="Y187" s="1101" t="s">
        <v>2033</v>
      </c>
      <c r="Z187" s="1102" t="s">
        <v>1942</v>
      </c>
      <c r="AA187" s="1103" t="s">
        <v>1942</v>
      </c>
      <c r="AB187" s="1104" t="s">
        <v>1942</v>
      </c>
      <c r="AC187" s="1104" t="s">
        <v>1942</v>
      </c>
      <c r="AD187" s="1104" t="s">
        <v>1942</v>
      </c>
      <c r="AE187" s="1104" t="s">
        <v>1942</v>
      </c>
      <c r="AF187" s="1104" t="s">
        <v>1942</v>
      </c>
      <c r="AG187" s="1104" t="s">
        <v>1942</v>
      </c>
      <c r="AH187" s="1104" t="s">
        <v>1942</v>
      </c>
      <c r="AI187" s="1105">
        <f t="shared" si="2"/>
        <v>0</v>
      </c>
      <c r="AJ187" s="1106" t="s">
        <v>1007</v>
      </c>
      <c r="AK187" s="1106" t="s">
        <v>1942</v>
      </c>
      <c r="AL187" s="1106" t="s">
        <v>1942</v>
      </c>
      <c r="AM187" s="1107" t="s">
        <v>1942</v>
      </c>
      <c r="AN187" s="1018" t="s">
        <v>1942</v>
      </c>
      <c r="AO187" s="1018" t="s">
        <v>2034</v>
      </c>
      <c r="AP187" s="833">
        <v>0</v>
      </c>
      <c r="AQ187" s="1076" t="s">
        <v>1942</v>
      </c>
      <c r="AR187" s="1109" t="s">
        <v>1942</v>
      </c>
      <c r="AS187" s="1110"/>
      <c r="AT187" s="1100"/>
      <c r="AU187" s="1100"/>
      <c r="AV187" s="1100"/>
      <c r="AW187" s="1111"/>
      <c r="AX187" s="1112"/>
      <c r="AY187" s="1075"/>
      <c r="AZ187" s="1076"/>
      <c r="BA187" s="1076"/>
      <c r="BB187" s="1076"/>
      <c r="BC187" s="1076"/>
      <c r="BD187" s="1076"/>
      <c r="BE187" s="1076"/>
      <c r="BF187" s="1076"/>
      <c r="BG187" s="1076"/>
      <c r="BH187" s="1076"/>
      <c r="BI187" s="1420"/>
      <c r="BJ187" s="1368"/>
      <c r="BK187" s="1368"/>
      <c r="BL187" s="1368"/>
      <c r="BM187" s="1368"/>
      <c r="BN187" s="1075"/>
      <c r="BO187" s="1076"/>
      <c r="BP187" s="1076"/>
      <c r="BQ187" s="1076"/>
      <c r="BR187" s="1076"/>
      <c r="BS187" s="1115"/>
      <c r="BT187" s="1076"/>
      <c r="BU187" s="1076"/>
      <c r="BV187" s="1076"/>
      <c r="BW187" s="1116"/>
      <c r="BX187" s="1115"/>
      <c r="BY187" s="1076"/>
      <c r="BZ187" s="1076"/>
      <c r="CA187" s="1076"/>
      <c r="CB187" s="1116"/>
      <c r="CC187" s="1117"/>
      <c r="CD187" s="1376"/>
      <c r="CE187" s="1377"/>
      <c r="CF187" s="1377"/>
      <c r="CG187" s="1377"/>
      <c r="CH187" s="1440"/>
      <c r="CI187" s="1420"/>
      <c r="CJ187" s="1368"/>
      <c r="CK187" s="1368"/>
      <c r="CL187" s="1368"/>
      <c r="CM187" s="1369"/>
      <c r="CN187" s="1420"/>
      <c r="CO187" s="1368"/>
      <c r="CP187" s="1368"/>
      <c r="CQ187" s="1368"/>
      <c r="CR187" s="1369"/>
      <c r="CS187" s="1420"/>
      <c r="CT187" s="1368"/>
      <c r="CU187" s="1368"/>
      <c r="CV187" s="1368"/>
      <c r="CW187" s="1369"/>
      <c r="CX187" s="1420"/>
      <c r="CY187" s="1368"/>
      <c r="CZ187" s="1368"/>
      <c r="DA187" s="1368"/>
      <c r="DB187" s="1369"/>
      <c r="DC187" s="1368"/>
      <c r="DD187" s="1368"/>
      <c r="DE187" s="1368"/>
      <c r="DF187" s="1368"/>
      <c r="DG187" s="1369"/>
      <c r="DH187" s="1420"/>
      <c r="DI187" s="1368"/>
      <c r="DJ187" s="1368"/>
      <c r="DK187" s="1368"/>
      <c r="DL187" s="1369"/>
      <c r="DM187" s="1808"/>
      <c r="DN187" s="1809"/>
      <c r="DO187" s="1809"/>
      <c r="DP187" s="1810"/>
      <c r="DQ187" s="1809"/>
      <c r="DR187" s="1809"/>
      <c r="DS187" s="1809"/>
      <c r="DT187" s="1810"/>
      <c r="DU187" s="1377"/>
      <c r="DV187" s="1729"/>
      <c r="DW187" s="1811"/>
    </row>
    <row r="188" spans="1:127" s="397" customFormat="1" ht="15.75" hidden="1" customHeight="1">
      <c r="A188" s="1097" t="s">
        <v>1032</v>
      </c>
      <c r="B188" s="1057">
        <v>179</v>
      </c>
      <c r="C188" s="1018"/>
      <c r="D188" s="1018"/>
      <c r="E188" s="1018"/>
      <c r="F188" s="1018"/>
      <c r="G188" s="1018"/>
      <c r="H188" s="1018"/>
      <c r="I188" s="1018"/>
      <c r="J188" s="1018"/>
      <c r="K188" s="1018"/>
      <c r="L188" s="1018"/>
      <c r="M188" s="1057"/>
      <c r="N188" s="1018"/>
      <c r="O188" s="1018"/>
      <c r="P188" s="1018"/>
      <c r="Q188" s="1018"/>
      <c r="R188" s="1018"/>
      <c r="S188" s="1018"/>
      <c r="T188" s="1019"/>
      <c r="U188" s="1098" t="s">
        <v>2692</v>
      </c>
      <c r="V188" s="1099" t="s">
        <v>1942</v>
      </c>
      <c r="W188" s="1099" t="s">
        <v>1942</v>
      </c>
      <c r="X188" s="1100" t="s">
        <v>2693</v>
      </c>
      <c r="Y188" s="1101" t="s">
        <v>2143</v>
      </c>
      <c r="Z188" s="1102" t="s">
        <v>1942</v>
      </c>
      <c r="AA188" s="1103">
        <v>0.14499999999999999</v>
      </c>
      <c r="AB188" s="1104" t="s">
        <v>1942</v>
      </c>
      <c r="AC188" s="1104">
        <v>0.85499999999999998</v>
      </c>
      <c r="AD188" s="1104" t="s">
        <v>1942</v>
      </c>
      <c r="AE188" s="1104" t="s">
        <v>1942</v>
      </c>
      <c r="AF188" s="1104" t="s">
        <v>1942</v>
      </c>
      <c r="AG188" s="1104" t="s">
        <v>1942</v>
      </c>
      <c r="AH188" s="1104" t="s">
        <v>1942</v>
      </c>
      <c r="AI188" s="1105">
        <f t="shared" si="2"/>
        <v>1</v>
      </c>
      <c r="AJ188" s="1106" t="s">
        <v>1026</v>
      </c>
      <c r="AK188" s="1106" t="s">
        <v>1008</v>
      </c>
      <c r="AL188" s="1106" t="s">
        <v>1009</v>
      </c>
      <c r="AM188" s="1107" t="s">
        <v>1942</v>
      </c>
      <c r="AN188" s="1018" t="s">
        <v>1942</v>
      </c>
      <c r="AO188" s="1018" t="s">
        <v>2694</v>
      </c>
      <c r="AP188" s="1313">
        <v>0</v>
      </c>
      <c r="AQ188" s="1076" t="s">
        <v>1010</v>
      </c>
      <c r="AR188" s="1109" t="s">
        <v>1942</v>
      </c>
      <c r="AS188" s="1110"/>
      <c r="AT188" s="1100"/>
      <c r="AU188" s="1100"/>
      <c r="AV188" s="1100"/>
      <c r="AW188" s="1111"/>
      <c r="AX188" s="1112"/>
      <c r="AY188" s="1075"/>
      <c r="AZ188" s="1076"/>
      <c r="BA188" s="1076"/>
      <c r="BB188" s="1076"/>
      <c r="BC188" s="1076"/>
      <c r="BD188" s="1076"/>
      <c r="BE188" s="1076"/>
      <c r="BF188" s="1076"/>
      <c r="BG188" s="1076"/>
      <c r="BH188" s="1076"/>
      <c r="BI188" s="1420"/>
      <c r="BJ188" s="1368"/>
      <c r="BK188" s="1368"/>
      <c r="BL188" s="1368"/>
      <c r="BM188" s="1368"/>
      <c r="BN188" s="1075"/>
      <c r="BO188" s="1076"/>
      <c r="BP188" s="1076"/>
      <c r="BQ188" s="1076"/>
      <c r="BR188" s="1076"/>
      <c r="BS188" s="1115"/>
      <c r="BT188" s="1076"/>
      <c r="BU188" s="1076"/>
      <c r="BV188" s="1076"/>
      <c r="BW188" s="1116"/>
      <c r="BX188" s="1115"/>
      <c r="BY188" s="1076"/>
      <c r="BZ188" s="1076"/>
      <c r="CA188" s="1076"/>
      <c r="CB188" s="1116"/>
      <c r="CC188" s="1117"/>
      <c r="CD188" s="1376"/>
      <c r="CE188" s="1377"/>
      <c r="CF188" s="1377"/>
      <c r="CG188" s="1377"/>
      <c r="CH188" s="1440"/>
      <c r="CI188" s="1420"/>
      <c r="CJ188" s="1368"/>
      <c r="CK188" s="1368"/>
      <c r="CL188" s="1368"/>
      <c r="CM188" s="1369"/>
      <c r="CN188" s="1420"/>
      <c r="CO188" s="1368"/>
      <c r="CP188" s="1368"/>
      <c r="CQ188" s="1368"/>
      <c r="CR188" s="1369"/>
      <c r="CS188" s="1420"/>
      <c r="CT188" s="1368"/>
      <c r="CU188" s="1368"/>
      <c r="CV188" s="1368"/>
      <c r="CW188" s="1369"/>
      <c r="CX188" s="1420"/>
      <c r="CY188" s="1368"/>
      <c r="CZ188" s="1368"/>
      <c r="DA188" s="1368"/>
      <c r="DB188" s="1369"/>
      <c r="DC188" s="1368"/>
      <c r="DD188" s="1368"/>
      <c r="DE188" s="1368"/>
      <c r="DF188" s="1368"/>
      <c r="DG188" s="1369"/>
      <c r="DH188" s="1420"/>
      <c r="DI188" s="1368"/>
      <c r="DJ188" s="1368"/>
      <c r="DK188" s="1368"/>
      <c r="DL188" s="1369"/>
      <c r="DM188" s="1808"/>
      <c r="DN188" s="1809"/>
      <c r="DO188" s="1809"/>
      <c r="DP188" s="1810"/>
      <c r="DQ188" s="1809"/>
      <c r="DR188" s="1809"/>
      <c r="DS188" s="1809"/>
      <c r="DT188" s="1810"/>
      <c r="DU188" s="1377"/>
      <c r="DV188" s="1729"/>
      <c r="DW188" s="1811"/>
    </row>
    <row r="189" spans="1:127" s="397" customFormat="1" ht="15.75" hidden="1" customHeight="1">
      <c r="A189" s="1097" t="s">
        <v>1032</v>
      </c>
      <c r="B189" s="1057">
        <v>180</v>
      </c>
      <c r="C189" s="1018"/>
      <c r="D189" s="1018"/>
      <c r="E189" s="1018"/>
      <c r="F189" s="1018"/>
      <c r="G189" s="1018"/>
      <c r="H189" s="1018"/>
      <c r="I189" s="1018"/>
      <c r="J189" s="1018"/>
      <c r="K189" s="1018"/>
      <c r="L189" s="1018"/>
      <c r="M189" s="1057"/>
      <c r="N189" s="1018"/>
      <c r="O189" s="1018"/>
      <c r="P189" s="1018"/>
      <c r="Q189" s="1018"/>
      <c r="R189" s="1018"/>
      <c r="S189" s="1018"/>
      <c r="T189" s="1019"/>
      <c r="U189" s="1098" t="s">
        <v>2695</v>
      </c>
      <c r="V189" s="1099" t="s">
        <v>1942</v>
      </c>
      <c r="W189" s="1099" t="s">
        <v>1942</v>
      </c>
      <c r="X189" s="1100" t="s">
        <v>2696</v>
      </c>
      <c r="Y189" s="1101" t="s">
        <v>2697</v>
      </c>
      <c r="Z189" s="1102" t="s">
        <v>1942</v>
      </c>
      <c r="AA189" s="1103" t="s">
        <v>1942</v>
      </c>
      <c r="AB189" s="1104" t="s">
        <v>1942</v>
      </c>
      <c r="AC189" s="1104" t="s">
        <v>1942</v>
      </c>
      <c r="AD189" s="1104" t="s">
        <v>1942</v>
      </c>
      <c r="AE189" s="1104" t="s">
        <v>1942</v>
      </c>
      <c r="AF189" s="1104" t="s">
        <v>1942</v>
      </c>
      <c r="AG189" s="1104" t="s">
        <v>1942</v>
      </c>
      <c r="AH189" s="1104" t="s">
        <v>1942</v>
      </c>
      <c r="AI189" s="1105">
        <f t="shared" si="2"/>
        <v>0</v>
      </c>
      <c r="AJ189" s="1106"/>
      <c r="AK189" s="1106"/>
      <c r="AL189" s="1106"/>
      <c r="AM189" s="1107"/>
      <c r="AN189" s="1018"/>
      <c r="AO189" s="1018"/>
      <c r="AP189" s="1313">
        <v>0</v>
      </c>
      <c r="AQ189" s="1076"/>
      <c r="AR189" s="1109"/>
      <c r="AS189" s="1110"/>
      <c r="AT189" s="1100"/>
      <c r="AU189" s="1100"/>
      <c r="AV189" s="1100"/>
      <c r="AW189" s="1111"/>
      <c r="AX189" s="1112"/>
      <c r="AY189" s="1075"/>
      <c r="AZ189" s="1076"/>
      <c r="BA189" s="1076"/>
      <c r="BB189" s="1076"/>
      <c r="BC189" s="1076"/>
      <c r="BD189" s="1076"/>
      <c r="BE189" s="1076"/>
      <c r="BF189" s="1076"/>
      <c r="BG189" s="1076"/>
      <c r="BH189" s="1076"/>
      <c r="BI189" s="1420"/>
      <c r="BJ189" s="1368"/>
      <c r="BK189" s="1368"/>
      <c r="BL189" s="1368"/>
      <c r="BM189" s="1368"/>
      <c r="BN189" s="1075"/>
      <c r="BO189" s="1076"/>
      <c r="BP189" s="1076"/>
      <c r="BQ189" s="1076"/>
      <c r="BR189" s="1076"/>
      <c r="BS189" s="1115"/>
      <c r="BT189" s="1076"/>
      <c r="BU189" s="1076"/>
      <c r="BV189" s="1076"/>
      <c r="BW189" s="1116"/>
      <c r="BX189" s="1115"/>
      <c r="BY189" s="1076"/>
      <c r="BZ189" s="1076"/>
      <c r="CA189" s="1076"/>
      <c r="CB189" s="1116"/>
      <c r="CC189" s="1117"/>
      <c r="CD189" s="1376"/>
      <c r="CE189" s="1377"/>
      <c r="CF189" s="1377"/>
      <c r="CG189" s="1377"/>
      <c r="CH189" s="1440"/>
      <c r="CI189" s="1420"/>
      <c r="CJ189" s="1368"/>
      <c r="CK189" s="1368"/>
      <c r="CL189" s="1368"/>
      <c r="CM189" s="1369"/>
      <c r="CN189" s="1420"/>
      <c r="CO189" s="1368"/>
      <c r="CP189" s="1368"/>
      <c r="CQ189" s="1368"/>
      <c r="CR189" s="1369"/>
      <c r="CS189" s="1420"/>
      <c r="CT189" s="1368"/>
      <c r="CU189" s="1368"/>
      <c r="CV189" s="1368"/>
      <c r="CW189" s="1369"/>
      <c r="CX189" s="1420"/>
      <c r="CY189" s="1368"/>
      <c r="CZ189" s="1368"/>
      <c r="DA189" s="1368"/>
      <c r="DB189" s="1369"/>
      <c r="DC189" s="1368"/>
      <c r="DD189" s="1368"/>
      <c r="DE189" s="1368"/>
      <c r="DF189" s="1368"/>
      <c r="DG189" s="1369"/>
      <c r="DH189" s="1420"/>
      <c r="DI189" s="1368"/>
      <c r="DJ189" s="1368"/>
      <c r="DK189" s="1368"/>
      <c r="DL189" s="1369"/>
      <c r="DM189" s="1808"/>
      <c r="DN189" s="1809"/>
      <c r="DO189" s="1809"/>
      <c r="DP189" s="1810"/>
      <c r="DQ189" s="1809"/>
      <c r="DR189" s="1809"/>
      <c r="DS189" s="1809"/>
      <c r="DT189" s="1810"/>
      <c r="DU189" s="1377"/>
      <c r="DV189" s="1729"/>
      <c r="DW189" s="1811"/>
    </row>
    <row r="190" spans="1:127" s="397" customFormat="1" ht="15.75" hidden="1" customHeight="1">
      <c r="A190" s="1054" t="s">
        <v>1068</v>
      </c>
      <c r="B190" s="1055">
        <v>181</v>
      </c>
      <c r="C190" s="1143"/>
      <c r="D190" s="1143"/>
      <c r="E190" s="1143"/>
      <c r="F190" s="1143"/>
      <c r="G190" s="1143"/>
      <c r="H190" s="1143"/>
      <c r="I190" s="1143"/>
      <c r="J190" s="1143"/>
      <c r="K190" s="1143"/>
      <c r="L190" s="1143"/>
      <c r="M190" s="1055"/>
      <c r="N190" s="1143"/>
      <c r="O190" s="1143"/>
      <c r="P190" s="1143"/>
      <c r="Q190" s="1143"/>
      <c r="R190" s="1143"/>
      <c r="S190" s="1143"/>
      <c r="T190" s="1058"/>
      <c r="U190" s="1059" t="s">
        <v>2704</v>
      </c>
      <c r="V190" s="1060" t="s">
        <v>2705</v>
      </c>
      <c r="W190" s="1060" t="s">
        <v>1896</v>
      </c>
      <c r="X190" s="1061" t="s">
        <v>2706</v>
      </c>
      <c r="Y190" s="1062" t="s">
        <v>669</v>
      </c>
      <c r="Z190" s="1063" t="s">
        <v>2707</v>
      </c>
      <c r="AA190" s="1064" t="s">
        <v>1942</v>
      </c>
      <c r="AB190" s="1065">
        <v>1</v>
      </c>
      <c r="AC190" s="1065" t="s">
        <v>1942</v>
      </c>
      <c r="AD190" s="1065" t="s">
        <v>1942</v>
      </c>
      <c r="AE190" s="1065" t="s">
        <v>1942</v>
      </c>
      <c r="AF190" s="1065" t="s">
        <v>1942</v>
      </c>
      <c r="AG190" s="1065" t="s">
        <v>1942</v>
      </c>
      <c r="AH190" s="1065" t="s">
        <v>1942</v>
      </c>
      <c r="AI190" s="1066">
        <f t="shared" si="2"/>
        <v>1</v>
      </c>
      <c r="AJ190" s="1067" t="s">
        <v>1030</v>
      </c>
      <c r="AK190" s="1067" t="s">
        <v>1008</v>
      </c>
      <c r="AL190" s="1067" t="s">
        <v>1009</v>
      </c>
      <c r="AM190" s="1068" t="s">
        <v>669</v>
      </c>
      <c r="AN190" s="1062" t="s">
        <v>278</v>
      </c>
      <c r="AO190" s="1062" t="s">
        <v>4791</v>
      </c>
      <c r="AP190" s="1306">
        <v>1</v>
      </c>
      <c r="AQ190" s="833" t="s">
        <v>1010</v>
      </c>
      <c r="AR190" s="1071" t="s">
        <v>669</v>
      </c>
      <c r="AS190" s="1072"/>
      <c r="AT190" s="1061"/>
      <c r="AU190" s="1061"/>
      <c r="AV190" s="1061"/>
      <c r="AW190" s="1073"/>
      <c r="AX190" s="1074"/>
      <c r="AY190" s="1079"/>
      <c r="AZ190" s="1080"/>
      <c r="BA190" s="1080"/>
      <c r="BB190" s="1080"/>
      <c r="BC190" s="1080"/>
      <c r="BD190" s="1080"/>
      <c r="BE190" s="1080"/>
      <c r="BF190" s="1080"/>
      <c r="BG190" s="1077"/>
      <c r="BH190" s="1077"/>
      <c r="BI190" s="1078">
        <v>3.1</v>
      </c>
      <c r="BJ190" s="1077">
        <v>6.2</v>
      </c>
      <c r="BK190" s="1077">
        <v>9.1999999999999993</v>
      </c>
      <c r="BL190" s="1077">
        <v>12.2</v>
      </c>
      <c r="BM190" s="1077">
        <v>15.2</v>
      </c>
      <c r="BN190" s="1079"/>
      <c r="BO190" s="1080"/>
      <c r="BP190" s="1080"/>
      <c r="BQ190" s="1080"/>
      <c r="BR190" s="1080"/>
      <c r="BS190" s="1081"/>
      <c r="BT190" s="1080"/>
      <c r="BU190" s="1080"/>
      <c r="BV190" s="1080"/>
      <c r="BW190" s="1082"/>
      <c r="BX190" s="1081"/>
      <c r="BY190" s="1080"/>
      <c r="BZ190" s="1080"/>
      <c r="CA190" s="1080"/>
      <c r="CB190" s="1082"/>
      <c r="CC190" s="1083"/>
      <c r="CD190" s="1084" t="s">
        <v>168</v>
      </c>
      <c r="CE190" s="1085" t="s">
        <v>168</v>
      </c>
      <c r="CF190" s="1085" t="s">
        <v>168</v>
      </c>
      <c r="CG190" s="1085" t="s">
        <v>168</v>
      </c>
      <c r="CH190" s="1086" t="s">
        <v>168</v>
      </c>
      <c r="CI190" s="1089" t="s">
        <v>1942</v>
      </c>
      <c r="CJ190" s="1087" t="s">
        <v>1942</v>
      </c>
      <c r="CK190" s="1087" t="s">
        <v>1942</v>
      </c>
      <c r="CL190" s="1087" t="s">
        <v>1942</v>
      </c>
      <c r="CM190" s="1088" t="s">
        <v>1942</v>
      </c>
      <c r="CN190" s="1089">
        <v>-5</v>
      </c>
      <c r="CO190" s="1087">
        <v>-5</v>
      </c>
      <c r="CP190" s="1087">
        <v>-5</v>
      </c>
      <c r="CQ190" s="1087">
        <v>-5</v>
      </c>
      <c r="CR190" s="1088">
        <v>-5</v>
      </c>
      <c r="CS190" s="1079" t="s">
        <v>1942</v>
      </c>
      <c r="CT190" s="1080" t="s">
        <v>1942</v>
      </c>
      <c r="CU190" s="1080" t="s">
        <v>1942</v>
      </c>
      <c r="CV190" s="1080" t="s">
        <v>1942</v>
      </c>
      <c r="CW190" s="1083" t="s">
        <v>1942</v>
      </c>
      <c r="CX190" s="1079" t="s">
        <v>1942</v>
      </c>
      <c r="CY190" s="1080" t="s">
        <v>1942</v>
      </c>
      <c r="CZ190" s="1080" t="s">
        <v>1942</v>
      </c>
      <c r="DA190" s="1080" t="s">
        <v>1942</v>
      </c>
      <c r="DB190" s="1083" t="s">
        <v>1942</v>
      </c>
      <c r="DC190" s="1087">
        <v>18.8</v>
      </c>
      <c r="DD190" s="1087">
        <v>21.9</v>
      </c>
      <c r="DE190" s="1087">
        <v>24.9</v>
      </c>
      <c r="DF190" s="1087">
        <v>27.9</v>
      </c>
      <c r="DG190" s="1088">
        <v>30.8</v>
      </c>
      <c r="DH190" s="1089" t="s">
        <v>1942</v>
      </c>
      <c r="DI190" s="1080" t="s">
        <v>1942</v>
      </c>
      <c r="DJ190" s="1080" t="s">
        <v>1942</v>
      </c>
      <c r="DK190" s="1080" t="s">
        <v>1942</v>
      </c>
      <c r="DL190" s="1083" t="s">
        <v>1942</v>
      </c>
      <c r="DM190" s="1091">
        <v>-0.16</v>
      </c>
      <c r="DN190" s="1092" t="s">
        <v>1942</v>
      </c>
      <c r="DO190" s="1092" t="s">
        <v>1942</v>
      </c>
      <c r="DP190" s="1093" t="s">
        <v>1942</v>
      </c>
      <c r="DQ190" s="1092">
        <v>0.13400000000000001</v>
      </c>
      <c r="DR190" s="1092" t="s">
        <v>1942</v>
      </c>
      <c r="DS190" s="1092" t="s">
        <v>1942</v>
      </c>
      <c r="DT190" s="1093" t="s">
        <v>1942</v>
      </c>
      <c r="DU190" s="1085" t="s">
        <v>1942</v>
      </c>
      <c r="DV190" s="1094" t="s">
        <v>1942</v>
      </c>
      <c r="DW190" s="1095" t="s">
        <v>1942</v>
      </c>
    </row>
    <row r="191" spans="1:127" s="397" customFormat="1" ht="15.75" hidden="1" customHeight="1">
      <c r="A191" s="1054" t="s">
        <v>1068</v>
      </c>
      <c r="B191" s="1055">
        <v>182</v>
      </c>
      <c r="C191" s="1143"/>
      <c r="D191" s="1143"/>
      <c r="E191" s="1143"/>
      <c r="F191" s="1143"/>
      <c r="G191" s="1143"/>
      <c r="H191" s="1143"/>
      <c r="I191" s="1143"/>
      <c r="J191" s="1143"/>
      <c r="K191" s="1143"/>
      <c r="L191" s="1143"/>
      <c r="M191" s="1055"/>
      <c r="N191" s="1143"/>
      <c r="O191" s="1143"/>
      <c r="P191" s="1143"/>
      <c r="Q191" s="1143"/>
      <c r="R191" s="1143"/>
      <c r="S191" s="1143"/>
      <c r="T191" s="1058"/>
      <c r="U191" s="1059" t="s">
        <v>2708</v>
      </c>
      <c r="V191" s="1060" t="s">
        <v>2709</v>
      </c>
      <c r="W191" s="1060" t="s">
        <v>1889</v>
      </c>
      <c r="X191" s="1061" t="s">
        <v>2710</v>
      </c>
      <c r="Y191" s="1062" t="s">
        <v>1902</v>
      </c>
      <c r="Z191" s="1063" t="s">
        <v>2711</v>
      </c>
      <c r="AA191" s="1064">
        <v>1</v>
      </c>
      <c r="AB191" s="1065" t="s">
        <v>1942</v>
      </c>
      <c r="AC191" s="1065" t="s">
        <v>1942</v>
      </c>
      <c r="AD191" s="1065" t="s">
        <v>1942</v>
      </c>
      <c r="AE191" s="1065" t="s">
        <v>1942</v>
      </c>
      <c r="AF191" s="1065" t="s">
        <v>1942</v>
      </c>
      <c r="AG191" s="1065" t="s">
        <v>1942</v>
      </c>
      <c r="AH191" s="1065" t="s">
        <v>1942</v>
      </c>
      <c r="AI191" s="1066">
        <f t="shared" si="2"/>
        <v>1</v>
      </c>
      <c r="AJ191" s="1067" t="s">
        <v>1030</v>
      </c>
      <c r="AK191" s="1067" t="s">
        <v>1008</v>
      </c>
      <c r="AL191" s="1440" t="s">
        <v>1019</v>
      </c>
      <c r="AM191" s="1068" t="s">
        <v>2054</v>
      </c>
      <c r="AN191" s="1062" t="s">
        <v>2118</v>
      </c>
      <c r="AO191" s="1062" t="s">
        <v>4791</v>
      </c>
      <c r="AP191" s="1306">
        <v>1</v>
      </c>
      <c r="AQ191" s="833" t="s">
        <v>1010</v>
      </c>
      <c r="AR191" s="1071" t="s">
        <v>1902</v>
      </c>
      <c r="AS191" s="1072"/>
      <c r="AT191" s="1061"/>
      <c r="AU191" s="1061"/>
      <c r="AV191" s="1061"/>
      <c r="AW191" s="1073"/>
      <c r="AX191" s="1074"/>
      <c r="AY191" s="1079"/>
      <c r="AZ191" s="1080"/>
      <c r="BA191" s="1080"/>
      <c r="BB191" s="1080"/>
      <c r="BC191" s="1080"/>
      <c r="BD191" s="1080"/>
      <c r="BE191" s="1080"/>
      <c r="BF191" s="1080"/>
      <c r="BG191" s="1077"/>
      <c r="BH191" s="1077"/>
      <c r="BI191" s="1078">
        <v>1.3</v>
      </c>
      <c r="BJ191" s="1077">
        <v>2.5</v>
      </c>
      <c r="BK191" s="1077">
        <v>3.8</v>
      </c>
      <c r="BL191" s="1077">
        <v>5</v>
      </c>
      <c r="BM191" s="1077">
        <v>6.3</v>
      </c>
      <c r="BN191" s="1079"/>
      <c r="BO191" s="1080"/>
      <c r="BP191" s="1080"/>
      <c r="BQ191" s="1080"/>
      <c r="BR191" s="1080"/>
      <c r="BS191" s="1081"/>
      <c r="BT191" s="1080"/>
      <c r="BU191" s="1080"/>
      <c r="BV191" s="1080"/>
      <c r="BW191" s="1082"/>
      <c r="BX191" s="1081"/>
      <c r="BY191" s="1080"/>
      <c r="BZ191" s="1080"/>
      <c r="CA191" s="1080"/>
      <c r="CB191" s="1082"/>
      <c r="CC191" s="1083"/>
      <c r="CD191" s="1084" t="s">
        <v>168</v>
      </c>
      <c r="CE191" s="1085" t="s">
        <v>168</v>
      </c>
      <c r="CF191" s="1085" t="s">
        <v>168</v>
      </c>
      <c r="CG191" s="1085" t="s">
        <v>168</v>
      </c>
      <c r="CH191" s="1086" t="s">
        <v>168</v>
      </c>
      <c r="CI191" s="1089" t="s">
        <v>1942</v>
      </c>
      <c r="CJ191" s="1087" t="s">
        <v>1942</v>
      </c>
      <c r="CK191" s="1087" t="s">
        <v>1942</v>
      </c>
      <c r="CL191" s="1087" t="s">
        <v>1942</v>
      </c>
      <c r="CM191" s="1088" t="s">
        <v>1942</v>
      </c>
      <c r="CN191" s="1089">
        <v>-8.6</v>
      </c>
      <c r="CO191" s="1087">
        <v>-8.6</v>
      </c>
      <c r="CP191" s="1087">
        <v>-8.6</v>
      </c>
      <c r="CQ191" s="1087">
        <v>-8.6</v>
      </c>
      <c r="CR191" s="1088">
        <v>-8.6</v>
      </c>
      <c r="CS191" s="1079" t="s">
        <v>1942</v>
      </c>
      <c r="CT191" s="1080" t="s">
        <v>1942</v>
      </c>
      <c r="CU191" s="1080" t="s">
        <v>1942</v>
      </c>
      <c r="CV191" s="1080" t="s">
        <v>1942</v>
      </c>
      <c r="CW191" s="1083" t="s">
        <v>1942</v>
      </c>
      <c r="CX191" s="1079" t="s">
        <v>1942</v>
      </c>
      <c r="CY191" s="1080" t="s">
        <v>1942</v>
      </c>
      <c r="CZ191" s="1080" t="s">
        <v>1942</v>
      </c>
      <c r="DA191" s="1080" t="s">
        <v>1942</v>
      </c>
      <c r="DB191" s="1083" t="s">
        <v>1942</v>
      </c>
      <c r="DC191" s="1087">
        <v>4.5999999999999996</v>
      </c>
      <c r="DD191" s="1087">
        <v>5.8</v>
      </c>
      <c r="DE191" s="1087">
        <v>7.1</v>
      </c>
      <c r="DF191" s="1087">
        <v>8.3000000000000007</v>
      </c>
      <c r="DG191" s="1088">
        <v>9.6</v>
      </c>
      <c r="DH191" s="1089" t="s">
        <v>1942</v>
      </c>
      <c r="DI191" s="1080" t="s">
        <v>1942</v>
      </c>
      <c r="DJ191" s="1080" t="s">
        <v>1942</v>
      </c>
      <c r="DK191" s="1080" t="s">
        <v>1942</v>
      </c>
      <c r="DL191" s="1083" t="s">
        <v>1942</v>
      </c>
      <c r="DM191" s="1091">
        <v>-3.3000000000000002E-2</v>
      </c>
      <c r="DN191" s="1092" t="s">
        <v>1942</v>
      </c>
      <c r="DO191" s="1092" t="s">
        <v>1942</v>
      </c>
      <c r="DP191" s="1093" t="s">
        <v>1942</v>
      </c>
      <c r="DQ191" s="1092">
        <v>2.8000000000000001E-2</v>
      </c>
      <c r="DR191" s="1092" t="s">
        <v>1942</v>
      </c>
      <c r="DS191" s="1092" t="s">
        <v>1942</v>
      </c>
      <c r="DT191" s="1093" t="s">
        <v>1942</v>
      </c>
      <c r="DU191" s="1085" t="s">
        <v>1942</v>
      </c>
      <c r="DV191" s="1094">
        <v>1</v>
      </c>
      <c r="DW191" s="1095" t="s">
        <v>1942</v>
      </c>
    </row>
    <row r="192" spans="1:127" s="397" customFormat="1" ht="15.75" hidden="1" customHeight="1">
      <c r="A192" s="1097" t="s">
        <v>1068</v>
      </c>
      <c r="B192" s="1057">
        <v>183</v>
      </c>
      <c r="C192" s="1018"/>
      <c r="D192" s="1018"/>
      <c r="E192" s="1018"/>
      <c r="F192" s="1018"/>
      <c r="G192" s="1018"/>
      <c r="H192" s="1018"/>
      <c r="I192" s="1018"/>
      <c r="J192" s="1018"/>
      <c r="K192" s="1018"/>
      <c r="L192" s="1018"/>
      <c r="M192" s="1057"/>
      <c r="N192" s="1018"/>
      <c r="O192" s="1018"/>
      <c r="P192" s="1018"/>
      <c r="Q192" s="1018"/>
      <c r="R192" s="1018"/>
      <c r="S192" s="1018"/>
      <c r="T192" s="1019"/>
      <c r="U192" s="1098" t="s">
        <v>2713</v>
      </c>
      <c r="V192" s="1099" t="s">
        <v>2714</v>
      </c>
      <c r="W192" s="1099" t="s">
        <v>1907</v>
      </c>
      <c r="X192" s="1100" t="s">
        <v>2715</v>
      </c>
      <c r="Y192" s="1101" t="s">
        <v>130</v>
      </c>
      <c r="Z192" s="1102" t="s">
        <v>2716</v>
      </c>
      <c r="AA192" s="1103" t="s">
        <v>1942</v>
      </c>
      <c r="AB192" s="1104">
        <v>1</v>
      </c>
      <c r="AC192" s="1104" t="s">
        <v>1942</v>
      </c>
      <c r="AD192" s="1104" t="s">
        <v>1942</v>
      </c>
      <c r="AE192" s="1104" t="s">
        <v>1942</v>
      </c>
      <c r="AF192" s="1104" t="s">
        <v>1942</v>
      </c>
      <c r="AG192" s="1104" t="s">
        <v>1942</v>
      </c>
      <c r="AH192" s="1104" t="s">
        <v>1942</v>
      </c>
      <c r="AI192" s="1105">
        <f t="shared" si="2"/>
        <v>1</v>
      </c>
      <c r="AJ192" s="1106" t="s">
        <v>1026</v>
      </c>
      <c r="AK192" s="1106" t="s">
        <v>1008</v>
      </c>
      <c r="AL192" s="1106" t="s">
        <v>1009</v>
      </c>
      <c r="AM192" s="1107" t="s">
        <v>1926</v>
      </c>
      <c r="AN192" s="1018" t="s">
        <v>2177</v>
      </c>
      <c r="AO192" s="1018" t="s">
        <v>4795</v>
      </c>
      <c r="AP192" s="1307">
        <v>2</v>
      </c>
      <c r="AQ192" s="1076" t="s">
        <v>1020</v>
      </c>
      <c r="AR192" s="1109" t="s">
        <v>130</v>
      </c>
      <c r="AS192" s="1110"/>
      <c r="AT192" s="1100"/>
      <c r="AU192" s="1100"/>
      <c r="AV192" s="1100"/>
      <c r="AW192" s="1111"/>
      <c r="AX192" s="1112"/>
      <c r="AY192" s="1075"/>
      <c r="AZ192" s="1076"/>
      <c r="BA192" s="1076"/>
      <c r="BB192" s="1076"/>
      <c r="BC192" s="1076"/>
      <c r="BD192" s="1076"/>
      <c r="BE192" s="1076"/>
      <c r="BF192" s="1076"/>
      <c r="BG192" s="1126"/>
      <c r="BH192" s="1126"/>
      <c r="BI192" s="1127">
        <v>0</v>
      </c>
      <c r="BJ192" s="1126">
        <v>0</v>
      </c>
      <c r="BK192" s="1126">
        <v>0</v>
      </c>
      <c r="BL192" s="1126">
        <v>0</v>
      </c>
      <c r="BM192" s="1126">
        <v>0</v>
      </c>
      <c r="BN192" s="1075"/>
      <c r="BO192" s="1076"/>
      <c r="BP192" s="1076"/>
      <c r="BQ192" s="1076"/>
      <c r="BR192" s="1076"/>
      <c r="BS192" s="1115"/>
      <c r="BT192" s="1076"/>
      <c r="BU192" s="1076"/>
      <c r="BV192" s="1076"/>
      <c r="BW192" s="1116"/>
      <c r="BX192" s="1115"/>
      <c r="BY192" s="1076"/>
      <c r="BZ192" s="1076"/>
      <c r="CA192" s="1076"/>
      <c r="CB192" s="1116"/>
      <c r="CC192" s="1117"/>
      <c r="CD192" s="1118" t="s">
        <v>168</v>
      </c>
      <c r="CE192" s="1119" t="s">
        <v>168</v>
      </c>
      <c r="CF192" s="1119" t="s">
        <v>168</v>
      </c>
      <c r="CG192" s="1119" t="s">
        <v>168</v>
      </c>
      <c r="CH192" s="1120" t="s">
        <v>168</v>
      </c>
      <c r="CI192" s="1075" t="s">
        <v>1942</v>
      </c>
      <c r="CJ192" s="1076" t="s">
        <v>1942</v>
      </c>
      <c r="CK192" s="1076" t="s">
        <v>1942</v>
      </c>
      <c r="CL192" s="1076" t="s">
        <v>1942</v>
      </c>
      <c r="CM192" s="1117" t="s">
        <v>1942</v>
      </c>
      <c r="CN192" s="1075">
        <v>9.5</v>
      </c>
      <c r="CO192" s="1076">
        <v>9.5</v>
      </c>
      <c r="CP192" s="1076">
        <v>9.5</v>
      </c>
      <c r="CQ192" s="1076">
        <v>9.5</v>
      </c>
      <c r="CR192" s="1117">
        <v>9.5</v>
      </c>
      <c r="CS192" s="1075">
        <v>2</v>
      </c>
      <c r="CT192" s="1076">
        <v>2</v>
      </c>
      <c r="CU192" s="1076">
        <v>2</v>
      </c>
      <c r="CV192" s="1076">
        <v>2</v>
      </c>
      <c r="CW192" s="1117">
        <v>2</v>
      </c>
      <c r="CX192" s="1075" t="s">
        <v>1942</v>
      </c>
      <c r="CY192" s="1076" t="s">
        <v>1942</v>
      </c>
      <c r="CZ192" s="1076" t="s">
        <v>1942</v>
      </c>
      <c r="DA192" s="1076" t="s">
        <v>1942</v>
      </c>
      <c r="DB192" s="1117" t="s">
        <v>1942</v>
      </c>
      <c r="DC192" s="1076" t="s">
        <v>1942</v>
      </c>
      <c r="DD192" s="1076" t="s">
        <v>1942</v>
      </c>
      <c r="DE192" s="1076" t="s">
        <v>1942</v>
      </c>
      <c r="DF192" s="1076" t="s">
        <v>1942</v>
      </c>
      <c r="DG192" s="1117" t="s">
        <v>1942</v>
      </c>
      <c r="DH192" s="1075" t="s">
        <v>1942</v>
      </c>
      <c r="DI192" s="1076" t="s">
        <v>1942</v>
      </c>
      <c r="DJ192" s="1076" t="s">
        <v>1942</v>
      </c>
      <c r="DK192" s="1076" t="s">
        <v>1942</v>
      </c>
      <c r="DL192" s="1117" t="s">
        <v>1942</v>
      </c>
      <c r="DM192" s="1121">
        <v>-0.113</v>
      </c>
      <c r="DN192" s="1122" t="s">
        <v>1942</v>
      </c>
      <c r="DO192" s="1122" t="s">
        <v>1942</v>
      </c>
      <c r="DP192" s="1123" t="s">
        <v>1942</v>
      </c>
      <c r="DQ192" s="1122">
        <v>0</v>
      </c>
      <c r="DR192" s="1122" t="s">
        <v>1942</v>
      </c>
      <c r="DS192" s="1122" t="s">
        <v>1942</v>
      </c>
      <c r="DT192" s="1123" t="s">
        <v>1942</v>
      </c>
      <c r="DU192" s="1119" t="s">
        <v>1942</v>
      </c>
      <c r="DV192" s="1124">
        <v>1</v>
      </c>
      <c r="DW192" s="1125" t="s">
        <v>1942</v>
      </c>
    </row>
    <row r="193" spans="1:127" s="397" customFormat="1" ht="15.75" hidden="1" customHeight="1">
      <c r="A193" s="1097" t="s">
        <v>1068</v>
      </c>
      <c r="B193" s="1057">
        <v>184</v>
      </c>
      <c r="C193" s="1018"/>
      <c r="D193" s="1018"/>
      <c r="E193" s="1018"/>
      <c r="F193" s="1018"/>
      <c r="G193" s="1018"/>
      <c r="H193" s="1018"/>
      <c r="I193" s="1018"/>
      <c r="J193" s="1018"/>
      <c r="K193" s="1018"/>
      <c r="L193" s="1018"/>
      <c r="M193" s="1057"/>
      <c r="N193" s="1018"/>
      <c r="O193" s="1018"/>
      <c r="P193" s="1018"/>
      <c r="Q193" s="1018"/>
      <c r="R193" s="1018"/>
      <c r="S193" s="1018"/>
      <c r="T193" s="1019"/>
      <c r="U193" s="1098" t="s">
        <v>2718</v>
      </c>
      <c r="V193" s="1099" t="s">
        <v>2714</v>
      </c>
      <c r="W193" s="1099" t="s">
        <v>1896</v>
      </c>
      <c r="X193" s="1100" t="s">
        <v>2719</v>
      </c>
      <c r="Y193" s="1101" t="s">
        <v>137</v>
      </c>
      <c r="Z193" s="1102" t="s">
        <v>2720</v>
      </c>
      <c r="AA193" s="1103" t="s">
        <v>1942</v>
      </c>
      <c r="AB193" s="1104">
        <v>1</v>
      </c>
      <c r="AC193" s="1104" t="s">
        <v>1942</v>
      </c>
      <c r="AD193" s="1104" t="s">
        <v>1942</v>
      </c>
      <c r="AE193" s="1104" t="s">
        <v>1942</v>
      </c>
      <c r="AF193" s="1104" t="s">
        <v>1942</v>
      </c>
      <c r="AG193" s="1104" t="s">
        <v>1942</v>
      </c>
      <c r="AH193" s="1104" t="s">
        <v>1942</v>
      </c>
      <c r="AI193" s="1105">
        <f t="shared" si="2"/>
        <v>1</v>
      </c>
      <c r="AJ193" s="1106" t="s">
        <v>1030</v>
      </c>
      <c r="AK193" s="1106" t="s">
        <v>1008</v>
      </c>
      <c r="AL193" s="1106" t="s">
        <v>1009</v>
      </c>
      <c r="AM193" s="1107" t="s">
        <v>1892</v>
      </c>
      <c r="AN193" s="1018" t="s">
        <v>4789</v>
      </c>
      <c r="AO193" s="1018" t="s">
        <v>4790</v>
      </c>
      <c r="AP193" s="1307">
        <v>0</v>
      </c>
      <c r="AQ193" s="1076" t="s">
        <v>1020</v>
      </c>
      <c r="AR193" s="1109" t="s">
        <v>137</v>
      </c>
      <c r="AS193" s="1110"/>
      <c r="AT193" s="1100"/>
      <c r="AU193" s="1100"/>
      <c r="AV193" s="1100"/>
      <c r="AW193" s="1111"/>
      <c r="AX193" s="1112"/>
      <c r="AY193" s="1075"/>
      <c r="AZ193" s="1076"/>
      <c r="BA193" s="1076"/>
      <c r="BB193" s="1076"/>
      <c r="BC193" s="1076"/>
      <c r="BD193" s="1076"/>
      <c r="BE193" s="1076"/>
      <c r="BF193" s="1076"/>
      <c r="BG193" s="1150"/>
      <c r="BH193" s="1150"/>
      <c r="BI193" s="1149">
        <v>4.5138888888888893E-3</v>
      </c>
      <c r="BJ193" s="1150">
        <v>4.2592592592592595E-3</v>
      </c>
      <c r="BK193" s="1150">
        <v>3.9930555555555561E-3</v>
      </c>
      <c r="BL193" s="1150">
        <v>3.7384259259259263E-3</v>
      </c>
      <c r="BM193" s="1150">
        <v>3.472222222222222E-3</v>
      </c>
      <c r="BN193" s="1075"/>
      <c r="BO193" s="1076"/>
      <c r="BP193" s="1076"/>
      <c r="BQ193" s="1076"/>
      <c r="BR193" s="1076"/>
      <c r="BS193" s="1115"/>
      <c r="BT193" s="1076"/>
      <c r="BU193" s="1076"/>
      <c r="BV193" s="1076"/>
      <c r="BW193" s="1116"/>
      <c r="BX193" s="1115"/>
      <c r="BY193" s="1076"/>
      <c r="BZ193" s="1076"/>
      <c r="CA193" s="1076"/>
      <c r="CB193" s="1116"/>
      <c r="CC193" s="1117"/>
      <c r="CD193" s="1118" t="s">
        <v>168</v>
      </c>
      <c r="CE193" s="1119" t="s">
        <v>168</v>
      </c>
      <c r="CF193" s="1119" t="s">
        <v>168</v>
      </c>
      <c r="CG193" s="1119" t="s">
        <v>168</v>
      </c>
      <c r="CH193" s="1120" t="s">
        <v>168</v>
      </c>
      <c r="CI193" s="1149" t="s">
        <v>1942</v>
      </c>
      <c r="CJ193" s="1150" t="s">
        <v>1942</v>
      </c>
      <c r="CK193" s="1150" t="s">
        <v>1942</v>
      </c>
      <c r="CL193" s="1150" t="s">
        <v>1942</v>
      </c>
      <c r="CM193" s="1153" t="s">
        <v>1942</v>
      </c>
      <c r="CN193" s="1149">
        <v>1.5798611111111114E-2</v>
      </c>
      <c r="CO193" s="1150">
        <v>1.5798611111111114E-2</v>
      </c>
      <c r="CP193" s="1150">
        <v>1.5798611111111114E-2</v>
      </c>
      <c r="CQ193" s="1150">
        <v>1.5798611111111114E-2</v>
      </c>
      <c r="CR193" s="1153">
        <v>1.5798611111111114E-2</v>
      </c>
      <c r="CS193" s="1149" t="s">
        <v>1942</v>
      </c>
      <c r="CT193" s="1150" t="s">
        <v>1942</v>
      </c>
      <c r="CU193" s="1150" t="s">
        <v>1942</v>
      </c>
      <c r="CV193" s="1150" t="s">
        <v>1942</v>
      </c>
      <c r="CW193" s="1153" t="s">
        <v>1942</v>
      </c>
      <c r="CX193" s="1149" t="s">
        <v>1942</v>
      </c>
      <c r="CY193" s="1150" t="s">
        <v>1942</v>
      </c>
      <c r="CZ193" s="1150" t="s">
        <v>1942</v>
      </c>
      <c r="DA193" s="1150" t="s">
        <v>1942</v>
      </c>
      <c r="DB193" s="1153" t="s">
        <v>1942</v>
      </c>
      <c r="DC193" s="1360">
        <v>1.9328703703703704E-3</v>
      </c>
      <c r="DD193" s="1360">
        <v>1.712962962962963E-3</v>
      </c>
      <c r="DE193" s="1360">
        <v>1.5046296296296294E-3</v>
      </c>
      <c r="DF193" s="1360">
        <v>1.2962962962962963E-3</v>
      </c>
      <c r="DG193" s="1360">
        <v>1.0416666666666667E-3</v>
      </c>
      <c r="DH193" s="1149" t="s">
        <v>1942</v>
      </c>
      <c r="DI193" s="1150" t="s">
        <v>1942</v>
      </c>
      <c r="DJ193" s="1150" t="s">
        <v>1942</v>
      </c>
      <c r="DK193" s="1150" t="s">
        <v>1942</v>
      </c>
      <c r="DL193" s="1153" t="s">
        <v>1942</v>
      </c>
      <c r="DM193" s="1121">
        <v>-6.9000000000000006E-2</v>
      </c>
      <c r="DN193" s="1122" t="s">
        <v>1942</v>
      </c>
      <c r="DO193" s="1122" t="s">
        <v>1942</v>
      </c>
      <c r="DP193" s="1123" t="s">
        <v>1942</v>
      </c>
      <c r="DQ193" s="1122">
        <v>6.9000000000000006E-2</v>
      </c>
      <c r="DR193" s="1122" t="s">
        <v>1942</v>
      </c>
      <c r="DS193" s="1122" t="s">
        <v>1942</v>
      </c>
      <c r="DT193" s="1123" t="s">
        <v>1942</v>
      </c>
      <c r="DU193" s="1119" t="s">
        <v>1942</v>
      </c>
      <c r="DV193" s="1124">
        <v>1</v>
      </c>
      <c r="DW193" s="1125" t="s">
        <v>1942</v>
      </c>
    </row>
    <row r="194" spans="1:127" s="397" customFormat="1" ht="15.75" hidden="1" customHeight="1">
      <c r="A194" s="1097" t="s">
        <v>1068</v>
      </c>
      <c r="B194" s="1057">
        <v>185</v>
      </c>
      <c r="C194" s="1018"/>
      <c r="D194" s="1018"/>
      <c r="E194" s="1018"/>
      <c r="F194" s="1018"/>
      <c r="G194" s="1018"/>
      <c r="H194" s="1018"/>
      <c r="I194" s="1018"/>
      <c r="J194" s="1018"/>
      <c r="K194" s="1018"/>
      <c r="L194" s="1018"/>
      <c r="M194" s="1057"/>
      <c r="N194" s="1018"/>
      <c r="O194" s="1018"/>
      <c r="P194" s="1018"/>
      <c r="Q194" s="1018"/>
      <c r="R194" s="1018"/>
      <c r="S194" s="1018"/>
      <c r="T194" s="1019"/>
      <c r="U194" s="1098" t="s">
        <v>2722</v>
      </c>
      <c r="V194" s="1099" t="s">
        <v>2714</v>
      </c>
      <c r="W194" s="1099" t="s">
        <v>1889</v>
      </c>
      <c r="X194" s="1100" t="s">
        <v>2723</v>
      </c>
      <c r="Y194" s="1101" t="s">
        <v>161</v>
      </c>
      <c r="Z194" s="1102" t="s">
        <v>2724</v>
      </c>
      <c r="AA194" s="1103" t="s">
        <v>1942</v>
      </c>
      <c r="AB194" s="1104">
        <v>1</v>
      </c>
      <c r="AC194" s="1104" t="s">
        <v>1942</v>
      </c>
      <c r="AD194" s="1104" t="s">
        <v>1942</v>
      </c>
      <c r="AE194" s="1104" t="s">
        <v>1942</v>
      </c>
      <c r="AF194" s="1104" t="s">
        <v>1942</v>
      </c>
      <c r="AG194" s="1104" t="s">
        <v>1942</v>
      </c>
      <c r="AH194" s="1104" t="s">
        <v>1942</v>
      </c>
      <c r="AI194" s="1105">
        <f t="shared" si="2"/>
        <v>1</v>
      </c>
      <c r="AJ194" s="1106" t="s">
        <v>1026</v>
      </c>
      <c r="AK194" s="1106" t="s">
        <v>1008</v>
      </c>
      <c r="AL194" s="1106" t="s">
        <v>1009</v>
      </c>
      <c r="AM194" s="1107" t="s">
        <v>2074</v>
      </c>
      <c r="AN194" s="1018" t="s">
        <v>2177</v>
      </c>
      <c r="AO194" s="1018" t="s">
        <v>4794</v>
      </c>
      <c r="AP194" s="1307">
        <v>1</v>
      </c>
      <c r="AQ194" s="1076" t="s">
        <v>1020</v>
      </c>
      <c r="AR194" s="1109" t="s">
        <v>161</v>
      </c>
      <c r="AS194" s="1110"/>
      <c r="AT194" s="1100"/>
      <c r="AU194" s="1100"/>
      <c r="AV194" s="1100"/>
      <c r="AW194" s="1111"/>
      <c r="AX194" s="1112"/>
      <c r="AY194" s="1075"/>
      <c r="AZ194" s="1076"/>
      <c r="BA194" s="1076"/>
      <c r="BB194" s="1076"/>
      <c r="BC194" s="1076"/>
      <c r="BD194" s="1076"/>
      <c r="BE194" s="1076"/>
      <c r="BF194" s="1076"/>
      <c r="BG194" s="1113"/>
      <c r="BH194" s="1113"/>
      <c r="BI194" s="1114">
        <v>73.8</v>
      </c>
      <c r="BJ194" s="1113">
        <v>72.400000000000006</v>
      </c>
      <c r="BK194" s="1113">
        <v>71.2</v>
      </c>
      <c r="BL194" s="1113">
        <v>70</v>
      </c>
      <c r="BM194" s="1113">
        <v>68.599999999999994</v>
      </c>
      <c r="BN194" s="1075"/>
      <c r="BO194" s="1076"/>
      <c r="BP194" s="1076"/>
      <c r="BQ194" s="1076"/>
      <c r="BR194" s="1076"/>
      <c r="BS194" s="1115"/>
      <c r="BT194" s="1076"/>
      <c r="BU194" s="1076"/>
      <c r="BV194" s="1076"/>
      <c r="BW194" s="1116"/>
      <c r="BX194" s="1115"/>
      <c r="BY194" s="1076"/>
      <c r="BZ194" s="1076"/>
      <c r="CA194" s="1076"/>
      <c r="CB194" s="1116"/>
      <c r="CC194" s="1117"/>
      <c r="CD194" s="1118" t="s">
        <v>168</v>
      </c>
      <c r="CE194" s="1119" t="s">
        <v>168</v>
      </c>
      <c r="CF194" s="1119" t="s">
        <v>168</v>
      </c>
      <c r="CG194" s="1119" t="s">
        <v>168</v>
      </c>
      <c r="CH194" s="1120" t="s">
        <v>168</v>
      </c>
      <c r="CI194" s="1075" t="s">
        <v>1942</v>
      </c>
      <c r="CJ194" s="1076" t="s">
        <v>1942</v>
      </c>
      <c r="CK194" s="1076" t="s">
        <v>1942</v>
      </c>
      <c r="CL194" s="1076" t="s">
        <v>1942</v>
      </c>
      <c r="CM194" s="1117" t="s">
        <v>1942</v>
      </c>
      <c r="CN194" s="1075" t="s">
        <v>1942</v>
      </c>
      <c r="CO194" s="1076" t="s">
        <v>1942</v>
      </c>
      <c r="CP194" s="1076" t="s">
        <v>1942</v>
      </c>
      <c r="CQ194" s="1076" t="s">
        <v>1942</v>
      </c>
      <c r="CR194" s="1117" t="s">
        <v>1942</v>
      </c>
      <c r="CS194" s="1075" t="s">
        <v>1942</v>
      </c>
      <c r="CT194" s="1076" t="s">
        <v>1942</v>
      </c>
      <c r="CU194" s="1076" t="s">
        <v>1942</v>
      </c>
      <c r="CV194" s="1076" t="s">
        <v>1942</v>
      </c>
      <c r="CW194" s="1117" t="s">
        <v>1942</v>
      </c>
      <c r="CX194" s="1075" t="s">
        <v>1942</v>
      </c>
      <c r="CY194" s="1076" t="s">
        <v>1942</v>
      </c>
      <c r="CZ194" s="1076" t="s">
        <v>1942</v>
      </c>
      <c r="DA194" s="1076" t="s">
        <v>1942</v>
      </c>
      <c r="DB194" s="1117" t="s">
        <v>1942</v>
      </c>
      <c r="DC194" s="1076" t="s">
        <v>1942</v>
      </c>
      <c r="DD194" s="1076" t="s">
        <v>1942</v>
      </c>
      <c r="DE194" s="1076" t="s">
        <v>1942</v>
      </c>
      <c r="DF194" s="1076" t="s">
        <v>1942</v>
      </c>
      <c r="DG194" s="1117" t="s">
        <v>1942</v>
      </c>
      <c r="DH194" s="1075" t="s">
        <v>1942</v>
      </c>
      <c r="DI194" s="1076" t="s">
        <v>1942</v>
      </c>
      <c r="DJ194" s="1076" t="s">
        <v>1942</v>
      </c>
      <c r="DK194" s="1076" t="s">
        <v>1942</v>
      </c>
      <c r="DL194" s="1117" t="s">
        <v>1942</v>
      </c>
      <c r="DM194" s="1121">
        <v>-2.4E-2</v>
      </c>
      <c r="DN194" s="1122" t="s">
        <v>1942</v>
      </c>
      <c r="DO194" s="1122" t="s">
        <v>1942</v>
      </c>
      <c r="DP194" s="1123" t="s">
        <v>1942</v>
      </c>
      <c r="DQ194" s="1122" t="s">
        <v>1942</v>
      </c>
      <c r="DR194" s="1122" t="s">
        <v>1942</v>
      </c>
      <c r="DS194" s="1122" t="s">
        <v>1942</v>
      </c>
      <c r="DT194" s="1123" t="s">
        <v>1942</v>
      </c>
      <c r="DU194" s="1119" t="s">
        <v>1942</v>
      </c>
      <c r="DV194" s="1124">
        <v>1</v>
      </c>
      <c r="DW194" s="1125" t="s">
        <v>1942</v>
      </c>
    </row>
    <row r="195" spans="1:127" s="397" customFormat="1" ht="15.75" hidden="1" customHeight="1">
      <c r="A195" s="1097" t="s">
        <v>1068</v>
      </c>
      <c r="B195" s="1057">
        <v>186</v>
      </c>
      <c r="C195" s="1018"/>
      <c r="D195" s="1018"/>
      <c r="E195" s="1018"/>
      <c r="F195" s="1018"/>
      <c r="G195" s="1018"/>
      <c r="H195" s="1018"/>
      <c r="I195" s="1018"/>
      <c r="J195" s="1018"/>
      <c r="K195" s="1018"/>
      <c r="L195" s="1018"/>
      <c r="M195" s="1057"/>
      <c r="N195" s="1018"/>
      <c r="O195" s="1018"/>
      <c r="P195" s="1018"/>
      <c r="Q195" s="1018"/>
      <c r="R195" s="1018"/>
      <c r="S195" s="1018"/>
      <c r="T195" s="1019"/>
      <c r="U195" s="1098" t="s">
        <v>2726</v>
      </c>
      <c r="V195" s="1099" t="s">
        <v>2714</v>
      </c>
      <c r="W195" s="1099" t="s">
        <v>1907</v>
      </c>
      <c r="X195" s="1100" t="s">
        <v>2727</v>
      </c>
      <c r="Y195" s="1101" t="s">
        <v>167</v>
      </c>
      <c r="Z195" s="1102" t="s">
        <v>2728</v>
      </c>
      <c r="AA195" s="1103" t="s">
        <v>1942</v>
      </c>
      <c r="AB195" s="1104">
        <v>1</v>
      </c>
      <c r="AC195" s="1104" t="s">
        <v>1942</v>
      </c>
      <c r="AD195" s="1104" t="s">
        <v>1942</v>
      </c>
      <c r="AE195" s="1104" t="s">
        <v>1942</v>
      </c>
      <c r="AF195" s="1104" t="s">
        <v>1942</v>
      </c>
      <c r="AG195" s="1104" t="s">
        <v>1942</v>
      </c>
      <c r="AH195" s="1104" t="s">
        <v>1942</v>
      </c>
      <c r="AI195" s="1105">
        <f t="shared" si="2"/>
        <v>1</v>
      </c>
      <c r="AJ195" s="1106" t="s">
        <v>1026</v>
      </c>
      <c r="AK195" s="1106" t="s">
        <v>1008</v>
      </c>
      <c r="AL195" s="1106" t="s">
        <v>1009</v>
      </c>
      <c r="AM195" s="1107" t="s">
        <v>2085</v>
      </c>
      <c r="AN195" s="1018" t="s">
        <v>278</v>
      </c>
      <c r="AO195" s="1018" t="s">
        <v>4793</v>
      </c>
      <c r="AP195" s="1307">
        <v>2</v>
      </c>
      <c r="AQ195" s="1076" t="s">
        <v>1020</v>
      </c>
      <c r="AR195" s="1109" t="s">
        <v>167</v>
      </c>
      <c r="AS195" s="1110"/>
      <c r="AT195" s="1100"/>
      <c r="AU195" s="1100"/>
      <c r="AV195" s="1100"/>
      <c r="AW195" s="1111"/>
      <c r="AX195" s="1112"/>
      <c r="AY195" s="1075"/>
      <c r="AZ195" s="1076"/>
      <c r="BA195" s="1076"/>
      <c r="BB195" s="1076"/>
      <c r="BC195" s="1076"/>
      <c r="BD195" s="1076"/>
      <c r="BE195" s="1076"/>
      <c r="BF195" s="1076"/>
      <c r="BG195" s="1126"/>
      <c r="BH195" s="1126"/>
      <c r="BI195" s="1127">
        <v>2.34</v>
      </c>
      <c r="BJ195" s="1126">
        <v>2.34</v>
      </c>
      <c r="BK195" s="1126">
        <v>2.34</v>
      </c>
      <c r="BL195" s="1126">
        <v>2.34</v>
      </c>
      <c r="BM195" s="1126">
        <v>2.34</v>
      </c>
      <c r="BN195" s="1075"/>
      <c r="BO195" s="1076"/>
      <c r="BP195" s="1076"/>
      <c r="BQ195" s="1076"/>
      <c r="BR195" s="1076"/>
      <c r="BS195" s="1115"/>
      <c r="BT195" s="1076"/>
      <c r="BU195" s="1076"/>
      <c r="BV195" s="1076"/>
      <c r="BW195" s="1116"/>
      <c r="BX195" s="1115"/>
      <c r="BY195" s="1076"/>
      <c r="BZ195" s="1076"/>
      <c r="CA195" s="1076"/>
      <c r="CB195" s="1116"/>
      <c r="CC195" s="1117"/>
      <c r="CD195" s="1118" t="s">
        <v>168</v>
      </c>
      <c r="CE195" s="1119" t="s">
        <v>168</v>
      </c>
      <c r="CF195" s="1119" t="s">
        <v>168</v>
      </c>
      <c r="CG195" s="1119" t="s">
        <v>168</v>
      </c>
      <c r="CH195" s="1120" t="s">
        <v>168</v>
      </c>
      <c r="CI195" s="1075" t="s">
        <v>1942</v>
      </c>
      <c r="CJ195" s="1076" t="s">
        <v>1942</v>
      </c>
      <c r="CK195" s="1076" t="s">
        <v>1942</v>
      </c>
      <c r="CL195" s="1076" t="s">
        <v>1942</v>
      </c>
      <c r="CM195" s="1117" t="s">
        <v>1942</v>
      </c>
      <c r="CN195" s="1075">
        <v>4.68</v>
      </c>
      <c r="CO195" s="1076">
        <v>4.68</v>
      </c>
      <c r="CP195" s="1076">
        <v>4.68</v>
      </c>
      <c r="CQ195" s="1076">
        <v>4.68</v>
      </c>
      <c r="CR195" s="1117">
        <v>4.68</v>
      </c>
      <c r="CS195" s="1075" t="s">
        <v>1942</v>
      </c>
      <c r="CT195" s="1076" t="s">
        <v>1942</v>
      </c>
      <c r="CU195" s="1076" t="s">
        <v>1942</v>
      </c>
      <c r="CV195" s="1076" t="s">
        <v>1942</v>
      </c>
      <c r="CW195" s="1117" t="s">
        <v>1942</v>
      </c>
      <c r="CX195" s="1075" t="s">
        <v>1942</v>
      </c>
      <c r="CY195" s="1076" t="s">
        <v>1942</v>
      </c>
      <c r="CZ195" s="1076" t="s">
        <v>1942</v>
      </c>
      <c r="DA195" s="1076" t="s">
        <v>1942</v>
      </c>
      <c r="DB195" s="1117" t="s">
        <v>1942</v>
      </c>
      <c r="DC195" s="1076" t="s">
        <v>1942</v>
      </c>
      <c r="DD195" s="1076" t="s">
        <v>1942</v>
      </c>
      <c r="DE195" s="1076" t="s">
        <v>1942</v>
      </c>
      <c r="DF195" s="1076" t="s">
        <v>1942</v>
      </c>
      <c r="DG195" s="1117" t="s">
        <v>1942</v>
      </c>
      <c r="DH195" s="1075" t="s">
        <v>1942</v>
      </c>
      <c r="DI195" s="1076" t="s">
        <v>1942</v>
      </c>
      <c r="DJ195" s="1076" t="s">
        <v>1942</v>
      </c>
      <c r="DK195" s="1076" t="s">
        <v>1942</v>
      </c>
      <c r="DL195" s="1117" t="s">
        <v>1942</v>
      </c>
      <c r="DM195" s="1121">
        <v>-0.19</v>
      </c>
      <c r="DN195" s="1122" t="s">
        <v>1942</v>
      </c>
      <c r="DO195" s="1122" t="s">
        <v>1942</v>
      </c>
      <c r="DP195" s="1123" t="s">
        <v>1942</v>
      </c>
      <c r="DQ195" s="1122" t="s">
        <v>1942</v>
      </c>
      <c r="DR195" s="1122" t="s">
        <v>1942</v>
      </c>
      <c r="DS195" s="1122" t="s">
        <v>1942</v>
      </c>
      <c r="DT195" s="1123" t="s">
        <v>1942</v>
      </c>
      <c r="DU195" s="1119" t="s">
        <v>1942</v>
      </c>
      <c r="DV195" s="1124">
        <v>1</v>
      </c>
      <c r="DW195" s="1125" t="s">
        <v>1942</v>
      </c>
    </row>
    <row r="196" spans="1:127" s="397" customFormat="1" ht="15.75" hidden="1" customHeight="1">
      <c r="A196" s="1097" t="s">
        <v>1068</v>
      </c>
      <c r="B196" s="1057">
        <v>187</v>
      </c>
      <c r="C196" s="1018"/>
      <c r="D196" s="1018"/>
      <c r="E196" s="1018"/>
      <c r="F196" s="1018"/>
      <c r="G196" s="1018"/>
      <c r="H196" s="1018"/>
      <c r="I196" s="1018"/>
      <c r="J196" s="1018"/>
      <c r="K196" s="1018"/>
      <c r="L196" s="1018"/>
      <c r="M196" s="1057"/>
      <c r="N196" s="1018"/>
      <c r="O196" s="1018"/>
      <c r="P196" s="1018"/>
      <c r="Q196" s="1018"/>
      <c r="R196" s="1018"/>
      <c r="S196" s="1018"/>
      <c r="T196" s="1019"/>
      <c r="U196" s="1098" t="s">
        <v>2730</v>
      </c>
      <c r="V196" s="1099" t="s">
        <v>2714</v>
      </c>
      <c r="W196" s="1099" t="s">
        <v>1896</v>
      </c>
      <c r="X196" s="1100" t="s">
        <v>2731</v>
      </c>
      <c r="Y196" s="1101" t="s">
        <v>2147</v>
      </c>
      <c r="Z196" s="1102" t="s">
        <v>2732</v>
      </c>
      <c r="AA196" s="1103" t="s">
        <v>1942</v>
      </c>
      <c r="AB196" s="1104">
        <v>1</v>
      </c>
      <c r="AC196" s="1104" t="s">
        <v>1942</v>
      </c>
      <c r="AD196" s="1104" t="s">
        <v>1942</v>
      </c>
      <c r="AE196" s="1104" t="s">
        <v>1942</v>
      </c>
      <c r="AF196" s="1104" t="s">
        <v>1942</v>
      </c>
      <c r="AG196" s="1104" t="s">
        <v>1942</v>
      </c>
      <c r="AH196" s="1104" t="s">
        <v>1942</v>
      </c>
      <c r="AI196" s="1105">
        <f t="shared" si="2"/>
        <v>1</v>
      </c>
      <c r="AJ196" s="1106" t="s">
        <v>1026</v>
      </c>
      <c r="AK196" s="1106" t="s">
        <v>1008</v>
      </c>
      <c r="AL196" s="1106" t="s">
        <v>1009</v>
      </c>
      <c r="AM196" s="1107" t="s">
        <v>2149</v>
      </c>
      <c r="AN196" s="1018" t="s">
        <v>396</v>
      </c>
      <c r="AO196" s="1018" t="s">
        <v>4798</v>
      </c>
      <c r="AP196" s="1307">
        <v>2</v>
      </c>
      <c r="AQ196" s="1076" t="s">
        <v>1020</v>
      </c>
      <c r="AR196" s="1109"/>
      <c r="AS196" s="1110"/>
      <c r="AT196" s="1100"/>
      <c r="AU196" s="1100"/>
      <c r="AV196" s="1100"/>
      <c r="AW196" s="1111"/>
      <c r="AX196" s="1112"/>
      <c r="AY196" s="1075"/>
      <c r="AZ196" s="1076"/>
      <c r="BA196" s="1076"/>
      <c r="BB196" s="1076"/>
      <c r="BC196" s="1076"/>
      <c r="BD196" s="1076"/>
      <c r="BE196" s="1076"/>
      <c r="BF196" s="1076"/>
      <c r="BG196" s="1076"/>
      <c r="BH196" s="1076"/>
      <c r="BI196" s="1420"/>
      <c r="BJ196" s="1368"/>
      <c r="BK196" s="1368"/>
      <c r="BL196" s="1368"/>
      <c r="BM196" s="1368"/>
      <c r="BN196" s="1075"/>
      <c r="BO196" s="1076"/>
      <c r="BP196" s="1076"/>
      <c r="BQ196" s="1076"/>
      <c r="BR196" s="1076"/>
      <c r="BS196" s="1115"/>
      <c r="BT196" s="1076"/>
      <c r="BU196" s="1076"/>
      <c r="BV196" s="1076"/>
      <c r="BW196" s="1116"/>
      <c r="BX196" s="1115"/>
      <c r="BY196" s="1076"/>
      <c r="BZ196" s="1076"/>
      <c r="CA196" s="1076"/>
      <c r="CB196" s="1116"/>
      <c r="CC196" s="1117"/>
      <c r="CD196" s="1376"/>
      <c r="CE196" s="1377"/>
      <c r="CF196" s="1377"/>
      <c r="CG196" s="1377"/>
      <c r="CH196" s="1440"/>
      <c r="CI196" s="1420"/>
      <c r="CJ196" s="1368"/>
      <c r="CK196" s="1368"/>
      <c r="CL196" s="1368"/>
      <c r="CM196" s="1369"/>
      <c r="CN196" s="1420"/>
      <c r="CO196" s="1368"/>
      <c r="CP196" s="1368"/>
      <c r="CQ196" s="1368"/>
      <c r="CR196" s="1369"/>
      <c r="CS196" s="1420"/>
      <c r="CT196" s="1368"/>
      <c r="CU196" s="1368"/>
      <c r="CV196" s="1368"/>
      <c r="CW196" s="1369"/>
      <c r="CX196" s="1420"/>
      <c r="CY196" s="1368"/>
      <c r="CZ196" s="1368"/>
      <c r="DA196" s="1368"/>
      <c r="DB196" s="1369"/>
      <c r="DC196" s="1368"/>
      <c r="DD196" s="1368"/>
      <c r="DE196" s="1368"/>
      <c r="DF196" s="1368"/>
      <c r="DG196" s="1369"/>
      <c r="DH196" s="1420"/>
      <c r="DI196" s="1368"/>
      <c r="DJ196" s="1368"/>
      <c r="DK196" s="1368"/>
      <c r="DL196" s="1369"/>
      <c r="DM196" s="1808"/>
      <c r="DN196" s="1809"/>
      <c r="DO196" s="1809"/>
      <c r="DP196" s="1810"/>
      <c r="DQ196" s="1809"/>
      <c r="DR196" s="1809"/>
      <c r="DS196" s="1809"/>
      <c r="DT196" s="1810"/>
      <c r="DU196" s="1377"/>
      <c r="DV196" s="1729"/>
      <c r="DW196" s="1811"/>
    </row>
    <row r="197" spans="1:127" s="397" customFormat="1" ht="15.75" hidden="1" customHeight="1">
      <c r="A197" s="1097" t="s">
        <v>1068</v>
      </c>
      <c r="B197" s="1057">
        <v>188</v>
      </c>
      <c r="C197" s="1018"/>
      <c r="D197" s="1018"/>
      <c r="E197" s="1018"/>
      <c r="F197" s="1018"/>
      <c r="G197" s="1018"/>
      <c r="H197" s="1018"/>
      <c r="I197" s="1018"/>
      <c r="J197" s="1018"/>
      <c r="K197" s="1018"/>
      <c r="L197" s="1018"/>
      <c r="M197" s="1057"/>
      <c r="N197" s="1018"/>
      <c r="O197" s="1018"/>
      <c r="P197" s="1018"/>
      <c r="Q197" s="1018"/>
      <c r="R197" s="1018"/>
      <c r="S197" s="1018"/>
      <c r="T197" s="1019"/>
      <c r="U197" s="1098" t="s">
        <v>2734</v>
      </c>
      <c r="V197" s="1099" t="s">
        <v>2714</v>
      </c>
      <c r="W197" s="1099" t="s">
        <v>1907</v>
      </c>
      <c r="X197" s="1100" t="s">
        <v>2735</v>
      </c>
      <c r="Y197" s="1101" t="s">
        <v>1987</v>
      </c>
      <c r="Z197" s="1102" t="s">
        <v>2736</v>
      </c>
      <c r="AA197" s="1103" t="s">
        <v>1942</v>
      </c>
      <c r="AB197" s="1104">
        <v>1</v>
      </c>
      <c r="AC197" s="1104" t="s">
        <v>1942</v>
      </c>
      <c r="AD197" s="1104" t="s">
        <v>1942</v>
      </c>
      <c r="AE197" s="1104" t="s">
        <v>1942</v>
      </c>
      <c r="AF197" s="1104" t="s">
        <v>1942</v>
      </c>
      <c r="AG197" s="1104" t="s">
        <v>1942</v>
      </c>
      <c r="AH197" s="1104" t="s">
        <v>1942</v>
      </c>
      <c r="AI197" s="1105">
        <f t="shared" si="2"/>
        <v>1</v>
      </c>
      <c r="AJ197" s="1106" t="s">
        <v>1026</v>
      </c>
      <c r="AK197" s="1106" t="s">
        <v>1008</v>
      </c>
      <c r="AL197" s="1106" t="s">
        <v>1009</v>
      </c>
      <c r="AM197" s="1107" t="s">
        <v>1985</v>
      </c>
      <c r="AN197" s="1018" t="s">
        <v>2177</v>
      </c>
      <c r="AO197" s="1018" t="s">
        <v>4796</v>
      </c>
      <c r="AP197" s="1274">
        <v>0</v>
      </c>
      <c r="AQ197" s="1076" t="s">
        <v>1020</v>
      </c>
      <c r="AR197" s="1109"/>
      <c r="AS197" s="1110"/>
      <c r="AT197" s="1100"/>
      <c r="AU197" s="1100"/>
      <c r="AV197" s="1100"/>
      <c r="AW197" s="1111"/>
      <c r="AX197" s="1112"/>
      <c r="AY197" s="1075"/>
      <c r="AZ197" s="1076"/>
      <c r="BA197" s="1076"/>
      <c r="BB197" s="1076"/>
      <c r="BC197" s="1076"/>
      <c r="BD197" s="1076"/>
      <c r="BE197" s="1076"/>
      <c r="BF197" s="1076"/>
      <c r="BG197" s="1076"/>
      <c r="BH197" s="1076"/>
      <c r="BI197" s="1420"/>
      <c r="BJ197" s="1368"/>
      <c r="BK197" s="1368"/>
      <c r="BL197" s="1368"/>
      <c r="BM197" s="1368"/>
      <c r="BN197" s="1075"/>
      <c r="BO197" s="1076"/>
      <c r="BP197" s="1076"/>
      <c r="BQ197" s="1076"/>
      <c r="BR197" s="1076"/>
      <c r="BS197" s="1115"/>
      <c r="BT197" s="1076"/>
      <c r="BU197" s="1076"/>
      <c r="BV197" s="1076"/>
      <c r="BW197" s="1116"/>
      <c r="BX197" s="1115"/>
      <c r="BY197" s="1076"/>
      <c r="BZ197" s="1076"/>
      <c r="CA197" s="1076"/>
      <c r="CB197" s="1116"/>
      <c r="CC197" s="1117"/>
      <c r="CD197" s="1376"/>
      <c r="CE197" s="1377"/>
      <c r="CF197" s="1377"/>
      <c r="CG197" s="1377"/>
      <c r="CH197" s="1440"/>
      <c r="CI197" s="1420"/>
      <c r="CJ197" s="1368"/>
      <c r="CK197" s="1368"/>
      <c r="CL197" s="1368"/>
      <c r="CM197" s="1369"/>
      <c r="CN197" s="1420"/>
      <c r="CO197" s="1368"/>
      <c r="CP197" s="1368"/>
      <c r="CQ197" s="1368"/>
      <c r="CR197" s="1369"/>
      <c r="CS197" s="1420"/>
      <c r="CT197" s="1368"/>
      <c r="CU197" s="1368"/>
      <c r="CV197" s="1368"/>
      <c r="CW197" s="1369"/>
      <c r="CX197" s="1420"/>
      <c r="CY197" s="1368"/>
      <c r="CZ197" s="1368"/>
      <c r="DA197" s="1368"/>
      <c r="DB197" s="1369"/>
      <c r="DC197" s="1368"/>
      <c r="DD197" s="1368"/>
      <c r="DE197" s="1368"/>
      <c r="DF197" s="1368"/>
      <c r="DG197" s="1369"/>
      <c r="DH197" s="1420"/>
      <c r="DI197" s="1368"/>
      <c r="DJ197" s="1368"/>
      <c r="DK197" s="1368"/>
      <c r="DL197" s="1369"/>
      <c r="DM197" s="1808"/>
      <c r="DN197" s="1809"/>
      <c r="DO197" s="1809"/>
      <c r="DP197" s="1810"/>
      <c r="DQ197" s="1809"/>
      <c r="DR197" s="1809"/>
      <c r="DS197" s="1809"/>
      <c r="DT197" s="1810"/>
      <c r="DU197" s="1377"/>
      <c r="DV197" s="1729"/>
      <c r="DW197" s="1811"/>
    </row>
    <row r="198" spans="1:127" s="397" customFormat="1" ht="15.75" hidden="1" customHeight="1">
      <c r="A198" s="1097" t="s">
        <v>1068</v>
      </c>
      <c r="B198" s="1057">
        <v>189</v>
      </c>
      <c r="C198" s="1018"/>
      <c r="D198" s="1018"/>
      <c r="E198" s="1018"/>
      <c r="F198" s="1018"/>
      <c r="G198" s="1018"/>
      <c r="H198" s="1018"/>
      <c r="I198" s="1018"/>
      <c r="J198" s="1018"/>
      <c r="K198" s="1018"/>
      <c r="L198" s="1018"/>
      <c r="M198" s="1057"/>
      <c r="N198" s="1018"/>
      <c r="O198" s="1018"/>
      <c r="P198" s="1018"/>
      <c r="Q198" s="1018"/>
      <c r="R198" s="1018"/>
      <c r="S198" s="1018"/>
      <c r="T198" s="1019"/>
      <c r="U198" s="1098" t="s">
        <v>2738</v>
      </c>
      <c r="V198" s="1099" t="s">
        <v>2739</v>
      </c>
      <c r="W198" s="1099" t="s">
        <v>1907</v>
      </c>
      <c r="X198" s="1100" t="s">
        <v>2740</v>
      </c>
      <c r="Y198" s="1101" t="s">
        <v>2741</v>
      </c>
      <c r="Z198" s="1102" t="s">
        <v>2742</v>
      </c>
      <c r="AA198" s="1103" t="s">
        <v>1942</v>
      </c>
      <c r="AB198" s="1104">
        <v>1</v>
      </c>
      <c r="AC198" s="1104" t="s">
        <v>1942</v>
      </c>
      <c r="AD198" s="1104" t="s">
        <v>1942</v>
      </c>
      <c r="AE198" s="1104" t="s">
        <v>1942</v>
      </c>
      <c r="AF198" s="1104" t="s">
        <v>1942</v>
      </c>
      <c r="AG198" s="1104" t="s">
        <v>1942</v>
      </c>
      <c r="AH198" s="1104" t="s">
        <v>1942</v>
      </c>
      <c r="AI198" s="1105">
        <f t="shared" si="2"/>
        <v>1</v>
      </c>
      <c r="AJ198" s="1106" t="s">
        <v>1030</v>
      </c>
      <c r="AK198" s="1106" t="s">
        <v>1008</v>
      </c>
      <c r="AL198" s="1106" t="s">
        <v>1009</v>
      </c>
      <c r="AM198" s="1107" t="s">
        <v>1967</v>
      </c>
      <c r="AN198" s="1018" t="s">
        <v>1033</v>
      </c>
      <c r="AO198" s="1018" t="s">
        <v>2743</v>
      </c>
      <c r="AP198" s="1274">
        <v>0</v>
      </c>
      <c r="AQ198" s="1076" t="s">
        <v>1010</v>
      </c>
      <c r="AR198" s="1109" t="s">
        <v>1942</v>
      </c>
      <c r="AS198" s="1110"/>
      <c r="AT198" s="1100"/>
      <c r="AU198" s="1100"/>
      <c r="AV198" s="1100"/>
      <c r="AW198" s="1111"/>
      <c r="AX198" s="1112"/>
      <c r="AY198" s="1075"/>
      <c r="AZ198" s="1076"/>
      <c r="BA198" s="1076"/>
      <c r="BB198" s="1076"/>
      <c r="BC198" s="1076"/>
      <c r="BD198" s="1076"/>
      <c r="BE198" s="1076"/>
      <c r="BF198" s="1076"/>
      <c r="BG198" s="1076"/>
      <c r="BH198" s="1076"/>
      <c r="BI198" s="1420"/>
      <c r="BJ198" s="1368"/>
      <c r="BK198" s="1368"/>
      <c r="BL198" s="1368"/>
      <c r="BM198" s="1368"/>
      <c r="BN198" s="1075"/>
      <c r="BO198" s="1076"/>
      <c r="BP198" s="1076"/>
      <c r="BQ198" s="1076"/>
      <c r="BR198" s="1076"/>
      <c r="BS198" s="1115"/>
      <c r="BT198" s="1076"/>
      <c r="BU198" s="1076"/>
      <c r="BV198" s="1076"/>
      <c r="BW198" s="1116"/>
      <c r="BX198" s="1115"/>
      <c r="BY198" s="1076"/>
      <c r="BZ198" s="1076"/>
      <c r="CA198" s="1076"/>
      <c r="CB198" s="1116"/>
      <c r="CC198" s="1117"/>
      <c r="CD198" s="1376"/>
      <c r="CE198" s="1377"/>
      <c r="CF198" s="1377"/>
      <c r="CG198" s="1377"/>
      <c r="CH198" s="1440"/>
      <c r="CI198" s="1420"/>
      <c r="CJ198" s="1368"/>
      <c r="CK198" s="1368"/>
      <c r="CL198" s="1368"/>
      <c r="CM198" s="1369"/>
      <c r="CN198" s="1420"/>
      <c r="CO198" s="1368"/>
      <c r="CP198" s="1368"/>
      <c r="CQ198" s="1368"/>
      <c r="CR198" s="1369"/>
      <c r="CS198" s="1420"/>
      <c r="CT198" s="1368"/>
      <c r="CU198" s="1368"/>
      <c r="CV198" s="1368"/>
      <c r="CW198" s="1369"/>
      <c r="CX198" s="1420"/>
      <c r="CY198" s="1368"/>
      <c r="CZ198" s="1368"/>
      <c r="DA198" s="1368"/>
      <c r="DB198" s="1369"/>
      <c r="DC198" s="1368"/>
      <c r="DD198" s="1368"/>
      <c r="DE198" s="1368"/>
      <c r="DF198" s="1368"/>
      <c r="DG198" s="1369"/>
      <c r="DH198" s="1420"/>
      <c r="DI198" s="1368"/>
      <c r="DJ198" s="1368"/>
      <c r="DK198" s="1368"/>
      <c r="DL198" s="1369"/>
      <c r="DM198" s="1808"/>
      <c r="DN198" s="1809"/>
      <c r="DO198" s="1809"/>
      <c r="DP198" s="1810"/>
      <c r="DQ198" s="1809"/>
      <c r="DR198" s="1809"/>
      <c r="DS198" s="1809"/>
      <c r="DT198" s="1810"/>
      <c r="DU198" s="1377"/>
      <c r="DV198" s="1729"/>
      <c r="DW198" s="1811"/>
    </row>
    <row r="199" spans="1:127" s="397" customFormat="1" ht="15.75" hidden="1" customHeight="1">
      <c r="A199" s="1097" t="s">
        <v>1068</v>
      </c>
      <c r="B199" s="1057">
        <v>190</v>
      </c>
      <c r="C199" s="1018"/>
      <c r="D199" s="1018"/>
      <c r="E199" s="1018"/>
      <c r="F199" s="1018"/>
      <c r="G199" s="1018"/>
      <c r="H199" s="1018"/>
      <c r="I199" s="1018"/>
      <c r="J199" s="1018"/>
      <c r="K199" s="1018"/>
      <c r="L199" s="1018"/>
      <c r="M199" s="1057"/>
      <c r="N199" s="1018"/>
      <c r="O199" s="1018"/>
      <c r="P199" s="1018"/>
      <c r="Q199" s="1018"/>
      <c r="R199" s="1018"/>
      <c r="S199" s="1018"/>
      <c r="T199" s="1019"/>
      <c r="U199" s="1098" t="s">
        <v>2744</v>
      </c>
      <c r="V199" s="1099" t="s">
        <v>2739</v>
      </c>
      <c r="W199" s="1099" t="s">
        <v>1907</v>
      </c>
      <c r="X199" s="1100" t="s">
        <v>2745</v>
      </c>
      <c r="Y199" s="1101" t="s">
        <v>2110</v>
      </c>
      <c r="Z199" s="1102" t="s">
        <v>2746</v>
      </c>
      <c r="AA199" s="1103">
        <v>1</v>
      </c>
      <c r="AB199" s="1104" t="s">
        <v>1942</v>
      </c>
      <c r="AC199" s="1104" t="s">
        <v>1942</v>
      </c>
      <c r="AD199" s="1104" t="s">
        <v>1942</v>
      </c>
      <c r="AE199" s="1104" t="s">
        <v>1942</v>
      </c>
      <c r="AF199" s="1104" t="s">
        <v>1942</v>
      </c>
      <c r="AG199" s="1104" t="s">
        <v>1942</v>
      </c>
      <c r="AH199" s="1104" t="s">
        <v>1942</v>
      </c>
      <c r="AI199" s="1105">
        <f t="shared" si="2"/>
        <v>1</v>
      </c>
      <c r="AJ199" s="1106" t="s">
        <v>1030</v>
      </c>
      <c r="AK199" s="1106" t="s">
        <v>1008</v>
      </c>
      <c r="AL199" s="1106" t="s">
        <v>1009</v>
      </c>
      <c r="AM199" s="1107" t="s">
        <v>1979</v>
      </c>
      <c r="AN199" s="1018" t="s">
        <v>1033</v>
      </c>
      <c r="AO199" s="1018" t="s">
        <v>1980</v>
      </c>
      <c r="AP199" s="1274">
        <v>1</v>
      </c>
      <c r="AQ199" s="1076" t="s">
        <v>1020</v>
      </c>
      <c r="AR199" s="1109" t="s">
        <v>1942</v>
      </c>
      <c r="AS199" s="1110"/>
      <c r="AT199" s="1100"/>
      <c r="AU199" s="1100"/>
      <c r="AV199" s="1100"/>
      <c r="AW199" s="1111"/>
      <c r="AX199" s="1112"/>
      <c r="AY199" s="1075"/>
      <c r="AZ199" s="1076"/>
      <c r="BA199" s="1076"/>
      <c r="BB199" s="1076"/>
      <c r="BC199" s="1076"/>
      <c r="BD199" s="1076"/>
      <c r="BE199" s="1076"/>
      <c r="BF199" s="1076"/>
      <c r="BG199" s="1076"/>
      <c r="BH199" s="1076"/>
      <c r="BI199" s="1420"/>
      <c r="BJ199" s="1368"/>
      <c r="BK199" s="1368"/>
      <c r="BL199" s="1368"/>
      <c r="BM199" s="1368"/>
      <c r="BN199" s="1075"/>
      <c r="BO199" s="1076"/>
      <c r="BP199" s="1076"/>
      <c r="BQ199" s="1076"/>
      <c r="BR199" s="1076"/>
      <c r="BS199" s="1115"/>
      <c r="BT199" s="1076"/>
      <c r="BU199" s="1076"/>
      <c r="BV199" s="1076"/>
      <c r="BW199" s="1116"/>
      <c r="BX199" s="1115"/>
      <c r="BY199" s="1076"/>
      <c r="BZ199" s="1076"/>
      <c r="CA199" s="1076"/>
      <c r="CB199" s="1116"/>
      <c r="CC199" s="1117"/>
      <c r="CD199" s="1376"/>
      <c r="CE199" s="1377"/>
      <c r="CF199" s="1377"/>
      <c r="CG199" s="1377"/>
      <c r="CH199" s="1440"/>
      <c r="CI199" s="1420"/>
      <c r="CJ199" s="1368"/>
      <c r="CK199" s="1368"/>
      <c r="CL199" s="1368"/>
      <c r="CM199" s="1369"/>
      <c r="CN199" s="1420"/>
      <c r="CO199" s="1368"/>
      <c r="CP199" s="1368"/>
      <c r="CQ199" s="1368"/>
      <c r="CR199" s="1369"/>
      <c r="CS199" s="1420"/>
      <c r="CT199" s="1368"/>
      <c r="CU199" s="1368"/>
      <c r="CV199" s="1368"/>
      <c r="CW199" s="1369"/>
      <c r="CX199" s="1420"/>
      <c r="CY199" s="1368"/>
      <c r="CZ199" s="1368"/>
      <c r="DA199" s="1368"/>
      <c r="DB199" s="1369"/>
      <c r="DC199" s="1368"/>
      <c r="DD199" s="1368"/>
      <c r="DE199" s="1368"/>
      <c r="DF199" s="1368"/>
      <c r="DG199" s="1369"/>
      <c r="DH199" s="1420"/>
      <c r="DI199" s="1368"/>
      <c r="DJ199" s="1368"/>
      <c r="DK199" s="1368"/>
      <c r="DL199" s="1369"/>
      <c r="DM199" s="1808"/>
      <c r="DN199" s="1809"/>
      <c r="DO199" s="1809"/>
      <c r="DP199" s="1810"/>
      <c r="DQ199" s="1809"/>
      <c r="DR199" s="1809"/>
      <c r="DS199" s="1809"/>
      <c r="DT199" s="1810"/>
      <c r="DU199" s="1377"/>
      <c r="DV199" s="1729"/>
      <c r="DW199" s="1811"/>
    </row>
    <row r="200" spans="1:127" s="397" customFormat="1" ht="15.75" hidden="1" customHeight="1">
      <c r="A200" s="1097" t="s">
        <v>1068</v>
      </c>
      <c r="B200" s="1057">
        <v>191</v>
      </c>
      <c r="C200" s="1018"/>
      <c r="D200" s="1018"/>
      <c r="E200" s="1018"/>
      <c r="F200" s="1018"/>
      <c r="G200" s="1018"/>
      <c r="H200" s="1018"/>
      <c r="I200" s="1018"/>
      <c r="J200" s="1018"/>
      <c r="K200" s="1018"/>
      <c r="L200" s="1018"/>
      <c r="M200" s="1057"/>
      <c r="N200" s="1018"/>
      <c r="O200" s="1018"/>
      <c r="P200" s="1018"/>
      <c r="Q200" s="1018"/>
      <c r="R200" s="1018"/>
      <c r="S200" s="1018"/>
      <c r="T200" s="1019"/>
      <c r="U200" s="1098" t="s">
        <v>2747</v>
      </c>
      <c r="V200" s="1099" t="s">
        <v>2739</v>
      </c>
      <c r="W200" s="1099" t="s">
        <v>1907</v>
      </c>
      <c r="X200" s="1100" t="s">
        <v>2748</v>
      </c>
      <c r="Y200" s="1101" t="s">
        <v>2749</v>
      </c>
      <c r="Z200" s="1102" t="s">
        <v>2750</v>
      </c>
      <c r="AA200" s="1103" t="s">
        <v>1942</v>
      </c>
      <c r="AB200" s="1104">
        <v>1</v>
      </c>
      <c r="AC200" s="1104" t="s">
        <v>1942</v>
      </c>
      <c r="AD200" s="1104" t="s">
        <v>1942</v>
      </c>
      <c r="AE200" s="1104" t="s">
        <v>1942</v>
      </c>
      <c r="AF200" s="1104" t="s">
        <v>1942</v>
      </c>
      <c r="AG200" s="1104" t="s">
        <v>1942</v>
      </c>
      <c r="AH200" s="1104" t="s">
        <v>1942</v>
      </c>
      <c r="AI200" s="1105">
        <f t="shared" si="2"/>
        <v>1</v>
      </c>
      <c r="AJ200" s="1106" t="s">
        <v>1030</v>
      </c>
      <c r="AK200" s="1106" t="s">
        <v>1942</v>
      </c>
      <c r="AL200" s="1106" t="s">
        <v>1942</v>
      </c>
      <c r="AM200" s="1107" t="s">
        <v>2289</v>
      </c>
      <c r="AN200" s="1018" t="s">
        <v>123</v>
      </c>
      <c r="AO200" s="1018" t="s">
        <v>2752</v>
      </c>
      <c r="AP200" s="1274">
        <v>3</v>
      </c>
      <c r="AQ200" s="1076" t="s">
        <v>1010</v>
      </c>
      <c r="AR200" s="1109" t="s">
        <v>1942</v>
      </c>
      <c r="AS200" s="1110"/>
      <c r="AT200" s="1100"/>
      <c r="AU200" s="1100"/>
      <c r="AV200" s="1100"/>
      <c r="AW200" s="1111"/>
      <c r="AX200" s="1112"/>
      <c r="AY200" s="1075"/>
      <c r="AZ200" s="1076"/>
      <c r="BA200" s="1076"/>
      <c r="BB200" s="1076"/>
      <c r="BC200" s="1076"/>
      <c r="BD200" s="1076"/>
      <c r="BE200" s="1076"/>
      <c r="BF200" s="1076"/>
      <c r="BG200" s="1076"/>
      <c r="BH200" s="1076"/>
      <c r="BI200" s="1420"/>
      <c r="BJ200" s="1368"/>
      <c r="BK200" s="1368"/>
      <c r="BL200" s="1368"/>
      <c r="BM200" s="1368"/>
      <c r="BN200" s="1075"/>
      <c r="BO200" s="1076"/>
      <c r="BP200" s="1076"/>
      <c r="BQ200" s="1076"/>
      <c r="BR200" s="1076"/>
      <c r="BS200" s="1115"/>
      <c r="BT200" s="1076"/>
      <c r="BU200" s="1076"/>
      <c r="BV200" s="1076"/>
      <c r="BW200" s="1116"/>
      <c r="BX200" s="1115"/>
      <c r="BY200" s="1076"/>
      <c r="BZ200" s="1076"/>
      <c r="CA200" s="1076"/>
      <c r="CB200" s="1116"/>
      <c r="CC200" s="1117"/>
      <c r="CD200" s="1376"/>
      <c r="CE200" s="1377"/>
      <c r="CF200" s="1377"/>
      <c r="CG200" s="1377"/>
      <c r="CH200" s="1440"/>
      <c r="CI200" s="1420"/>
      <c r="CJ200" s="1368"/>
      <c r="CK200" s="1368"/>
      <c r="CL200" s="1368"/>
      <c r="CM200" s="1369"/>
      <c r="CN200" s="1420"/>
      <c r="CO200" s="1368"/>
      <c r="CP200" s="1368"/>
      <c r="CQ200" s="1368"/>
      <c r="CR200" s="1369"/>
      <c r="CS200" s="1420"/>
      <c r="CT200" s="1368"/>
      <c r="CU200" s="1368"/>
      <c r="CV200" s="1368"/>
      <c r="CW200" s="1369"/>
      <c r="CX200" s="1420"/>
      <c r="CY200" s="1368"/>
      <c r="CZ200" s="1368"/>
      <c r="DA200" s="1368"/>
      <c r="DB200" s="1369"/>
      <c r="DC200" s="1368"/>
      <c r="DD200" s="1368"/>
      <c r="DE200" s="1368"/>
      <c r="DF200" s="1368"/>
      <c r="DG200" s="1369"/>
      <c r="DH200" s="1420"/>
      <c r="DI200" s="1368"/>
      <c r="DJ200" s="1368"/>
      <c r="DK200" s="1368"/>
      <c r="DL200" s="1369"/>
      <c r="DM200" s="1808"/>
      <c r="DN200" s="1809"/>
      <c r="DO200" s="1809"/>
      <c r="DP200" s="1810"/>
      <c r="DQ200" s="1809"/>
      <c r="DR200" s="1809"/>
      <c r="DS200" s="1809"/>
      <c r="DT200" s="1810"/>
      <c r="DU200" s="1377"/>
      <c r="DV200" s="1729"/>
      <c r="DW200" s="1811"/>
    </row>
    <row r="201" spans="1:127" s="397" customFormat="1" ht="15.75" hidden="1" customHeight="1">
      <c r="A201" s="1097" t="s">
        <v>1068</v>
      </c>
      <c r="B201" s="1057">
        <v>192</v>
      </c>
      <c r="C201" s="1018"/>
      <c r="D201" s="1018"/>
      <c r="E201" s="1018"/>
      <c r="F201" s="1018"/>
      <c r="G201" s="1018"/>
      <c r="H201" s="1018"/>
      <c r="I201" s="1018"/>
      <c r="J201" s="1018"/>
      <c r="K201" s="1018"/>
      <c r="L201" s="1018"/>
      <c r="M201" s="1057"/>
      <c r="N201" s="1018"/>
      <c r="O201" s="1018"/>
      <c r="P201" s="1018"/>
      <c r="Q201" s="1018"/>
      <c r="R201" s="1018"/>
      <c r="S201" s="1018"/>
      <c r="T201" s="1019"/>
      <c r="U201" s="1098" t="s">
        <v>2753</v>
      </c>
      <c r="V201" s="1099" t="s">
        <v>2739</v>
      </c>
      <c r="W201" s="1099" t="s">
        <v>1889</v>
      </c>
      <c r="X201" s="1100" t="s">
        <v>2754</v>
      </c>
      <c r="Y201" s="1101" t="s">
        <v>2755</v>
      </c>
      <c r="Z201" s="1102" t="s">
        <v>2756</v>
      </c>
      <c r="AA201" s="1103" t="s">
        <v>1942</v>
      </c>
      <c r="AB201" s="1104">
        <v>1</v>
      </c>
      <c r="AC201" s="1104" t="s">
        <v>1942</v>
      </c>
      <c r="AD201" s="1104" t="s">
        <v>1942</v>
      </c>
      <c r="AE201" s="1104" t="s">
        <v>1942</v>
      </c>
      <c r="AF201" s="1104" t="s">
        <v>1942</v>
      </c>
      <c r="AG201" s="1104" t="s">
        <v>1942</v>
      </c>
      <c r="AH201" s="1104" t="s">
        <v>1942</v>
      </c>
      <c r="AI201" s="1105">
        <f t="shared" si="2"/>
        <v>1</v>
      </c>
      <c r="AJ201" s="1106" t="s">
        <v>1026</v>
      </c>
      <c r="AK201" s="1106" t="s">
        <v>1008</v>
      </c>
      <c r="AL201" s="1106" t="s">
        <v>1009</v>
      </c>
      <c r="AM201" s="1107" t="s">
        <v>2289</v>
      </c>
      <c r="AN201" s="1018" t="s">
        <v>278</v>
      </c>
      <c r="AO201" s="1018" t="s">
        <v>2757</v>
      </c>
      <c r="AP201" s="1274">
        <v>1</v>
      </c>
      <c r="AQ201" s="1076" t="s">
        <v>1010</v>
      </c>
      <c r="AR201" s="1109" t="s">
        <v>1942</v>
      </c>
      <c r="AS201" s="1110"/>
      <c r="AT201" s="1100"/>
      <c r="AU201" s="1100"/>
      <c r="AV201" s="1100"/>
      <c r="AW201" s="1111"/>
      <c r="AX201" s="1112"/>
      <c r="AY201" s="1075"/>
      <c r="AZ201" s="1076"/>
      <c r="BA201" s="1076"/>
      <c r="BB201" s="1076"/>
      <c r="BC201" s="1076"/>
      <c r="BD201" s="1076"/>
      <c r="BE201" s="1076"/>
      <c r="BF201" s="1076"/>
      <c r="BG201" s="1076"/>
      <c r="BH201" s="1076"/>
      <c r="BI201" s="1420"/>
      <c r="BJ201" s="1368"/>
      <c r="BK201" s="1368"/>
      <c r="BL201" s="1368"/>
      <c r="BM201" s="1368"/>
      <c r="BN201" s="1075"/>
      <c r="BO201" s="1076"/>
      <c r="BP201" s="1076"/>
      <c r="BQ201" s="1076"/>
      <c r="BR201" s="1076"/>
      <c r="BS201" s="1115"/>
      <c r="BT201" s="1076"/>
      <c r="BU201" s="1076"/>
      <c r="BV201" s="1076"/>
      <c r="BW201" s="1116"/>
      <c r="BX201" s="1115"/>
      <c r="BY201" s="1076"/>
      <c r="BZ201" s="1076"/>
      <c r="CA201" s="1076"/>
      <c r="CB201" s="1116"/>
      <c r="CC201" s="1117"/>
      <c r="CD201" s="1376"/>
      <c r="CE201" s="1377"/>
      <c r="CF201" s="1377"/>
      <c r="CG201" s="1377"/>
      <c r="CH201" s="1440"/>
      <c r="CI201" s="1420"/>
      <c r="CJ201" s="1368"/>
      <c r="CK201" s="1368"/>
      <c r="CL201" s="1368"/>
      <c r="CM201" s="1369"/>
      <c r="CN201" s="1420"/>
      <c r="CO201" s="1368"/>
      <c r="CP201" s="1368"/>
      <c r="CQ201" s="1368"/>
      <c r="CR201" s="1369"/>
      <c r="CS201" s="1420"/>
      <c r="CT201" s="1368"/>
      <c r="CU201" s="1368"/>
      <c r="CV201" s="1368"/>
      <c r="CW201" s="1369"/>
      <c r="CX201" s="1420"/>
      <c r="CY201" s="1368"/>
      <c r="CZ201" s="1368"/>
      <c r="DA201" s="1368"/>
      <c r="DB201" s="1369"/>
      <c r="DC201" s="1368"/>
      <c r="DD201" s="1368"/>
      <c r="DE201" s="1368"/>
      <c r="DF201" s="1368"/>
      <c r="DG201" s="1369"/>
      <c r="DH201" s="1420"/>
      <c r="DI201" s="1368"/>
      <c r="DJ201" s="1368"/>
      <c r="DK201" s="1368"/>
      <c r="DL201" s="1369"/>
      <c r="DM201" s="1808"/>
      <c r="DN201" s="1809"/>
      <c r="DO201" s="1809"/>
      <c r="DP201" s="1810"/>
      <c r="DQ201" s="1809"/>
      <c r="DR201" s="1809"/>
      <c r="DS201" s="1809"/>
      <c r="DT201" s="1810"/>
      <c r="DU201" s="1377"/>
      <c r="DV201" s="1729"/>
      <c r="DW201" s="1811"/>
    </row>
    <row r="202" spans="1:127" s="397" customFormat="1" ht="15.75" hidden="1" customHeight="1">
      <c r="A202" s="1097" t="s">
        <v>1068</v>
      </c>
      <c r="B202" s="1057">
        <v>193</v>
      </c>
      <c r="C202" s="1018"/>
      <c r="D202" s="1018"/>
      <c r="E202" s="1018"/>
      <c r="F202" s="1018"/>
      <c r="G202" s="1018"/>
      <c r="H202" s="1018"/>
      <c r="I202" s="1018"/>
      <c r="J202" s="1018"/>
      <c r="K202" s="1018"/>
      <c r="L202" s="1018"/>
      <c r="M202" s="1057"/>
      <c r="N202" s="1018"/>
      <c r="O202" s="1018"/>
      <c r="P202" s="1018"/>
      <c r="Q202" s="1018"/>
      <c r="R202" s="1018"/>
      <c r="S202" s="1018"/>
      <c r="T202" s="1019"/>
      <c r="U202" s="1098" t="s">
        <v>2758</v>
      </c>
      <c r="V202" s="1099" t="s">
        <v>2759</v>
      </c>
      <c r="W202" s="1099" t="s">
        <v>1907</v>
      </c>
      <c r="X202" s="1100" t="s">
        <v>2760</v>
      </c>
      <c r="Y202" s="1101" t="s">
        <v>2761</v>
      </c>
      <c r="Z202" s="1102" t="s">
        <v>2762</v>
      </c>
      <c r="AA202" s="1103" t="s">
        <v>1942</v>
      </c>
      <c r="AB202" s="1104" t="s">
        <v>1942</v>
      </c>
      <c r="AC202" s="1104" t="s">
        <v>1942</v>
      </c>
      <c r="AD202" s="1104" t="s">
        <v>1942</v>
      </c>
      <c r="AE202" s="1104">
        <v>1</v>
      </c>
      <c r="AF202" s="1104" t="s">
        <v>1942</v>
      </c>
      <c r="AG202" s="1104" t="s">
        <v>1942</v>
      </c>
      <c r="AH202" s="1104" t="s">
        <v>1942</v>
      </c>
      <c r="AI202" s="1105">
        <f t="shared" ref="AI202:AI265" si="3">SUM(AA202:AH202)</f>
        <v>1</v>
      </c>
      <c r="AJ202" s="1106" t="s">
        <v>1030</v>
      </c>
      <c r="AK202" s="1106" t="s">
        <v>1008</v>
      </c>
      <c r="AL202" s="1106" t="s">
        <v>1009</v>
      </c>
      <c r="AM202" s="1107" t="s">
        <v>2763</v>
      </c>
      <c r="AN202" s="1018" t="s">
        <v>278</v>
      </c>
      <c r="AO202" s="1018" t="s">
        <v>2430</v>
      </c>
      <c r="AP202" s="1274">
        <v>2</v>
      </c>
      <c r="AQ202" s="1076" t="s">
        <v>1020</v>
      </c>
      <c r="AR202" s="1109" t="s">
        <v>1942</v>
      </c>
      <c r="AS202" s="1110"/>
      <c r="AT202" s="1100"/>
      <c r="AU202" s="1100"/>
      <c r="AV202" s="1100"/>
      <c r="AW202" s="1111"/>
      <c r="AX202" s="1112"/>
      <c r="AY202" s="1075"/>
      <c r="AZ202" s="1076"/>
      <c r="BA202" s="1076"/>
      <c r="BB202" s="1076"/>
      <c r="BC202" s="1076"/>
      <c r="BD202" s="1076"/>
      <c r="BE202" s="1076"/>
      <c r="BF202" s="1076"/>
      <c r="BG202" s="1076"/>
      <c r="BH202" s="1076"/>
      <c r="BI202" s="1420"/>
      <c r="BJ202" s="1368"/>
      <c r="BK202" s="1368"/>
      <c r="BL202" s="1368"/>
      <c r="BM202" s="1368"/>
      <c r="BN202" s="1075"/>
      <c r="BO202" s="1076"/>
      <c r="BP202" s="1076"/>
      <c r="BQ202" s="1076"/>
      <c r="BR202" s="1076"/>
      <c r="BS202" s="1115"/>
      <c r="BT202" s="1076"/>
      <c r="BU202" s="1076"/>
      <c r="BV202" s="1076"/>
      <c r="BW202" s="1116"/>
      <c r="BX202" s="1115"/>
      <c r="BY202" s="1076"/>
      <c r="BZ202" s="1076"/>
      <c r="CA202" s="1076"/>
      <c r="CB202" s="1116"/>
      <c r="CC202" s="1117"/>
      <c r="CD202" s="1376"/>
      <c r="CE202" s="1377"/>
      <c r="CF202" s="1377"/>
      <c r="CG202" s="1377"/>
      <c r="CH202" s="1440"/>
      <c r="CI202" s="1420"/>
      <c r="CJ202" s="1368"/>
      <c r="CK202" s="1368"/>
      <c r="CL202" s="1368"/>
      <c r="CM202" s="1369"/>
      <c r="CN202" s="1420"/>
      <c r="CO202" s="1368"/>
      <c r="CP202" s="1368"/>
      <c r="CQ202" s="1368"/>
      <c r="CR202" s="1369"/>
      <c r="CS202" s="1420"/>
      <c r="CT202" s="1368"/>
      <c r="CU202" s="1368"/>
      <c r="CV202" s="1368"/>
      <c r="CW202" s="1369"/>
      <c r="CX202" s="1420"/>
      <c r="CY202" s="1368"/>
      <c r="CZ202" s="1368"/>
      <c r="DA202" s="1368"/>
      <c r="DB202" s="1369"/>
      <c r="DC202" s="1368"/>
      <c r="DD202" s="1368"/>
      <c r="DE202" s="1368"/>
      <c r="DF202" s="1368"/>
      <c r="DG202" s="1369"/>
      <c r="DH202" s="1420"/>
      <c r="DI202" s="1368"/>
      <c r="DJ202" s="1368"/>
      <c r="DK202" s="1368"/>
      <c r="DL202" s="1369"/>
      <c r="DM202" s="1808"/>
      <c r="DN202" s="1809"/>
      <c r="DO202" s="1809"/>
      <c r="DP202" s="1810"/>
      <c r="DQ202" s="1809"/>
      <c r="DR202" s="1809"/>
      <c r="DS202" s="1809"/>
      <c r="DT202" s="1810"/>
      <c r="DU202" s="1377"/>
      <c r="DV202" s="1729"/>
      <c r="DW202" s="1811"/>
    </row>
    <row r="203" spans="1:127" s="397" customFormat="1" ht="15.75" hidden="1" customHeight="1">
      <c r="A203" s="1097" t="s">
        <v>1068</v>
      </c>
      <c r="B203" s="1057">
        <v>194</v>
      </c>
      <c r="C203" s="1018"/>
      <c r="D203" s="1018"/>
      <c r="E203" s="1018"/>
      <c r="F203" s="1018"/>
      <c r="G203" s="1018"/>
      <c r="H203" s="1018"/>
      <c r="I203" s="1018"/>
      <c r="J203" s="1018"/>
      <c r="K203" s="1018"/>
      <c r="L203" s="1018"/>
      <c r="M203" s="1057"/>
      <c r="N203" s="1018"/>
      <c r="O203" s="1018"/>
      <c r="P203" s="1018"/>
      <c r="Q203" s="1018"/>
      <c r="R203" s="1018"/>
      <c r="S203" s="1018"/>
      <c r="T203" s="1019"/>
      <c r="U203" s="1098" t="s">
        <v>2764</v>
      </c>
      <c r="V203" s="1099" t="s">
        <v>2759</v>
      </c>
      <c r="W203" s="1099" t="s">
        <v>1907</v>
      </c>
      <c r="X203" s="1100" t="s">
        <v>2765</v>
      </c>
      <c r="Y203" s="1101" t="s">
        <v>2766</v>
      </c>
      <c r="Z203" s="1102" t="s">
        <v>2767</v>
      </c>
      <c r="AA203" s="1103" t="s">
        <v>1942</v>
      </c>
      <c r="AB203" s="1104" t="s">
        <v>1942</v>
      </c>
      <c r="AC203" s="1104" t="s">
        <v>1942</v>
      </c>
      <c r="AD203" s="1104" t="s">
        <v>1942</v>
      </c>
      <c r="AE203" s="1104">
        <v>1</v>
      </c>
      <c r="AF203" s="1104" t="s">
        <v>1942</v>
      </c>
      <c r="AG203" s="1104" t="s">
        <v>1942</v>
      </c>
      <c r="AH203" s="1104" t="s">
        <v>1942</v>
      </c>
      <c r="AI203" s="1105">
        <f t="shared" si="3"/>
        <v>1</v>
      </c>
      <c r="AJ203" s="1106" t="s">
        <v>1026</v>
      </c>
      <c r="AK203" s="1106" t="s">
        <v>1008</v>
      </c>
      <c r="AL203" s="1106" t="s">
        <v>1009</v>
      </c>
      <c r="AM203" s="1107" t="s">
        <v>2029</v>
      </c>
      <c r="AN203" s="1018" t="s">
        <v>1033</v>
      </c>
      <c r="AO203" s="1018" t="s">
        <v>2768</v>
      </c>
      <c r="AP203" s="1274">
        <v>0</v>
      </c>
      <c r="AQ203" s="1076" t="s">
        <v>1010</v>
      </c>
      <c r="AR203" s="1109" t="s">
        <v>1942</v>
      </c>
      <c r="AS203" s="1110"/>
      <c r="AT203" s="1100"/>
      <c r="AU203" s="1100"/>
      <c r="AV203" s="1100"/>
      <c r="AW203" s="1111"/>
      <c r="AX203" s="1112"/>
      <c r="AY203" s="1075"/>
      <c r="AZ203" s="1076"/>
      <c r="BA203" s="1076"/>
      <c r="BB203" s="1076"/>
      <c r="BC203" s="1076"/>
      <c r="BD203" s="1076"/>
      <c r="BE203" s="1076"/>
      <c r="BF203" s="1076"/>
      <c r="BG203" s="1076"/>
      <c r="BH203" s="1076"/>
      <c r="BI203" s="1420"/>
      <c r="BJ203" s="1368"/>
      <c r="BK203" s="1368"/>
      <c r="BL203" s="1368"/>
      <c r="BM203" s="1368"/>
      <c r="BN203" s="1075"/>
      <c r="BO203" s="1076"/>
      <c r="BP203" s="1076"/>
      <c r="BQ203" s="1076"/>
      <c r="BR203" s="1076"/>
      <c r="BS203" s="1115"/>
      <c r="BT203" s="1076"/>
      <c r="BU203" s="1076"/>
      <c r="BV203" s="1076"/>
      <c r="BW203" s="1116"/>
      <c r="BX203" s="1115"/>
      <c r="BY203" s="1076"/>
      <c r="BZ203" s="1076"/>
      <c r="CA203" s="1076"/>
      <c r="CB203" s="1116"/>
      <c r="CC203" s="1117"/>
      <c r="CD203" s="1376"/>
      <c r="CE203" s="1377"/>
      <c r="CF203" s="1377"/>
      <c r="CG203" s="1377"/>
      <c r="CH203" s="1440"/>
      <c r="CI203" s="1420"/>
      <c r="CJ203" s="1368"/>
      <c r="CK203" s="1368"/>
      <c r="CL203" s="1368"/>
      <c r="CM203" s="1369"/>
      <c r="CN203" s="1420"/>
      <c r="CO203" s="1368"/>
      <c r="CP203" s="1368"/>
      <c r="CQ203" s="1368"/>
      <c r="CR203" s="1369"/>
      <c r="CS203" s="1420"/>
      <c r="CT203" s="1368"/>
      <c r="CU203" s="1368"/>
      <c r="CV203" s="1368"/>
      <c r="CW203" s="1369"/>
      <c r="CX203" s="1420"/>
      <c r="CY203" s="1368"/>
      <c r="CZ203" s="1368"/>
      <c r="DA203" s="1368"/>
      <c r="DB203" s="1369"/>
      <c r="DC203" s="1368"/>
      <c r="DD203" s="1368"/>
      <c r="DE203" s="1368"/>
      <c r="DF203" s="1368"/>
      <c r="DG203" s="1369"/>
      <c r="DH203" s="1420"/>
      <c r="DI203" s="1368"/>
      <c r="DJ203" s="1368"/>
      <c r="DK203" s="1368"/>
      <c r="DL203" s="1369"/>
      <c r="DM203" s="1808"/>
      <c r="DN203" s="1809"/>
      <c r="DO203" s="1809"/>
      <c r="DP203" s="1810"/>
      <c r="DQ203" s="1809"/>
      <c r="DR203" s="1809"/>
      <c r="DS203" s="1809"/>
      <c r="DT203" s="1810"/>
      <c r="DU203" s="1377"/>
      <c r="DV203" s="1729"/>
      <c r="DW203" s="1811"/>
    </row>
    <row r="204" spans="1:127" s="397" customFormat="1" ht="15.75" hidden="1" customHeight="1">
      <c r="A204" s="1097" t="s">
        <v>1068</v>
      </c>
      <c r="B204" s="1057">
        <v>195</v>
      </c>
      <c r="C204" s="1018"/>
      <c r="D204" s="1018"/>
      <c r="E204" s="1018"/>
      <c r="F204" s="1018"/>
      <c r="G204" s="1018"/>
      <c r="H204" s="1018"/>
      <c r="I204" s="1018"/>
      <c r="J204" s="1018"/>
      <c r="K204" s="1018"/>
      <c r="L204" s="1018"/>
      <c r="M204" s="1057"/>
      <c r="N204" s="1018"/>
      <c r="O204" s="1018"/>
      <c r="P204" s="1018"/>
      <c r="Q204" s="1018"/>
      <c r="R204" s="1018"/>
      <c r="S204" s="1018"/>
      <c r="T204" s="1019"/>
      <c r="U204" s="1098" t="s">
        <v>2769</v>
      </c>
      <c r="V204" s="1099" t="s">
        <v>2759</v>
      </c>
      <c r="W204" s="1099" t="s">
        <v>1907</v>
      </c>
      <c r="X204" s="1100" t="s">
        <v>2770</v>
      </c>
      <c r="Y204" s="1101" t="s">
        <v>1931</v>
      </c>
      <c r="Z204" s="1102" t="s">
        <v>2771</v>
      </c>
      <c r="AA204" s="1103" t="s">
        <v>1942</v>
      </c>
      <c r="AB204" s="1104" t="s">
        <v>1942</v>
      </c>
      <c r="AC204" s="1104" t="s">
        <v>1942</v>
      </c>
      <c r="AD204" s="1104" t="s">
        <v>1942</v>
      </c>
      <c r="AE204" s="1104">
        <v>1</v>
      </c>
      <c r="AF204" s="1104" t="s">
        <v>1942</v>
      </c>
      <c r="AG204" s="1104" t="s">
        <v>1942</v>
      </c>
      <c r="AH204" s="1104" t="s">
        <v>1942</v>
      </c>
      <c r="AI204" s="1105">
        <f t="shared" si="3"/>
        <v>1</v>
      </c>
      <c r="AJ204" s="1106" t="s">
        <v>1030</v>
      </c>
      <c r="AK204" s="1106" t="s">
        <v>1008</v>
      </c>
      <c r="AL204" s="1106" t="s">
        <v>1009</v>
      </c>
      <c r="AM204" s="1107" t="s">
        <v>1069</v>
      </c>
      <c r="AN204" s="1018" t="s">
        <v>1081</v>
      </c>
      <c r="AO204" s="1018" t="s">
        <v>2772</v>
      </c>
      <c r="AP204" s="1274">
        <v>2</v>
      </c>
      <c r="AQ204" s="1076" t="s">
        <v>1010</v>
      </c>
      <c r="AR204" s="1109" t="s">
        <v>1931</v>
      </c>
      <c r="AS204" s="1110"/>
      <c r="AT204" s="1100"/>
      <c r="AU204" s="1100"/>
      <c r="AV204" s="1100"/>
      <c r="AW204" s="1111"/>
      <c r="AX204" s="1112"/>
      <c r="AY204" s="1075"/>
      <c r="AZ204" s="1076"/>
      <c r="BA204" s="1076"/>
      <c r="BB204" s="1076"/>
      <c r="BC204" s="1076"/>
      <c r="BD204" s="1076"/>
      <c r="BE204" s="1076"/>
      <c r="BF204" s="1076"/>
      <c r="BG204" s="1076"/>
      <c r="BH204" s="1076"/>
      <c r="BI204" s="1075" t="s">
        <v>1942</v>
      </c>
      <c r="BJ204" s="1076" t="s">
        <v>1942</v>
      </c>
      <c r="BK204" s="1076" t="s">
        <v>1942</v>
      </c>
      <c r="BL204" s="1076" t="s">
        <v>1942</v>
      </c>
      <c r="BM204" s="1076" t="s">
        <v>1942</v>
      </c>
      <c r="BN204" s="1075"/>
      <c r="BO204" s="1076"/>
      <c r="BP204" s="1076"/>
      <c r="BQ204" s="1076"/>
      <c r="BR204" s="1076"/>
      <c r="BS204" s="1115"/>
      <c r="BT204" s="1076"/>
      <c r="BU204" s="1076"/>
      <c r="BV204" s="1076"/>
      <c r="BW204" s="1116"/>
      <c r="BX204" s="1115"/>
      <c r="BY204" s="1076"/>
      <c r="BZ204" s="1076"/>
      <c r="CA204" s="1076"/>
      <c r="CB204" s="1116"/>
      <c r="CC204" s="1117"/>
      <c r="CD204" s="1118" t="s">
        <v>168</v>
      </c>
      <c r="CE204" s="1119" t="s">
        <v>168</v>
      </c>
      <c r="CF204" s="1119" t="s">
        <v>168</v>
      </c>
      <c r="CG204" s="1119" t="s">
        <v>168</v>
      </c>
      <c r="CH204" s="1120" t="s">
        <v>168</v>
      </c>
      <c r="CI204" s="1075" t="s">
        <v>1942</v>
      </c>
      <c r="CJ204" s="1076" t="s">
        <v>1942</v>
      </c>
      <c r="CK204" s="1076" t="s">
        <v>1942</v>
      </c>
      <c r="CL204" s="1076" t="s">
        <v>1942</v>
      </c>
      <c r="CM204" s="1117" t="s">
        <v>1942</v>
      </c>
      <c r="CN204" s="1075" t="s">
        <v>1942</v>
      </c>
      <c r="CO204" s="1076" t="s">
        <v>1942</v>
      </c>
      <c r="CP204" s="1076" t="s">
        <v>1942</v>
      </c>
      <c r="CQ204" s="1076" t="s">
        <v>1942</v>
      </c>
      <c r="CR204" s="1117" t="s">
        <v>1942</v>
      </c>
      <c r="CS204" s="1075" t="s">
        <v>1942</v>
      </c>
      <c r="CT204" s="1076" t="s">
        <v>1942</v>
      </c>
      <c r="CU204" s="1076" t="s">
        <v>1942</v>
      </c>
      <c r="CV204" s="1076" t="s">
        <v>1942</v>
      </c>
      <c r="CW204" s="1117" t="s">
        <v>1942</v>
      </c>
      <c r="CX204" s="1075" t="s">
        <v>1942</v>
      </c>
      <c r="CY204" s="1076" t="s">
        <v>1942</v>
      </c>
      <c r="CZ204" s="1076" t="s">
        <v>1942</v>
      </c>
      <c r="DA204" s="1076" t="s">
        <v>1942</v>
      </c>
      <c r="DB204" s="1117" t="s">
        <v>1942</v>
      </c>
      <c r="DC204" s="1076" t="s">
        <v>1942</v>
      </c>
      <c r="DD204" s="1076" t="s">
        <v>1942</v>
      </c>
      <c r="DE204" s="1076" t="s">
        <v>1942</v>
      </c>
      <c r="DF204" s="1076" t="s">
        <v>1942</v>
      </c>
      <c r="DG204" s="1117" t="s">
        <v>1942</v>
      </c>
      <c r="DH204" s="1075" t="s">
        <v>1942</v>
      </c>
      <c r="DI204" s="1076" t="s">
        <v>1942</v>
      </c>
      <c r="DJ204" s="1076" t="s">
        <v>1942</v>
      </c>
      <c r="DK204" s="1076" t="s">
        <v>1942</v>
      </c>
      <c r="DL204" s="1117" t="s">
        <v>1942</v>
      </c>
      <c r="DM204" s="1121" t="s">
        <v>1942</v>
      </c>
      <c r="DN204" s="1122" t="s">
        <v>1942</v>
      </c>
      <c r="DO204" s="1122" t="s">
        <v>1942</v>
      </c>
      <c r="DP204" s="1123" t="s">
        <v>1942</v>
      </c>
      <c r="DQ204" s="1122" t="s">
        <v>1942</v>
      </c>
      <c r="DR204" s="1122" t="s">
        <v>1942</v>
      </c>
      <c r="DS204" s="1122" t="s">
        <v>1942</v>
      </c>
      <c r="DT204" s="1123" t="s">
        <v>1942</v>
      </c>
      <c r="DU204" s="1119" t="s">
        <v>1942</v>
      </c>
      <c r="DV204" s="1124">
        <v>1</v>
      </c>
      <c r="DW204" s="1125" t="s">
        <v>1942</v>
      </c>
    </row>
    <row r="205" spans="1:127" s="397" customFormat="1" ht="15.75" hidden="1" customHeight="1">
      <c r="A205" s="1097" t="s">
        <v>1068</v>
      </c>
      <c r="B205" s="1057">
        <v>196</v>
      </c>
      <c r="C205" s="1018"/>
      <c r="D205" s="1018"/>
      <c r="E205" s="1018"/>
      <c r="F205" s="1018"/>
      <c r="G205" s="1018"/>
      <c r="H205" s="1018"/>
      <c r="I205" s="1018"/>
      <c r="J205" s="1018"/>
      <c r="K205" s="1018"/>
      <c r="L205" s="1018"/>
      <c r="M205" s="1057"/>
      <c r="N205" s="1018"/>
      <c r="O205" s="1018"/>
      <c r="P205" s="1018"/>
      <c r="Q205" s="1018"/>
      <c r="R205" s="1018"/>
      <c r="S205" s="1018"/>
      <c r="T205" s="1019"/>
      <c r="U205" s="1098" t="s">
        <v>2773</v>
      </c>
      <c r="V205" s="1099" t="s">
        <v>2759</v>
      </c>
      <c r="W205" s="1099" t="s">
        <v>1907</v>
      </c>
      <c r="X205" s="1100" t="s">
        <v>2774</v>
      </c>
      <c r="Y205" s="1101" t="s">
        <v>1935</v>
      </c>
      <c r="Z205" s="1102" t="s">
        <v>2775</v>
      </c>
      <c r="AA205" s="1103" t="s">
        <v>1942</v>
      </c>
      <c r="AB205" s="1104">
        <v>1</v>
      </c>
      <c r="AC205" s="1104" t="s">
        <v>1942</v>
      </c>
      <c r="AD205" s="1104" t="s">
        <v>1942</v>
      </c>
      <c r="AE205" s="1104" t="s">
        <v>1942</v>
      </c>
      <c r="AF205" s="1104" t="s">
        <v>1942</v>
      </c>
      <c r="AG205" s="1104" t="s">
        <v>1942</v>
      </c>
      <c r="AH205" s="1104" t="s">
        <v>1942</v>
      </c>
      <c r="AI205" s="1105">
        <f t="shared" si="3"/>
        <v>1</v>
      </c>
      <c r="AJ205" s="1106" t="s">
        <v>1030</v>
      </c>
      <c r="AK205" s="1106" t="s">
        <v>1008</v>
      </c>
      <c r="AL205" s="1106" t="s">
        <v>1009</v>
      </c>
      <c r="AM205" s="1107" t="s">
        <v>1073</v>
      </c>
      <c r="AN205" s="1018" t="s">
        <v>1081</v>
      </c>
      <c r="AO205" s="1018" t="s">
        <v>2776</v>
      </c>
      <c r="AP205" s="1274">
        <v>2</v>
      </c>
      <c r="AQ205" s="1076" t="s">
        <v>1010</v>
      </c>
      <c r="AR205" s="1109" t="s">
        <v>1935</v>
      </c>
      <c r="AS205" s="1110"/>
      <c r="AT205" s="1100"/>
      <c r="AU205" s="1100"/>
      <c r="AV205" s="1100"/>
      <c r="AW205" s="1111"/>
      <c r="AX205" s="1112"/>
      <c r="AY205" s="1075"/>
      <c r="AZ205" s="1076"/>
      <c r="BA205" s="1076"/>
      <c r="BB205" s="1076"/>
      <c r="BC205" s="1076"/>
      <c r="BD205" s="1076"/>
      <c r="BE205" s="1076"/>
      <c r="BF205" s="1076"/>
      <c r="BG205" s="1076"/>
      <c r="BH205" s="1076"/>
      <c r="BI205" s="1075" t="s">
        <v>1942</v>
      </c>
      <c r="BJ205" s="1076" t="s">
        <v>1942</v>
      </c>
      <c r="BK205" s="1076" t="s">
        <v>1942</v>
      </c>
      <c r="BL205" s="1076" t="s">
        <v>1942</v>
      </c>
      <c r="BM205" s="1076" t="s">
        <v>1942</v>
      </c>
      <c r="BN205" s="1075"/>
      <c r="BO205" s="1076"/>
      <c r="BP205" s="1076"/>
      <c r="BQ205" s="1076"/>
      <c r="BR205" s="1076"/>
      <c r="BS205" s="1115"/>
      <c r="BT205" s="1076"/>
      <c r="BU205" s="1076"/>
      <c r="BV205" s="1076"/>
      <c r="BW205" s="1116"/>
      <c r="BX205" s="1115"/>
      <c r="BY205" s="1076"/>
      <c r="BZ205" s="1076"/>
      <c r="CA205" s="1076"/>
      <c r="CB205" s="1116"/>
      <c r="CC205" s="1117"/>
      <c r="CD205" s="1118" t="s">
        <v>168</v>
      </c>
      <c r="CE205" s="1119" t="s">
        <v>168</v>
      </c>
      <c r="CF205" s="1119" t="s">
        <v>168</v>
      </c>
      <c r="CG205" s="1119" t="s">
        <v>168</v>
      </c>
      <c r="CH205" s="1120" t="s">
        <v>168</v>
      </c>
      <c r="CI205" s="1075" t="s">
        <v>1942</v>
      </c>
      <c r="CJ205" s="1076" t="s">
        <v>1942</v>
      </c>
      <c r="CK205" s="1076" t="s">
        <v>1942</v>
      </c>
      <c r="CL205" s="1076" t="s">
        <v>1942</v>
      </c>
      <c r="CM205" s="1117" t="s">
        <v>1942</v>
      </c>
      <c r="CN205" s="1075" t="s">
        <v>1942</v>
      </c>
      <c r="CO205" s="1076" t="s">
        <v>1942</v>
      </c>
      <c r="CP205" s="1076" t="s">
        <v>1942</v>
      </c>
      <c r="CQ205" s="1076" t="s">
        <v>1942</v>
      </c>
      <c r="CR205" s="1117" t="s">
        <v>1942</v>
      </c>
      <c r="CS205" s="1075" t="s">
        <v>1942</v>
      </c>
      <c r="CT205" s="1076" t="s">
        <v>1942</v>
      </c>
      <c r="CU205" s="1076" t="s">
        <v>1942</v>
      </c>
      <c r="CV205" s="1076" t="s">
        <v>1942</v>
      </c>
      <c r="CW205" s="1117" t="s">
        <v>1942</v>
      </c>
      <c r="CX205" s="1075" t="s">
        <v>1942</v>
      </c>
      <c r="CY205" s="1076" t="s">
        <v>1942</v>
      </c>
      <c r="CZ205" s="1076" t="s">
        <v>1942</v>
      </c>
      <c r="DA205" s="1076" t="s">
        <v>1942</v>
      </c>
      <c r="DB205" s="1117" t="s">
        <v>1942</v>
      </c>
      <c r="DC205" s="1076" t="s">
        <v>1942</v>
      </c>
      <c r="DD205" s="1076" t="s">
        <v>1942</v>
      </c>
      <c r="DE205" s="1076" t="s">
        <v>1942</v>
      </c>
      <c r="DF205" s="1076" t="s">
        <v>1942</v>
      </c>
      <c r="DG205" s="1117" t="s">
        <v>1942</v>
      </c>
      <c r="DH205" s="1075" t="s">
        <v>1942</v>
      </c>
      <c r="DI205" s="1076" t="s">
        <v>1942</v>
      </c>
      <c r="DJ205" s="1076" t="s">
        <v>1942</v>
      </c>
      <c r="DK205" s="1076" t="s">
        <v>1942</v>
      </c>
      <c r="DL205" s="1117" t="s">
        <v>1942</v>
      </c>
      <c r="DM205" s="1121" t="s">
        <v>1942</v>
      </c>
      <c r="DN205" s="1122" t="s">
        <v>1942</v>
      </c>
      <c r="DO205" s="1122" t="s">
        <v>1942</v>
      </c>
      <c r="DP205" s="1123" t="s">
        <v>1942</v>
      </c>
      <c r="DQ205" s="1122" t="s">
        <v>1942</v>
      </c>
      <c r="DR205" s="1122" t="s">
        <v>1942</v>
      </c>
      <c r="DS205" s="1122" t="s">
        <v>1942</v>
      </c>
      <c r="DT205" s="1123" t="s">
        <v>1942</v>
      </c>
      <c r="DU205" s="1119" t="s">
        <v>1942</v>
      </c>
      <c r="DV205" s="1124">
        <v>1</v>
      </c>
      <c r="DW205" s="1125" t="s">
        <v>1942</v>
      </c>
    </row>
    <row r="206" spans="1:127" s="397" customFormat="1" ht="15.75" hidden="1" customHeight="1">
      <c r="A206" s="1097" t="s">
        <v>1068</v>
      </c>
      <c r="B206" s="1057">
        <v>197</v>
      </c>
      <c r="C206" s="1018"/>
      <c r="D206" s="1018"/>
      <c r="E206" s="1018"/>
      <c r="F206" s="1018"/>
      <c r="G206" s="1018"/>
      <c r="H206" s="1018"/>
      <c r="I206" s="1018"/>
      <c r="J206" s="1018"/>
      <c r="K206" s="1018"/>
      <c r="L206" s="1018"/>
      <c r="M206" s="1057"/>
      <c r="N206" s="1018"/>
      <c r="O206" s="1018"/>
      <c r="P206" s="1018"/>
      <c r="Q206" s="1018"/>
      <c r="R206" s="1018"/>
      <c r="S206" s="1018"/>
      <c r="T206" s="1019"/>
      <c r="U206" s="1098" t="s">
        <v>2777</v>
      </c>
      <c r="V206" s="1099" t="s">
        <v>2709</v>
      </c>
      <c r="W206" s="1099" t="s">
        <v>1907</v>
      </c>
      <c r="X206" s="1100" t="s">
        <v>2778</v>
      </c>
      <c r="Y206" s="1101" t="s">
        <v>2779</v>
      </c>
      <c r="Z206" s="1102" t="s">
        <v>2780</v>
      </c>
      <c r="AA206" s="1103" t="s">
        <v>1942</v>
      </c>
      <c r="AB206" s="1104">
        <v>1</v>
      </c>
      <c r="AC206" s="1104" t="s">
        <v>1942</v>
      </c>
      <c r="AD206" s="1104" t="s">
        <v>1942</v>
      </c>
      <c r="AE206" s="1104" t="s">
        <v>1942</v>
      </c>
      <c r="AF206" s="1104" t="s">
        <v>1942</v>
      </c>
      <c r="AG206" s="1104" t="s">
        <v>1942</v>
      </c>
      <c r="AH206" s="1104" t="s">
        <v>1942</v>
      </c>
      <c r="AI206" s="1105">
        <f t="shared" si="3"/>
        <v>1</v>
      </c>
      <c r="AJ206" s="1106" t="s">
        <v>1007</v>
      </c>
      <c r="AK206" s="1106" t="s">
        <v>1942</v>
      </c>
      <c r="AL206" s="1106" t="s">
        <v>1942</v>
      </c>
      <c r="AM206" s="1107" t="s">
        <v>1910</v>
      </c>
      <c r="AN206" s="1018" t="s">
        <v>1083</v>
      </c>
      <c r="AO206" s="1018" t="s">
        <v>2781</v>
      </c>
      <c r="AP206" s="1274">
        <v>0</v>
      </c>
      <c r="AQ206" s="1076" t="s">
        <v>1020</v>
      </c>
      <c r="AR206" s="1109" t="s">
        <v>1942</v>
      </c>
      <c r="AS206" s="1110"/>
      <c r="AT206" s="1100"/>
      <c r="AU206" s="1100"/>
      <c r="AV206" s="1100"/>
      <c r="AW206" s="1111"/>
      <c r="AX206" s="1112"/>
      <c r="AY206" s="1075"/>
      <c r="AZ206" s="1076"/>
      <c r="BA206" s="1076"/>
      <c r="BB206" s="1076"/>
      <c r="BC206" s="1076"/>
      <c r="BD206" s="1076"/>
      <c r="BE206" s="1076"/>
      <c r="BF206" s="1076"/>
      <c r="BG206" s="1076"/>
      <c r="BH206" s="1076"/>
      <c r="BI206" s="1420"/>
      <c r="BJ206" s="1368"/>
      <c r="BK206" s="1368"/>
      <c r="BL206" s="1368"/>
      <c r="BM206" s="1368"/>
      <c r="BN206" s="1075"/>
      <c r="BO206" s="1076"/>
      <c r="BP206" s="1076"/>
      <c r="BQ206" s="1076"/>
      <c r="BR206" s="1076"/>
      <c r="BS206" s="1115"/>
      <c r="BT206" s="1076"/>
      <c r="BU206" s="1076"/>
      <c r="BV206" s="1076"/>
      <c r="BW206" s="1116"/>
      <c r="BX206" s="1115"/>
      <c r="BY206" s="1076"/>
      <c r="BZ206" s="1076"/>
      <c r="CA206" s="1076"/>
      <c r="CB206" s="1116"/>
      <c r="CC206" s="1117"/>
      <c r="CD206" s="1376"/>
      <c r="CE206" s="1377"/>
      <c r="CF206" s="1377"/>
      <c r="CG206" s="1377"/>
      <c r="CH206" s="1440"/>
      <c r="CI206" s="1420"/>
      <c r="CJ206" s="1368"/>
      <c r="CK206" s="1368"/>
      <c r="CL206" s="1368"/>
      <c r="CM206" s="1369"/>
      <c r="CN206" s="1420"/>
      <c r="CO206" s="1368"/>
      <c r="CP206" s="1368"/>
      <c r="CQ206" s="1368"/>
      <c r="CR206" s="1369"/>
      <c r="CS206" s="1420"/>
      <c r="CT206" s="1368"/>
      <c r="CU206" s="1368"/>
      <c r="CV206" s="1368"/>
      <c r="CW206" s="1369"/>
      <c r="CX206" s="1420"/>
      <c r="CY206" s="1368"/>
      <c r="CZ206" s="1368"/>
      <c r="DA206" s="1368"/>
      <c r="DB206" s="1369"/>
      <c r="DC206" s="1368"/>
      <c r="DD206" s="1368"/>
      <c r="DE206" s="1368"/>
      <c r="DF206" s="1368"/>
      <c r="DG206" s="1369"/>
      <c r="DH206" s="1420"/>
      <c r="DI206" s="1368"/>
      <c r="DJ206" s="1368"/>
      <c r="DK206" s="1368"/>
      <c r="DL206" s="1369"/>
      <c r="DM206" s="1808"/>
      <c r="DN206" s="1809"/>
      <c r="DO206" s="1809"/>
      <c r="DP206" s="1810"/>
      <c r="DQ206" s="1809"/>
      <c r="DR206" s="1809"/>
      <c r="DS206" s="1809"/>
      <c r="DT206" s="1810"/>
      <c r="DU206" s="1377"/>
      <c r="DV206" s="1729"/>
      <c r="DW206" s="1811"/>
    </row>
    <row r="207" spans="1:127" s="397" customFormat="1" ht="15.75" hidden="1" customHeight="1">
      <c r="A207" s="1097" t="s">
        <v>1068</v>
      </c>
      <c r="B207" s="1057">
        <v>198</v>
      </c>
      <c r="C207" s="1018"/>
      <c r="D207" s="1018"/>
      <c r="E207" s="1018"/>
      <c r="F207" s="1018"/>
      <c r="G207" s="1018"/>
      <c r="H207" s="1018"/>
      <c r="I207" s="1018"/>
      <c r="J207" s="1018"/>
      <c r="K207" s="1018"/>
      <c r="L207" s="1018"/>
      <c r="M207" s="1057"/>
      <c r="N207" s="1018"/>
      <c r="O207" s="1018"/>
      <c r="P207" s="1018"/>
      <c r="Q207" s="1018"/>
      <c r="R207" s="1018"/>
      <c r="S207" s="1018"/>
      <c r="T207" s="1019"/>
      <c r="U207" s="1098" t="s">
        <v>2782</v>
      </c>
      <c r="V207" s="1099" t="s">
        <v>2709</v>
      </c>
      <c r="W207" s="1099" t="s">
        <v>1907</v>
      </c>
      <c r="X207" s="1100" t="s">
        <v>2783</v>
      </c>
      <c r="Y207" s="1101" t="s">
        <v>535</v>
      </c>
      <c r="Z207" s="1102" t="s">
        <v>2784</v>
      </c>
      <c r="AA207" s="1103">
        <v>1</v>
      </c>
      <c r="AB207" s="1104" t="s">
        <v>1942</v>
      </c>
      <c r="AC207" s="1104" t="s">
        <v>1942</v>
      </c>
      <c r="AD207" s="1104" t="s">
        <v>1942</v>
      </c>
      <c r="AE207" s="1104" t="s">
        <v>1942</v>
      </c>
      <c r="AF207" s="1104" t="s">
        <v>1942</v>
      </c>
      <c r="AG207" s="1104" t="s">
        <v>1942</v>
      </c>
      <c r="AH207" s="1104" t="s">
        <v>1942</v>
      </c>
      <c r="AI207" s="1105">
        <f t="shared" si="3"/>
        <v>1</v>
      </c>
      <c r="AJ207" s="1106" t="s">
        <v>1007</v>
      </c>
      <c r="AK207" s="1106" t="s">
        <v>1942</v>
      </c>
      <c r="AL207" s="1106" t="s">
        <v>1942</v>
      </c>
      <c r="AM207" s="1107" t="s">
        <v>1910</v>
      </c>
      <c r="AN207" s="1018" t="s">
        <v>278</v>
      </c>
      <c r="AO207" s="1018" t="s">
        <v>4792</v>
      </c>
      <c r="AP207" s="1307">
        <v>1</v>
      </c>
      <c r="AQ207" s="1076" t="s">
        <v>1020</v>
      </c>
      <c r="AR207" s="1109" t="s">
        <v>535</v>
      </c>
      <c r="AS207" s="1110"/>
      <c r="AT207" s="1100"/>
      <c r="AU207" s="1100"/>
      <c r="AV207" s="1100"/>
      <c r="AW207" s="1111"/>
      <c r="AX207" s="1112"/>
      <c r="AY207" s="1075"/>
      <c r="AZ207" s="1076"/>
      <c r="BA207" s="1076"/>
      <c r="BB207" s="1076"/>
      <c r="BC207" s="1076"/>
      <c r="BD207" s="1076"/>
      <c r="BE207" s="1076"/>
      <c r="BF207" s="1076"/>
      <c r="BG207" s="1076"/>
      <c r="BH207" s="1076"/>
      <c r="BI207" s="1353">
        <v>84</v>
      </c>
      <c r="BJ207" s="1354">
        <v>84</v>
      </c>
      <c r="BK207" s="1354">
        <v>76</v>
      </c>
      <c r="BL207" s="1354">
        <v>68</v>
      </c>
      <c r="BM207" s="1355">
        <v>32</v>
      </c>
      <c r="BN207" s="1075"/>
      <c r="BO207" s="1076"/>
      <c r="BP207" s="1076"/>
      <c r="BQ207" s="1076"/>
      <c r="BR207" s="1076"/>
      <c r="BS207" s="1115"/>
      <c r="BT207" s="1076"/>
      <c r="BU207" s="1076"/>
      <c r="BV207" s="1076"/>
      <c r="BW207" s="1116"/>
      <c r="BX207" s="1115"/>
      <c r="BY207" s="1076"/>
      <c r="BZ207" s="1076"/>
      <c r="CA207" s="1076"/>
      <c r="CB207" s="1116"/>
      <c r="CC207" s="1117"/>
      <c r="CD207" s="1118" t="s">
        <v>1942</v>
      </c>
      <c r="CE207" s="1119" t="s">
        <v>1942</v>
      </c>
      <c r="CF207" s="1119" t="s">
        <v>1942</v>
      </c>
      <c r="CG207" s="1119" t="s">
        <v>1942</v>
      </c>
      <c r="CH207" s="1120" t="s">
        <v>1942</v>
      </c>
      <c r="CI207" s="1075" t="s">
        <v>1942</v>
      </c>
      <c r="CJ207" s="1076" t="s">
        <v>1942</v>
      </c>
      <c r="CK207" s="1076" t="s">
        <v>1942</v>
      </c>
      <c r="CL207" s="1076" t="s">
        <v>1942</v>
      </c>
      <c r="CM207" s="1117" t="s">
        <v>1942</v>
      </c>
      <c r="CN207" s="1075" t="s">
        <v>1942</v>
      </c>
      <c r="CO207" s="1076" t="s">
        <v>1942</v>
      </c>
      <c r="CP207" s="1076" t="s">
        <v>1942</v>
      </c>
      <c r="CQ207" s="1076" t="s">
        <v>1942</v>
      </c>
      <c r="CR207" s="1117" t="s">
        <v>1942</v>
      </c>
      <c r="CS207" s="1075" t="s">
        <v>1942</v>
      </c>
      <c r="CT207" s="1076" t="s">
        <v>1942</v>
      </c>
      <c r="CU207" s="1076" t="s">
        <v>1942</v>
      </c>
      <c r="CV207" s="1076" t="s">
        <v>1942</v>
      </c>
      <c r="CW207" s="1117" t="s">
        <v>1942</v>
      </c>
      <c r="CX207" s="1075" t="s">
        <v>1942</v>
      </c>
      <c r="CY207" s="1076" t="s">
        <v>1942</v>
      </c>
      <c r="CZ207" s="1076" t="s">
        <v>1942</v>
      </c>
      <c r="DA207" s="1076" t="s">
        <v>1942</v>
      </c>
      <c r="DB207" s="1117" t="s">
        <v>1942</v>
      </c>
      <c r="DC207" s="1076" t="s">
        <v>1942</v>
      </c>
      <c r="DD207" s="1076" t="s">
        <v>1942</v>
      </c>
      <c r="DE207" s="1076" t="s">
        <v>1942</v>
      </c>
      <c r="DF207" s="1076" t="s">
        <v>1942</v>
      </c>
      <c r="DG207" s="1117" t="s">
        <v>1942</v>
      </c>
      <c r="DH207" s="1075" t="s">
        <v>1942</v>
      </c>
      <c r="DI207" s="1076" t="s">
        <v>1942</v>
      </c>
      <c r="DJ207" s="1076" t="s">
        <v>1942</v>
      </c>
      <c r="DK207" s="1076" t="s">
        <v>1942</v>
      </c>
      <c r="DL207" s="1117" t="s">
        <v>1942</v>
      </c>
      <c r="DM207" s="1121" t="s">
        <v>1942</v>
      </c>
      <c r="DN207" s="1122" t="s">
        <v>1942</v>
      </c>
      <c r="DO207" s="1122" t="s">
        <v>1942</v>
      </c>
      <c r="DP207" s="1123" t="s">
        <v>1942</v>
      </c>
      <c r="DQ207" s="1122" t="s">
        <v>1942</v>
      </c>
      <c r="DR207" s="1122" t="s">
        <v>1942</v>
      </c>
      <c r="DS207" s="1122" t="s">
        <v>1942</v>
      </c>
      <c r="DT207" s="1123" t="s">
        <v>1942</v>
      </c>
      <c r="DU207" s="1119" t="s">
        <v>1942</v>
      </c>
      <c r="DV207" s="1124">
        <v>1</v>
      </c>
      <c r="DW207" s="1125" t="s">
        <v>1942</v>
      </c>
    </row>
    <row r="208" spans="1:127" s="397" customFormat="1" ht="15.75" hidden="1" customHeight="1">
      <c r="A208" s="1097" t="s">
        <v>1068</v>
      </c>
      <c r="B208" s="1057">
        <v>199</v>
      </c>
      <c r="C208" s="1018"/>
      <c r="D208" s="1018"/>
      <c r="E208" s="1018"/>
      <c r="F208" s="1018"/>
      <c r="G208" s="1018"/>
      <c r="H208" s="1018"/>
      <c r="I208" s="1018"/>
      <c r="J208" s="1018"/>
      <c r="K208" s="1018"/>
      <c r="L208" s="1018"/>
      <c r="M208" s="1057"/>
      <c r="N208" s="1018"/>
      <c r="O208" s="1018"/>
      <c r="P208" s="1018"/>
      <c r="Q208" s="1018"/>
      <c r="R208" s="1018"/>
      <c r="S208" s="1018"/>
      <c r="T208" s="1019"/>
      <c r="U208" s="1098" t="s">
        <v>2786</v>
      </c>
      <c r="V208" s="1099" t="s">
        <v>2709</v>
      </c>
      <c r="W208" s="1099" t="s">
        <v>1896</v>
      </c>
      <c r="X208" s="1100" t="s">
        <v>2787</v>
      </c>
      <c r="Y208" s="1101" t="s">
        <v>2788</v>
      </c>
      <c r="Z208" s="1102" t="s">
        <v>2789</v>
      </c>
      <c r="AA208" s="1103">
        <v>1</v>
      </c>
      <c r="AB208" s="1104" t="s">
        <v>1942</v>
      </c>
      <c r="AC208" s="1104" t="s">
        <v>1942</v>
      </c>
      <c r="AD208" s="1104" t="s">
        <v>1942</v>
      </c>
      <c r="AE208" s="1104" t="s">
        <v>1942</v>
      </c>
      <c r="AF208" s="1104" t="s">
        <v>1942</v>
      </c>
      <c r="AG208" s="1104" t="s">
        <v>1942</v>
      </c>
      <c r="AH208" s="1104" t="s">
        <v>1942</v>
      </c>
      <c r="AI208" s="1105">
        <f t="shared" si="3"/>
        <v>1</v>
      </c>
      <c r="AJ208" s="1106" t="s">
        <v>1007</v>
      </c>
      <c r="AK208" s="1106" t="s">
        <v>1942</v>
      </c>
      <c r="AL208" s="1106" t="s">
        <v>1942</v>
      </c>
      <c r="AM208" s="1107" t="s">
        <v>1910</v>
      </c>
      <c r="AN208" s="1018" t="s">
        <v>1033</v>
      </c>
      <c r="AO208" s="1018" t="s">
        <v>2790</v>
      </c>
      <c r="AP208" s="1274">
        <v>0</v>
      </c>
      <c r="AQ208" s="1076" t="s">
        <v>1020</v>
      </c>
      <c r="AR208" s="1109" t="s">
        <v>1942</v>
      </c>
      <c r="AS208" s="1110"/>
      <c r="AT208" s="1100"/>
      <c r="AU208" s="1100"/>
      <c r="AV208" s="1100"/>
      <c r="AW208" s="1111"/>
      <c r="AX208" s="1112"/>
      <c r="AY208" s="1075"/>
      <c r="AZ208" s="1076"/>
      <c r="BA208" s="1076"/>
      <c r="BB208" s="1076"/>
      <c r="BC208" s="1076"/>
      <c r="BD208" s="1076"/>
      <c r="BE208" s="1076"/>
      <c r="BF208" s="1076"/>
      <c r="BG208" s="1076"/>
      <c r="BH208" s="1076"/>
      <c r="BI208" s="1420"/>
      <c r="BJ208" s="1368"/>
      <c r="BK208" s="1368"/>
      <c r="BL208" s="1368"/>
      <c r="BM208" s="1368"/>
      <c r="BN208" s="1075"/>
      <c r="BO208" s="1076"/>
      <c r="BP208" s="1076"/>
      <c r="BQ208" s="1076"/>
      <c r="BR208" s="1076"/>
      <c r="BS208" s="1115"/>
      <c r="BT208" s="1076"/>
      <c r="BU208" s="1076"/>
      <c r="BV208" s="1076"/>
      <c r="BW208" s="1116"/>
      <c r="BX208" s="1115"/>
      <c r="BY208" s="1076"/>
      <c r="BZ208" s="1076"/>
      <c r="CA208" s="1076"/>
      <c r="CB208" s="1116"/>
      <c r="CC208" s="1117"/>
      <c r="CD208" s="1376"/>
      <c r="CE208" s="1377"/>
      <c r="CF208" s="1377"/>
      <c r="CG208" s="1377"/>
      <c r="CH208" s="1440"/>
      <c r="CI208" s="1420"/>
      <c r="CJ208" s="1368"/>
      <c r="CK208" s="1368"/>
      <c r="CL208" s="1368"/>
      <c r="CM208" s="1369"/>
      <c r="CN208" s="1420"/>
      <c r="CO208" s="1368"/>
      <c r="CP208" s="1368"/>
      <c r="CQ208" s="1368"/>
      <c r="CR208" s="1369"/>
      <c r="CS208" s="1420"/>
      <c r="CT208" s="1368"/>
      <c r="CU208" s="1368"/>
      <c r="CV208" s="1368"/>
      <c r="CW208" s="1369"/>
      <c r="CX208" s="1420"/>
      <c r="CY208" s="1368"/>
      <c r="CZ208" s="1368"/>
      <c r="DA208" s="1368"/>
      <c r="DB208" s="1369"/>
      <c r="DC208" s="1368"/>
      <c r="DD208" s="1368"/>
      <c r="DE208" s="1368"/>
      <c r="DF208" s="1368"/>
      <c r="DG208" s="1369"/>
      <c r="DH208" s="1420"/>
      <c r="DI208" s="1368"/>
      <c r="DJ208" s="1368"/>
      <c r="DK208" s="1368"/>
      <c r="DL208" s="1369"/>
      <c r="DM208" s="1808"/>
      <c r="DN208" s="1809"/>
      <c r="DO208" s="1809"/>
      <c r="DP208" s="1810"/>
      <c r="DQ208" s="1809"/>
      <c r="DR208" s="1809"/>
      <c r="DS208" s="1809"/>
      <c r="DT208" s="1810"/>
      <c r="DU208" s="1377"/>
      <c r="DV208" s="1729"/>
      <c r="DW208" s="1811"/>
    </row>
    <row r="209" spans="1:127" s="397" customFormat="1" ht="15.75" hidden="1" customHeight="1">
      <c r="A209" s="1097" t="s">
        <v>1068</v>
      </c>
      <c r="B209" s="1057">
        <v>200</v>
      </c>
      <c r="C209" s="1018"/>
      <c r="D209" s="1018"/>
      <c r="E209" s="1018"/>
      <c r="F209" s="1018"/>
      <c r="G209" s="1018"/>
      <c r="H209" s="1018"/>
      <c r="I209" s="1018"/>
      <c r="J209" s="1018"/>
      <c r="K209" s="1018"/>
      <c r="L209" s="1018"/>
      <c r="M209" s="1057"/>
      <c r="N209" s="1018"/>
      <c r="O209" s="1018"/>
      <c r="P209" s="1018"/>
      <c r="Q209" s="1018"/>
      <c r="R209" s="1018"/>
      <c r="S209" s="1018"/>
      <c r="T209" s="1019"/>
      <c r="U209" s="1098" t="s">
        <v>2791</v>
      </c>
      <c r="V209" s="1099" t="s">
        <v>2739</v>
      </c>
      <c r="W209" s="1099" t="s">
        <v>1889</v>
      </c>
      <c r="X209" s="1100" t="s">
        <v>2792</v>
      </c>
      <c r="Y209" s="1101" t="s">
        <v>2793</v>
      </c>
      <c r="Z209" s="1102" t="s">
        <v>2794</v>
      </c>
      <c r="AA209" s="1103" t="s">
        <v>1942</v>
      </c>
      <c r="AB209" s="1104">
        <v>1</v>
      </c>
      <c r="AC209" s="1104" t="s">
        <v>1942</v>
      </c>
      <c r="AD209" s="1104" t="s">
        <v>1942</v>
      </c>
      <c r="AE209" s="1104" t="s">
        <v>1942</v>
      </c>
      <c r="AF209" s="1104" t="s">
        <v>1942</v>
      </c>
      <c r="AG209" s="1104" t="s">
        <v>1942</v>
      </c>
      <c r="AH209" s="1104" t="s">
        <v>1942</v>
      </c>
      <c r="AI209" s="1105">
        <f t="shared" si="3"/>
        <v>1</v>
      </c>
      <c r="AJ209" s="1106" t="s">
        <v>1007</v>
      </c>
      <c r="AK209" s="1106" t="s">
        <v>1942</v>
      </c>
      <c r="AL209" s="1106" t="s">
        <v>1942</v>
      </c>
      <c r="AM209" s="1107" t="s">
        <v>2132</v>
      </c>
      <c r="AN209" s="1018" t="s">
        <v>278</v>
      </c>
      <c r="AO209" s="1018" t="s">
        <v>2795</v>
      </c>
      <c r="AP209" s="1274">
        <v>1</v>
      </c>
      <c r="AQ209" s="1076" t="s">
        <v>1020</v>
      </c>
      <c r="AR209" s="1109" t="s">
        <v>1942</v>
      </c>
      <c r="AS209" s="1110"/>
      <c r="AT209" s="1100"/>
      <c r="AU209" s="1100"/>
      <c r="AV209" s="1100"/>
      <c r="AW209" s="1111"/>
      <c r="AX209" s="1112"/>
      <c r="AY209" s="1075"/>
      <c r="AZ209" s="1076"/>
      <c r="BA209" s="1076"/>
      <c r="BB209" s="1076"/>
      <c r="BC209" s="1076"/>
      <c r="BD209" s="1076"/>
      <c r="BE209" s="1076"/>
      <c r="BF209" s="1076"/>
      <c r="BG209" s="1076"/>
      <c r="BH209" s="1076"/>
      <c r="BI209" s="1420"/>
      <c r="BJ209" s="1368"/>
      <c r="BK209" s="1368"/>
      <c r="BL209" s="1368"/>
      <c r="BM209" s="1368"/>
      <c r="BN209" s="1075"/>
      <c r="BO209" s="1076"/>
      <c r="BP209" s="1076"/>
      <c r="BQ209" s="1076"/>
      <c r="BR209" s="1076"/>
      <c r="BS209" s="1115"/>
      <c r="BT209" s="1076"/>
      <c r="BU209" s="1076"/>
      <c r="BV209" s="1076"/>
      <c r="BW209" s="1116"/>
      <c r="BX209" s="1115"/>
      <c r="BY209" s="1076"/>
      <c r="BZ209" s="1076"/>
      <c r="CA209" s="1076"/>
      <c r="CB209" s="1116"/>
      <c r="CC209" s="1117"/>
      <c r="CD209" s="1376"/>
      <c r="CE209" s="1377"/>
      <c r="CF209" s="1377"/>
      <c r="CG209" s="1377"/>
      <c r="CH209" s="1440"/>
      <c r="CI209" s="1420"/>
      <c r="CJ209" s="1368"/>
      <c r="CK209" s="1368"/>
      <c r="CL209" s="1368"/>
      <c r="CM209" s="1369"/>
      <c r="CN209" s="1420"/>
      <c r="CO209" s="1368"/>
      <c r="CP209" s="1368"/>
      <c r="CQ209" s="1368"/>
      <c r="CR209" s="1369"/>
      <c r="CS209" s="1420"/>
      <c r="CT209" s="1368"/>
      <c r="CU209" s="1368"/>
      <c r="CV209" s="1368"/>
      <c r="CW209" s="1369"/>
      <c r="CX209" s="1420"/>
      <c r="CY209" s="1368"/>
      <c r="CZ209" s="1368"/>
      <c r="DA209" s="1368"/>
      <c r="DB209" s="1369"/>
      <c r="DC209" s="1368"/>
      <c r="DD209" s="1368"/>
      <c r="DE209" s="1368"/>
      <c r="DF209" s="1368"/>
      <c r="DG209" s="1369"/>
      <c r="DH209" s="1420"/>
      <c r="DI209" s="1368"/>
      <c r="DJ209" s="1368"/>
      <c r="DK209" s="1368"/>
      <c r="DL209" s="1369"/>
      <c r="DM209" s="1808"/>
      <c r="DN209" s="1809"/>
      <c r="DO209" s="1809"/>
      <c r="DP209" s="1810"/>
      <c r="DQ209" s="1809"/>
      <c r="DR209" s="1809"/>
      <c r="DS209" s="1809"/>
      <c r="DT209" s="1810"/>
      <c r="DU209" s="1377"/>
      <c r="DV209" s="1729"/>
      <c r="DW209" s="1811"/>
    </row>
    <row r="210" spans="1:127" s="397" customFormat="1" ht="15.75" hidden="1" customHeight="1">
      <c r="A210" s="1097" t="s">
        <v>1068</v>
      </c>
      <c r="B210" s="1057">
        <v>201</v>
      </c>
      <c r="C210" s="1018"/>
      <c r="D210" s="1018"/>
      <c r="E210" s="1018"/>
      <c r="F210" s="1018"/>
      <c r="G210" s="1018"/>
      <c r="H210" s="1018"/>
      <c r="I210" s="1018"/>
      <c r="J210" s="1018"/>
      <c r="K210" s="1018"/>
      <c r="L210" s="1018"/>
      <c r="M210" s="1057"/>
      <c r="N210" s="1018"/>
      <c r="O210" s="1018"/>
      <c r="P210" s="1018"/>
      <c r="Q210" s="1018"/>
      <c r="R210" s="1018"/>
      <c r="S210" s="1018"/>
      <c r="T210" s="1019"/>
      <c r="U210" s="1098" t="s">
        <v>2796</v>
      </c>
      <c r="V210" s="1099" t="s">
        <v>2797</v>
      </c>
      <c r="W210" s="1099" t="s">
        <v>1889</v>
      </c>
      <c r="X210" s="1100" t="s">
        <v>2798</v>
      </c>
      <c r="Y210" s="1101" t="s">
        <v>2799</v>
      </c>
      <c r="Z210" s="1102" t="s">
        <v>2800</v>
      </c>
      <c r="AA210" s="1103" t="s">
        <v>1942</v>
      </c>
      <c r="AB210" s="1104" t="s">
        <v>1942</v>
      </c>
      <c r="AC210" s="1104" t="s">
        <v>1942</v>
      </c>
      <c r="AD210" s="1104" t="s">
        <v>1942</v>
      </c>
      <c r="AE210" s="1104">
        <v>1</v>
      </c>
      <c r="AF210" s="1104" t="s">
        <v>1942</v>
      </c>
      <c r="AG210" s="1104" t="s">
        <v>1942</v>
      </c>
      <c r="AH210" s="1104" t="s">
        <v>1942</v>
      </c>
      <c r="AI210" s="1105">
        <f t="shared" si="3"/>
        <v>1</v>
      </c>
      <c r="AJ210" s="1106" t="s">
        <v>1007</v>
      </c>
      <c r="AK210" s="1106" t="s">
        <v>1942</v>
      </c>
      <c r="AL210" s="1106" t="s">
        <v>1942</v>
      </c>
      <c r="AM210" s="1107" t="s">
        <v>2029</v>
      </c>
      <c r="AN210" s="1018" t="s">
        <v>278</v>
      </c>
      <c r="AO210" s="1018" t="s">
        <v>2801</v>
      </c>
      <c r="AP210" s="1274">
        <v>0</v>
      </c>
      <c r="AQ210" s="1076" t="s">
        <v>1010</v>
      </c>
      <c r="AR210" s="1109" t="s">
        <v>1942</v>
      </c>
      <c r="AS210" s="1110"/>
      <c r="AT210" s="1100"/>
      <c r="AU210" s="1100"/>
      <c r="AV210" s="1100"/>
      <c r="AW210" s="1111"/>
      <c r="AX210" s="1112"/>
      <c r="AY210" s="1075"/>
      <c r="AZ210" s="1076"/>
      <c r="BA210" s="1076"/>
      <c r="BB210" s="1076"/>
      <c r="BC210" s="1076"/>
      <c r="BD210" s="1076"/>
      <c r="BE210" s="1076"/>
      <c r="BF210" s="1076"/>
      <c r="BG210" s="1076"/>
      <c r="BH210" s="1076"/>
      <c r="BI210" s="1420"/>
      <c r="BJ210" s="1368"/>
      <c r="BK210" s="1368"/>
      <c r="BL210" s="1368"/>
      <c r="BM210" s="1368"/>
      <c r="BN210" s="1075"/>
      <c r="BO210" s="1076"/>
      <c r="BP210" s="1076"/>
      <c r="BQ210" s="1076"/>
      <c r="BR210" s="1076"/>
      <c r="BS210" s="1115"/>
      <c r="BT210" s="1076"/>
      <c r="BU210" s="1076"/>
      <c r="BV210" s="1076"/>
      <c r="BW210" s="1116"/>
      <c r="BX210" s="1115"/>
      <c r="BY210" s="1076"/>
      <c r="BZ210" s="1076"/>
      <c r="CA210" s="1076"/>
      <c r="CB210" s="1116"/>
      <c r="CC210" s="1117"/>
      <c r="CD210" s="1376"/>
      <c r="CE210" s="1377"/>
      <c r="CF210" s="1377"/>
      <c r="CG210" s="1377"/>
      <c r="CH210" s="1440"/>
      <c r="CI210" s="1420"/>
      <c r="CJ210" s="1368"/>
      <c r="CK210" s="1368"/>
      <c r="CL210" s="1368"/>
      <c r="CM210" s="1369"/>
      <c r="CN210" s="1420"/>
      <c r="CO210" s="1368"/>
      <c r="CP210" s="1368"/>
      <c r="CQ210" s="1368"/>
      <c r="CR210" s="1369"/>
      <c r="CS210" s="1420"/>
      <c r="CT210" s="1368"/>
      <c r="CU210" s="1368"/>
      <c r="CV210" s="1368"/>
      <c r="CW210" s="1369"/>
      <c r="CX210" s="1420"/>
      <c r="CY210" s="1368"/>
      <c r="CZ210" s="1368"/>
      <c r="DA210" s="1368"/>
      <c r="DB210" s="1369"/>
      <c r="DC210" s="1368"/>
      <c r="DD210" s="1368"/>
      <c r="DE210" s="1368"/>
      <c r="DF210" s="1368"/>
      <c r="DG210" s="1369"/>
      <c r="DH210" s="1420"/>
      <c r="DI210" s="1368"/>
      <c r="DJ210" s="1368"/>
      <c r="DK210" s="1368"/>
      <c r="DL210" s="1369"/>
      <c r="DM210" s="1808"/>
      <c r="DN210" s="1809"/>
      <c r="DO210" s="1809"/>
      <c r="DP210" s="1810"/>
      <c r="DQ210" s="1809"/>
      <c r="DR210" s="1809"/>
      <c r="DS210" s="1809"/>
      <c r="DT210" s="1810"/>
      <c r="DU210" s="1377"/>
      <c r="DV210" s="1729"/>
      <c r="DW210" s="1811"/>
    </row>
    <row r="211" spans="1:127" s="397" customFormat="1" ht="15.75" hidden="1" customHeight="1">
      <c r="A211" s="1097" t="s">
        <v>1068</v>
      </c>
      <c r="B211" s="1057">
        <v>202</v>
      </c>
      <c r="C211" s="1018"/>
      <c r="D211" s="1018"/>
      <c r="E211" s="1018"/>
      <c r="F211" s="1018"/>
      <c r="G211" s="1018"/>
      <c r="H211" s="1018"/>
      <c r="I211" s="1018"/>
      <c r="J211" s="1018"/>
      <c r="K211" s="1018"/>
      <c r="L211" s="1018"/>
      <c r="M211" s="1057"/>
      <c r="N211" s="1018"/>
      <c r="O211" s="1018"/>
      <c r="P211" s="1018"/>
      <c r="Q211" s="1018"/>
      <c r="R211" s="1018"/>
      <c r="S211" s="1018"/>
      <c r="T211" s="1019"/>
      <c r="U211" s="1098" t="s">
        <v>2802</v>
      </c>
      <c r="V211" s="1099" t="s">
        <v>2803</v>
      </c>
      <c r="W211" s="1099" t="s">
        <v>1896</v>
      </c>
      <c r="X211" s="1100" t="s">
        <v>2804</v>
      </c>
      <c r="Y211" s="1101" t="s">
        <v>2805</v>
      </c>
      <c r="Z211" s="1102" t="s">
        <v>2806</v>
      </c>
      <c r="AA211" s="1103" t="s">
        <v>1942</v>
      </c>
      <c r="AB211" s="1104">
        <v>1</v>
      </c>
      <c r="AC211" s="1104" t="s">
        <v>1942</v>
      </c>
      <c r="AD211" s="1104" t="s">
        <v>1942</v>
      </c>
      <c r="AE211" s="1104" t="s">
        <v>1942</v>
      </c>
      <c r="AF211" s="1104" t="s">
        <v>1942</v>
      </c>
      <c r="AG211" s="1104" t="s">
        <v>1942</v>
      </c>
      <c r="AH211" s="1104" t="s">
        <v>1942</v>
      </c>
      <c r="AI211" s="1105">
        <f t="shared" si="3"/>
        <v>1</v>
      </c>
      <c r="AJ211" s="1106" t="s">
        <v>1007</v>
      </c>
      <c r="AK211" s="1106" t="s">
        <v>1942</v>
      </c>
      <c r="AL211" s="1106" t="s">
        <v>1942</v>
      </c>
      <c r="AM211" s="1107" t="s">
        <v>2807</v>
      </c>
      <c r="AN211" s="1018" t="s">
        <v>1083</v>
      </c>
      <c r="AO211" s="1018" t="s">
        <v>2808</v>
      </c>
      <c r="AP211" s="1274">
        <v>0</v>
      </c>
      <c r="AQ211" s="1076" t="s">
        <v>1010</v>
      </c>
      <c r="AR211" s="1109" t="s">
        <v>1942</v>
      </c>
      <c r="AS211" s="1110"/>
      <c r="AT211" s="1100"/>
      <c r="AU211" s="1100"/>
      <c r="AV211" s="1100"/>
      <c r="AW211" s="1111"/>
      <c r="AX211" s="1112"/>
      <c r="AY211" s="1075"/>
      <c r="AZ211" s="1076"/>
      <c r="BA211" s="1076"/>
      <c r="BB211" s="1076"/>
      <c r="BC211" s="1076"/>
      <c r="BD211" s="1076"/>
      <c r="BE211" s="1076"/>
      <c r="BF211" s="1076"/>
      <c r="BG211" s="1076"/>
      <c r="BH211" s="1076"/>
      <c r="BI211" s="1420"/>
      <c r="BJ211" s="1368"/>
      <c r="BK211" s="1368"/>
      <c r="BL211" s="1368"/>
      <c r="BM211" s="1368"/>
      <c r="BN211" s="1075"/>
      <c r="BO211" s="1076"/>
      <c r="BP211" s="1076"/>
      <c r="BQ211" s="1076"/>
      <c r="BR211" s="1076"/>
      <c r="BS211" s="1115"/>
      <c r="BT211" s="1076"/>
      <c r="BU211" s="1076"/>
      <c r="BV211" s="1076"/>
      <c r="BW211" s="1116"/>
      <c r="BX211" s="1115"/>
      <c r="BY211" s="1076"/>
      <c r="BZ211" s="1076"/>
      <c r="CA211" s="1076"/>
      <c r="CB211" s="1116"/>
      <c r="CC211" s="1117"/>
      <c r="CD211" s="1376"/>
      <c r="CE211" s="1377"/>
      <c r="CF211" s="1377"/>
      <c r="CG211" s="1377"/>
      <c r="CH211" s="1440"/>
      <c r="CI211" s="1420"/>
      <c r="CJ211" s="1368"/>
      <c r="CK211" s="1368"/>
      <c r="CL211" s="1368"/>
      <c r="CM211" s="1369"/>
      <c r="CN211" s="1420"/>
      <c r="CO211" s="1368"/>
      <c r="CP211" s="1368"/>
      <c r="CQ211" s="1368"/>
      <c r="CR211" s="1369"/>
      <c r="CS211" s="1420"/>
      <c r="CT211" s="1368"/>
      <c r="CU211" s="1368"/>
      <c r="CV211" s="1368"/>
      <c r="CW211" s="1369"/>
      <c r="CX211" s="1420"/>
      <c r="CY211" s="1368"/>
      <c r="CZ211" s="1368"/>
      <c r="DA211" s="1368"/>
      <c r="DB211" s="1369"/>
      <c r="DC211" s="1368"/>
      <c r="DD211" s="1368"/>
      <c r="DE211" s="1368"/>
      <c r="DF211" s="1368"/>
      <c r="DG211" s="1369"/>
      <c r="DH211" s="1420"/>
      <c r="DI211" s="1368"/>
      <c r="DJ211" s="1368"/>
      <c r="DK211" s="1368"/>
      <c r="DL211" s="1369"/>
      <c r="DM211" s="1808"/>
      <c r="DN211" s="1809"/>
      <c r="DO211" s="1809"/>
      <c r="DP211" s="1810"/>
      <c r="DQ211" s="1809"/>
      <c r="DR211" s="1809"/>
      <c r="DS211" s="1809"/>
      <c r="DT211" s="1810"/>
      <c r="DU211" s="1377"/>
      <c r="DV211" s="1729"/>
      <c r="DW211" s="1811"/>
    </row>
    <row r="212" spans="1:127" s="397" customFormat="1" ht="15.75" hidden="1" customHeight="1">
      <c r="A212" s="1097" t="s">
        <v>1068</v>
      </c>
      <c r="B212" s="1057">
        <v>203</v>
      </c>
      <c r="C212" s="1018"/>
      <c r="D212" s="1018"/>
      <c r="E212" s="1018"/>
      <c r="F212" s="1018"/>
      <c r="G212" s="1018"/>
      <c r="H212" s="1018"/>
      <c r="I212" s="1018"/>
      <c r="J212" s="1018"/>
      <c r="K212" s="1018"/>
      <c r="L212" s="1018"/>
      <c r="M212" s="1057"/>
      <c r="N212" s="1018"/>
      <c r="O212" s="1018"/>
      <c r="P212" s="1018"/>
      <c r="Q212" s="1018"/>
      <c r="R212" s="1018"/>
      <c r="S212" s="1018"/>
      <c r="T212" s="1019"/>
      <c r="U212" s="1098" t="s">
        <v>2810</v>
      </c>
      <c r="V212" s="1099" t="s">
        <v>2759</v>
      </c>
      <c r="W212" s="1099" t="s">
        <v>1907</v>
      </c>
      <c r="X212" s="1100" t="s">
        <v>2811</v>
      </c>
      <c r="Y212" s="1101" t="s">
        <v>703</v>
      </c>
      <c r="Z212" s="1102" t="s">
        <v>2812</v>
      </c>
      <c r="AA212" s="1103" t="s">
        <v>1942</v>
      </c>
      <c r="AB212" s="1104" t="s">
        <v>1942</v>
      </c>
      <c r="AC212" s="1104" t="s">
        <v>1942</v>
      </c>
      <c r="AD212" s="1104" t="s">
        <v>1942</v>
      </c>
      <c r="AE212" s="1104">
        <v>1</v>
      </c>
      <c r="AF212" s="1104" t="s">
        <v>1942</v>
      </c>
      <c r="AG212" s="1104" t="s">
        <v>1942</v>
      </c>
      <c r="AH212" s="1104" t="s">
        <v>1942</v>
      </c>
      <c r="AI212" s="1105">
        <f t="shared" si="3"/>
        <v>1</v>
      </c>
      <c r="AJ212" s="1106" t="s">
        <v>1007</v>
      </c>
      <c r="AK212" s="1106" t="s">
        <v>1942</v>
      </c>
      <c r="AL212" s="1106" t="s">
        <v>1942</v>
      </c>
      <c r="AM212" s="1107" t="s">
        <v>2029</v>
      </c>
      <c r="AN212" s="1018" t="s">
        <v>278</v>
      </c>
      <c r="AO212" s="1018" t="s">
        <v>4799</v>
      </c>
      <c r="AP212" s="1307">
        <v>1</v>
      </c>
      <c r="AQ212" s="1076" t="s">
        <v>1010</v>
      </c>
      <c r="AR212" s="1109" t="s">
        <v>703</v>
      </c>
      <c r="AS212" s="1110"/>
      <c r="AT212" s="1100"/>
      <c r="AU212" s="1100"/>
      <c r="AV212" s="1100"/>
      <c r="AW212" s="1111"/>
      <c r="AX212" s="1112"/>
      <c r="AY212" s="1075"/>
      <c r="AZ212" s="1076"/>
      <c r="BA212" s="1076"/>
      <c r="BB212" s="1076"/>
      <c r="BC212" s="1076"/>
      <c r="BD212" s="1076"/>
      <c r="BE212" s="1076"/>
      <c r="BF212" s="1076"/>
      <c r="BG212" s="1076"/>
      <c r="BH212" s="1076"/>
      <c r="BI212" s="1075" t="s">
        <v>4835</v>
      </c>
      <c r="BJ212" s="1076" t="s">
        <v>4836</v>
      </c>
      <c r="BK212" s="1076" t="s">
        <v>4828</v>
      </c>
      <c r="BL212" s="1076" t="s">
        <v>4837</v>
      </c>
      <c r="BM212" s="1076" t="s">
        <v>4838</v>
      </c>
      <c r="BN212" s="1075"/>
      <c r="BO212" s="1076"/>
      <c r="BP212" s="1076"/>
      <c r="BQ212" s="1076"/>
      <c r="BR212" s="1076"/>
      <c r="BS212" s="1115"/>
      <c r="BT212" s="1076"/>
      <c r="BU212" s="1076"/>
      <c r="BV212" s="1076"/>
      <c r="BW212" s="1116"/>
      <c r="BX212" s="1115"/>
      <c r="BY212" s="1076"/>
      <c r="BZ212" s="1076"/>
      <c r="CA212" s="1076"/>
      <c r="CB212" s="1116"/>
      <c r="CC212" s="1117"/>
      <c r="CD212" s="1118" t="s">
        <v>1942</v>
      </c>
      <c r="CE212" s="1119" t="s">
        <v>1942</v>
      </c>
      <c r="CF212" s="1119" t="s">
        <v>1942</v>
      </c>
      <c r="CG212" s="1119" t="s">
        <v>1942</v>
      </c>
      <c r="CH212" s="1120" t="s">
        <v>1942</v>
      </c>
      <c r="CI212" s="1075" t="s">
        <v>1942</v>
      </c>
      <c r="CJ212" s="1076" t="s">
        <v>1942</v>
      </c>
      <c r="CK212" s="1076" t="s">
        <v>1942</v>
      </c>
      <c r="CL212" s="1076" t="s">
        <v>1942</v>
      </c>
      <c r="CM212" s="1117" t="s">
        <v>1942</v>
      </c>
      <c r="CN212" s="1075" t="s">
        <v>1942</v>
      </c>
      <c r="CO212" s="1076" t="s">
        <v>1942</v>
      </c>
      <c r="CP212" s="1076" t="s">
        <v>1942</v>
      </c>
      <c r="CQ212" s="1076" t="s">
        <v>1942</v>
      </c>
      <c r="CR212" s="1117" t="s">
        <v>1942</v>
      </c>
      <c r="CS212" s="1075" t="s">
        <v>1942</v>
      </c>
      <c r="CT212" s="1076" t="s">
        <v>1942</v>
      </c>
      <c r="CU212" s="1076" t="s">
        <v>1942</v>
      </c>
      <c r="CV212" s="1076" t="s">
        <v>1942</v>
      </c>
      <c r="CW212" s="1117" t="s">
        <v>1942</v>
      </c>
      <c r="CX212" s="1075" t="s">
        <v>1942</v>
      </c>
      <c r="CY212" s="1076" t="s">
        <v>1942</v>
      </c>
      <c r="CZ212" s="1076" t="s">
        <v>1942</v>
      </c>
      <c r="DA212" s="1076" t="s">
        <v>1942</v>
      </c>
      <c r="DB212" s="1117" t="s">
        <v>1942</v>
      </c>
      <c r="DC212" s="1076" t="s">
        <v>1942</v>
      </c>
      <c r="DD212" s="1076" t="s">
        <v>1942</v>
      </c>
      <c r="DE212" s="1076" t="s">
        <v>1942</v>
      </c>
      <c r="DF212" s="1076" t="s">
        <v>1942</v>
      </c>
      <c r="DG212" s="1117" t="s">
        <v>1942</v>
      </c>
      <c r="DH212" s="1075" t="s">
        <v>1942</v>
      </c>
      <c r="DI212" s="1076" t="s">
        <v>1942</v>
      </c>
      <c r="DJ212" s="1076" t="s">
        <v>1942</v>
      </c>
      <c r="DK212" s="1076" t="s">
        <v>1942</v>
      </c>
      <c r="DL212" s="1117" t="s">
        <v>1942</v>
      </c>
      <c r="DM212" s="1121" t="s">
        <v>1942</v>
      </c>
      <c r="DN212" s="1122" t="s">
        <v>1942</v>
      </c>
      <c r="DO212" s="1122" t="s">
        <v>1942</v>
      </c>
      <c r="DP212" s="1123" t="s">
        <v>1942</v>
      </c>
      <c r="DQ212" s="1122" t="s">
        <v>1942</v>
      </c>
      <c r="DR212" s="1122" t="s">
        <v>1942</v>
      </c>
      <c r="DS212" s="1122" t="s">
        <v>1942</v>
      </c>
      <c r="DT212" s="1123" t="s">
        <v>1942</v>
      </c>
      <c r="DU212" s="1119" t="s">
        <v>1942</v>
      </c>
      <c r="DV212" s="1124">
        <v>1</v>
      </c>
      <c r="DW212" s="1125" t="s">
        <v>1942</v>
      </c>
    </row>
    <row r="213" spans="1:127" s="397" customFormat="1" ht="15.75" hidden="1" customHeight="1">
      <c r="A213" s="1097" t="s">
        <v>1068</v>
      </c>
      <c r="B213" s="1057">
        <v>204</v>
      </c>
      <c r="C213" s="1018"/>
      <c r="D213" s="1018"/>
      <c r="E213" s="1018"/>
      <c r="F213" s="1018"/>
      <c r="G213" s="1018"/>
      <c r="H213" s="1018"/>
      <c r="I213" s="1018"/>
      <c r="J213" s="1018"/>
      <c r="K213" s="1018"/>
      <c r="L213" s="1018"/>
      <c r="M213" s="1057"/>
      <c r="N213" s="1018"/>
      <c r="O213" s="1018"/>
      <c r="P213" s="1018"/>
      <c r="Q213" s="1018"/>
      <c r="R213" s="1018"/>
      <c r="S213" s="1018"/>
      <c r="T213" s="1019"/>
      <c r="U213" s="1098" t="s">
        <v>2813</v>
      </c>
      <c r="V213" s="1099" t="s">
        <v>1942</v>
      </c>
      <c r="W213" s="1099" t="s">
        <v>1942</v>
      </c>
      <c r="X213" s="1100" t="s">
        <v>2032</v>
      </c>
      <c r="Y213" s="1101" t="s">
        <v>2033</v>
      </c>
      <c r="Z213" s="1102" t="s">
        <v>1942</v>
      </c>
      <c r="AA213" s="1103" t="s">
        <v>1942</v>
      </c>
      <c r="AB213" s="1104" t="s">
        <v>1942</v>
      </c>
      <c r="AC213" s="1104" t="s">
        <v>1942</v>
      </c>
      <c r="AD213" s="1104" t="s">
        <v>1942</v>
      </c>
      <c r="AE213" s="1104" t="s">
        <v>1942</v>
      </c>
      <c r="AF213" s="1104" t="s">
        <v>1942</v>
      </c>
      <c r="AG213" s="1104" t="s">
        <v>1942</v>
      </c>
      <c r="AH213" s="1104" t="s">
        <v>1942</v>
      </c>
      <c r="AI213" s="1105">
        <f t="shared" si="3"/>
        <v>0</v>
      </c>
      <c r="AJ213" s="1106" t="s">
        <v>1007</v>
      </c>
      <c r="AK213" s="1106" t="s">
        <v>1942</v>
      </c>
      <c r="AL213" s="1106" t="s">
        <v>1942</v>
      </c>
      <c r="AM213" s="1107" t="s">
        <v>1942</v>
      </c>
      <c r="AN213" s="1018" t="s">
        <v>1942</v>
      </c>
      <c r="AO213" s="1018" t="s">
        <v>2034</v>
      </c>
      <c r="AP213" s="1275">
        <v>0</v>
      </c>
      <c r="AQ213" s="1076" t="s">
        <v>1942</v>
      </c>
      <c r="AR213" s="1109" t="s">
        <v>1942</v>
      </c>
      <c r="AS213" s="1110"/>
      <c r="AT213" s="1100"/>
      <c r="AU213" s="1100"/>
      <c r="AV213" s="1100"/>
      <c r="AW213" s="1111"/>
      <c r="AX213" s="1112"/>
      <c r="AY213" s="1075"/>
      <c r="AZ213" s="1076"/>
      <c r="BA213" s="1076"/>
      <c r="BB213" s="1076"/>
      <c r="BC213" s="1076"/>
      <c r="BD213" s="1076"/>
      <c r="BE213" s="1076"/>
      <c r="BF213" s="1076"/>
      <c r="BG213" s="1076"/>
      <c r="BH213" s="1076"/>
      <c r="BI213" s="1420"/>
      <c r="BJ213" s="1368"/>
      <c r="BK213" s="1368"/>
      <c r="BL213" s="1368"/>
      <c r="BM213" s="1368"/>
      <c r="BN213" s="1075"/>
      <c r="BO213" s="1076"/>
      <c r="BP213" s="1076"/>
      <c r="BQ213" s="1076"/>
      <c r="BR213" s="1076"/>
      <c r="BS213" s="1115"/>
      <c r="BT213" s="1076"/>
      <c r="BU213" s="1076"/>
      <c r="BV213" s="1076"/>
      <c r="BW213" s="1116"/>
      <c r="BX213" s="1115"/>
      <c r="BY213" s="1076"/>
      <c r="BZ213" s="1076"/>
      <c r="CA213" s="1076"/>
      <c r="CB213" s="1116"/>
      <c r="CC213" s="1117"/>
      <c r="CD213" s="1376"/>
      <c r="CE213" s="1377"/>
      <c r="CF213" s="1377"/>
      <c r="CG213" s="1377"/>
      <c r="CH213" s="1440"/>
      <c r="CI213" s="1420"/>
      <c r="CJ213" s="1368"/>
      <c r="CK213" s="1368"/>
      <c r="CL213" s="1368"/>
      <c r="CM213" s="1369"/>
      <c r="CN213" s="1420"/>
      <c r="CO213" s="1368"/>
      <c r="CP213" s="1368"/>
      <c r="CQ213" s="1368"/>
      <c r="CR213" s="1369"/>
      <c r="CS213" s="1420"/>
      <c r="CT213" s="1368"/>
      <c r="CU213" s="1368"/>
      <c r="CV213" s="1368"/>
      <c r="CW213" s="1369"/>
      <c r="CX213" s="1420"/>
      <c r="CY213" s="1368"/>
      <c r="CZ213" s="1368"/>
      <c r="DA213" s="1368"/>
      <c r="DB213" s="1369"/>
      <c r="DC213" s="1368"/>
      <c r="DD213" s="1368"/>
      <c r="DE213" s="1368"/>
      <c r="DF213" s="1368"/>
      <c r="DG213" s="1369"/>
      <c r="DH213" s="1420"/>
      <c r="DI213" s="1368"/>
      <c r="DJ213" s="1368"/>
      <c r="DK213" s="1368"/>
      <c r="DL213" s="1369"/>
      <c r="DM213" s="1808"/>
      <c r="DN213" s="1809"/>
      <c r="DO213" s="1809"/>
      <c r="DP213" s="1810"/>
      <c r="DQ213" s="1809"/>
      <c r="DR213" s="1809"/>
      <c r="DS213" s="1809"/>
      <c r="DT213" s="1810"/>
      <c r="DU213" s="1377"/>
      <c r="DV213" s="1729"/>
      <c r="DW213" s="1811"/>
    </row>
    <row r="214" spans="1:127" s="397" customFormat="1" ht="15.75" hidden="1" customHeight="1">
      <c r="A214" s="1097" t="s">
        <v>1068</v>
      </c>
      <c r="B214" s="1057">
        <v>205</v>
      </c>
      <c r="C214" s="1018"/>
      <c r="D214" s="1018"/>
      <c r="E214" s="1018"/>
      <c r="F214" s="1018"/>
      <c r="G214" s="1018"/>
      <c r="H214" s="1018"/>
      <c r="I214" s="1018"/>
      <c r="J214" s="1018"/>
      <c r="K214" s="1018"/>
      <c r="L214" s="1018"/>
      <c r="M214" s="1057"/>
      <c r="N214" s="1018"/>
      <c r="O214" s="1018"/>
      <c r="P214" s="1018"/>
      <c r="Q214" s="1018"/>
      <c r="R214" s="1018"/>
      <c r="S214" s="1018"/>
      <c r="T214" s="1019"/>
      <c r="U214" s="1098" t="s">
        <v>2814</v>
      </c>
      <c r="V214" s="1099" t="s">
        <v>1942</v>
      </c>
      <c r="W214" s="1099" t="s">
        <v>1942</v>
      </c>
      <c r="X214" s="1100" t="s">
        <v>2815</v>
      </c>
      <c r="Y214" s="1101" t="s">
        <v>2143</v>
      </c>
      <c r="Z214" s="1102" t="s">
        <v>1942</v>
      </c>
      <c r="AA214" s="1103">
        <v>1</v>
      </c>
      <c r="AB214" s="1104" t="s">
        <v>1942</v>
      </c>
      <c r="AC214" s="1104" t="s">
        <v>1942</v>
      </c>
      <c r="AD214" s="1104" t="s">
        <v>1942</v>
      </c>
      <c r="AE214" s="1104" t="s">
        <v>1942</v>
      </c>
      <c r="AF214" s="1104" t="s">
        <v>1942</v>
      </c>
      <c r="AG214" s="1104" t="s">
        <v>1942</v>
      </c>
      <c r="AH214" s="1104" t="s">
        <v>1942</v>
      </c>
      <c r="AI214" s="1105">
        <f t="shared" si="3"/>
        <v>1</v>
      </c>
      <c r="AJ214" s="1106" t="s">
        <v>1026</v>
      </c>
      <c r="AK214" s="1106" t="s">
        <v>1008</v>
      </c>
      <c r="AL214" s="1106" t="s">
        <v>1009</v>
      </c>
      <c r="AM214" s="1107" t="s">
        <v>1942</v>
      </c>
      <c r="AN214" s="1018" t="s">
        <v>1942</v>
      </c>
      <c r="AO214" s="1018" t="s">
        <v>2816</v>
      </c>
      <c r="AP214" s="1275">
        <v>0</v>
      </c>
      <c r="AQ214" s="1076" t="s">
        <v>1010</v>
      </c>
      <c r="AR214" s="1109" t="s">
        <v>1942</v>
      </c>
      <c r="AS214" s="1110"/>
      <c r="AT214" s="1100"/>
      <c r="AU214" s="1100"/>
      <c r="AV214" s="1100"/>
      <c r="AW214" s="1111"/>
      <c r="AX214" s="1112"/>
      <c r="AY214" s="1075"/>
      <c r="AZ214" s="1076"/>
      <c r="BA214" s="1076"/>
      <c r="BB214" s="1076"/>
      <c r="BC214" s="1076"/>
      <c r="BD214" s="1076"/>
      <c r="BE214" s="1076"/>
      <c r="BF214" s="1076"/>
      <c r="BG214" s="1076"/>
      <c r="BH214" s="1076"/>
      <c r="BI214" s="1420"/>
      <c r="BJ214" s="1368"/>
      <c r="BK214" s="1368"/>
      <c r="BL214" s="1368"/>
      <c r="BM214" s="1368"/>
      <c r="BN214" s="1075"/>
      <c r="BO214" s="1076"/>
      <c r="BP214" s="1076"/>
      <c r="BQ214" s="1076"/>
      <c r="BR214" s="1076"/>
      <c r="BS214" s="1115"/>
      <c r="BT214" s="1076"/>
      <c r="BU214" s="1076"/>
      <c r="BV214" s="1076"/>
      <c r="BW214" s="1116"/>
      <c r="BX214" s="1115"/>
      <c r="BY214" s="1076"/>
      <c r="BZ214" s="1076"/>
      <c r="CA214" s="1076"/>
      <c r="CB214" s="1116"/>
      <c r="CC214" s="1117"/>
      <c r="CD214" s="1376"/>
      <c r="CE214" s="1377"/>
      <c r="CF214" s="1377"/>
      <c r="CG214" s="1377"/>
      <c r="CH214" s="1440"/>
      <c r="CI214" s="1420"/>
      <c r="CJ214" s="1368"/>
      <c r="CK214" s="1368"/>
      <c r="CL214" s="1368"/>
      <c r="CM214" s="1369"/>
      <c r="CN214" s="1420"/>
      <c r="CO214" s="1368"/>
      <c r="CP214" s="1368"/>
      <c r="CQ214" s="1368"/>
      <c r="CR214" s="1369"/>
      <c r="CS214" s="1420"/>
      <c r="CT214" s="1368"/>
      <c r="CU214" s="1368"/>
      <c r="CV214" s="1368"/>
      <c r="CW214" s="1369"/>
      <c r="CX214" s="1420"/>
      <c r="CY214" s="1368"/>
      <c r="CZ214" s="1368"/>
      <c r="DA214" s="1368"/>
      <c r="DB214" s="1369"/>
      <c r="DC214" s="1368"/>
      <c r="DD214" s="1368"/>
      <c r="DE214" s="1368"/>
      <c r="DF214" s="1368"/>
      <c r="DG214" s="1369"/>
      <c r="DH214" s="1420"/>
      <c r="DI214" s="1368"/>
      <c r="DJ214" s="1368"/>
      <c r="DK214" s="1368"/>
      <c r="DL214" s="1369"/>
      <c r="DM214" s="1808"/>
      <c r="DN214" s="1809"/>
      <c r="DO214" s="1809"/>
      <c r="DP214" s="1810"/>
      <c r="DQ214" s="1809"/>
      <c r="DR214" s="1809"/>
      <c r="DS214" s="1809"/>
      <c r="DT214" s="1810"/>
      <c r="DU214" s="1377"/>
      <c r="DV214" s="1729"/>
      <c r="DW214" s="1811"/>
    </row>
    <row r="215" spans="1:127" s="397" customFormat="1" ht="15.75" hidden="1" customHeight="1">
      <c r="A215" s="1097" t="s">
        <v>1068</v>
      </c>
      <c r="B215" s="1057">
        <v>206</v>
      </c>
      <c r="C215" s="1018"/>
      <c r="D215" s="1018"/>
      <c r="E215" s="1018"/>
      <c r="F215" s="1018"/>
      <c r="G215" s="1018"/>
      <c r="H215" s="1018"/>
      <c r="I215" s="1018"/>
      <c r="J215" s="1018"/>
      <c r="K215" s="1018"/>
      <c r="L215" s="1018"/>
      <c r="M215" s="1057"/>
      <c r="N215" s="1018"/>
      <c r="O215" s="1018"/>
      <c r="P215" s="1018"/>
      <c r="Q215" s="1018"/>
      <c r="R215" s="1018"/>
      <c r="S215" s="1018"/>
      <c r="T215" s="1019"/>
      <c r="U215" s="1098" t="s">
        <v>4839</v>
      </c>
      <c r="V215" s="1099" t="s">
        <v>1942</v>
      </c>
      <c r="W215" s="1099" t="s">
        <v>1942</v>
      </c>
      <c r="X215" s="1100" t="s">
        <v>1052</v>
      </c>
      <c r="Y215" s="1101" t="s">
        <v>2818</v>
      </c>
      <c r="Z215" s="1102" t="s">
        <v>1942</v>
      </c>
      <c r="AA215" s="1103" t="s">
        <v>1942</v>
      </c>
      <c r="AB215" s="1104" t="s">
        <v>1942</v>
      </c>
      <c r="AC215" s="1104" t="s">
        <v>1942</v>
      </c>
      <c r="AD215" s="1104" t="s">
        <v>1942</v>
      </c>
      <c r="AE215" s="1104" t="s">
        <v>1942</v>
      </c>
      <c r="AF215" s="1104" t="s">
        <v>1942</v>
      </c>
      <c r="AG215" s="1104" t="s">
        <v>1942</v>
      </c>
      <c r="AH215" s="1104" t="s">
        <v>1942</v>
      </c>
      <c r="AI215" s="1105">
        <f t="shared" si="3"/>
        <v>0</v>
      </c>
      <c r="AJ215" s="1106" t="s">
        <v>1942</v>
      </c>
      <c r="AK215" s="1106" t="s">
        <v>1942</v>
      </c>
      <c r="AL215" s="1106" t="s">
        <v>1942</v>
      </c>
      <c r="AM215" s="1107" t="s">
        <v>1942</v>
      </c>
      <c r="AN215" s="1018"/>
      <c r="AO215" s="1018"/>
      <c r="AP215" s="1275">
        <v>0</v>
      </c>
      <c r="AQ215" s="1076"/>
      <c r="AR215" s="1109" t="s">
        <v>1942</v>
      </c>
      <c r="AS215" s="1110"/>
      <c r="AT215" s="1100"/>
      <c r="AU215" s="1100"/>
      <c r="AV215" s="1100"/>
      <c r="AW215" s="1111"/>
      <c r="AX215" s="1112"/>
      <c r="AY215" s="1075"/>
      <c r="AZ215" s="1076"/>
      <c r="BA215" s="1076"/>
      <c r="BB215" s="1076"/>
      <c r="BC215" s="1076"/>
      <c r="BD215" s="1076"/>
      <c r="BE215" s="1076"/>
      <c r="BF215" s="1076"/>
      <c r="BG215" s="1076"/>
      <c r="BH215" s="1076"/>
      <c r="BI215" s="1420"/>
      <c r="BJ215" s="1368"/>
      <c r="BK215" s="1368"/>
      <c r="BL215" s="1368"/>
      <c r="BM215" s="1368"/>
      <c r="BN215" s="1075"/>
      <c r="BO215" s="1076"/>
      <c r="BP215" s="1076"/>
      <c r="BQ215" s="1076"/>
      <c r="BR215" s="1076"/>
      <c r="BS215" s="1115"/>
      <c r="BT215" s="1076"/>
      <c r="BU215" s="1076"/>
      <c r="BV215" s="1076"/>
      <c r="BW215" s="1116"/>
      <c r="BX215" s="1115"/>
      <c r="BY215" s="1076"/>
      <c r="BZ215" s="1076"/>
      <c r="CA215" s="1076"/>
      <c r="CB215" s="1116"/>
      <c r="CC215" s="1117"/>
      <c r="CD215" s="1376"/>
      <c r="CE215" s="1377"/>
      <c r="CF215" s="1377"/>
      <c r="CG215" s="1377"/>
      <c r="CH215" s="1440"/>
      <c r="CI215" s="1420"/>
      <c r="CJ215" s="1368"/>
      <c r="CK215" s="1368"/>
      <c r="CL215" s="1368"/>
      <c r="CM215" s="1369"/>
      <c r="CN215" s="1420"/>
      <c r="CO215" s="1368"/>
      <c r="CP215" s="1368"/>
      <c r="CQ215" s="1368"/>
      <c r="CR215" s="1369"/>
      <c r="CS215" s="1420"/>
      <c r="CT215" s="1368"/>
      <c r="CU215" s="1368"/>
      <c r="CV215" s="1368"/>
      <c r="CW215" s="1369"/>
      <c r="CX215" s="1420"/>
      <c r="CY215" s="1368"/>
      <c r="CZ215" s="1368"/>
      <c r="DA215" s="1368"/>
      <c r="DB215" s="1369"/>
      <c r="DC215" s="1368"/>
      <c r="DD215" s="1368"/>
      <c r="DE215" s="1368"/>
      <c r="DF215" s="1368"/>
      <c r="DG215" s="1369"/>
      <c r="DH215" s="1420"/>
      <c r="DI215" s="1368"/>
      <c r="DJ215" s="1368"/>
      <c r="DK215" s="1368"/>
      <c r="DL215" s="1369"/>
      <c r="DM215" s="1808"/>
      <c r="DN215" s="1809"/>
      <c r="DO215" s="1809"/>
      <c r="DP215" s="1810"/>
      <c r="DQ215" s="1809"/>
      <c r="DR215" s="1809"/>
      <c r="DS215" s="1809"/>
      <c r="DT215" s="1810"/>
      <c r="DU215" s="1377"/>
      <c r="DV215" s="1729"/>
      <c r="DW215" s="1811"/>
    </row>
    <row r="216" spans="1:127" s="397" customFormat="1" ht="15.75" hidden="1" customHeight="1">
      <c r="A216" s="1054" t="s">
        <v>1071</v>
      </c>
      <c r="B216" s="1055">
        <v>207</v>
      </c>
      <c r="C216" s="1143"/>
      <c r="D216" s="1143"/>
      <c r="E216" s="1143"/>
      <c r="F216" s="1143"/>
      <c r="G216" s="1143"/>
      <c r="H216" s="1143"/>
      <c r="I216" s="1143"/>
      <c r="J216" s="1143"/>
      <c r="K216" s="1143"/>
      <c r="L216" s="1143"/>
      <c r="M216" s="1055"/>
      <c r="N216" s="1143"/>
      <c r="O216" s="1143"/>
      <c r="P216" s="1143"/>
      <c r="Q216" s="1143"/>
      <c r="R216" s="1143"/>
      <c r="S216" s="1143"/>
      <c r="T216" s="1058"/>
      <c r="U216" s="1059" t="s">
        <v>2820</v>
      </c>
      <c r="V216" s="1060" t="s">
        <v>2821</v>
      </c>
      <c r="W216" s="1060" t="s">
        <v>1896</v>
      </c>
      <c r="X216" s="1061" t="s">
        <v>2822</v>
      </c>
      <c r="Y216" s="1062" t="s">
        <v>137</v>
      </c>
      <c r="Z216" s="1063" t="s">
        <v>2823</v>
      </c>
      <c r="AA216" s="1064" t="s">
        <v>1942</v>
      </c>
      <c r="AB216" s="1065">
        <v>1</v>
      </c>
      <c r="AC216" s="1065" t="s">
        <v>1942</v>
      </c>
      <c r="AD216" s="1065" t="s">
        <v>1942</v>
      </c>
      <c r="AE216" s="1065" t="s">
        <v>1942</v>
      </c>
      <c r="AF216" s="1065" t="s">
        <v>1942</v>
      </c>
      <c r="AG216" s="1065" t="s">
        <v>1942</v>
      </c>
      <c r="AH216" s="1065" t="s">
        <v>1942</v>
      </c>
      <c r="AI216" s="1066">
        <f t="shared" si="3"/>
        <v>1</v>
      </c>
      <c r="AJ216" s="1067" t="s">
        <v>1030</v>
      </c>
      <c r="AK216" s="1067" t="s">
        <v>1008</v>
      </c>
      <c r="AL216" s="1067" t="s">
        <v>1009</v>
      </c>
      <c r="AM216" s="1068" t="s">
        <v>1892</v>
      </c>
      <c r="AN216" s="1062" t="s">
        <v>4789</v>
      </c>
      <c r="AO216" s="1062" t="s">
        <v>4790</v>
      </c>
      <c r="AP216" s="1306">
        <v>0</v>
      </c>
      <c r="AQ216" s="1080" t="s">
        <v>1020</v>
      </c>
      <c r="AR216" s="1071" t="s">
        <v>137</v>
      </c>
      <c r="AS216" s="1072"/>
      <c r="AT216" s="1061"/>
      <c r="AU216" s="1061"/>
      <c r="AV216" s="1061"/>
      <c r="AW216" s="1073"/>
      <c r="AX216" s="1074"/>
      <c r="AY216" s="1079"/>
      <c r="AZ216" s="1080"/>
      <c r="BA216" s="1080"/>
      <c r="BB216" s="1080"/>
      <c r="BC216" s="1080"/>
      <c r="BD216" s="1080"/>
      <c r="BE216" s="1080"/>
      <c r="BF216" s="1080"/>
      <c r="BG216" s="1135"/>
      <c r="BH216" s="1135"/>
      <c r="BI216" s="1136">
        <v>4.5138888888888893E-3</v>
      </c>
      <c r="BJ216" s="1135">
        <v>4.2592592592592595E-3</v>
      </c>
      <c r="BK216" s="1135">
        <v>3.9930555555555561E-3</v>
      </c>
      <c r="BL216" s="1135">
        <v>3.7384259259259263E-3</v>
      </c>
      <c r="BM216" s="1135">
        <v>3.472222222222222E-3</v>
      </c>
      <c r="BN216" s="1079"/>
      <c r="BO216" s="1080"/>
      <c r="BP216" s="1080"/>
      <c r="BQ216" s="1080"/>
      <c r="BR216" s="1080"/>
      <c r="BS216" s="1081"/>
      <c r="BT216" s="1080"/>
      <c r="BU216" s="1080"/>
      <c r="BV216" s="1080"/>
      <c r="BW216" s="1082"/>
      <c r="BX216" s="1081"/>
      <c r="BY216" s="1080"/>
      <c r="BZ216" s="1080"/>
      <c r="CA216" s="1080"/>
      <c r="CB216" s="1082"/>
      <c r="CC216" s="1083"/>
      <c r="CD216" s="1084" t="s">
        <v>168</v>
      </c>
      <c r="CE216" s="1085" t="s">
        <v>168</v>
      </c>
      <c r="CF216" s="1085" t="s">
        <v>168</v>
      </c>
      <c r="CG216" s="1085" t="s">
        <v>168</v>
      </c>
      <c r="CH216" s="1086" t="s">
        <v>168</v>
      </c>
      <c r="CI216" s="1370">
        <v>1.3391203703703704E-2</v>
      </c>
      <c r="CJ216" s="1371">
        <v>1.3391203703703704E-2</v>
      </c>
      <c r="CK216" s="1371">
        <v>1.3391203703703704E-2</v>
      </c>
      <c r="CL216" s="1371">
        <v>1.3391203703703704E-2</v>
      </c>
      <c r="CM216" s="1372">
        <v>1.3391203703703704E-2</v>
      </c>
      <c r="CN216" s="1370">
        <v>1.1793981481481482E-2</v>
      </c>
      <c r="CO216" s="1371">
        <v>1.1793981481481482E-2</v>
      </c>
      <c r="CP216" s="1371">
        <v>1.1793981481481482E-2</v>
      </c>
      <c r="CQ216" s="1371">
        <v>1.1793981481481482E-2</v>
      </c>
      <c r="CR216" s="1372">
        <v>1.1793981481481482E-2</v>
      </c>
      <c r="CS216" s="1359"/>
      <c r="CT216" s="1360"/>
      <c r="CU216" s="1360"/>
      <c r="CV216" s="1360"/>
      <c r="CW216" s="1361"/>
      <c r="CX216" s="1359"/>
      <c r="CY216" s="1360"/>
      <c r="CZ216" s="1360"/>
      <c r="DA216" s="1360"/>
      <c r="DB216" s="1361"/>
      <c r="DC216" s="1444">
        <v>9.2592592592592585E-4</v>
      </c>
      <c r="DD216" s="1371">
        <v>8.7962962962962962E-4</v>
      </c>
      <c r="DE216" s="1371">
        <v>8.2175925925925917E-4</v>
      </c>
      <c r="DF216" s="1371">
        <v>7.7546296296296304E-4</v>
      </c>
      <c r="DG216" s="1139">
        <v>7.291666666666667E-4</v>
      </c>
      <c r="DH216" s="1089" t="s">
        <v>4805</v>
      </c>
      <c r="DI216" s="1080" t="s">
        <v>4805</v>
      </c>
      <c r="DJ216" s="1080" t="s">
        <v>4805</v>
      </c>
      <c r="DK216" s="1080" t="s">
        <v>4805</v>
      </c>
      <c r="DL216" s="1083" t="s">
        <v>4805</v>
      </c>
      <c r="DM216" s="1091">
        <v>-0.121</v>
      </c>
      <c r="DN216" s="1092" t="s">
        <v>1942</v>
      </c>
      <c r="DO216" s="1092" t="s">
        <v>1942</v>
      </c>
      <c r="DP216" s="1093">
        <v>-0.39</v>
      </c>
      <c r="DQ216" s="1092">
        <v>0.121</v>
      </c>
      <c r="DR216" s="1092" t="s">
        <v>1942</v>
      </c>
      <c r="DS216" s="1092" t="s">
        <v>1942</v>
      </c>
      <c r="DT216" s="1093">
        <v>0.36199999999999999</v>
      </c>
      <c r="DU216" s="1085" t="s">
        <v>1942</v>
      </c>
      <c r="DV216" s="1094" t="s">
        <v>1942</v>
      </c>
      <c r="DW216" s="1095" t="s">
        <v>1942</v>
      </c>
    </row>
    <row r="217" spans="1:127" s="397" customFormat="1" ht="15.75" hidden="1" customHeight="1">
      <c r="A217" s="1097" t="s">
        <v>1071</v>
      </c>
      <c r="B217" s="1057">
        <v>208</v>
      </c>
      <c r="C217" s="1018"/>
      <c r="D217" s="1018"/>
      <c r="E217" s="1018"/>
      <c r="F217" s="1018"/>
      <c r="G217" s="1018"/>
      <c r="H217" s="1018"/>
      <c r="I217" s="1018"/>
      <c r="J217" s="1018"/>
      <c r="K217" s="1018"/>
      <c r="L217" s="1018"/>
      <c r="M217" s="1057"/>
      <c r="N217" s="1018"/>
      <c r="O217" s="1018"/>
      <c r="P217" s="1018"/>
      <c r="Q217" s="1018"/>
      <c r="R217" s="1018"/>
      <c r="S217" s="1018"/>
      <c r="T217" s="1019"/>
      <c r="U217" s="1098" t="s">
        <v>2825</v>
      </c>
      <c r="V217" s="1099" t="s">
        <v>2821</v>
      </c>
      <c r="W217" s="1099" t="s">
        <v>1896</v>
      </c>
      <c r="X217" s="1100" t="s">
        <v>2826</v>
      </c>
      <c r="Y217" s="1101" t="s">
        <v>161</v>
      </c>
      <c r="Z217" s="1102" t="s">
        <v>2823</v>
      </c>
      <c r="AA217" s="1103" t="s">
        <v>1942</v>
      </c>
      <c r="AB217" s="1104">
        <v>1</v>
      </c>
      <c r="AC217" s="1104" t="s">
        <v>1942</v>
      </c>
      <c r="AD217" s="1104" t="s">
        <v>1942</v>
      </c>
      <c r="AE217" s="1104" t="s">
        <v>1942</v>
      </c>
      <c r="AF217" s="1104" t="s">
        <v>1942</v>
      </c>
      <c r="AG217" s="1104" t="s">
        <v>1942</v>
      </c>
      <c r="AH217" s="1104" t="s">
        <v>1942</v>
      </c>
      <c r="AI217" s="1105">
        <f t="shared" si="3"/>
        <v>1</v>
      </c>
      <c r="AJ217" s="1106" t="s">
        <v>1026</v>
      </c>
      <c r="AK217" s="1106" t="s">
        <v>1008</v>
      </c>
      <c r="AL217" s="1106" t="s">
        <v>1009</v>
      </c>
      <c r="AM217" s="1107" t="s">
        <v>2074</v>
      </c>
      <c r="AN217" s="1018" t="s">
        <v>2177</v>
      </c>
      <c r="AO217" s="1018" t="s">
        <v>4794</v>
      </c>
      <c r="AP217" s="1307">
        <v>1</v>
      </c>
      <c r="AQ217" s="1076" t="s">
        <v>1020</v>
      </c>
      <c r="AR217" s="1109" t="s">
        <v>161</v>
      </c>
      <c r="AS217" s="1110"/>
      <c r="AT217" s="1100"/>
      <c r="AU217" s="1100"/>
      <c r="AV217" s="1100"/>
      <c r="AW217" s="1111"/>
      <c r="AX217" s="1112"/>
      <c r="AY217" s="1075"/>
      <c r="AZ217" s="1076"/>
      <c r="BA217" s="1076"/>
      <c r="BB217" s="1076"/>
      <c r="BC217" s="1076"/>
      <c r="BD217" s="1076"/>
      <c r="BE217" s="1076"/>
      <c r="BF217" s="1076"/>
      <c r="BG217" s="1113"/>
      <c r="BH217" s="1113"/>
      <c r="BI217" s="1114">
        <v>66.5</v>
      </c>
      <c r="BJ217" s="1113">
        <v>64.599999999999994</v>
      </c>
      <c r="BK217" s="1113">
        <v>62.7</v>
      </c>
      <c r="BL217" s="1113">
        <v>60.9</v>
      </c>
      <c r="BM217" s="1113">
        <v>59</v>
      </c>
      <c r="BN217" s="1075"/>
      <c r="BO217" s="1076"/>
      <c r="BP217" s="1076"/>
      <c r="BQ217" s="1076"/>
      <c r="BR217" s="1076"/>
      <c r="BS217" s="1115"/>
      <c r="BT217" s="1076"/>
      <c r="BU217" s="1076"/>
      <c r="BV217" s="1076"/>
      <c r="BW217" s="1116"/>
      <c r="BX217" s="1115"/>
      <c r="BY217" s="1076"/>
      <c r="BZ217" s="1076"/>
      <c r="CA217" s="1076"/>
      <c r="CB217" s="1116"/>
      <c r="CC217" s="1117"/>
      <c r="CD217" s="1118" t="s">
        <v>168</v>
      </c>
      <c r="CE217" s="1119" t="s">
        <v>168</v>
      </c>
      <c r="CF217" s="1119" t="s">
        <v>168</v>
      </c>
      <c r="CG217" s="1119" t="s">
        <v>168</v>
      </c>
      <c r="CH217" s="1120" t="s">
        <v>168</v>
      </c>
      <c r="CI217" s="1075" t="s">
        <v>1942</v>
      </c>
      <c r="CJ217" s="1076" t="s">
        <v>1942</v>
      </c>
      <c r="CK217" s="1076" t="s">
        <v>1942</v>
      </c>
      <c r="CL217" s="1076" t="s">
        <v>1942</v>
      </c>
      <c r="CM217" s="1117" t="s">
        <v>1942</v>
      </c>
      <c r="CN217" s="1075" t="s">
        <v>1942</v>
      </c>
      <c r="CO217" s="1076" t="s">
        <v>1942</v>
      </c>
      <c r="CP217" s="1076" t="s">
        <v>1942</v>
      </c>
      <c r="CQ217" s="1076" t="s">
        <v>1942</v>
      </c>
      <c r="CR217" s="1117" t="s">
        <v>1942</v>
      </c>
      <c r="CS217" s="1075" t="s">
        <v>1942</v>
      </c>
      <c r="CT217" s="1076" t="s">
        <v>1942</v>
      </c>
      <c r="CU217" s="1076" t="s">
        <v>1942</v>
      </c>
      <c r="CV217" s="1076" t="s">
        <v>1942</v>
      </c>
      <c r="CW217" s="1117" t="s">
        <v>1942</v>
      </c>
      <c r="CX217" s="1075" t="s">
        <v>1942</v>
      </c>
      <c r="CY217" s="1076" t="s">
        <v>1942</v>
      </c>
      <c r="CZ217" s="1076" t="s">
        <v>1942</v>
      </c>
      <c r="DA217" s="1076" t="s">
        <v>1942</v>
      </c>
      <c r="DB217" s="1117" t="s">
        <v>1942</v>
      </c>
      <c r="DC217" s="1076" t="s">
        <v>1942</v>
      </c>
      <c r="DD217" s="1076" t="s">
        <v>1942</v>
      </c>
      <c r="DE217" s="1076" t="s">
        <v>1942</v>
      </c>
      <c r="DF217" s="1076" t="s">
        <v>1942</v>
      </c>
      <c r="DG217" s="1117" t="s">
        <v>1942</v>
      </c>
      <c r="DH217" s="1075" t="s">
        <v>1942</v>
      </c>
      <c r="DI217" s="1076" t="s">
        <v>1942</v>
      </c>
      <c r="DJ217" s="1076" t="s">
        <v>1942</v>
      </c>
      <c r="DK217" s="1076" t="s">
        <v>1942</v>
      </c>
      <c r="DL217" s="1117" t="s">
        <v>1942</v>
      </c>
      <c r="DM217" s="1121">
        <v>-2.1999999999999999E-2</v>
      </c>
      <c r="DN217" s="1122" t="s">
        <v>1942</v>
      </c>
      <c r="DO217" s="1122" t="s">
        <v>1942</v>
      </c>
      <c r="DP217" s="1123" t="s">
        <v>1942</v>
      </c>
      <c r="DQ217" s="1122">
        <v>0</v>
      </c>
      <c r="DR217" s="1122" t="s">
        <v>1942</v>
      </c>
      <c r="DS217" s="1122" t="s">
        <v>1942</v>
      </c>
      <c r="DT217" s="1123" t="s">
        <v>1942</v>
      </c>
      <c r="DU217" s="1119" t="s">
        <v>1942</v>
      </c>
      <c r="DV217" s="1124">
        <v>1</v>
      </c>
      <c r="DW217" s="1125" t="s">
        <v>1942</v>
      </c>
    </row>
    <row r="218" spans="1:127" s="397" customFormat="1" ht="15.75" hidden="1" customHeight="1">
      <c r="A218" s="1097" t="s">
        <v>1071</v>
      </c>
      <c r="B218" s="1057">
        <v>209</v>
      </c>
      <c r="C218" s="1018"/>
      <c r="D218" s="1018"/>
      <c r="E218" s="1018"/>
      <c r="F218" s="1018"/>
      <c r="G218" s="1018"/>
      <c r="H218" s="1018"/>
      <c r="I218" s="1018"/>
      <c r="J218" s="1018"/>
      <c r="K218" s="1018"/>
      <c r="L218" s="1018"/>
      <c r="M218" s="1057"/>
      <c r="N218" s="1018"/>
      <c r="O218" s="1018"/>
      <c r="P218" s="1018"/>
      <c r="Q218" s="1018"/>
      <c r="R218" s="1018"/>
      <c r="S218" s="1018"/>
      <c r="T218" s="1019"/>
      <c r="U218" s="1098" t="s">
        <v>2827</v>
      </c>
      <c r="V218" s="1099" t="s">
        <v>2821</v>
      </c>
      <c r="W218" s="1099" t="s">
        <v>1896</v>
      </c>
      <c r="X218" s="1100" t="s">
        <v>2828</v>
      </c>
      <c r="Y218" s="1101" t="s">
        <v>2829</v>
      </c>
      <c r="Z218" s="1102" t="s">
        <v>2830</v>
      </c>
      <c r="AA218" s="1103" t="s">
        <v>1942</v>
      </c>
      <c r="AB218" s="1104">
        <v>1</v>
      </c>
      <c r="AC218" s="1104" t="s">
        <v>1942</v>
      </c>
      <c r="AD218" s="1104" t="s">
        <v>1942</v>
      </c>
      <c r="AE218" s="1104" t="s">
        <v>1942</v>
      </c>
      <c r="AF218" s="1104" t="s">
        <v>1942</v>
      </c>
      <c r="AG218" s="1104" t="s">
        <v>1942</v>
      </c>
      <c r="AH218" s="1104" t="s">
        <v>1942</v>
      </c>
      <c r="AI218" s="1105">
        <f t="shared" si="3"/>
        <v>1</v>
      </c>
      <c r="AJ218" s="1106" t="s">
        <v>1026</v>
      </c>
      <c r="AK218" s="1106" t="s">
        <v>1008</v>
      </c>
      <c r="AL218" s="1106" t="s">
        <v>1009</v>
      </c>
      <c r="AM218" s="1107" t="s">
        <v>2149</v>
      </c>
      <c r="AN218" s="1018" t="s">
        <v>396</v>
      </c>
      <c r="AO218" s="1018" t="s">
        <v>4798</v>
      </c>
      <c r="AP218" s="1307">
        <v>2</v>
      </c>
      <c r="AQ218" s="1076" t="s">
        <v>1020</v>
      </c>
      <c r="AR218" s="1109"/>
      <c r="AS218" s="1110"/>
      <c r="AT218" s="1100"/>
      <c r="AU218" s="1100"/>
      <c r="AV218" s="1100"/>
      <c r="AW218" s="1111"/>
      <c r="AX218" s="1112"/>
      <c r="AY218" s="1075"/>
      <c r="AZ218" s="1076"/>
      <c r="BA218" s="1076"/>
      <c r="BB218" s="1076"/>
      <c r="BC218" s="1076"/>
      <c r="BD218" s="1076"/>
      <c r="BE218" s="1076"/>
      <c r="BF218" s="1076"/>
      <c r="BG218" s="1076"/>
      <c r="BH218" s="1076"/>
      <c r="BI218" s="1420"/>
      <c r="BJ218" s="1368"/>
      <c r="BK218" s="1368"/>
      <c r="BL218" s="1368"/>
      <c r="BM218" s="1368"/>
      <c r="BN218" s="1075"/>
      <c r="BO218" s="1076"/>
      <c r="BP218" s="1076"/>
      <c r="BQ218" s="1076"/>
      <c r="BR218" s="1076"/>
      <c r="BS218" s="1115"/>
      <c r="BT218" s="1076"/>
      <c r="BU218" s="1076"/>
      <c r="BV218" s="1076"/>
      <c r="BW218" s="1116"/>
      <c r="BX218" s="1115"/>
      <c r="BY218" s="1076"/>
      <c r="BZ218" s="1076"/>
      <c r="CA218" s="1076"/>
      <c r="CB218" s="1116"/>
      <c r="CC218" s="1117"/>
      <c r="CD218" s="1376"/>
      <c r="CE218" s="1377"/>
      <c r="CF218" s="1377"/>
      <c r="CG218" s="1377"/>
      <c r="CH218" s="1440"/>
      <c r="CI218" s="1420"/>
      <c r="CJ218" s="1368"/>
      <c r="CK218" s="1368"/>
      <c r="CL218" s="1368"/>
      <c r="CM218" s="1369"/>
      <c r="CN218" s="1420"/>
      <c r="CO218" s="1368"/>
      <c r="CP218" s="1368"/>
      <c r="CQ218" s="1368"/>
      <c r="CR218" s="1369"/>
      <c r="CS218" s="1420"/>
      <c r="CT218" s="1368"/>
      <c r="CU218" s="1368"/>
      <c r="CV218" s="1368"/>
      <c r="CW218" s="1369"/>
      <c r="CX218" s="1420"/>
      <c r="CY218" s="1368"/>
      <c r="CZ218" s="1368"/>
      <c r="DA218" s="1368"/>
      <c r="DB218" s="1369"/>
      <c r="DC218" s="1368"/>
      <c r="DD218" s="1368"/>
      <c r="DE218" s="1368"/>
      <c r="DF218" s="1368"/>
      <c r="DG218" s="1369"/>
      <c r="DH218" s="1420"/>
      <c r="DI218" s="1368"/>
      <c r="DJ218" s="1368"/>
      <c r="DK218" s="1368"/>
      <c r="DL218" s="1369"/>
      <c r="DM218" s="1808"/>
      <c r="DN218" s="1809"/>
      <c r="DO218" s="1809"/>
      <c r="DP218" s="1810"/>
      <c r="DQ218" s="1809"/>
      <c r="DR218" s="1809"/>
      <c r="DS218" s="1809"/>
      <c r="DT218" s="1810"/>
      <c r="DU218" s="1377"/>
      <c r="DV218" s="1729"/>
      <c r="DW218" s="1811"/>
    </row>
    <row r="219" spans="1:127" s="397" customFormat="1" ht="15.75" hidden="1" customHeight="1">
      <c r="A219" s="1097" t="s">
        <v>1071</v>
      </c>
      <c r="B219" s="1057">
        <v>210</v>
      </c>
      <c r="C219" s="1018"/>
      <c r="D219" s="1018"/>
      <c r="E219" s="1018"/>
      <c r="F219" s="1018"/>
      <c r="G219" s="1018"/>
      <c r="H219" s="1018"/>
      <c r="I219" s="1018"/>
      <c r="J219" s="1018"/>
      <c r="K219" s="1018"/>
      <c r="L219" s="1018"/>
      <c r="M219" s="1057"/>
      <c r="N219" s="1018"/>
      <c r="O219" s="1018"/>
      <c r="P219" s="1018"/>
      <c r="Q219" s="1018"/>
      <c r="R219" s="1018"/>
      <c r="S219" s="1018"/>
      <c r="T219" s="1019"/>
      <c r="U219" s="1098" t="s">
        <v>2831</v>
      </c>
      <c r="V219" s="1099" t="s">
        <v>2821</v>
      </c>
      <c r="W219" s="1099" t="s">
        <v>1889</v>
      </c>
      <c r="X219" s="1100" t="s">
        <v>2832</v>
      </c>
      <c r="Y219" s="1101" t="s">
        <v>130</v>
      </c>
      <c r="Z219" s="1102" t="s">
        <v>2823</v>
      </c>
      <c r="AA219" s="1103" t="s">
        <v>1942</v>
      </c>
      <c r="AB219" s="1104">
        <v>1</v>
      </c>
      <c r="AC219" s="1104" t="s">
        <v>1942</v>
      </c>
      <c r="AD219" s="1104" t="s">
        <v>1942</v>
      </c>
      <c r="AE219" s="1104" t="s">
        <v>1942</v>
      </c>
      <c r="AF219" s="1104" t="s">
        <v>1942</v>
      </c>
      <c r="AG219" s="1104" t="s">
        <v>1942</v>
      </c>
      <c r="AH219" s="1104" t="s">
        <v>1942</v>
      </c>
      <c r="AI219" s="1105">
        <f t="shared" si="3"/>
        <v>1</v>
      </c>
      <c r="AJ219" s="1106" t="s">
        <v>1026</v>
      </c>
      <c r="AK219" s="1106" t="s">
        <v>1008</v>
      </c>
      <c r="AL219" s="1106" t="s">
        <v>1009</v>
      </c>
      <c r="AM219" s="1107" t="s">
        <v>1926</v>
      </c>
      <c r="AN219" s="1018" t="s">
        <v>2177</v>
      </c>
      <c r="AO219" s="1018" t="s">
        <v>4795</v>
      </c>
      <c r="AP219" s="1307">
        <v>2</v>
      </c>
      <c r="AQ219" s="1076" t="s">
        <v>1020</v>
      </c>
      <c r="AR219" s="1109" t="s">
        <v>130</v>
      </c>
      <c r="AS219" s="1110"/>
      <c r="AT219" s="1100"/>
      <c r="AU219" s="1100"/>
      <c r="AV219" s="1100"/>
      <c r="AW219" s="1111"/>
      <c r="AX219" s="1112"/>
      <c r="AY219" s="1075"/>
      <c r="AZ219" s="1076"/>
      <c r="BA219" s="1076"/>
      <c r="BB219" s="1076"/>
      <c r="BC219" s="1076"/>
      <c r="BD219" s="1076"/>
      <c r="BE219" s="1076"/>
      <c r="BF219" s="1076"/>
      <c r="BG219" s="1126"/>
      <c r="BH219" s="1126"/>
      <c r="BI219" s="1127">
        <v>0</v>
      </c>
      <c r="BJ219" s="1126">
        <v>0</v>
      </c>
      <c r="BK219" s="1126">
        <v>0</v>
      </c>
      <c r="BL219" s="1126">
        <v>0</v>
      </c>
      <c r="BM219" s="1126">
        <v>0</v>
      </c>
      <c r="BN219" s="1075"/>
      <c r="BO219" s="1076"/>
      <c r="BP219" s="1076"/>
      <c r="BQ219" s="1076"/>
      <c r="BR219" s="1076"/>
      <c r="BS219" s="1115"/>
      <c r="BT219" s="1076"/>
      <c r="BU219" s="1076"/>
      <c r="BV219" s="1076"/>
      <c r="BW219" s="1116"/>
      <c r="BX219" s="1115"/>
      <c r="BY219" s="1076"/>
      <c r="BZ219" s="1076"/>
      <c r="CA219" s="1076"/>
      <c r="CB219" s="1116"/>
      <c r="CC219" s="1117"/>
      <c r="CD219" s="1118" t="s">
        <v>168</v>
      </c>
      <c r="CE219" s="1119" t="s">
        <v>168</v>
      </c>
      <c r="CF219" s="1119" t="s">
        <v>168</v>
      </c>
      <c r="CG219" s="1119" t="s">
        <v>168</v>
      </c>
      <c r="CH219" s="1120" t="s">
        <v>168</v>
      </c>
      <c r="CI219" s="1075" t="s">
        <v>1942</v>
      </c>
      <c r="CJ219" s="1076" t="s">
        <v>1942</v>
      </c>
      <c r="CK219" s="1076" t="s">
        <v>1942</v>
      </c>
      <c r="CL219" s="1076" t="s">
        <v>1942</v>
      </c>
      <c r="CM219" s="1117" t="s">
        <v>1942</v>
      </c>
      <c r="CN219" s="1075">
        <v>9.5</v>
      </c>
      <c r="CO219" s="1076">
        <v>9.5</v>
      </c>
      <c r="CP219" s="1076">
        <v>9.5</v>
      </c>
      <c r="CQ219" s="1076">
        <v>9.5</v>
      </c>
      <c r="CR219" s="1117">
        <v>9.5</v>
      </c>
      <c r="CS219" s="1075">
        <v>2</v>
      </c>
      <c r="CT219" s="1076">
        <v>2</v>
      </c>
      <c r="CU219" s="1076">
        <v>2</v>
      </c>
      <c r="CV219" s="1076">
        <v>2</v>
      </c>
      <c r="CW219" s="1117">
        <v>2</v>
      </c>
      <c r="CX219" s="1075" t="s">
        <v>1942</v>
      </c>
      <c r="CY219" s="1076" t="s">
        <v>1942</v>
      </c>
      <c r="CZ219" s="1076" t="s">
        <v>1942</v>
      </c>
      <c r="DA219" s="1076" t="s">
        <v>1942</v>
      </c>
      <c r="DB219" s="1117" t="s">
        <v>1942</v>
      </c>
      <c r="DC219" s="1076" t="s">
        <v>1942</v>
      </c>
      <c r="DD219" s="1076" t="s">
        <v>1942</v>
      </c>
      <c r="DE219" s="1076" t="s">
        <v>1942</v>
      </c>
      <c r="DF219" s="1076" t="s">
        <v>1942</v>
      </c>
      <c r="DG219" s="1117" t="s">
        <v>1942</v>
      </c>
      <c r="DH219" s="1075" t="s">
        <v>1942</v>
      </c>
      <c r="DI219" s="1076" t="s">
        <v>1942</v>
      </c>
      <c r="DJ219" s="1076" t="s">
        <v>1942</v>
      </c>
      <c r="DK219" s="1076" t="s">
        <v>1942</v>
      </c>
      <c r="DL219" s="1117" t="s">
        <v>1942</v>
      </c>
      <c r="DM219" s="1121">
        <v>-0.17499999999999999</v>
      </c>
      <c r="DN219" s="1122" t="s">
        <v>1942</v>
      </c>
      <c r="DO219" s="1122" t="s">
        <v>1942</v>
      </c>
      <c r="DP219" s="1123" t="s">
        <v>1942</v>
      </c>
      <c r="DQ219" s="1122">
        <v>0</v>
      </c>
      <c r="DR219" s="1122" t="s">
        <v>1942</v>
      </c>
      <c r="DS219" s="1122" t="s">
        <v>1942</v>
      </c>
      <c r="DT219" s="1123" t="s">
        <v>1942</v>
      </c>
      <c r="DU219" s="1119" t="s">
        <v>1942</v>
      </c>
      <c r="DV219" s="1124">
        <v>1</v>
      </c>
      <c r="DW219" s="1125" t="s">
        <v>1942</v>
      </c>
    </row>
    <row r="220" spans="1:127" s="397" customFormat="1" ht="15.75" hidden="1" customHeight="1">
      <c r="A220" s="1097" t="s">
        <v>1071</v>
      </c>
      <c r="B220" s="1057">
        <v>211</v>
      </c>
      <c r="C220" s="1018"/>
      <c r="D220" s="1018"/>
      <c r="E220" s="1018"/>
      <c r="F220" s="1018"/>
      <c r="G220" s="1018"/>
      <c r="H220" s="1018"/>
      <c r="I220" s="1018"/>
      <c r="J220" s="1018"/>
      <c r="K220" s="1018"/>
      <c r="L220" s="1018"/>
      <c r="M220" s="1057"/>
      <c r="N220" s="1018"/>
      <c r="O220" s="1018"/>
      <c r="P220" s="1018"/>
      <c r="Q220" s="1018"/>
      <c r="R220" s="1018"/>
      <c r="S220" s="1018"/>
      <c r="T220" s="1019"/>
      <c r="U220" s="1098" t="s">
        <v>2834</v>
      </c>
      <c r="V220" s="1099" t="s">
        <v>2835</v>
      </c>
      <c r="W220" s="1099" t="s">
        <v>1896</v>
      </c>
      <c r="X220" s="1100" t="s">
        <v>2836</v>
      </c>
      <c r="Y220" s="1101" t="s">
        <v>2837</v>
      </c>
      <c r="Z220" s="1102" t="s">
        <v>2838</v>
      </c>
      <c r="AA220" s="1103" t="s">
        <v>1942</v>
      </c>
      <c r="AB220" s="1104" t="s">
        <v>1942</v>
      </c>
      <c r="AC220" s="1104" t="s">
        <v>1942</v>
      </c>
      <c r="AD220" s="1104" t="s">
        <v>1942</v>
      </c>
      <c r="AE220" s="1104">
        <v>1</v>
      </c>
      <c r="AF220" s="1104" t="s">
        <v>1942</v>
      </c>
      <c r="AG220" s="1104" t="s">
        <v>1942</v>
      </c>
      <c r="AH220" s="1104" t="s">
        <v>1942</v>
      </c>
      <c r="AI220" s="1105">
        <f t="shared" si="3"/>
        <v>1</v>
      </c>
      <c r="AJ220" s="1106" t="s">
        <v>1026</v>
      </c>
      <c r="AK220" s="1106" t="s">
        <v>1008</v>
      </c>
      <c r="AL220" s="1106" t="s">
        <v>1009</v>
      </c>
      <c r="AM220" s="1107" t="s">
        <v>2117</v>
      </c>
      <c r="AN220" s="1018" t="s">
        <v>1033</v>
      </c>
      <c r="AO220" s="1018" t="s">
        <v>2839</v>
      </c>
      <c r="AP220" s="1274">
        <v>0</v>
      </c>
      <c r="AQ220" s="1076" t="s">
        <v>1010</v>
      </c>
      <c r="AR220" s="1109" t="s">
        <v>1942</v>
      </c>
      <c r="AS220" s="1110"/>
      <c r="AT220" s="1100"/>
      <c r="AU220" s="1100"/>
      <c r="AV220" s="1100"/>
      <c r="AW220" s="1111"/>
      <c r="AX220" s="1112"/>
      <c r="AY220" s="1075"/>
      <c r="AZ220" s="1076"/>
      <c r="BA220" s="1076"/>
      <c r="BB220" s="1076"/>
      <c r="BC220" s="1076"/>
      <c r="BD220" s="1076"/>
      <c r="BE220" s="1076"/>
      <c r="BF220" s="1076"/>
      <c r="BG220" s="1076"/>
      <c r="BH220" s="1076"/>
      <c r="BI220" s="1420"/>
      <c r="BJ220" s="1368"/>
      <c r="BK220" s="1368"/>
      <c r="BL220" s="1368"/>
      <c r="BM220" s="1368"/>
      <c r="BN220" s="1075"/>
      <c r="BO220" s="1076"/>
      <c r="BP220" s="1076"/>
      <c r="BQ220" s="1076"/>
      <c r="BR220" s="1076"/>
      <c r="BS220" s="1115"/>
      <c r="BT220" s="1076"/>
      <c r="BU220" s="1076"/>
      <c r="BV220" s="1076"/>
      <c r="BW220" s="1116"/>
      <c r="BX220" s="1115"/>
      <c r="BY220" s="1076"/>
      <c r="BZ220" s="1076"/>
      <c r="CA220" s="1076"/>
      <c r="CB220" s="1116"/>
      <c r="CC220" s="1117"/>
      <c r="CD220" s="1376"/>
      <c r="CE220" s="1377"/>
      <c r="CF220" s="1377"/>
      <c r="CG220" s="1377"/>
      <c r="CH220" s="1440"/>
      <c r="CI220" s="1420"/>
      <c r="CJ220" s="1368"/>
      <c r="CK220" s="1368"/>
      <c r="CL220" s="1368"/>
      <c r="CM220" s="1369"/>
      <c r="CN220" s="1420"/>
      <c r="CO220" s="1368"/>
      <c r="CP220" s="1368"/>
      <c r="CQ220" s="1368"/>
      <c r="CR220" s="1369"/>
      <c r="CS220" s="1420"/>
      <c r="CT220" s="1368"/>
      <c r="CU220" s="1368"/>
      <c r="CV220" s="1368"/>
      <c r="CW220" s="1369"/>
      <c r="CX220" s="1420"/>
      <c r="CY220" s="1368"/>
      <c r="CZ220" s="1368"/>
      <c r="DA220" s="1368"/>
      <c r="DB220" s="1369"/>
      <c r="DC220" s="1368"/>
      <c r="DD220" s="1368"/>
      <c r="DE220" s="1368"/>
      <c r="DF220" s="1368"/>
      <c r="DG220" s="1369"/>
      <c r="DH220" s="1420"/>
      <c r="DI220" s="1368"/>
      <c r="DJ220" s="1368"/>
      <c r="DK220" s="1368"/>
      <c r="DL220" s="1369"/>
      <c r="DM220" s="1808"/>
      <c r="DN220" s="1809"/>
      <c r="DO220" s="1809"/>
      <c r="DP220" s="1810"/>
      <c r="DQ220" s="1809"/>
      <c r="DR220" s="1809"/>
      <c r="DS220" s="1809"/>
      <c r="DT220" s="1810"/>
      <c r="DU220" s="1377"/>
      <c r="DV220" s="1729"/>
      <c r="DW220" s="1811"/>
    </row>
    <row r="221" spans="1:127" s="397" customFormat="1" ht="15.75" hidden="1" customHeight="1">
      <c r="A221" s="1097" t="s">
        <v>1071</v>
      </c>
      <c r="B221" s="1057">
        <v>212</v>
      </c>
      <c r="C221" s="1018"/>
      <c r="D221" s="1018"/>
      <c r="E221" s="1018"/>
      <c r="F221" s="1018"/>
      <c r="G221" s="1018"/>
      <c r="H221" s="1018"/>
      <c r="I221" s="1018"/>
      <c r="J221" s="1018"/>
      <c r="K221" s="1018"/>
      <c r="L221" s="1018"/>
      <c r="M221" s="1057"/>
      <c r="N221" s="1018"/>
      <c r="O221" s="1018"/>
      <c r="P221" s="1018"/>
      <c r="Q221" s="1018"/>
      <c r="R221" s="1018"/>
      <c r="S221" s="1018"/>
      <c r="T221" s="1019"/>
      <c r="U221" s="1098" t="s">
        <v>2840</v>
      </c>
      <c r="V221" s="1099" t="s">
        <v>2835</v>
      </c>
      <c r="W221" s="1099" t="s">
        <v>1907</v>
      </c>
      <c r="X221" s="1100" t="s">
        <v>2841</v>
      </c>
      <c r="Y221" s="1101" t="s">
        <v>2842</v>
      </c>
      <c r="Z221" s="1102" t="s">
        <v>2843</v>
      </c>
      <c r="AA221" s="1103" t="s">
        <v>1942</v>
      </c>
      <c r="AB221" s="1104" t="s">
        <v>1942</v>
      </c>
      <c r="AC221" s="1104" t="s">
        <v>1942</v>
      </c>
      <c r="AD221" s="1104" t="s">
        <v>1942</v>
      </c>
      <c r="AE221" s="1104">
        <v>1</v>
      </c>
      <c r="AF221" s="1104" t="s">
        <v>1942</v>
      </c>
      <c r="AG221" s="1104" t="s">
        <v>1942</v>
      </c>
      <c r="AH221" s="1104" t="s">
        <v>1942</v>
      </c>
      <c r="AI221" s="1105">
        <f t="shared" si="3"/>
        <v>1</v>
      </c>
      <c r="AJ221" s="1106" t="s">
        <v>1007</v>
      </c>
      <c r="AK221" s="1106" t="s">
        <v>1942</v>
      </c>
      <c r="AL221" s="1106" t="s">
        <v>1942</v>
      </c>
      <c r="AM221" s="1107" t="s">
        <v>2117</v>
      </c>
      <c r="AN221" s="1018" t="s">
        <v>278</v>
      </c>
      <c r="AO221" s="1018" t="s">
        <v>2459</v>
      </c>
      <c r="AP221" s="1274">
        <v>1</v>
      </c>
      <c r="AQ221" s="1076" t="s">
        <v>1010</v>
      </c>
      <c r="AR221" s="1109" t="s">
        <v>1942</v>
      </c>
      <c r="AS221" s="1110"/>
      <c r="AT221" s="1100"/>
      <c r="AU221" s="1100"/>
      <c r="AV221" s="1100"/>
      <c r="AW221" s="1111"/>
      <c r="AX221" s="1112"/>
      <c r="AY221" s="1075"/>
      <c r="AZ221" s="1076"/>
      <c r="BA221" s="1076"/>
      <c r="BB221" s="1076"/>
      <c r="BC221" s="1076"/>
      <c r="BD221" s="1076"/>
      <c r="BE221" s="1076"/>
      <c r="BF221" s="1076"/>
      <c r="BG221" s="1076"/>
      <c r="BH221" s="1076"/>
      <c r="BI221" s="1420"/>
      <c r="BJ221" s="1368"/>
      <c r="BK221" s="1368"/>
      <c r="BL221" s="1368"/>
      <c r="BM221" s="1368"/>
      <c r="BN221" s="1075"/>
      <c r="BO221" s="1076"/>
      <c r="BP221" s="1076"/>
      <c r="BQ221" s="1076"/>
      <c r="BR221" s="1076"/>
      <c r="BS221" s="1115"/>
      <c r="BT221" s="1076"/>
      <c r="BU221" s="1076"/>
      <c r="BV221" s="1076"/>
      <c r="BW221" s="1116"/>
      <c r="BX221" s="1115"/>
      <c r="BY221" s="1076"/>
      <c r="BZ221" s="1076"/>
      <c r="CA221" s="1076"/>
      <c r="CB221" s="1116"/>
      <c r="CC221" s="1117"/>
      <c r="CD221" s="1376"/>
      <c r="CE221" s="1377"/>
      <c r="CF221" s="1377"/>
      <c r="CG221" s="1377"/>
      <c r="CH221" s="1440"/>
      <c r="CI221" s="1420"/>
      <c r="CJ221" s="1368"/>
      <c r="CK221" s="1368"/>
      <c r="CL221" s="1368"/>
      <c r="CM221" s="1369"/>
      <c r="CN221" s="1420"/>
      <c r="CO221" s="1368"/>
      <c r="CP221" s="1368"/>
      <c r="CQ221" s="1368"/>
      <c r="CR221" s="1369"/>
      <c r="CS221" s="1420"/>
      <c r="CT221" s="1368"/>
      <c r="CU221" s="1368"/>
      <c r="CV221" s="1368"/>
      <c r="CW221" s="1369"/>
      <c r="CX221" s="1420"/>
      <c r="CY221" s="1368"/>
      <c r="CZ221" s="1368"/>
      <c r="DA221" s="1368"/>
      <c r="DB221" s="1369"/>
      <c r="DC221" s="1368"/>
      <c r="DD221" s="1368"/>
      <c r="DE221" s="1368"/>
      <c r="DF221" s="1368"/>
      <c r="DG221" s="1369"/>
      <c r="DH221" s="1420"/>
      <c r="DI221" s="1368"/>
      <c r="DJ221" s="1368"/>
      <c r="DK221" s="1368"/>
      <c r="DL221" s="1369"/>
      <c r="DM221" s="1808"/>
      <c r="DN221" s="1809"/>
      <c r="DO221" s="1809"/>
      <c r="DP221" s="1810"/>
      <c r="DQ221" s="1809"/>
      <c r="DR221" s="1809"/>
      <c r="DS221" s="1809"/>
      <c r="DT221" s="1810"/>
      <c r="DU221" s="1377"/>
      <c r="DV221" s="1729"/>
      <c r="DW221" s="1811"/>
    </row>
    <row r="222" spans="1:127" s="397" customFormat="1" ht="15.75" hidden="1" customHeight="1">
      <c r="A222" s="1097" t="s">
        <v>1071</v>
      </c>
      <c r="B222" s="1057">
        <v>213</v>
      </c>
      <c r="C222" s="1018"/>
      <c r="D222" s="1018"/>
      <c r="E222" s="1018"/>
      <c r="F222" s="1018"/>
      <c r="G222" s="1018"/>
      <c r="H222" s="1018"/>
      <c r="I222" s="1018"/>
      <c r="J222" s="1018"/>
      <c r="K222" s="1018"/>
      <c r="L222" s="1018"/>
      <c r="M222" s="1057"/>
      <c r="N222" s="1018"/>
      <c r="O222" s="1018"/>
      <c r="P222" s="1018"/>
      <c r="Q222" s="1018"/>
      <c r="R222" s="1018"/>
      <c r="S222" s="1018"/>
      <c r="T222" s="1019"/>
      <c r="U222" s="1098" t="s">
        <v>2844</v>
      </c>
      <c r="V222" s="1099" t="s">
        <v>2835</v>
      </c>
      <c r="W222" s="1099" t="s">
        <v>1907</v>
      </c>
      <c r="X222" s="1100" t="s">
        <v>2845</v>
      </c>
      <c r="Y222" s="1101" t="s">
        <v>2846</v>
      </c>
      <c r="Z222" s="1102" t="s">
        <v>2847</v>
      </c>
      <c r="AA222" s="1103" t="s">
        <v>1942</v>
      </c>
      <c r="AB222" s="1104" t="s">
        <v>1942</v>
      </c>
      <c r="AC222" s="1104" t="s">
        <v>1942</v>
      </c>
      <c r="AD222" s="1104" t="s">
        <v>1942</v>
      </c>
      <c r="AE222" s="1104">
        <v>1</v>
      </c>
      <c r="AF222" s="1104" t="s">
        <v>1942</v>
      </c>
      <c r="AG222" s="1104" t="s">
        <v>1942</v>
      </c>
      <c r="AH222" s="1104" t="s">
        <v>1942</v>
      </c>
      <c r="AI222" s="1105">
        <f t="shared" si="3"/>
        <v>1</v>
      </c>
      <c r="AJ222" s="1106" t="s">
        <v>1007</v>
      </c>
      <c r="AK222" s="1106" t="s">
        <v>1942</v>
      </c>
      <c r="AL222" s="1106" t="s">
        <v>1942</v>
      </c>
      <c r="AM222" s="1107" t="s">
        <v>2117</v>
      </c>
      <c r="AN222" s="1018" t="s">
        <v>278</v>
      </c>
      <c r="AO222" s="1018" t="s">
        <v>2459</v>
      </c>
      <c r="AP222" s="1274">
        <v>1</v>
      </c>
      <c r="AQ222" s="1076" t="s">
        <v>1010</v>
      </c>
      <c r="AR222" s="1109" t="s">
        <v>1942</v>
      </c>
      <c r="AS222" s="1110"/>
      <c r="AT222" s="1100"/>
      <c r="AU222" s="1100"/>
      <c r="AV222" s="1100"/>
      <c r="AW222" s="1111"/>
      <c r="AX222" s="1112"/>
      <c r="AY222" s="1075"/>
      <c r="AZ222" s="1076"/>
      <c r="BA222" s="1076"/>
      <c r="BB222" s="1076"/>
      <c r="BC222" s="1076"/>
      <c r="BD222" s="1076"/>
      <c r="BE222" s="1076"/>
      <c r="BF222" s="1076"/>
      <c r="BG222" s="1076"/>
      <c r="BH222" s="1076"/>
      <c r="BI222" s="1420"/>
      <c r="BJ222" s="1368"/>
      <c r="BK222" s="1368"/>
      <c r="BL222" s="1368"/>
      <c r="BM222" s="1368"/>
      <c r="BN222" s="1075"/>
      <c r="BO222" s="1076"/>
      <c r="BP222" s="1076"/>
      <c r="BQ222" s="1076"/>
      <c r="BR222" s="1076"/>
      <c r="BS222" s="1115"/>
      <c r="BT222" s="1076"/>
      <c r="BU222" s="1076"/>
      <c r="BV222" s="1076"/>
      <c r="BW222" s="1116"/>
      <c r="BX222" s="1115"/>
      <c r="BY222" s="1076"/>
      <c r="BZ222" s="1076"/>
      <c r="CA222" s="1076"/>
      <c r="CB222" s="1116"/>
      <c r="CC222" s="1117"/>
      <c r="CD222" s="1376"/>
      <c r="CE222" s="1377"/>
      <c r="CF222" s="1377"/>
      <c r="CG222" s="1377"/>
      <c r="CH222" s="1440"/>
      <c r="CI222" s="1420"/>
      <c r="CJ222" s="1368"/>
      <c r="CK222" s="1368"/>
      <c r="CL222" s="1368"/>
      <c r="CM222" s="1369"/>
      <c r="CN222" s="1420"/>
      <c r="CO222" s="1368"/>
      <c r="CP222" s="1368"/>
      <c r="CQ222" s="1368"/>
      <c r="CR222" s="1369"/>
      <c r="CS222" s="1420"/>
      <c r="CT222" s="1368"/>
      <c r="CU222" s="1368"/>
      <c r="CV222" s="1368"/>
      <c r="CW222" s="1369"/>
      <c r="CX222" s="1420"/>
      <c r="CY222" s="1368"/>
      <c r="CZ222" s="1368"/>
      <c r="DA222" s="1368"/>
      <c r="DB222" s="1369"/>
      <c r="DC222" s="1368"/>
      <c r="DD222" s="1368"/>
      <c r="DE222" s="1368"/>
      <c r="DF222" s="1368"/>
      <c r="DG222" s="1369"/>
      <c r="DH222" s="1420"/>
      <c r="DI222" s="1368"/>
      <c r="DJ222" s="1368"/>
      <c r="DK222" s="1368"/>
      <c r="DL222" s="1369"/>
      <c r="DM222" s="1808"/>
      <c r="DN222" s="1809"/>
      <c r="DO222" s="1809"/>
      <c r="DP222" s="1810"/>
      <c r="DQ222" s="1809"/>
      <c r="DR222" s="1809"/>
      <c r="DS222" s="1809"/>
      <c r="DT222" s="1810"/>
      <c r="DU222" s="1377"/>
      <c r="DV222" s="1729"/>
      <c r="DW222" s="1811"/>
    </row>
    <row r="223" spans="1:127" s="397" customFormat="1" ht="15.75" hidden="1" customHeight="1">
      <c r="A223" s="1097" t="s">
        <v>1071</v>
      </c>
      <c r="B223" s="1057">
        <v>214</v>
      </c>
      <c r="C223" s="1018"/>
      <c r="D223" s="1018"/>
      <c r="E223" s="1018"/>
      <c r="F223" s="1018"/>
      <c r="G223" s="1018"/>
      <c r="H223" s="1018"/>
      <c r="I223" s="1018"/>
      <c r="J223" s="1018"/>
      <c r="K223" s="1018"/>
      <c r="L223" s="1018"/>
      <c r="M223" s="1057"/>
      <c r="N223" s="1018"/>
      <c r="O223" s="1018"/>
      <c r="P223" s="1018"/>
      <c r="Q223" s="1018"/>
      <c r="R223" s="1018"/>
      <c r="S223" s="1018"/>
      <c r="T223" s="1019"/>
      <c r="U223" s="1098" t="s">
        <v>2848</v>
      </c>
      <c r="V223" s="1099" t="s">
        <v>2835</v>
      </c>
      <c r="W223" s="1099" t="s">
        <v>1907</v>
      </c>
      <c r="X223" s="1100" t="s">
        <v>2849</v>
      </c>
      <c r="Y223" s="1101" t="s">
        <v>2263</v>
      </c>
      <c r="Z223" s="1102" t="s">
        <v>2850</v>
      </c>
      <c r="AA223" s="1103" t="s">
        <v>1942</v>
      </c>
      <c r="AB223" s="1104" t="s">
        <v>1942</v>
      </c>
      <c r="AC223" s="1104" t="s">
        <v>1942</v>
      </c>
      <c r="AD223" s="1104" t="s">
        <v>1942</v>
      </c>
      <c r="AE223" s="1104">
        <v>1</v>
      </c>
      <c r="AF223" s="1104" t="s">
        <v>1942</v>
      </c>
      <c r="AG223" s="1104" t="s">
        <v>1942</v>
      </c>
      <c r="AH223" s="1104" t="s">
        <v>1942</v>
      </c>
      <c r="AI223" s="1105">
        <f t="shared" si="3"/>
        <v>1</v>
      </c>
      <c r="AJ223" s="1106" t="s">
        <v>1030</v>
      </c>
      <c r="AK223" s="1106" t="s">
        <v>1008</v>
      </c>
      <c r="AL223" s="1106" t="s">
        <v>1009</v>
      </c>
      <c r="AM223" s="1107" t="s">
        <v>2117</v>
      </c>
      <c r="AN223" s="1018" t="s">
        <v>278</v>
      </c>
      <c r="AO223" s="1018" t="s">
        <v>2851</v>
      </c>
      <c r="AP223" s="1274">
        <v>2</v>
      </c>
      <c r="AQ223" s="1076" t="s">
        <v>1020</v>
      </c>
      <c r="AR223" s="1109" t="s">
        <v>1942</v>
      </c>
      <c r="AS223" s="1110"/>
      <c r="AT223" s="1100"/>
      <c r="AU223" s="1100"/>
      <c r="AV223" s="1100"/>
      <c r="AW223" s="1111"/>
      <c r="AX223" s="1112"/>
      <c r="AY223" s="1075"/>
      <c r="AZ223" s="1076"/>
      <c r="BA223" s="1076"/>
      <c r="BB223" s="1076"/>
      <c r="BC223" s="1076"/>
      <c r="BD223" s="1076"/>
      <c r="BE223" s="1076"/>
      <c r="BF223" s="1076"/>
      <c r="BG223" s="1076"/>
      <c r="BH223" s="1076"/>
      <c r="BI223" s="1420"/>
      <c r="BJ223" s="1368"/>
      <c r="BK223" s="1368"/>
      <c r="BL223" s="1368"/>
      <c r="BM223" s="1368"/>
      <c r="BN223" s="1075"/>
      <c r="BO223" s="1076"/>
      <c r="BP223" s="1076"/>
      <c r="BQ223" s="1076"/>
      <c r="BR223" s="1076"/>
      <c r="BS223" s="1115"/>
      <c r="BT223" s="1076"/>
      <c r="BU223" s="1076"/>
      <c r="BV223" s="1076"/>
      <c r="BW223" s="1116"/>
      <c r="BX223" s="1115"/>
      <c r="BY223" s="1076"/>
      <c r="BZ223" s="1076"/>
      <c r="CA223" s="1076"/>
      <c r="CB223" s="1116"/>
      <c r="CC223" s="1117"/>
      <c r="CD223" s="1376"/>
      <c r="CE223" s="1377"/>
      <c r="CF223" s="1377"/>
      <c r="CG223" s="1377"/>
      <c r="CH223" s="1440"/>
      <c r="CI223" s="1420"/>
      <c r="CJ223" s="1368"/>
      <c r="CK223" s="1368"/>
      <c r="CL223" s="1368"/>
      <c r="CM223" s="1369"/>
      <c r="CN223" s="1420"/>
      <c r="CO223" s="1368"/>
      <c r="CP223" s="1368"/>
      <c r="CQ223" s="1368"/>
      <c r="CR223" s="1369"/>
      <c r="CS223" s="1420"/>
      <c r="CT223" s="1368"/>
      <c r="CU223" s="1368"/>
      <c r="CV223" s="1368"/>
      <c r="CW223" s="1369"/>
      <c r="CX223" s="1420"/>
      <c r="CY223" s="1368"/>
      <c r="CZ223" s="1368"/>
      <c r="DA223" s="1368"/>
      <c r="DB223" s="1369"/>
      <c r="DC223" s="1368"/>
      <c r="DD223" s="1368"/>
      <c r="DE223" s="1368"/>
      <c r="DF223" s="1368"/>
      <c r="DG223" s="1369"/>
      <c r="DH223" s="1420"/>
      <c r="DI223" s="1368"/>
      <c r="DJ223" s="1368"/>
      <c r="DK223" s="1368"/>
      <c r="DL223" s="1369"/>
      <c r="DM223" s="1808"/>
      <c r="DN223" s="1809"/>
      <c r="DO223" s="1809"/>
      <c r="DP223" s="1810"/>
      <c r="DQ223" s="1809"/>
      <c r="DR223" s="1809"/>
      <c r="DS223" s="1809"/>
      <c r="DT223" s="1810"/>
      <c r="DU223" s="1377"/>
      <c r="DV223" s="1729"/>
      <c r="DW223" s="1811"/>
    </row>
    <row r="224" spans="1:127" s="397" customFormat="1" ht="15.75" hidden="1" customHeight="1">
      <c r="A224" s="1097" t="s">
        <v>1071</v>
      </c>
      <c r="B224" s="1057">
        <v>215</v>
      </c>
      <c r="C224" s="1018"/>
      <c r="D224" s="1018"/>
      <c r="E224" s="1018"/>
      <c r="F224" s="1018"/>
      <c r="G224" s="1018"/>
      <c r="H224" s="1018"/>
      <c r="I224" s="1018"/>
      <c r="J224" s="1018"/>
      <c r="K224" s="1018"/>
      <c r="L224" s="1018"/>
      <c r="M224" s="1057"/>
      <c r="N224" s="1018"/>
      <c r="O224" s="1018"/>
      <c r="P224" s="1018"/>
      <c r="Q224" s="1018"/>
      <c r="R224" s="1018"/>
      <c r="S224" s="1018"/>
      <c r="T224" s="1019"/>
      <c r="U224" s="1098" t="s">
        <v>2852</v>
      </c>
      <c r="V224" s="1099" t="s">
        <v>2835</v>
      </c>
      <c r="W224" s="1099" t="s">
        <v>1907</v>
      </c>
      <c r="X224" s="1100" t="s">
        <v>2853</v>
      </c>
      <c r="Y224" s="1101" t="s">
        <v>703</v>
      </c>
      <c r="Z224" s="1102" t="s">
        <v>2823</v>
      </c>
      <c r="AA224" s="1103" t="s">
        <v>1942</v>
      </c>
      <c r="AB224" s="1104" t="s">
        <v>1942</v>
      </c>
      <c r="AC224" s="1104" t="s">
        <v>1942</v>
      </c>
      <c r="AD224" s="1104" t="s">
        <v>1942</v>
      </c>
      <c r="AE224" s="1104">
        <v>1</v>
      </c>
      <c r="AF224" s="1104" t="s">
        <v>1942</v>
      </c>
      <c r="AG224" s="1104" t="s">
        <v>1942</v>
      </c>
      <c r="AH224" s="1104" t="s">
        <v>1942</v>
      </c>
      <c r="AI224" s="1105">
        <f t="shared" si="3"/>
        <v>1</v>
      </c>
      <c r="AJ224" s="1106" t="s">
        <v>1007</v>
      </c>
      <c r="AK224" s="1106" t="s">
        <v>1942</v>
      </c>
      <c r="AL224" s="1106" t="s">
        <v>1942</v>
      </c>
      <c r="AM224" s="1107" t="s">
        <v>2117</v>
      </c>
      <c r="AN224" s="1018" t="s">
        <v>278</v>
      </c>
      <c r="AO224" s="1018" t="s">
        <v>4799</v>
      </c>
      <c r="AP224" s="1307">
        <v>1</v>
      </c>
      <c r="AQ224" s="1076" t="s">
        <v>1010</v>
      </c>
      <c r="AR224" s="1109" t="s">
        <v>703</v>
      </c>
      <c r="AS224" s="1110"/>
      <c r="AT224" s="1100"/>
      <c r="AU224" s="1100"/>
      <c r="AV224" s="1100"/>
      <c r="AW224" s="1111"/>
      <c r="AX224" s="1112"/>
      <c r="AY224" s="1075"/>
      <c r="AZ224" s="1076"/>
      <c r="BA224" s="1076"/>
      <c r="BB224" s="1076"/>
      <c r="BC224" s="1076"/>
      <c r="BD224" s="1076"/>
      <c r="BE224" s="1076"/>
      <c r="BF224" s="1076"/>
      <c r="BG224" s="1076"/>
      <c r="BH224" s="1076"/>
      <c r="BI224" s="1075" t="s">
        <v>4840</v>
      </c>
      <c r="BJ224" s="1076" t="s">
        <v>4841</v>
      </c>
      <c r="BK224" s="1076" t="s">
        <v>4842</v>
      </c>
      <c r="BL224" s="1076" t="s">
        <v>4843</v>
      </c>
      <c r="BM224" s="1076" t="s">
        <v>4822</v>
      </c>
      <c r="BN224" s="1075"/>
      <c r="BO224" s="1076"/>
      <c r="BP224" s="1076"/>
      <c r="BQ224" s="1076"/>
      <c r="BR224" s="1076"/>
      <c r="BS224" s="1115"/>
      <c r="BT224" s="1076"/>
      <c r="BU224" s="1076"/>
      <c r="BV224" s="1076"/>
      <c r="BW224" s="1116"/>
      <c r="BX224" s="1115"/>
      <c r="BY224" s="1076"/>
      <c r="BZ224" s="1076"/>
      <c r="CA224" s="1076"/>
      <c r="CB224" s="1116"/>
      <c r="CC224" s="1117"/>
      <c r="CD224" s="1118" t="s">
        <v>1942</v>
      </c>
      <c r="CE224" s="1119" t="s">
        <v>1942</v>
      </c>
      <c r="CF224" s="1119" t="s">
        <v>1942</v>
      </c>
      <c r="CG224" s="1119" t="s">
        <v>1942</v>
      </c>
      <c r="CH224" s="1120" t="s">
        <v>1942</v>
      </c>
      <c r="CI224" s="1075" t="s">
        <v>1942</v>
      </c>
      <c r="CJ224" s="1076" t="s">
        <v>1942</v>
      </c>
      <c r="CK224" s="1076" t="s">
        <v>1942</v>
      </c>
      <c r="CL224" s="1076" t="s">
        <v>1942</v>
      </c>
      <c r="CM224" s="1117" t="s">
        <v>1942</v>
      </c>
      <c r="CN224" s="1075" t="s">
        <v>1942</v>
      </c>
      <c r="CO224" s="1076" t="s">
        <v>1942</v>
      </c>
      <c r="CP224" s="1076" t="s">
        <v>1942</v>
      </c>
      <c r="CQ224" s="1076" t="s">
        <v>1942</v>
      </c>
      <c r="CR224" s="1117" t="s">
        <v>1942</v>
      </c>
      <c r="CS224" s="1075" t="s">
        <v>1942</v>
      </c>
      <c r="CT224" s="1076" t="s">
        <v>1942</v>
      </c>
      <c r="CU224" s="1076" t="s">
        <v>1942</v>
      </c>
      <c r="CV224" s="1076" t="s">
        <v>1942</v>
      </c>
      <c r="CW224" s="1117" t="s">
        <v>1942</v>
      </c>
      <c r="CX224" s="1075" t="s">
        <v>1942</v>
      </c>
      <c r="CY224" s="1076" t="s">
        <v>1942</v>
      </c>
      <c r="CZ224" s="1076" t="s">
        <v>1942</v>
      </c>
      <c r="DA224" s="1076" t="s">
        <v>1942</v>
      </c>
      <c r="DB224" s="1117" t="s">
        <v>1942</v>
      </c>
      <c r="DC224" s="1076" t="s">
        <v>1942</v>
      </c>
      <c r="DD224" s="1076" t="s">
        <v>1942</v>
      </c>
      <c r="DE224" s="1076" t="s">
        <v>1942</v>
      </c>
      <c r="DF224" s="1076" t="s">
        <v>1942</v>
      </c>
      <c r="DG224" s="1117" t="s">
        <v>1942</v>
      </c>
      <c r="DH224" s="1075" t="s">
        <v>1942</v>
      </c>
      <c r="DI224" s="1076" t="s">
        <v>1942</v>
      </c>
      <c r="DJ224" s="1076" t="s">
        <v>1942</v>
      </c>
      <c r="DK224" s="1076" t="s">
        <v>1942</v>
      </c>
      <c r="DL224" s="1117" t="s">
        <v>1942</v>
      </c>
      <c r="DM224" s="1121" t="s">
        <v>1942</v>
      </c>
      <c r="DN224" s="1122" t="s">
        <v>1942</v>
      </c>
      <c r="DO224" s="1122" t="s">
        <v>1942</v>
      </c>
      <c r="DP224" s="1123" t="s">
        <v>1942</v>
      </c>
      <c r="DQ224" s="1122" t="s">
        <v>1942</v>
      </c>
      <c r="DR224" s="1122" t="s">
        <v>1942</v>
      </c>
      <c r="DS224" s="1122" t="s">
        <v>1942</v>
      </c>
      <c r="DT224" s="1123" t="s">
        <v>1942</v>
      </c>
      <c r="DU224" s="1119" t="s">
        <v>1942</v>
      </c>
      <c r="DV224" s="1124">
        <v>1</v>
      </c>
      <c r="DW224" s="1125" t="s">
        <v>1942</v>
      </c>
    </row>
    <row r="225" spans="1:127" s="397" customFormat="1" ht="15.75" hidden="1" customHeight="1">
      <c r="A225" s="1097" t="s">
        <v>1071</v>
      </c>
      <c r="B225" s="1057">
        <v>216</v>
      </c>
      <c r="C225" s="1018"/>
      <c r="D225" s="1018"/>
      <c r="E225" s="1018"/>
      <c r="F225" s="1018"/>
      <c r="G225" s="1018"/>
      <c r="H225" s="1018"/>
      <c r="I225" s="1018"/>
      <c r="J225" s="1018"/>
      <c r="K225" s="1018"/>
      <c r="L225" s="1018"/>
      <c r="M225" s="1057"/>
      <c r="N225" s="1018"/>
      <c r="O225" s="1018"/>
      <c r="P225" s="1018"/>
      <c r="Q225" s="1018"/>
      <c r="R225" s="1018"/>
      <c r="S225" s="1018"/>
      <c r="T225" s="1019"/>
      <c r="U225" s="1098" t="s">
        <v>2855</v>
      </c>
      <c r="V225" s="1099" t="s">
        <v>2856</v>
      </c>
      <c r="W225" s="1099" t="s">
        <v>1907</v>
      </c>
      <c r="X225" s="1100" t="s">
        <v>2857</v>
      </c>
      <c r="Y225" s="1101" t="s">
        <v>535</v>
      </c>
      <c r="Z225" s="1102" t="s">
        <v>2823</v>
      </c>
      <c r="AA225" s="1103">
        <v>1</v>
      </c>
      <c r="AB225" s="1104" t="s">
        <v>1942</v>
      </c>
      <c r="AC225" s="1104" t="s">
        <v>1942</v>
      </c>
      <c r="AD225" s="1104" t="s">
        <v>1942</v>
      </c>
      <c r="AE225" s="1104" t="s">
        <v>1942</v>
      </c>
      <c r="AF225" s="1104" t="s">
        <v>1942</v>
      </c>
      <c r="AG225" s="1104" t="s">
        <v>1942</v>
      </c>
      <c r="AH225" s="1104" t="s">
        <v>1942</v>
      </c>
      <c r="AI225" s="1105">
        <f t="shared" si="3"/>
        <v>1</v>
      </c>
      <c r="AJ225" s="1106" t="s">
        <v>1007</v>
      </c>
      <c r="AK225" s="1106" t="s">
        <v>1942</v>
      </c>
      <c r="AL225" s="1106" t="s">
        <v>1942</v>
      </c>
      <c r="AM225" s="1107" t="s">
        <v>1910</v>
      </c>
      <c r="AN225" s="1018" t="s">
        <v>278</v>
      </c>
      <c r="AO225" s="1018" t="s">
        <v>4792</v>
      </c>
      <c r="AP225" s="1307">
        <v>1</v>
      </c>
      <c r="AQ225" s="1076" t="s">
        <v>1020</v>
      </c>
      <c r="AR225" s="1109" t="s">
        <v>535</v>
      </c>
      <c r="AS225" s="1110"/>
      <c r="AT225" s="1100"/>
      <c r="AU225" s="1100"/>
      <c r="AV225" s="1100"/>
      <c r="AW225" s="1111"/>
      <c r="AX225" s="1112"/>
      <c r="AY225" s="1075"/>
      <c r="AZ225" s="1076"/>
      <c r="BA225" s="1076"/>
      <c r="BB225" s="1076"/>
      <c r="BC225" s="1076"/>
      <c r="BD225" s="1076"/>
      <c r="BE225" s="1076"/>
      <c r="BF225" s="1076"/>
      <c r="BG225" s="1076"/>
      <c r="BH225" s="1076"/>
      <c r="BI225" s="1075">
        <v>0</v>
      </c>
      <c r="BJ225" s="1076">
        <v>0</v>
      </c>
      <c r="BK225" s="1076">
        <v>0</v>
      </c>
      <c r="BL225" s="1076">
        <v>0</v>
      </c>
      <c r="BM225" s="1076">
        <v>0</v>
      </c>
      <c r="BN225" s="1075"/>
      <c r="BO225" s="1076"/>
      <c r="BP225" s="1076"/>
      <c r="BQ225" s="1076"/>
      <c r="BR225" s="1076"/>
      <c r="BS225" s="1115"/>
      <c r="BT225" s="1076"/>
      <c r="BU225" s="1076"/>
      <c r="BV225" s="1076"/>
      <c r="BW225" s="1116"/>
      <c r="BX225" s="1115"/>
      <c r="BY225" s="1076"/>
      <c r="BZ225" s="1076"/>
      <c r="CA225" s="1076"/>
      <c r="CB225" s="1116"/>
      <c r="CC225" s="1117"/>
      <c r="CD225" s="1118" t="s">
        <v>1942</v>
      </c>
      <c r="CE225" s="1119" t="s">
        <v>1942</v>
      </c>
      <c r="CF225" s="1119" t="s">
        <v>1942</v>
      </c>
      <c r="CG225" s="1119" t="s">
        <v>1942</v>
      </c>
      <c r="CH225" s="1120" t="s">
        <v>1942</v>
      </c>
      <c r="CI225" s="1075" t="s">
        <v>1942</v>
      </c>
      <c r="CJ225" s="1076" t="s">
        <v>1942</v>
      </c>
      <c r="CK225" s="1076" t="s">
        <v>1942</v>
      </c>
      <c r="CL225" s="1076" t="s">
        <v>1942</v>
      </c>
      <c r="CM225" s="1117" t="s">
        <v>1942</v>
      </c>
      <c r="CN225" s="1075" t="s">
        <v>1942</v>
      </c>
      <c r="CO225" s="1076" t="s">
        <v>1942</v>
      </c>
      <c r="CP225" s="1076" t="s">
        <v>1942</v>
      </c>
      <c r="CQ225" s="1076" t="s">
        <v>1942</v>
      </c>
      <c r="CR225" s="1117" t="s">
        <v>1942</v>
      </c>
      <c r="CS225" s="1075" t="s">
        <v>1942</v>
      </c>
      <c r="CT225" s="1076" t="s">
        <v>1942</v>
      </c>
      <c r="CU225" s="1076" t="s">
        <v>1942</v>
      </c>
      <c r="CV225" s="1076" t="s">
        <v>1942</v>
      </c>
      <c r="CW225" s="1117" t="s">
        <v>1942</v>
      </c>
      <c r="CX225" s="1075" t="s">
        <v>1942</v>
      </c>
      <c r="CY225" s="1076" t="s">
        <v>1942</v>
      </c>
      <c r="CZ225" s="1076" t="s">
        <v>1942</v>
      </c>
      <c r="DA225" s="1076" t="s">
        <v>1942</v>
      </c>
      <c r="DB225" s="1117" t="s">
        <v>1942</v>
      </c>
      <c r="DC225" s="1076" t="s">
        <v>1942</v>
      </c>
      <c r="DD225" s="1076" t="s">
        <v>1942</v>
      </c>
      <c r="DE225" s="1076" t="s">
        <v>1942</v>
      </c>
      <c r="DF225" s="1076" t="s">
        <v>1942</v>
      </c>
      <c r="DG225" s="1117" t="s">
        <v>1942</v>
      </c>
      <c r="DH225" s="1075" t="s">
        <v>1942</v>
      </c>
      <c r="DI225" s="1076" t="s">
        <v>1942</v>
      </c>
      <c r="DJ225" s="1076" t="s">
        <v>1942</v>
      </c>
      <c r="DK225" s="1076" t="s">
        <v>1942</v>
      </c>
      <c r="DL225" s="1117" t="s">
        <v>1942</v>
      </c>
      <c r="DM225" s="1121" t="s">
        <v>1942</v>
      </c>
      <c r="DN225" s="1122" t="s">
        <v>1942</v>
      </c>
      <c r="DO225" s="1122" t="s">
        <v>1942</v>
      </c>
      <c r="DP225" s="1123" t="s">
        <v>1942</v>
      </c>
      <c r="DQ225" s="1122" t="s">
        <v>1942</v>
      </c>
      <c r="DR225" s="1122" t="s">
        <v>1942</v>
      </c>
      <c r="DS225" s="1122" t="s">
        <v>1942</v>
      </c>
      <c r="DT225" s="1123" t="s">
        <v>1942</v>
      </c>
      <c r="DU225" s="1119" t="s">
        <v>1942</v>
      </c>
      <c r="DV225" s="1124">
        <v>1</v>
      </c>
      <c r="DW225" s="1125" t="s">
        <v>1942</v>
      </c>
    </row>
    <row r="226" spans="1:127" s="397" customFormat="1" ht="15.75" hidden="1" customHeight="1">
      <c r="A226" s="1097" t="s">
        <v>1071</v>
      </c>
      <c r="B226" s="1057">
        <v>217</v>
      </c>
      <c r="C226" s="1018"/>
      <c r="D226" s="1018"/>
      <c r="E226" s="1018"/>
      <c r="F226" s="1018"/>
      <c r="G226" s="1018"/>
      <c r="H226" s="1018"/>
      <c r="I226" s="1018"/>
      <c r="J226" s="1018"/>
      <c r="K226" s="1018"/>
      <c r="L226" s="1018"/>
      <c r="M226" s="1057"/>
      <c r="N226" s="1018"/>
      <c r="O226" s="1018"/>
      <c r="P226" s="1018"/>
      <c r="Q226" s="1018"/>
      <c r="R226" s="1018"/>
      <c r="S226" s="1018"/>
      <c r="T226" s="1019"/>
      <c r="U226" s="1098" t="s">
        <v>2859</v>
      </c>
      <c r="V226" s="1099" t="s">
        <v>2856</v>
      </c>
      <c r="W226" s="1099" t="s">
        <v>1907</v>
      </c>
      <c r="X226" s="1100" t="s">
        <v>2860</v>
      </c>
      <c r="Y226" s="1101" t="s">
        <v>167</v>
      </c>
      <c r="Z226" s="1102" t="s">
        <v>2823</v>
      </c>
      <c r="AA226" s="1103" t="s">
        <v>1942</v>
      </c>
      <c r="AB226" s="1104">
        <v>1</v>
      </c>
      <c r="AC226" s="1104" t="s">
        <v>1942</v>
      </c>
      <c r="AD226" s="1104" t="s">
        <v>1942</v>
      </c>
      <c r="AE226" s="1104" t="s">
        <v>1942</v>
      </c>
      <c r="AF226" s="1104" t="s">
        <v>1942</v>
      </c>
      <c r="AG226" s="1104" t="s">
        <v>1942</v>
      </c>
      <c r="AH226" s="1104" t="s">
        <v>1942</v>
      </c>
      <c r="AI226" s="1105">
        <f t="shared" si="3"/>
        <v>1</v>
      </c>
      <c r="AJ226" s="1106" t="s">
        <v>1026</v>
      </c>
      <c r="AK226" s="1106" t="s">
        <v>1008</v>
      </c>
      <c r="AL226" s="1106" t="s">
        <v>1009</v>
      </c>
      <c r="AM226" s="1107" t="s">
        <v>1915</v>
      </c>
      <c r="AN226" s="1018" t="s">
        <v>278</v>
      </c>
      <c r="AO226" s="1018" t="s">
        <v>4793</v>
      </c>
      <c r="AP226" s="1307">
        <v>2</v>
      </c>
      <c r="AQ226" s="1076" t="s">
        <v>1020</v>
      </c>
      <c r="AR226" s="1109" t="s">
        <v>167</v>
      </c>
      <c r="AS226" s="1110"/>
      <c r="AT226" s="1100"/>
      <c r="AU226" s="1100"/>
      <c r="AV226" s="1100"/>
      <c r="AW226" s="1111"/>
      <c r="AX226" s="1112"/>
      <c r="AY226" s="1075"/>
      <c r="AZ226" s="1076"/>
      <c r="BA226" s="1076"/>
      <c r="BB226" s="1076"/>
      <c r="BC226" s="1076"/>
      <c r="BD226" s="1076"/>
      <c r="BE226" s="1076"/>
      <c r="BF226" s="1076"/>
      <c r="BG226" s="1126"/>
      <c r="BH226" s="1126"/>
      <c r="BI226" s="1127">
        <v>2.34</v>
      </c>
      <c r="BJ226" s="1126">
        <v>2.34</v>
      </c>
      <c r="BK226" s="1126">
        <v>2.34</v>
      </c>
      <c r="BL226" s="1126">
        <v>2.34</v>
      </c>
      <c r="BM226" s="1126">
        <v>2.34</v>
      </c>
      <c r="BN226" s="1075"/>
      <c r="BO226" s="1076"/>
      <c r="BP226" s="1076"/>
      <c r="BQ226" s="1076"/>
      <c r="BR226" s="1076"/>
      <c r="BS226" s="1115"/>
      <c r="BT226" s="1076"/>
      <c r="BU226" s="1076"/>
      <c r="BV226" s="1076"/>
      <c r="BW226" s="1116"/>
      <c r="BX226" s="1115"/>
      <c r="BY226" s="1076"/>
      <c r="BZ226" s="1076"/>
      <c r="CA226" s="1076"/>
      <c r="CB226" s="1116"/>
      <c r="CC226" s="1117"/>
      <c r="CD226" s="1118" t="s">
        <v>168</v>
      </c>
      <c r="CE226" s="1119" t="s">
        <v>168</v>
      </c>
      <c r="CF226" s="1119" t="s">
        <v>168</v>
      </c>
      <c r="CG226" s="1119" t="s">
        <v>168</v>
      </c>
      <c r="CH226" s="1120" t="s">
        <v>168</v>
      </c>
      <c r="CI226" s="1075" t="s">
        <v>1942</v>
      </c>
      <c r="CJ226" s="1076" t="s">
        <v>1942</v>
      </c>
      <c r="CK226" s="1076" t="s">
        <v>1942</v>
      </c>
      <c r="CL226" s="1076" t="s">
        <v>1942</v>
      </c>
      <c r="CM226" s="1117" t="s">
        <v>1942</v>
      </c>
      <c r="CN226" s="1075">
        <v>4.68</v>
      </c>
      <c r="CO226" s="1076">
        <v>4.68</v>
      </c>
      <c r="CP226" s="1076">
        <v>4.68</v>
      </c>
      <c r="CQ226" s="1076">
        <v>4.68</v>
      </c>
      <c r="CR226" s="1117">
        <v>4.68</v>
      </c>
      <c r="CS226" s="1075" t="s">
        <v>1942</v>
      </c>
      <c r="CT226" s="1076" t="s">
        <v>1942</v>
      </c>
      <c r="CU226" s="1076" t="s">
        <v>1942</v>
      </c>
      <c r="CV226" s="1076" t="s">
        <v>1942</v>
      </c>
      <c r="CW226" s="1117" t="s">
        <v>1942</v>
      </c>
      <c r="CX226" s="1075" t="s">
        <v>1942</v>
      </c>
      <c r="CY226" s="1076" t="s">
        <v>1942</v>
      </c>
      <c r="CZ226" s="1076" t="s">
        <v>1942</v>
      </c>
      <c r="DA226" s="1076" t="s">
        <v>1942</v>
      </c>
      <c r="DB226" s="1117" t="s">
        <v>1942</v>
      </c>
      <c r="DC226" s="1076" t="s">
        <v>1942</v>
      </c>
      <c r="DD226" s="1076" t="s">
        <v>1942</v>
      </c>
      <c r="DE226" s="1076" t="s">
        <v>1942</v>
      </c>
      <c r="DF226" s="1076" t="s">
        <v>1942</v>
      </c>
      <c r="DG226" s="1117" t="s">
        <v>1942</v>
      </c>
      <c r="DH226" s="1075" t="s">
        <v>1942</v>
      </c>
      <c r="DI226" s="1076" t="s">
        <v>1942</v>
      </c>
      <c r="DJ226" s="1076" t="s">
        <v>1942</v>
      </c>
      <c r="DK226" s="1076" t="s">
        <v>1942</v>
      </c>
      <c r="DL226" s="1117" t="s">
        <v>1942</v>
      </c>
      <c r="DM226" s="1121">
        <v>-0.17599999999999999</v>
      </c>
      <c r="DN226" s="1122" t="s">
        <v>1942</v>
      </c>
      <c r="DO226" s="1122" t="s">
        <v>1942</v>
      </c>
      <c r="DP226" s="1123" t="s">
        <v>1942</v>
      </c>
      <c r="DQ226" s="1122" t="s">
        <v>1942</v>
      </c>
      <c r="DR226" s="1122" t="s">
        <v>1942</v>
      </c>
      <c r="DS226" s="1122" t="s">
        <v>1942</v>
      </c>
      <c r="DT226" s="1123" t="s">
        <v>1942</v>
      </c>
      <c r="DU226" s="1119" t="s">
        <v>1942</v>
      </c>
      <c r="DV226" s="1124">
        <v>1</v>
      </c>
      <c r="DW226" s="1125" t="s">
        <v>1942</v>
      </c>
    </row>
    <row r="227" spans="1:127" s="397" customFormat="1" ht="15.75" hidden="1" customHeight="1">
      <c r="A227" s="1054" t="s">
        <v>1071</v>
      </c>
      <c r="B227" s="1055">
        <v>218</v>
      </c>
      <c r="C227" s="1143"/>
      <c r="D227" s="1143"/>
      <c r="E227" s="1143"/>
      <c r="F227" s="1143"/>
      <c r="G227" s="1143"/>
      <c r="H227" s="1143"/>
      <c r="I227" s="1143"/>
      <c r="J227" s="1143"/>
      <c r="K227" s="1143"/>
      <c r="L227" s="1143"/>
      <c r="M227" s="1055"/>
      <c r="N227" s="1143"/>
      <c r="O227" s="1143"/>
      <c r="P227" s="1143"/>
      <c r="Q227" s="1143"/>
      <c r="R227" s="1143"/>
      <c r="S227" s="1143"/>
      <c r="T227" s="1058"/>
      <c r="U227" s="1059" t="s">
        <v>2862</v>
      </c>
      <c r="V227" s="1060" t="s">
        <v>2856</v>
      </c>
      <c r="W227" s="1060" t="s">
        <v>1896</v>
      </c>
      <c r="X227" s="1061" t="s">
        <v>2863</v>
      </c>
      <c r="Y227" s="1062" t="s">
        <v>669</v>
      </c>
      <c r="Z227" s="1063" t="s">
        <v>2823</v>
      </c>
      <c r="AA227" s="1064" t="s">
        <v>1942</v>
      </c>
      <c r="AB227" s="1065">
        <v>1</v>
      </c>
      <c r="AC227" s="1065" t="s">
        <v>1942</v>
      </c>
      <c r="AD227" s="1065" t="s">
        <v>1942</v>
      </c>
      <c r="AE227" s="1065" t="s">
        <v>1942</v>
      </c>
      <c r="AF227" s="1065" t="s">
        <v>1942</v>
      </c>
      <c r="AG227" s="1065" t="s">
        <v>1942</v>
      </c>
      <c r="AH227" s="1065" t="s">
        <v>1942</v>
      </c>
      <c r="AI227" s="1066">
        <f t="shared" si="3"/>
        <v>1</v>
      </c>
      <c r="AJ227" s="1067" t="s">
        <v>1030</v>
      </c>
      <c r="AK227" s="1067" t="s">
        <v>1008</v>
      </c>
      <c r="AL227" s="1067" t="s">
        <v>1009</v>
      </c>
      <c r="AM227" s="1068" t="s">
        <v>669</v>
      </c>
      <c r="AN227" s="1062" t="s">
        <v>278</v>
      </c>
      <c r="AO227" s="1062" t="s">
        <v>4791</v>
      </c>
      <c r="AP227" s="1306">
        <v>1</v>
      </c>
      <c r="AQ227" s="833" t="s">
        <v>1010</v>
      </c>
      <c r="AR227" s="1071" t="s">
        <v>669</v>
      </c>
      <c r="AS227" s="1072"/>
      <c r="AT227" s="1061"/>
      <c r="AU227" s="1061"/>
      <c r="AV227" s="1061"/>
      <c r="AW227" s="1073"/>
      <c r="AX227" s="1074"/>
      <c r="AY227" s="1079"/>
      <c r="AZ227" s="1080"/>
      <c r="BA227" s="1080"/>
      <c r="BB227" s="1080"/>
      <c r="BC227" s="1080"/>
      <c r="BD227" s="1080"/>
      <c r="BE227" s="1080"/>
      <c r="BF227" s="1080"/>
      <c r="BG227" s="1077"/>
      <c r="BH227" s="1077"/>
      <c r="BI227" s="1078">
        <v>1.2</v>
      </c>
      <c r="BJ227" s="1077">
        <v>3.3</v>
      </c>
      <c r="BK227" s="1077">
        <v>6.2</v>
      </c>
      <c r="BL227" s="1077">
        <v>9.5</v>
      </c>
      <c r="BM227" s="1077">
        <v>12.4</v>
      </c>
      <c r="BN227" s="1079"/>
      <c r="BO227" s="1080"/>
      <c r="BP227" s="1080"/>
      <c r="BQ227" s="1080"/>
      <c r="BR227" s="1080"/>
      <c r="BS227" s="1081"/>
      <c r="BT227" s="1080"/>
      <c r="BU227" s="1080"/>
      <c r="BV227" s="1080"/>
      <c r="BW227" s="1082"/>
      <c r="BX227" s="1081"/>
      <c r="BY227" s="1080"/>
      <c r="BZ227" s="1080"/>
      <c r="CA227" s="1080"/>
      <c r="CB227" s="1082"/>
      <c r="CC227" s="1083"/>
      <c r="CD227" s="1084" t="s">
        <v>168</v>
      </c>
      <c r="CE227" s="1085" t="s">
        <v>168</v>
      </c>
      <c r="CF227" s="1085" t="s">
        <v>168</v>
      </c>
      <c r="CG227" s="1085" t="s">
        <v>168</v>
      </c>
      <c r="CH227" s="1086" t="s">
        <v>168</v>
      </c>
      <c r="CI227" s="1089">
        <v>-70.7</v>
      </c>
      <c r="CJ227" s="1087">
        <v>-70.7</v>
      </c>
      <c r="CK227" s="1087">
        <v>-70.7</v>
      </c>
      <c r="CL227" s="1087">
        <v>-70.7</v>
      </c>
      <c r="CM227" s="1088">
        <v>-70.7</v>
      </c>
      <c r="CN227" s="1089">
        <v>-50</v>
      </c>
      <c r="CO227" s="1087">
        <v>-50</v>
      </c>
      <c r="CP227" s="1087">
        <v>-50</v>
      </c>
      <c r="CQ227" s="1087">
        <v>-50</v>
      </c>
      <c r="CR227" s="1088">
        <v>-50</v>
      </c>
      <c r="CS227" s="1079" t="s">
        <v>1942</v>
      </c>
      <c r="CT227" s="1080" t="s">
        <v>1942</v>
      </c>
      <c r="CU227" s="1080" t="s">
        <v>1942</v>
      </c>
      <c r="CV227" s="1080" t="s">
        <v>1942</v>
      </c>
      <c r="CW227" s="1083" t="s">
        <v>1942</v>
      </c>
      <c r="CX227" s="1079" t="s">
        <v>1942</v>
      </c>
      <c r="CY227" s="1080" t="s">
        <v>1942</v>
      </c>
      <c r="CZ227" s="1080" t="s">
        <v>1942</v>
      </c>
      <c r="DA227" s="1080" t="s">
        <v>1942</v>
      </c>
      <c r="DB227" s="1083" t="s">
        <v>1942</v>
      </c>
      <c r="DC227" s="1087">
        <v>21.9</v>
      </c>
      <c r="DD227" s="1087">
        <v>23</v>
      </c>
      <c r="DE227" s="1087">
        <v>24.4</v>
      </c>
      <c r="DF227" s="1087">
        <v>26.1</v>
      </c>
      <c r="DG227" s="1088">
        <v>28.1</v>
      </c>
      <c r="DH227" s="1089" t="s">
        <v>4805</v>
      </c>
      <c r="DI227" s="1080" t="s">
        <v>4805</v>
      </c>
      <c r="DJ227" s="1080" t="s">
        <v>4805</v>
      </c>
      <c r="DK227" s="1080" t="s">
        <v>4805</v>
      </c>
      <c r="DL227" s="1083" t="s">
        <v>4805</v>
      </c>
      <c r="DM227" s="1091">
        <v>-0.41499999999999998</v>
      </c>
      <c r="DN227" s="1092">
        <v>-2.169</v>
      </c>
      <c r="DO227" s="1092" t="s">
        <v>1942</v>
      </c>
      <c r="DP227" s="1093">
        <v>-0.46300000000000002</v>
      </c>
      <c r="DQ227" s="1092">
        <v>0.34599999999999997</v>
      </c>
      <c r="DR227" s="1092" t="s">
        <v>1942</v>
      </c>
      <c r="DS227" s="1092" t="s">
        <v>1942</v>
      </c>
      <c r="DT227" s="1093">
        <v>0.46300000000000002</v>
      </c>
      <c r="DU227" s="1085" t="s">
        <v>1942</v>
      </c>
      <c r="DV227" s="1094">
        <v>1</v>
      </c>
      <c r="DW227" s="1095" t="s">
        <v>1942</v>
      </c>
    </row>
    <row r="228" spans="1:127" s="397" customFormat="1" ht="15.75" hidden="1" customHeight="1">
      <c r="A228" s="1097" t="s">
        <v>1071</v>
      </c>
      <c r="B228" s="1057">
        <v>219</v>
      </c>
      <c r="C228" s="1018"/>
      <c r="D228" s="1018"/>
      <c r="E228" s="1018"/>
      <c r="F228" s="1018"/>
      <c r="G228" s="1018"/>
      <c r="H228" s="1018"/>
      <c r="I228" s="1018"/>
      <c r="J228" s="1018"/>
      <c r="K228" s="1018"/>
      <c r="L228" s="1018"/>
      <c r="M228" s="1057"/>
      <c r="N228" s="1018"/>
      <c r="O228" s="1018"/>
      <c r="P228" s="1018"/>
      <c r="Q228" s="1018"/>
      <c r="R228" s="1018"/>
      <c r="S228" s="1018"/>
      <c r="T228" s="1019"/>
      <c r="U228" s="1098" t="s">
        <v>2865</v>
      </c>
      <c r="V228" s="1099" t="s">
        <v>2866</v>
      </c>
      <c r="W228" s="1099" t="s">
        <v>1907</v>
      </c>
      <c r="X228" s="1100" t="s">
        <v>2867</v>
      </c>
      <c r="Y228" s="1101" t="s">
        <v>2868</v>
      </c>
      <c r="Z228" s="1102" t="s">
        <v>2869</v>
      </c>
      <c r="AA228" s="1103" t="s">
        <v>1942</v>
      </c>
      <c r="AB228" s="1104" t="s">
        <v>1942</v>
      </c>
      <c r="AC228" s="1104" t="s">
        <v>1942</v>
      </c>
      <c r="AD228" s="1104" t="s">
        <v>1942</v>
      </c>
      <c r="AE228" s="1104">
        <v>1</v>
      </c>
      <c r="AF228" s="1104" t="s">
        <v>1942</v>
      </c>
      <c r="AG228" s="1104" t="s">
        <v>1942</v>
      </c>
      <c r="AH228" s="1104" t="s">
        <v>1942</v>
      </c>
      <c r="AI228" s="1105">
        <f t="shared" si="3"/>
        <v>1</v>
      </c>
      <c r="AJ228" s="1106" t="s">
        <v>1026</v>
      </c>
      <c r="AK228" s="1106" t="s">
        <v>1008</v>
      </c>
      <c r="AL228" s="1106" t="s">
        <v>1009</v>
      </c>
      <c r="AM228" s="1107" t="s">
        <v>1947</v>
      </c>
      <c r="AN228" s="1018" t="s">
        <v>278</v>
      </c>
      <c r="AO228" s="1018" t="s">
        <v>2870</v>
      </c>
      <c r="AP228" s="1274">
        <v>1</v>
      </c>
      <c r="AQ228" s="1076" t="s">
        <v>1010</v>
      </c>
      <c r="AR228" s="1109" t="s">
        <v>1942</v>
      </c>
      <c r="AS228" s="1110"/>
      <c r="AT228" s="1100"/>
      <c r="AU228" s="1100"/>
      <c r="AV228" s="1100"/>
      <c r="AW228" s="1111"/>
      <c r="AX228" s="1112"/>
      <c r="AY228" s="1075"/>
      <c r="AZ228" s="1076"/>
      <c r="BA228" s="1076"/>
      <c r="BB228" s="1076"/>
      <c r="BC228" s="1076"/>
      <c r="BD228" s="1076"/>
      <c r="BE228" s="1076"/>
      <c r="BF228" s="1076"/>
      <c r="BG228" s="1076"/>
      <c r="BH228" s="1076"/>
      <c r="BI228" s="1420"/>
      <c r="BJ228" s="1368"/>
      <c r="BK228" s="1368"/>
      <c r="BL228" s="1368"/>
      <c r="BM228" s="1368"/>
      <c r="BN228" s="1075"/>
      <c r="BO228" s="1076"/>
      <c r="BP228" s="1076"/>
      <c r="BQ228" s="1076"/>
      <c r="BR228" s="1076"/>
      <c r="BS228" s="1115"/>
      <c r="BT228" s="1076"/>
      <c r="BU228" s="1076"/>
      <c r="BV228" s="1076"/>
      <c r="BW228" s="1116"/>
      <c r="BX228" s="1115"/>
      <c r="BY228" s="1076"/>
      <c r="BZ228" s="1076"/>
      <c r="CA228" s="1076"/>
      <c r="CB228" s="1116"/>
      <c r="CC228" s="1117"/>
      <c r="CD228" s="1376"/>
      <c r="CE228" s="1377"/>
      <c r="CF228" s="1377"/>
      <c r="CG228" s="1377"/>
      <c r="CH228" s="1440"/>
      <c r="CI228" s="1420"/>
      <c r="CJ228" s="1368"/>
      <c r="CK228" s="1368"/>
      <c r="CL228" s="1368"/>
      <c r="CM228" s="1369"/>
      <c r="CN228" s="1420"/>
      <c r="CO228" s="1368"/>
      <c r="CP228" s="1368"/>
      <c r="CQ228" s="1368"/>
      <c r="CR228" s="1369"/>
      <c r="CS228" s="1420"/>
      <c r="CT228" s="1368"/>
      <c r="CU228" s="1368"/>
      <c r="CV228" s="1368"/>
      <c r="CW228" s="1369"/>
      <c r="CX228" s="1420"/>
      <c r="CY228" s="1368"/>
      <c r="CZ228" s="1368"/>
      <c r="DA228" s="1368"/>
      <c r="DB228" s="1369"/>
      <c r="DC228" s="1368"/>
      <c r="DD228" s="1368"/>
      <c r="DE228" s="1368"/>
      <c r="DF228" s="1368"/>
      <c r="DG228" s="1369"/>
      <c r="DH228" s="1420"/>
      <c r="DI228" s="1368"/>
      <c r="DJ228" s="1368"/>
      <c r="DK228" s="1368"/>
      <c r="DL228" s="1369"/>
      <c r="DM228" s="1808"/>
      <c r="DN228" s="1809"/>
      <c r="DO228" s="1809"/>
      <c r="DP228" s="1810"/>
      <c r="DQ228" s="1809"/>
      <c r="DR228" s="1809"/>
      <c r="DS228" s="1809"/>
      <c r="DT228" s="1810"/>
      <c r="DU228" s="1377"/>
      <c r="DV228" s="1729"/>
      <c r="DW228" s="1811"/>
    </row>
    <row r="229" spans="1:127" s="397" customFormat="1" ht="15.75" hidden="1" customHeight="1">
      <c r="A229" s="1097" t="s">
        <v>1071</v>
      </c>
      <c r="B229" s="1057">
        <v>220</v>
      </c>
      <c r="C229" s="1018"/>
      <c r="D229" s="1018"/>
      <c r="E229" s="1018"/>
      <c r="F229" s="1018"/>
      <c r="G229" s="1018"/>
      <c r="H229" s="1018"/>
      <c r="I229" s="1018"/>
      <c r="J229" s="1018"/>
      <c r="K229" s="1018"/>
      <c r="L229" s="1018"/>
      <c r="M229" s="1057"/>
      <c r="N229" s="1018"/>
      <c r="O229" s="1018"/>
      <c r="P229" s="1018"/>
      <c r="Q229" s="1018"/>
      <c r="R229" s="1018"/>
      <c r="S229" s="1018"/>
      <c r="T229" s="1019"/>
      <c r="U229" s="1098" t="s">
        <v>2871</v>
      </c>
      <c r="V229" s="1099" t="s">
        <v>2866</v>
      </c>
      <c r="W229" s="1099" t="s">
        <v>1907</v>
      </c>
      <c r="X229" s="1100" t="s">
        <v>2872</v>
      </c>
      <c r="Y229" s="1101" t="s">
        <v>1931</v>
      </c>
      <c r="Z229" s="1102" t="s">
        <v>2823</v>
      </c>
      <c r="AA229" s="1103" t="s">
        <v>1942</v>
      </c>
      <c r="AB229" s="1104" t="s">
        <v>1942</v>
      </c>
      <c r="AC229" s="1104" t="s">
        <v>1942</v>
      </c>
      <c r="AD229" s="1104" t="s">
        <v>1942</v>
      </c>
      <c r="AE229" s="1104">
        <v>1</v>
      </c>
      <c r="AF229" s="1104" t="s">
        <v>1942</v>
      </c>
      <c r="AG229" s="1104" t="s">
        <v>1942</v>
      </c>
      <c r="AH229" s="1104" t="s">
        <v>1942</v>
      </c>
      <c r="AI229" s="1105">
        <f t="shared" si="3"/>
        <v>1</v>
      </c>
      <c r="AJ229" s="1106" t="s">
        <v>1030</v>
      </c>
      <c r="AK229" s="1106" t="s">
        <v>1008</v>
      </c>
      <c r="AL229" s="1106" t="s">
        <v>1009</v>
      </c>
      <c r="AM229" s="1107" t="s">
        <v>1069</v>
      </c>
      <c r="AN229" s="1018" t="s">
        <v>1081</v>
      </c>
      <c r="AO229" s="1018" t="s">
        <v>2873</v>
      </c>
      <c r="AP229" s="1274">
        <v>2</v>
      </c>
      <c r="AQ229" s="1076" t="s">
        <v>1010</v>
      </c>
      <c r="AR229" s="1109" t="s">
        <v>1931</v>
      </c>
      <c r="AS229" s="1110"/>
      <c r="AT229" s="1100"/>
      <c r="AU229" s="1100"/>
      <c r="AV229" s="1100"/>
      <c r="AW229" s="1111"/>
      <c r="AX229" s="1112"/>
      <c r="AY229" s="1075"/>
      <c r="AZ229" s="1076"/>
      <c r="BA229" s="1076"/>
      <c r="BB229" s="1076"/>
      <c r="BC229" s="1076"/>
      <c r="BD229" s="1076"/>
      <c r="BE229" s="1076"/>
      <c r="BF229" s="1076"/>
      <c r="BG229" s="1076"/>
      <c r="BH229" s="1076"/>
      <c r="BI229" s="1075" t="s">
        <v>1942</v>
      </c>
      <c r="BJ229" s="1076" t="s">
        <v>1942</v>
      </c>
      <c r="BK229" s="1076" t="s">
        <v>1942</v>
      </c>
      <c r="BL229" s="1076" t="s">
        <v>1942</v>
      </c>
      <c r="BM229" s="1076" t="s">
        <v>1942</v>
      </c>
      <c r="BN229" s="1075"/>
      <c r="BO229" s="1076"/>
      <c r="BP229" s="1076"/>
      <c r="BQ229" s="1076"/>
      <c r="BR229" s="1076"/>
      <c r="BS229" s="1115"/>
      <c r="BT229" s="1076"/>
      <c r="BU229" s="1076"/>
      <c r="BV229" s="1076"/>
      <c r="BW229" s="1116"/>
      <c r="BX229" s="1115"/>
      <c r="BY229" s="1076"/>
      <c r="BZ229" s="1076"/>
      <c r="CA229" s="1076"/>
      <c r="CB229" s="1116"/>
      <c r="CC229" s="1117"/>
      <c r="CD229" s="1118" t="s">
        <v>168</v>
      </c>
      <c r="CE229" s="1119" t="s">
        <v>168</v>
      </c>
      <c r="CF229" s="1119" t="s">
        <v>168</v>
      </c>
      <c r="CG229" s="1119" t="s">
        <v>168</v>
      </c>
      <c r="CH229" s="1120" t="s">
        <v>168</v>
      </c>
      <c r="CI229" s="1075" t="s">
        <v>1942</v>
      </c>
      <c r="CJ229" s="1076" t="s">
        <v>1942</v>
      </c>
      <c r="CK229" s="1076" t="s">
        <v>1942</v>
      </c>
      <c r="CL229" s="1076" t="s">
        <v>1942</v>
      </c>
      <c r="CM229" s="1117" t="s">
        <v>1942</v>
      </c>
      <c r="CN229" s="1075" t="s">
        <v>1942</v>
      </c>
      <c r="CO229" s="1076" t="s">
        <v>1942</v>
      </c>
      <c r="CP229" s="1076" t="s">
        <v>1942</v>
      </c>
      <c r="CQ229" s="1076" t="s">
        <v>1942</v>
      </c>
      <c r="CR229" s="1117" t="s">
        <v>1942</v>
      </c>
      <c r="CS229" s="1075" t="s">
        <v>1942</v>
      </c>
      <c r="CT229" s="1076" t="s">
        <v>1942</v>
      </c>
      <c r="CU229" s="1076" t="s">
        <v>1942</v>
      </c>
      <c r="CV229" s="1076" t="s">
        <v>1942</v>
      </c>
      <c r="CW229" s="1117" t="s">
        <v>1942</v>
      </c>
      <c r="CX229" s="1075" t="s">
        <v>1942</v>
      </c>
      <c r="CY229" s="1076" t="s">
        <v>1942</v>
      </c>
      <c r="CZ229" s="1076" t="s">
        <v>1942</v>
      </c>
      <c r="DA229" s="1076" t="s">
        <v>1942</v>
      </c>
      <c r="DB229" s="1117" t="s">
        <v>1942</v>
      </c>
      <c r="DC229" s="1076" t="s">
        <v>1942</v>
      </c>
      <c r="DD229" s="1076" t="s">
        <v>1942</v>
      </c>
      <c r="DE229" s="1076" t="s">
        <v>1942</v>
      </c>
      <c r="DF229" s="1076" t="s">
        <v>1942</v>
      </c>
      <c r="DG229" s="1117" t="s">
        <v>1942</v>
      </c>
      <c r="DH229" s="1075" t="s">
        <v>1942</v>
      </c>
      <c r="DI229" s="1076" t="s">
        <v>1942</v>
      </c>
      <c r="DJ229" s="1076" t="s">
        <v>1942</v>
      </c>
      <c r="DK229" s="1076" t="s">
        <v>1942</v>
      </c>
      <c r="DL229" s="1117" t="s">
        <v>1942</v>
      </c>
      <c r="DM229" s="1121" t="s">
        <v>1942</v>
      </c>
      <c r="DN229" s="1122" t="s">
        <v>1942</v>
      </c>
      <c r="DO229" s="1122" t="s">
        <v>1942</v>
      </c>
      <c r="DP229" s="1123" t="s">
        <v>1942</v>
      </c>
      <c r="DQ229" s="1122" t="s">
        <v>1942</v>
      </c>
      <c r="DR229" s="1122" t="s">
        <v>1942</v>
      </c>
      <c r="DS229" s="1122" t="s">
        <v>1942</v>
      </c>
      <c r="DT229" s="1123" t="s">
        <v>1942</v>
      </c>
      <c r="DU229" s="1119" t="s">
        <v>1942</v>
      </c>
      <c r="DV229" s="1124">
        <v>1</v>
      </c>
      <c r="DW229" s="1125" t="s">
        <v>1942</v>
      </c>
    </row>
    <row r="230" spans="1:127" s="397" customFormat="1" ht="15.75" hidden="1" customHeight="1">
      <c r="A230" s="1097" t="s">
        <v>1071</v>
      </c>
      <c r="B230" s="1057">
        <v>221</v>
      </c>
      <c r="C230" s="1018"/>
      <c r="D230" s="1018"/>
      <c r="E230" s="1018"/>
      <c r="F230" s="1018"/>
      <c r="G230" s="1018"/>
      <c r="H230" s="1018"/>
      <c r="I230" s="1018"/>
      <c r="J230" s="1018"/>
      <c r="K230" s="1018"/>
      <c r="L230" s="1018"/>
      <c r="M230" s="1057"/>
      <c r="N230" s="1018"/>
      <c r="O230" s="1018"/>
      <c r="P230" s="1018"/>
      <c r="Q230" s="1018"/>
      <c r="R230" s="1018"/>
      <c r="S230" s="1018"/>
      <c r="T230" s="1019"/>
      <c r="U230" s="1098" t="s">
        <v>2874</v>
      </c>
      <c r="V230" s="1099" t="s">
        <v>2866</v>
      </c>
      <c r="W230" s="1099" t="s">
        <v>1907</v>
      </c>
      <c r="X230" s="1100" t="s">
        <v>2875</v>
      </c>
      <c r="Y230" s="1101" t="s">
        <v>1935</v>
      </c>
      <c r="Z230" s="1102" t="s">
        <v>2823</v>
      </c>
      <c r="AA230" s="1103" t="s">
        <v>1942</v>
      </c>
      <c r="AB230" s="1104">
        <v>1</v>
      </c>
      <c r="AC230" s="1104" t="s">
        <v>1942</v>
      </c>
      <c r="AD230" s="1104" t="s">
        <v>1942</v>
      </c>
      <c r="AE230" s="1104" t="s">
        <v>1942</v>
      </c>
      <c r="AF230" s="1104" t="s">
        <v>1942</v>
      </c>
      <c r="AG230" s="1104" t="s">
        <v>1942</v>
      </c>
      <c r="AH230" s="1104" t="s">
        <v>1942</v>
      </c>
      <c r="AI230" s="1105">
        <f t="shared" si="3"/>
        <v>1</v>
      </c>
      <c r="AJ230" s="1106" t="s">
        <v>1030</v>
      </c>
      <c r="AK230" s="1106" t="s">
        <v>1008</v>
      </c>
      <c r="AL230" s="1106" t="s">
        <v>1009</v>
      </c>
      <c r="AM230" s="1107" t="s">
        <v>1073</v>
      </c>
      <c r="AN230" s="1018" t="s">
        <v>1081</v>
      </c>
      <c r="AO230" s="1018" t="s">
        <v>2776</v>
      </c>
      <c r="AP230" s="1274">
        <v>2</v>
      </c>
      <c r="AQ230" s="1076" t="s">
        <v>1010</v>
      </c>
      <c r="AR230" s="1109" t="s">
        <v>1935</v>
      </c>
      <c r="AS230" s="1110"/>
      <c r="AT230" s="1100"/>
      <c r="AU230" s="1100"/>
      <c r="AV230" s="1100"/>
      <c r="AW230" s="1111"/>
      <c r="AX230" s="1112"/>
      <c r="AY230" s="1075"/>
      <c r="AZ230" s="1076"/>
      <c r="BA230" s="1076"/>
      <c r="BB230" s="1076"/>
      <c r="BC230" s="1076"/>
      <c r="BD230" s="1076"/>
      <c r="BE230" s="1076"/>
      <c r="BF230" s="1076"/>
      <c r="BG230" s="1076"/>
      <c r="BH230" s="1076"/>
      <c r="BI230" s="1075" t="s">
        <v>1942</v>
      </c>
      <c r="BJ230" s="1076" t="s">
        <v>1942</v>
      </c>
      <c r="BK230" s="1076" t="s">
        <v>1942</v>
      </c>
      <c r="BL230" s="1076" t="s">
        <v>1942</v>
      </c>
      <c r="BM230" s="1076" t="s">
        <v>1942</v>
      </c>
      <c r="BN230" s="1075"/>
      <c r="BO230" s="1076"/>
      <c r="BP230" s="1076"/>
      <c r="BQ230" s="1076"/>
      <c r="BR230" s="1076"/>
      <c r="BS230" s="1115"/>
      <c r="BT230" s="1076"/>
      <c r="BU230" s="1076"/>
      <c r="BV230" s="1076"/>
      <c r="BW230" s="1116"/>
      <c r="BX230" s="1115"/>
      <c r="BY230" s="1076"/>
      <c r="BZ230" s="1076"/>
      <c r="CA230" s="1076"/>
      <c r="CB230" s="1116"/>
      <c r="CC230" s="1117"/>
      <c r="CD230" s="1118" t="s">
        <v>168</v>
      </c>
      <c r="CE230" s="1119" t="s">
        <v>168</v>
      </c>
      <c r="CF230" s="1119" t="s">
        <v>168</v>
      </c>
      <c r="CG230" s="1119" t="s">
        <v>168</v>
      </c>
      <c r="CH230" s="1120" t="s">
        <v>168</v>
      </c>
      <c r="CI230" s="1075" t="s">
        <v>1942</v>
      </c>
      <c r="CJ230" s="1076" t="s">
        <v>1942</v>
      </c>
      <c r="CK230" s="1076" t="s">
        <v>1942</v>
      </c>
      <c r="CL230" s="1076" t="s">
        <v>1942</v>
      </c>
      <c r="CM230" s="1117" t="s">
        <v>1942</v>
      </c>
      <c r="CN230" s="1075" t="s">
        <v>1942</v>
      </c>
      <c r="CO230" s="1076" t="s">
        <v>1942</v>
      </c>
      <c r="CP230" s="1076" t="s">
        <v>1942</v>
      </c>
      <c r="CQ230" s="1076" t="s">
        <v>1942</v>
      </c>
      <c r="CR230" s="1117" t="s">
        <v>1942</v>
      </c>
      <c r="CS230" s="1075" t="s">
        <v>1942</v>
      </c>
      <c r="CT230" s="1076" t="s">
        <v>1942</v>
      </c>
      <c r="CU230" s="1076" t="s">
        <v>1942</v>
      </c>
      <c r="CV230" s="1076" t="s">
        <v>1942</v>
      </c>
      <c r="CW230" s="1117" t="s">
        <v>1942</v>
      </c>
      <c r="CX230" s="1075" t="s">
        <v>1942</v>
      </c>
      <c r="CY230" s="1076" t="s">
        <v>1942</v>
      </c>
      <c r="CZ230" s="1076" t="s">
        <v>1942</v>
      </c>
      <c r="DA230" s="1076" t="s">
        <v>1942</v>
      </c>
      <c r="DB230" s="1117" t="s">
        <v>1942</v>
      </c>
      <c r="DC230" s="1076" t="s">
        <v>1942</v>
      </c>
      <c r="DD230" s="1076" t="s">
        <v>1942</v>
      </c>
      <c r="DE230" s="1076" t="s">
        <v>1942</v>
      </c>
      <c r="DF230" s="1076" t="s">
        <v>1942</v>
      </c>
      <c r="DG230" s="1117" t="s">
        <v>1942</v>
      </c>
      <c r="DH230" s="1075" t="s">
        <v>1942</v>
      </c>
      <c r="DI230" s="1076" t="s">
        <v>1942</v>
      </c>
      <c r="DJ230" s="1076" t="s">
        <v>1942</v>
      </c>
      <c r="DK230" s="1076" t="s">
        <v>1942</v>
      </c>
      <c r="DL230" s="1117" t="s">
        <v>1942</v>
      </c>
      <c r="DM230" s="1121" t="s">
        <v>1942</v>
      </c>
      <c r="DN230" s="1122" t="s">
        <v>1942</v>
      </c>
      <c r="DO230" s="1122" t="s">
        <v>1942</v>
      </c>
      <c r="DP230" s="1123" t="s">
        <v>1942</v>
      </c>
      <c r="DQ230" s="1122" t="s">
        <v>1942</v>
      </c>
      <c r="DR230" s="1122" t="s">
        <v>1942</v>
      </c>
      <c r="DS230" s="1122" t="s">
        <v>1942</v>
      </c>
      <c r="DT230" s="1123" t="s">
        <v>1942</v>
      </c>
      <c r="DU230" s="1119" t="s">
        <v>131</v>
      </c>
      <c r="DV230" s="1124">
        <v>1</v>
      </c>
      <c r="DW230" s="1125" t="s">
        <v>1942</v>
      </c>
    </row>
    <row r="231" spans="1:127" s="397" customFormat="1" ht="15.75" hidden="1" customHeight="1">
      <c r="A231" s="1054" t="s">
        <v>1071</v>
      </c>
      <c r="B231" s="1055">
        <v>222</v>
      </c>
      <c r="C231" s="1143"/>
      <c r="D231" s="1143"/>
      <c r="E231" s="1143"/>
      <c r="F231" s="1143"/>
      <c r="G231" s="1143"/>
      <c r="H231" s="1143"/>
      <c r="I231" s="1143"/>
      <c r="J231" s="1143"/>
      <c r="K231" s="1143"/>
      <c r="L231" s="1143"/>
      <c r="M231" s="1055"/>
      <c r="N231" s="1143"/>
      <c r="O231" s="1143"/>
      <c r="P231" s="1143"/>
      <c r="Q231" s="1143"/>
      <c r="R231" s="1143"/>
      <c r="S231" s="1143"/>
      <c r="T231" s="1058"/>
      <c r="U231" s="1059" t="s">
        <v>2876</v>
      </c>
      <c r="V231" s="1060" t="s">
        <v>2877</v>
      </c>
      <c r="W231" s="1060" t="s">
        <v>1889</v>
      </c>
      <c r="X231" s="1061" t="s">
        <v>2878</v>
      </c>
      <c r="Y231" s="1062" t="s">
        <v>1902</v>
      </c>
      <c r="Z231" s="1063" t="s">
        <v>2823</v>
      </c>
      <c r="AA231" s="1064" t="s">
        <v>1942</v>
      </c>
      <c r="AB231" s="1065">
        <v>1</v>
      </c>
      <c r="AC231" s="1065" t="s">
        <v>1942</v>
      </c>
      <c r="AD231" s="1065" t="s">
        <v>1942</v>
      </c>
      <c r="AE231" s="1065" t="s">
        <v>1942</v>
      </c>
      <c r="AF231" s="1065" t="s">
        <v>1942</v>
      </c>
      <c r="AG231" s="1065" t="s">
        <v>1942</v>
      </c>
      <c r="AH231" s="1065" t="s">
        <v>1942</v>
      </c>
      <c r="AI231" s="1066">
        <f t="shared" si="3"/>
        <v>1</v>
      </c>
      <c r="AJ231" s="1067" t="s">
        <v>1026</v>
      </c>
      <c r="AK231" s="1067" t="s">
        <v>1008</v>
      </c>
      <c r="AL231" s="1440" t="s">
        <v>1019</v>
      </c>
      <c r="AM231" s="1068" t="s">
        <v>2054</v>
      </c>
      <c r="AN231" s="1062" t="s">
        <v>2118</v>
      </c>
      <c r="AO231" s="1062" t="s">
        <v>4791</v>
      </c>
      <c r="AP231" s="1306">
        <v>1</v>
      </c>
      <c r="AQ231" s="833" t="s">
        <v>1010</v>
      </c>
      <c r="AR231" s="1071" t="s">
        <v>1902</v>
      </c>
      <c r="AS231" s="1072"/>
      <c r="AT231" s="1061"/>
      <c r="AU231" s="1061"/>
      <c r="AV231" s="1061"/>
      <c r="AW231" s="1073"/>
      <c r="AX231" s="1074"/>
      <c r="AY231" s="1079"/>
      <c r="AZ231" s="1080"/>
      <c r="BA231" s="1080"/>
      <c r="BB231" s="1080"/>
      <c r="BC231" s="1080"/>
      <c r="BD231" s="1080"/>
      <c r="BE231" s="1080"/>
      <c r="BF231" s="1080"/>
      <c r="BG231" s="1077"/>
      <c r="BH231" s="1077"/>
      <c r="BI231" s="1078">
        <v>1</v>
      </c>
      <c r="BJ231" s="1077">
        <v>2.2999999999999998</v>
      </c>
      <c r="BK231" s="1077">
        <v>3.8</v>
      </c>
      <c r="BL231" s="1077">
        <v>5.2</v>
      </c>
      <c r="BM231" s="1077">
        <v>6.6</v>
      </c>
      <c r="BN231" s="1079"/>
      <c r="BO231" s="1080"/>
      <c r="BP231" s="1080"/>
      <c r="BQ231" s="1080"/>
      <c r="BR231" s="1080"/>
      <c r="BS231" s="1081"/>
      <c r="BT231" s="1080"/>
      <c r="BU231" s="1080"/>
      <c r="BV231" s="1080"/>
      <c r="BW231" s="1082"/>
      <c r="BX231" s="1081"/>
      <c r="BY231" s="1080"/>
      <c r="BZ231" s="1080"/>
      <c r="CA231" s="1080"/>
      <c r="CB231" s="1082"/>
      <c r="CC231" s="1083"/>
      <c r="CD231" s="1084" t="s">
        <v>168</v>
      </c>
      <c r="CE231" s="1085" t="s">
        <v>168</v>
      </c>
      <c r="CF231" s="1085" t="s">
        <v>168</v>
      </c>
      <c r="CG231" s="1085" t="s">
        <v>168</v>
      </c>
      <c r="CH231" s="1086" t="s">
        <v>168</v>
      </c>
      <c r="CI231" s="1089" t="s">
        <v>1942</v>
      </c>
      <c r="CJ231" s="1087" t="s">
        <v>1942</v>
      </c>
      <c r="CK231" s="1087" t="s">
        <v>1942</v>
      </c>
      <c r="CL231" s="1087" t="s">
        <v>1942</v>
      </c>
      <c r="CM231" s="1088" t="s">
        <v>1942</v>
      </c>
      <c r="CN231" s="1089">
        <v>-8.9</v>
      </c>
      <c r="CO231" s="1087">
        <v>-8.9</v>
      </c>
      <c r="CP231" s="1087">
        <v>-8.9</v>
      </c>
      <c r="CQ231" s="1087">
        <v>-8.9</v>
      </c>
      <c r="CR231" s="1088">
        <v>-8.9</v>
      </c>
      <c r="CS231" s="1079" t="s">
        <v>1942</v>
      </c>
      <c r="CT231" s="1080" t="s">
        <v>1942</v>
      </c>
      <c r="CU231" s="1080" t="s">
        <v>1942</v>
      </c>
      <c r="CV231" s="1080" t="s">
        <v>1942</v>
      </c>
      <c r="CW231" s="1083" t="s">
        <v>1942</v>
      </c>
      <c r="CX231" s="1079" t="s">
        <v>1942</v>
      </c>
      <c r="CY231" s="1080" t="s">
        <v>1942</v>
      </c>
      <c r="CZ231" s="1080" t="s">
        <v>1942</v>
      </c>
      <c r="DA231" s="1080" t="s">
        <v>1942</v>
      </c>
      <c r="DB231" s="1083" t="s">
        <v>1942</v>
      </c>
      <c r="DC231" s="1087" t="s">
        <v>1942</v>
      </c>
      <c r="DD231" s="1087" t="s">
        <v>1942</v>
      </c>
      <c r="DE231" s="1087" t="s">
        <v>1942</v>
      </c>
      <c r="DF231" s="1087" t="s">
        <v>1942</v>
      </c>
      <c r="DG231" s="1088" t="s">
        <v>1942</v>
      </c>
      <c r="DH231" s="1089" t="s">
        <v>1942</v>
      </c>
      <c r="DI231" s="1080" t="s">
        <v>1942</v>
      </c>
      <c r="DJ231" s="1080" t="s">
        <v>1942</v>
      </c>
      <c r="DK231" s="1080" t="s">
        <v>1942</v>
      </c>
      <c r="DL231" s="1083" t="s">
        <v>1942</v>
      </c>
      <c r="DM231" s="1091">
        <v>-8.7999999999999995E-2</v>
      </c>
      <c r="DN231" s="1092" t="s">
        <v>1942</v>
      </c>
      <c r="DO231" s="1092" t="s">
        <v>1942</v>
      </c>
      <c r="DP231" s="1093" t="s">
        <v>1942</v>
      </c>
      <c r="DQ231" s="1092" t="s">
        <v>1942</v>
      </c>
      <c r="DR231" s="1092" t="s">
        <v>1942</v>
      </c>
      <c r="DS231" s="1092" t="s">
        <v>1942</v>
      </c>
      <c r="DT231" s="1093" t="s">
        <v>1942</v>
      </c>
      <c r="DU231" s="1085" t="s">
        <v>131</v>
      </c>
      <c r="DV231" s="1094">
        <v>1</v>
      </c>
      <c r="DW231" s="1095" t="s">
        <v>1942</v>
      </c>
    </row>
    <row r="232" spans="1:127" s="397" customFormat="1" ht="15.75" hidden="1" customHeight="1">
      <c r="A232" s="1097" t="s">
        <v>1071</v>
      </c>
      <c r="B232" s="1057">
        <v>223</v>
      </c>
      <c r="C232" s="1018"/>
      <c r="D232" s="1018"/>
      <c r="E232" s="1018"/>
      <c r="F232" s="1018"/>
      <c r="G232" s="1018"/>
      <c r="H232" s="1018"/>
      <c r="I232" s="1018"/>
      <c r="J232" s="1018"/>
      <c r="K232" s="1018"/>
      <c r="L232" s="1018"/>
      <c r="M232" s="1057"/>
      <c r="N232" s="1018"/>
      <c r="O232" s="1018"/>
      <c r="P232" s="1018"/>
      <c r="Q232" s="1018"/>
      <c r="R232" s="1018"/>
      <c r="S232" s="1018"/>
      <c r="T232" s="1019"/>
      <c r="U232" s="1098" t="s">
        <v>2880</v>
      </c>
      <c r="V232" s="1099" t="s">
        <v>2877</v>
      </c>
      <c r="W232" s="1099" t="s">
        <v>1896</v>
      </c>
      <c r="X232" s="1100" t="s">
        <v>2881</v>
      </c>
      <c r="Y232" s="1101" t="s">
        <v>2882</v>
      </c>
      <c r="Z232" s="1102" t="s">
        <v>2883</v>
      </c>
      <c r="AA232" s="1103" t="s">
        <v>1942</v>
      </c>
      <c r="AB232" s="1104">
        <v>1</v>
      </c>
      <c r="AC232" s="1104" t="s">
        <v>1942</v>
      </c>
      <c r="AD232" s="1104" t="s">
        <v>1942</v>
      </c>
      <c r="AE232" s="1104" t="s">
        <v>1942</v>
      </c>
      <c r="AF232" s="1104" t="s">
        <v>1942</v>
      </c>
      <c r="AG232" s="1104" t="s">
        <v>1942</v>
      </c>
      <c r="AH232" s="1104" t="s">
        <v>1942</v>
      </c>
      <c r="AI232" s="1105">
        <f t="shared" si="3"/>
        <v>1</v>
      </c>
      <c r="AJ232" s="1106" t="s">
        <v>1026</v>
      </c>
      <c r="AK232" s="1106" t="s">
        <v>1008</v>
      </c>
      <c r="AL232" s="1106" t="s">
        <v>1009</v>
      </c>
      <c r="AM232" s="1107" t="s">
        <v>2132</v>
      </c>
      <c r="AN232" s="1018" t="s">
        <v>1033</v>
      </c>
      <c r="AO232" s="1018" t="s">
        <v>2884</v>
      </c>
      <c r="AP232" s="1274">
        <v>0</v>
      </c>
      <c r="AQ232" s="1076" t="s">
        <v>1020</v>
      </c>
      <c r="AR232" s="1109" t="s">
        <v>1942</v>
      </c>
      <c r="AS232" s="1110"/>
      <c r="AT232" s="1100"/>
      <c r="AU232" s="1100"/>
      <c r="AV232" s="1100"/>
      <c r="AW232" s="1111"/>
      <c r="AX232" s="1112"/>
      <c r="AY232" s="1075"/>
      <c r="AZ232" s="1076"/>
      <c r="BA232" s="1076"/>
      <c r="BB232" s="1076"/>
      <c r="BC232" s="1076"/>
      <c r="BD232" s="1076"/>
      <c r="BE232" s="1076"/>
      <c r="BF232" s="1076"/>
      <c r="BG232" s="1076"/>
      <c r="BH232" s="1076"/>
      <c r="BI232" s="1420"/>
      <c r="BJ232" s="1368"/>
      <c r="BK232" s="1368"/>
      <c r="BL232" s="1368"/>
      <c r="BM232" s="1368"/>
      <c r="BN232" s="1075"/>
      <c r="BO232" s="1076"/>
      <c r="BP232" s="1076"/>
      <c r="BQ232" s="1076"/>
      <c r="BR232" s="1076"/>
      <c r="BS232" s="1115"/>
      <c r="BT232" s="1076"/>
      <c r="BU232" s="1076"/>
      <c r="BV232" s="1076"/>
      <c r="BW232" s="1116"/>
      <c r="BX232" s="1115"/>
      <c r="BY232" s="1076"/>
      <c r="BZ232" s="1076"/>
      <c r="CA232" s="1076"/>
      <c r="CB232" s="1116"/>
      <c r="CC232" s="1117"/>
      <c r="CD232" s="1376"/>
      <c r="CE232" s="1377"/>
      <c r="CF232" s="1377"/>
      <c r="CG232" s="1377"/>
      <c r="CH232" s="1440"/>
      <c r="CI232" s="1420"/>
      <c r="CJ232" s="1368"/>
      <c r="CK232" s="1368"/>
      <c r="CL232" s="1368"/>
      <c r="CM232" s="1369"/>
      <c r="CN232" s="1420"/>
      <c r="CO232" s="1368"/>
      <c r="CP232" s="1368"/>
      <c r="CQ232" s="1368"/>
      <c r="CR232" s="1369"/>
      <c r="CS232" s="1420"/>
      <c r="CT232" s="1368"/>
      <c r="CU232" s="1368"/>
      <c r="CV232" s="1368"/>
      <c r="CW232" s="1369"/>
      <c r="CX232" s="1420"/>
      <c r="CY232" s="1368"/>
      <c r="CZ232" s="1368"/>
      <c r="DA232" s="1368"/>
      <c r="DB232" s="1369"/>
      <c r="DC232" s="1368"/>
      <c r="DD232" s="1368"/>
      <c r="DE232" s="1368"/>
      <c r="DF232" s="1368"/>
      <c r="DG232" s="1369"/>
      <c r="DH232" s="1420"/>
      <c r="DI232" s="1368"/>
      <c r="DJ232" s="1368"/>
      <c r="DK232" s="1368"/>
      <c r="DL232" s="1369"/>
      <c r="DM232" s="1808"/>
      <c r="DN232" s="1809"/>
      <c r="DO232" s="1809"/>
      <c r="DP232" s="1810"/>
      <c r="DQ232" s="1809"/>
      <c r="DR232" s="1809"/>
      <c r="DS232" s="1809"/>
      <c r="DT232" s="1810"/>
      <c r="DU232" s="1377"/>
      <c r="DV232" s="1729"/>
      <c r="DW232" s="1811"/>
    </row>
    <row r="233" spans="1:127" s="397" customFormat="1" ht="15.75" hidden="1" customHeight="1">
      <c r="A233" s="1097" t="s">
        <v>1071</v>
      </c>
      <c r="B233" s="1057">
        <v>224</v>
      </c>
      <c r="C233" s="1018"/>
      <c r="D233" s="1018"/>
      <c r="E233" s="1018"/>
      <c r="F233" s="1018"/>
      <c r="G233" s="1018"/>
      <c r="H233" s="1018"/>
      <c r="I233" s="1018"/>
      <c r="J233" s="1018"/>
      <c r="K233" s="1018"/>
      <c r="L233" s="1018"/>
      <c r="M233" s="1057"/>
      <c r="N233" s="1018"/>
      <c r="O233" s="1018"/>
      <c r="P233" s="1018"/>
      <c r="Q233" s="1018"/>
      <c r="R233" s="1018"/>
      <c r="S233" s="1018"/>
      <c r="T233" s="1019"/>
      <c r="U233" s="1098" t="s">
        <v>2885</v>
      </c>
      <c r="V233" s="1099" t="s">
        <v>2877</v>
      </c>
      <c r="W233" s="1099" t="s">
        <v>1889</v>
      </c>
      <c r="X233" s="1100" t="s">
        <v>2886</v>
      </c>
      <c r="Y233" s="1101" t="s">
        <v>736</v>
      </c>
      <c r="Z233" s="1102" t="s">
        <v>2887</v>
      </c>
      <c r="AA233" s="1103" t="s">
        <v>1942</v>
      </c>
      <c r="AB233" s="1104">
        <v>1</v>
      </c>
      <c r="AC233" s="1104" t="s">
        <v>1942</v>
      </c>
      <c r="AD233" s="1104" t="s">
        <v>1942</v>
      </c>
      <c r="AE233" s="1104" t="s">
        <v>1942</v>
      </c>
      <c r="AF233" s="1104" t="s">
        <v>1942</v>
      </c>
      <c r="AG233" s="1104" t="s">
        <v>1942</v>
      </c>
      <c r="AH233" s="1104" t="s">
        <v>1942</v>
      </c>
      <c r="AI233" s="1105">
        <f t="shared" si="3"/>
        <v>1</v>
      </c>
      <c r="AJ233" s="1106" t="s">
        <v>1007</v>
      </c>
      <c r="AK233" s="1106" t="s">
        <v>1942</v>
      </c>
      <c r="AL233" s="1106" t="s">
        <v>1942</v>
      </c>
      <c r="AM233" s="1107" t="s">
        <v>736</v>
      </c>
      <c r="AN233" s="1018" t="s">
        <v>1033</v>
      </c>
      <c r="AO233" s="1018" t="s">
        <v>2888</v>
      </c>
      <c r="AP233" s="1274">
        <v>0</v>
      </c>
      <c r="AQ233" s="1076" t="s">
        <v>1020</v>
      </c>
      <c r="AR233" s="1109" t="s">
        <v>1942</v>
      </c>
      <c r="AS233" s="1110"/>
      <c r="AT233" s="1100"/>
      <c r="AU233" s="1100"/>
      <c r="AV233" s="1100"/>
      <c r="AW233" s="1111"/>
      <c r="AX233" s="1112"/>
      <c r="AY233" s="1075"/>
      <c r="AZ233" s="1076"/>
      <c r="BA233" s="1076"/>
      <c r="BB233" s="1076"/>
      <c r="BC233" s="1076"/>
      <c r="BD233" s="1076"/>
      <c r="BE233" s="1076"/>
      <c r="BF233" s="1076"/>
      <c r="BG233" s="1076"/>
      <c r="BH233" s="1076"/>
      <c r="BI233" s="1075" t="s">
        <v>1942</v>
      </c>
      <c r="BJ233" s="1076" t="s">
        <v>1942</v>
      </c>
      <c r="BK233" s="1076" t="s">
        <v>1942</v>
      </c>
      <c r="BL233" s="1076" t="s">
        <v>1942</v>
      </c>
      <c r="BM233" s="1076" t="s">
        <v>1942</v>
      </c>
      <c r="BN233" s="1075"/>
      <c r="BO233" s="1076"/>
      <c r="BP233" s="1076"/>
      <c r="BQ233" s="1076"/>
      <c r="BR233" s="1076"/>
      <c r="BS233" s="1115"/>
      <c r="BT233" s="1076"/>
      <c r="BU233" s="1076"/>
      <c r="BV233" s="1076"/>
      <c r="BW233" s="1116"/>
      <c r="BX233" s="1115"/>
      <c r="BY233" s="1076"/>
      <c r="BZ233" s="1076"/>
      <c r="CA233" s="1076"/>
      <c r="CB233" s="1116"/>
      <c r="CC233" s="1117"/>
      <c r="CD233" s="1118" t="s">
        <v>1942</v>
      </c>
      <c r="CE233" s="1119" t="s">
        <v>1942</v>
      </c>
      <c r="CF233" s="1119" t="s">
        <v>1942</v>
      </c>
      <c r="CG233" s="1119" t="s">
        <v>1942</v>
      </c>
      <c r="CH233" s="1120" t="s">
        <v>1942</v>
      </c>
      <c r="CI233" s="1075" t="s">
        <v>1942</v>
      </c>
      <c r="CJ233" s="1076" t="s">
        <v>1942</v>
      </c>
      <c r="CK233" s="1076" t="s">
        <v>1942</v>
      </c>
      <c r="CL233" s="1076" t="s">
        <v>1942</v>
      </c>
      <c r="CM233" s="1117" t="s">
        <v>1942</v>
      </c>
      <c r="CN233" s="1075" t="s">
        <v>1942</v>
      </c>
      <c r="CO233" s="1076" t="s">
        <v>1942</v>
      </c>
      <c r="CP233" s="1076" t="s">
        <v>1942</v>
      </c>
      <c r="CQ233" s="1076" t="s">
        <v>1942</v>
      </c>
      <c r="CR233" s="1117" t="s">
        <v>1942</v>
      </c>
      <c r="CS233" s="1075" t="s">
        <v>1942</v>
      </c>
      <c r="CT233" s="1076" t="s">
        <v>1942</v>
      </c>
      <c r="CU233" s="1076" t="s">
        <v>1942</v>
      </c>
      <c r="CV233" s="1076" t="s">
        <v>1942</v>
      </c>
      <c r="CW233" s="1117" t="s">
        <v>1942</v>
      </c>
      <c r="CX233" s="1075" t="s">
        <v>1942</v>
      </c>
      <c r="CY233" s="1076" t="s">
        <v>1942</v>
      </c>
      <c r="CZ233" s="1076" t="s">
        <v>1942</v>
      </c>
      <c r="DA233" s="1076" t="s">
        <v>1942</v>
      </c>
      <c r="DB233" s="1117" t="s">
        <v>1942</v>
      </c>
      <c r="DC233" s="1076" t="s">
        <v>1942</v>
      </c>
      <c r="DD233" s="1076" t="s">
        <v>1942</v>
      </c>
      <c r="DE233" s="1076" t="s">
        <v>1942</v>
      </c>
      <c r="DF233" s="1076" t="s">
        <v>1942</v>
      </c>
      <c r="DG233" s="1117" t="s">
        <v>1942</v>
      </c>
      <c r="DH233" s="1075" t="s">
        <v>1942</v>
      </c>
      <c r="DI233" s="1076" t="s">
        <v>1942</v>
      </c>
      <c r="DJ233" s="1076" t="s">
        <v>1942</v>
      </c>
      <c r="DK233" s="1076" t="s">
        <v>1942</v>
      </c>
      <c r="DL233" s="1117" t="s">
        <v>1942</v>
      </c>
      <c r="DM233" s="1121" t="s">
        <v>1942</v>
      </c>
      <c r="DN233" s="1122" t="s">
        <v>1942</v>
      </c>
      <c r="DO233" s="1122" t="s">
        <v>1942</v>
      </c>
      <c r="DP233" s="1123" t="s">
        <v>1942</v>
      </c>
      <c r="DQ233" s="1122" t="s">
        <v>1942</v>
      </c>
      <c r="DR233" s="1122" t="s">
        <v>1942</v>
      </c>
      <c r="DS233" s="1122" t="s">
        <v>1942</v>
      </c>
      <c r="DT233" s="1123" t="s">
        <v>1942</v>
      </c>
      <c r="DU233" s="1119" t="s">
        <v>1942</v>
      </c>
      <c r="DV233" s="1124">
        <v>1</v>
      </c>
      <c r="DW233" s="1125" t="s">
        <v>1942</v>
      </c>
    </row>
    <row r="234" spans="1:127" s="397" customFormat="1" ht="15.75" hidden="1" customHeight="1">
      <c r="A234" s="1097" t="s">
        <v>1071</v>
      </c>
      <c r="B234" s="1057">
        <v>225</v>
      </c>
      <c r="C234" s="1018"/>
      <c r="D234" s="1018"/>
      <c r="E234" s="1018"/>
      <c r="F234" s="1018"/>
      <c r="G234" s="1018"/>
      <c r="H234" s="1018"/>
      <c r="I234" s="1018"/>
      <c r="J234" s="1018"/>
      <c r="K234" s="1018"/>
      <c r="L234" s="1018"/>
      <c r="M234" s="1057"/>
      <c r="N234" s="1018"/>
      <c r="O234" s="1018"/>
      <c r="P234" s="1018"/>
      <c r="Q234" s="1018"/>
      <c r="R234" s="1018"/>
      <c r="S234" s="1018"/>
      <c r="T234" s="1019"/>
      <c r="U234" s="1098" t="s">
        <v>2889</v>
      </c>
      <c r="V234" s="1099" t="s">
        <v>2877</v>
      </c>
      <c r="W234" s="1099" t="s">
        <v>1907</v>
      </c>
      <c r="X234" s="1100" t="s">
        <v>2890</v>
      </c>
      <c r="Y234" s="1101" t="s">
        <v>2891</v>
      </c>
      <c r="Z234" s="1102" t="s">
        <v>2892</v>
      </c>
      <c r="AA234" s="1103">
        <v>1</v>
      </c>
      <c r="AB234" s="1104" t="s">
        <v>1942</v>
      </c>
      <c r="AC234" s="1104" t="s">
        <v>1942</v>
      </c>
      <c r="AD234" s="1104" t="s">
        <v>1942</v>
      </c>
      <c r="AE234" s="1104" t="s">
        <v>1942</v>
      </c>
      <c r="AF234" s="1104" t="s">
        <v>1942</v>
      </c>
      <c r="AG234" s="1104" t="s">
        <v>1942</v>
      </c>
      <c r="AH234" s="1104" t="s">
        <v>1942</v>
      </c>
      <c r="AI234" s="1105">
        <f t="shared" si="3"/>
        <v>1</v>
      </c>
      <c r="AJ234" s="1106" t="s">
        <v>1007</v>
      </c>
      <c r="AK234" s="1106" t="s">
        <v>1942</v>
      </c>
      <c r="AL234" s="1106" t="s">
        <v>1942</v>
      </c>
      <c r="AM234" s="1107" t="s">
        <v>1979</v>
      </c>
      <c r="AN234" s="1018" t="s">
        <v>1033</v>
      </c>
      <c r="AO234" s="1018" t="s">
        <v>2312</v>
      </c>
      <c r="AP234" s="1274">
        <v>0</v>
      </c>
      <c r="AQ234" s="1076" t="s">
        <v>1020</v>
      </c>
      <c r="AR234" s="1109" t="s">
        <v>1942</v>
      </c>
      <c r="AS234" s="1110"/>
      <c r="AT234" s="1100"/>
      <c r="AU234" s="1100"/>
      <c r="AV234" s="1100"/>
      <c r="AW234" s="1111"/>
      <c r="AX234" s="1112"/>
      <c r="AY234" s="1075"/>
      <c r="AZ234" s="1076"/>
      <c r="BA234" s="1076"/>
      <c r="BB234" s="1076"/>
      <c r="BC234" s="1076"/>
      <c r="BD234" s="1076"/>
      <c r="BE234" s="1076"/>
      <c r="BF234" s="1076"/>
      <c r="BG234" s="1076"/>
      <c r="BH234" s="1076"/>
      <c r="BI234" s="1420"/>
      <c r="BJ234" s="1368"/>
      <c r="BK234" s="1368"/>
      <c r="BL234" s="1368"/>
      <c r="BM234" s="1368"/>
      <c r="BN234" s="1075"/>
      <c r="BO234" s="1076"/>
      <c r="BP234" s="1076"/>
      <c r="BQ234" s="1076"/>
      <c r="BR234" s="1076"/>
      <c r="BS234" s="1115"/>
      <c r="BT234" s="1076"/>
      <c r="BU234" s="1076"/>
      <c r="BV234" s="1076"/>
      <c r="BW234" s="1116"/>
      <c r="BX234" s="1115"/>
      <c r="BY234" s="1076"/>
      <c r="BZ234" s="1076"/>
      <c r="CA234" s="1076"/>
      <c r="CB234" s="1116"/>
      <c r="CC234" s="1117"/>
      <c r="CD234" s="1376"/>
      <c r="CE234" s="1377"/>
      <c r="CF234" s="1377"/>
      <c r="CG234" s="1377"/>
      <c r="CH234" s="1440"/>
      <c r="CI234" s="1420"/>
      <c r="CJ234" s="1368"/>
      <c r="CK234" s="1368"/>
      <c r="CL234" s="1368"/>
      <c r="CM234" s="1369"/>
      <c r="CN234" s="1420"/>
      <c r="CO234" s="1368"/>
      <c r="CP234" s="1368"/>
      <c r="CQ234" s="1368"/>
      <c r="CR234" s="1369"/>
      <c r="CS234" s="1420"/>
      <c r="CT234" s="1368"/>
      <c r="CU234" s="1368"/>
      <c r="CV234" s="1368"/>
      <c r="CW234" s="1369"/>
      <c r="CX234" s="1420"/>
      <c r="CY234" s="1368"/>
      <c r="CZ234" s="1368"/>
      <c r="DA234" s="1368"/>
      <c r="DB234" s="1369"/>
      <c r="DC234" s="1368"/>
      <c r="DD234" s="1368"/>
      <c r="DE234" s="1368"/>
      <c r="DF234" s="1368"/>
      <c r="DG234" s="1369"/>
      <c r="DH234" s="1420"/>
      <c r="DI234" s="1368"/>
      <c r="DJ234" s="1368"/>
      <c r="DK234" s="1368"/>
      <c r="DL234" s="1369"/>
      <c r="DM234" s="1808"/>
      <c r="DN234" s="1809"/>
      <c r="DO234" s="1809"/>
      <c r="DP234" s="1810"/>
      <c r="DQ234" s="1809"/>
      <c r="DR234" s="1809"/>
      <c r="DS234" s="1809"/>
      <c r="DT234" s="1810"/>
      <c r="DU234" s="1377"/>
      <c r="DV234" s="1729"/>
      <c r="DW234" s="1811"/>
    </row>
    <row r="235" spans="1:127" s="397" customFormat="1" ht="15.75" hidden="1" customHeight="1">
      <c r="A235" s="1097" t="s">
        <v>1071</v>
      </c>
      <c r="B235" s="1057">
        <v>226</v>
      </c>
      <c r="C235" s="1018"/>
      <c r="D235" s="1018"/>
      <c r="E235" s="1018"/>
      <c r="F235" s="1018"/>
      <c r="G235" s="1018"/>
      <c r="H235" s="1018"/>
      <c r="I235" s="1018"/>
      <c r="J235" s="1018"/>
      <c r="K235" s="1018"/>
      <c r="L235" s="1018"/>
      <c r="M235" s="1057"/>
      <c r="N235" s="1018"/>
      <c r="O235" s="1018"/>
      <c r="P235" s="1018"/>
      <c r="Q235" s="1018"/>
      <c r="R235" s="1018"/>
      <c r="S235" s="1018"/>
      <c r="T235" s="1019"/>
      <c r="U235" s="1098" t="s">
        <v>2894</v>
      </c>
      <c r="V235" s="1099" t="s">
        <v>2877</v>
      </c>
      <c r="W235" s="1099" t="s">
        <v>1907</v>
      </c>
      <c r="X235" s="1100" t="s">
        <v>2895</v>
      </c>
      <c r="Y235" s="1101" t="s">
        <v>2896</v>
      </c>
      <c r="Z235" s="1102" t="s">
        <v>2897</v>
      </c>
      <c r="AA235" s="1103" t="s">
        <v>1942</v>
      </c>
      <c r="AB235" s="1104">
        <v>1</v>
      </c>
      <c r="AC235" s="1104" t="s">
        <v>1942</v>
      </c>
      <c r="AD235" s="1104" t="s">
        <v>1942</v>
      </c>
      <c r="AE235" s="1104" t="s">
        <v>1942</v>
      </c>
      <c r="AF235" s="1104" t="s">
        <v>1942</v>
      </c>
      <c r="AG235" s="1104" t="s">
        <v>1942</v>
      </c>
      <c r="AH235" s="1104" t="s">
        <v>1942</v>
      </c>
      <c r="AI235" s="1105">
        <f t="shared" si="3"/>
        <v>1</v>
      </c>
      <c r="AJ235" s="1106" t="s">
        <v>1007</v>
      </c>
      <c r="AK235" s="1106" t="s">
        <v>1942</v>
      </c>
      <c r="AL235" s="1106" t="s">
        <v>1942</v>
      </c>
      <c r="AM235" s="1107" t="s">
        <v>2289</v>
      </c>
      <c r="AN235" s="1018" t="s">
        <v>1033</v>
      </c>
      <c r="AO235" s="1018" t="s">
        <v>2682</v>
      </c>
      <c r="AP235" s="1274">
        <v>0</v>
      </c>
      <c r="AQ235" s="1076" t="s">
        <v>1010</v>
      </c>
      <c r="AR235" s="1109" t="s">
        <v>1942</v>
      </c>
      <c r="AS235" s="1110"/>
      <c r="AT235" s="1100"/>
      <c r="AU235" s="1100"/>
      <c r="AV235" s="1100"/>
      <c r="AW235" s="1111"/>
      <c r="AX235" s="1112"/>
      <c r="AY235" s="1075"/>
      <c r="AZ235" s="1076"/>
      <c r="BA235" s="1076"/>
      <c r="BB235" s="1076"/>
      <c r="BC235" s="1076"/>
      <c r="BD235" s="1076"/>
      <c r="BE235" s="1076"/>
      <c r="BF235" s="1076"/>
      <c r="BG235" s="1076"/>
      <c r="BH235" s="1076"/>
      <c r="BI235" s="1420"/>
      <c r="BJ235" s="1368"/>
      <c r="BK235" s="1368"/>
      <c r="BL235" s="1368"/>
      <c r="BM235" s="1368"/>
      <c r="BN235" s="1075"/>
      <c r="BO235" s="1076"/>
      <c r="BP235" s="1076"/>
      <c r="BQ235" s="1076"/>
      <c r="BR235" s="1076"/>
      <c r="BS235" s="1115"/>
      <c r="BT235" s="1076"/>
      <c r="BU235" s="1076"/>
      <c r="BV235" s="1076"/>
      <c r="BW235" s="1116"/>
      <c r="BX235" s="1115"/>
      <c r="BY235" s="1076"/>
      <c r="BZ235" s="1076"/>
      <c r="CA235" s="1076"/>
      <c r="CB235" s="1116"/>
      <c r="CC235" s="1117"/>
      <c r="CD235" s="1376"/>
      <c r="CE235" s="1377"/>
      <c r="CF235" s="1377"/>
      <c r="CG235" s="1377"/>
      <c r="CH235" s="1440"/>
      <c r="CI235" s="1420"/>
      <c r="CJ235" s="1368"/>
      <c r="CK235" s="1368"/>
      <c r="CL235" s="1368"/>
      <c r="CM235" s="1369"/>
      <c r="CN235" s="1420"/>
      <c r="CO235" s="1368"/>
      <c r="CP235" s="1368"/>
      <c r="CQ235" s="1368"/>
      <c r="CR235" s="1369"/>
      <c r="CS235" s="1420"/>
      <c r="CT235" s="1368"/>
      <c r="CU235" s="1368"/>
      <c r="CV235" s="1368"/>
      <c r="CW235" s="1369"/>
      <c r="CX235" s="1420"/>
      <c r="CY235" s="1368"/>
      <c r="CZ235" s="1368"/>
      <c r="DA235" s="1368"/>
      <c r="DB235" s="1369"/>
      <c r="DC235" s="1368"/>
      <c r="DD235" s="1368"/>
      <c r="DE235" s="1368"/>
      <c r="DF235" s="1368"/>
      <c r="DG235" s="1369"/>
      <c r="DH235" s="1420"/>
      <c r="DI235" s="1368"/>
      <c r="DJ235" s="1368"/>
      <c r="DK235" s="1368"/>
      <c r="DL235" s="1369"/>
      <c r="DM235" s="1808"/>
      <c r="DN235" s="1809"/>
      <c r="DO235" s="1809"/>
      <c r="DP235" s="1810"/>
      <c r="DQ235" s="1809"/>
      <c r="DR235" s="1809"/>
      <c r="DS235" s="1809"/>
      <c r="DT235" s="1810"/>
      <c r="DU235" s="1377"/>
      <c r="DV235" s="1729"/>
      <c r="DW235" s="1811"/>
    </row>
    <row r="236" spans="1:127" s="397" customFormat="1" ht="15.75" hidden="1" customHeight="1">
      <c r="A236" s="1097" t="s">
        <v>1071</v>
      </c>
      <c r="B236" s="1057">
        <v>227</v>
      </c>
      <c r="C236" s="1018"/>
      <c r="D236" s="1018"/>
      <c r="E236" s="1018"/>
      <c r="F236" s="1018"/>
      <c r="G236" s="1018"/>
      <c r="H236" s="1018"/>
      <c r="I236" s="1018"/>
      <c r="J236" s="1018"/>
      <c r="K236" s="1018"/>
      <c r="L236" s="1018"/>
      <c r="M236" s="1057"/>
      <c r="N236" s="1018"/>
      <c r="O236" s="1018"/>
      <c r="P236" s="1018"/>
      <c r="Q236" s="1018"/>
      <c r="R236" s="1018"/>
      <c r="S236" s="1018"/>
      <c r="T236" s="1019"/>
      <c r="U236" s="1098" t="s">
        <v>2898</v>
      </c>
      <c r="V236" s="1099" t="s">
        <v>2877</v>
      </c>
      <c r="W236" s="1099" t="s">
        <v>1896</v>
      </c>
      <c r="X236" s="1100" t="s">
        <v>2899</v>
      </c>
      <c r="Y236" s="1101" t="s">
        <v>2900</v>
      </c>
      <c r="Z236" s="1102" t="s">
        <v>2901</v>
      </c>
      <c r="AA236" s="1103">
        <v>0.34</v>
      </c>
      <c r="AB236" s="1104">
        <v>0.66</v>
      </c>
      <c r="AC236" s="1104" t="s">
        <v>1942</v>
      </c>
      <c r="AD236" s="1104" t="s">
        <v>1942</v>
      </c>
      <c r="AE236" s="1104" t="s">
        <v>1942</v>
      </c>
      <c r="AF236" s="1104" t="s">
        <v>1942</v>
      </c>
      <c r="AG236" s="1104" t="s">
        <v>1942</v>
      </c>
      <c r="AH236" s="1104" t="s">
        <v>1942</v>
      </c>
      <c r="AI236" s="1105">
        <f t="shared" si="3"/>
        <v>1</v>
      </c>
      <c r="AJ236" s="1106" t="s">
        <v>1026</v>
      </c>
      <c r="AK236" s="1106" t="s">
        <v>1008</v>
      </c>
      <c r="AL236" s="1106" t="s">
        <v>1009</v>
      </c>
      <c r="AM236" s="1107" t="s">
        <v>2106</v>
      </c>
      <c r="AN236" s="1018" t="s">
        <v>1033</v>
      </c>
      <c r="AO236" s="1018" t="s">
        <v>2902</v>
      </c>
      <c r="AP236" s="1274">
        <v>0</v>
      </c>
      <c r="AQ236" s="1076" t="s">
        <v>1010</v>
      </c>
      <c r="AR236" s="1109" t="s">
        <v>1942</v>
      </c>
      <c r="AS236" s="1110"/>
      <c r="AT236" s="1100"/>
      <c r="AU236" s="1100"/>
      <c r="AV236" s="1100"/>
      <c r="AW236" s="1111"/>
      <c r="AX236" s="1112"/>
      <c r="AY236" s="1075"/>
      <c r="AZ236" s="1076"/>
      <c r="BA236" s="1076"/>
      <c r="BB236" s="1076"/>
      <c r="BC236" s="1076"/>
      <c r="BD236" s="1076"/>
      <c r="BE236" s="1076"/>
      <c r="BF236" s="1076"/>
      <c r="BG236" s="1076"/>
      <c r="BH236" s="1076"/>
      <c r="BI236" s="1420"/>
      <c r="BJ236" s="1368"/>
      <c r="BK236" s="1368"/>
      <c r="BL236" s="1368"/>
      <c r="BM236" s="1368"/>
      <c r="BN236" s="1075"/>
      <c r="BO236" s="1076"/>
      <c r="BP236" s="1076"/>
      <c r="BQ236" s="1076"/>
      <c r="BR236" s="1076"/>
      <c r="BS236" s="1115"/>
      <c r="BT236" s="1076"/>
      <c r="BU236" s="1076"/>
      <c r="BV236" s="1076"/>
      <c r="BW236" s="1116"/>
      <c r="BX236" s="1115"/>
      <c r="BY236" s="1076"/>
      <c r="BZ236" s="1076"/>
      <c r="CA236" s="1076"/>
      <c r="CB236" s="1116"/>
      <c r="CC236" s="1117"/>
      <c r="CD236" s="1376"/>
      <c r="CE236" s="1377"/>
      <c r="CF236" s="1377"/>
      <c r="CG236" s="1377"/>
      <c r="CH236" s="1440"/>
      <c r="CI236" s="1420"/>
      <c r="CJ236" s="1368"/>
      <c r="CK236" s="1368"/>
      <c r="CL236" s="1368"/>
      <c r="CM236" s="1369"/>
      <c r="CN236" s="1420"/>
      <c r="CO236" s="1368"/>
      <c r="CP236" s="1368"/>
      <c r="CQ236" s="1368"/>
      <c r="CR236" s="1369"/>
      <c r="CS236" s="1420"/>
      <c r="CT236" s="1368"/>
      <c r="CU236" s="1368"/>
      <c r="CV236" s="1368"/>
      <c r="CW236" s="1369"/>
      <c r="CX236" s="1420"/>
      <c r="CY236" s="1368"/>
      <c r="CZ236" s="1368"/>
      <c r="DA236" s="1368"/>
      <c r="DB236" s="1369"/>
      <c r="DC236" s="1368"/>
      <c r="DD236" s="1368"/>
      <c r="DE236" s="1368"/>
      <c r="DF236" s="1368"/>
      <c r="DG236" s="1369"/>
      <c r="DH236" s="1420"/>
      <c r="DI236" s="1368"/>
      <c r="DJ236" s="1368"/>
      <c r="DK236" s="1368"/>
      <c r="DL236" s="1369"/>
      <c r="DM236" s="1808"/>
      <c r="DN236" s="1809"/>
      <c r="DO236" s="1809"/>
      <c r="DP236" s="1810"/>
      <c r="DQ236" s="1809"/>
      <c r="DR236" s="1809"/>
      <c r="DS236" s="1809"/>
      <c r="DT236" s="1810"/>
      <c r="DU236" s="1377"/>
      <c r="DV236" s="1729"/>
      <c r="DW236" s="1811"/>
    </row>
    <row r="237" spans="1:127" s="397" customFormat="1" ht="15.75" hidden="1" customHeight="1">
      <c r="A237" s="1097" t="s">
        <v>1071</v>
      </c>
      <c r="B237" s="1057">
        <v>228</v>
      </c>
      <c r="C237" s="1018"/>
      <c r="D237" s="1018"/>
      <c r="E237" s="1018"/>
      <c r="F237" s="1018"/>
      <c r="G237" s="1018"/>
      <c r="H237" s="1018"/>
      <c r="I237" s="1018"/>
      <c r="J237" s="1018"/>
      <c r="K237" s="1018"/>
      <c r="L237" s="1018"/>
      <c r="M237" s="1057"/>
      <c r="N237" s="1018"/>
      <c r="O237" s="1018"/>
      <c r="P237" s="1018"/>
      <c r="Q237" s="1018"/>
      <c r="R237" s="1018"/>
      <c r="S237" s="1018"/>
      <c r="T237" s="1019"/>
      <c r="U237" s="1098" t="s">
        <v>2903</v>
      </c>
      <c r="V237" s="1099" t="s">
        <v>2821</v>
      </c>
      <c r="W237" s="1099" t="s">
        <v>1907</v>
      </c>
      <c r="X237" s="1100" t="s">
        <v>2904</v>
      </c>
      <c r="Y237" s="1101" t="s">
        <v>2905</v>
      </c>
      <c r="Z237" s="1102" t="s">
        <v>2906</v>
      </c>
      <c r="AA237" s="1103" t="s">
        <v>1942</v>
      </c>
      <c r="AB237" s="1104">
        <v>1</v>
      </c>
      <c r="AC237" s="1104" t="s">
        <v>1942</v>
      </c>
      <c r="AD237" s="1104" t="s">
        <v>1942</v>
      </c>
      <c r="AE237" s="1104" t="s">
        <v>1942</v>
      </c>
      <c r="AF237" s="1104" t="s">
        <v>1942</v>
      </c>
      <c r="AG237" s="1104" t="s">
        <v>1942</v>
      </c>
      <c r="AH237" s="1104" t="s">
        <v>1942</v>
      </c>
      <c r="AI237" s="1105">
        <f t="shared" si="3"/>
        <v>1</v>
      </c>
      <c r="AJ237" s="1106" t="s">
        <v>1026</v>
      </c>
      <c r="AK237" s="1106" t="s">
        <v>1008</v>
      </c>
      <c r="AL237" s="1106" t="s">
        <v>1009</v>
      </c>
      <c r="AM237" s="1107" t="s">
        <v>1942</v>
      </c>
      <c r="AN237" s="1018" t="s">
        <v>1033</v>
      </c>
      <c r="AO237" s="1018" t="s">
        <v>2907</v>
      </c>
      <c r="AP237" s="1274">
        <v>1</v>
      </c>
      <c r="AQ237" s="1076" t="s">
        <v>1020</v>
      </c>
      <c r="AR237" s="1109" t="s">
        <v>1942</v>
      </c>
      <c r="AS237" s="1110"/>
      <c r="AT237" s="1100"/>
      <c r="AU237" s="1100"/>
      <c r="AV237" s="1100"/>
      <c r="AW237" s="1111"/>
      <c r="AX237" s="1112"/>
      <c r="AY237" s="1075"/>
      <c r="AZ237" s="1076"/>
      <c r="BA237" s="1076"/>
      <c r="BB237" s="1076"/>
      <c r="BC237" s="1076"/>
      <c r="BD237" s="1076"/>
      <c r="BE237" s="1076"/>
      <c r="BF237" s="1076"/>
      <c r="BG237" s="1076"/>
      <c r="BH237" s="1076"/>
      <c r="BI237" s="1420"/>
      <c r="BJ237" s="1368"/>
      <c r="BK237" s="1368"/>
      <c r="BL237" s="1368"/>
      <c r="BM237" s="1368"/>
      <c r="BN237" s="1075"/>
      <c r="BO237" s="1076"/>
      <c r="BP237" s="1076"/>
      <c r="BQ237" s="1076"/>
      <c r="BR237" s="1076"/>
      <c r="BS237" s="1115"/>
      <c r="BT237" s="1076"/>
      <c r="BU237" s="1076"/>
      <c r="BV237" s="1076"/>
      <c r="BW237" s="1116"/>
      <c r="BX237" s="1115"/>
      <c r="BY237" s="1076"/>
      <c r="BZ237" s="1076"/>
      <c r="CA237" s="1076"/>
      <c r="CB237" s="1116"/>
      <c r="CC237" s="1117"/>
      <c r="CD237" s="1376"/>
      <c r="CE237" s="1377"/>
      <c r="CF237" s="1377"/>
      <c r="CG237" s="1377"/>
      <c r="CH237" s="1440"/>
      <c r="CI237" s="1420"/>
      <c r="CJ237" s="1368"/>
      <c r="CK237" s="1368"/>
      <c r="CL237" s="1368"/>
      <c r="CM237" s="1369"/>
      <c r="CN237" s="1420"/>
      <c r="CO237" s="1368"/>
      <c r="CP237" s="1368"/>
      <c r="CQ237" s="1368"/>
      <c r="CR237" s="1369"/>
      <c r="CS237" s="1420"/>
      <c r="CT237" s="1368"/>
      <c r="CU237" s="1368"/>
      <c r="CV237" s="1368"/>
      <c r="CW237" s="1369"/>
      <c r="CX237" s="1420"/>
      <c r="CY237" s="1368"/>
      <c r="CZ237" s="1368"/>
      <c r="DA237" s="1368"/>
      <c r="DB237" s="1369"/>
      <c r="DC237" s="1368"/>
      <c r="DD237" s="1368"/>
      <c r="DE237" s="1368"/>
      <c r="DF237" s="1368"/>
      <c r="DG237" s="1369"/>
      <c r="DH237" s="1420"/>
      <c r="DI237" s="1368"/>
      <c r="DJ237" s="1368"/>
      <c r="DK237" s="1368"/>
      <c r="DL237" s="1369"/>
      <c r="DM237" s="1808"/>
      <c r="DN237" s="1809"/>
      <c r="DO237" s="1809"/>
      <c r="DP237" s="1810"/>
      <c r="DQ237" s="1809"/>
      <c r="DR237" s="1809"/>
      <c r="DS237" s="1809"/>
      <c r="DT237" s="1810"/>
      <c r="DU237" s="1377"/>
      <c r="DV237" s="1729"/>
      <c r="DW237" s="1811"/>
    </row>
    <row r="238" spans="1:127" s="397" customFormat="1" ht="15.75" hidden="1" customHeight="1">
      <c r="A238" s="1097" t="s">
        <v>1071</v>
      </c>
      <c r="B238" s="1057">
        <v>229</v>
      </c>
      <c r="C238" s="1018"/>
      <c r="D238" s="1018"/>
      <c r="E238" s="1018"/>
      <c r="F238" s="1018"/>
      <c r="G238" s="1018"/>
      <c r="H238" s="1018"/>
      <c r="I238" s="1018"/>
      <c r="J238" s="1018"/>
      <c r="K238" s="1018"/>
      <c r="L238" s="1018"/>
      <c r="M238" s="1057"/>
      <c r="N238" s="1018"/>
      <c r="O238" s="1018"/>
      <c r="P238" s="1018"/>
      <c r="Q238" s="1018"/>
      <c r="R238" s="1018"/>
      <c r="S238" s="1018"/>
      <c r="T238" s="1019"/>
      <c r="U238" s="1098" t="s">
        <v>2908</v>
      </c>
      <c r="V238" s="1099" t="s">
        <v>2835</v>
      </c>
      <c r="W238" s="1099" t="s">
        <v>1896</v>
      </c>
      <c r="X238" s="1100" t="s">
        <v>2909</v>
      </c>
      <c r="Y238" s="1101" t="s">
        <v>2910</v>
      </c>
      <c r="Z238" s="1102" t="s">
        <v>2911</v>
      </c>
      <c r="AA238" s="1103" t="s">
        <v>1942</v>
      </c>
      <c r="AB238" s="1104" t="s">
        <v>1942</v>
      </c>
      <c r="AC238" s="1104" t="s">
        <v>1942</v>
      </c>
      <c r="AD238" s="1104" t="s">
        <v>1942</v>
      </c>
      <c r="AE238" s="1104">
        <v>1</v>
      </c>
      <c r="AF238" s="1104" t="s">
        <v>1942</v>
      </c>
      <c r="AG238" s="1104" t="s">
        <v>1942</v>
      </c>
      <c r="AH238" s="1104" t="s">
        <v>1942</v>
      </c>
      <c r="AI238" s="1105">
        <f t="shared" si="3"/>
        <v>1</v>
      </c>
      <c r="AJ238" s="1106" t="s">
        <v>1007</v>
      </c>
      <c r="AK238" s="1106" t="s">
        <v>1942</v>
      </c>
      <c r="AL238" s="1106" t="s">
        <v>1942</v>
      </c>
      <c r="AM238" s="1107" t="s">
        <v>2117</v>
      </c>
      <c r="AN238" s="1018" t="s">
        <v>278</v>
      </c>
      <c r="AO238" s="1018" t="s">
        <v>2459</v>
      </c>
      <c r="AP238" s="1274">
        <v>0</v>
      </c>
      <c r="AQ238" s="1076" t="s">
        <v>1020</v>
      </c>
      <c r="AR238" s="1109" t="s">
        <v>1942</v>
      </c>
      <c r="AS238" s="1110"/>
      <c r="AT238" s="1100"/>
      <c r="AU238" s="1100"/>
      <c r="AV238" s="1100"/>
      <c r="AW238" s="1111"/>
      <c r="AX238" s="1112"/>
      <c r="AY238" s="1075"/>
      <c r="AZ238" s="1076"/>
      <c r="BA238" s="1076"/>
      <c r="BB238" s="1076"/>
      <c r="BC238" s="1076"/>
      <c r="BD238" s="1076"/>
      <c r="BE238" s="1076"/>
      <c r="BF238" s="1076"/>
      <c r="BG238" s="1076"/>
      <c r="BH238" s="1076"/>
      <c r="BI238" s="1420"/>
      <c r="BJ238" s="1368"/>
      <c r="BK238" s="1368"/>
      <c r="BL238" s="1368"/>
      <c r="BM238" s="1368"/>
      <c r="BN238" s="1075"/>
      <c r="BO238" s="1076"/>
      <c r="BP238" s="1076"/>
      <c r="BQ238" s="1076"/>
      <c r="BR238" s="1076"/>
      <c r="BS238" s="1115"/>
      <c r="BT238" s="1076"/>
      <c r="BU238" s="1076"/>
      <c r="BV238" s="1076"/>
      <c r="BW238" s="1116"/>
      <c r="BX238" s="1115"/>
      <c r="BY238" s="1076"/>
      <c r="BZ238" s="1076"/>
      <c r="CA238" s="1076"/>
      <c r="CB238" s="1116"/>
      <c r="CC238" s="1117"/>
      <c r="CD238" s="1376"/>
      <c r="CE238" s="1377"/>
      <c r="CF238" s="1377"/>
      <c r="CG238" s="1377"/>
      <c r="CH238" s="1440"/>
      <c r="CI238" s="1420"/>
      <c r="CJ238" s="1368"/>
      <c r="CK238" s="1368"/>
      <c r="CL238" s="1368"/>
      <c r="CM238" s="1369"/>
      <c r="CN238" s="1420"/>
      <c r="CO238" s="1368"/>
      <c r="CP238" s="1368"/>
      <c r="CQ238" s="1368"/>
      <c r="CR238" s="1369"/>
      <c r="CS238" s="1420"/>
      <c r="CT238" s="1368"/>
      <c r="CU238" s="1368"/>
      <c r="CV238" s="1368"/>
      <c r="CW238" s="1369"/>
      <c r="CX238" s="1420"/>
      <c r="CY238" s="1368"/>
      <c r="CZ238" s="1368"/>
      <c r="DA238" s="1368"/>
      <c r="DB238" s="1369"/>
      <c r="DC238" s="1368"/>
      <c r="DD238" s="1368"/>
      <c r="DE238" s="1368"/>
      <c r="DF238" s="1368"/>
      <c r="DG238" s="1369"/>
      <c r="DH238" s="1420"/>
      <c r="DI238" s="1368"/>
      <c r="DJ238" s="1368"/>
      <c r="DK238" s="1368"/>
      <c r="DL238" s="1369"/>
      <c r="DM238" s="1808"/>
      <c r="DN238" s="1809"/>
      <c r="DO238" s="1809"/>
      <c r="DP238" s="1810"/>
      <c r="DQ238" s="1809"/>
      <c r="DR238" s="1809"/>
      <c r="DS238" s="1809"/>
      <c r="DT238" s="1810"/>
      <c r="DU238" s="1377"/>
      <c r="DV238" s="1729"/>
      <c r="DW238" s="1811"/>
    </row>
    <row r="239" spans="1:127" s="397" customFormat="1" ht="15.75" hidden="1" customHeight="1">
      <c r="A239" s="1097" t="s">
        <v>1071</v>
      </c>
      <c r="B239" s="1057">
        <v>230</v>
      </c>
      <c r="C239" s="1018"/>
      <c r="D239" s="1018"/>
      <c r="E239" s="1018"/>
      <c r="F239" s="1018"/>
      <c r="G239" s="1018"/>
      <c r="H239" s="1018"/>
      <c r="I239" s="1018"/>
      <c r="J239" s="1018"/>
      <c r="K239" s="1018"/>
      <c r="L239" s="1018"/>
      <c r="M239" s="1057"/>
      <c r="N239" s="1018"/>
      <c r="O239" s="1018"/>
      <c r="P239" s="1018"/>
      <c r="Q239" s="1018"/>
      <c r="R239" s="1018"/>
      <c r="S239" s="1018"/>
      <c r="T239" s="1019"/>
      <c r="U239" s="1098" t="s">
        <v>2912</v>
      </c>
      <c r="V239" s="1099" t="s">
        <v>1942</v>
      </c>
      <c r="W239" s="1099" t="s">
        <v>1942</v>
      </c>
      <c r="X239" s="1100" t="s">
        <v>2032</v>
      </c>
      <c r="Y239" s="1101" t="s">
        <v>2033</v>
      </c>
      <c r="Z239" s="1102" t="s">
        <v>1942</v>
      </c>
      <c r="AA239" s="1103" t="s">
        <v>1942</v>
      </c>
      <c r="AB239" s="1104" t="s">
        <v>1942</v>
      </c>
      <c r="AC239" s="1104" t="s">
        <v>1942</v>
      </c>
      <c r="AD239" s="1104" t="s">
        <v>1942</v>
      </c>
      <c r="AE239" s="1104" t="s">
        <v>1942</v>
      </c>
      <c r="AF239" s="1104" t="s">
        <v>1942</v>
      </c>
      <c r="AG239" s="1104" t="s">
        <v>1942</v>
      </c>
      <c r="AH239" s="1104" t="s">
        <v>1942</v>
      </c>
      <c r="AI239" s="1105">
        <f t="shared" si="3"/>
        <v>0</v>
      </c>
      <c r="AJ239" s="1106" t="s">
        <v>1007</v>
      </c>
      <c r="AK239" s="1106" t="s">
        <v>1942</v>
      </c>
      <c r="AL239" s="1106" t="s">
        <v>1942</v>
      </c>
      <c r="AM239" s="1107" t="s">
        <v>1942</v>
      </c>
      <c r="AN239" s="1018" t="s">
        <v>1942</v>
      </c>
      <c r="AO239" s="1018" t="s">
        <v>2034</v>
      </c>
      <c r="AP239" s="1274">
        <v>0</v>
      </c>
      <c r="AQ239" s="1076" t="s">
        <v>1942</v>
      </c>
      <c r="AR239" s="1109" t="s">
        <v>1942</v>
      </c>
      <c r="AS239" s="1110"/>
      <c r="AT239" s="1100"/>
      <c r="AU239" s="1100"/>
      <c r="AV239" s="1100"/>
      <c r="AW239" s="1111"/>
      <c r="AX239" s="1112"/>
      <c r="AY239" s="1075"/>
      <c r="AZ239" s="1076"/>
      <c r="BA239" s="1076"/>
      <c r="BB239" s="1076"/>
      <c r="BC239" s="1076"/>
      <c r="BD239" s="1076"/>
      <c r="BE239" s="1076"/>
      <c r="BF239" s="1076"/>
      <c r="BG239" s="1076"/>
      <c r="BH239" s="1076"/>
      <c r="BI239" s="1420"/>
      <c r="BJ239" s="1368"/>
      <c r="BK239" s="1368"/>
      <c r="BL239" s="1368"/>
      <c r="BM239" s="1368"/>
      <c r="BN239" s="1075"/>
      <c r="BO239" s="1076"/>
      <c r="BP239" s="1076"/>
      <c r="BQ239" s="1076"/>
      <c r="BR239" s="1076"/>
      <c r="BS239" s="1115"/>
      <c r="BT239" s="1076"/>
      <c r="BU239" s="1076"/>
      <c r="BV239" s="1076"/>
      <c r="BW239" s="1116"/>
      <c r="BX239" s="1115"/>
      <c r="BY239" s="1076"/>
      <c r="BZ239" s="1076"/>
      <c r="CA239" s="1076"/>
      <c r="CB239" s="1116"/>
      <c r="CC239" s="1117"/>
      <c r="CD239" s="1376"/>
      <c r="CE239" s="1377"/>
      <c r="CF239" s="1377"/>
      <c r="CG239" s="1377"/>
      <c r="CH239" s="1440"/>
      <c r="CI239" s="1420"/>
      <c r="CJ239" s="1368"/>
      <c r="CK239" s="1368"/>
      <c r="CL239" s="1368"/>
      <c r="CM239" s="1369"/>
      <c r="CN239" s="1420"/>
      <c r="CO239" s="1368"/>
      <c r="CP239" s="1368"/>
      <c r="CQ239" s="1368"/>
      <c r="CR239" s="1369"/>
      <c r="CS239" s="1420"/>
      <c r="CT239" s="1368"/>
      <c r="CU239" s="1368"/>
      <c r="CV239" s="1368"/>
      <c r="CW239" s="1369"/>
      <c r="CX239" s="1420"/>
      <c r="CY239" s="1368"/>
      <c r="CZ239" s="1368"/>
      <c r="DA239" s="1368"/>
      <c r="DB239" s="1369"/>
      <c r="DC239" s="1368"/>
      <c r="DD239" s="1368"/>
      <c r="DE239" s="1368"/>
      <c r="DF239" s="1368"/>
      <c r="DG239" s="1369"/>
      <c r="DH239" s="1420"/>
      <c r="DI239" s="1368"/>
      <c r="DJ239" s="1368"/>
      <c r="DK239" s="1368"/>
      <c r="DL239" s="1369"/>
      <c r="DM239" s="1808"/>
      <c r="DN239" s="1809"/>
      <c r="DO239" s="1809"/>
      <c r="DP239" s="1810"/>
      <c r="DQ239" s="1809"/>
      <c r="DR239" s="1809"/>
      <c r="DS239" s="1809"/>
      <c r="DT239" s="1810"/>
      <c r="DU239" s="1377"/>
      <c r="DV239" s="1729"/>
      <c r="DW239" s="1811"/>
    </row>
    <row r="240" spans="1:127" s="397" customFormat="1" ht="15.75" hidden="1" customHeight="1">
      <c r="A240" s="1097" t="s">
        <v>1075</v>
      </c>
      <c r="B240" s="1057">
        <v>231</v>
      </c>
      <c r="C240" s="1018"/>
      <c r="D240" s="1018"/>
      <c r="E240" s="1018"/>
      <c r="F240" s="1018"/>
      <c r="G240" s="1018"/>
      <c r="H240" s="1018"/>
      <c r="I240" s="1018"/>
      <c r="J240" s="1018"/>
      <c r="K240" s="1018"/>
      <c r="L240" s="1018"/>
      <c r="M240" s="1057"/>
      <c r="N240" s="1018"/>
      <c r="O240" s="1018"/>
      <c r="P240" s="1018"/>
      <c r="Q240" s="1018"/>
      <c r="R240" s="1018"/>
      <c r="S240" s="1018"/>
      <c r="T240" s="1019"/>
      <c r="U240" s="1098" t="s">
        <v>2917</v>
      </c>
      <c r="V240" s="1099" t="s">
        <v>2918</v>
      </c>
      <c r="W240" s="1099" t="s">
        <v>1907</v>
      </c>
      <c r="X240" s="1100" t="s">
        <v>2857</v>
      </c>
      <c r="Y240" s="1101" t="s">
        <v>1931</v>
      </c>
      <c r="Z240" s="1102" t="s">
        <v>2919</v>
      </c>
      <c r="AA240" s="1103" t="s">
        <v>1942</v>
      </c>
      <c r="AB240" s="1104" t="s">
        <v>1942</v>
      </c>
      <c r="AC240" s="1104" t="s">
        <v>1942</v>
      </c>
      <c r="AD240" s="1104" t="s">
        <v>1942</v>
      </c>
      <c r="AE240" s="1104">
        <v>1</v>
      </c>
      <c r="AF240" s="1104" t="s">
        <v>1942</v>
      </c>
      <c r="AG240" s="1104" t="s">
        <v>1942</v>
      </c>
      <c r="AH240" s="1104" t="s">
        <v>1942</v>
      </c>
      <c r="AI240" s="1105">
        <f t="shared" si="3"/>
        <v>1</v>
      </c>
      <c r="AJ240" s="1106" t="s">
        <v>1030</v>
      </c>
      <c r="AK240" s="1106" t="s">
        <v>1008</v>
      </c>
      <c r="AL240" s="1106" t="s">
        <v>1009</v>
      </c>
      <c r="AM240" s="1107" t="s">
        <v>1069</v>
      </c>
      <c r="AN240" s="1018" t="s">
        <v>1081</v>
      </c>
      <c r="AO240" s="1018" t="s">
        <v>2920</v>
      </c>
      <c r="AP240" s="1333">
        <v>2</v>
      </c>
      <c r="AQ240" s="1076" t="s">
        <v>1010</v>
      </c>
      <c r="AR240" s="1109" t="s">
        <v>1931</v>
      </c>
      <c r="AS240" s="1110"/>
      <c r="AT240" s="1100"/>
      <c r="AU240" s="1100"/>
      <c r="AV240" s="1100"/>
      <c r="AW240" s="1111"/>
      <c r="AX240" s="1112"/>
      <c r="AY240" s="1075"/>
      <c r="AZ240" s="1076"/>
      <c r="BA240" s="1076"/>
      <c r="BB240" s="1076"/>
      <c r="BC240" s="1076"/>
      <c r="BD240" s="1076"/>
      <c r="BE240" s="1076"/>
      <c r="BF240" s="1076"/>
      <c r="BG240" s="1076"/>
      <c r="BH240" s="1076"/>
      <c r="BI240" s="1075" t="s">
        <v>1942</v>
      </c>
      <c r="BJ240" s="1076" t="s">
        <v>1942</v>
      </c>
      <c r="BK240" s="1076" t="s">
        <v>1942</v>
      </c>
      <c r="BL240" s="1076" t="s">
        <v>1942</v>
      </c>
      <c r="BM240" s="1076" t="s">
        <v>1942</v>
      </c>
      <c r="BN240" s="1075"/>
      <c r="BO240" s="1076"/>
      <c r="BP240" s="1076"/>
      <c r="BQ240" s="1076"/>
      <c r="BR240" s="1076"/>
      <c r="BS240" s="1115"/>
      <c r="BT240" s="1076"/>
      <c r="BU240" s="1076"/>
      <c r="BV240" s="1076"/>
      <c r="BW240" s="1116"/>
      <c r="BX240" s="1115"/>
      <c r="BY240" s="1076"/>
      <c r="BZ240" s="1076"/>
      <c r="CA240" s="1076"/>
      <c r="CB240" s="1116"/>
      <c r="CC240" s="1117"/>
      <c r="CD240" s="1118" t="s">
        <v>168</v>
      </c>
      <c r="CE240" s="1119" t="s">
        <v>168</v>
      </c>
      <c r="CF240" s="1119" t="s">
        <v>168</v>
      </c>
      <c r="CG240" s="1119" t="s">
        <v>168</v>
      </c>
      <c r="CH240" s="1120" t="s">
        <v>168</v>
      </c>
      <c r="CI240" s="1075" t="s">
        <v>1942</v>
      </c>
      <c r="CJ240" s="1076" t="s">
        <v>1942</v>
      </c>
      <c r="CK240" s="1076" t="s">
        <v>1942</v>
      </c>
      <c r="CL240" s="1076" t="s">
        <v>1942</v>
      </c>
      <c r="CM240" s="1117" t="s">
        <v>1942</v>
      </c>
      <c r="CN240" s="1075" t="s">
        <v>1942</v>
      </c>
      <c r="CO240" s="1076" t="s">
        <v>1942</v>
      </c>
      <c r="CP240" s="1076" t="s">
        <v>1942</v>
      </c>
      <c r="CQ240" s="1076" t="s">
        <v>1942</v>
      </c>
      <c r="CR240" s="1117" t="s">
        <v>1942</v>
      </c>
      <c r="CS240" s="1075" t="s">
        <v>1942</v>
      </c>
      <c r="CT240" s="1076" t="s">
        <v>1942</v>
      </c>
      <c r="CU240" s="1076" t="s">
        <v>1942</v>
      </c>
      <c r="CV240" s="1076" t="s">
        <v>1942</v>
      </c>
      <c r="CW240" s="1117" t="s">
        <v>1942</v>
      </c>
      <c r="CX240" s="1075" t="s">
        <v>1942</v>
      </c>
      <c r="CY240" s="1076" t="s">
        <v>1942</v>
      </c>
      <c r="CZ240" s="1076" t="s">
        <v>1942</v>
      </c>
      <c r="DA240" s="1076" t="s">
        <v>1942</v>
      </c>
      <c r="DB240" s="1117" t="s">
        <v>1942</v>
      </c>
      <c r="DC240" s="1076" t="s">
        <v>1942</v>
      </c>
      <c r="DD240" s="1076" t="s">
        <v>1942</v>
      </c>
      <c r="DE240" s="1076" t="s">
        <v>1942</v>
      </c>
      <c r="DF240" s="1076" t="s">
        <v>1942</v>
      </c>
      <c r="DG240" s="1117" t="s">
        <v>1942</v>
      </c>
      <c r="DH240" s="1075" t="s">
        <v>1942</v>
      </c>
      <c r="DI240" s="1076" t="s">
        <v>1942</v>
      </c>
      <c r="DJ240" s="1076" t="s">
        <v>1942</v>
      </c>
      <c r="DK240" s="1076" t="s">
        <v>1942</v>
      </c>
      <c r="DL240" s="1117" t="s">
        <v>1942</v>
      </c>
      <c r="DM240" s="1121" t="s">
        <v>1942</v>
      </c>
      <c r="DN240" s="1122" t="s">
        <v>1942</v>
      </c>
      <c r="DO240" s="1122" t="s">
        <v>1942</v>
      </c>
      <c r="DP240" s="1123" t="s">
        <v>1942</v>
      </c>
      <c r="DQ240" s="1122" t="s">
        <v>1942</v>
      </c>
      <c r="DR240" s="1122" t="s">
        <v>1942</v>
      </c>
      <c r="DS240" s="1122" t="s">
        <v>1942</v>
      </c>
      <c r="DT240" s="1123" t="s">
        <v>1942</v>
      </c>
      <c r="DU240" s="1119" t="s">
        <v>1942</v>
      </c>
      <c r="DV240" s="1124" t="s">
        <v>1942</v>
      </c>
      <c r="DW240" s="1125" t="s">
        <v>1942</v>
      </c>
    </row>
    <row r="241" spans="1:127" s="397" customFormat="1" ht="15.75" hidden="1" customHeight="1">
      <c r="A241" s="1097" t="s">
        <v>1075</v>
      </c>
      <c r="B241" s="1057">
        <v>232</v>
      </c>
      <c r="C241" s="1018"/>
      <c r="D241" s="1018"/>
      <c r="E241" s="1018"/>
      <c r="F241" s="1018"/>
      <c r="G241" s="1018"/>
      <c r="H241" s="1018"/>
      <c r="I241" s="1018"/>
      <c r="J241" s="1018"/>
      <c r="K241" s="1018"/>
      <c r="L241" s="1018"/>
      <c r="M241" s="1057"/>
      <c r="N241" s="1018"/>
      <c r="O241" s="1018"/>
      <c r="P241" s="1018"/>
      <c r="Q241" s="1018"/>
      <c r="R241" s="1018"/>
      <c r="S241" s="1018"/>
      <c r="T241" s="1019"/>
      <c r="U241" s="1098" t="s">
        <v>2921</v>
      </c>
      <c r="V241" s="1099" t="s">
        <v>2922</v>
      </c>
      <c r="W241" s="1099" t="s">
        <v>1907</v>
      </c>
      <c r="X241" s="1100" t="s">
        <v>2923</v>
      </c>
      <c r="Y241" s="1101" t="s">
        <v>1935</v>
      </c>
      <c r="Z241" s="1102" t="s">
        <v>2924</v>
      </c>
      <c r="AA241" s="1103" t="s">
        <v>1942</v>
      </c>
      <c r="AB241" s="1104">
        <v>1</v>
      </c>
      <c r="AC241" s="1104" t="s">
        <v>1942</v>
      </c>
      <c r="AD241" s="1104" t="s">
        <v>1942</v>
      </c>
      <c r="AE241" s="1104" t="s">
        <v>1942</v>
      </c>
      <c r="AF241" s="1104" t="s">
        <v>1942</v>
      </c>
      <c r="AG241" s="1104" t="s">
        <v>1942</v>
      </c>
      <c r="AH241" s="1104" t="s">
        <v>1942</v>
      </c>
      <c r="AI241" s="1105">
        <f t="shared" si="3"/>
        <v>1</v>
      </c>
      <c r="AJ241" s="1106" t="s">
        <v>1030</v>
      </c>
      <c r="AK241" s="1106" t="s">
        <v>1008</v>
      </c>
      <c r="AL241" s="1106" t="s">
        <v>1009</v>
      </c>
      <c r="AM241" s="1107" t="s">
        <v>1073</v>
      </c>
      <c r="AN241" s="1018" t="s">
        <v>1081</v>
      </c>
      <c r="AO241" s="1018" t="s">
        <v>2920</v>
      </c>
      <c r="AP241" s="1333">
        <v>2</v>
      </c>
      <c r="AQ241" s="1076" t="s">
        <v>1010</v>
      </c>
      <c r="AR241" s="1109" t="s">
        <v>1935</v>
      </c>
      <c r="AS241" s="1110"/>
      <c r="AT241" s="1100"/>
      <c r="AU241" s="1100"/>
      <c r="AV241" s="1100"/>
      <c r="AW241" s="1111"/>
      <c r="AX241" s="1112"/>
      <c r="AY241" s="1075"/>
      <c r="AZ241" s="1076"/>
      <c r="BA241" s="1076"/>
      <c r="BB241" s="1076"/>
      <c r="BC241" s="1076"/>
      <c r="BD241" s="1076"/>
      <c r="BE241" s="1076"/>
      <c r="BF241" s="1076"/>
      <c r="BG241" s="1076"/>
      <c r="BH241" s="1076"/>
      <c r="BI241" s="1075" t="s">
        <v>1942</v>
      </c>
      <c r="BJ241" s="1076" t="s">
        <v>1942</v>
      </c>
      <c r="BK241" s="1076" t="s">
        <v>1942</v>
      </c>
      <c r="BL241" s="1076" t="s">
        <v>1942</v>
      </c>
      <c r="BM241" s="1076" t="s">
        <v>1942</v>
      </c>
      <c r="BN241" s="1075"/>
      <c r="BO241" s="1076"/>
      <c r="BP241" s="1076"/>
      <c r="BQ241" s="1076"/>
      <c r="BR241" s="1076"/>
      <c r="BS241" s="1115"/>
      <c r="BT241" s="1076"/>
      <c r="BU241" s="1076"/>
      <c r="BV241" s="1076"/>
      <c r="BW241" s="1116"/>
      <c r="BX241" s="1115"/>
      <c r="BY241" s="1076"/>
      <c r="BZ241" s="1076"/>
      <c r="CA241" s="1076"/>
      <c r="CB241" s="1116"/>
      <c r="CC241" s="1117"/>
      <c r="CD241" s="1118" t="s">
        <v>168</v>
      </c>
      <c r="CE241" s="1119" t="s">
        <v>168</v>
      </c>
      <c r="CF241" s="1119" t="s">
        <v>168</v>
      </c>
      <c r="CG241" s="1119" t="s">
        <v>168</v>
      </c>
      <c r="CH241" s="1120" t="s">
        <v>168</v>
      </c>
      <c r="CI241" s="1075" t="s">
        <v>1942</v>
      </c>
      <c r="CJ241" s="1076" t="s">
        <v>1942</v>
      </c>
      <c r="CK241" s="1076" t="s">
        <v>1942</v>
      </c>
      <c r="CL241" s="1076" t="s">
        <v>1942</v>
      </c>
      <c r="CM241" s="1117" t="s">
        <v>1942</v>
      </c>
      <c r="CN241" s="1075" t="s">
        <v>1942</v>
      </c>
      <c r="CO241" s="1076" t="s">
        <v>1942</v>
      </c>
      <c r="CP241" s="1076" t="s">
        <v>1942</v>
      </c>
      <c r="CQ241" s="1076" t="s">
        <v>1942</v>
      </c>
      <c r="CR241" s="1117" t="s">
        <v>1942</v>
      </c>
      <c r="CS241" s="1075" t="s">
        <v>1942</v>
      </c>
      <c r="CT241" s="1076" t="s">
        <v>1942</v>
      </c>
      <c r="CU241" s="1076" t="s">
        <v>1942</v>
      </c>
      <c r="CV241" s="1076" t="s">
        <v>1942</v>
      </c>
      <c r="CW241" s="1117" t="s">
        <v>1942</v>
      </c>
      <c r="CX241" s="1075" t="s">
        <v>1942</v>
      </c>
      <c r="CY241" s="1076" t="s">
        <v>1942</v>
      </c>
      <c r="CZ241" s="1076" t="s">
        <v>1942</v>
      </c>
      <c r="DA241" s="1076" t="s">
        <v>1942</v>
      </c>
      <c r="DB241" s="1117" t="s">
        <v>1942</v>
      </c>
      <c r="DC241" s="1076" t="s">
        <v>1942</v>
      </c>
      <c r="DD241" s="1076" t="s">
        <v>1942</v>
      </c>
      <c r="DE241" s="1076" t="s">
        <v>1942</v>
      </c>
      <c r="DF241" s="1076" t="s">
        <v>1942</v>
      </c>
      <c r="DG241" s="1117" t="s">
        <v>1942</v>
      </c>
      <c r="DH241" s="1075" t="s">
        <v>1942</v>
      </c>
      <c r="DI241" s="1076" t="s">
        <v>1942</v>
      </c>
      <c r="DJ241" s="1076" t="s">
        <v>1942</v>
      </c>
      <c r="DK241" s="1076" t="s">
        <v>1942</v>
      </c>
      <c r="DL241" s="1117" t="s">
        <v>1942</v>
      </c>
      <c r="DM241" s="1121" t="s">
        <v>1942</v>
      </c>
      <c r="DN241" s="1122" t="s">
        <v>1942</v>
      </c>
      <c r="DO241" s="1122" t="s">
        <v>1942</v>
      </c>
      <c r="DP241" s="1123" t="s">
        <v>1942</v>
      </c>
      <c r="DQ241" s="1122" t="s">
        <v>1942</v>
      </c>
      <c r="DR241" s="1122" t="s">
        <v>1942</v>
      </c>
      <c r="DS241" s="1122" t="s">
        <v>1942</v>
      </c>
      <c r="DT241" s="1123" t="s">
        <v>1942</v>
      </c>
      <c r="DU241" s="1119" t="s">
        <v>1942</v>
      </c>
      <c r="DV241" s="1124" t="s">
        <v>1942</v>
      </c>
      <c r="DW241" s="1125" t="s">
        <v>1942</v>
      </c>
    </row>
    <row r="242" spans="1:127" s="397" customFormat="1" ht="15.75" hidden="1" customHeight="1">
      <c r="A242" s="1097" t="s">
        <v>1075</v>
      </c>
      <c r="B242" s="1057">
        <v>233</v>
      </c>
      <c r="C242" s="1018"/>
      <c r="D242" s="1018"/>
      <c r="E242" s="1018"/>
      <c r="F242" s="1018"/>
      <c r="G242" s="1018"/>
      <c r="H242" s="1018"/>
      <c r="I242" s="1018"/>
      <c r="J242" s="1018"/>
      <c r="K242" s="1018"/>
      <c r="L242" s="1018"/>
      <c r="M242" s="1057"/>
      <c r="N242" s="1018"/>
      <c r="O242" s="1018"/>
      <c r="P242" s="1018"/>
      <c r="Q242" s="1018"/>
      <c r="R242" s="1018"/>
      <c r="S242" s="1018"/>
      <c r="T242" s="1019"/>
      <c r="U242" s="1098" t="s">
        <v>2925</v>
      </c>
      <c r="V242" s="1099" t="s">
        <v>2926</v>
      </c>
      <c r="W242" s="1099" t="s">
        <v>1907</v>
      </c>
      <c r="X242" s="1100" t="s">
        <v>2822</v>
      </c>
      <c r="Y242" s="1101" t="s">
        <v>130</v>
      </c>
      <c r="Z242" s="1102" t="s">
        <v>2927</v>
      </c>
      <c r="AA242" s="1103">
        <v>0.1</v>
      </c>
      <c r="AB242" s="1104">
        <v>0.9</v>
      </c>
      <c r="AC242" s="1104" t="s">
        <v>1942</v>
      </c>
      <c r="AD242" s="1104" t="s">
        <v>1942</v>
      </c>
      <c r="AE242" s="1104" t="s">
        <v>1942</v>
      </c>
      <c r="AF242" s="1104" t="s">
        <v>1942</v>
      </c>
      <c r="AG242" s="1104" t="s">
        <v>1942</v>
      </c>
      <c r="AH242" s="1104" t="s">
        <v>1942</v>
      </c>
      <c r="AI242" s="1105">
        <f t="shared" si="3"/>
        <v>1</v>
      </c>
      <c r="AJ242" s="1106" t="s">
        <v>1026</v>
      </c>
      <c r="AK242" s="1106" t="s">
        <v>1008</v>
      </c>
      <c r="AL242" s="1106" t="s">
        <v>1009</v>
      </c>
      <c r="AM242" s="1107" t="s">
        <v>1926</v>
      </c>
      <c r="AN242" s="1018" t="s">
        <v>2177</v>
      </c>
      <c r="AO242" s="1018" t="s">
        <v>4795</v>
      </c>
      <c r="AP242" s="1307">
        <v>2</v>
      </c>
      <c r="AQ242" s="1076" t="s">
        <v>1020</v>
      </c>
      <c r="AR242" s="1109" t="s">
        <v>130</v>
      </c>
      <c r="AS242" s="1110"/>
      <c r="AT242" s="1100"/>
      <c r="AU242" s="1100"/>
      <c r="AV242" s="1100"/>
      <c r="AW242" s="1111"/>
      <c r="AX242" s="1112"/>
      <c r="AY242" s="1075"/>
      <c r="AZ242" s="1076"/>
      <c r="BA242" s="1076"/>
      <c r="BB242" s="1076"/>
      <c r="BC242" s="1076"/>
      <c r="BD242" s="1076"/>
      <c r="BE242" s="1076"/>
      <c r="BF242" s="1076"/>
      <c r="BG242" s="1126"/>
      <c r="BH242" s="1126"/>
      <c r="BI242" s="1127">
        <v>0</v>
      </c>
      <c r="BJ242" s="1126">
        <v>0</v>
      </c>
      <c r="BK242" s="1126">
        <v>0</v>
      </c>
      <c r="BL242" s="1126">
        <v>0</v>
      </c>
      <c r="BM242" s="1126">
        <v>0</v>
      </c>
      <c r="BN242" s="1075"/>
      <c r="BO242" s="1076"/>
      <c r="BP242" s="1076"/>
      <c r="BQ242" s="1076"/>
      <c r="BR242" s="1076"/>
      <c r="BS242" s="1115"/>
      <c r="BT242" s="1076"/>
      <c r="BU242" s="1076"/>
      <c r="BV242" s="1076"/>
      <c r="BW242" s="1116"/>
      <c r="BX242" s="1115"/>
      <c r="BY242" s="1076"/>
      <c r="BZ242" s="1076"/>
      <c r="CA242" s="1076"/>
      <c r="CB242" s="1116"/>
      <c r="CC242" s="1117"/>
      <c r="CD242" s="1118" t="s">
        <v>168</v>
      </c>
      <c r="CE242" s="1119" t="s">
        <v>168</v>
      </c>
      <c r="CF242" s="1119" t="s">
        <v>168</v>
      </c>
      <c r="CG242" s="1119" t="s">
        <v>168</v>
      </c>
      <c r="CH242" s="1120" t="s">
        <v>168</v>
      </c>
      <c r="CI242" s="1075" t="s">
        <v>1942</v>
      </c>
      <c r="CJ242" s="1076" t="s">
        <v>1942</v>
      </c>
      <c r="CK242" s="1076" t="s">
        <v>1942</v>
      </c>
      <c r="CL242" s="1076" t="s">
        <v>1942</v>
      </c>
      <c r="CM242" s="1117" t="s">
        <v>1942</v>
      </c>
      <c r="CN242" s="1075">
        <v>9.5</v>
      </c>
      <c r="CO242" s="1076">
        <v>9.5</v>
      </c>
      <c r="CP242" s="1076">
        <v>9.5</v>
      </c>
      <c r="CQ242" s="1076">
        <v>9.5</v>
      </c>
      <c r="CR242" s="1117">
        <v>9.5</v>
      </c>
      <c r="CS242" s="1075">
        <v>2</v>
      </c>
      <c r="CT242" s="1076">
        <v>2</v>
      </c>
      <c r="CU242" s="1076">
        <v>2</v>
      </c>
      <c r="CV242" s="1076">
        <v>2</v>
      </c>
      <c r="CW242" s="1117">
        <v>2</v>
      </c>
      <c r="CX242" s="1075" t="s">
        <v>1942</v>
      </c>
      <c r="CY242" s="1076" t="s">
        <v>1942</v>
      </c>
      <c r="CZ242" s="1076" t="s">
        <v>1942</v>
      </c>
      <c r="DA242" s="1076" t="s">
        <v>1942</v>
      </c>
      <c r="DB242" s="1117" t="s">
        <v>1942</v>
      </c>
      <c r="DC242" s="1076" t="s">
        <v>1942</v>
      </c>
      <c r="DD242" s="1076" t="s">
        <v>1942</v>
      </c>
      <c r="DE242" s="1076" t="s">
        <v>1942</v>
      </c>
      <c r="DF242" s="1076" t="s">
        <v>1942</v>
      </c>
      <c r="DG242" s="1117" t="s">
        <v>1942</v>
      </c>
      <c r="DH242" s="1075" t="s">
        <v>1942</v>
      </c>
      <c r="DI242" s="1076" t="s">
        <v>1942</v>
      </c>
      <c r="DJ242" s="1076" t="s">
        <v>1942</v>
      </c>
      <c r="DK242" s="1076" t="s">
        <v>1942</v>
      </c>
      <c r="DL242" s="1117" t="s">
        <v>1942</v>
      </c>
      <c r="DM242" s="1121">
        <v>-0.52100000000000002</v>
      </c>
      <c r="DN242" s="1122" t="s">
        <v>1942</v>
      </c>
      <c r="DO242" s="1122" t="s">
        <v>1942</v>
      </c>
      <c r="DP242" s="1123" t="s">
        <v>1942</v>
      </c>
      <c r="DQ242" s="1122">
        <v>0</v>
      </c>
      <c r="DR242" s="1122" t="s">
        <v>1942</v>
      </c>
      <c r="DS242" s="1122" t="s">
        <v>1942</v>
      </c>
      <c r="DT242" s="1123" t="s">
        <v>1942</v>
      </c>
      <c r="DU242" s="1119" t="s">
        <v>131</v>
      </c>
      <c r="DV242" s="1124">
        <v>1</v>
      </c>
      <c r="DW242" s="1125" t="s">
        <v>1942</v>
      </c>
    </row>
    <row r="243" spans="1:127" s="397" customFormat="1" ht="15.75" hidden="1" customHeight="1">
      <c r="A243" s="1097" t="s">
        <v>1075</v>
      </c>
      <c r="B243" s="1057">
        <v>234</v>
      </c>
      <c r="C243" s="1018"/>
      <c r="D243" s="1018"/>
      <c r="E243" s="1018"/>
      <c r="F243" s="1018"/>
      <c r="G243" s="1018"/>
      <c r="H243" s="1018"/>
      <c r="I243" s="1018"/>
      <c r="J243" s="1018"/>
      <c r="K243" s="1018"/>
      <c r="L243" s="1018"/>
      <c r="M243" s="1057"/>
      <c r="N243" s="1018"/>
      <c r="O243" s="1018"/>
      <c r="P243" s="1018"/>
      <c r="Q243" s="1018"/>
      <c r="R243" s="1018"/>
      <c r="S243" s="1018"/>
      <c r="T243" s="1019"/>
      <c r="U243" s="1098" t="s">
        <v>2929</v>
      </c>
      <c r="V243" s="1099" t="s">
        <v>2930</v>
      </c>
      <c r="W243" s="1099" t="s">
        <v>1896</v>
      </c>
      <c r="X243" s="1100" t="s">
        <v>2836</v>
      </c>
      <c r="Y243" s="1101" t="s">
        <v>137</v>
      </c>
      <c r="Z243" s="1102" t="s">
        <v>2931</v>
      </c>
      <c r="AA243" s="1103">
        <v>0.05</v>
      </c>
      <c r="AB243" s="1104">
        <v>0.95</v>
      </c>
      <c r="AC243" s="1104" t="s">
        <v>1942</v>
      </c>
      <c r="AD243" s="1104" t="s">
        <v>1942</v>
      </c>
      <c r="AE243" s="1104" t="s">
        <v>1942</v>
      </c>
      <c r="AF243" s="1104" t="s">
        <v>1942</v>
      </c>
      <c r="AG243" s="1104" t="s">
        <v>1942</v>
      </c>
      <c r="AH243" s="1104" t="s">
        <v>1942</v>
      </c>
      <c r="AI243" s="1105">
        <f t="shared" si="3"/>
        <v>1</v>
      </c>
      <c r="AJ243" s="1106" t="s">
        <v>1030</v>
      </c>
      <c r="AK243" s="1106" t="s">
        <v>1008</v>
      </c>
      <c r="AL243" s="1106" t="s">
        <v>1009</v>
      </c>
      <c r="AM243" s="1107" t="s">
        <v>1892</v>
      </c>
      <c r="AN243" s="1018" t="s">
        <v>4789</v>
      </c>
      <c r="AO243" s="1018" t="s">
        <v>4790</v>
      </c>
      <c r="AP243" s="1307">
        <v>0</v>
      </c>
      <c r="AQ243" s="1076" t="s">
        <v>1020</v>
      </c>
      <c r="AR243" s="1109" t="s">
        <v>137</v>
      </c>
      <c r="AS243" s="1110"/>
      <c r="AT243" s="1100"/>
      <c r="AU243" s="1100"/>
      <c r="AV243" s="1100"/>
      <c r="AW243" s="1111"/>
      <c r="AX243" s="1112"/>
      <c r="AY243" s="1075"/>
      <c r="AZ243" s="1076"/>
      <c r="BA243" s="1076"/>
      <c r="BB243" s="1076"/>
      <c r="BC243" s="1076"/>
      <c r="BD243" s="1076"/>
      <c r="BE243" s="1076"/>
      <c r="BF243" s="1076"/>
      <c r="BG243" s="1150"/>
      <c r="BH243" s="1150"/>
      <c r="BI243" s="1149">
        <v>4.5138888888888893E-3</v>
      </c>
      <c r="BJ243" s="1150">
        <v>4.2592592592592595E-3</v>
      </c>
      <c r="BK243" s="1150">
        <v>3.9930555555555561E-3</v>
      </c>
      <c r="BL243" s="1150">
        <v>3.7384259259259263E-3</v>
      </c>
      <c r="BM243" s="1150">
        <v>3.472222222222222E-3</v>
      </c>
      <c r="BN243" s="1075"/>
      <c r="BO243" s="1076"/>
      <c r="BP243" s="1076"/>
      <c r="BQ243" s="1076"/>
      <c r="BR243" s="1076"/>
      <c r="BS243" s="1115"/>
      <c r="BT243" s="1076"/>
      <c r="BU243" s="1076"/>
      <c r="BV243" s="1076"/>
      <c r="BW243" s="1116"/>
      <c r="BX243" s="1115"/>
      <c r="BY243" s="1076"/>
      <c r="BZ243" s="1076"/>
      <c r="CA243" s="1076"/>
      <c r="CB243" s="1116"/>
      <c r="CC243" s="1117"/>
      <c r="CD243" s="1118" t="s">
        <v>168</v>
      </c>
      <c r="CE243" s="1119" t="s">
        <v>168</v>
      </c>
      <c r="CF243" s="1119" t="s">
        <v>168</v>
      </c>
      <c r="CG243" s="1119" t="s">
        <v>168</v>
      </c>
      <c r="CH243" s="1120" t="s">
        <v>168</v>
      </c>
      <c r="CI243" s="1149" t="s">
        <v>1942</v>
      </c>
      <c r="CJ243" s="1150" t="s">
        <v>1942</v>
      </c>
      <c r="CK243" s="1150" t="s">
        <v>1942</v>
      </c>
      <c r="CL243" s="1150" t="s">
        <v>1942</v>
      </c>
      <c r="CM243" s="1153" t="s">
        <v>1942</v>
      </c>
      <c r="CN243" s="1149">
        <v>1.5798611111111114E-2</v>
      </c>
      <c r="CO243" s="1150">
        <v>1.5798611111111114E-2</v>
      </c>
      <c r="CP243" s="1150">
        <v>1.5798611111111114E-2</v>
      </c>
      <c r="CQ243" s="1150">
        <v>1.5798611111111114E-2</v>
      </c>
      <c r="CR243" s="1153">
        <v>1.5798611111111114E-2</v>
      </c>
      <c r="CS243" s="1149" t="s">
        <v>1942</v>
      </c>
      <c r="CT243" s="1150" t="s">
        <v>1942</v>
      </c>
      <c r="CU243" s="1150" t="s">
        <v>1942</v>
      </c>
      <c r="CV243" s="1150" t="s">
        <v>1942</v>
      </c>
      <c r="CW243" s="1153" t="s">
        <v>1942</v>
      </c>
      <c r="CX243" s="1149" t="s">
        <v>1942</v>
      </c>
      <c r="CY243" s="1150" t="s">
        <v>1942</v>
      </c>
      <c r="CZ243" s="1150" t="s">
        <v>1942</v>
      </c>
      <c r="DA243" s="1150" t="s">
        <v>1942</v>
      </c>
      <c r="DB243" s="1153" t="s">
        <v>1942</v>
      </c>
      <c r="DC243" s="1150">
        <v>4.0972222222222226E-3</v>
      </c>
      <c r="DD243" s="1150">
        <v>3.8425925925925932E-3</v>
      </c>
      <c r="DE243" s="1150">
        <v>3.5763888888888898E-3</v>
      </c>
      <c r="DF243" s="1150">
        <v>3.3217592592592595E-3</v>
      </c>
      <c r="DG243" s="1153">
        <v>3.0555555555555553E-3</v>
      </c>
      <c r="DH243" s="1149" t="s">
        <v>1942</v>
      </c>
      <c r="DI243" s="1150" t="s">
        <v>1942</v>
      </c>
      <c r="DJ243" s="1150" t="s">
        <v>1942</v>
      </c>
      <c r="DK243" s="1150" t="s">
        <v>1942</v>
      </c>
      <c r="DL243" s="1153" t="s">
        <v>1942</v>
      </c>
      <c r="DM243" s="1121">
        <v>-0.19</v>
      </c>
      <c r="DN243" s="1122" t="s">
        <v>1942</v>
      </c>
      <c r="DO243" s="1122" t="s">
        <v>1942</v>
      </c>
      <c r="DP243" s="1123" t="s">
        <v>1942</v>
      </c>
      <c r="DQ243" s="1122">
        <v>0.19</v>
      </c>
      <c r="DR243" s="1122" t="s">
        <v>1942</v>
      </c>
      <c r="DS243" s="1122" t="s">
        <v>1942</v>
      </c>
      <c r="DT243" s="1123" t="s">
        <v>1942</v>
      </c>
      <c r="DU243" s="1119" t="s">
        <v>131</v>
      </c>
      <c r="DV243" s="1124">
        <v>1</v>
      </c>
      <c r="DW243" s="1125" t="s">
        <v>1942</v>
      </c>
    </row>
    <row r="244" spans="1:127" s="397" customFormat="1" ht="15.75" hidden="1" customHeight="1">
      <c r="A244" s="1054" t="s">
        <v>1075</v>
      </c>
      <c r="B244" s="1055">
        <v>235</v>
      </c>
      <c r="C244" s="1143"/>
      <c r="D244" s="1143"/>
      <c r="E244" s="1143"/>
      <c r="F244" s="1143"/>
      <c r="G244" s="1143"/>
      <c r="H244" s="1143"/>
      <c r="I244" s="1143"/>
      <c r="J244" s="1143"/>
      <c r="K244" s="1143"/>
      <c r="L244" s="1143"/>
      <c r="M244" s="1055"/>
      <c r="N244" s="1143"/>
      <c r="O244" s="1143"/>
      <c r="P244" s="1143"/>
      <c r="Q244" s="1143"/>
      <c r="R244" s="1143"/>
      <c r="S244" s="1143"/>
      <c r="T244" s="1058"/>
      <c r="U244" s="1059" t="s">
        <v>2933</v>
      </c>
      <c r="V244" s="1060" t="s">
        <v>2934</v>
      </c>
      <c r="W244" s="1060" t="s">
        <v>1889</v>
      </c>
      <c r="X244" s="1061" t="s">
        <v>2867</v>
      </c>
      <c r="Y244" s="1062" t="s">
        <v>669</v>
      </c>
      <c r="Z244" s="1063" t="s">
        <v>2935</v>
      </c>
      <c r="AA244" s="1064" t="s">
        <v>1942</v>
      </c>
      <c r="AB244" s="1065">
        <v>1</v>
      </c>
      <c r="AC244" s="1065" t="s">
        <v>1942</v>
      </c>
      <c r="AD244" s="1065" t="s">
        <v>1942</v>
      </c>
      <c r="AE244" s="1065" t="s">
        <v>1942</v>
      </c>
      <c r="AF244" s="1065" t="s">
        <v>1942</v>
      </c>
      <c r="AG244" s="1065" t="s">
        <v>1942</v>
      </c>
      <c r="AH244" s="1065" t="s">
        <v>1942</v>
      </c>
      <c r="AI244" s="1066">
        <f t="shared" si="3"/>
        <v>1</v>
      </c>
      <c r="AJ244" s="1067" t="s">
        <v>1030</v>
      </c>
      <c r="AK244" s="1067" t="s">
        <v>1008</v>
      </c>
      <c r="AL244" s="1067" t="s">
        <v>1009</v>
      </c>
      <c r="AM244" s="1068" t="s">
        <v>669</v>
      </c>
      <c r="AN244" s="1062" t="s">
        <v>278</v>
      </c>
      <c r="AO244" s="1062" t="s">
        <v>4791</v>
      </c>
      <c r="AP244" s="1307">
        <v>1</v>
      </c>
      <c r="AQ244" s="833" t="s">
        <v>1010</v>
      </c>
      <c r="AR244" s="1071" t="s">
        <v>669</v>
      </c>
      <c r="AS244" s="1072"/>
      <c r="AT244" s="1061"/>
      <c r="AU244" s="1061"/>
      <c r="AV244" s="1061"/>
      <c r="AW244" s="1073"/>
      <c r="AX244" s="1074"/>
      <c r="AY244" s="1079"/>
      <c r="AZ244" s="1080"/>
      <c r="BA244" s="1080"/>
      <c r="BB244" s="1080"/>
      <c r="BC244" s="1080"/>
      <c r="BD244" s="1080"/>
      <c r="BE244" s="1080"/>
      <c r="BF244" s="1080"/>
      <c r="BG244" s="1077"/>
      <c r="BH244" s="1077"/>
      <c r="BI244" s="1078">
        <v>0.2</v>
      </c>
      <c r="BJ244" s="1077">
        <v>0.4</v>
      </c>
      <c r="BK244" s="1077">
        <v>2</v>
      </c>
      <c r="BL244" s="1077">
        <v>5</v>
      </c>
      <c r="BM244" s="1077">
        <v>9.6999999999999993</v>
      </c>
      <c r="BN244" s="1079"/>
      <c r="BO244" s="1080"/>
      <c r="BP244" s="1080"/>
      <c r="BQ244" s="1080"/>
      <c r="BR244" s="1080"/>
      <c r="BS244" s="1081"/>
      <c r="BT244" s="1080"/>
      <c r="BU244" s="1080"/>
      <c r="BV244" s="1080"/>
      <c r="BW244" s="1082"/>
      <c r="BX244" s="1081"/>
      <c r="BY244" s="1080"/>
      <c r="BZ244" s="1080"/>
      <c r="CA244" s="1080"/>
      <c r="CB244" s="1082"/>
      <c r="CC244" s="1083"/>
      <c r="CD244" s="1084" t="s">
        <v>168</v>
      </c>
      <c r="CE244" s="1085" t="s">
        <v>168</v>
      </c>
      <c r="CF244" s="1085" t="s">
        <v>168</v>
      </c>
      <c r="CG244" s="1085" t="s">
        <v>168</v>
      </c>
      <c r="CH244" s="1086" t="s">
        <v>168</v>
      </c>
      <c r="CI244" s="1089" t="s">
        <v>1942</v>
      </c>
      <c r="CJ244" s="1087" t="s">
        <v>1942</v>
      </c>
      <c r="CK244" s="1087" t="s">
        <v>1942</v>
      </c>
      <c r="CL244" s="1087" t="s">
        <v>1942</v>
      </c>
      <c r="CM244" s="1088" t="s">
        <v>1942</v>
      </c>
      <c r="CN244" s="1089">
        <v>-5</v>
      </c>
      <c r="CO244" s="1087">
        <v>-5</v>
      </c>
      <c r="CP244" s="1087">
        <v>-5</v>
      </c>
      <c r="CQ244" s="1087">
        <v>-5</v>
      </c>
      <c r="CR244" s="1088">
        <v>-5</v>
      </c>
      <c r="CS244" s="1079" t="s">
        <v>1942</v>
      </c>
      <c r="CT244" s="1080" t="s">
        <v>1942</v>
      </c>
      <c r="CU244" s="1080" t="s">
        <v>1942</v>
      </c>
      <c r="CV244" s="1080" t="s">
        <v>1942</v>
      </c>
      <c r="CW244" s="1083" t="s">
        <v>1942</v>
      </c>
      <c r="CX244" s="1079" t="s">
        <v>1942</v>
      </c>
      <c r="CY244" s="1080" t="s">
        <v>1942</v>
      </c>
      <c r="CZ244" s="1080" t="s">
        <v>1942</v>
      </c>
      <c r="DA244" s="1080" t="s">
        <v>1942</v>
      </c>
      <c r="DB244" s="1083" t="s">
        <v>1942</v>
      </c>
      <c r="DC244" s="1087">
        <v>4.7</v>
      </c>
      <c r="DD244" s="1087">
        <v>5</v>
      </c>
      <c r="DE244" s="1087">
        <v>6.7</v>
      </c>
      <c r="DF244" s="1087">
        <v>9.6999999999999993</v>
      </c>
      <c r="DG244" s="1088">
        <v>14.3</v>
      </c>
      <c r="DH244" s="1089" t="s">
        <v>1942</v>
      </c>
      <c r="DI244" s="1080" t="s">
        <v>1942</v>
      </c>
      <c r="DJ244" s="1080" t="s">
        <v>1942</v>
      </c>
      <c r="DK244" s="1080" t="s">
        <v>1942</v>
      </c>
      <c r="DL244" s="1083" t="s">
        <v>1942</v>
      </c>
      <c r="DM244" s="1091">
        <v>-0.45400000000000001</v>
      </c>
      <c r="DN244" s="1092">
        <v>-0.66300000000000003</v>
      </c>
      <c r="DO244" s="1092" t="s">
        <v>1942</v>
      </c>
      <c r="DP244" s="1093" t="s">
        <v>1942</v>
      </c>
      <c r="DQ244" s="1092">
        <v>0.379</v>
      </c>
      <c r="DR244" s="1092" t="s">
        <v>1942</v>
      </c>
      <c r="DS244" s="1092" t="s">
        <v>1942</v>
      </c>
      <c r="DT244" s="1093" t="s">
        <v>1942</v>
      </c>
      <c r="DU244" s="1085" t="s">
        <v>1942</v>
      </c>
      <c r="DV244" s="1094">
        <v>1</v>
      </c>
      <c r="DW244" s="1095" t="s">
        <v>1942</v>
      </c>
    </row>
    <row r="245" spans="1:127" s="397" customFormat="1" ht="15.75" hidden="1" customHeight="1">
      <c r="A245" s="1054" t="s">
        <v>1075</v>
      </c>
      <c r="B245" s="1055">
        <v>236</v>
      </c>
      <c r="C245" s="1143"/>
      <c r="D245" s="1143"/>
      <c r="E245" s="1143"/>
      <c r="F245" s="1143"/>
      <c r="G245" s="1143"/>
      <c r="H245" s="1143"/>
      <c r="I245" s="1143"/>
      <c r="J245" s="1143"/>
      <c r="K245" s="1143"/>
      <c r="L245" s="1143"/>
      <c r="M245" s="1055"/>
      <c r="N245" s="1143"/>
      <c r="O245" s="1143"/>
      <c r="P245" s="1143"/>
      <c r="Q245" s="1143"/>
      <c r="R245" s="1143"/>
      <c r="S245" s="1143"/>
      <c r="T245" s="1058"/>
      <c r="U245" s="1059" t="s">
        <v>2937</v>
      </c>
      <c r="V245" s="1060" t="s">
        <v>2938</v>
      </c>
      <c r="W245" s="1060" t="s">
        <v>1907</v>
      </c>
      <c r="X245" s="1061" t="s">
        <v>2878</v>
      </c>
      <c r="Y245" s="1062" t="s">
        <v>1902</v>
      </c>
      <c r="Z245" s="1063" t="s">
        <v>2939</v>
      </c>
      <c r="AA245" s="1064" t="s">
        <v>1942</v>
      </c>
      <c r="AB245" s="1065">
        <v>0.25</v>
      </c>
      <c r="AC245" s="1065" t="s">
        <v>1942</v>
      </c>
      <c r="AD245" s="1065" t="s">
        <v>1942</v>
      </c>
      <c r="AE245" s="1065">
        <v>0.75</v>
      </c>
      <c r="AF245" s="1065" t="s">
        <v>1942</v>
      </c>
      <c r="AG245" s="1065" t="s">
        <v>1942</v>
      </c>
      <c r="AH245" s="1065" t="s">
        <v>1942</v>
      </c>
      <c r="AI245" s="1066">
        <f t="shared" si="3"/>
        <v>1</v>
      </c>
      <c r="AJ245" s="1067" t="s">
        <v>1030</v>
      </c>
      <c r="AK245" s="1067" t="s">
        <v>1008</v>
      </c>
      <c r="AL245" s="1440" t="s">
        <v>1019</v>
      </c>
      <c r="AM245" s="1068" t="s">
        <v>2054</v>
      </c>
      <c r="AN245" s="1062" t="s">
        <v>2118</v>
      </c>
      <c r="AO245" s="1062" t="s">
        <v>4791</v>
      </c>
      <c r="AP245" s="1307">
        <v>1</v>
      </c>
      <c r="AQ245" s="833" t="s">
        <v>1010</v>
      </c>
      <c r="AR245" s="1071" t="s">
        <v>1902</v>
      </c>
      <c r="AS245" s="1072"/>
      <c r="AT245" s="1061"/>
      <c r="AU245" s="1061"/>
      <c r="AV245" s="1061"/>
      <c r="AW245" s="1073"/>
      <c r="AX245" s="1074"/>
      <c r="AY245" s="1079"/>
      <c r="AZ245" s="1080"/>
      <c r="BA245" s="1080"/>
      <c r="BB245" s="1080"/>
      <c r="BC245" s="1080"/>
      <c r="BD245" s="1080"/>
      <c r="BE245" s="1080"/>
      <c r="BF245" s="1080"/>
      <c r="BG245" s="1077"/>
      <c r="BH245" s="1077"/>
      <c r="BI245" s="1078">
        <v>1.1000000000000001</v>
      </c>
      <c r="BJ245" s="1077">
        <v>2.9</v>
      </c>
      <c r="BK245" s="1077">
        <v>4.5999999999999996</v>
      </c>
      <c r="BL245" s="1077">
        <v>5.8</v>
      </c>
      <c r="BM245" s="1077">
        <v>7.2</v>
      </c>
      <c r="BN245" s="1079"/>
      <c r="BO245" s="1080"/>
      <c r="BP245" s="1080"/>
      <c r="BQ245" s="1080"/>
      <c r="BR245" s="1080"/>
      <c r="BS245" s="1081"/>
      <c r="BT245" s="1080"/>
      <c r="BU245" s="1080"/>
      <c r="BV245" s="1080"/>
      <c r="BW245" s="1082"/>
      <c r="BX245" s="1081"/>
      <c r="BY245" s="1080"/>
      <c r="BZ245" s="1080"/>
      <c r="CA245" s="1080"/>
      <c r="CB245" s="1082"/>
      <c r="CC245" s="1083"/>
      <c r="CD245" s="1084" t="s">
        <v>168</v>
      </c>
      <c r="CE245" s="1085" t="s">
        <v>168</v>
      </c>
      <c r="CF245" s="1085" t="s">
        <v>168</v>
      </c>
      <c r="CG245" s="1085" t="s">
        <v>168</v>
      </c>
      <c r="CH245" s="1086" t="s">
        <v>168</v>
      </c>
      <c r="CI245" s="1089" t="s">
        <v>1942</v>
      </c>
      <c r="CJ245" s="1087" t="s">
        <v>1942</v>
      </c>
      <c r="CK245" s="1087" t="s">
        <v>1942</v>
      </c>
      <c r="CL245" s="1087" t="s">
        <v>1942</v>
      </c>
      <c r="CM245" s="1088" t="s">
        <v>1942</v>
      </c>
      <c r="CN245" s="1152" t="s">
        <v>1942</v>
      </c>
      <c r="CO245" s="1087" t="s">
        <v>1942</v>
      </c>
      <c r="CP245" s="1087" t="s">
        <v>1942</v>
      </c>
      <c r="CQ245" s="1087" t="s">
        <v>1942</v>
      </c>
      <c r="CR245" s="1088" t="s">
        <v>1942</v>
      </c>
      <c r="CS245" s="1079" t="s">
        <v>1942</v>
      </c>
      <c r="CT245" s="1080" t="s">
        <v>1942</v>
      </c>
      <c r="CU245" s="1080" t="s">
        <v>1942</v>
      </c>
      <c r="CV245" s="1080" t="s">
        <v>1942</v>
      </c>
      <c r="CW245" s="1083" t="s">
        <v>1942</v>
      </c>
      <c r="CX245" s="1079" t="s">
        <v>1942</v>
      </c>
      <c r="CY245" s="1080" t="s">
        <v>1942</v>
      </c>
      <c r="CZ245" s="1080" t="s">
        <v>1942</v>
      </c>
      <c r="DA245" s="1080" t="s">
        <v>1942</v>
      </c>
      <c r="DB245" s="1083" t="s">
        <v>1942</v>
      </c>
      <c r="DC245" s="1087" t="s">
        <v>1942</v>
      </c>
      <c r="DD245" s="1087" t="s">
        <v>1942</v>
      </c>
      <c r="DE245" s="1087" t="s">
        <v>1942</v>
      </c>
      <c r="DF245" s="1087" t="s">
        <v>1942</v>
      </c>
      <c r="DG245" s="1088" t="s">
        <v>1942</v>
      </c>
      <c r="DH245" s="1089" t="s">
        <v>1942</v>
      </c>
      <c r="DI245" s="1080" t="s">
        <v>1942</v>
      </c>
      <c r="DJ245" s="1080" t="s">
        <v>1942</v>
      </c>
      <c r="DK245" s="1080" t="s">
        <v>1942</v>
      </c>
      <c r="DL245" s="1083" t="s">
        <v>1942</v>
      </c>
      <c r="DM245" s="1091">
        <v>-0.13600000000000001</v>
      </c>
      <c r="DN245" s="1092" t="s">
        <v>1942</v>
      </c>
      <c r="DO245" s="1092" t="s">
        <v>1942</v>
      </c>
      <c r="DP245" s="1093" t="s">
        <v>1942</v>
      </c>
      <c r="DQ245" s="1092">
        <v>0.13600000000000001</v>
      </c>
      <c r="DR245" s="1092" t="s">
        <v>1942</v>
      </c>
      <c r="DS245" s="1092" t="s">
        <v>1942</v>
      </c>
      <c r="DT245" s="1093" t="s">
        <v>1942</v>
      </c>
      <c r="DU245" s="1085" t="s">
        <v>1942</v>
      </c>
      <c r="DV245" s="1094">
        <v>1</v>
      </c>
      <c r="DW245" s="1095" t="s">
        <v>1942</v>
      </c>
    </row>
    <row r="246" spans="1:127" s="397" customFormat="1" ht="15.75" hidden="1" customHeight="1">
      <c r="A246" s="1097" t="s">
        <v>1075</v>
      </c>
      <c r="B246" s="1057">
        <v>237</v>
      </c>
      <c r="C246" s="1018"/>
      <c r="D246" s="1018"/>
      <c r="E246" s="1018"/>
      <c r="F246" s="1018"/>
      <c r="G246" s="1018"/>
      <c r="H246" s="1018"/>
      <c r="I246" s="1018"/>
      <c r="J246" s="1018"/>
      <c r="K246" s="1018"/>
      <c r="L246" s="1018"/>
      <c r="M246" s="1057"/>
      <c r="N246" s="1018"/>
      <c r="O246" s="1018"/>
      <c r="P246" s="1018"/>
      <c r="Q246" s="1018"/>
      <c r="R246" s="1018"/>
      <c r="S246" s="1018"/>
      <c r="T246" s="1019"/>
      <c r="U246" s="1098" t="s">
        <v>2941</v>
      </c>
      <c r="V246" s="1099" t="s">
        <v>2942</v>
      </c>
      <c r="W246" s="1099" t="s">
        <v>1907</v>
      </c>
      <c r="X246" s="1100" t="s">
        <v>2943</v>
      </c>
      <c r="Y246" s="1101" t="s">
        <v>535</v>
      </c>
      <c r="Z246" s="1102" t="s">
        <v>2514</v>
      </c>
      <c r="AA246" s="1103">
        <v>0.75</v>
      </c>
      <c r="AB246" s="1104">
        <v>0.25</v>
      </c>
      <c r="AC246" s="1104" t="s">
        <v>1942</v>
      </c>
      <c r="AD246" s="1104" t="s">
        <v>1942</v>
      </c>
      <c r="AE246" s="1104" t="s">
        <v>1942</v>
      </c>
      <c r="AF246" s="1104" t="s">
        <v>1942</v>
      </c>
      <c r="AG246" s="1104" t="s">
        <v>1942</v>
      </c>
      <c r="AH246" s="1104" t="s">
        <v>1942</v>
      </c>
      <c r="AI246" s="1105">
        <f t="shared" si="3"/>
        <v>1</v>
      </c>
      <c r="AJ246" s="1106" t="s">
        <v>1007</v>
      </c>
      <c r="AK246" s="1106" t="s">
        <v>1942</v>
      </c>
      <c r="AL246" s="1106" t="s">
        <v>1942</v>
      </c>
      <c r="AM246" s="1107" t="s">
        <v>2944</v>
      </c>
      <c r="AN246" s="1018" t="s">
        <v>278</v>
      </c>
      <c r="AO246" s="1018" t="s">
        <v>4792</v>
      </c>
      <c r="AP246" s="1307">
        <v>1</v>
      </c>
      <c r="AQ246" s="1076" t="s">
        <v>1020</v>
      </c>
      <c r="AR246" s="1109" t="s">
        <v>535</v>
      </c>
      <c r="AS246" s="1110"/>
      <c r="AT246" s="1100"/>
      <c r="AU246" s="1100"/>
      <c r="AV246" s="1100"/>
      <c r="AW246" s="1111"/>
      <c r="AX246" s="1112"/>
      <c r="AY246" s="1075"/>
      <c r="AZ246" s="1076"/>
      <c r="BA246" s="1076"/>
      <c r="BB246" s="1076"/>
      <c r="BC246" s="1076"/>
      <c r="BD246" s="1076"/>
      <c r="BE246" s="1076"/>
      <c r="BF246" s="1076"/>
      <c r="BG246" s="1113"/>
      <c r="BH246" s="1113"/>
      <c r="BI246" s="1114">
        <v>0</v>
      </c>
      <c r="BJ246" s="1113">
        <v>0</v>
      </c>
      <c r="BK246" s="1113">
        <v>0</v>
      </c>
      <c r="BL246" s="1113">
        <v>0</v>
      </c>
      <c r="BM246" s="1113">
        <v>0</v>
      </c>
      <c r="BN246" s="1075"/>
      <c r="BO246" s="1076"/>
      <c r="BP246" s="1076"/>
      <c r="BQ246" s="1076"/>
      <c r="BR246" s="1076"/>
      <c r="BS246" s="1115"/>
      <c r="BT246" s="1076"/>
      <c r="BU246" s="1076"/>
      <c r="BV246" s="1076"/>
      <c r="BW246" s="1116"/>
      <c r="BX246" s="1115"/>
      <c r="BY246" s="1076"/>
      <c r="BZ246" s="1076"/>
      <c r="CA246" s="1076"/>
      <c r="CB246" s="1116"/>
      <c r="CC246" s="1117"/>
      <c r="CD246" s="1118" t="s">
        <v>1942</v>
      </c>
      <c r="CE246" s="1119" t="s">
        <v>1942</v>
      </c>
      <c r="CF246" s="1119" t="s">
        <v>1942</v>
      </c>
      <c r="CG246" s="1119" t="s">
        <v>1942</v>
      </c>
      <c r="CH246" s="1120" t="s">
        <v>1942</v>
      </c>
      <c r="CI246" s="1075" t="s">
        <v>1942</v>
      </c>
      <c r="CJ246" s="1076" t="s">
        <v>1942</v>
      </c>
      <c r="CK246" s="1076" t="s">
        <v>1942</v>
      </c>
      <c r="CL246" s="1076" t="s">
        <v>1942</v>
      </c>
      <c r="CM246" s="1117" t="s">
        <v>1942</v>
      </c>
      <c r="CN246" s="1075" t="s">
        <v>1942</v>
      </c>
      <c r="CO246" s="1076" t="s">
        <v>1942</v>
      </c>
      <c r="CP246" s="1076" t="s">
        <v>1942</v>
      </c>
      <c r="CQ246" s="1076" t="s">
        <v>1942</v>
      </c>
      <c r="CR246" s="1117" t="s">
        <v>1942</v>
      </c>
      <c r="CS246" s="1075" t="s">
        <v>1942</v>
      </c>
      <c r="CT246" s="1076" t="s">
        <v>1942</v>
      </c>
      <c r="CU246" s="1076" t="s">
        <v>1942</v>
      </c>
      <c r="CV246" s="1076" t="s">
        <v>1942</v>
      </c>
      <c r="CW246" s="1117" t="s">
        <v>1942</v>
      </c>
      <c r="CX246" s="1075" t="s">
        <v>1942</v>
      </c>
      <c r="CY246" s="1076" t="s">
        <v>1942</v>
      </c>
      <c r="CZ246" s="1076" t="s">
        <v>1942</v>
      </c>
      <c r="DA246" s="1076" t="s">
        <v>1942</v>
      </c>
      <c r="DB246" s="1117" t="s">
        <v>1942</v>
      </c>
      <c r="DC246" s="1076" t="s">
        <v>1942</v>
      </c>
      <c r="DD246" s="1076" t="s">
        <v>1942</v>
      </c>
      <c r="DE246" s="1076" t="s">
        <v>1942</v>
      </c>
      <c r="DF246" s="1076" t="s">
        <v>1942</v>
      </c>
      <c r="DG246" s="1117" t="s">
        <v>1942</v>
      </c>
      <c r="DH246" s="1075" t="s">
        <v>1942</v>
      </c>
      <c r="DI246" s="1076" t="s">
        <v>1942</v>
      </c>
      <c r="DJ246" s="1076" t="s">
        <v>1942</v>
      </c>
      <c r="DK246" s="1076" t="s">
        <v>1942</v>
      </c>
      <c r="DL246" s="1117" t="s">
        <v>1942</v>
      </c>
      <c r="DM246" s="1121" t="s">
        <v>1942</v>
      </c>
      <c r="DN246" s="1122" t="s">
        <v>1942</v>
      </c>
      <c r="DO246" s="1122" t="s">
        <v>1942</v>
      </c>
      <c r="DP246" s="1123" t="s">
        <v>1942</v>
      </c>
      <c r="DQ246" s="1122" t="s">
        <v>1942</v>
      </c>
      <c r="DR246" s="1122" t="s">
        <v>1942</v>
      </c>
      <c r="DS246" s="1122" t="s">
        <v>1942</v>
      </c>
      <c r="DT246" s="1123" t="s">
        <v>1942</v>
      </c>
      <c r="DU246" s="1119" t="s">
        <v>1942</v>
      </c>
      <c r="DV246" s="1124">
        <v>1</v>
      </c>
      <c r="DW246" s="1125" t="s">
        <v>1942</v>
      </c>
    </row>
    <row r="247" spans="1:127" s="397" customFormat="1" ht="15.75" hidden="1" customHeight="1">
      <c r="A247" s="1097" t="s">
        <v>1075</v>
      </c>
      <c r="B247" s="1057">
        <v>238</v>
      </c>
      <c r="C247" s="1018"/>
      <c r="D247" s="1018"/>
      <c r="E247" s="1018"/>
      <c r="F247" s="1018"/>
      <c r="G247" s="1018"/>
      <c r="H247" s="1018"/>
      <c r="I247" s="1018"/>
      <c r="J247" s="1018"/>
      <c r="K247" s="1018"/>
      <c r="L247" s="1018"/>
      <c r="M247" s="1057"/>
      <c r="N247" s="1018"/>
      <c r="O247" s="1018"/>
      <c r="P247" s="1018"/>
      <c r="Q247" s="1018"/>
      <c r="R247" s="1018"/>
      <c r="S247" s="1018"/>
      <c r="T247" s="1019"/>
      <c r="U247" s="1098" t="s">
        <v>2946</v>
      </c>
      <c r="V247" s="1099" t="s">
        <v>2930</v>
      </c>
      <c r="W247" s="1099" t="s">
        <v>1889</v>
      </c>
      <c r="X247" s="1100" t="s">
        <v>2841</v>
      </c>
      <c r="Y247" s="1101" t="s">
        <v>161</v>
      </c>
      <c r="Z247" s="1102" t="s">
        <v>2947</v>
      </c>
      <c r="AA247" s="1103" t="s">
        <v>1942</v>
      </c>
      <c r="AB247" s="1104">
        <v>1</v>
      </c>
      <c r="AC247" s="1104" t="s">
        <v>1942</v>
      </c>
      <c r="AD247" s="1104" t="s">
        <v>1942</v>
      </c>
      <c r="AE247" s="1104" t="s">
        <v>1942</v>
      </c>
      <c r="AF247" s="1104" t="s">
        <v>1942</v>
      </c>
      <c r="AG247" s="1104" t="s">
        <v>1942</v>
      </c>
      <c r="AH247" s="1104" t="s">
        <v>1942</v>
      </c>
      <c r="AI247" s="1105">
        <f t="shared" si="3"/>
        <v>1</v>
      </c>
      <c r="AJ247" s="1106" t="s">
        <v>1026</v>
      </c>
      <c r="AK247" s="1106" t="s">
        <v>1008</v>
      </c>
      <c r="AL247" s="1106" t="s">
        <v>1009</v>
      </c>
      <c r="AM247" s="1107" t="s">
        <v>2074</v>
      </c>
      <c r="AN247" s="1018" t="s">
        <v>2177</v>
      </c>
      <c r="AO247" s="1018" t="s">
        <v>4794</v>
      </c>
      <c r="AP247" s="1307">
        <v>1</v>
      </c>
      <c r="AQ247" s="1076" t="s">
        <v>1020</v>
      </c>
      <c r="AR247" s="1109" t="s">
        <v>161</v>
      </c>
      <c r="AS247" s="1110"/>
      <c r="AT247" s="1100"/>
      <c r="AU247" s="1100"/>
      <c r="AV247" s="1100"/>
      <c r="AW247" s="1111"/>
      <c r="AX247" s="1112"/>
      <c r="AY247" s="1075"/>
      <c r="AZ247" s="1076"/>
      <c r="BA247" s="1076"/>
      <c r="BB247" s="1076"/>
      <c r="BC247" s="1076"/>
      <c r="BD247" s="1076"/>
      <c r="BE247" s="1076"/>
      <c r="BF247" s="1076"/>
      <c r="BG247" s="1113"/>
      <c r="BH247" s="1113"/>
      <c r="BI247" s="1114">
        <v>173.9</v>
      </c>
      <c r="BJ247" s="1113">
        <v>171.5</v>
      </c>
      <c r="BK247" s="1113">
        <v>169.1</v>
      </c>
      <c r="BL247" s="1113">
        <v>166.7</v>
      </c>
      <c r="BM247" s="1113">
        <v>164.3</v>
      </c>
      <c r="BN247" s="1075"/>
      <c r="BO247" s="1076"/>
      <c r="BP247" s="1076"/>
      <c r="BQ247" s="1076"/>
      <c r="BR247" s="1076"/>
      <c r="BS247" s="1115"/>
      <c r="BT247" s="1076"/>
      <c r="BU247" s="1076"/>
      <c r="BV247" s="1076"/>
      <c r="BW247" s="1116"/>
      <c r="BX247" s="1115"/>
      <c r="BY247" s="1076"/>
      <c r="BZ247" s="1076"/>
      <c r="CA247" s="1076"/>
      <c r="CB247" s="1116"/>
      <c r="CC247" s="1117"/>
      <c r="CD247" s="1118" t="s">
        <v>168</v>
      </c>
      <c r="CE247" s="1119" t="s">
        <v>168</v>
      </c>
      <c r="CF247" s="1119" t="s">
        <v>168</v>
      </c>
      <c r="CG247" s="1119" t="s">
        <v>168</v>
      </c>
      <c r="CH247" s="1120" t="s">
        <v>168</v>
      </c>
      <c r="CI247" s="1075" t="s">
        <v>1942</v>
      </c>
      <c r="CJ247" s="1076" t="s">
        <v>1942</v>
      </c>
      <c r="CK247" s="1076" t="s">
        <v>1942</v>
      </c>
      <c r="CL247" s="1076" t="s">
        <v>1942</v>
      </c>
      <c r="CM247" s="1117" t="s">
        <v>1942</v>
      </c>
      <c r="CN247" s="1075" t="s">
        <v>1942</v>
      </c>
      <c r="CO247" s="1076" t="s">
        <v>1942</v>
      </c>
      <c r="CP247" s="1076" t="s">
        <v>1942</v>
      </c>
      <c r="CQ247" s="1076" t="s">
        <v>1942</v>
      </c>
      <c r="CR247" s="1117" t="s">
        <v>1942</v>
      </c>
      <c r="CS247" s="1075" t="s">
        <v>1942</v>
      </c>
      <c r="CT247" s="1076" t="s">
        <v>1942</v>
      </c>
      <c r="CU247" s="1076" t="s">
        <v>1942</v>
      </c>
      <c r="CV247" s="1076" t="s">
        <v>1942</v>
      </c>
      <c r="CW247" s="1117" t="s">
        <v>1942</v>
      </c>
      <c r="CX247" s="1075" t="s">
        <v>1942</v>
      </c>
      <c r="CY247" s="1076" t="s">
        <v>1942</v>
      </c>
      <c r="CZ247" s="1076" t="s">
        <v>1942</v>
      </c>
      <c r="DA247" s="1076" t="s">
        <v>1942</v>
      </c>
      <c r="DB247" s="1117" t="s">
        <v>1942</v>
      </c>
      <c r="DC247" s="1076" t="s">
        <v>1942</v>
      </c>
      <c r="DD247" s="1076" t="s">
        <v>1942</v>
      </c>
      <c r="DE247" s="1076" t="s">
        <v>1942</v>
      </c>
      <c r="DF247" s="1076" t="s">
        <v>1942</v>
      </c>
      <c r="DG247" s="1117" t="s">
        <v>1942</v>
      </c>
      <c r="DH247" s="1075" t="s">
        <v>1942</v>
      </c>
      <c r="DI247" s="1076" t="s">
        <v>1942</v>
      </c>
      <c r="DJ247" s="1076" t="s">
        <v>1942</v>
      </c>
      <c r="DK247" s="1076" t="s">
        <v>1942</v>
      </c>
      <c r="DL247" s="1117" t="s">
        <v>1942</v>
      </c>
      <c r="DM247" s="1121">
        <v>-7.0000000000000007E-2</v>
      </c>
      <c r="DN247" s="1122" t="s">
        <v>1942</v>
      </c>
      <c r="DO247" s="1122" t="s">
        <v>1942</v>
      </c>
      <c r="DP247" s="1123" t="s">
        <v>1942</v>
      </c>
      <c r="DQ247" s="1122" t="s">
        <v>1942</v>
      </c>
      <c r="DR247" s="1122" t="s">
        <v>1942</v>
      </c>
      <c r="DS247" s="1122" t="s">
        <v>1942</v>
      </c>
      <c r="DT247" s="1123" t="s">
        <v>1942</v>
      </c>
      <c r="DU247" s="1119" t="s">
        <v>1942</v>
      </c>
      <c r="DV247" s="1124">
        <v>1</v>
      </c>
      <c r="DW247" s="1125" t="s">
        <v>1942</v>
      </c>
    </row>
    <row r="248" spans="1:127" s="397" customFormat="1" ht="15.75" hidden="1" customHeight="1">
      <c r="A248" s="1097" t="s">
        <v>1075</v>
      </c>
      <c r="B248" s="1057">
        <v>239</v>
      </c>
      <c r="C248" s="1018"/>
      <c r="D248" s="1018"/>
      <c r="E248" s="1018"/>
      <c r="F248" s="1018"/>
      <c r="G248" s="1018"/>
      <c r="H248" s="1018"/>
      <c r="I248" s="1018"/>
      <c r="J248" s="1018"/>
      <c r="K248" s="1018"/>
      <c r="L248" s="1018"/>
      <c r="M248" s="1057"/>
      <c r="N248" s="1018"/>
      <c r="O248" s="1018"/>
      <c r="P248" s="1018"/>
      <c r="Q248" s="1018"/>
      <c r="R248" s="1018"/>
      <c r="S248" s="1018"/>
      <c r="T248" s="1019"/>
      <c r="U248" s="1098" t="s">
        <v>2949</v>
      </c>
      <c r="V248" s="1099" t="s">
        <v>2930</v>
      </c>
      <c r="W248" s="1099" t="s">
        <v>1907</v>
      </c>
      <c r="X248" s="1100" t="s">
        <v>2845</v>
      </c>
      <c r="Y248" s="1101" t="s">
        <v>167</v>
      </c>
      <c r="Z248" s="1102" t="s">
        <v>2950</v>
      </c>
      <c r="AA248" s="1103">
        <v>0.05</v>
      </c>
      <c r="AB248" s="1104">
        <v>0.95</v>
      </c>
      <c r="AC248" s="1104" t="s">
        <v>1942</v>
      </c>
      <c r="AD248" s="1104" t="s">
        <v>1942</v>
      </c>
      <c r="AE248" s="1104" t="s">
        <v>1942</v>
      </c>
      <c r="AF248" s="1104" t="s">
        <v>1942</v>
      </c>
      <c r="AG248" s="1104" t="s">
        <v>1942</v>
      </c>
      <c r="AH248" s="1104" t="s">
        <v>1942</v>
      </c>
      <c r="AI248" s="1105">
        <f t="shared" si="3"/>
        <v>1</v>
      </c>
      <c r="AJ248" s="1106" t="s">
        <v>1026</v>
      </c>
      <c r="AK248" s="1106" t="s">
        <v>1008</v>
      </c>
      <c r="AL248" s="1106" t="s">
        <v>1009</v>
      </c>
      <c r="AM248" s="1107" t="s">
        <v>1915</v>
      </c>
      <c r="AN248" s="1018" t="s">
        <v>278</v>
      </c>
      <c r="AO248" s="1018" t="s">
        <v>4793</v>
      </c>
      <c r="AP248" s="1307">
        <v>2</v>
      </c>
      <c r="AQ248" s="1076" t="s">
        <v>1020</v>
      </c>
      <c r="AR248" s="1109" t="s">
        <v>167</v>
      </c>
      <c r="AS248" s="1110"/>
      <c r="AT248" s="1100"/>
      <c r="AU248" s="1100"/>
      <c r="AV248" s="1100"/>
      <c r="AW248" s="1111"/>
      <c r="AX248" s="1112"/>
      <c r="AY248" s="1075"/>
      <c r="AZ248" s="1076"/>
      <c r="BA248" s="1076"/>
      <c r="BB248" s="1076"/>
      <c r="BC248" s="1076"/>
      <c r="BD248" s="1076"/>
      <c r="BE248" s="1076"/>
      <c r="BF248" s="1076"/>
      <c r="BG248" s="1126"/>
      <c r="BH248" s="1126"/>
      <c r="BI248" s="1127">
        <v>4.2300000000000004</v>
      </c>
      <c r="BJ248" s="1126">
        <v>3.76</v>
      </c>
      <c r="BK248" s="1126">
        <v>3.28</v>
      </c>
      <c r="BL248" s="1126">
        <v>2.81</v>
      </c>
      <c r="BM248" s="1126">
        <v>2.34</v>
      </c>
      <c r="BN248" s="1075"/>
      <c r="BO248" s="1076"/>
      <c r="BP248" s="1076"/>
      <c r="BQ248" s="1076"/>
      <c r="BR248" s="1076"/>
      <c r="BS248" s="1115"/>
      <c r="BT248" s="1076"/>
      <c r="BU248" s="1076"/>
      <c r="BV248" s="1076"/>
      <c r="BW248" s="1116"/>
      <c r="BX248" s="1115"/>
      <c r="BY248" s="1076"/>
      <c r="BZ248" s="1076"/>
      <c r="CA248" s="1076"/>
      <c r="CB248" s="1116"/>
      <c r="CC248" s="1117"/>
      <c r="CD248" s="1118" t="s">
        <v>168</v>
      </c>
      <c r="CE248" s="1119" t="s">
        <v>168</v>
      </c>
      <c r="CF248" s="1119" t="s">
        <v>168</v>
      </c>
      <c r="CG248" s="1119" t="s">
        <v>168</v>
      </c>
      <c r="CH248" s="1120" t="s">
        <v>168</v>
      </c>
      <c r="CI248" s="1075" t="s">
        <v>1942</v>
      </c>
      <c r="CJ248" s="1076" t="s">
        <v>1942</v>
      </c>
      <c r="CK248" s="1076" t="s">
        <v>1942</v>
      </c>
      <c r="CL248" s="1076" t="s">
        <v>1942</v>
      </c>
      <c r="CM248" s="1117" t="s">
        <v>1942</v>
      </c>
      <c r="CN248" s="1075">
        <v>8.4600000000000009</v>
      </c>
      <c r="CO248" s="1076">
        <v>8.4600000000000009</v>
      </c>
      <c r="CP248" s="1076">
        <v>8.4600000000000009</v>
      </c>
      <c r="CQ248" s="1076">
        <v>8.4600000000000009</v>
      </c>
      <c r="CR248" s="1117">
        <v>8.4600000000000009</v>
      </c>
      <c r="CS248" s="1075" t="s">
        <v>1942</v>
      </c>
      <c r="CT248" s="1076" t="s">
        <v>1942</v>
      </c>
      <c r="CU248" s="1076" t="s">
        <v>1942</v>
      </c>
      <c r="CV248" s="1076" t="s">
        <v>1942</v>
      </c>
      <c r="CW248" s="1117" t="s">
        <v>1942</v>
      </c>
      <c r="CX248" s="1075" t="s">
        <v>1942</v>
      </c>
      <c r="CY248" s="1076" t="s">
        <v>1942</v>
      </c>
      <c r="CZ248" s="1076" t="s">
        <v>1942</v>
      </c>
      <c r="DA248" s="1076" t="s">
        <v>1942</v>
      </c>
      <c r="DB248" s="1117" t="s">
        <v>1942</v>
      </c>
      <c r="DC248" s="1076" t="s">
        <v>1942</v>
      </c>
      <c r="DD248" s="1076" t="s">
        <v>1942</v>
      </c>
      <c r="DE248" s="1076" t="s">
        <v>1942</v>
      </c>
      <c r="DF248" s="1076" t="s">
        <v>1942</v>
      </c>
      <c r="DG248" s="1117" t="s">
        <v>1942</v>
      </c>
      <c r="DH248" s="1075" t="s">
        <v>1942</v>
      </c>
      <c r="DI248" s="1076" t="s">
        <v>1942</v>
      </c>
      <c r="DJ248" s="1076" t="s">
        <v>1942</v>
      </c>
      <c r="DK248" s="1076" t="s">
        <v>1942</v>
      </c>
      <c r="DL248" s="1117" t="s">
        <v>1942</v>
      </c>
      <c r="DM248" s="1121">
        <v>-0.625</v>
      </c>
      <c r="DN248" s="1122" t="s">
        <v>1942</v>
      </c>
      <c r="DO248" s="1122" t="s">
        <v>1942</v>
      </c>
      <c r="DP248" s="1123" t="s">
        <v>1942</v>
      </c>
      <c r="DQ248" s="1122" t="s">
        <v>1942</v>
      </c>
      <c r="DR248" s="1122" t="s">
        <v>1942</v>
      </c>
      <c r="DS248" s="1122" t="s">
        <v>1942</v>
      </c>
      <c r="DT248" s="1123" t="s">
        <v>1942</v>
      </c>
      <c r="DU248" s="1119" t="s">
        <v>1942</v>
      </c>
      <c r="DV248" s="1124">
        <v>1</v>
      </c>
      <c r="DW248" s="1125" t="s">
        <v>1942</v>
      </c>
    </row>
    <row r="249" spans="1:127" s="397" customFormat="1" ht="15.75" hidden="1" customHeight="1">
      <c r="A249" s="1097" t="s">
        <v>1075</v>
      </c>
      <c r="B249" s="1057">
        <v>240</v>
      </c>
      <c r="C249" s="1018"/>
      <c r="D249" s="1018"/>
      <c r="E249" s="1018"/>
      <c r="F249" s="1018"/>
      <c r="G249" s="1018"/>
      <c r="H249" s="1018"/>
      <c r="I249" s="1018"/>
      <c r="J249" s="1018"/>
      <c r="K249" s="1018"/>
      <c r="L249" s="1018"/>
      <c r="M249" s="1057"/>
      <c r="N249" s="1018"/>
      <c r="O249" s="1018"/>
      <c r="P249" s="1018"/>
      <c r="Q249" s="1018"/>
      <c r="R249" s="1018"/>
      <c r="S249" s="1018"/>
      <c r="T249" s="1019"/>
      <c r="U249" s="1098" t="s">
        <v>2952</v>
      </c>
      <c r="V249" s="1099" t="s">
        <v>2918</v>
      </c>
      <c r="W249" s="1099" t="s">
        <v>1907</v>
      </c>
      <c r="X249" s="1100" t="s">
        <v>2914</v>
      </c>
      <c r="Y249" s="1101" t="s">
        <v>2953</v>
      </c>
      <c r="Z249" s="1102" t="s">
        <v>2954</v>
      </c>
      <c r="AA249" s="1103" t="s">
        <v>1942</v>
      </c>
      <c r="AB249" s="1104">
        <v>0.25</v>
      </c>
      <c r="AC249" s="1104" t="s">
        <v>1942</v>
      </c>
      <c r="AD249" s="1104" t="s">
        <v>1942</v>
      </c>
      <c r="AE249" s="1104">
        <v>0.75</v>
      </c>
      <c r="AF249" s="1104" t="s">
        <v>1942</v>
      </c>
      <c r="AG249" s="1104" t="s">
        <v>1942</v>
      </c>
      <c r="AH249" s="1104" t="s">
        <v>1942</v>
      </c>
      <c r="AI249" s="1105">
        <f t="shared" si="3"/>
        <v>1</v>
      </c>
      <c r="AJ249" s="1106" t="s">
        <v>1007</v>
      </c>
      <c r="AK249" s="1106" t="s">
        <v>1942</v>
      </c>
      <c r="AL249" s="1106" t="s">
        <v>1942</v>
      </c>
      <c r="AM249" s="1107" t="s">
        <v>1947</v>
      </c>
      <c r="AN249" s="1018" t="s">
        <v>1081</v>
      </c>
      <c r="AO249" s="1018" t="s">
        <v>2955</v>
      </c>
      <c r="AP249" s="1333">
        <v>1</v>
      </c>
      <c r="AQ249" s="1076" t="s">
        <v>1010</v>
      </c>
      <c r="AR249" s="1109" t="s">
        <v>1942</v>
      </c>
      <c r="AS249" s="1110"/>
      <c r="AT249" s="1100"/>
      <c r="AU249" s="1100"/>
      <c r="AV249" s="1100"/>
      <c r="AW249" s="1111"/>
      <c r="AX249" s="1112"/>
      <c r="AY249" s="1075"/>
      <c r="AZ249" s="1076"/>
      <c r="BA249" s="1076"/>
      <c r="BB249" s="1076"/>
      <c r="BC249" s="1076"/>
      <c r="BD249" s="1076"/>
      <c r="BE249" s="1076"/>
      <c r="BF249" s="1076"/>
      <c r="BG249" s="1076"/>
      <c r="BH249" s="1076"/>
      <c r="BI249" s="1420"/>
      <c r="BJ249" s="1368"/>
      <c r="BK249" s="1368"/>
      <c r="BL249" s="1368"/>
      <c r="BM249" s="1368"/>
      <c r="BN249" s="1075"/>
      <c r="BO249" s="1076"/>
      <c r="BP249" s="1076"/>
      <c r="BQ249" s="1076"/>
      <c r="BR249" s="1076"/>
      <c r="BS249" s="1115"/>
      <c r="BT249" s="1076"/>
      <c r="BU249" s="1076"/>
      <c r="BV249" s="1076"/>
      <c r="BW249" s="1116"/>
      <c r="BX249" s="1115"/>
      <c r="BY249" s="1076"/>
      <c r="BZ249" s="1076"/>
      <c r="CA249" s="1076"/>
      <c r="CB249" s="1116"/>
      <c r="CC249" s="1117"/>
      <c r="CD249" s="1376"/>
      <c r="CE249" s="1377"/>
      <c r="CF249" s="1377"/>
      <c r="CG249" s="1377"/>
      <c r="CH249" s="1440"/>
      <c r="CI249" s="1420"/>
      <c r="CJ249" s="1368"/>
      <c r="CK249" s="1368"/>
      <c r="CL249" s="1368"/>
      <c r="CM249" s="1369"/>
      <c r="CN249" s="1420"/>
      <c r="CO249" s="1368"/>
      <c r="CP249" s="1368"/>
      <c r="CQ249" s="1368"/>
      <c r="CR249" s="1369"/>
      <c r="CS249" s="1420"/>
      <c r="CT249" s="1368"/>
      <c r="CU249" s="1368"/>
      <c r="CV249" s="1368"/>
      <c r="CW249" s="1369"/>
      <c r="CX249" s="1420"/>
      <c r="CY249" s="1368"/>
      <c r="CZ249" s="1368"/>
      <c r="DA249" s="1368"/>
      <c r="DB249" s="1369"/>
      <c r="DC249" s="1368"/>
      <c r="DD249" s="1368"/>
      <c r="DE249" s="1368"/>
      <c r="DF249" s="1368"/>
      <c r="DG249" s="1369"/>
      <c r="DH249" s="1420"/>
      <c r="DI249" s="1368"/>
      <c r="DJ249" s="1368"/>
      <c r="DK249" s="1368"/>
      <c r="DL249" s="1369"/>
      <c r="DM249" s="1808"/>
      <c r="DN249" s="1809"/>
      <c r="DO249" s="1809"/>
      <c r="DP249" s="1810"/>
      <c r="DQ249" s="1809"/>
      <c r="DR249" s="1809"/>
      <c r="DS249" s="1809"/>
      <c r="DT249" s="1810"/>
      <c r="DU249" s="1377"/>
      <c r="DV249" s="1729"/>
      <c r="DW249" s="1811"/>
    </row>
    <row r="250" spans="1:127" s="397" customFormat="1" ht="15.75" hidden="1" customHeight="1">
      <c r="A250" s="1097" t="s">
        <v>1075</v>
      </c>
      <c r="B250" s="1057">
        <v>241</v>
      </c>
      <c r="C250" s="1018"/>
      <c r="D250" s="1018"/>
      <c r="E250" s="1018"/>
      <c r="F250" s="1018"/>
      <c r="G250" s="1018"/>
      <c r="H250" s="1018"/>
      <c r="I250" s="1018"/>
      <c r="J250" s="1018"/>
      <c r="K250" s="1018"/>
      <c r="L250" s="1018"/>
      <c r="M250" s="1057"/>
      <c r="N250" s="1018"/>
      <c r="O250" s="1018"/>
      <c r="P250" s="1018"/>
      <c r="Q250" s="1018"/>
      <c r="R250" s="1018"/>
      <c r="S250" s="1018"/>
      <c r="T250" s="1019"/>
      <c r="U250" s="1098" t="s">
        <v>2956</v>
      </c>
      <c r="V250" s="1099" t="s">
        <v>2918</v>
      </c>
      <c r="W250" s="1099" t="s">
        <v>1907</v>
      </c>
      <c r="X250" s="1100" t="s">
        <v>2860</v>
      </c>
      <c r="Y250" s="1101" t="s">
        <v>2957</v>
      </c>
      <c r="Z250" s="1102" t="s">
        <v>2958</v>
      </c>
      <c r="AA250" s="1103" t="s">
        <v>1942</v>
      </c>
      <c r="AB250" s="1104">
        <v>0.25</v>
      </c>
      <c r="AC250" s="1104" t="s">
        <v>1942</v>
      </c>
      <c r="AD250" s="1104" t="s">
        <v>1942</v>
      </c>
      <c r="AE250" s="1104">
        <v>0.75</v>
      </c>
      <c r="AF250" s="1104" t="s">
        <v>1942</v>
      </c>
      <c r="AG250" s="1104" t="s">
        <v>1942</v>
      </c>
      <c r="AH250" s="1104" t="s">
        <v>1942</v>
      </c>
      <c r="AI250" s="1105">
        <f t="shared" si="3"/>
        <v>1</v>
      </c>
      <c r="AJ250" s="1106" t="s">
        <v>1007</v>
      </c>
      <c r="AK250" s="1106" t="s">
        <v>1942</v>
      </c>
      <c r="AL250" s="1106" t="s">
        <v>1942</v>
      </c>
      <c r="AM250" s="1107" t="s">
        <v>1947</v>
      </c>
      <c r="AN250" s="1018" t="s">
        <v>1081</v>
      </c>
      <c r="AO250" s="1018" t="s">
        <v>2955</v>
      </c>
      <c r="AP250" s="1333">
        <v>1</v>
      </c>
      <c r="AQ250" s="1076" t="s">
        <v>1010</v>
      </c>
      <c r="AR250" s="1109" t="s">
        <v>1942</v>
      </c>
      <c r="AS250" s="1110"/>
      <c r="AT250" s="1100"/>
      <c r="AU250" s="1100"/>
      <c r="AV250" s="1100"/>
      <c r="AW250" s="1111"/>
      <c r="AX250" s="1112"/>
      <c r="AY250" s="1075"/>
      <c r="AZ250" s="1076"/>
      <c r="BA250" s="1076"/>
      <c r="BB250" s="1076"/>
      <c r="BC250" s="1076"/>
      <c r="BD250" s="1076"/>
      <c r="BE250" s="1076"/>
      <c r="BF250" s="1076"/>
      <c r="BG250" s="1076"/>
      <c r="BH250" s="1076"/>
      <c r="BI250" s="1420"/>
      <c r="BJ250" s="1368"/>
      <c r="BK250" s="1368"/>
      <c r="BL250" s="1368"/>
      <c r="BM250" s="1368"/>
      <c r="BN250" s="1075"/>
      <c r="BO250" s="1076"/>
      <c r="BP250" s="1076"/>
      <c r="BQ250" s="1076"/>
      <c r="BR250" s="1076"/>
      <c r="BS250" s="1115"/>
      <c r="BT250" s="1076"/>
      <c r="BU250" s="1076"/>
      <c r="BV250" s="1076"/>
      <c r="BW250" s="1116"/>
      <c r="BX250" s="1115"/>
      <c r="BY250" s="1076"/>
      <c r="BZ250" s="1076"/>
      <c r="CA250" s="1076"/>
      <c r="CB250" s="1116"/>
      <c r="CC250" s="1117"/>
      <c r="CD250" s="1376"/>
      <c r="CE250" s="1377"/>
      <c r="CF250" s="1377"/>
      <c r="CG250" s="1377"/>
      <c r="CH250" s="1440"/>
      <c r="CI250" s="1420"/>
      <c r="CJ250" s="1368"/>
      <c r="CK250" s="1368"/>
      <c r="CL250" s="1368"/>
      <c r="CM250" s="1369"/>
      <c r="CN250" s="1420"/>
      <c r="CO250" s="1368"/>
      <c r="CP250" s="1368"/>
      <c r="CQ250" s="1368"/>
      <c r="CR250" s="1369"/>
      <c r="CS250" s="1420"/>
      <c r="CT250" s="1368"/>
      <c r="CU250" s="1368"/>
      <c r="CV250" s="1368"/>
      <c r="CW250" s="1369"/>
      <c r="CX250" s="1420"/>
      <c r="CY250" s="1368"/>
      <c r="CZ250" s="1368"/>
      <c r="DA250" s="1368"/>
      <c r="DB250" s="1369"/>
      <c r="DC250" s="1368"/>
      <c r="DD250" s="1368"/>
      <c r="DE250" s="1368"/>
      <c r="DF250" s="1368"/>
      <c r="DG250" s="1369"/>
      <c r="DH250" s="1420"/>
      <c r="DI250" s="1368"/>
      <c r="DJ250" s="1368"/>
      <c r="DK250" s="1368"/>
      <c r="DL250" s="1369"/>
      <c r="DM250" s="1808"/>
      <c r="DN250" s="1809"/>
      <c r="DO250" s="1809"/>
      <c r="DP250" s="1810"/>
      <c r="DQ250" s="1809"/>
      <c r="DR250" s="1809"/>
      <c r="DS250" s="1809"/>
      <c r="DT250" s="1810"/>
      <c r="DU250" s="1377"/>
      <c r="DV250" s="1729"/>
      <c r="DW250" s="1811"/>
    </row>
    <row r="251" spans="1:127" s="397" customFormat="1" ht="15.75" hidden="1" customHeight="1">
      <c r="A251" s="1097" t="s">
        <v>1075</v>
      </c>
      <c r="B251" s="1057">
        <v>242</v>
      </c>
      <c r="C251" s="1018"/>
      <c r="D251" s="1018"/>
      <c r="E251" s="1018"/>
      <c r="F251" s="1018"/>
      <c r="G251" s="1018"/>
      <c r="H251" s="1018"/>
      <c r="I251" s="1018"/>
      <c r="J251" s="1018"/>
      <c r="K251" s="1018"/>
      <c r="L251" s="1018"/>
      <c r="M251" s="1057"/>
      <c r="N251" s="1018"/>
      <c r="O251" s="1018"/>
      <c r="P251" s="1018"/>
      <c r="Q251" s="1018"/>
      <c r="R251" s="1018"/>
      <c r="S251" s="1018"/>
      <c r="T251" s="1019"/>
      <c r="U251" s="1098" t="s">
        <v>2959</v>
      </c>
      <c r="V251" s="1099" t="s">
        <v>2918</v>
      </c>
      <c r="W251" s="1099" t="s">
        <v>1907</v>
      </c>
      <c r="X251" s="1100" t="s">
        <v>2863</v>
      </c>
      <c r="Y251" s="1101" t="s">
        <v>2960</v>
      </c>
      <c r="Z251" s="1102" t="s">
        <v>2961</v>
      </c>
      <c r="AA251" s="1103" t="s">
        <v>1942</v>
      </c>
      <c r="AB251" s="1104">
        <v>0.25</v>
      </c>
      <c r="AC251" s="1104" t="s">
        <v>1942</v>
      </c>
      <c r="AD251" s="1104" t="s">
        <v>1942</v>
      </c>
      <c r="AE251" s="1104">
        <v>0.75</v>
      </c>
      <c r="AF251" s="1104" t="s">
        <v>1942</v>
      </c>
      <c r="AG251" s="1104" t="s">
        <v>1942</v>
      </c>
      <c r="AH251" s="1104" t="s">
        <v>1942</v>
      </c>
      <c r="AI251" s="1105">
        <f t="shared" si="3"/>
        <v>1</v>
      </c>
      <c r="AJ251" s="1106" t="s">
        <v>1007</v>
      </c>
      <c r="AK251" s="1106" t="s">
        <v>1942</v>
      </c>
      <c r="AL251" s="1106" t="s">
        <v>1942</v>
      </c>
      <c r="AM251" s="1107" t="s">
        <v>1947</v>
      </c>
      <c r="AN251" s="1018" t="s">
        <v>1081</v>
      </c>
      <c r="AO251" s="1018" t="s">
        <v>2955</v>
      </c>
      <c r="AP251" s="1333">
        <v>1</v>
      </c>
      <c r="AQ251" s="1076" t="s">
        <v>1010</v>
      </c>
      <c r="AR251" s="1109" t="s">
        <v>1942</v>
      </c>
      <c r="AS251" s="1110"/>
      <c r="AT251" s="1100"/>
      <c r="AU251" s="1100"/>
      <c r="AV251" s="1100"/>
      <c r="AW251" s="1111"/>
      <c r="AX251" s="1112"/>
      <c r="AY251" s="1075"/>
      <c r="AZ251" s="1076"/>
      <c r="BA251" s="1076"/>
      <c r="BB251" s="1076"/>
      <c r="BC251" s="1076"/>
      <c r="BD251" s="1076"/>
      <c r="BE251" s="1076"/>
      <c r="BF251" s="1076"/>
      <c r="BG251" s="1076"/>
      <c r="BH251" s="1076"/>
      <c r="BI251" s="1420"/>
      <c r="BJ251" s="1368"/>
      <c r="BK251" s="1368"/>
      <c r="BL251" s="1368"/>
      <c r="BM251" s="1368"/>
      <c r="BN251" s="1075"/>
      <c r="BO251" s="1076"/>
      <c r="BP251" s="1076"/>
      <c r="BQ251" s="1076"/>
      <c r="BR251" s="1076"/>
      <c r="BS251" s="1115"/>
      <c r="BT251" s="1076"/>
      <c r="BU251" s="1076"/>
      <c r="BV251" s="1076"/>
      <c r="BW251" s="1116"/>
      <c r="BX251" s="1115"/>
      <c r="BY251" s="1076"/>
      <c r="BZ251" s="1076"/>
      <c r="CA251" s="1076"/>
      <c r="CB251" s="1116"/>
      <c r="CC251" s="1117"/>
      <c r="CD251" s="1376"/>
      <c r="CE251" s="1377"/>
      <c r="CF251" s="1377"/>
      <c r="CG251" s="1377"/>
      <c r="CH251" s="1440"/>
      <c r="CI251" s="1420"/>
      <c r="CJ251" s="1368"/>
      <c r="CK251" s="1368"/>
      <c r="CL251" s="1368"/>
      <c r="CM251" s="1369"/>
      <c r="CN251" s="1420"/>
      <c r="CO251" s="1368"/>
      <c r="CP251" s="1368"/>
      <c r="CQ251" s="1368"/>
      <c r="CR251" s="1369"/>
      <c r="CS251" s="1420"/>
      <c r="CT251" s="1368"/>
      <c r="CU251" s="1368"/>
      <c r="CV251" s="1368"/>
      <c r="CW251" s="1369"/>
      <c r="CX251" s="1420"/>
      <c r="CY251" s="1368"/>
      <c r="CZ251" s="1368"/>
      <c r="DA251" s="1368"/>
      <c r="DB251" s="1369"/>
      <c r="DC251" s="1368"/>
      <c r="DD251" s="1368"/>
      <c r="DE251" s="1368"/>
      <c r="DF251" s="1368"/>
      <c r="DG251" s="1369"/>
      <c r="DH251" s="1420"/>
      <c r="DI251" s="1368"/>
      <c r="DJ251" s="1368"/>
      <c r="DK251" s="1368"/>
      <c r="DL251" s="1369"/>
      <c r="DM251" s="1808"/>
      <c r="DN251" s="1809"/>
      <c r="DO251" s="1809"/>
      <c r="DP251" s="1810"/>
      <c r="DQ251" s="1809"/>
      <c r="DR251" s="1809"/>
      <c r="DS251" s="1809"/>
      <c r="DT251" s="1810"/>
      <c r="DU251" s="1377"/>
      <c r="DV251" s="1729"/>
      <c r="DW251" s="1811"/>
    </row>
    <row r="252" spans="1:127" s="397" customFormat="1" ht="15.75" hidden="1" customHeight="1">
      <c r="A252" s="1097" t="s">
        <v>1075</v>
      </c>
      <c r="B252" s="1057">
        <v>243</v>
      </c>
      <c r="C252" s="1018"/>
      <c r="D252" s="1018"/>
      <c r="E252" s="1018"/>
      <c r="F252" s="1018"/>
      <c r="G252" s="1018"/>
      <c r="H252" s="1018"/>
      <c r="I252" s="1018"/>
      <c r="J252" s="1018"/>
      <c r="K252" s="1018"/>
      <c r="L252" s="1018"/>
      <c r="M252" s="1057"/>
      <c r="N252" s="1018"/>
      <c r="O252" s="1018"/>
      <c r="P252" s="1018"/>
      <c r="Q252" s="1018"/>
      <c r="R252" s="1018"/>
      <c r="S252" s="1018"/>
      <c r="T252" s="1019"/>
      <c r="U252" s="1098" t="s">
        <v>2962</v>
      </c>
      <c r="V252" s="1099" t="s">
        <v>2918</v>
      </c>
      <c r="W252" s="1099" t="s">
        <v>1907</v>
      </c>
      <c r="X252" s="1100" t="s">
        <v>2963</v>
      </c>
      <c r="Y252" s="1101" t="s">
        <v>2964</v>
      </c>
      <c r="Z252" s="1102" t="s">
        <v>2965</v>
      </c>
      <c r="AA252" s="1103" t="s">
        <v>1942</v>
      </c>
      <c r="AB252" s="1104">
        <v>0.25</v>
      </c>
      <c r="AC252" s="1104" t="s">
        <v>1942</v>
      </c>
      <c r="AD252" s="1104" t="s">
        <v>1942</v>
      </c>
      <c r="AE252" s="1104">
        <v>0.75</v>
      </c>
      <c r="AF252" s="1104" t="s">
        <v>1942</v>
      </c>
      <c r="AG252" s="1104" t="s">
        <v>1942</v>
      </c>
      <c r="AH252" s="1104" t="s">
        <v>1942</v>
      </c>
      <c r="AI252" s="1105">
        <f t="shared" si="3"/>
        <v>1</v>
      </c>
      <c r="AJ252" s="1106" t="s">
        <v>1007</v>
      </c>
      <c r="AK252" s="1106" t="s">
        <v>1942</v>
      </c>
      <c r="AL252" s="1106" t="s">
        <v>1942</v>
      </c>
      <c r="AM252" s="1107" t="s">
        <v>1947</v>
      </c>
      <c r="AN252" s="1018" t="s">
        <v>1081</v>
      </c>
      <c r="AO252" s="1018" t="s">
        <v>2955</v>
      </c>
      <c r="AP252" s="1333">
        <v>1</v>
      </c>
      <c r="AQ252" s="1076" t="s">
        <v>1010</v>
      </c>
      <c r="AR252" s="1109" t="s">
        <v>1942</v>
      </c>
      <c r="AS252" s="1110"/>
      <c r="AT252" s="1100"/>
      <c r="AU252" s="1100"/>
      <c r="AV252" s="1100"/>
      <c r="AW252" s="1111"/>
      <c r="AX252" s="1112"/>
      <c r="AY252" s="1075"/>
      <c r="AZ252" s="1076"/>
      <c r="BA252" s="1076"/>
      <c r="BB252" s="1076"/>
      <c r="BC252" s="1076"/>
      <c r="BD252" s="1076"/>
      <c r="BE252" s="1076"/>
      <c r="BF252" s="1076"/>
      <c r="BG252" s="1076"/>
      <c r="BH252" s="1076"/>
      <c r="BI252" s="1420"/>
      <c r="BJ252" s="1368"/>
      <c r="BK252" s="1368"/>
      <c r="BL252" s="1368"/>
      <c r="BM252" s="1368"/>
      <c r="BN252" s="1075"/>
      <c r="BO252" s="1076"/>
      <c r="BP252" s="1076"/>
      <c r="BQ252" s="1076"/>
      <c r="BR252" s="1076"/>
      <c r="BS252" s="1115"/>
      <c r="BT252" s="1076"/>
      <c r="BU252" s="1076"/>
      <c r="BV252" s="1076"/>
      <c r="BW252" s="1116"/>
      <c r="BX252" s="1115"/>
      <c r="BY252" s="1076"/>
      <c r="BZ252" s="1076"/>
      <c r="CA252" s="1076"/>
      <c r="CB252" s="1116"/>
      <c r="CC252" s="1117"/>
      <c r="CD252" s="1376"/>
      <c r="CE252" s="1377"/>
      <c r="CF252" s="1377"/>
      <c r="CG252" s="1377"/>
      <c r="CH252" s="1440"/>
      <c r="CI252" s="1420"/>
      <c r="CJ252" s="1368"/>
      <c r="CK252" s="1368"/>
      <c r="CL252" s="1368"/>
      <c r="CM252" s="1369"/>
      <c r="CN252" s="1420"/>
      <c r="CO252" s="1368"/>
      <c r="CP252" s="1368"/>
      <c r="CQ252" s="1368"/>
      <c r="CR252" s="1369"/>
      <c r="CS252" s="1420"/>
      <c r="CT252" s="1368"/>
      <c r="CU252" s="1368"/>
      <c r="CV252" s="1368"/>
      <c r="CW252" s="1369"/>
      <c r="CX252" s="1420"/>
      <c r="CY252" s="1368"/>
      <c r="CZ252" s="1368"/>
      <c r="DA252" s="1368"/>
      <c r="DB252" s="1369"/>
      <c r="DC252" s="1368"/>
      <c r="DD252" s="1368"/>
      <c r="DE252" s="1368"/>
      <c r="DF252" s="1368"/>
      <c r="DG252" s="1369"/>
      <c r="DH252" s="1420"/>
      <c r="DI252" s="1368"/>
      <c r="DJ252" s="1368"/>
      <c r="DK252" s="1368"/>
      <c r="DL252" s="1369"/>
      <c r="DM252" s="1808"/>
      <c r="DN252" s="1809"/>
      <c r="DO252" s="1809"/>
      <c r="DP252" s="1810"/>
      <c r="DQ252" s="1809"/>
      <c r="DR252" s="1809"/>
      <c r="DS252" s="1809"/>
      <c r="DT252" s="1810"/>
      <c r="DU252" s="1377"/>
      <c r="DV252" s="1729"/>
      <c r="DW252" s="1811"/>
    </row>
    <row r="253" spans="1:127" s="397" customFormat="1" ht="15.75" hidden="1" customHeight="1">
      <c r="A253" s="1097" t="s">
        <v>1075</v>
      </c>
      <c r="B253" s="1057">
        <v>244</v>
      </c>
      <c r="C253" s="1018"/>
      <c r="D253" s="1018"/>
      <c r="E253" s="1018"/>
      <c r="F253" s="1018"/>
      <c r="G253" s="1018"/>
      <c r="H253" s="1018"/>
      <c r="I253" s="1018"/>
      <c r="J253" s="1018"/>
      <c r="K253" s="1018"/>
      <c r="L253" s="1018"/>
      <c r="M253" s="1057"/>
      <c r="N253" s="1018"/>
      <c r="O253" s="1018"/>
      <c r="P253" s="1018"/>
      <c r="Q253" s="1018"/>
      <c r="R253" s="1018"/>
      <c r="S253" s="1018"/>
      <c r="T253" s="1019"/>
      <c r="U253" s="1098" t="s">
        <v>2966</v>
      </c>
      <c r="V253" s="1099" t="s">
        <v>2918</v>
      </c>
      <c r="W253" s="1099" t="s">
        <v>1907</v>
      </c>
      <c r="X253" s="1100" t="s">
        <v>2967</v>
      </c>
      <c r="Y253" s="1101" t="s">
        <v>2968</v>
      </c>
      <c r="Z253" s="1102" t="s">
        <v>2969</v>
      </c>
      <c r="AA253" s="1103" t="s">
        <v>1942</v>
      </c>
      <c r="AB253" s="1104">
        <v>0.25</v>
      </c>
      <c r="AC253" s="1104" t="s">
        <v>1942</v>
      </c>
      <c r="AD253" s="1104" t="s">
        <v>1942</v>
      </c>
      <c r="AE253" s="1104">
        <v>0.75</v>
      </c>
      <c r="AF253" s="1104" t="s">
        <v>1942</v>
      </c>
      <c r="AG253" s="1104" t="s">
        <v>1942</v>
      </c>
      <c r="AH253" s="1104" t="s">
        <v>1942</v>
      </c>
      <c r="AI253" s="1105">
        <f t="shared" si="3"/>
        <v>1</v>
      </c>
      <c r="AJ253" s="1106" t="s">
        <v>1007</v>
      </c>
      <c r="AK253" s="1106" t="s">
        <v>1942</v>
      </c>
      <c r="AL253" s="1106" t="s">
        <v>1942</v>
      </c>
      <c r="AM253" s="1107" t="s">
        <v>1947</v>
      </c>
      <c r="AN253" s="1018" t="s">
        <v>1081</v>
      </c>
      <c r="AO253" s="1018" t="s">
        <v>2955</v>
      </c>
      <c r="AP253" s="1333">
        <v>1</v>
      </c>
      <c r="AQ253" s="1076" t="s">
        <v>1010</v>
      </c>
      <c r="AR253" s="1109" t="s">
        <v>1942</v>
      </c>
      <c r="AS253" s="1110"/>
      <c r="AT253" s="1100"/>
      <c r="AU253" s="1100"/>
      <c r="AV253" s="1100"/>
      <c r="AW253" s="1111"/>
      <c r="AX253" s="1112"/>
      <c r="AY253" s="1075"/>
      <c r="AZ253" s="1076"/>
      <c r="BA253" s="1076"/>
      <c r="BB253" s="1076"/>
      <c r="BC253" s="1076"/>
      <c r="BD253" s="1076"/>
      <c r="BE253" s="1076"/>
      <c r="BF253" s="1076"/>
      <c r="BG253" s="1076"/>
      <c r="BH253" s="1076"/>
      <c r="BI253" s="1420"/>
      <c r="BJ253" s="1368"/>
      <c r="BK253" s="1368"/>
      <c r="BL253" s="1368"/>
      <c r="BM253" s="1368"/>
      <c r="BN253" s="1075"/>
      <c r="BO253" s="1076"/>
      <c r="BP253" s="1076"/>
      <c r="BQ253" s="1076"/>
      <c r="BR253" s="1076"/>
      <c r="BS253" s="1115"/>
      <c r="BT253" s="1076"/>
      <c r="BU253" s="1076"/>
      <c r="BV253" s="1076"/>
      <c r="BW253" s="1116"/>
      <c r="BX253" s="1115"/>
      <c r="BY253" s="1076"/>
      <c r="BZ253" s="1076"/>
      <c r="CA253" s="1076"/>
      <c r="CB253" s="1116"/>
      <c r="CC253" s="1117"/>
      <c r="CD253" s="1376"/>
      <c r="CE253" s="1377"/>
      <c r="CF253" s="1377"/>
      <c r="CG253" s="1377"/>
      <c r="CH253" s="1440"/>
      <c r="CI253" s="1420"/>
      <c r="CJ253" s="1368"/>
      <c r="CK253" s="1368"/>
      <c r="CL253" s="1368"/>
      <c r="CM253" s="1369"/>
      <c r="CN253" s="1420"/>
      <c r="CO253" s="1368"/>
      <c r="CP253" s="1368"/>
      <c r="CQ253" s="1368"/>
      <c r="CR253" s="1369"/>
      <c r="CS253" s="1420"/>
      <c r="CT253" s="1368"/>
      <c r="CU253" s="1368"/>
      <c r="CV253" s="1368"/>
      <c r="CW253" s="1369"/>
      <c r="CX253" s="1420"/>
      <c r="CY253" s="1368"/>
      <c r="CZ253" s="1368"/>
      <c r="DA253" s="1368"/>
      <c r="DB253" s="1369"/>
      <c r="DC253" s="1368"/>
      <c r="DD253" s="1368"/>
      <c r="DE253" s="1368"/>
      <c r="DF253" s="1368"/>
      <c r="DG253" s="1369"/>
      <c r="DH253" s="1420"/>
      <c r="DI253" s="1368"/>
      <c r="DJ253" s="1368"/>
      <c r="DK253" s="1368"/>
      <c r="DL253" s="1369"/>
      <c r="DM253" s="1808"/>
      <c r="DN253" s="1809"/>
      <c r="DO253" s="1809"/>
      <c r="DP253" s="1810"/>
      <c r="DQ253" s="1809"/>
      <c r="DR253" s="1809"/>
      <c r="DS253" s="1809"/>
      <c r="DT253" s="1810"/>
      <c r="DU253" s="1377"/>
      <c r="DV253" s="1729"/>
      <c r="DW253" s="1811"/>
    </row>
    <row r="254" spans="1:127" s="397" customFormat="1" ht="15.75" hidden="1" customHeight="1">
      <c r="A254" s="1097" t="s">
        <v>1075</v>
      </c>
      <c r="B254" s="1057">
        <v>245</v>
      </c>
      <c r="C254" s="1018"/>
      <c r="D254" s="1018"/>
      <c r="E254" s="1018"/>
      <c r="F254" s="1018"/>
      <c r="G254" s="1018"/>
      <c r="H254" s="1018"/>
      <c r="I254" s="1018"/>
      <c r="J254" s="1018"/>
      <c r="K254" s="1018"/>
      <c r="L254" s="1018"/>
      <c r="M254" s="1057"/>
      <c r="N254" s="1018"/>
      <c r="O254" s="1018"/>
      <c r="P254" s="1018"/>
      <c r="Q254" s="1018"/>
      <c r="R254" s="1018"/>
      <c r="S254" s="1018"/>
      <c r="T254" s="1019"/>
      <c r="U254" s="1098" t="s">
        <v>2970</v>
      </c>
      <c r="V254" s="1099" t="s">
        <v>2918</v>
      </c>
      <c r="W254" s="1099" t="s">
        <v>1907</v>
      </c>
      <c r="X254" s="1100" t="s">
        <v>2971</v>
      </c>
      <c r="Y254" s="1101" t="s">
        <v>2972</v>
      </c>
      <c r="Z254" s="1102" t="s">
        <v>2973</v>
      </c>
      <c r="AA254" s="1103" t="s">
        <v>1942</v>
      </c>
      <c r="AB254" s="1104">
        <v>0.25</v>
      </c>
      <c r="AC254" s="1104" t="s">
        <v>1942</v>
      </c>
      <c r="AD254" s="1104" t="s">
        <v>1942</v>
      </c>
      <c r="AE254" s="1104">
        <v>0.75</v>
      </c>
      <c r="AF254" s="1104" t="s">
        <v>1942</v>
      </c>
      <c r="AG254" s="1104" t="s">
        <v>1942</v>
      </c>
      <c r="AH254" s="1104" t="s">
        <v>1942</v>
      </c>
      <c r="AI254" s="1105">
        <f t="shared" si="3"/>
        <v>1</v>
      </c>
      <c r="AJ254" s="1106" t="s">
        <v>1007</v>
      </c>
      <c r="AK254" s="1106" t="s">
        <v>1942</v>
      </c>
      <c r="AL254" s="1106" t="s">
        <v>1942</v>
      </c>
      <c r="AM254" s="1107" t="s">
        <v>1947</v>
      </c>
      <c r="AN254" s="1018" t="s">
        <v>1081</v>
      </c>
      <c r="AO254" s="1018" t="s">
        <v>2955</v>
      </c>
      <c r="AP254" s="1333">
        <v>1</v>
      </c>
      <c r="AQ254" s="1076" t="s">
        <v>1010</v>
      </c>
      <c r="AR254" s="1109" t="s">
        <v>1942</v>
      </c>
      <c r="AS254" s="1110"/>
      <c r="AT254" s="1100"/>
      <c r="AU254" s="1100"/>
      <c r="AV254" s="1100"/>
      <c r="AW254" s="1111"/>
      <c r="AX254" s="1112"/>
      <c r="AY254" s="1075"/>
      <c r="AZ254" s="1076"/>
      <c r="BA254" s="1076"/>
      <c r="BB254" s="1076"/>
      <c r="BC254" s="1076"/>
      <c r="BD254" s="1076"/>
      <c r="BE254" s="1076"/>
      <c r="BF254" s="1076"/>
      <c r="BG254" s="1076"/>
      <c r="BH254" s="1076"/>
      <c r="BI254" s="1420"/>
      <c r="BJ254" s="1368"/>
      <c r="BK254" s="1368"/>
      <c r="BL254" s="1368"/>
      <c r="BM254" s="1368"/>
      <c r="BN254" s="1075"/>
      <c r="BO254" s="1076"/>
      <c r="BP254" s="1076"/>
      <c r="BQ254" s="1076"/>
      <c r="BR254" s="1076"/>
      <c r="BS254" s="1115"/>
      <c r="BT254" s="1076"/>
      <c r="BU254" s="1076"/>
      <c r="BV254" s="1076"/>
      <c r="BW254" s="1116"/>
      <c r="BX254" s="1115"/>
      <c r="BY254" s="1076"/>
      <c r="BZ254" s="1076"/>
      <c r="CA254" s="1076"/>
      <c r="CB254" s="1116"/>
      <c r="CC254" s="1117"/>
      <c r="CD254" s="1376"/>
      <c r="CE254" s="1377"/>
      <c r="CF254" s="1377"/>
      <c r="CG254" s="1377"/>
      <c r="CH254" s="1440"/>
      <c r="CI254" s="1420"/>
      <c r="CJ254" s="1368"/>
      <c r="CK254" s="1368"/>
      <c r="CL254" s="1368"/>
      <c r="CM254" s="1369"/>
      <c r="CN254" s="1420"/>
      <c r="CO254" s="1368"/>
      <c r="CP254" s="1368"/>
      <c r="CQ254" s="1368"/>
      <c r="CR254" s="1369"/>
      <c r="CS254" s="1420"/>
      <c r="CT254" s="1368"/>
      <c r="CU254" s="1368"/>
      <c r="CV254" s="1368"/>
      <c r="CW254" s="1369"/>
      <c r="CX254" s="1420"/>
      <c r="CY254" s="1368"/>
      <c r="CZ254" s="1368"/>
      <c r="DA254" s="1368"/>
      <c r="DB254" s="1369"/>
      <c r="DC254" s="1368"/>
      <c r="DD254" s="1368"/>
      <c r="DE254" s="1368"/>
      <c r="DF254" s="1368"/>
      <c r="DG254" s="1369"/>
      <c r="DH254" s="1420"/>
      <c r="DI254" s="1368"/>
      <c r="DJ254" s="1368"/>
      <c r="DK254" s="1368"/>
      <c r="DL254" s="1369"/>
      <c r="DM254" s="1808"/>
      <c r="DN254" s="1809"/>
      <c r="DO254" s="1809"/>
      <c r="DP254" s="1810"/>
      <c r="DQ254" s="1809"/>
      <c r="DR254" s="1809"/>
      <c r="DS254" s="1809"/>
      <c r="DT254" s="1810"/>
      <c r="DU254" s="1377"/>
      <c r="DV254" s="1729"/>
      <c r="DW254" s="1811"/>
    </row>
    <row r="255" spans="1:127" s="397" customFormat="1" ht="15.75" hidden="1" customHeight="1">
      <c r="A255" s="1097" t="s">
        <v>1075</v>
      </c>
      <c r="B255" s="1057">
        <v>246</v>
      </c>
      <c r="C255" s="1018"/>
      <c r="D255" s="1018"/>
      <c r="E255" s="1018"/>
      <c r="F255" s="1018"/>
      <c r="G255" s="1018"/>
      <c r="H255" s="1018"/>
      <c r="I255" s="1018"/>
      <c r="J255" s="1018"/>
      <c r="K255" s="1018"/>
      <c r="L255" s="1018"/>
      <c r="M255" s="1057"/>
      <c r="N255" s="1018"/>
      <c r="O255" s="1018"/>
      <c r="P255" s="1018"/>
      <c r="Q255" s="1018"/>
      <c r="R255" s="1018"/>
      <c r="S255" s="1018"/>
      <c r="T255" s="1019"/>
      <c r="U255" s="1098" t="s">
        <v>2974</v>
      </c>
      <c r="V255" s="1099" t="s">
        <v>2918</v>
      </c>
      <c r="W255" s="1099" t="s">
        <v>1907</v>
      </c>
      <c r="X255" s="1100" t="s">
        <v>2975</v>
      </c>
      <c r="Y255" s="1101" t="s">
        <v>2976</v>
      </c>
      <c r="Z255" s="1102" t="s">
        <v>2977</v>
      </c>
      <c r="AA255" s="1103" t="s">
        <v>1942</v>
      </c>
      <c r="AB255" s="1104" t="s">
        <v>1942</v>
      </c>
      <c r="AC255" s="1104" t="s">
        <v>1942</v>
      </c>
      <c r="AD255" s="1104" t="s">
        <v>1942</v>
      </c>
      <c r="AE255" s="1104">
        <v>1</v>
      </c>
      <c r="AF255" s="1104" t="s">
        <v>1942</v>
      </c>
      <c r="AG255" s="1104" t="s">
        <v>1942</v>
      </c>
      <c r="AH255" s="1104" t="s">
        <v>1942</v>
      </c>
      <c r="AI255" s="1105">
        <f t="shared" si="3"/>
        <v>1</v>
      </c>
      <c r="AJ255" s="1106" t="s">
        <v>1007</v>
      </c>
      <c r="AK255" s="1106" t="s">
        <v>1942</v>
      </c>
      <c r="AL255" s="1106" t="s">
        <v>1942</v>
      </c>
      <c r="AM255" s="1107" t="s">
        <v>2117</v>
      </c>
      <c r="AN255" s="1018" t="s">
        <v>1081</v>
      </c>
      <c r="AO255" s="1018" t="s">
        <v>2955</v>
      </c>
      <c r="AP255" s="1333">
        <v>1</v>
      </c>
      <c r="AQ255" s="1076" t="s">
        <v>1010</v>
      </c>
      <c r="AR255" s="1109" t="s">
        <v>1942</v>
      </c>
      <c r="AS255" s="1110"/>
      <c r="AT255" s="1100"/>
      <c r="AU255" s="1100"/>
      <c r="AV255" s="1100"/>
      <c r="AW255" s="1111"/>
      <c r="AX255" s="1112"/>
      <c r="AY255" s="1075"/>
      <c r="AZ255" s="1076"/>
      <c r="BA255" s="1076"/>
      <c r="BB255" s="1076"/>
      <c r="BC255" s="1076"/>
      <c r="BD255" s="1076"/>
      <c r="BE255" s="1076"/>
      <c r="BF255" s="1076"/>
      <c r="BG255" s="1076"/>
      <c r="BH255" s="1076"/>
      <c r="BI255" s="1420"/>
      <c r="BJ255" s="1368"/>
      <c r="BK255" s="1368"/>
      <c r="BL255" s="1368"/>
      <c r="BM255" s="1368"/>
      <c r="BN255" s="1075"/>
      <c r="BO255" s="1076"/>
      <c r="BP255" s="1076"/>
      <c r="BQ255" s="1076"/>
      <c r="BR255" s="1076"/>
      <c r="BS255" s="1115"/>
      <c r="BT255" s="1076"/>
      <c r="BU255" s="1076"/>
      <c r="BV255" s="1076"/>
      <c r="BW255" s="1116"/>
      <c r="BX255" s="1115"/>
      <c r="BY255" s="1076"/>
      <c r="BZ255" s="1076"/>
      <c r="CA255" s="1076"/>
      <c r="CB255" s="1116"/>
      <c r="CC255" s="1117"/>
      <c r="CD255" s="1376"/>
      <c r="CE255" s="1377"/>
      <c r="CF255" s="1377"/>
      <c r="CG255" s="1377"/>
      <c r="CH255" s="1440"/>
      <c r="CI255" s="1420"/>
      <c r="CJ255" s="1368"/>
      <c r="CK255" s="1368"/>
      <c r="CL255" s="1368"/>
      <c r="CM255" s="1369"/>
      <c r="CN255" s="1420"/>
      <c r="CO255" s="1368"/>
      <c r="CP255" s="1368"/>
      <c r="CQ255" s="1368"/>
      <c r="CR255" s="1369"/>
      <c r="CS255" s="1420"/>
      <c r="CT255" s="1368"/>
      <c r="CU255" s="1368"/>
      <c r="CV255" s="1368"/>
      <c r="CW255" s="1369"/>
      <c r="CX255" s="1420"/>
      <c r="CY255" s="1368"/>
      <c r="CZ255" s="1368"/>
      <c r="DA255" s="1368"/>
      <c r="DB255" s="1369"/>
      <c r="DC255" s="1368"/>
      <c r="DD255" s="1368"/>
      <c r="DE255" s="1368"/>
      <c r="DF255" s="1368"/>
      <c r="DG255" s="1369"/>
      <c r="DH255" s="1420"/>
      <c r="DI255" s="1368"/>
      <c r="DJ255" s="1368"/>
      <c r="DK255" s="1368"/>
      <c r="DL255" s="1369"/>
      <c r="DM255" s="1808"/>
      <c r="DN255" s="1809"/>
      <c r="DO255" s="1809"/>
      <c r="DP255" s="1810"/>
      <c r="DQ255" s="1809"/>
      <c r="DR255" s="1809"/>
      <c r="DS255" s="1809"/>
      <c r="DT255" s="1810"/>
      <c r="DU255" s="1377"/>
      <c r="DV255" s="1729"/>
      <c r="DW255" s="1811"/>
    </row>
    <row r="256" spans="1:127" s="397" customFormat="1" ht="15.75" hidden="1" customHeight="1">
      <c r="A256" s="1097" t="s">
        <v>1075</v>
      </c>
      <c r="B256" s="1057">
        <v>247</v>
      </c>
      <c r="C256" s="1018"/>
      <c r="D256" s="1018"/>
      <c r="E256" s="1018"/>
      <c r="F256" s="1018"/>
      <c r="G256" s="1018"/>
      <c r="H256" s="1018"/>
      <c r="I256" s="1018"/>
      <c r="J256" s="1018"/>
      <c r="K256" s="1018"/>
      <c r="L256" s="1018"/>
      <c r="M256" s="1057"/>
      <c r="N256" s="1018"/>
      <c r="O256" s="1018"/>
      <c r="P256" s="1018"/>
      <c r="Q256" s="1018"/>
      <c r="R256" s="1018"/>
      <c r="S256" s="1018"/>
      <c r="T256" s="1019"/>
      <c r="U256" s="1098" t="s">
        <v>2978</v>
      </c>
      <c r="V256" s="1099" t="s">
        <v>2918</v>
      </c>
      <c r="W256" s="1099" t="s">
        <v>1907</v>
      </c>
      <c r="X256" s="1100" t="s">
        <v>2979</v>
      </c>
      <c r="Y256" s="1101" t="s">
        <v>2980</v>
      </c>
      <c r="Z256" s="1102" t="s">
        <v>2981</v>
      </c>
      <c r="AA256" s="1103" t="s">
        <v>1942</v>
      </c>
      <c r="AB256" s="1104">
        <v>0.5</v>
      </c>
      <c r="AC256" s="1104" t="s">
        <v>1942</v>
      </c>
      <c r="AD256" s="1104" t="s">
        <v>1942</v>
      </c>
      <c r="AE256" s="1104">
        <v>0.5</v>
      </c>
      <c r="AF256" s="1104" t="s">
        <v>1942</v>
      </c>
      <c r="AG256" s="1104" t="s">
        <v>1942</v>
      </c>
      <c r="AH256" s="1104" t="s">
        <v>1942</v>
      </c>
      <c r="AI256" s="1105">
        <f t="shared" si="3"/>
        <v>1</v>
      </c>
      <c r="AJ256" s="1106" t="s">
        <v>1007</v>
      </c>
      <c r="AK256" s="1106" t="s">
        <v>1942</v>
      </c>
      <c r="AL256" s="1106" t="s">
        <v>1942</v>
      </c>
      <c r="AM256" s="1107" t="s">
        <v>2117</v>
      </c>
      <c r="AN256" s="1018" t="s">
        <v>1081</v>
      </c>
      <c r="AO256" s="1018" t="s">
        <v>2955</v>
      </c>
      <c r="AP256" s="1333">
        <v>1</v>
      </c>
      <c r="AQ256" s="1076" t="s">
        <v>1010</v>
      </c>
      <c r="AR256" s="1109" t="s">
        <v>1942</v>
      </c>
      <c r="AS256" s="1110"/>
      <c r="AT256" s="1100"/>
      <c r="AU256" s="1100"/>
      <c r="AV256" s="1100"/>
      <c r="AW256" s="1111"/>
      <c r="AX256" s="1112"/>
      <c r="AY256" s="1075"/>
      <c r="AZ256" s="1076"/>
      <c r="BA256" s="1076"/>
      <c r="BB256" s="1076"/>
      <c r="BC256" s="1076"/>
      <c r="BD256" s="1076"/>
      <c r="BE256" s="1076"/>
      <c r="BF256" s="1076"/>
      <c r="BG256" s="1076"/>
      <c r="BH256" s="1076"/>
      <c r="BI256" s="1420"/>
      <c r="BJ256" s="1368"/>
      <c r="BK256" s="1368"/>
      <c r="BL256" s="1368"/>
      <c r="BM256" s="1368"/>
      <c r="BN256" s="1075"/>
      <c r="BO256" s="1076"/>
      <c r="BP256" s="1076"/>
      <c r="BQ256" s="1076"/>
      <c r="BR256" s="1076"/>
      <c r="BS256" s="1115"/>
      <c r="BT256" s="1076"/>
      <c r="BU256" s="1076"/>
      <c r="BV256" s="1076"/>
      <c r="BW256" s="1116"/>
      <c r="BX256" s="1115"/>
      <c r="BY256" s="1076"/>
      <c r="BZ256" s="1076"/>
      <c r="CA256" s="1076"/>
      <c r="CB256" s="1116"/>
      <c r="CC256" s="1117"/>
      <c r="CD256" s="1376"/>
      <c r="CE256" s="1377"/>
      <c r="CF256" s="1377"/>
      <c r="CG256" s="1377"/>
      <c r="CH256" s="1440"/>
      <c r="CI256" s="1420"/>
      <c r="CJ256" s="1368"/>
      <c r="CK256" s="1368"/>
      <c r="CL256" s="1368"/>
      <c r="CM256" s="1369"/>
      <c r="CN256" s="1420"/>
      <c r="CO256" s="1368"/>
      <c r="CP256" s="1368"/>
      <c r="CQ256" s="1368"/>
      <c r="CR256" s="1369"/>
      <c r="CS256" s="1420"/>
      <c r="CT256" s="1368"/>
      <c r="CU256" s="1368"/>
      <c r="CV256" s="1368"/>
      <c r="CW256" s="1369"/>
      <c r="CX256" s="1420"/>
      <c r="CY256" s="1368"/>
      <c r="CZ256" s="1368"/>
      <c r="DA256" s="1368"/>
      <c r="DB256" s="1369"/>
      <c r="DC256" s="1368"/>
      <c r="DD256" s="1368"/>
      <c r="DE256" s="1368"/>
      <c r="DF256" s="1368"/>
      <c r="DG256" s="1369"/>
      <c r="DH256" s="1420"/>
      <c r="DI256" s="1368"/>
      <c r="DJ256" s="1368"/>
      <c r="DK256" s="1368"/>
      <c r="DL256" s="1369"/>
      <c r="DM256" s="1808"/>
      <c r="DN256" s="1809"/>
      <c r="DO256" s="1809"/>
      <c r="DP256" s="1810"/>
      <c r="DQ256" s="1809"/>
      <c r="DR256" s="1809"/>
      <c r="DS256" s="1809"/>
      <c r="DT256" s="1810"/>
      <c r="DU256" s="1377"/>
      <c r="DV256" s="1729"/>
      <c r="DW256" s="1811"/>
    </row>
    <row r="257" spans="1:127" s="397" customFormat="1" ht="15.75" hidden="1" customHeight="1">
      <c r="A257" s="1097" t="s">
        <v>1075</v>
      </c>
      <c r="B257" s="1057">
        <v>248</v>
      </c>
      <c r="C257" s="1018"/>
      <c r="D257" s="1018"/>
      <c r="E257" s="1018"/>
      <c r="F257" s="1018"/>
      <c r="G257" s="1018"/>
      <c r="H257" s="1018"/>
      <c r="I257" s="1018"/>
      <c r="J257" s="1018"/>
      <c r="K257" s="1018"/>
      <c r="L257" s="1018"/>
      <c r="M257" s="1057"/>
      <c r="N257" s="1018"/>
      <c r="O257" s="1018"/>
      <c r="P257" s="1018"/>
      <c r="Q257" s="1018"/>
      <c r="R257" s="1018"/>
      <c r="S257" s="1018"/>
      <c r="T257" s="1019"/>
      <c r="U257" s="1098" t="s">
        <v>2982</v>
      </c>
      <c r="V257" s="1099" t="s">
        <v>2918</v>
      </c>
      <c r="W257" s="1099" t="s">
        <v>1907</v>
      </c>
      <c r="X257" s="1100" t="s">
        <v>2983</v>
      </c>
      <c r="Y257" s="1101" t="s">
        <v>2984</v>
      </c>
      <c r="Z257" s="1102" t="s">
        <v>2985</v>
      </c>
      <c r="AA257" s="1103" t="s">
        <v>1942</v>
      </c>
      <c r="AB257" s="1104">
        <v>0.5</v>
      </c>
      <c r="AC257" s="1104" t="s">
        <v>1942</v>
      </c>
      <c r="AD257" s="1104" t="s">
        <v>1942</v>
      </c>
      <c r="AE257" s="1104">
        <v>0.5</v>
      </c>
      <c r="AF257" s="1104" t="s">
        <v>1942</v>
      </c>
      <c r="AG257" s="1104" t="s">
        <v>1942</v>
      </c>
      <c r="AH257" s="1104" t="s">
        <v>1942</v>
      </c>
      <c r="AI257" s="1105">
        <f t="shared" si="3"/>
        <v>1</v>
      </c>
      <c r="AJ257" s="1106" t="s">
        <v>1007</v>
      </c>
      <c r="AK257" s="1106" t="s">
        <v>1942</v>
      </c>
      <c r="AL257" s="1106" t="s">
        <v>1942</v>
      </c>
      <c r="AM257" s="1107" t="s">
        <v>2117</v>
      </c>
      <c r="AN257" s="856" t="s">
        <v>1081</v>
      </c>
      <c r="AO257" s="1350" t="s">
        <v>2986</v>
      </c>
      <c r="AP257" s="1333">
        <v>1</v>
      </c>
      <c r="AQ257" s="1076" t="s">
        <v>1010</v>
      </c>
      <c r="AR257" s="1109" t="s">
        <v>1942</v>
      </c>
      <c r="AS257" s="1110"/>
      <c r="AT257" s="1100"/>
      <c r="AU257" s="1100"/>
      <c r="AV257" s="1100"/>
      <c r="AW257" s="1111"/>
      <c r="AX257" s="1112"/>
      <c r="AY257" s="1075"/>
      <c r="AZ257" s="1076"/>
      <c r="BA257" s="1076"/>
      <c r="BB257" s="1076"/>
      <c r="BC257" s="1076"/>
      <c r="BD257" s="1076"/>
      <c r="BE257" s="1076"/>
      <c r="BF257" s="1076"/>
      <c r="BG257" s="1076"/>
      <c r="BH257" s="1076"/>
      <c r="BI257" s="1420"/>
      <c r="BJ257" s="1368"/>
      <c r="BK257" s="1368"/>
      <c r="BL257" s="1368"/>
      <c r="BM257" s="1368"/>
      <c r="BN257" s="1075"/>
      <c r="BO257" s="1076"/>
      <c r="BP257" s="1076"/>
      <c r="BQ257" s="1076"/>
      <c r="BR257" s="1076"/>
      <c r="BS257" s="1115"/>
      <c r="BT257" s="1076"/>
      <c r="BU257" s="1076"/>
      <c r="BV257" s="1076"/>
      <c r="BW257" s="1116"/>
      <c r="BX257" s="1115"/>
      <c r="BY257" s="1076"/>
      <c r="BZ257" s="1076"/>
      <c r="CA257" s="1076"/>
      <c r="CB257" s="1116"/>
      <c r="CC257" s="1117"/>
      <c r="CD257" s="1376"/>
      <c r="CE257" s="1377"/>
      <c r="CF257" s="1377"/>
      <c r="CG257" s="1377"/>
      <c r="CH257" s="1440"/>
      <c r="CI257" s="1420"/>
      <c r="CJ257" s="1368"/>
      <c r="CK257" s="1368"/>
      <c r="CL257" s="1368"/>
      <c r="CM257" s="1369"/>
      <c r="CN257" s="1420"/>
      <c r="CO257" s="1368"/>
      <c r="CP257" s="1368"/>
      <c r="CQ257" s="1368"/>
      <c r="CR257" s="1369"/>
      <c r="CS257" s="1420"/>
      <c r="CT257" s="1368"/>
      <c r="CU257" s="1368"/>
      <c r="CV257" s="1368"/>
      <c r="CW257" s="1369"/>
      <c r="CX257" s="1420"/>
      <c r="CY257" s="1368"/>
      <c r="CZ257" s="1368"/>
      <c r="DA257" s="1368"/>
      <c r="DB257" s="1369"/>
      <c r="DC257" s="1368"/>
      <c r="DD257" s="1368"/>
      <c r="DE257" s="1368"/>
      <c r="DF257" s="1368"/>
      <c r="DG257" s="1369"/>
      <c r="DH257" s="1420"/>
      <c r="DI257" s="1368"/>
      <c r="DJ257" s="1368"/>
      <c r="DK257" s="1368"/>
      <c r="DL257" s="1369"/>
      <c r="DM257" s="1808"/>
      <c r="DN257" s="1809"/>
      <c r="DO257" s="1809"/>
      <c r="DP257" s="1810"/>
      <c r="DQ257" s="1809"/>
      <c r="DR257" s="1809"/>
      <c r="DS257" s="1809"/>
      <c r="DT257" s="1810"/>
      <c r="DU257" s="1377"/>
      <c r="DV257" s="1729"/>
      <c r="DW257" s="1811"/>
    </row>
    <row r="258" spans="1:127" s="397" customFormat="1" ht="15.75" hidden="1" customHeight="1">
      <c r="A258" s="1097" t="s">
        <v>1075</v>
      </c>
      <c r="B258" s="1057">
        <v>249</v>
      </c>
      <c r="C258" s="1018"/>
      <c r="D258" s="1018"/>
      <c r="E258" s="1018"/>
      <c r="F258" s="1018"/>
      <c r="G258" s="1018"/>
      <c r="H258" s="1018"/>
      <c r="I258" s="1018"/>
      <c r="J258" s="1018"/>
      <c r="K258" s="1018"/>
      <c r="L258" s="1018"/>
      <c r="M258" s="1057"/>
      <c r="N258" s="1018"/>
      <c r="O258" s="1018"/>
      <c r="P258" s="1018"/>
      <c r="Q258" s="1018"/>
      <c r="R258" s="1018"/>
      <c r="S258" s="1018"/>
      <c r="T258" s="1019"/>
      <c r="U258" s="1098" t="s">
        <v>2987</v>
      </c>
      <c r="V258" s="1099" t="s">
        <v>2926</v>
      </c>
      <c r="W258" s="1099" t="s">
        <v>1889</v>
      </c>
      <c r="X258" s="1100" t="s">
        <v>2826</v>
      </c>
      <c r="Y258" s="1101" t="s">
        <v>2988</v>
      </c>
      <c r="Z258" s="1102" t="s">
        <v>2989</v>
      </c>
      <c r="AA258" s="1103">
        <v>0.2</v>
      </c>
      <c r="AB258" s="1104">
        <v>0.8</v>
      </c>
      <c r="AC258" s="1104" t="s">
        <v>1942</v>
      </c>
      <c r="AD258" s="1104" t="s">
        <v>1942</v>
      </c>
      <c r="AE258" s="1104" t="s">
        <v>1942</v>
      </c>
      <c r="AF258" s="1104" t="s">
        <v>1942</v>
      </c>
      <c r="AG258" s="1104" t="s">
        <v>1942</v>
      </c>
      <c r="AH258" s="1104" t="s">
        <v>1942</v>
      </c>
      <c r="AI258" s="1105">
        <f t="shared" si="3"/>
        <v>1</v>
      </c>
      <c r="AJ258" s="1106" t="s">
        <v>1030</v>
      </c>
      <c r="AK258" s="1106" t="s">
        <v>1008</v>
      </c>
      <c r="AL258" s="1106" t="s">
        <v>1009</v>
      </c>
      <c r="AM258" s="1107" t="s">
        <v>2149</v>
      </c>
      <c r="AN258" s="1018" t="s">
        <v>396</v>
      </c>
      <c r="AO258" s="1018" t="s">
        <v>4798</v>
      </c>
      <c r="AP258" s="1307">
        <v>2</v>
      </c>
      <c r="AQ258" s="1076" t="s">
        <v>1020</v>
      </c>
      <c r="AR258" s="1109"/>
      <c r="AS258" s="1110"/>
      <c r="AT258" s="1100"/>
      <c r="AU258" s="1100"/>
      <c r="AV258" s="1100"/>
      <c r="AW258" s="1111"/>
      <c r="AX258" s="1112"/>
      <c r="AY258" s="1075"/>
      <c r="AZ258" s="1076"/>
      <c r="BA258" s="1076"/>
      <c r="BB258" s="1076"/>
      <c r="BC258" s="1076"/>
      <c r="BD258" s="1076"/>
      <c r="BE258" s="1076"/>
      <c r="BF258" s="1076"/>
      <c r="BG258" s="1076"/>
      <c r="BH258" s="1076"/>
      <c r="BI258" s="1420"/>
      <c r="BJ258" s="1368"/>
      <c r="BK258" s="1368"/>
      <c r="BL258" s="1368"/>
      <c r="BM258" s="1368"/>
      <c r="BN258" s="1075"/>
      <c r="BO258" s="1076"/>
      <c r="BP258" s="1076"/>
      <c r="BQ258" s="1076"/>
      <c r="BR258" s="1076"/>
      <c r="BS258" s="1115"/>
      <c r="BT258" s="1076"/>
      <c r="BU258" s="1076"/>
      <c r="BV258" s="1076"/>
      <c r="BW258" s="1116"/>
      <c r="BX258" s="1115"/>
      <c r="BY258" s="1076"/>
      <c r="BZ258" s="1076"/>
      <c r="CA258" s="1076"/>
      <c r="CB258" s="1116"/>
      <c r="CC258" s="1117"/>
      <c r="CD258" s="1376"/>
      <c r="CE258" s="1377"/>
      <c r="CF258" s="1377"/>
      <c r="CG258" s="1377"/>
      <c r="CH258" s="1440"/>
      <c r="CI258" s="1420"/>
      <c r="CJ258" s="1368"/>
      <c r="CK258" s="1368"/>
      <c r="CL258" s="1368"/>
      <c r="CM258" s="1369"/>
      <c r="CN258" s="1420"/>
      <c r="CO258" s="1368"/>
      <c r="CP258" s="1368"/>
      <c r="CQ258" s="1368"/>
      <c r="CR258" s="1369"/>
      <c r="CS258" s="1420"/>
      <c r="CT258" s="1368"/>
      <c r="CU258" s="1368"/>
      <c r="CV258" s="1368"/>
      <c r="CW258" s="1369"/>
      <c r="CX258" s="1420"/>
      <c r="CY258" s="1368"/>
      <c r="CZ258" s="1368"/>
      <c r="DA258" s="1368"/>
      <c r="DB258" s="1369"/>
      <c r="DC258" s="1368"/>
      <c r="DD258" s="1368"/>
      <c r="DE258" s="1368"/>
      <c r="DF258" s="1368"/>
      <c r="DG258" s="1369"/>
      <c r="DH258" s="1420"/>
      <c r="DI258" s="1368"/>
      <c r="DJ258" s="1368"/>
      <c r="DK258" s="1368"/>
      <c r="DL258" s="1369"/>
      <c r="DM258" s="1808"/>
      <c r="DN258" s="1809"/>
      <c r="DO258" s="1809"/>
      <c r="DP258" s="1810"/>
      <c r="DQ258" s="1809"/>
      <c r="DR258" s="1809"/>
      <c r="DS258" s="1809"/>
      <c r="DT258" s="1810"/>
      <c r="DU258" s="1377"/>
      <c r="DV258" s="1729"/>
      <c r="DW258" s="1811"/>
    </row>
    <row r="259" spans="1:127" s="397" customFormat="1" ht="15.75" hidden="1" customHeight="1">
      <c r="A259" s="1097" t="s">
        <v>1075</v>
      </c>
      <c r="B259" s="1057">
        <v>250</v>
      </c>
      <c r="C259" s="1018"/>
      <c r="D259" s="1018"/>
      <c r="E259" s="1018"/>
      <c r="F259" s="1018"/>
      <c r="G259" s="1018"/>
      <c r="H259" s="1018"/>
      <c r="I259" s="1018"/>
      <c r="J259" s="1018"/>
      <c r="K259" s="1018"/>
      <c r="L259" s="1018"/>
      <c r="M259" s="1057"/>
      <c r="N259" s="1018"/>
      <c r="O259" s="1018"/>
      <c r="P259" s="1018"/>
      <c r="Q259" s="1018"/>
      <c r="R259" s="1018"/>
      <c r="S259" s="1018"/>
      <c r="T259" s="1019"/>
      <c r="U259" s="1098" t="s">
        <v>2991</v>
      </c>
      <c r="V259" s="1099" t="s">
        <v>2926</v>
      </c>
      <c r="W259" s="1099" t="s">
        <v>1907</v>
      </c>
      <c r="X259" s="1100" t="s">
        <v>2828</v>
      </c>
      <c r="Y259" s="1101" t="s">
        <v>2992</v>
      </c>
      <c r="Z259" s="1102" t="s">
        <v>2993</v>
      </c>
      <c r="AA259" s="1103">
        <v>0.2</v>
      </c>
      <c r="AB259" s="1104">
        <v>0.8</v>
      </c>
      <c r="AC259" s="1104" t="s">
        <v>1942</v>
      </c>
      <c r="AD259" s="1104" t="s">
        <v>1942</v>
      </c>
      <c r="AE259" s="1104" t="s">
        <v>1942</v>
      </c>
      <c r="AF259" s="1104" t="s">
        <v>1942</v>
      </c>
      <c r="AG259" s="1104" t="s">
        <v>1942</v>
      </c>
      <c r="AH259" s="1104" t="s">
        <v>1942</v>
      </c>
      <c r="AI259" s="1105">
        <f t="shared" si="3"/>
        <v>1</v>
      </c>
      <c r="AJ259" s="1106" t="s">
        <v>1030</v>
      </c>
      <c r="AK259" s="1106" t="s">
        <v>1008</v>
      </c>
      <c r="AL259" s="1106" t="s">
        <v>1009</v>
      </c>
      <c r="AM259" s="1107" t="s">
        <v>2149</v>
      </c>
      <c r="AN259" s="1018" t="s">
        <v>396</v>
      </c>
      <c r="AO259" s="1018" t="s">
        <v>4798</v>
      </c>
      <c r="AP259" s="1307">
        <v>2</v>
      </c>
      <c r="AQ259" s="1076" t="s">
        <v>1020</v>
      </c>
      <c r="AR259" s="1109"/>
      <c r="AS259" s="1110"/>
      <c r="AT259" s="1100"/>
      <c r="AU259" s="1100"/>
      <c r="AV259" s="1100"/>
      <c r="AW259" s="1111"/>
      <c r="AX259" s="1112"/>
      <c r="AY259" s="1075"/>
      <c r="AZ259" s="1076"/>
      <c r="BA259" s="1076"/>
      <c r="BB259" s="1076"/>
      <c r="BC259" s="1076"/>
      <c r="BD259" s="1076"/>
      <c r="BE259" s="1076"/>
      <c r="BF259" s="1076"/>
      <c r="BG259" s="1076"/>
      <c r="BH259" s="1076"/>
      <c r="BI259" s="1420"/>
      <c r="BJ259" s="1368"/>
      <c r="BK259" s="1368"/>
      <c r="BL259" s="1368"/>
      <c r="BM259" s="1368"/>
      <c r="BN259" s="1075"/>
      <c r="BO259" s="1076"/>
      <c r="BP259" s="1076"/>
      <c r="BQ259" s="1076"/>
      <c r="BR259" s="1076"/>
      <c r="BS259" s="1115"/>
      <c r="BT259" s="1076"/>
      <c r="BU259" s="1076"/>
      <c r="BV259" s="1076"/>
      <c r="BW259" s="1116"/>
      <c r="BX259" s="1115"/>
      <c r="BY259" s="1076"/>
      <c r="BZ259" s="1076"/>
      <c r="CA259" s="1076"/>
      <c r="CB259" s="1116"/>
      <c r="CC259" s="1117"/>
      <c r="CD259" s="1376"/>
      <c r="CE259" s="1377"/>
      <c r="CF259" s="1377"/>
      <c r="CG259" s="1377"/>
      <c r="CH259" s="1440"/>
      <c r="CI259" s="1420"/>
      <c r="CJ259" s="1368"/>
      <c r="CK259" s="1368"/>
      <c r="CL259" s="1368"/>
      <c r="CM259" s="1369"/>
      <c r="CN259" s="1420"/>
      <c r="CO259" s="1368"/>
      <c r="CP259" s="1368"/>
      <c r="CQ259" s="1368"/>
      <c r="CR259" s="1369"/>
      <c r="CS259" s="1420"/>
      <c r="CT259" s="1368"/>
      <c r="CU259" s="1368"/>
      <c r="CV259" s="1368"/>
      <c r="CW259" s="1369"/>
      <c r="CX259" s="1420"/>
      <c r="CY259" s="1368"/>
      <c r="CZ259" s="1368"/>
      <c r="DA259" s="1368"/>
      <c r="DB259" s="1369"/>
      <c r="DC259" s="1368"/>
      <c r="DD259" s="1368"/>
      <c r="DE259" s="1368"/>
      <c r="DF259" s="1368"/>
      <c r="DG259" s="1369"/>
      <c r="DH259" s="1420"/>
      <c r="DI259" s="1368"/>
      <c r="DJ259" s="1368"/>
      <c r="DK259" s="1368"/>
      <c r="DL259" s="1369"/>
      <c r="DM259" s="1808"/>
      <c r="DN259" s="1809"/>
      <c r="DO259" s="1809"/>
      <c r="DP259" s="1810"/>
      <c r="DQ259" s="1809"/>
      <c r="DR259" s="1809"/>
      <c r="DS259" s="1809"/>
      <c r="DT259" s="1810"/>
      <c r="DU259" s="1377"/>
      <c r="DV259" s="1729"/>
      <c r="DW259" s="1811"/>
    </row>
    <row r="260" spans="1:127" s="397" customFormat="1" ht="15.75" hidden="1" customHeight="1">
      <c r="A260" s="1097" t="s">
        <v>1075</v>
      </c>
      <c r="B260" s="1057">
        <v>251</v>
      </c>
      <c r="C260" s="1018"/>
      <c r="D260" s="1018"/>
      <c r="E260" s="1018"/>
      <c r="F260" s="1018"/>
      <c r="G260" s="1018"/>
      <c r="H260" s="1018"/>
      <c r="I260" s="1018"/>
      <c r="J260" s="1018"/>
      <c r="K260" s="1018"/>
      <c r="L260" s="1018"/>
      <c r="M260" s="1057"/>
      <c r="N260" s="1018"/>
      <c r="O260" s="1018"/>
      <c r="P260" s="1018"/>
      <c r="Q260" s="1018"/>
      <c r="R260" s="1018"/>
      <c r="S260" s="1018"/>
      <c r="T260" s="1019"/>
      <c r="U260" s="1098" t="s">
        <v>2994</v>
      </c>
      <c r="V260" s="1099" t="s">
        <v>2995</v>
      </c>
      <c r="W260" s="1099" t="s">
        <v>1907</v>
      </c>
      <c r="X260" s="1100" t="s">
        <v>2996</v>
      </c>
      <c r="Y260" s="1101" t="s">
        <v>2997</v>
      </c>
      <c r="Z260" s="1102" t="s">
        <v>2998</v>
      </c>
      <c r="AA260" s="1103" t="s">
        <v>1942</v>
      </c>
      <c r="AB260" s="1104">
        <v>0.1</v>
      </c>
      <c r="AC260" s="1104" t="s">
        <v>1942</v>
      </c>
      <c r="AD260" s="1104" t="s">
        <v>1942</v>
      </c>
      <c r="AE260" s="1104">
        <v>0.9</v>
      </c>
      <c r="AF260" s="1104" t="s">
        <v>1942</v>
      </c>
      <c r="AG260" s="1104" t="s">
        <v>1942</v>
      </c>
      <c r="AH260" s="1104" t="s">
        <v>1942</v>
      </c>
      <c r="AI260" s="1105">
        <f t="shared" si="3"/>
        <v>1</v>
      </c>
      <c r="AJ260" s="1106" t="s">
        <v>1007</v>
      </c>
      <c r="AK260" s="1106" t="s">
        <v>1942</v>
      </c>
      <c r="AL260" s="1106" t="s">
        <v>1942</v>
      </c>
      <c r="AM260" s="1107" t="s">
        <v>2117</v>
      </c>
      <c r="AN260" s="1018" t="s">
        <v>1033</v>
      </c>
      <c r="AO260" s="1018" t="s">
        <v>2839</v>
      </c>
      <c r="AP260" s="1333">
        <v>0</v>
      </c>
      <c r="AQ260" s="1076" t="s">
        <v>1010</v>
      </c>
      <c r="AR260" s="1109" t="s">
        <v>1942</v>
      </c>
      <c r="AS260" s="1110"/>
      <c r="AT260" s="1100"/>
      <c r="AU260" s="1100"/>
      <c r="AV260" s="1100"/>
      <c r="AW260" s="1111"/>
      <c r="AX260" s="1112"/>
      <c r="AY260" s="1075"/>
      <c r="AZ260" s="1076"/>
      <c r="BA260" s="1076"/>
      <c r="BB260" s="1076"/>
      <c r="BC260" s="1076"/>
      <c r="BD260" s="1076"/>
      <c r="BE260" s="1076"/>
      <c r="BF260" s="1076"/>
      <c r="BG260" s="1076"/>
      <c r="BH260" s="1076"/>
      <c r="BI260" s="1420"/>
      <c r="BJ260" s="1368"/>
      <c r="BK260" s="1368"/>
      <c r="BL260" s="1368"/>
      <c r="BM260" s="1368"/>
      <c r="BN260" s="1075"/>
      <c r="BO260" s="1076"/>
      <c r="BP260" s="1076"/>
      <c r="BQ260" s="1076"/>
      <c r="BR260" s="1076"/>
      <c r="BS260" s="1115"/>
      <c r="BT260" s="1076"/>
      <c r="BU260" s="1076"/>
      <c r="BV260" s="1076"/>
      <c r="BW260" s="1116"/>
      <c r="BX260" s="1115"/>
      <c r="BY260" s="1076"/>
      <c r="BZ260" s="1076"/>
      <c r="CA260" s="1076"/>
      <c r="CB260" s="1116"/>
      <c r="CC260" s="1117"/>
      <c r="CD260" s="1376"/>
      <c r="CE260" s="1377"/>
      <c r="CF260" s="1377"/>
      <c r="CG260" s="1377"/>
      <c r="CH260" s="1440"/>
      <c r="CI260" s="1420"/>
      <c r="CJ260" s="1368"/>
      <c r="CK260" s="1368"/>
      <c r="CL260" s="1368"/>
      <c r="CM260" s="1369"/>
      <c r="CN260" s="1420"/>
      <c r="CO260" s="1368"/>
      <c r="CP260" s="1368"/>
      <c r="CQ260" s="1368"/>
      <c r="CR260" s="1369"/>
      <c r="CS260" s="1420"/>
      <c r="CT260" s="1368"/>
      <c r="CU260" s="1368"/>
      <c r="CV260" s="1368"/>
      <c r="CW260" s="1369"/>
      <c r="CX260" s="1420"/>
      <c r="CY260" s="1368"/>
      <c r="CZ260" s="1368"/>
      <c r="DA260" s="1368"/>
      <c r="DB260" s="1369"/>
      <c r="DC260" s="1368"/>
      <c r="DD260" s="1368"/>
      <c r="DE260" s="1368"/>
      <c r="DF260" s="1368"/>
      <c r="DG260" s="1369"/>
      <c r="DH260" s="1420"/>
      <c r="DI260" s="1368"/>
      <c r="DJ260" s="1368"/>
      <c r="DK260" s="1368"/>
      <c r="DL260" s="1369"/>
      <c r="DM260" s="1808"/>
      <c r="DN260" s="1809"/>
      <c r="DO260" s="1809"/>
      <c r="DP260" s="1810"/>
      <c r="DQ260" s="1809"/>
      <c r="DR260" s="1809"/>
      <c r="DS260" s="1809"/>
      <c r="DT260" s="1810"/>
      <c r="DU260" s="1377"/>
      <c r="DV260" s="1729"/>
      <c r="DW260" s="1811"/>
    </row>
    <row r="261" spans="1:127" s="397" customFormat="1" ht="15.75" hidden="1" customHeight="1">
      <c r="A261" s="1097" t="s">
        <v>1075</v>
      </c>
      <c r="B261" s="1057">
        <v>252</v>
      </c>
      <c r="C261" s="1018"/>
      <c r="D261" s="1018"/>
      <c r="E261" s="1018"/>
      <c r="F261" s="1018"/>
      <c r="G261" s="1018"/>
      <c r="H261" s="1018"/>
      <c r="I261" s="1018"/>
      <c r="J261" s="1018"/>
      <c r="K261" s="1018"/>
      <c r="L261" s="1018"/>
      <c r="M261" s="1057"/>
      <c r="N261" s="1018"/>
      <c r="O261" s="1018"/>
      <c r="P261" s="1018"/>
      <c r="Q261" s="1018"/>
      <c r="R261" s="1018"/>
      <c r="S261" s="1018"/>
      <c r="T261" s="1019"/>
      <c r="U261" s="1098" t="s">
        <v>2999</v>
      </c>
      <c r="V261" s="1099" t="s">
        <v>3000</v>
      </c>
      <c r="W261" s="1099" t="s">
        <v>1907</v>
      </c>
      <c r="X261" s="1100" t="s">
        <v>3001</v>
      </c>
      <c r="Y261" s="1101" t="s">
        <v>703</v>
      </c>
      <c r="Z261" s="1102" t="s">
        <v>3002</v>
      </c>
      <c r="AA261" s="1103" t="s">
        <v>1942</v>
      </c>
      <c r="AB261" s="1104">
        <v>0.5</v>
      </c>
      <c r="AC261" s="1104" t="s">
        <v>1942</v>
      </c>
      <c r="AD261" s="1104" t="s">
        <v>1942</v>
      </c>
      <c r="AE261" s="1104">
        <v>0.5</v>
      </c>
      <c r="AF261" s="1104" t="s">
        <v>1942</v>
      </c>
      <c r="AG261" s="1104" t="s">
        <v>1942</v>
      </c>
      <c r="AH261" s="1104" t="s">
        <v>1942</v>
      </c>
      <c r="AI261" s="1105">
        <f t="shared" si="3"/>
        <v>1</v>
      </c>
      <c r="AJ261" s="1106" t="s">
        <v>1007</v>
      </c>
      <c r="AK261" s="1106" t="s">
        <v>1942</v>
      </c>
      <c r="AL261" s="1106" t="s">
        <v>1942</v>
      </c>
      <c r="AM261" s="1107" t="s">
        <v>2117</v>
      </c>
      <c r="AN261" s="1018" t="s">
        <v>278</v>
      </c>
      <c r="AO261" s="1018" t="s">
        <v>4799</v>
      </c>
      <c r="AP261" s="1307">
        <v>1</v>
      </c>
      <c r="AQ261" s="1076" t="s">
        <v>1010</v>
      </c>
      <c r="AR261" s="1109" t="s">
        <v>703</v>
      </c>
      <c r="AS261" s="1110"/>
      <c r="AT261" s="1100"/>
      <c r="AU261" s="1100"/>
      <c r="AV261" s="1100"/>
      <c r="AW261" s="1111"/>
      <c r="AX261" s="1112"/>
      <c r="AY261" s="1075"/>
      <c r="AZ261" s="1076"/>
      <c r="BA261" s="1076"/>
      <c r="BB261" s="1076"/>
      <c r="BC261" s="1076"/>
      <c r="BD261" s="1076"/>
      <c r="BE261" s="1076"/>
      <c r="BF261" s="1076"/>
      <c r="BG261" s="1076"/>
      <c r="BH261" s="1076"/>
      <c r="BI261" s="1075" t="s">
        <v>4844</v>
      </c>
      <c r="BJ261" s="1076" t="s">
        <v>4845</v>
      </c>
      <c r="BK261" s="1076" t="s">
        <v>4822</v>
      </c>
      <c r="BL261" s="1076" t="s">
        <v>4846</v>
      </c>
      <c r="BM261" s="1076" t="s">
        <v>4847</v>
      </c>
      <c r="BN261" s="1075"/>
      <c r="BO261" s="1076"/>
      <c r="BP261" s="1076"/>
      <c r="BQ261" s="1076"/>
      <c r="BR261" s="1076"/>
      <c r="BS261" s="1115"/>
      <c r="BT261" s="1076"/>
      <c r="BU261" s="1076"/>
      <c r="BV261" s="1076"/>
      <c r="BW261" s="1116"/>
      <c r="BX261" s="1115"/>
      <c r="BY261" s="1076"/>
      <c r="BZ261" s="1076"/>
      <c r="CA261" s="1076"/>
      <c r="CB261" s="1116"/>
      <c r="CC261" s="1117"/>
      <c r="CD261" s="1118" t="s">
        <v>1942</v>
      </c>
      <c r="CE261" s="1119" t="s">
        <v>1942</v>
      </c>
      <c r="CF261" s="1119" t="s">
        <v>1942</v>
      </c>
      <c r="CG261" s="1119" t="s">
        <v>1942</v>
      </c>
      <c r="CH261" s="1120" t="s">
        <v>1942</v>
      </c>
      <c r="CI261" s="1075" t="s">
        <v>1942</v>
      </c>
      <c r="CJ261" s="1076" t="s">
        <v>1942</v>
      </c>
      <c r="CK261" s="1076" t="s">
        <v>1942</v>
      </c>
      <c r="CL261" s="1076" t="s">
        <v>1942</v>
      </c>
      <c r="CM261" s="1117" t="s">
        <v>1942</v>
      </c>
      <c r="CN261" s="1075" t="s">
        <v>1942</v>
      </c>
      <c r="CO261" s="1076" t="s">
        <v>1942</v>
      </c>
      <c r="CP261" s="1076" t="s">
        <v>1942</v>
      </c>
      <c r="CQ261" s="1076" t="s">
        <v>1942</v>
      </c>
      <c r="CR261" s="1117" t="s">
        <v>1942</v>
      </c>
      <c r="CS261" s="1075" t="s">
        <v>1942</v>
      </c>
      <c r="CT261" s="1076" t="s">
        <v>1942</v>
      </c>
      <c r="CU261" s="1076" t="s">
        <v>1942</v>
      </c>
      <c r="CV261" s="1076" t="s">
        <v>1942</v>
      </c>
      <c r="CW261" s="1117" t="s">
        <v>1942</v>
      </c>
      <c r="CX261" s="1075" t="s">
        <v>1942</v>
      </c>
      <c r="CY261" s="1076" t="s">
        <v>1942</v>
      </c>
      <c r="CZ261" s="1076" t="s">
        <v>1942</v>
      </c>
      <c r="DA261" s="1076" t="s">
        <v>1942</v>
      </c>
      <c r="DB261" s="1117" t="s">
        <v>1942</v>
      </c>
      <c r="DC261" s="1076" t="s">
        <v>1942</v>
      </c>
      <c r="DD261" s="1076" t="s">
        <v>1942</v>
      </c>
      <c r="DE261" s="1076" t="s">
        <v>1942</v>
      </c>
      <c r="DF261" s="1076" t="s">
        <v>1942</v>
      </c>
      <c r="DG261" s="1117" t="s">
        <v>1942</v>
      </c>
      <c r="DH261" s="1075" t="s">
        <v>1942</v>
      </c>
      <c r="DI261" s="1076" t="s">
        <v>1942</v>
      </c>
      <c r="DJ261" s="1076" t="s">
        <v>1942</v>
      </c>
      <c r="DK261" s="1076" t="s">
        <v>1942</v>
      </c>
      <c r="DL261" s="1117" t="s">
        <v>1942</v>
      </c>
      <c r="DM261" s="1121" t="s">
        <v>1942</v>
      </c>
      <c r="DN261" s="1122" t="s">
        <v>1942</v>
      </c>
      <c r="DO261" s="1122" t="s">
        <v>1942</v>
      </c>
      <c r="DP261" s="1123" t="s">
        <v>1942</v>
      </c>
      <c r="DQ261" s="1122" t="s">
        <v>1942</v>
      </c>
      <c r="DR261" s="1122" t="s">
        <v>1942</v>
      </c>
      <c r="DS261" s="1122" t="s">
        <v>1942</v>
      </c>
      <c r="DT261" s="1123" t="s">
        <v>1942</v>
      </c>
      <c r="DU261" s="1119" t="s">
        <v>1942</v>
      </c>
      <c r="DV261" s="1124">
        <v>1</v>
      </c>
      <c r="DW261" s="1125" t="s">
        <v>1942</v>
      </c>
    </row>
    <row r="262" spans="1:127" s="397" customFormat="1" ht="15.75" hidden="1" customHeight="1">
      <c r="A262" s="1097" t="s">
        <v>1075</v>
      </c>
      <c r="B262" s="1057">
        <v>253</v>
      </c>
      <c r="C262" s="1018"/>
      <c r="D262" s="1018"/>
      <c r="E262" s="1018"/>
      <c r="F262" s="1018"/>
      <c r="G262" s="1018"/>
      <c r="H262" s="1018"/>
      <c r="I262" s="1018"/>
      <c r="J262" s="1018"/>
      <c r="K262" s="1018"/>
      <c r="L262" s="1018"/>
      <c r="M262" s="1057"/>
      <c r="N262" s="1018"/>
      <c r="O262" s="1018"/>
      <c r="P262" s="1018"/>
      <c r="Q262" s="1018"/>
      <c r="R262" s="1018"/>
      <c r="S262" s="1018"/>
      <c r="T262" s="1019"/>
      <c r="U262" s="1098" t="s">
        <v>3004</v>
      </c>
      <c r="V262" s="1099" t="s">
        <v>3000</v>
      </c>
      <c r="W262" s="1099" t="s">
        <v>1907</v>
      </c>
      <c r="X262" s="1100" t="s">
        <v>3005</v>
      </c>
      <c r="Y262" s="1101" t="s">
        <v>3006</v>
      </c>
      <c r="Z262" s="1102" t="s">
        <v>3007</v>
      </c>
      <c r="AA262" s="1103" t="s">
        <v>1942</v>
      </c>
      <c r="AB262" s="1104">
        <v>0.5</v>
      </c>
      <c r="AC262" s="1104" t="s">
        <v>1942</v>
      </c>
      <c r="AD262" s="1104" t="s">
        <v>1942</v>
      </c>
      <c r="AE262" s="1104">
        <v>0.5</v>
      </c>
      <c r="AF262" s="1104" t="s">
        <v>1942</v>
      </c>
      <c r="AG262" s="1104" t="s">
        <v>1942</v>
      </c>
      <c r="AH262" s="1104" t="s">
        <v>1942</v>
      </c>
      <c r="AI262" s="1105">
        <f t="shared" si="3"/>
        <v>1</v>
      </c>
      <c r="AJ262" s="1106" t="s">
        <v>1007</v>
      </c>
      <c r="AK262" s="1106" t="s">
        <v>1942</v>
      </c>
      <c r="AL262" s="1106" t="s">
        <v>1942</v>
      </c>
      <c r="AM262" s="1107" t="s">
        <v>2117</v>
      </c>
      <c r="AN262" s="856" t="s">
        <v>1081</v>
      </c>
      <c r="AO262" s="1350" t="s">
        <v>2986</v>
      </c>
      <c r="AP262" s="1333">
        <v>1</v>
      </c>
      <c r="AQ262" s="1076" t="s">
        <v>1010</v>
      </c>
      <c r="AR262" s="1109" t="s">
        <v>1942</v>
      </c>
      <c r="AS262" s="1110"/>
      <c r="AT262" s="1100"/>
      <c r="AU262" s="1100"/>
      <c r="AV262" s="1100"/>
      <c r="AW262" s="1111"/>
      <c r="AX262" s="1112"/>
      <c r="AY262" s="1075"/>
      <c r="AZ262" s="1076"/>
      <c r="BA262" s="1076"/>
      <c r="BB262" s="1076"/>
      <c r="BC262" s="1076"/>
      <c r="BD262" s="1076"/>
      <c r="BE262" s="1076"/>
      <c r="BF262" s="1076"/>
      <c r="BG262" s="1076"/>
      <c r="BH262" s="1076"/>
      <c r="BI262" s="1420"/>
      <c r="BJ262" s="1368"/>
      <c r="BK262" s="1368"/>
      <c r="BL262" s="1368"/>
      <c r="BM262" s="1368"/>
      <c r="BN262" s="1075"/>
      <c r="BO262" s="1076"/>
      <c r="BP262" s="1076"/>
      <c r="BQ262" s="1076"/>
      <c r="BR262" s="1076"/>
      <c r="BS262" s="1115"/>
      <c r="BT262" s="1076"/>
      <c r="BU262" s="1076"/>
      <c r="BV262" s="1076"/>
      <c r="BW262" s="1116"/>
      <c r="BX262" s="1115"/>
      <c r="BY262" s="1076"/>
      <c r="BZ262" s="1076"/>
      <c r="CA262" s="1076"/>
      <c r="CB262" s="1116"/>
      <c r="CC262" s="1117"/>
      <c r="CD262" s="1376"/>
      <c r="CE262" s="1377"/>
      <c r="CF262" s="1377"/>
      <c r="CG262" s="1377"/>
      <c r="CH262" s="1440"/>
      <c r="CI262" s="1420"/>
      <c r="CJ262" s="1368"/>
      <c r="CK262" s="1368"/>
      <c r="CL262" s="1368"/>
      <c r="CM262" s="1369"/>
      <c r="CN262" s="1420"/>
      <c r="CO262" s="1368"/>
      <c r="CP262" s="1368"/>
      <c r="CQ262" s="1368"/>
      <c r="CR262" s="1369"/>
      <c r="CS262" s="1420"/>
      <c r="CT262" s="1368"/>
      <c r="CU262" s="1368"/>
      <c r="CV262" s="1368"/>
      <c r="CW262" s="1369"/>
      <c r="CX262" s="1420"/>
      <c r="CY262" s="1368"/>
      <c r="CZ262" s="1368"/>
      <c r="DA262" s="1368"/>
      <c r="DB262" s="1369"/>
      <c r="DC262" s="1368"/>
      <c r="DD262" s="1368"/>
      <c r="DE262" s="1368"/>
      <c r="DF262" s="1368"/>
      <c r="DG262" s="1369"/>
      <c r="DH262" s="1420"/>
      <c r="DI262" s="1368"/>
      <c r="DJ262" s="1368"/>
      <c r="DK262" s="1368"/>
      <c r="DL262" s="1369"/>
      <c r="DM262" s="1808"/>
      <c r="DN262" s="1809"/>
      <c r="DO262" s="1809"/>
      <c r="DP262" s="1810"/>
      <c r="DQ262" s="1809"/>
      <c r="DR262" s="1809"/>
      <c r="DS262" s="1809"/>
      <c r="DT262" s="1810"/>
      <c r="DU262" s="1377"/>
      <c r="DV262" s="1729"/>
      <c r="DW262" s="1811"/>
    </row>
    <row r="263" spans="1:127" s="397" customFormat="1" ht="15.75" hidden="1" customHeight="1">
      <c r="A263" s="1097" t="s">
        <v>1075</v>
      </c>
      <c r="B263" s="1057">
        <v>254</v>
      </c>
      <c r="C263" s="1018"/>
      <c r="D263" s="1018"/>
      <c r="E263" s="1018"/>
      <c r="F263" s="1018"/>
      <c r="G263" s="1018"/>
      <c r="H263" s="1018"/>
      <c r="I263" s="1018"/>
      <c r="J263" s="1018"/>
      <c r="K263" s="1018"/>
      <c r="L263" s="1018"/>
      <c r="M263" s="1057"/>
      <c r="N263" s="1018"/>
      <c r="O263" s="1018"/>
      <c r="P263" s="1018"/>
      <c r="Q263" s="1018"/>
      <c r="R263" s="1018"/>
      <c r="S263" s="1018"/>
      <c r="T263" s="1019"/>
      <c r="U263" s="1098" t="s">
        <v>3008</v>
      </c>
      <c r="V263" s="1099" t="s">
        <v>3009</v>
      </c>
      <c r="W263" s="1099" t="s">
        <v>1907</v>
      </c>
      <c r="X263" s="1100" t="s">
        <v>3010</v>
      </c>
      <c r="Y263" s="1101" t="s">
        <v>2574</v>
      </c>
      <c r="Z263" s="1102" t="s">
        <v>3011</v>
      </c>
      <c r="AA263" s="1103" t="s">
        <v>1942</v>
      </c>
      <c r="AB263" s="1104">
        <v>0.5</v>
      </c>
      <c r="AC263" s="1104" t="s">
        <v>1942</v>
      </c>
      <c r="AD263" s="1104" t="s">
        <v>1942</v>
      </c>
      <c r="AE263" s="1104">
        <v>0.5</v>
      </c>
      <c r="AF263" s="1104" t="s">
        <v>1942</v>
      </c>
      <c r="AG263" s="1104" t="s">
        <v>1942</v>
      </c>
      <c r="AH263" s="1104" t="s">
        <v>1942</v>
      </c>
      <c r="AI263" s="1105">
        <f t="shared" si="3"/>
        <v>1</v>
      </c>
      <c r="AJ263" s="1106" t="s">
        <v>1007</v>
      </c>
      <c r="AK263" s="1106" t="s">
        <v>1942</v>
      </c>
      <c r="AL263" s="1106" t="s">
        <v>1942</v>
      </c>
      <c r="AM263" s="1107" t="s">
        <v>2117</v>
      </c>
      <c r="AN263" s="1018" t="s">
        <v>1033</v>
      </c>
      <c r="AO263" s="1018" t="s">
        <v>3012</v>
      </c>
      <c r="AP263" s="1333">
        <v>0</v>
      </c>
      <c r="AQ263" s="1076">
        <v>0</v>
      </c>
      <c r="AR263" s="1109" t="s">
        <v>1942</v>
      </c>
      <c r="AS263" s="1110"/>
      <c r="AT263" s="1100"/>
      <c r="AU263" s="1100"/>
      <c r="AV263" s="1100"/>
      <c r="AW263" s="1111"/>
      <c r="AX263" s="1112"/>
      <c r="AY263" s="1075"/>
      <c r="AZ263" s="1076"/>
      <c r="BA263" s="1076"/>
      <c r="BB263" s="1076"/>
      <c r="BC263" s="1076"/>
      <c r="BD263" s="1076"/>
      <c r="BE263" s="1076"/>
      <c r="BF263" s="1076"/>
      <c r="BG263" s="1076"/>
      <c r="BH263" s="1076"/>
      <c r="BI263" s="1420"/>
      <c r="BJ263" s="1368"/>
      <c r="BK263" s="1368"/>
      <c r="BL263" s="1368"/>
      <c r="BM263" s="1368"/>
      <c r="BN263" s="1075"/>
      <c r="BO263" s="1076"/>
      <c r="BP263" s="1076"/>
      <c r="BQ263" s="1076"/>
      <c r="BR263" s="1076"/>
      <c r="BS263" s="1115"/>
      <c r="BT263" s="1076"/>
      <c r="BU263" s="1076"/>
      <c r="BV263" s="1076"/>
      <c r="BW263" s="1116"/>
      <c r="BX263" s="1115"/>
      <c r="BY263" s="1076"/>
      <c r="BZ263" s="1076"/>
      <c r="CA263" s="1076"/>
      <c r="CB263" s="1116"/>
      <c r="CC263" s="1117"/>
      <c r="CD263" s="1376"/>
      <c r="CE263" s="1377"/>
      <c r="CF263" s="1377"/>
      <c r="CG263" s="1377"/>
      <c r="CH263" s="1440"/>
      <c r="CI263" s="1420"/>
      <c r="CJ263" s="1368"/>
      <c r="CK263" s="1368"/>
      <c r="CL263" s="1368"/>
      <c r="CM263" s="1369"/>
      <c r="CN263" s="1420"/>
      <c r="CO263" s="1368"/>
      <c r="CP263" s="1368"/>
      <c r="CQ263" s="1368"/>
      <c r="CR263" s="1369"/>
      <c r="CS263" s="1420"/>
      <c r="CT263" s="1368"/>
      <c r="CU263" s="1368"/>
      <c r="CV263" s="1368"/>
      <c r="CW263" s="1369"/>
      <c r="CX263" s="1420"/>
      <c r="CY263" s="1368"/>
      <c r="CZ263" s="1368"/>
      <c r="DA263" s="1368"/>
      <c r="DB263" s="1369"/>
      <c r="DC263" s="1368"/>
      <c r="DD263" s="1368"/>
      <c r="DE263" s="1368"/>
      <c r="DF263" s="1368"/>
      <c r="DG263" s="1369"/>
      <c r="DH263" s="1420"/>
      <c r="DI263" s="1368"/>
      <c r="DJ263" s="1368"/>
      <c r="DK263" s="1368"/>
      <c r="DL263" s="1369"/>
      <c r="DM263" s="1808"/>
      <c r="DN263" s="1809"/>
      <c r="DO263" s="1809"/>
      <c r="DP263" s="1810"/>
      <c r="DQ263" s="1809"/>
      <c r="DR263" s="1809"/>
      <c r="DS263" s="1809"/>
      <c r="DT263" s="1810"/>
      <c r="DU263" s="1377"/>
      <c r="DV263" s="1729"/>
      <c r="DW263" s="1811"/>
    </row>
    <row r="264" spans="1:127" s="397" customFormat="1" ht="15.75" hidden="1" customHeight="1">
      <c r="A264" s="1097" t="s">
        <v>1075</v>
      </c>
      <c r="B264" s="1057">
        <v>255</v>
      </c>
      <c r="C264" s="1018"/>
      <c r="D264" s="1018"/>
      <c r="E264" s="1018"/>
      <c r="F264" s="1018"/>
      <c r="G264" s="1018"/>
      <c r="H264" s="1018"/>
      <c r="I264" s="1018"/>
      <c r="J264" s="1018"/>
      <c r="K264" s="1018"/>
      <c r="L264" s="1018"/>
      <c r="M264" s="1057"/>
      <c r="N264" s="1018"/>
      <c r="O264" s="1018"/>
      <c r="P264" s="1018"/>
      <c r="Q264" s="1018"/>
      <c r="R264" s="1018"/>
      <c r="S264" s="1018"/>
      <c r="T264" s="1019"/>
      <c r="U264" s="1098" t="s">
        <v>3013</v>
      </c>
      <c r="V264" s="1099" t="s">
        <v>3009</v>
      </c>
      <c r="W264" s="1099" t="s">
        <v>1907</v>
      </c>
      <c r="X264" s="1100" t="s">
        <v>3014</v>
      </c>
      <c r="Y264" s="1101" t="s">
        <v>3015</v>
      </c>
      <c r="Z264" s="1102" t="s">
        <v>3016</v>
      </c>
      <c r="AA264" s="1103" t="s">
        <v>1942</v>
      </c>
      <c r="AB264" s="1104">
        <v>0.25</v>
      </c>
      <c r="AC264" s="1104" t="s">
        <v>1942</v>
      </c>
      <c r="AD264" s="1104" t="s">
        <v>1942</v>
      </c>
      <c r="AE264" s="1104">
        <v>0.75</v>
      </c>
      <c r="AF264" s="1104" t="s">
        <v>1942</v>
      </c>
      <c r="AG264" s="1104" t="s">
        <v>1942</v>
      </c>
      <c r="AH264" s="1104" t="s">
        <v>1942</v>
      </c>
      <c r="AI264" s="1105">
        <f t="shared" si="3"/>
        <v>1</v>
      </c>
      <c r="AJ264" s="1106" t="s">
        <v>1030</v>
      </c>
      <c r="AK264" s="1106" t="s">
        <v>1008</v>
      </c>
      <c r="AL264" s="1106" t="s">
        <v>1009</v>
      </c>
      <c r="AM264" s="1107" t="s">
        <v>2117</v>
      </c>
      <c r="AN264" s="1018" t="s">
        <v>278</v>
      </c>
      <c r="AO264" s="1018" t="s">
        <v>3017</v>
      </c>
      <c r="AP264" s="1333">
        <v>2</v>
      </c>
      <c r="AQ264" s="1076" t="s">
        <v>1020</v>
      </c>
      <c r="AR264" s="1109" t="s">
        <v>1942</v>
      </c>
      <c r="AS264" s="1110"/>
      <c r="AT264" s="1100"/>
      <c r="AU264" s="1100"/>
      <c r="AV264" s="1100"/>
      <c r="AW264" s="1111"/>
      <c r="AX264" s="1112"/>
      <c r="AY264" s="1075"/>
      <c r="AZ264" s="1076"/>
      <c r="BA264" s="1076"/>
      <c r="BB264" s="1076"/>
      <c r="BC264" s="1076"/>
      <c r="BD264" s="1076"/>
      <c r="BE264" s="1076"/>
      <c r="BF264" s="1076"/>
      <c r="BG264" s="1076"/>
      <c r="BH264" s="1076"/>
      <c r="BI264" s="1420"/>
      <c r="BJ264" s="1368"/>
      <c r="BK264" s="1368"/>
      <c r="BL264" s="1368"/>
      <c r="BM264" s="1368"/>
      <c r="BN264" s="1075"/>
      <c r="BO264" s="1076"/>
      <c r="BP264" s="1076"/>
      <c r="BQ264" s="1076"/>
      <c r="BR264" s="1076"/>
      <c r="BS264" s="1115"/>
      <c r="BT264" s="1076"/>
      <c r="BU264" s="1076"/>
      <c r="BV264" s="1076"/>
      <c r="BW264" s="1116"/>
      <c r="BX264" s="1115"/>
      <c r="BY264" s="1076"/>
      <c r="BZ264" s="1076"/>
      <c r="CA264" s="1076"/>
      <c r="CB264" s="1116"/>
      <c r="CC264" s="1117"/>
      <c r="CD264" s="1376"/>
      <c r="CE264" s="1377"/>
      <c r="CF264" s="1377"/>
      <c r="CG264" s="1377"/>
      <c r="CH264" s="1440"/>
      <c r="CI264" s="1420"/>
      <c r="CJ264" s="1368"/>
      <c r="CK264" s="1368"/>
      <c r="CL264" s="1368"/>
      <c r="CM264" s="1369"/>
      <c r="CN264" s="1420"/>
      <c r="CO264" s="1368"/>
      <c r="CP264" s="1368"/>
      <c r="CQ264" s="1368"/>
      <c r="CR264" s="1369"/>
      <c r="CS264" s="1420"/>
      <c r="CT264" s="1368"/>
      <c r="CU264" s="1368"/>
      <c r="CV264" s="1368"/>
      <c r="CW264" s="1369"/>
      <c r="CX264" s="1420"/>
      <c r="CY264" s="1368"/>
      <c r="CZ264" s="1368"/>
      <c r="DA264" s="1368"/>
      <c r="DB264" s="1369"/>
      <c r="DC264" s="1368"/>
      <c r="DD264" s="1368"/>
      <c r="DE264" s="1368"/>
      <c r="DF264" s="1368"/>
      <c r="DG264" s="1369"/>
      <c r="DH264" s="1420"/>
      <c r="DI264" s="1368"/>
      <c r="DJ264" s="1368"/>
      <c r="DK264" s="1368"/>
      <c r="DL264" s="1369"/>
      <c r="DM264" s="1808"/>
      <c r="DN264" s="1809"/>
      <c r="DO264" s="1809"/>
      <c r="DP264" s="1810"/>
      <c r="DQ264" s="1809"/>
      <c r="DR264" s="1809"/>
      <c r="DS264" s="1809"/>
      <c r="DT264" s="1810"/>
      <c r="DU264" s="1377"/>
      <c r="DV264" s="1729"/>
      <c r="DW264" s="1811"/>
    </row>
    <row r="265" spans="1:127" s="397" customFormat="1" ht="15.75" hidden="1" customHeight="1">
      <c r="A265" s="1097" t="s">
        <v>1075</v>
      </c>
      <c r="B265" s="1057">
        <v>256</v>
      </c>
      <c r="C265" s="1018"/>
      <c r="D265" s="1018"/>
      <c r="E265" s="1018"/>
      <c r="F265" s="1018"/>
      <c r="G265" s="1018"/>
      <c r="H265" s="1018"/>
      <c r="I265" s="1018"/>
      <c r="J265" s="1018"/>
      <c r="K265" s="1018"/>
      <c r="L265" s="1018"/>
      <c r="M265" s="1057"/>
      <c r="N265" s="1018"/>
      <c r="O265" s="1018"/>
      <c r="P265" s="1018"/>
      <c r="Q265" s="1018"/>
      <c r="R265" s="1018"/>
      <c r="S265" s="1018"/>
      <c r="T265" s="1019"/>
      <c r="U265" s="1098" t="s">
        <v>3018</v>
      </c>
      <c r="V265" s="1099" t="s">
        <v>3009</v>
      </c>
      <c r="W265" s="1099" t="s">
        <v>1907</v>
      </c>
      <c r="X265" s="1100" t="s">
        <v>3019</v>
      </c>
      <c r="Y265" s="1101" t="s">
        <v>3020</v>
      </c>
      <c r="Z265" s="1102" t="s">
        <v>3021</v>
      </c>
      <c r="AA265" s="1103" t="s">
        <v>1942</v>
      </c>
      <c r="AB265" s="1104">
        <v>1</v>
      </c>
      <c r="AC265" s="1104" t="s">
        <v>1942</v>
      </c>
      <c r="AD265" s="1104" t="s">
        <v>1942</v>
      </c>
      <c r="AE265" s="1104" t="s">
        <v>1942</v>
      </c>
      <c r="AF265" s="1104" t="s">
        <v>1942</v>
      </c>
      <c r="AG265" s="1104" t="s">
        <v>1942</v>
      </c>
      <c r="AH265" s="1104" t="s">
        <v>1942</v>
      </c>
      <c r="AI265" s="1105">
        <f t="shared" si="3"/>
        <v>1</v>
      </c>
      <c r="AJ265" s="1106" t="s">
        <v>1030</v>
      </c>
      <c r="AK265" s="1106" t="s">
        <v>1008</v>
      </c>
      <c r="AL265" s="1440" t="s">
        <v>1019</v>
      </c>
      <c r="AM265" s="1107" t="s">
        <v>2117</v>
      </c>
      <c r="AN265" s="1018" t="s">
        <v>278</v>
      </c>
      <c r="AO265" s="1018" t="s">
        <v>3017</v>
      </c>
      <c r="AP265" s="1333">
        <v>2</v>
      </c>
      <c r="AQ265" s="1076" t="s">
        <v>1020</v>
      </c>
      <c r="AR265" s="1109" t="s">
        <v>1942</v>
      </c>
      <c r="AS265" s="1110"/>
      <c r="AT265" s="1100"/>
      <c r="AU265" s="1100"/>
      <c r="AV265" s="1100"/>
      <c r="AW265" s="1111"/>
      <c r="AX265" s="1112"/>
      <c r="AY265" s="1075"/>
      <c r="AZ265" s="1076"/>
      <c r="BA265" s="1076"/>
      <c r="BB265" s="1076"/>
      <c r="BC265" s="1076"/>
      <c r="BD265" s="1076"/>
      <c r="BE265" s="1076"/>
      <c r="BF265" s="1076"/>
      <c r="BG265" s="1076"/>
      <c r="BH265" s="1076"/>
      <c r="BI265" s="1420"/>
      <c r="BJ265" s="1368"/>
      <c r="BK265" s="1368"/>
      <c r="BL265" s="1368"/>
      <c r="BM265" s="1368"/>
      <c r="BN265" s="1075"/>
      <c r="BO265" s="1076"/>
      <c r="BP265" s="1076"/>
      <c r="BQ265" s="1076"/>
      <c r="BR265" s="1076"/>
      <c r="BS265" s="1115"/>
      <c r="BT265" s="1076"/>
      <c r="BU265" s="1076"/>
      <c r="BV265" s="1076"/>
      <c r="BW265" s="1116"/>
      <c r="BX265" s="1115"/>
      <c r="BY265" s="1076"/>
      <c r="BZ265" s="1076"/>
      <c r="CA265" s="1076"/>
      <c r="CB265" s="1116"/>
      <c r="CC265" s="1117"/>
      <c r="CD265" s="1376"/>
      <c r="CE265" s="1377"/>
      <c r="CF265" s="1377"/>
      <c r="CG265" s="1377"/>
      <c r="CH265" s="1440"/>
      <c r="CI265" s="1420"/>
      <c r="CJ265" s="1368"/>
      <c r="CK265" s="1368"/>
      <c r="CL265" s="1368"/>
      <c r="CM265" s="1369"/>
      <c r="CN265" s="1420"/>
      <c r="CO265" s="1368"/>
      <c r="CP265" s="1368"/>
      <c r="CQ265" s="1368"/>
      <c r="CR265" s="1369"/>
      <c r="CS265" s="1420"/>
      <c r="CT265" s="1368"/>
      <c r="CU265" s="1368"/>
      <c r="CV265" s="1368"/>
      <c r="CW265" s="1369"/>
      <c r="CX265" s="1420"/>
      <c r="CY265" s="1368"/>
      <c r="CZ265" s="1368"/>
      <c r="DA265" s="1368"/>
      <c r="DB265" s="1369"/>
      <c r="DC265" s="1368"/>
      <c r="DD265" s="1368"/>
      <c r="DE265" s="1368"/>
      <c r="DF265" s="1368"/>
      <c r="DG265" s="1369"/>
      <c r="DH265" s="1420"/>
      <c r="DI265" s="1368"/>
      <c r="DJ265" s="1368"/>
      <c r="DK265" s="1368"/>
      <c r="DL265" s="1369"/>
      <c r="DM265" s="1808"/>
      <c r="DN265" s="1809"/>
      <c r="DO265" s="1809"/>
      <c r="DP265" s="1810"/>
      <c r="DQ265" s="1809"/>
      <c r="DR265" s="1809"/>
      <c r="DS265" s="1809"/>
      <c r="DT265" s="1810"/>
      <c r="DU265" s="1377"/>
      <c r="DV265" s="1729"/>
      <c r="DW265" s="1811"/>
    </row>
    <row r="266" spans="1:127" s="397" customFormat="1" ht="15.75" hidden="1" customHeight="1">
      <c r="A266" s="1097" t="s">
        <v>1075</v>
      </c>
      <c r="B266" s="1057">
        <v>257</v>
      </c>
      <c r="C266" s="1018"/>
      <c r="D266" s="1018"/>
      <c r="E266" s="1018"/>
      <c r="F266" s="1018"/>
      <c r="G266" s="1018"/>
      <c r="H266" s="1018"/>
      <c r="I266" s="1018"/>
      <c r="J266" s="1018"/>
      <c r="K266" s="1018"/>
      <c r="L266" s="1018"/>
      <c r="M266" s="1057"/>
      <c r="N266" s="1018"/>
      <c r="O266" s="1018"/>
      <c r="P266" s="1018"/>
      <c r="Q266" s="1018"/>
      <c r="R266" s="1018"/>
      <c r="S266" s="1018"/>
      <c r="T266" s="1019"/>
      <c r="U266" s="1098" t="s">
        <v>3022</v>
      </c>
      <c r="V266" s="1099" t="s">
        <v>2930</v>
      </c>
      <c r="W266" s="1099" t="s">
        <v>1889</v>
      </c>
      <c r="X266" s="1100" t="s">
        <v>2849</v>
      </c>
      <c r="Y266" s="1101" t="s">
        <v>3023</v>
      </c>
      <c r="Z266" s="1102" t="s">
        <v>3024</v>
      </c>
      <c r="AA266" s="1103">
        <v>0.05</v>
      </c>
      <c r="AB266" s="1104">
        <v>0.95</v>
      </c>
      <c r="AC266" s="1104" t="s">
        <v>1942</v>
      </c>
      <c r="AD266" s="1104" t="s">
        <v>1942</v>
      </c>
      <c r="AE266" s="1104" t="s">
        <v>1942</v>
      </c>
      <c r="AF266" s="1104" t="s">
        <v>1942</v>
      </c>
      <c r="AG266" s="1104" t="s">
        <v>1942</v>
      </c>
      <c r="AH266" s="1104" t="s">
        <v>1942</v>
      </c>
      <c r="AI266" s="1105">
        <f t="shared" ref="AI266:AI329" si="4">SUM(AA266:AH266)</f>
        <v>1</v>
      </c>
      <c r="AJ266" s="1106" t="s">
        <v>1026</v>
      </c>
      <c r="AK266" s="1106" t="s">
        <v>1008</v>
      </c>
      <c r="AL266" s="1106" t="s">
        <v>1019</v>
      </c>
      <c r="AM266" s="1107" t="s">
        <v>1910</v>
      </c>
      <c r="AN266" s="1018" t="s">
        <v>1033</v>
      </c>
      <c r="AO266" s="1018" t="s">
        <v>3025</v>
      </c>
      <c r="AP266" s="1333">
        <v>0</v>
      </c>
      <c r="AQ266" s="1076" t="s">
        <v>1010</v>
      </c>
      <c r="AR266" s="1109" t="s">
        <v>1942</v>
      </c>
      <c r="AS266" s="1110"/>
      <c r="AT266" s="1100"/>
      <c r="AU266" s="1100"/>
      <c r="AV266" s="1100"/>
      <c r="AW266" s="1111"/>
      <c r="AX266" s="1112"/>
      <c r="AY266" s="1075"/>
      <c r="AZ266" s="1076"/>
      <c r="BA266" s="1076"/>
      <c r="BB266" s="1076"/>
      <c r="BC266" s="1076"/>
      <c r="BD266" s="1076"/>
      <c r="BE266" s="1076"/>
      <c r="BF266" s="1076"/>
      <c r="BG266" s="1076"/>
      <c r="BH266" s="1076"/>
      <c r="BI266" s="1420"/>
      <c r="BJ266" s="1368"/>
      <c r="BK266" s="1368"/>
      <c r="BL266" s="1368"/>
      <c r="BM266" s="1368"/>
      <c r="BN266" s="1075"/>
      <c r="BO266" s="1076"/>
      <c r="BP266" s="1076"/>
      <c r="BQ266" s="1076"/>
      <c r="BR266" s="1076"/>
      <c r="BS266" s="1115"/>
      <c r="BT266" s="1076"/>
      <c r="BU266" s="1076"/>
      <c r="BV266" s="1076"/>
      <c r="BW266" s="1116"/>
      <c r="BX266" s="1115"/>
      <c r="BY266" s="1076"/>
      <c r="BZ266" s="1076"/>
      <c r="CA266" s="1076"/>
      <c r="CB266" s="1116"/>
      <c r="CC266" s="1117"/>
      <c r="CD266" s="1376"/>
      <c r="CE266" s="1377"/>
      <c r="CF266" s="1377"/>
      <c r="CG266" s="1377"/>
      <c r="CH266" s="1440"/>
      <c r="CI266" s="1420"/>
      <c r="CJ266" s="1368"/>
      <c r="CK266" s="1368"/>
      <c r="CL266" s="1368"/>
      <c r="CM266" s="1369"/>
      <c r="CN266" s="1420"/>
      <c r="CO266" s="1368"/>
      <c r="CP266" s="1368"/>
      <c r="CQ266" s="1368"/>
      <c r="CR266" s="1369"/>
      <c r="CS266" s="1420"/>
      <c r="CT266" s="1368"/>
      <c r="CU266" s="1368"/>
      <c r="CV266" s="1368"/>
      <c r="CW266" s="1369"/>
      <c r="CX266" s="1420"/>
      <c r="CY266" s="1368"/>
      <c r="CZ266" s="1368"/>
      <c r="DA266" s="1368"/>
      <c r="DB266" s="1369"/>
      <c r="DC266" s="1368"/>
      <c r="DD266" s="1368"/>
      <c r="DE266" s="1368"/>
      <c r="DF266" s="1368"/>
      <c r="DG266" s="1369"/>
      <c r="DH266" s="1420"/>
      <c r="DI266" s="1368"/>
      <c r="DJ266" s="1368"/>
      <c r="DK266" s="1368"/>
      <c r="DL266" s="1369"/>
      <c r="DM266" s="1808"/>
      <c r="DN266" s="1809"/>
      <c r="DO266" s="1809"/>
      <c r="DP266" s="1810"/>
      <c r="DQ266" s="1809"/>
      <c r="DR266" s="1809"/>
      <c r="DS266" s="1809"/>
      <c r="DT266" s="1810"/>
      <c r="DU266" s="1377"/>
      <c r="DV266" s="1729"/>
      <c r="DW266" s="1811"/>
    </row>
    <row r="267" spans="1:127" s="397" customFormat="1" ht="15.75" hidden="1" customHeight="1">
      <c r="A267" s="1097" t="s">
        <v>1075</v>
      </c>
      <c r="B267" s="1057">
        <v>258</v>
      </c>
      <c r="C267" s="1018"/>
      <c r="D267" s="1018"/>
      <c r="E267" s="1018"/>
      <c r="F267" s="1018"/>
      <c r="G267" s="1018"/>
      <c r="H267" s="1018"/>
      <c r="I267" s="1018"/>
      <c r="J267" s="1018"/>
      <c r="K267" s="1018"/>
      <c r="L267" s="1018"/>
      <c r="M267" s="1057"/>
      <c r="N267" s="1018"/>
      <c r="O267" s="1018"/>
      <c r="P267" s="1018"/>
      <c r="Q267" s="1018"/>
      <c r="R267" s="1018"/>
      <c r="S267" s="1018"/>
      <c r="T267" s="1019"/>
      <c r="U267" s="1098" t="s">
        <v>3026</v>
      </c>
      <c r="V267" s="1099" t="s">
        <v>2930</v>
      </c>
      <c r="W267" s="1099" t="s">
        <v>1907</v>
      </c>
      <c r="X267" s="1100" t="s">
        <v>2853</v>
      </c>
      <c r="Y267" s="1101" t="s">
        <v>2152</v>
      </c>
      <c r="Z267" s="1102" t="s">
        <v>3027</v>
      </c>
      <c r="AA267" s="1103">
        <v>0.1</v>
      </c>
      <c r="AB267" s="1104">
        <v>0.9</v>
      </c>
      <c r="AC267" s="1104" t="s">
        <v>1942</v>
      </c>
      <c r="AD267" s="1104" t="s">
        <v>1942</v>
      </c>
      <c r="AE267" s="1104" t="s">
        <v>1942</v>
      </c>
      <c r="AF267" s="1104" t="s">
        <v>1942</v>
      </c>
      <c r="AG267" s="1104" t="s">
        <v>1942</v>
      </c>
      <c r="AH267" s="1104" t="s">
        <v>1942</v>
      </c>
      <c r="AI267" s="1105">
        <f t="shared" si="4"/>
        <v>1</v>
      </c>
      <c r="AJ267" s="1106" t="s">
        <v>1007</v>
      </c>
      <c r="AK267" s="1106" t="s">
        <v>1942</v>
      </c>
      <c r="AL267" s="1106" t="s">
        <v>1942</v>
      </c>
      <c r="AM267" s="1107" t="s">
        <v>1926</v>
      </c>
      <c r="AN267" s="1018" t="s">
        <v>1081</v>
      </c>
      <c r="AO267" s="1018" t="s">
        <v>2928</v>
      </c>
      <c r="AP267" s="1333">
        <v>3</v>
      </c>
      <c r="AQ267" s="1076" t="s">
        <v>1020</v>
      </c>
      <c r="AR267" s="1109" t="s">
        <v>1942</v>
      </c>
      <c r="AS267" s="1110"/>
      <c r="AT267" s="1100"/>
      <c r="AU267" s="1100"/>
      <c r="AV267" s="1100"/>
      <c r="AW267" s="1111"/>
      <c r="AX267" s="1112"/>
      <c r="AY267" s="1075"/>
      <c r="AZ267" s="1076"/>
      <c r="BA267" s="1076"/>
      <c r="BB267" s="1076"/>
      <c r="BC267" s="1076"/>
      <c r="BD267" s="1076"/>
      <c r="BE267" s="1076"/>
      <c r="BF267" s="1076"/>
      <c r="BG267" s="1076"/>
      <c r="BH267" s="1076"/>
      <c r="BI267" s="1420"/>
      <c r="BJ267" s="1368"/>
      <c r="BK267" s="1368"/>
      <c r="BL267" s="1368"/>
      <c r="BM267" s="1368"/>
      <c r="BN267" s="1075"/>
      <c r="BO267" s="1076"/>
      <c r="BP267" s="1076"/>
      <c r="BQ267" s="1076"/>
      <c r="BR267" s="1076"/>
      <c r="BS267" s="1115"/>
      <c r="BT267" s="1076"/>
      <c r="BU267" s="1076"/>
      <c r="BV267" s="1076"/>
      <c r="BW267" s="1116"/>
      <c r="BX267" s="1115"/>
      <c r="BY267" s="1076"/>
      <c r="BZ267" s="1076"/>
      <c r="CA267" s="1076"/>
      <c r="CB267" s="1116"/>
      <c r="CC267" s="1117"/>
      <c r="CD267" s="1376"/>
      <c r="CE267" s="1377"/>
      <c r="CF267" s="1377"/>
      <c r="CG267" s="1377"/>
      <c r="CH267" s="1440"/>
      <c r="CI267" s="1420"/>
      <c r="CJ267" s="1368"/>
      <c r="CK267" s="1368"/>
      <c r="CL267" s="1368"/>
      <c r="CM267" s="1369"/>
      <c r="CN267" s="1420"/>
      <c r="CO267" s="1368"/>
      <c r="CP267" s="1368"/>
      <c r="CQ267" s="1368"/>
      <c r="CR267" s="1369"/>
      <c r="CS267" s="1420"/>
      <c r="CT267" s="1368"/>
      <c r="CU267" s="1368"/>
      <c r="CV267" s="1368"/>
      <c r="CW267" s="1369"/>
      <c r="CX267" s="1420"/>
      <c r="CY267" s="1368"/>
      <c r="CZ267" s="1368"/>
      <c r="DA267" s="1368"/>
      <c r="DB267" s="1369"/>
      <c r="DC267" s="1368"/>
      <c r="DD267" s="1368"/>
      <c r="DE267" s="1368"/>
      <c r="DF267" s="1368"/>
      <c r="DG267" s="1369"/>
      <c r="DH267" s="1420"/>
      <c r="DI267" s="1368"/>
      <c r="DJ267" s="1368"/>
      <c r="DK267" s="1368"/>
      <c r="DL267" s="1369"/>
      <c r="DM267" s="1808"/>
      <c r="DN267" s="1809"/>
      <c r="DO267" s="1809"/>
      <c r="DP267" s="1810"/>
      <c r="DQ267" s="1809"/>
      <c r="DR267" s="1809"/>
      <c r="DS267" s="1809"/>
      <c r="DT267" s="1810"/>
      <c r="DU267" s="1377"/>
      <c r="DV267" s="1729"/>
      <c r="DW267" s="1811"/>
    </row>
    <row r="268" spans="1:127" s="397" customFormat="1" ht="15.75" hidden="1" customHeight="1">
      <c r="A268" s="1097" t="s">
        <v>1075</v>
      </c>
      <c r="B268" s="1057">
        <v>259</v>
      </c>
      <c r="C268" s="1018"/>
      <c r="D268" s="1018"/>
      <c r="E268" s="1018"/>
      <c r="F268" s="1018"/>
      <c r="G268" s="1018"/>
      <c r="H268" s="1018"/>
      <c r="I268" s="1018"/>
      <c r="J268" s="1018"/>
      <c r="K268" s="1018"/>
      <c r="L268" s="1018"/>
      <c r="M268" s="1057"/>
      <c r="N268" s="1018"/>
      <c r="O268" s="1018"/>
      <c r="P268" s="1018"/>
      <c r="Q268" s="1018"/>
      <c r="R268" s="1018"/>
      <c r="S268" s="1018"/>
      <c r="T268" s="1019"/>
      <c r="U268" s="1098" t="s">
        <v>3028</v>
      </c>
      <c r="V268" s="1099" t="s">
        <v>2930</v>
      </c>
      <c r="W268" s="1099" t="s">
        <v>1889</v>
      </c>
      <c r="X268" s="1100" t="s">
        <v>2909</v>
      </c>
      <c r="Y268" s="1101" t="s">
        <v>1987</v>
      </c>
      <c r="Z268" s="1102" t="s">
        <v>3029</v>
      </c>
      <c r="AA268" s="1103" t="s">
        <v>1942</v>
      </c>
      <c r="AB268" s="1104">
        <v>1</v>
      </c>
      <c r="AC268" s="1104" t="s">
        <v>1942</v>
      </c>
      <c r="AD268" s="1104" t="s">
        <v>1942</v>
      </c>
      <c r="AE268" s="1104" t="s">
        <v>1942</v>
      </c>
      <c r="AF268" s="1104" t="s">
        <v>1942</v>
      </c>
      <c r="AG268" s="1104" t="s">
        <v>1942</v>
      </c>
      <c r="AH268" s="1104" t="s">
        <v>1942</v>
      </c>
      <c r="AI268" s="1105">
        <f t="shared" si="4"/>
        <v>1</v>
      </c>
      <c r="AJ268" s="1106" t="s">
        <v>1030</v>
      </c>
      <c r="AK268" s="1106" t="s">
        <v>1008</v>
      </c>
      <c r="AL268" s="1106" t="s">
        <v>1009</v>
      </c>
      <c r="AM268" s="1107" t="s">
        <v>1985</v>
      </c>
      <c r="AN268" s="1018" t="s">
        <v>2177</v>
      </c>
      <c r="AO268" s="1018" t="s">
        <v>4796</v>
      </c>
      <c r="AP268" s="1333">
        <v>1</v>
      </c>
      <c r="AQ268" s="1076" t="s">
        <v>1020</v>
      </c>
      <c r="AR268" s="1109"/>
      <c r="AS268" s="1110"/>
      <c r="AT268" s="1100"/>
      <c r="AU268" s="1100"/>
      <c r="AV268" s="1100"/>
      <c r="AW268" s="1111"/>
      <c r="AX268" s="1112"/>
      <c r="AY268" s="1075"/>
      <c r="AZ268" s="1076"/>
      <c r="BA268" s="1076"/>
      <c r="BB268" s="1076"/>
      <c r="BC268" s="1076"/>
      <c r="BD268" s="1076"/>
      <c r="BE268" s="1076"/>
      <c r="BF268" s="1076"/>
      <c r="BG268" s="1076"/>
      <c r="BH268" s="1076"/>
      <c r="BI268" s="1420"/>
      <c r="BJ268" s="1368"/>
      <c r="BK268" s="1368"/>
      <c r="BL268" s="1368"/>
      <c r="BM268" s="1368"/>
      <c r="BN268" s="1075"/>
      <c r="BO268" s="1076"/>
      <c r="BP268" s="1076"/>
      <c r="BQ268" s="1076"/>
      <c r="BR268" s="1076"/>
      <c r="BS268" s="1115"/>
      <c r="BT268" s="1076"/>
      <c r="BU268" s="1076"/>
      <c r="BV268" s="1076"/>
      <c r="BW268" s="1116"/>
      <c r="BX268" s="1115"/>
      <c r="BY268" s="1076"/>
      <c r="BZ268" s="1076"/>
      <c r="CA268" s="1076"/>
      <c r="CB268" s="1116"/>
      <c r="CC268" s="1117"/>
      <c r="CD268" s="1376"/>
      <c r="CE268" s="1377"/>
      <c r="CF268" s="1377"/>
      <c r="CG268" s="1377"/>
      <c r="CH268" s="1440"/>
      <c r="CI268" s="1420"/>
      <c r="CJ268" s="1368"/>
      <c r="CK268" s="1368"/>
      <c r="CL268" s="1368"/>
      <c r="CM268" s="1369"/>
      <c r="CN268" s="1420"/>
      <c r="CO268" s="1368"/>
      <c r="CP268" s="1368"/>
      <c r="CQ268" s="1368"/>
      <c r="CR268" s="1369"/>
      <c r="CS268" s="1420"/>
      <c r="CT268" s="1368"/>
      <c r="CU268" s="1368"/>
      <c r="CV268" s="1368"/>
      <c r="CW268" s="1369"/>
      <c r="CX268" s="1420"/>
      <c r="CY268" s="1368"/>
      <c r="CZ268" s="1368"/>
      <c r="DA268" s="1368"/>
      <c r="DB268" s="1369"/>
      <c r="DC268" s="1368"/>
      <c r="DD268" s="1368"/>
      <c r="DE268" s="1368"/>
      <c r="DF268" s="1368"/>
      <c r="DG268" s="1369"/>
      <c r="DH268" s="1420"/>
      <c r="DI268" s="1368"/>
      <c r="DJ268" s="1368"/>
      <c r="DK268" s="1368"/>
      <c r="DL268" s="1369"/>
      <c r="DM268" s="1808"/>
      <c r="DN268" s="1809"/>
      <c r="DO268" s="1809"/>
      <c r="DP268" s="1810"/>
      <c r="DQ268" s="1809"/>
      <c r="DR268" s="1809"/>
      <c r="DS268" s="1809"/>
      <c r="DT268" s="1810"/>
      <c r="DU268" s="1377"/>
      <c r="DV268" s="1729"/>
      <c r="DW268" s="1811"/>
    </row>
    <row r="269" spans="1:127" s="397" customFormat="1" ht="15.75" hidden="1" customHeight="1">
      <c r="A269" s="1097" t="s">
        <v>1075</v>
      </c>
      <c r="B269" s="1057">
        <v>260</v>
      </c>
      <c r="C269" s="1018"/>
      <c r="D269" s="1018"/>
      <c r="E269" s="1018"/>
      <c r="F269" s="1018"/>
      <c r="G269" s="1018"/>
      <c r="H269" s="1018"/>
      <c r="I269" s="1018"/>
      <c r="J269" s="1018"/>
      <c r="K269" s="1018"/>
      <c r="L269" s="1018"/>
      <c r="M269" s="1057"/>
      <c r="N269" s="1018"/>
      <c r="O269" s="1018"/>
      <c r="P269" s="1018"/>
      <c r="Q269" s="1018"/>
      <c r="R269" s="1018"/>
      <c r="S269" s="1018"/>
      <c r="T269" s="1019"/>
      <c r="U269" s="1098" t="s">
        <v>3031</v>
      </c>
      <c r="V269" s="1099" t="s">
        <v>3032</v>
      </c>
      <c r="W269" s="1099" t="s">
        <v>1907</v>
      </c>
      <c r="X269" s="1100" t="s">
        <v>3033</v>
      </c>
      <c r="Y269" s="1101" t="s">
        <v>3034</v>
      </c>
      <c r="Z269" s="1102" t="s">
        <v>3035</v>
      </c>
      <c r="AA269" s="1103">
        <v>1</v>
      </c>
      <c r="AB269" s="1104" t="s">
        <v>1942</v>
      </c>
      <c r="AC269" s="1104" t="s">
        <v>1942</v>
      </c>
      <c r="AD269" s="1104" t="s">
        <v>1942</v>
      </c>
      <c r="AE269" s="1104" t="s">
        <v>1942</v>
      </c>
      <c r="AF269" s="1104" t="s">
        <v>1942</v>
      </c>
      <c r="AG269" s="1104" t="s">
        <v>1942</v>
      </c>
      <c r="AH269" s="1104" t="s">
        <v>1942</v>
      </c>
      <c r="AI269" s="1105">
        <f t="shared" si="4"/>
        <v>1</v>
      </c>
      <c r="AJ269" s="1106" t="s">
        <v>1030</v>
      </c>
      <c r="AK269" s="1106" t="s">
        <v>1008</v>
      </c>
      <c r="AL269" s="1106" t="s">
        <v>1019</v>
      </c>
      <c r="AM269" s="1107" t="s">
        <v>1967</v>
      </c>
      <c r="AN269" s="1018" t="s">
        <v>1033</v>
      </c>
      <c r="AO269" s="1018" t="s">
        <v>3036</v>
      </c>
      <c r="AP269" s="1333">
        <v>1</v>
      </c>
      <c r="AQ269" s="1076" t="s">
        <v>1010</v>
      </c>
      <c r="AR269" s="1109" t="s">
        <v>1942</v>
      </c>
      <c r="AS269" s="1110"/>
      <c r="AT269" s="1100"/>
      <c r="AU269" s="1100"/>
      <c r="AV269" s="1100"/>
      <c r="AW269" s="1111"/>
      <c r="AX269" s="1112"/>
      <c r="AY269" s="1075"/>
      <c r="AZ269" s="1076"/>
      <c r="BA269" s="1076"/>
      <c r="BB269" s="1076"/>
      <c r="BC269" s="1076"/>
      <c r="BD269" s="1076"/>
      <c r="BE269" s="1076"/>
      <c r="BF269" s="1076"/>
      <c r="BG269" s="1076"/>
      <c r="BH269" s="1076"/>
      <c r="BI269" s="1420"/>
      <c r="BJ269" s="1368"/>
      <c r="BK269" s="1368"/>
      <c r="BL269" s="1368"/>
      <c r="BM269" s="1368"/>
      <c r="BN269" s="1075"/>
      <c r="BO269" s="1076"/>
      <c r="BP269" s="1076"/>
      <c r="BQ269" s="1076"/>
      <c r="BR269" s="1076"/>
      <c r="BS269" s="1115"/>
      <c r="BT269" s="1076"/>
      <c r="BU269" s="1076"/>
      <c r="BV269" s="1076"/>
      <c r="BW269" s="1116"/>
      <c r="BX269" s="1115"/>
      <c r="BY269" s="1076"/>
      <c r="BZ269" s="1076"/>
      <c r="CA269" s="1076"/>
      <c r="CB269" s="1116"/>
      <c r="CC269" s="1117"/>
      <c r="CD269" s="1376"/>
      <c r="CE269" s="1377"/>
      <c r="CF269" s="1377"/>
      <c r="CG269" s="1377"/>
      <c r="CH269" s="1440"/>
      <c r="CI269" s="1420"/>
      <c r="CJ269" s="1368"/>
      <c r="CK269" s="1368"/>
      <c r="CL269" s="1368"/>
      <c r="CM269" s="1369"/>
      <c r="CN269" s="1420"/>
      <c r="CO269" s="1368"/>
      <c r="CP269" s="1368"/>
      <c r="CQ269" s="1368"/>
      <c r="CR269" s="1369"/>
      <c r="CS269" s="1420"/>
      <c r="CT269" s="1368"/>
      <c r="CU269" s="1368"/>
      <c r="CV269" s="1368"/>
      <c r="CW269" s="1369"/>
      <c r="CX269" s="1420"/>
      <c r="CY269" s="1368"/>
      <c r="CZ269" s="1368"/>
      <c r="DA269" s="1368"/>
      <c r="DB269" s="1369"/>
      <c r="DC269" s="1368"/>
      <c r="DD269" s="1368"/>
      <c r="DE269" s="1368"/>
      <c r="DF269" s="1368"/>
      <c r="DG269" s="1369"/>
      <c r="DH269" s="1420"/>
      <c r="DI269" s="1368"/>
      <c r="DJ269" s="1368"/>
      <c r="DK269" s="1368"/>
      <c r="DL269" s="1369"/>
      <c r="DM269" s="1808"/>
      <c r="DN269" s="1809"/>
      <c r="DO269" s="1809"/>
      <c r="DP269" s="1810"/>
      <c r="DQ269" s="1809"/>
      <c r="DR269" s="1809"/>
      <c r="DS269" s="1809"/>
      <c r="DT269" s="1810"/>
      <c r="DU269" s="1377"/>
      <c r="DV269" s="1729"/>
      <c r="DW269" s="1811"/>
    </row>
    <row r="270" spans="1:127" s="397" customFormat="1" ht="15.75" hidden="1" customHeight="1">
      <c r="A270" s="1097" t="s">
        <v>1075</v>
      </c>
      <c r="B270" s="1057">
        <v>261</v>
      </c>
      <c r="C270" s="1018"/>
      <c r="D270" s="1018"/>
      <c r="E270" s="1018"/>
      <c r="F270" s="1018"/>
      <c r="G270" s="1018"/>
      <c r="H270" s="1018"/>
      <c r="I270" s="1018"/>
      <c r="J270" s="1018"/>
      <c r="K270" s="1018"/>
      <c r="L270" s="1018"/>
      <c r="M270" s="1057"/>
      <c r="N270" s="1018"/>
      <c r="O270" s="1018"/>
      <c r="P270" s="1018"/>
      <c r="Q270" s="1018"/>
      <c r="R270" s="1018"/>
      <c r="S270" s="1018"/>
      <c r="T270" s="1019"/>
      <c r="U270" s="1098" t="s">
        <v>3037</v>
      </c>
      <c r="V270" s="1099" t="s">
        <v>3032</v>
      </c>
      <c r="W270" s="1099" t="s">
        <v>1907</v>
      </c>
      <c r="X270" s="1100" t="s">
        <v>3038</v>
      </c>
      <c r="Y270" s="1101" t="s">
        <v>3039</v>
      </c>
      <c r="Z270" s="1102" t="s">
        <v>3040</v>
      </c>
      <c r="AA270" s="1103">
        <v>0.5</v>
      </c>
      <c r="AB270" s="1104">
        <v>0.5</v>
      </c>
      <c r="AC270" s="1104" t="s">
        <v>1942</v>
      </c>
      <c r="AD270" s="1104" t="s">
        <v>1942</v>
      </c>
      <c r="AE270" s="1104" t="s">
        <v>1942</v>
      </c>
      <c r="AF270" s="1104" t="s">
        <v>1942</v>
      </c>
      <c r="AG270" s="1104" t="s">
        <v>1942</v>
      </c>
      <c r="AH270" s="1104" t="s">
        <v>1942</v>
      </c>
      <c r="AI270" s="1105">
        <f t="shared" si="4"/>
        <v>1</v>
      </c>
      <c r="AJ270" s="1106" t="s">
        <v>1030</v>
      </c>
      <c r="AK270" s="1106" t="s">
        <v>1008</v>
      </c>
      <c r="AL270" s="1106" t="s">
        <v>1019</v>
      </c>
      <c r="AM270" s="1107" t="s">
        <v>2289</v>
      </c>
      <c r="AN270" s="1018" t="s">
        <v>1033</v>
      </c>
      <c r="AO270" s="1018" t="s">
        <v>3041</v>
      </c>
      <c r="AP270" s="1333">
        <v>1</v>
      </c>
      <c r="AQ270" s="1076" t="s">
        <v>1010</v>
      </c>
      <c r="AR270" s="1109" t="s">
        <v>1942</v>
      </c>
      <c r="AS270" s="1110"/>
      <c r="AT270" s="1100"/>
      <c r="AU270" s="1100"/>
      <c r="AV270" s="1100"/>
      <c r="AW270" s="1111"/>
      <c r="AX270" s="1112"/>
      <c r="AY270" s="1075"/>
      <c r="AZ270" s="1076"/>
      <c r="BA270" s="1076"/>
      <c r="BB270" s="1076"/>
      <c r="BC270" s="1076"/>
      <c r="BD270" s="1076"/>
      <c r="BE270" s="1076"/>
      <c r="BF270" s="1076"/>
      <c r="BG270" s="1076"/>
      <c r="BH270" s="1076"/>
      <c r="BI270" s="1420"/>
      <c r="BJ270" s="1368"/>
      <c r="BK270" s="1368"/>
      <c r="BL270" s="1368"/>
      <c r="BM270" s="1368"/>
      <c r="BN270" s="1075"/>
      <c r="BO270" s="1076"/>
      <c r="BP270" s="1076"/>
      <c r="BQ270" s="1076"/>
      <c r="BR270" s="1076"/>
      <c r="BS270" s="1115"/>
      <c r="BT270" s="1076"/>
      <c r="BU270" s="1076"/>
      <c r="BV270" s="1076"/>
      <c r="BW270" s="1116"/>
      <c r="BX270" s="1115"/>
      <c r="BY270" s="1076"/>
      <c r="BZ270" s="1076"/>
      <c r="CA270" s="1076"/>
      <c r="CB270" s="1116"/>
      <c r="CC270" s="1117"/>
      <c r="CD270" s="1376"/>
      <c r="CE270" s="1377"/>
      <c r="CF270" s="1377"/>
      <c r="CG270" s="1377"/>
      <c r="CH270" s="1440"/>
      <c r="CI270" s="1420"/>
      <c r="CJ270" s="1368"/>
      <c r="CK270" s="1368"/>
      <c r="CL270" s="1368"/>
      <c r="CM270" s="1369"/>
      <c r="CN270" s="1420"/>
      <c r="CO270" s="1368"/>
      <c r="CP270" s="1368"/>
      <c r="CQ270" s="1368"/>
      <c r="CR270" s="1369"/>
      <c r="CS270" s="1420"/>
      <c r="CT270" s="1368"/>
      <c r="CU270" s="1368"/>
      <c r="CV270" s="1368"/>
      <c r="CW270" s="1369"/>
      <c r="CX270" s="1420"/>
      <c r="CY270" s="1368"/>
      <c r="CZ270" s="1368"/>
      <c r="DA270" s="1368"/>
      <c r="DB270" s="1369"/>
      <c r="DC270" s="1368"/>
      <c r="DD270" s="1368"/>
      <c r="DE270" s="1368"/>
      <c r="DF270" s="1368"/>
      <c r="DG270" s="1369"/>
      <c r="DH270" s="1420"/>
      <c r="DI270" s="1368"/>
      <c r="DJ270" s="1368"/>
      <c r="DK270" s="1368"/>
      <c r="DL270" s="1369"/>
      <c r="DM270" s="1808"/>
      <c r="DN270" s="1809"/>
      <c r="DO270" s="1809"/>
      <c r="DP270" s="1810"/>
      <c r="DQ270" s="1809"/>
      <c r="DR270" s="1809"/>
      <c r="DS270" s="1809"/>
      <c r="DT270" s="1810"/>
      <c r="DU270" s="1377"/>
      <c r="DV270" s="1729"/>
      <c r="DW270" s="1811"/>
    </row>
    <row r="271" spans="1:127" s="397" customFormat="1" ht="15.75" hidden="1" customHeight="1">
      <c r="A271" s="1097" t="s">
        <v>1075</v>
      </c>
      <c r="B271" s="1057">
        <v>262</v>
      </c>
      <c r="C271" s="1018"/>
      <c r="D271" s="1018"/>
      <c r="E271" s="1018"/>
      <c r="F271" s="1018"/>
      <c r="G271" s="1018"/>
      <c r="H271" s="1018"/>
      <c r="I271" s="1018"/>
      <c r="J271" s="1018"/>
      <c r="K271" s="1018"/>
      <c r="L271" s="1018"/>
      <c r="M271" s="1057"/>
      <c r="N271" s="1018"/>
      <c r="O271" s="1018"/>
      <c r="P271" s="1018"/>
      <c r="Q271" s="1018"/>
      <c r="R271" s="1018"/>
      <c r="S271" s="1018"/>
      <c r="T271" s="1019"/>
      <c r="U271" s="1098" t="s">
        <v>3042</v>
      </c>
      <c r="V271" s="1099" t="s">
        <v>3032</v>
      </c>
      <c r="W271" s="1099" t="s">
        <v>1907</v>
      </c>
      <c r="X271" s="1100" t="s">
        <v>3043</v>
      </c>
      <c r="Y271" s="1101" t="s">
        <v>3044</v>
      </c>
      <c r="Z271" s="1102" t="s">
        <v>3045</v>
      </c>
      <c r="AA271" s="1103">
        <v>1</v>
      </c>
      <c r="AB271" s="1104" t="s">
        <v>1942</v>
      </c>
      <c r="AC271" s="1104" t="s">
        <v>1942</v>
      </c>
      <c r="AD271" s="1104" t="s">
        <v>1942</v>
      </c>
      <c r="AE271" s="1104" t="s">
        <v>1942</v>
      </c>
      <c r="AF271" s="1104" t="s">
        <v>1942</v>
      </c>
      <c r="AG271" s="1104" t="s">
        <v>1942</v>
      </c>
      <c r="AH271" s="1104" t="s">
        <v>1942</v>
      </c>
      <c r="AI271" s="1105">
        <f t="shared" si="4"/>
        <v>1</v>
      </c>
      <c r="AJ271" s="1106" t="s">
        <v>1026</v>
      </c>
      <c r="AK271" s="1106" t="s">
        <v>1008</v>
      </c>
      <c r="AL271" s="1106" t="s">
        <v>1009</v>
      </c>
      <c r="AM271" s="1107" t="s">
        <v>2106</v>
      </c>
      <c r="AN271" s="1018" t="s">
        <v>1033</v>
      </c>
      <c r="AO271" s="1018" t="s">
        <v>2816</v>
      </c>
      <c r="AP271" s="1333">
        <v>0</v>
      </c>
      <c r="AQ271" s="1076" t="s">
        <v>1010</v>
      </c>
      <c r="AR271" s="1109" t="s">
        <v>1942</v>
      </c>
      <c r="AS271" s="1110"/>
      <c r="AT271" s="1100"/>
      <c r="AU271" s="1100"/>
      <c r="AV271" s="1100"/>
      <c r="AW271" s="1111"/>
      <c r="AX271" s="1112"/>
      <c r="AY271" s="1075"/>
      <c r="AZ271" s="1076"/>
      <c r="BA271" s="1076"/>
      <c r="BB271" s="1076"/>
      <c r="BC271" s="1076"/>
      <c r="BD271" s="1076"/>
      <c r="BE271" s="1076"/>
      <c r="BF271" s="1076"/>
      <c r="BG271" s="1076"/>
      <c r="BH271" s="1076"/>
      <c r="BI271" s="1420"/>
      <c r="BJ271" s="1368"/>
      <c r="BK271" s="1368"/>
      <c r="BL271" s="1368"/>
      <c r="BM271" s="1368"/>
      <c r="BN271" s="1075"/>
      <c r="BO271" s="1076"/>
      <c r="BP271" s="1076"/>
      <c r="BQ271" s="1076"/>
      <c r="BR271" s="1076"/>
      <c r="BS271" s="1115"/>
      <c r="BT271" s="1076"/>
      <c r="BU271" s="1076"/>
      <c r="BV271" s="1076"/>
      <c r="BW271" s="1116"/>
      <c r="BX271" s="1115"/>
      <c r="BY271" s="1076"/>
      <c r="BZ271" s="1076"/>
      <c r="CA271" s="1076"/>
      <c r="CB271" s="1116"/>
      <c r="CC271" s="1117"/>
      <c r="CD271" s="1376"/>
      <c r="CE271" s="1377"/>
      <c r="CF271" s="1377"/>
      <c r="CG271" s="1377"/>
      <c r="CH271" s="1440"/>
      <c r="CI271" s="1420"/>
      <c r="CJ271" s="1368"/>
      <c r="CK271" s="1368"/>
      <c r="CL271" s="1368"/>
      <c r="CM271" s="1369"/>
      <c r="CN271" s="1420"/>
      <c r="CO271" s="1368"/>
      <c r="CP271" s="1368"/>
      <c r="CQ271" s="1368"/>
      <c r="CR271" s="1369"/>
      <c r="CS271" s="1420"/>
      <c r="CT271" s="1368"/>
      <c r="CU271" s="1368"/>
      <c r="CV271" s="1368"/>
      <c r="CW271" s="1369"/>
      <c r="CX271" s="1420"/>
      <c r="CY271" s="1368"/>
      <c r="CZ271" s="1368"/>
      <c r="DA271" s="1368"/>
      <c r="DB271" s="1369"/>
      <c r="DC271" s="1368"/>
      <c r="DD271" s="1368"/>
      <c r="DE271" s="1368"/>
      <c r="DF271" s="1368"/>
      <c r="DG271" s="1369"/>
      <c r="DH271" s="1420"/>
      <c r="DI271" s="1368"/>
      <c r="DJ271" s="1368"/>
      <c r="DK271" s="1368"/>
      <c r="DL271" s="1369"/>
      <c r="DM271" s="1808"/>
      <c r="DN271" s="1809"/>
      <c r="DO271" s="1809"/>
      <c r="DP271" s="1810"/>
      <c r="DQ271" s="1809"/>
      <c r="DR271" s="1809"/>
      <c r="DS271" s="1809"/>
      <c r="DT271" s="1810"/>
      <c r="DU271" s="1377"/>
      <c r="DV271" s="1729"/>
      <c r="DW271" s="1811"/>
    </row>
    <row r="272" spans="1:127" s="397" customFormat="1" ht="15.75" hidden="1" customHeight="1">
      <c r="A272" s="1097" t="s">
        <v>1075</v>
      </c>
      <c r="B272" s="1057">
        <v>263</v>
      </c>
      <c r="C272" s="1018"/>
      <c r="D272" s="1018"/>
      <c r="E272" s="1018"/>
      <c r="F272" s="1018"/>
      <c r="G272" s="1018"/>
      <c r="H272" s="1018"/>
      <c r="I272" s="1018"/>
      <c r="J272" s="1018"/>
      <c r="K272" s="1018"/>
      <c r="L272" s="1018"/>
      <c r="M272" s="1057"/>
      <c r="N272" s="1018"/>
      <c r="O272" s="1018"/>
      <c r="P272" s="1018"/>
      <c r="Q272" s="1018"/>
      <c r="R272" s="1018"/>
      <c r="S272" s="1018"/>
      <c r="T272" s="1019"/>
      <c r="U272" s="1098" t="s">
        <v>3046</v>
      </c>
      <c r="V272" s="1099" t="s">
        <v>3032</v>
      </c>
      <c r="W272" s="1099" t="s">
        <v>1889</v>
      </c>
      <c r="X272" s="1100" t="s">
        <v>3047</v>
      </c>
      <c r="Y272" s="1101" t="s">
        <v>2882</v>
      </c>
      <c r="Z272" s="1102" t="s">
        <v>3048</v>
      </c>
      <c r="AA272" s="1103">
        <v>0.25</v>
      </c>
      <c r="AB272" s="1104">
        <v>0.745</v>
      </c>
      <c r="AC272" s="1104" t="s">
        <v>1942</v>
      </c>
      <c r="AD272" s="1104" t="s">
        <v>1942</v>
      </c>
      <c r="AE272" s="1104">
        <v>5.0000000000000001E-3</v>
      </c>
      <c r="AF272" s="1104" t="s">
        <v>1942</v>
      </c>
      <c r="AG272" s="1104" t="s">
        <v>1942</v>
      </c>
      <c r="AH272" s="1104" t="s">
        <v>1942</v>
      </c>
      <c r="AI272" s="1105">
        <f t="shared" si="4"/>
        <v>1</v>
      </c>
      <c r="AJ272" s="1106" t="s">
        <v>1007</v>
      </c>
      <c r="AK272" s="1106" t="s">
        <v>1942</v>
      </c>
      <c r="AL272" s="1106" t="s">
        <v>1942</v>
      </c>
      <c r="AM272" s="1107" t="s">
        <v>2132</v>
      </c>
      <c r="AN272" s="1018" t="s">
        <v>1033</v>
      </c>
      <c r="AO272" s="1018" t="s">
        <v>3049</v>
      </c>
      <c r="AP272" s="1333">
        <v>1</v>
      </c>
      <c r="AQ272" s="1076" t="s">
        <v>1020</v>
      </c>
      <c r="AR272" s="1109" t="s">
        <v>1942</v>
      </c>
      <c r="AS272" s="1110"/>
      <c r="AT272" s="1100"/>
      <c r="AU272" s="1100"/>
      <c r="AV272" s="1100"/>
      <c r="AW272" s="1111"/>
      <c r="AX272" s="1112"/>
      <c r="AY272" s="1075"/>
      <c r="AZ272" s="1076"/>
      <c r="BA272" s="1076"/>
      <c r="BB272" s="1076"/>
      <c r="BC272" s="1076"/>
      <c r="BD272" s="1076"/>
      <c r="BE272" s="1076"/>
      <c r="BF272" s="1076"/>
      <c r="BG272" s="1076"/>
      <c r="BH272" s="1076"/>
      <c r="BI272" s="1420"/>
      <c r="BJ272" s="1368"/>
      <c r="BK272" s="1368"/>
      <c r="BL272" s="1368"/>
      <c r="BM272" s="1368"/>
      <c r="BN272" s="1075"/>
      <c r="BO272" s="1076"/>
      <c r="BP272" s="1076"/>
      <c r="BQ272" s="1076"/>
      <c r="BR272" s="1076"/>
      <c r="BS272" s="1115"/>
      <c r="BT272" s="1076"/>
      <c r="BU272" s="1076"/>
      <c r="BV272" s="1076"/>
      <c r="BW272" s="1116"/>
      <c r="BX272" s="1115"/>
      <c r="BY272" s="1076"/>
      <c r="BZ272" s="1076"/>
      <c r="CA272" s="1076"/>
      <c r="CB272" s="1116"/>
      <c r="CC272" s="1117"/>
      <c r="CD272" s="1376"/>
      <c r="CE272" s="1377"/>
      <c r="CF272" s="1377"/>
      <c r="CG272" s="1377"/>
      <c r="CH272" s="1440"/>
      <c r="CI272" s="1420"/>
      <c r="CJ272" s="1368"/>
      <c r="CK272" s="1368"/>
      <c r="CL272" s="1368"/>
      <c r="CM272" s="1369"/>
      <c r="CN272" s="1420"/>
      <c r="CO272" s="1368"/>
      <c r="CP272" s="1368"/>
      <c r="CQ272" s="1368"/>
      <c r="CR272" s="1369"/>
      <c r="CS272" s="1420"/>
      <c r="CT272" s="1368"/>
      <c r="CU272" s="1368"/>
      <c r="CV272" s="1368"/>
      <c r="CW272" s="1369"/>
      <c r="CX272" s="1420"/>
      <c r="CY272" s="1368"/>
      <c r="CZ272" s="1368"/>
      <c r="DA272" s="1368"/>
      <c r="DB272" s="1369"/>
      <c r="DC272" s="1368"/>
      <c r="DD272" s="1368"/>
      <c r="DE272" s="1368"/>
      <c r="DF272" s="1368"/>
      <c r="DG272" s="1369"/>
      <c r="DH272" s="1420"/>
      <c r="DI272" s="1368"/>
      <c r="DJ272" s="1368"/>
      <c r="DK272" s="1368"/>
      <c r="DL272" s="1369"/>
      <c r="DM272" s="1808"/>
      <c r="DN272" s="1809"/>
      <c r="DO272" s="1809"/>
      <c r="DP272" s="1810"/>
      <c r="DQ272" s="1809"/>
      <c r="DR272" s="1809"/>
      <c r="DS272" s="1809"/>
      <c r="DT272" s="1810"/>
      <c r="DU272" s="1377"/>
      <c r="DV272" s="1729"/>
      <c r="DW272" s="1811"/>
    </row>
    <row r="273" spans="1:127" s="397" customFormat="1" ht="15.75" hidden="1" customHeight="1">
      <c r="A273" s="1097" t="s">
        <v>1075</v>
      </c>
      <c r="B273" s="1057">
        <v>264</v>
      </c>
      <c r="C273" s="1018"/>
      <c r="D273" s="1018"/>
      <c r="E273" s="1018"/>
      <c r="F273" s="1018"/>
      <c r="G273" s="1018"/>
      <c r="H273" s="1018"/>
      <c r="I273" s="1018"/>
      <c r="J273" s="1018"/>
      <c r="K273" s="1018"/>
      <c r="L273" s="1018"/>
      <c r="M273" s="1057"/>
      <c r="N273" s="1018"/>
      <c r="O273" s="1018"/>
      <c r="P273" s="1018"/>
      <c r="Q273" s="1018"/>
      <c r="R273" s="1018"/>
      <c r="S273" s="1018"/>
      <c r="T273" s="1019"/>
      <c r="U273" s="1098" t="s">
        <v>3050</v>
      </c>
      <c r="V273" s="1099" t="s">
        <v>3032</v>
      </c>
      <c r="W273" s="1099" t="s">
        <v>1889</v>
      </c>
      <c r="X273" s="1100" t="s">
        <v>3051</v>
      </c>
      <c r="Y273" s="1101" t="s">
        <v>3052</v>
      </c>
      <c r="Z273" s="1102" t="s">
        <v>3053</v>
      </c>
      <c r="AA273" s="1103">
        <v>1</v>
      </c>
      <c r="AB273" s="1104" t="s">
        <v>1942</v>
      </c>
      <c r="AC273" s="1104" t="s">
        <v>1942</v>
      </c>
      <c r="AD273" s="1104" t="s">
        <v>1942</v>
      </c>
      <c r="AE273" s="1104" t="s">
        <v>1942</v>
      </c>
      <c r="AF273" s="1104" t="s">
        <v>1942</v>
      </c>
      <c r="AG273" s="1104" t="s">
        <v>1942</v>
      </c>
      <c r="AH273" s="1104" t="s">
        <v>1942</v>
      </c>
      <c r="AI273" s="1105">
        <f t="shared" si="4"/>
        <v>1</v>
      </c>
      <c r="AJ273" s="1106" t="s">
        <v>1026</v>
      </c>
      <c r="AK273" s="1106" t="s">
        <v>1008</v>
      </c>
      <c r="AL273" s="1106" t="s">
        <v>1009</v>
      </c>
      <c r="AM273" s="1107" t="s">
        <v>1979</v>
      </c>
      <c r="AN273" s="1018" t="s">
        <v>1033</v>
      </c>
      <c r="AO273" s="1018" t="s">
        <v>3054</v>
      </c>
      <c r="AP273" s="1333">
        <v>0</v>
      </c>
      <c r="AQ273" s="1076" t="s">
        <v>1020</v>
      </c>
      <c r="AR273" s="1109" t="s">
        <v>1942</v>
      </c>
      <c r="AS273" s="1110"/>
      <c r="AT273" s="1100"/>
      <c r="AU273" s="1100"/>
      <c r="AV273" s="1100"/>
      <c r="AW273" s="1111"/>
      <c r="AX273" s="1112"/>
      <c r="AY273" s="1075"/>
      <c r="AZ273" s="1076"/>
      <c r="BA273" s="1076"/>
      <c r="BB273" s="1076"/>
      <c r="BC273" s="1076"/>
      <c r="BD273" s="1076"/>
      <c r="BE273" s="1076"/>
      <c r="BF273" s="1076"/>
      <c r="BG273" s="1076"/>
      <c r="BH273" s="1076"/>
      <c r="BI273" s="1420"/>
      <c r="BJ273" s="1368"/>
      <c r="BK273" s="1368"/>
      <c r="BL273" s="1368"/>
      <c r="BM273" s="1368"/>
      <c r="BN273" s="1075"/>
      <c r="BO273" s="1076"/>
      <c r="BP273" s="1076"/>
      <c r="BQ273" s="1076"/>
      <c r="BR273" s="1076"/>
      <c r="BS273" s="1115"/>
      <c r="BT273" s="1076"/>
      <c r="BU273" s="1076"/>
      <c r="BV273" s="1076"/>
      <c r="BW273" s="1116"/>
      <c r="BX273" s="1115"/>
      <c r="BY273" s="1076"/>
      <c r="BZ273" s="1076"/>
      <c r="CA273" s="1076"/>
      <c r="CB273" s="1116"/>
      <c r="CC273" s="1117"/>
      <c r="CD273" s="1376"/>
      <c r="CE273" s="1377"/>
      <c r="CF273" s="1377"/>
      <c r="CG273" s="1377"/>
      <c r="CH273" s="1440"/>
      <c r="CI273" s="1420"/>
      <c r="CJ273" s="1368"/>
      <c r="CK273" s="1368"/>
      <c r="CL273" s="1368"/>
      <c r="CM273" s="1369"/>
      <c r="CN273" s="1420"/>
      <c r="CO273" s="1368"/>
      <c r="CP273" s="1368"/>
      <c r="CQ273" s="1368"/>
      <c r="CR273" s="1369"/>
      <c r="CS273" s="1420"/>
      <c r="CT273" s="1368"/>
      <c r="CU273" s="1368"/>
      <c r="CV273" s="1368"/>
      <c r="CW273" s="1369"/>
      <c r="CX273" s="1420"/>
      <c r="CY273" s="1368"/>
      <c r="CZ273" s="1368"/>
      <c r="DA273" s="1368"/>
      <c r="DB273" s="1369"/>
      <c r="DC273" s="1368"/>
      <c r="DD273" s="1368"/>
      <c r="DE273" s="1368"/>
      <c r="DF273" s="1368"/>
      <c r="DG273" s="1369"/>
      <c r="DH273" s="1420"/>
      <c r="DI273" s="1368"/>
      <c r="DJ273" s="1368"/>
      <c r="DK273" s="1368"/>
      <c r="DL273" s="1369"/>
      <c r="DM273" s="1808"/>
      <c r="DN273" s="1809"/>
      <c r="DO273" s="1809"/>
      <c r="DP273" s="1810"/>
      <c r="DQ273" s="1809"/>
      <c r="DR273" s="1809"/>
      <c r="DS273" s="1809"/>
      <c r="DT273" s="1810"/>
      <c r="DU273" s="1377"/>
      <c r="DV273" s="1729"/>
      <c r="DW273" s="1811"/>
    </row>
    <row r="274" spans="1:127" s="397" customFormat="1" ht="15.75" hidden="1" customHeight="1">
      <c r="A274" s="1097" t="s">
        <v>1075</v>
      </c>
      <c r="B274" s="1057">
        <v>265</v>
      </c>
      <c r="C274" s="1018"/>
      <c r="D274" s="1018"/>
      <c r="E274" s="1018"/>
      <c r="F274" s="1018"/>
      <c r="G274" s="1018"/>
      <c r="H274" s="1018"/>
      <c r="I274" s="1018"/>
      <c r="J274" s="1018"/>
      <c r="K274" s="1018"/>
      <c r="L274" s="1018"/>
      <c r="M274" s="1057"/>
      <c r="N274" s="1018"/>
      <c r="O274" s="1018"/>
      <c r="P274" s="1018"/>
      <c r="Q274" s="1018"/>
      <c r="R274" s="1018"/>
      <c r="S274" s="1018"/>
      <c r="T274" s="1019"/>
      <c r="U274" s="1098" t="s">
        <v>3055</v>
      </c>
      <c r="V274" s="1099" t="s">
        <v>3032</v>
      </c>
      <c r="W274" s="1099" t="s">
        <v>1907</v>
      </c>
      <c r="X274" s="1100" t="s">
        <v>3056</v>
      </c>
      <c r="Y274" s="1101" t="s">
        <v>3057</v>
      </c>
      <c r="Z274" s="1102" t="s">
        <v>3058</v>
      </c>
      <c r="AA274" s="1103">
        <v>1</v>
      </c>
      <c r="AB274" s="1104" t="s">
        <v>1942</v>
      </c>
      <c r="AC274" s="1104" t="s">
        <v>1942</v>
      </c>
      <c r="AD274" s="1104" t="s">
        <v>1942</v>
      </c>
      <c r="AE274" s="1104" t="s">
        <v>1942</v>
      </c>
      <c r="AF274" s="1104" t="s">
        <v>1942</v>
      </c>
      <c r="AG274" s="1104" t="s">
        <v>1942</v>
      </c>
      <c r="AH274" s="1104" t="s">
        <v>1942</v>
      </c>
      <c r="AI274" s="1105">
        <f t="shared" si="4"/>
        <v>1</v>
      </c>
      <c r="AJ274" s="1106" t="s">
        <v>1007</v>
      </c>
      <c r="AK274" s="1106" t="s">
        <v>1942</v>
      </c>
      <c r="AL274" s="1106" t="s">
        <v>1942</v>
      </c>
      <c r="AM274" s="1107" t="s">
        <v>1979</v>
      </c>
      <c r="AN274" s="1018" t="s">
        <v>278</v>
      </c>
      <c r="AO274" s="1018" t="s">
        <v>3059</v>
      </c>
      <c r="AP274" s="1333">
        <v>0</v>
      </c>
      <c r="AQ274" s="1076" t="s">
        <v>1010</v>
      </c>
      <c r="AR274" s="1109" t="s">
        <v>1942</v>
      </c>
      <c r="AS274" s="1110"/>
      <c r="AT274" s="1100"/>
      <c r="AU274" s="1100"/>
      <c r="AV274" s="1100"/>
      <c r="AW274" s="1111"/>
      <c r="AX274" s="1112"/>
      <c r="AY274" s="1075"/>
      <c r="AZ274" s="1076"/>
      <c r="BA274" s="1076"/>
      <c r="BB274" s="1076"/>
      <c r="BC274" s="1076"/>
      <c r="BD274" s="1076"/>
      <c r="BE274" s="1076"/>
      <c r="BF274" s="1076"/>
      <c r="BG274" s="1076"/>
      <c r="BH274" s="1076"/>
      <c r="BI274" s="1420"/>
      <c r="BJ274" s="1368"/>
      <c r="BK274" s="1368"/>
      <c r="BL274" s="1368"/>
      <c r="BM274" s="1368"/>
      <c r="BN274" s="1075"/>
      <c r="BO274" s="1076"/>
      <c r="BP274" s="1076"/>
      <c r="BQ274" s="1076"/>
      <c r="BR274" s="1076"/>
      <c r="BS274" s="1115"/>
      <c r="BT274" s="1076"/>
      <c r="BU274" s="1076"/>
      <c r="BV274" s="1076"/>
      <c r="BW274" s="1116"/>
      <c r="BX274" s="1115"/>
      <c r="BY274" s="1076"/>
      <c r="BZ274" s="1076"/>
      <c r="CA274" s="1076"/>
      <c r="CB274" s="1116"/>
      <c r="CC274" s="1117"/>
      <c r="CD274" s="1376"/>
      <c r="CE274" s="1377"/>
      <c r="CF274" s="1377"/>
      <c r="CG274" s="1377"/>
      <c r="CH274" s="1440"/>
      <c r="CI274" s="1420"/>
      <c r="CJ274" s="1368"/>
      <c r="CK274" s="1368"/>
      <c r="CL274" s="1368"/>
      <c r="CM274" s="1369"/>
      <c r="CN274" s="1420"/>
      <c r="CO274" s="1368"/>
      <c r="CP274" s="1368"/>
      <c r="CQ274" s="1368"/>
      <c r="CR274" s="1369"/>
      <c r="CS274" s="1420"/>
      <c r="CT274" s="1368"/>
      <c r="CU274" s="1368"/>
      <c r="CV274" s="1368"/>
      <c r="CW274" s="1369"/>
      <c r="CX274" s="1420"/>
      <c r="CY274" s="1368"/>
      <c r="CZ274" s="1368"/>
      <c r="DA274" s="1368"/>
      <c r="DB274" s="1369"/>
      <c r="DC274" s="1368"/>
      <c r="DD274" s="1368"/>
      <c r="DE274" s="1368"/>
      <c r="DF274" s="1368"/>
      <c r="DG274" s="1369"/>
      <c r="DH274" s="1420"/>
      <c r="DI274" s="1368"/>
      <c r="DJ274" s="1368"/>
      <c r="DK274" s="1368"/>
      <c r="DL274" s="1369"/>
      <c r="DM274" s="1808"/>
      <c r="DN274" s="1809"/>
      <c r="DO274" s="1809"/>
      <c r="DP274" s="1810"/>
      <c r="DQ274" s="1809"/>
      <c r="DR274" s="1809"/>
      <c r="DS274" s="1809"/>
      <c r="DT274" s="1810"/>
      <c r="DU274" s="1377"/>
      <c r="DV274" s="1729"/>
      <c r="DW274" s="1811"/>
    </row>
    <row r="275" spans="1:127" s="397" customFormat="1" ht="15.75" hidden="1" customHeight="1">
      <c r="A275" s="1097" t="s">
        <v>1075</v>
      </c>
      <c r="B275" s="1057">
        <v>266</v>
      </c>
      <c r="C275" s="1018"/>
      <c r="D275" s="1018"/>
      <c r="E275" s="1018"/>
      <c r="F275" s="1018"/>
      <c r="G275" s="1018"/>
      <c r="H275" s="1018"/>
      <c r="I275" s="1018"/>
      <c r="J275" s="1018"/>
      <c r="K275" s="1018"/>
      <c r="L275" s="1018"/>
      <c r="M275" s="1057"/>
      <c r="N275" s="1018"/>
      <c r="O275" s="1018"/>
      <c r="P275" s="1018"/>
      <c r="Q275" s="1018"/>
      <c r="R275" s="1018"/>
      <c r="S275" s="1018"/>
      <c r="T275" s="1019"/>
      <c r="U275" s="1098" t="s">
        <v>3060</v>
      </c>
      <c r="V275" s="1099" t="s">
        <v>2918</v>
      </c>
      <c r="W275" s="1099" t="s">
        <v>1889</v>
      </c>
      <c r="X275" s="1100" t="s">
        <v>3061</v>
      </c>
      <c r="Y275" s="1101" t="s">
        <v>3062</v>
      </c>
      <c r="Z275" s="1102" t="s">
        <v>3063</v>
      </c>
      <c r="AA275" s="1103" t="s">
        <v>1942</v>
      </c>
      <c r="AB275" s="1104">
        <v>0.5</v>
      </c>
      <c r="AC275" s="1104" t="s">
        <v>1942</v>
      </c>
      <c r="AD275" s="1104" t="s">
        <v>1942</v>
      </c>
      <c r="AE275" s="1104">
        <v>0.5</v>
      </c>
      <c r="AF275" s="1104" t="s">
        <v>1942</v>
      </c>
      <c r="AG275" s="1104" t="s">
        <v>1942</v>
      </c>
      <c r="AH275" s="1104" t="s">
        <v>1942</v>
      </c>
      <c r="AI275" s="1105">
        <f t="shared" si="4"/>
        <v>1</v>
      </c>
      <c r="AJ275" s="1106" t="s">
        <v>1007</v>
      </c>
      <c r="AK275" s="1106" t="s">
        <v>1942</v>
      </c>
      <c r="AL275" s="1106" t="s">
        <v>1942</v>
      </c>
      <c r="AM275" s="1107" t="s">
        <v>1947</v>
      </c>
      <c r="AN275" s="1018" t="s">
        <v>1081</v>
      </c>
      <c r="AO275" s="1018" t="s">
        <v>2955</v>
      </c>
      <c r="AP275" s="1333">
        <v>1</v>
      </c>
      <c r="AQ275" s="1076" t="s">
        <v>1010</v>
      </c>
      <c r="AR275" s="1109" t="s">
        <v>1942</v>
      </c>
      <c r="AS275" s="1110"/>
      <c r="AT275" s="1100"/>
      <c r="AU275" s="1100"/>
      <c r="AV275" s="1100"/>
      <c r="AW275" s="1111"/>
      <c r="AX275" s="1112"/>
      <c r="AY275" s="1075"/>
      <c r="AZ275" s="1076"/>
      <c r="BA275" s="1076"/>
      <c r="BB275" s="1076"/>
      <c r="BC275" s="1076"/>
      <c r="BD275" s="1076"/>
      <c r="BE275" s="1076"/>
      <c r="BF275" s="1076"/>
      <c r="BG275" s="1076"/>
      <c r="BH275" s="1076"/>
      <c r="BI275" s="1420"/>
      <c r="BJ275" s="1368"/>
      <c r="BK275" s="1368"/>
      <c r="BL275" s="1368"/>
      <c r="BM275" s="1368"/>
      <c r="BN275" s="1075"/>
      <c r="BO275" s="1076"/>
      <c r="BP275" s="1076"/>
      <c r="BQ275" s="1076"/>
      <c r="BR275" s="1076"/>
      <c r="BS275" s="1115"/>
      <c r="BT275" s="1076"/>
      <c r="BU275" s="1076"/>
      <c r="BV275" s="1076"/>
      <c r="BW275" s="1116"/>
      <c r="BX275" s="1115"/>
      <c r="BY275" s="1076"/>
      <c r="BZ275" s="1076"/>
      <c r="CA275" s="1076"/>
      <c r="CB275" s="1116"/>
      <c r="CC275" s="1117"/>
      <c r="CD275" s="1376"/>
      <c r="CE275" s="1377"/>
      <c r="CF275" s="1377"/>
      <c r="CG275" s="1377"/>
      <c r="CH275" s="1440"/>
      <c r="CI275" s="1420"/>
      <c r="CJ275" s="1368"/>
      <c r="CK275" s="1368"/>
      <c r="CL275" s="1368"/>
      <c r="CM275" s="1369"/>
      <c r="CN275" s="1420"/>
      <c r="CO275" s="1368"/>
      <c r="CP275" s="1368"/>
      <c r="CQ275" s="1368"/>
      <c r="CR275" s="1369"/>
      <c r="CS275" s="1420"/>
      <c r="CT275" s="1368"/>
      <c r="CU275" s="1368"/>
      <c r="CV275" s="1368"/>
      <c r="CW275" s="1369"/>
      <c r="CX275" s="1420"/>
      <c r="CY275" s="1368"/>
      <c r="CZ275" s="1368"/>
      <c r="DA275" s="1368"/>
      <c r="DB275" s="1369"/>
      <c r="DC275" s="1368"/>
      <c r="DD275" s="1368"/>
      <c r="DE275" s="1368"/>
      <c r="DF275" s="1368"/>
      <c r="DG275" s="1369"/>
      <c r="DH275" s="1420"/>
      <c r="DI275" s="1368"/>
      <c r="DJ275" s="1368"/>
      <c r="DK275" s="1368"/>
      <c r="DL275" s="1369"/>
      <c r="DM275" s="1808"/>
      <c r="DN275" s="1809"/>
      <c r="DO275" s="1809"/>
      <c r="DP275" s="1810"/>
      <c r="DQ275" s="1809"/>
      <c r="DR275" s="1809"/>
      <c r="DS275" s="1809"/>
      <c r="DT275" s="1810"/>
      <c r="DU275" s="1377"/>
      <c r="DV275" s="1729"/>
      <c r="DW275" s="1811"/>
    </row>
    <row r="276" spans="1:127" s="397" customFormat="1" ht="15.75" hidden="1" customHeight="1">
      <c r="A276" s="1097" t="s">
        <v>1075</v>
      </c>
      <c r="B276" s="1057">
        <v>267</v>
      </c>
      <c r="C276" s="1018"/>
      <c r="D276" s="1018"/>
      <c r="E276" s="1018"/>
      <c r="F276" s="1018"/>
      <c r="G276" s="1018"/>
      <c r="H276" s="1018"/>
      <c r="I276" s="1018"/>
      <c r="J276" s="1018"/>
      <c r="K276" s="1018"/>
      <c r="L276" s="1018"/>
      <c r="M276" s="1057"/>
      <c r="N276" s="1018"/>
      <c r="O276" s="1018"/>
      <c r="P276" s="1018"/>
      <c r="Q276" s="1018"/>
      <c r="R276" s="1018"/>
      <c r="S276" s="1018"/>
      <c r="T276" s="1019"/>
      <c r="U276" s="1098" t="s">
        <v>3064</v>
      </c>
      <c r="V276" s="1099" t="s">
        <v>1942</v>
      </c>
      <c r="W276" s="1099" t="s">
        <v>1942</v>
      </c>
      <c r="X276" s="1100" t="s">
        <v>2032</v>
      </c>
      <c r="Y276" s="1101" t="s">
        <v>2033</v>
      </c>
      <c r="Z276" s="1102" t="s">
        <v>1942</v>
      </c>
      <c r="AA276" s="1103" t="s">
        <v>1942</v>
      </c>
      <c r="AB276" s="1104" t="s">
        <v>1942</v>
      </c>
      <c r="AC276" s="1104" t="s">
        <v>1942</v>
      </c>
      <c r="AD276" s="1104" t="s">
        <v>1942</v>
      </c>
      <c r="AE276" s="1104" t="s">
        <v>1942</v>
      </c>
      <c r="AF276" s="1104" t="s">
        <v>1942</v>
      </c>
      <c r="AG276" s="1104" t="s">
        <v>1942</v>
      </c>
      <c r="AH276" s="1104" t="s">
        <v>1942</v>
      </c>
      <c r="AI276" s="1105">
        <f t="shared" si="4"/>
        <v>0</v>
      </c>
      <c r="AJ276" s="1106" t="s">
        <v>1007</v>
      </c>
      <c r="AK276" s="1106" t="s">
        <v>1942</v>
      </c>
      <c r="AL276" s="1106" t="s">
        <v>1942</v>
      </c>
      <c r="AM276" s="1107" t="s">
        <v>1942</v>
      </c>
      <c r="AN276" s="1018" t="s">
        <v>1942</v>
      </c>
      <c r="AO276" s="1018" t="s">
        <v>2034</v>
      </c>
      <c r="AP276" s="1333">
        <v>0</v>
      </c>
      <c r="AQ276" s="1076" t="s">
        <v>1942</v>
      </c>
      <c r="AR276" s="1109" t="s">
        <v>1942</v>
      </c>
      <c r="AS276" s="1110"/>
      <c r="AT276" s="1100"/>
      <c r="AU276" s="1100"/>
      <c r="AV276" s="1100"/>
      <c r="AW276" s="1111"/>
      <c r="AX276" s="1112"/>
      <c r="AY276" s="1075"/>
      <c r="AZ276" s="1076"/>
      <c r="BA276" s="1076"/>
      <c r="BB276" s="1076"/>
      <c r="BC276" s="1076"/>
      <c r="BD276" s="1076"/>
      <c r="BE276" s="1076"/>
      <c r="BF276" s="1076"/>
      <c r="BG276" s="1076"/>
      <c r="BH276" s="1076"/>
      <c r="BI276" s="1420"/>
      <c r="BJ276" s="1368"/>
      <c r="BK276" s="1368"/>
      <c r="BL276" s="1368"/>
      <c r="BM276" s="1368"/>
      <c r="BN276" s="1075"/>
      <c r="BO276" s="1076"/>
      <c r="BP276" s="1076"/>
      <c r="BQ276" s="1076"/>
      <c r="BR276" s="1076"/>
      <c r="BS276" s="1115"/>
      <c r="BT276" s="1076"/>
      <c r="BU276" s="1076"/>
      <c r="BV276" s="1076"/>
      <c r="BW276" s="1116"/>
      <c r="BX276" s="1115"/>
      <c r="BY276" s="1076"/>
      <c r="BZ276" s="1076"/>
      <c r="CA276" s="1076"/>
      <c r="CB276" s="1116"/>
      <c r="CC276" s="1117"/>
      <c r="CD276" s="1376"/>
      <c r="CE276" s="1377"/>
      <c r="CF276" s="1377"/>
      <c r="CG276" s="1377"/>
      <c r="CH276" s="1440"/>
      <c r="CI276" s="1420"/>
      <c r="CJ276" s="1368"/>
      <c r="CK276" s="1368"/>
      <c r="CL276" s="1368"/>
      <c r="CM276" s="1369"/>
      <c r="CN276" s="1420"/>
      <c r="CO276" s="1368"/>
      <c r="CP276" s="1368"/>
      <c r="CQ276" s="1368"/>
      <c r="CR276" s="1369"/>
      <c r="CS276" s="1420"/>
      <c r="CT276" s="1368"/>
      <c r="CU276" s="1368"/>
      <c r="CV276" s="1368"/>
      <c r="CW276" s="1369"/>
      <c r="CX276" s="1420"/>
      <c r="CY276" s="1368"/>
      <c r="CZ276" s="1368"/>
      <c r="DA276" s="1368"/>
      <c r="DB276" s="1369"/>
      <c r="DC276" s="1368"/>
      <c r="DD276" s="1368"/>
      <c r="DE276" s="1368"/>
      <c r="DF276" s="1368"/>
      <c r="DG276" s="1369"/>
      <c r="DH276" s="1420"/>
      <c r="DI276" s="1368"/>
      <c r="DJ276" s="1368"/>
      <c r="DK276" s="1368"/>
      <c r="DL276" s="1369"/>
      <c r="DM276" s="1808"/>
      <c r="DN276" s="1809"/>
      <c r="DO276" s="1809"/>
      <c r="DP276" s="1810"/>
      <c r="DQ276" s="1809"/>
      <c r="DR276" s="1809"/>
      <c r="DS276" s="1809"/>
      <c r="DT276" s="1810"/>
      <c r="DU276" s="1377"/>
      <c r="DV276" s="1729"/>
      <c r="DW276" s="1811"/>
    </row>
    <row r="277" spans="1:127" s="397" customFormat="1" ht="15.75" hidden="1" customHeight="1">
      <c r="A277" s="1097" t="s">
        <v>1075</v>
      </c>
      <c r="B277" s="1057">
        <v>268</v>
      </c>
      <c r="C277" s="1018"/>
      <c r="D277" s="1018"/>
      <c r="E277" s="1018"/>
      <c r="F277" s="1018"/>
      <c r="G277" s="1018"/>
      <c r="H277" s="1018"/>
      <c r="I277" s="1018"/>
      <c r="J277" s="1018"/>
      <c r="K277" s="1018"/>
      <c r="L277" s="1018"/>
      <c r="M277" s="1057"/>
      <c r="N277" s="1018"/>
      <c r="O277" s="1018"/>
      <c r="P277" s="1018"/>
      <c r="Q277" s="1018"/>
      <c r="R277" s="1018"/>
      <c r="S277" s="1018"/>
      <c r="T277" s="1019"/>
      <c r="U277" s="1098" t="s">
        <v>4848</v>
      </c>
      <c r="V277" s="1099" t="s">
        <v>1942</v>
      </c>
      <c r="W277" s="1099" t="s">
        <v>1942</v>
      </c>
      <c r="X277" s="1100" t="s">
        <v>1052</v>
      </c>
      <c r="Y277" s="1101" t="s">
        <v>4849</v>
      </c>
      <c r="Z277" s="1102" t="s">
        <v>1942</v>
      </c>
      <c r="AA277" s="1103" t="s">
        <v>1942</v>
      </c>
      <c r="AB277" s="1104">
        <v>1</v>
      </c>
      <c r="AC277" s="1104" t="s">
        <v>1942</v>
      </c>
      <c r="AD277" s="1104" t="s">
        <v>1942</v>
      </c>
      <c r="AE277" s="1104" t="s">
        <v>1942</v>
      </c>
      <c r="AF277" s="1104" t="s">
        <v>1942</v>
      </c>
      <c r="AG277" s="1104" t="s">
        <v>1942</v>
      </c>
      <c r="AH277" s="1104" t="s">
        <v>1942</v>
      </c>
      <c r="AI277" s="1105">
        <f t="shared" si="4"/>
        <v>1</v>
      </c>
      <c r="AJ277" s="1106"/>
      <c r="AK277" s="1106"/>
      <c r="AL277" s="1106"/>
      <c r="AM277" s="1107"/>
      <c r="AN277" s="1018"/>
      <c r="AO277" s="1018"/>
      <c r="AP277" s="1333">
        <v>0</v>
      </c>
      <c r="AQ277" s="1076"/>
      <c r="AR277" s="1109"/>
      <c r="AS277" s="1110"/>
      <c r="AT277" s="1100"/>
      <c r="AU277" s="1100"/>
      <c r="AV277" s="1100"/>
      <c r="AW277" s="1111"/>
      <c r="AX277" s="1112"/>
      <c r="AY277" s="1075"/>
      <c r="AZ277" s="1076"/>
      <c r="BA277" s="1076"/>
      <c r="BB277" s="1076"/>
      <c r="BC277" s="1076"/>
      <c r="BD277" s="1076"/>
      <c r="BE277" s="1076"/>
      <c r="BF277" s="1076"/>
      <c r="BG277" s="1076"/>
      <c r="BH277" s="1076"/>
      <c r="BI277" s="1420"/>
      <c r="BJ277" s="1368"/>
      <c r="BK277" s="1368"/>
      <c r="BL277" s="1368"/>
      <c r="BM277" s="1368"/>
      <c r="BN277" s="1075"/>
      <c r="BO277" s="1076"/>
      <c r="BP277" s="1076"/>
      <c r="BQ277" s="1076"/>
      <c r="BR277" s="1076"/>
      <c r="BS277" s="1115"/>
      <c r="BT277" s="1076"/>
      <c r="BU277" s="1076"/>
      <c r="BV277" s="1076"/>
      <c r="BW277" s="1116"/>
      <c r="BX277" s="1115"/>
      <c r="BY277" s="1076"/>
      <c r="BZ277" s="1076"/>
      <c r="CA277" s="1076"/>
      <c r="CB277" s="1116"/>
      <c r="CC277" s="1117"/>
      <c r="CD277" s="1376"/>
      <c r="CE277" s="1377"/>
      <c r="CF277" s="1377"/>
      <c r="CG277" s="1377"/>
      <c r="CH277" s="1440"/>
      <c r="CI277" s="1420"/>
      <c r="CJ277" s="1368"/>
      <c r="CK277" s="1368"/>
      <c r="CL277" s="1368"/>
      <c r="CM277" s="1369"/>
      <c r="CN277" s="1420"/>
      <c r="CO277" s="1368"/>
      <c r="CP277" s="1368"/>
      <c r="CQ277" s="1368"/>
      <c r="CR277" s="1369"/>
      <c r="CS277" s="1420"/>
      <c r="CT277" s="1368"/>
      <c r="CU277" s="1368"/>
      <c r="CV277" s="1368"/>
      <c r="CW277" s="1369"/>
      <c r="CX277" s="1420"/>
      <c r="CY277" s="1368"/>
      <c r="CZ277" s="1368"/>
      <c r="DA277" s="1368"/>
      <c r="DB277" s="1369"/>
      <c r="DC277" s="1368"/>
      <c r="DD277" s="1368"/>
      <c r="DE277" s="1368"/>
      <c r="DF277" s="1368"/>
      <c r="DG277" s="1369"/>
      <c r="DH277" s="1420"/>
      <c r="DI277" s="1368"/>
      <c r="DJ277" s="1368"/>
      <c r="DK277" s="1368"/>
      <c r="DL277" s="1369"/>
      <c r="DM277" s="1808"/>
      <c r="DN277" s="1809"/>
      <c r="DO277" s="1809"/>
      <c r="DP277" s="1810"/>
      <c r="DQ277" s="1809"/>
      <c r="DR277" s="1809"/>
      <c r="DS277" s="1809"/>
      <c r="DT277" s="1810"/>
      <c r="DU277" s="1377"/>
      <c r="DV277" s="1729"/>
      <c r="DW277" s="1811"/>
    </row>
    <row r="278" spans="1:127" s="397" customFormat="1" ht="15.75" customHeight="1">
      <c r="A278" s="1097" t="s">
        <v>1038</v>
      </c>
      <c r="B278" s="1057">
        <v>269</v>
      </c>
      <c r="C278" s="1018"/>
      <c r="D278" s="1018"/>
      <c r="E278" s="1018"/>
      <c r="F278" s="1018"/>
      <c r="G278" s="1018"/>
      <c r="H278" s="1018"/>
      <c r="I278" s="1018"/>
      <c r="J278" s="1018"/>
      <c r="K278" s="1018"/>
      <c r="L278" s="1018"/>
      <c r="M278" s="1057"/>
      <c r="N278" s="1018"/>
      <c r="O278" s="1018"/>
      <c r="P278" s="1018"/>
      <c r="Q278" s="1018"/>
      <c r="R278" s="1018"/>
      <c r="S278" s="1018"/>
      <c r="T278" s="1019"/>
      <c r="U278" s="1098" t="s">
        <v>3069</v>
      </c>
      <c r="V278" s="1099" t="s">
        <v>3070</v>
      </c>
      <c r="W278" s="1099" t="s">
        <v>1889</v>
      </c>
      <c r="X278" s="1100" t="s">
        <v>3071</v>
      </c>
      <c r="Y278" s="1101" t="s">
        <v>130</v>
      </c>
      <c r="Z278" s="1102" t="s">
        <v>3072</v>
      </c>
      <c r="AA278" s="1103" t="s">
        <v>1942</v>
      </c>
      <c r="AB278" s="1104">
        <v>1</v>
      </c>
      <c r="AC278" s="1104" t="s">
        <v>1942</v>
      </c>
      <c r="AD278" s="1104" t="s">
        <v>1942</v>
      </c>
      <c r="AE278" s="1104" t="s">
        <v>1942</v>
      </c>
      <c r="AF278" s="1104" t="s">
        <v>1942</v>
      </c>
      <c r="AG278" s="1104" t="s">
        <v>1942</v>
      </c>
      <c r="AH278" s="1104" t="s">
        <v>1942</v>
      </c>
      <c r="AI278" s="1105">
        <f t="shared" si="4"/>
        <v>1</v>
      </c>
      <c r="AJ278" s="1106" t="s">
        <v>1026</v>
      </c>
      <c r="AK278" s="1106" t="s">
        <v>1008</v>
      </c>
      <c r="AL278" s="1106" t="s">
        <v>1009</v>
      </c>
      <c r="AM278" s="1107" t="s">
        <v>3073</v>
      </c>
      <c r="AN278" s="1018" t="s">
        <v>2177</v>
      </c>
      <c r="AO278" s="1018" t="s">
        <v>4795</v>
      </c>
      <c r="AP278" s="1307">
        <v>2</v>
      </c>
      <c r="AQ278" s="1076" t="s">
        <v>1020</v>
      </c>
      <c r="AR278" s="1109" t="s">
        <v>130</v>
      </c>
      <c r="AS278" s="1110"/>
      <c r="AT278" s="1100"/>
      <c r="AU278" s="1100"/>
      <c r="AV278" s="1100"/>
      <c r="AW278" s="1111"/>
      <c r="AX278" s="1112"/>
      <c r="AY278" s="1075"/>
      <c r="AZ278" s="1076"/>
      <c r="BA278" s="1076"/>
      <c r="BB278" s="1076"/>
      <c r="BC278" s="1076"/>
      <c r="BD278" s="1076"/>
      <c r="BE278" s="1076"/>
      <c r="BF278" s="1076"/>
      <c r="BG278" s="1126"/>
      <c r="BH278" s="1126"/>
      <c r="BI278" s="1127">
        <v>0</v>
      </c>
      <c r="BJ278" s="1126">
        <v>0</v>
      </c>
      <c r="BK278" s="1126">
        <v>0</v>
      </c>
      <c r="BL278" s="1126">
        <v>0</v>
      </c>
      <c r="BM278" s="1126">
        <v>0</v>
      </c>
      <c r="BN278" s="1075"/>
      <c r="BO278" s="1076"/>
      <c r="BP278" s="1076"/>
      <c r="BQ278" s="1076"/>
      <c r="BR278" s="1076"/>
      <c r="BS278" s="1115"/>
      <c r="BT278" s="1076"/>
      <c r="BU278" s="1076"/>
      <c r="BV278" s="1076"/>
      <c r="BW278" s="1116"/>
      <c r="BX278" s="1115"/>
      <c r="BY278" s="1076"/>
      <c r="BZ278" s="1076"/>
      <c r="CA278" s="1076"/>
      <c r="CB278" s="1116"/>
      <c r="CC278" s="1117"/>
      <c r="CD278" s="1118" t="s">
        <v>168</v>
      </c>
      <c r="CE278" s="1119" t="s">
        <v>168</v>
      </c>
      <c r="CF278" s="1119" t="s">
        <v>168</v>
      </c>
      <c r="CG278" s="1119" t="s">
        <v>168</v>
      </c>
      <c r="CH278" s="1120" t="s">
        <v>168</v>
      </c>
      <c r="CI278" s="1075" t="s">
        <v>1942</v>
      </c>
      <c r="CJ278" s="1076" t="s">
        <v>1942</v>
      </c>
      <c r="CK278" s="1076" t="s">
        <v>1942</v>
      </c>
      <c r="CL278" s="1076" t="s">
        <v>1942</v>
      </c>
      <c r="CM278" s="1117" t="s">
        <v>1942</v>
      </c>
      <c r="CN278" s="1075">
        <v>9.5</v>
      </c>
      <c r="CO278" s="1076">
        <v>9.5</v>
      </c>
      <c r="CP278" s="1076">
        <v>9.5</v>
      </c>
      <c r="CQ278" s="1076">
        <v>9.5</v>
      </c>
      <c r="CR278" s="1117">
        <v>9.5</v>
      </c>
      <c r="CS278" s="1075">
        <v>2</v>
      </c>
      <c r="CT278" s="1076">
        <v>2</v>
      </c>
      <c r="CU278" s="1076">
        <v>2</v>
      </c>
      <c r="CV278" s="1076">
        <v>2</v>
      </c>
      <c r="CW278" s="1117">
        <v>2</v>
      </c>
      <c r="CX278" s="1075" t="s">
        <v>1942</v>
      </c>
      <c r="CY278" s="1076" t="s">
        <v>1942</v>
      </c>
      <c r="CZ278" s="1076" t="s">
        <v>1942</v>
      </c>
      <c r="DA278" s="1076" t="s">
        <v>1942</v>
      </c>
      <c r="DB278" s="1117" t="s">
        <v>1942</v>
      </c>
      <c r="DC278" s="1076" t="s">
        <v>1942</v>
      </c>
      <c r="DD278" s="1076" t="s">
        <v>1942</v>
      </c>
      <c r="DE278" s="1076" t="s">
        <v>1942</v>
      </c>
      <c r="DF278" s="1076" t="s">
        <v>1942</v>
      </c>
      <c r="DG278" s="1117" t="s">
        <v>1942</v>
      </c>
      <c r="DH278" s="1075" t="s">
        <v>1942</v>
      </c>
      <c r="DI278" s="1076" t="s">
        <v>1942</v>
      </c>
      <c r="DJ278" s="1076" t="s">
        <v>1942</v>
      </c>
      <c r="DK278" s="1076" t="s">
        <v>1942</v>
      </c>
      <c r="DL278" s="1117" t="s">
        <v>1942</v>
      </c>
      <c r="DM278" s="1121">
        <v>-0.628</v>
      </c>
      <c r="DN278" s="1122" t="s">
        <v>1942</v>
      </c>
      <c r="DO278" s="1122" t="s">
        <v>1942</v>
      </c>
      <c r="DP278" s="1123" t="s">
        <v>1942</v>
      </c>
      <c r="DQ278" s="1122">
        <v>0</v>
      </c>
      <c r="DR278" s="1122" t="s">
        <v>1942</v>
      </c>
      <c r="DS278" s="1122" t="s">
        <v>1942</v>
      </c>
      <c r="DT278" s="1123" t="s">
        <v>1942</v>
      </c>
      <c r="DU278" s="1119" t="s">
        <v>1942</v>
      </c>
      <c r="DV278" s="1124">
        <v>1</v>
      </c>
      <c r="DW278" s="1125" t="s">
        <v>1942</v>
      </c>
    </row>
    <row r="279" spans="1:127" s="397" customFormat="1" ht="15.75" customHeight="1">
      <c r="A279" s="1054" t="s">
        <v>1038</v>
      </c>
      <c r="B279" s="1055">
        <v>270</v>
      </c>
      <c r="C279" s="1143"/>
      <c r="D279" s="1143"/>
      <c r="E279" s="1143"/>
      <c r="F279" s="1143"/>
      <c r="G279" s="1143"/>
      <c r="H279" s="1143"/>
      <c r="I279" s="1143"/>
      <c r="J279" s="1143"/>
      <c r="K279" s="1143"/>
      <c r="L279" s="1143"/>
      <c r="M279" s="1055"/>
      <c r="N279" s="1143"/>
      <c r="O279" s="1143"/>
      <c r="P279" s="1143"/>
      <c r="Q279" s="1143"/>
      <c r="R279" s="1143"/>
      <c r="S279" s="1143"/>
      <c r="T279" s="1058"/>
      <c r="U279" s="1059" t="s">
        <v>3075</v>
      </c>
      <c r="V279" s="1060" t="s">
        <v>3076</v>
      </c>
      <c r="W279" s="1060" t="s">
        <v>1889</v>
      </c>
      <c r="X279" s="1061" t="s">
        <v>3078</v>
      </c>
      <c r="Y279" s="1062" t="s">
        <v>669</v>
      </c>
      <c r="Z279" s="1063" t="s">
        <v>3079</v>
      </c>
      <c r="AA279" s="1064" t="s">
        <v>1942</v>
      </c>
      <c r="AB279" s="1065">
        <v>1</v>
      </c>
      <c r="AC279" s="1065" t="s">
        <v>1942</v>
      </c>
      <c r="AD279" s="1065" t="s">
        <v>1942</v>
      </c>
      <c r="AE279" s="1065" t="s">
        <v>1942</v>
      </c>
      <c r="AF279" s="1065" t="s">
        <v>1942</v>
      </c>
      <c r="AG279" s="1065" t="s">
        <v>1942</v>
      </c>
      <c r="AH279" s="1065" t="s">
        <v>1942</v>
      </c>
      <c r="AI279" s="1066">
        <f t="shared" si="4"/>
        <v>1</v>
      </c>
      <c r="AJ279" s="1067" t="s">
        <v>1030</v>
      </c>
      <c r="AK279" s="1067" t="s">
        <v>1008</v>
      </c>
      <c r="AL279" s="1067" t="s">
        <v>1009</v>
      </c>
      <c r="AM279" s="1068" t="s">
        <v>3080</v>
      </c>
      <c r="AN279" s="1062" t="s">
        <v>278</v>
      </c>
      <c r="AO279" s="1062" t="s">
        <v>4791</v>
      </c>
      <c r="AP279" s="1306">
        <v>1</v>
      </c>
      <c r="AQ279" s="833" t="s">
        <v>1010</v>
      </c>
      <c r="AR279" s="1071" t="s">
        <v>669</v>
      </c>
      <c r="AS279" s="1072"/>
      <c r="AT279" s="1061"/>
      <c r="AU279" s="1061"/>
      <c r="AV279" s="1061"/>
      <c r="AW279" s="1073"/>
      <c r="AX279" s="1074"/>
      <c r="AY279" s="1079"/>
      <c r="AZ279" s="1080"/>
      <c r="BA279" s="1080"/>
      <c r="BB279" s="1080"/>
      <c r="BC279" s="1080"/>
      <c r="BD279" s="1080"/>
      <c r="BE279" s="1080"/>
      <c r="BF279" s="1080"/>
      <c r="BG279" s="1077"/>
      <c r="BH279" s="1077"/>
      <c r="BI279" s="1078">
        <v>2.9</v>
      </c>
      <c r="BJ279" s="1077">
        <v>6</v>
      </c>
      <c r="BK279" s="1077">
        <v>9</v>
      </c>
      <c r="BL279" s="1077">
        <v>12</v>
      </c>
      <c r="BM279" s="1077">
        <v>15</v>
      </c>
      <c r="BN279" s="1079"/>
      <c r="BO279" s="1080"/>
      <c r="BP279" s="1080"/>
      <c r="BQ279" s="1080"/>
      <c r="BR279" s="1080"/>
      <c r="BS279" s="1081"/>
      <c r="BT279" s="1080"/>
      <c r="BU279" s="1080"/>
      <c r="BV279" s="1080"/>
      <c r="BW279" s="1082"/>
      <c r="BX279" s="1081"/>
      <c r="BY279" s="1080"/>
      <c r="BZ279" s="1080"/>
      <c r="CA279" s="1080"/>
      <c r="CB279" s="1082"/>
      <c r="CC279" s="1083"/>
      <c r="CD279" s="1084" t="s">
        <v>168</v>
      </c>
      <c r="CE279" s="1085" t="s">
        <v>168</v>
      </c>
      <c r="CF279" s="1085" t="s">
        <v>168</v>
      </c>
      <c r="CG279" s="1085" t="s">
        <v>168</v>
      </c>
      <c r="CH279" s="1086" t="s">
        <v>168</v>
      </c>
      <c r="CI279" s="1089" t="s">
        <v>1942</v>
      </c>
      <c r="CJ279" s="1087" t="s">
        <v>1942</v>
      </c>
      <c r="CK279" s="1087" t="s">
        <v>1942</v>
      </c>
      <c r="CL279" s="1087" t="s">
        <v>1942</v>
      </c>
      <c r="CM279" s="1088" t="s">
        <v>1942</v>
      </c>
      <c r="CN279" s="1089">
        <v>-5</v>
      </c>
      <c r="CO279" s="1087">
        <v>-5</v>
      </c>
      <c r="CP279" s="1087">
        <v>-5</v>
      </c>
      <c r="CQ279" s="1087">
        <v>-5</v>
      </c>
      <c r="CR279" s="1088">
        <v>-5</v>
      </c>
      <c r="CS279" s="1079" t="s">
        <v>1942</v>
      </c>
      <c r="CT279" s="1080" t="s">
        <v>1942</v>
      </c>
      <c r="CU279" s="1080" t="s">
        <v>1942</v>
      </c>
      <c r="CV279" s="1080" t="s">
        <v>1942</v>
      </c>
      <c r="CW279" s="1083" t="s">
        <v>1942</v>
      </c>
      <c r="CX279" s="1079" t="s">
        <v>1942</v>
      </c>
      <c r="CY279" s="1080" t="s">
        <v>1942</v>
      </c>
      <c r="CZ279" s="1080" t="s">
        <v>1942</v>
      </c>
      <c r="DA279" s="1080" t="s">
        <v>1942</v>
      </c>
      <c r="DB279" s="1083" t="s">
        <v>1942</v>
      </c>
      <c r="DC279" s="1087">
        <v>11.6</v>
      </c>
      <c r="DD279" s="1087">
        <v>14.7</v>
      </c>
      <c r="DE279" s="1087">
        <v>17.7</v>
      </c>
      <c r="DF279" s="1087">
        <v>20.7</v>
      </c>
      <c r="DG279" s="1088">
        <v>23.7</v>
      </c>
      <c r="DH279" s="1089" t="s">
        <v>1942</v>
      </c>
      <c r="DI279" s="1080" t="s">
        <v>1942</v>
      </c>
      <c r="DJ279" s="1080" t="s">
        <v>1942</v>
      </c>
      <c r="DK279" s="1080" t="s">
        <v>1942</v>
      </c>
      <c r="DL279" s="1083" t="s">
        <v>1942</v>
      </c>
      <c r="DM279" s="1091">
        <v>-0.26500000000000001</v>
      </c>
      <c r="DN279" s="1092" t="s">
        <v>1942</v>
      </c>
      <c r="DO279" s="1092" t="s">
        <v>1942</v>
      </c>
      <c r="DP279" s="1093" t="s">
        <v>1942</v>
      </c>
      <c r="DQ279" s="1092">
        <v>0.13700000000000001</v>
      </c>
      <c r="DR279" s="1092" t="s">
        <v>1942</v>
      </c>
      <c r="DS279" s="1092" t="s">
        <v>1942</v>
      </c>
      <c r="DT279" s="1093" t="s">
        <v>1942</v>
      </c>
      <c r="DU279" s="1085" t="s">
        <v>1942</v>
      </c>
      <c r="DV279" s="1094" t="s">
        <v>1942</v>
      </c>
      <c r="DW279" s="1095" t="s">
        <v>1942</v>
      </c>
    </row>
    <row r="280" spans="1:127" s="397" customFormat="1" ht="15.75" customHeight="1">
      <c r="A280" s="1054" t="s">
        <v>1038</v>
      </c>
      <c r="B280" s="1055">
        <v>271</v>
      </c>
      <c r="C280" s="1143"/>
      <c r="D280" s="1143"/>
      <c r="E280" s="1143"/>
      <c r="F280" s="1143"/>
      <c r="G280" s="1143"/>
      <c r="H280" s="1143"/>
      <c r="I280" s="1143"/>
      <c r="J280" s="1143"/>
      <c r="K280" s="1143"/>
      <c r="L280" s="1143"/>
      <c r="M280" s="1055"/>
      <c r="N280" s="1143"/>
      <c r="O280" s="1143"/>
      <c r="P280" s="1143"/>
      <c r="Q280" s="1143"/>
      <c r="R280" s="1143"/>
      <c r="S280" s="1143"/>
      <c r="T280" s="1058"/>
      <c r="U280" s="1059" t="s">
        <v>3082</v>
      </c>
      <c r="V280" s="1060" t="s">
        <v>3083</v>
      </c>
      <c r="W280" s="1060" t="s">
        <v>1889</v>
      </c>
      <c r="X280" s="1061" t="s">
        <v>3084</v>
      </c>
      <c r="Y280" s="1062" t="s">
        <v>1902</v>
      </c>
      <c r="Z280" s="1063" t="s">
        <v>3085</v>
      </c>
      <c r="AA280" s="1064">
        <v>1</v>
      </c>
      <c r="AB280" s="1065" t="s">
        <v>1942</v>
      </c>
      <c r="AC280" s="1065" t="s">
        <v>1942</v>
      </c>
      <c r="AD280" s="1065" t="s">
        <v>1942</v>
      </c>
      <c r="AE280" s="1065" t="s">
        <v>1942</v>
      </c>
      <c r="AF280" s="1065" t="s">
        <v>1942</v>
      </c>
      <c r="AG280" s="1065" t="s">
        <v>1942</v>
      </c>
      <c r="AH280" s="1065" t="s">
        <v>1942</v>
      </c>
      <c r="AI280" s="1066">
        <f t="shared" si="4"/>
        <v>1</v>
      </c>
      <c r="AJ280" s="1067" t="s">
        <v>1030</v>
      </c>
      <c r="AK280" s="1067" t="s">
        <v>1008</v>
      </c>
      <c r="AL280" s="1440" t="s">
        <v>1019</v>
      </c>
      <c r="AM280" s="1068" t="s">
        <v>3086</v>
      </c>
      <c r="AN280" s="1062" t="s">
        <v>2118</v>
      </c>
      <c r="AO280" s="1062" t="s">
        <v>4791</v>
      </c>
      <c r="AP280" s="1306">
        <v>1</v>
      </c>
      <c r="AQ280" s="833" t="s">
        <v>1010</v>
      </c>
      <c r="AR280" s="1071" t="s">
        <v>1902</v>
      </c>
      <c r="AS280" s="1072"/>
      <c r="AT280" s="1061"/>
      <c r="AU280" s="1061"/>
      <c r="AV280" s="1061"/>
      <c r="AW280" s="1073"/>
      <c r="AX280" s="1074"/>
      <c r="AY280" s="1079"/>
      <c r="AZ280" s="1080"/>
      <c r="BA280" s="1080"/>
      <c r="BB280" s="1080"/>
      <c r="BC280" s="1080"/>
      <c r="BD280" s="1080"/>
      <c r="BE280" s="1080"/>
      <c r="BF280" s="1080"/>
      <c r="BG280" s="1077"/>
      <c r="BH280" s="1077"/>
      <c r="BI280" s="1078">
        <v>1</v>
      </c>
      <c r="BJ280" s="1077">
        <v>2</v>
      </c>
      <c r="BK280" s="1077">
        <v>4.3</v>
      </c>
      <c r="BL280" s="1077">
        <v>6</v>
      </c>
      <c r="BM280" s="1077">
        <v>7.2</v>
      </c>
      <c r="BN280" s="1079"/>
      <c r="BO280" s="1080"/>
      <c r="BP280" s="1080"/>
      <c r="BQ280" s="1080"/>
      <c r="BR280" s="1080"/>
      <c r="BS280" s="1081"/>
      <c r="BT280" s="1080"/>
      <c r="BU280" s="1080"/>
      <c r="BV280" s="1080"/>
      <c r="BW280" s="1082"/>
      <c r="BX280" s="1081"/>
      <c r="BY280" s="1080"/>
      <c r="BZ280" s="1080"/>
      <c r="CA280" s="1080"/>
      <c r="CB280" s="1082"/>
      <c r="CC280" s="1083"/>
      <c r="CD280" s="1084" t="s">
        <v>168</v>
      </c>
      <c r="CE280" s="1085" t="s">
        <v>168</v>
      </c>
      <c r="CF280" s="1085" t="s">
        <v>168</v>
      </c>
      <c r="CG280" s="1085" t="s">
        <v>168</v>
      </c>
      <c r="CH280" s="1086" t="s">
        <v>168</v>
      </c>
      <c r="CI280" s="1089">
        <v>-18.3</v>
      </c>
      <c r="CJ280" s="1087">
        <v>-18.3</v>
      </c>
      <c r="CK280" s="1087">
        <v>-18.3</v>
      </c>
      <c r="CL280" s="1087">
        <v>-18.3</v>
      </c>
      <c r="CM280" s="1088">
        <v>-18.3</v>
      </c>
      <c r="CN280" s="1089">
        <v>-16.7</v>
      </c>
      <c r="CO280" s="1087">
        <v>-16.7</v>
      </c>
      <c r="CP280" s="1087">
        <v>-16.7</v>
      </c>
      <c r="CQ280" s="1087">
        <v>-16.7</v>
      </c>
      <c r="CR280" s="1088">
        <v>-16.7</v>
      </c>
      <c r="CS280" s="1079" t="s">
        <v>1942</v>
      </c>
      <c r="CT280" s="1080" t="s">
        <v>1942</v>
      </c>
      <c r="CU280" s="1080" t="s">
        <v>1942</v>
      </c>
      <c r="CV280" s="1080" t="s">
        <v>1942</v>
      </c>
      <c r="CW280" s="1083" t="s">
        <v>1942</v>
      </c>
      <c r="CX280" s="1079" t="s">
        <v>1942</v>
      </c>
      <c r="CY280" s="1080" t="s">
        <v>1942</v>
      </c>
      <c r="CZ280" s="1080" t="s">
        <v>1942</v>
      </c>
      <c r="DA280" s="1080" t="s">
        <v>1942</v>
      </c>
      <c r="DB280" s="1083" t="s">
        <v>1942</v>
      </c>
      <c r="DC280" s="1087">
        <v>2.6</v>
      </c>
      <c r="DD280" s="1087">
        <v>3.5</v>
      </c>
      <c r="DE280" s="1087">
        <v>5.9</v>
      </c>
      <c r="DF280" s="1087">
        <v>7.5</v>
      </c>
      <c r="DG280" s="1088">
        <v>8.8000000000000007</v>
      </c>
      <c r="DH280" s="1089" t="s">
        <v>4805</v>
      </c>
      <c r="DI280" s="1080" t="s">
        <v>4805</v>
      </c>
      <c r="DJ280" s="1080" t="s">
        <v>4805</v>
      </c>
      <c r="DK280" s="1080" t="s">
        <v>4805</v>
      </c>
      <c r="DL280" s="1083" t="s">
        <v>4805</v>
      </c>
      <c r="DM280" s="1091">
        <v>-0.17799999999999999</v>
      </c>
      <c r="DN280" s="1092" t="s">
        <v>1942</v>
      </c>
      <c r="DO280" s="1092" t="s">
        <v>1942</v>
      </c>
      <c r="DP280" s="1093">
        <v>-0.35599999999999998</v>
      </c>
      <c r="DQ280" s="1092">
        <v>7.0000000000000007E-2</v>
      </c>
      <c r="DR280" s="1092" t="s">
        <v>1942</v>
      </c>
      <c r="DS280" s="1092" t="s">
        <v>1942</v>
      </c>
      <c r="DT280" s="1093">
        <v>0.35599999999999998</v>
      </c>
      <c r="DU280" s="1085" t="s">
        <v>1942</v>
      </c>
      <c r="DV280" s="1094">
        <v>1</v>
      </c>
      <c r="DW280" s="1095" t="s">
        <v>1942</v>
      </c>
    </row>
    <row r="281" spans="1:127" s="397" customFormat="1" ht="15.75" customHeight="1">
      <c r="A281" s="1097" t="s">
        <v>1038</v>
      </c>
      <c r="B281" s="1057">
        <v>272</v>
      </c>
      <c r="C281" s="1018"/>
      <c r="D281" s="1018"/>
      <c r="E281" s="1018"/>
      <c r="F281" s="1018"/>
      <c r="G281" s="1018"/>
      <c r="H281" s="1018"/>
      <c r="I281" s="1018"/>
      <c r="J281" s="1018"/>
      <c r="K281" s="1018"/>
      <c r="L281" s="1018"/>
      <c r="M281" s="1057"/>
      <c r="N281" s="1018"/>
      <c r="O281" s="1018"/>
      <c r="P281" s="1018"/>
      <c r="Q281" s="1018"/>
      <c r="R281" s="1018"/>
      <c r="S281" s="1018"/>
      <c r="T281" s="1019"/>
      <c r="U281" s="1098" t="s">
        <v>3088</v>
      </c>
      <c r="V281" s="1099" t="s">
        <v>3076</v>
      </c>
      <c r="W281" s="1099" t="s">
        <v>1889</v>
      </c>
      <c r="X281" s="1100" t="s">
        <v>3089</v>
      </c>
      <c r="Y281" s="1101" t="s">
        <v>3090</v>
      </c>
      <c r="Z281" s="1102" t="s">
        <v>3091</v>
      </c>
      <c r="AA281" s="1103" t="s">
        <v>1942</v>
      </c>
      <c r="AB281" s="1104">
        <v>1</v>
      </c>
      <c r="AC281" s="1104" t="s">
        <v>1942</v>
      </c>
      <c r="AD281" s="1104" t="s">
        <v>1942</v>
      </c>
      <c r="AE281" s="1104" t="s">
        <v>1942</v>
      </c>
      <c r="AF281" s="1104" t="s">
        <v>1942</v>
      </c>
      <c r="AG281" s="1104" t="s">
        <v>1942</v>
      </c>
      <c r="AH281" s="1104" t="s">
        <v>1942</v>
      </c>
      <c r="AI281" s="1105">
        <f t="shared" si="4"/>
        <v>1</v>
      </c>
      <c r="AJ281" s="1106" t="s">
        <v>1030</v>
      </c>
      <c r="AK281" s="1106" t="s">
        <v>1008</v>
      </c>
      <c r="AL281" s="1106" t="s">
        <v>1009</v>
      </c>
      <c r="AM281" s="1107" t="s">
        <v>3092</v>
      </c>
      <c r="AN281" s="1018" t="s">
        <v>396</v>
      </c>
      <c r="AO281" s="1018" t="s">
        <v>4798</v>
      </c>
      <c r="AP281" s="1307">
        <v>2</v>
      </c>
      <c r="AQ281" s="1076" t="s">
        <v>1020</v>
      </c>
      <c r="AR281" s="1109"/>
      <c r="AS281" s="1110"/>
      <c r="AT281" s="1100"/>
      <c r="AU281" s="1100"/>
      <c r="AV281" s="1100"/>
      <c r="AW281" s="1111"/>
      <c r="AX281" s="1112"/>
      <c r="AY281" s="1075"/>
      <c r="AZ281" s="1076"/>
      <c r="BA281" s="1076"/>
      <c r="BB281" s="1076"/>
      <c r="BC281" s="1076"/>
      <c r="BD281" s="1076"/>
      <c r="BE281" s="1076"/>
      <c r="BF281" s="1076"/>
      <c r="BG281" s="1076"/>
      <c r="BH281" s="1076"/>
      <c r="BI281" s="1420"/>
      <c r="BJ281" s="1368"/>
      <c r="BK281" s="1368"/>
      <c r="BL281" s="1368"/>
      <c r="BM281" s="1368"/>
      <c r="BN281" s="1075"/>
      <c r="BO281" s="1076"/>
      <c r="BP281" s="1076"/>
      <c r="BQ281" s="1076"/>
      <c r="BR281" s="1076"/>
      <c r="BS281" s="1115"/>
      <c r="BT281" s="1076"/>
      <c r="BU281" s="1076"/>
      <c r="BV281" s="1076"/>
      <c r="BW281" s="1116"/>
      <c r="BX281" s="1115"/>
      <c r="BY281" s="1076"/>
      <c r="BZ281" s="1076"/>
      <c r="CA281" s="1076"/>
      <c r="CB281" s="1116"/>
      <c r="CC281" s="1117"/>
      <c r="CD281" s="1376"/>
      <c r="CE281" s="1377"/>
      <c r="CF281" s="1377"/>
      <c r="CG281" s="1377"/>
      <c r="CH281" s="1440"/>
      <c r="CI281" s="1420"/>
      <c r="CJ281" s="1368"/>
      <c r="CK281" s="1368"/>
      <c r="CL281" s="1368"/>
      <c r="CM281" s="1369"/>
      <c r="CN281" s="1420"/>
      <c r="CO281" s="1368"/>
      <c r="CP281" s="1368"/>
      <c r="CQ281" s="1368"/>
      <c r="CR281" s="1369"/>
      <c r="CS281" s="1420"/>
      <c r="CT281" s="1368"/>
      <c r="CU281" s="1368"/>
      <c r="CV281" s="1368"/>
      <c r="CW281" s="1369"/>
      <c r="CX281" s="1420"/>
      <c r="CY281" s="1368"/>
      <c r="CZ281" s="1368"/>
      <c r="DA281" s="1368"/>
      <c r="DB281" s="1369"/>
      <c r="DC281" s="1368"/>
      <c r="DD281" s="1368"/>
      <c r="DE281" s="1368"/>
      <c r="DF281" s="1368"/>
      <c r="DG281" s="1369"/>
      <c r="DH281" s="1420"/>
      <c r="DI281" s="1368"/>
      <c r="DJ281" s="1368"/>
      <c r="DK281" s="1368"/>
      <c r="DL281" s="1369"/>
      <c r="DM281" s="1808"/>
      <c r="DN281" s="1809"/>
      <c r="DO281" s="1809"/>
      <c r="DP281" s="1810"/>
      <c r="DQ281" s="1809"/>
      <c r="DR281" s="1809"/>
      <c r="DS281" s="1809"/>
      <c r="DT281" s="1810"/>
      <c r="DU281" s="1377"/>
      <c r="DV281" s="1729"/>
      <c r="DW281" s="1811"/>
    </row>
    <row r="282" spans="1:127" s="397" customFormat="1" ht="15.75" customHeight="1">
      <c r="A282" s="1097" t="s">
        <v>1038</v>
      </c>
      <c r="B282" s="1057">
        <v>273</v>
      </c>
      <c r="C282" s="1018"/>
      <c r="D282" s="1018"/>
      <c r="E282" s="1018"/>
      <c r="F282" s="1018"/>
      <c r="G282" s="1018"/>
      <c r="H282" s="1018"/>
      <c r="I282" s="1018"/>
      <c r="J282" s="1018"/>
      <c r="K282" s="1018"/>
      <c r="L282" s="1018"/>
      <c r="M282" s="1057"/>
      <c r="N282" s="1018"/>
      <c r="O282" s="1018"/>
      <c r="P282" s="1018"/>
      <c r="Q282" s="1018"/>
      <c r="R282" s="1018"/>
      <c r="S282" s="1018"/>
      <c r="T282" s="1019"/>
      <c r="U282" s="1098" t="s">
        <v>3094</v>
      </c>
      <c r="V282" s="1099" t="s">
        <v>3076</v>
      </c>
      <c r="W282" s="1099" t="s">
        <v>3095</v>
      </c>
      <c r="X282" s="1100" t="s">
        <v>3096</v>
      </c>
      <c r="Y282" s="1101" t="s">
        <v>3097</v>
      </c>
      <c r="Z282" s="1102" t="s">
        <v>3098</v>
      </c>
      <c r="AA282" s="1103" t="s">
        <v>1942</v>
      </c>
      <c r="AB282" s="1104">
        <v>1</v>
      </c>
      <c r="AC282" s="1104" t="s">
        <v>1942</v>
      </c>
      <c r="AD282" s="1104" t="s">
        <v>1942</v>
      </c>
      <c r="AE282" s="1104" t="s">
        <v>1942</v>
      </c>
      <c r="AF282" s="1104" t="s">
        <v>1942</v>
      </c>
      <c r="AG282" s="1104" t="s">
        <v>1942</v>
      </c>
      <c r="AH282" s="1104" t="s">
        <v>1942</v>
      </c>
      <c r="AI282" s="1105">
        <f t="shared" si="4"/>
        <v>1</v>
      </c>
      <c r="AJ282" s="1106" t="s">
        <v>1030</v>
      </c>
      <c r="AK282" s="1106" t="s">
        <v>1008</v>
      </c>
      <c r="AL282" s="1106" t="s">
        <v>1009</v>
      </c>
      <c r="AM282" s="1107" t="s">
        <v>3092</v>
      </c>
      <c r="AN282" s="1018" t="s">
        <v>1033</v>
      </c>
      <c r="AO282" s="1018" t="s">
        <v>3093</v>
      </c>
      <c r="AP282" s="1274">
        <v>2</v>
      </c>
      <c r="AQ282" s="1076" t="s">
        <v>1020</v>
      </c>
      <c r="AR282" s="1109"/>
      <c r="AS282" s="1110"/>
      <c r="AT282" s="1100"/>
      <c r="AU282" s="1100"/>
      <c r="AV282" s="1100"/>
      <c r="AW282" s="1111"/>
      <c r="AX282" s="1112"/>
      <c r="AY282" s="1075"/>
      <c r="AZ282" s="1076"/>
      <c r="BA282" s="1076"/>
      <c r="BB282" s="1076"/>
      <c r="BC282" s="1076"/>
      <c r="BD282" s="1076"/>
      <c r="BE282" s="1076"/>
      <c r="BF282" s="1076"/>
      <c r="BG282" s="1076"/>
      <c r="BH282" s="1076"/>
      <c r="BI282" s="1420"/>
      <c r="BJ282" s="1368"/>
      <c r="BK282" s="1368"/>
      <c r="BL282" s="1368"/>
      <c r="BM282" s="1368"/>
      <c r="BN282" s="1075"/>
      <c r="BO282" s="1076"/>
      <c r="BP282" s="1076"/>
      <c r="BQ282" s="1076"/>
      <c r="BR282" s="1076"/>
      <c r="BS282" s="1115"/>
      <c r="BT282" s="1076"/>
      <c r="BU282" s="1076"/>
      <c r="BV282" s="1076"/>
      <c r="BW282" s="1116"/>
      <c r="BX282" s="1115"/>
      <c r="BY282" s="1076"/>
      <c r="BZ282" s="1076"/>
      <c r="CA282" s="1076"/>
      <c r="CB282" s="1116"/>
      <c r="CC282" s="1117"/>
      <c r="CD282" s="1376"/>
      <c r="CE282" s="1377"/>
      <c r="CF282" s="1377"/>
      <c r="CG282" s="1377"/>
      <c r="CH282" s="1440"/>
      <c r="CI282" s="1420"/>
      <c r="CJ282" s="1368"/>
      <c r="CK282" s="1368"/>
      <c r="CL282" s="1368"/>
      <c r="CM282" s="1369"/>
      <c r="CN282" s="1420"/>
      <c r="CO282" s="1368"/>
      <c r="CP282" s="1368"/>
      <c r="CQ282" s="1368"/>
      <c r="CR282" s="1369"/>
      <c r="CS282" s="1420"/>
      <c r="CT282" s="1368"/>
      <c r="CU282" s="1368"/>
      <c r="CV282" s="1368"/>
      <c r="CW282" s="1369"/>
      <c r="CX282" s="1420"/>
      <c r="CY282" s="1368"/>
      <c r="CZ282" s="1368"/>
      <c r="DA282" s="1368"/>
      <c r="DB282" s="1369"/>
      <c r="DC282" s="1368"/>
      <c r="DD282" s="1368"/>
      <c r="DE282" s="1368"/>
      <c r="DF282" s="1368"/>
      <c r="DG282" s="1369"/>
      <c r="DH282" s="1420"/>
      <c r="DI282" s="1368"/>
      <c r="DJ282" s="1368"/>
      <c r="DK282" s="1368"/>
      <c r="DL282" s="1369"/>
      <c r="DM282" s="1808"/>
      <c r="DN282" s="1809"/>
      <c r="DO282" s="1809"/>
      <c r="DP282" s="1810"/>
      <c r="DQ282" s="1809"/>
      <c r="DR282" s="1809"/>
      <c r="DS282" s="1809"/>
      <c r="DT282" s="1810"/>
      <c r="DU282" s="1377"/>
      <c r="DV282" s="1729"/>
      <c r="DW282" s="1811"/>
    </row>
    <row r="283" spans="1:127" s="397" customFormat="1" ht="15.75" customHeight="1">
      <c r="A283" s="1097" t="s">
        <v>1038</v>
      </c>
      <c r="B283" s="1057">
        <v>274</v>
      </c>
      <c r="C283" s="1018"/>
      <c r="D283" s="1018"/>
      <c r="E283" s="1018"/>
      <c r="F283" s="1018"/>
      <c r="G283" s="1018"/>
      <c r="H283" s="1018"/>
      <c r="I283" s="1018"/>
      <c r="J283" s="1018"/>
      <c r="K283" s="1018"/>
      <c r="L283" s="1018"/>
      <c r="M283" s="1057"/>
      <c r="N283" s="1018"/>
      <c r="O283" s="1018"/>
      <c r="P283" s="1018"/>
      <c r="Q283" s="1018"/>
      <c r="R283" s="1018"/>
      <c r="S283" s="1018"/>
      <c r="T283" s="1019"/>
      <c r="U283" s="1098" t="s">
        <v>3099</v>
      </c>
      <c r="V283" s="1099" t="s">
        <v>3100</v>
      </c>
      <c r="W283" s="1099" t="s">
        <v>3095</v>
      </c>
      <c r="X283" s="1100" t="s">
        <v>3101</v>
      </c>
      <c r="Y283" s="1101" t="s">
        <v>3102</v>
      </c>
      <c r="Z283" s="1102" t="s">
        <v>3103</v>
      </c>
      <c r="AA283" s="1103" t="s">
        <v>1942</v>
      </c>
      <c r="AB283" s="1104" t="s">
        <v>1942</v>
      </c>
      <c r="AC283" s="1104">
        <v>1</v>
      </c>
      <c r="AD283" s="1104" t="s">
        <v>1942</v>
      </c>
      <c r="AE283" s="1104" t="s">
        <v>1942</v>
      </c>
      <c r="AF283" s="1104" t="s">
        <v>1942</v>
      </c>
      <c r="AG283" s="1104" t="s">
        <v>1942</v>
      </c>
      <c r="AH283" s="1104" t="s">
        <v>1942</v>
      </c>
      <c r="AI283" s="1105">
        <f t="shared" si="4"/>
        <v>1</v>
      </c>
      <c r="AJ283" s="1106" t="s">
        <v>1017</v>
      </c>
      <c r="AK283" s="1106" t="s">
        <v>1008</v>
      </c>
      <c r="AL283" s="1106" t="s">
        <v>1009</v>
      </c>
      <c r="AM283" s="1107" t="s">
        <v>3104</v>
      </c>
      <c r="AN283" s="1018" t="s">
        <v>1033</v>
      </c>
      <c r="AO283" s="1018" t="s">
        <v>3105</v>
      </c>
      <c r="AP283" s="1274">
        <v>0</v>
      </c>
      <c r="AQ283" s="1076" t="s">
        <v>1010</v>
      </c>
      <c r="AR283" s="1109" t="s">
        <v>1942</v>
      </c>
      <c r="AS283" s="1110"/>
      <c r="AT283" s="1100"/>
      <c r="AU283" s="1100"/>
      <c r="AV283" s="1100"/>
      <c r="AW283" s="1111"/>
      <c r="AX283" s="1112"/>
      <c r="AY283" s="1075"/>
      <c r="AZ283" s="1076"/>
      <c r="BA283" s="1076"/>
      <c r="BB283" s="1076"/>
      <c r="BC283" s="1076"/>
      <c r="BD283" s="1076"/>
      <c r="BE283" s="1076"/>
      <c r="BF283" s="1076"/>
      <c r="BG283" s="1076"/>
      <c r="BH283" s="1076"/>
      <c r="BI283" s="1420"/>
      <c r="BJ283" s="1368"/>
      <c r="BK283" s="1368"/>
      <c r="BL283" s="1368"/>
      <c r="BM283" s="1368"/>
      <c r="BN283" s="1075"/>
      <c r="BO283" s="1076"/>
      <c r="BP283" s="1076"/>
      <c r="BQ283" s="1076"/>
      <c r="BR283" s="1076"/>
      <c r="BS283" s="1115"/>
      <c r="BT283" s="1076"/>
      <c r="BU283" s="1076"/>
      <c r="BV283" s="1076"/>
      <c r="BW283" s="1116"/>
      <c r="BX283" s="1115"/>
      <c r="BY283" s="1076"/>
      <c r="BZ283" s="1076"/>
      <c r="CA283" s="1076"/>
      <c r="CB283" s="1116"/>
      <c r="CC283" s="1117"/>
      <c r="CD283" s="1376"/>
      <c r="CE283" s="1377"/>
      <c r="CF283" s="1377"/>
      <c r="CG283" s="1377"/>
      <c r="CH283" s="1440"/>
      <c r="CI283" s="1420"/>
      <c r="CJ283" s="1368"/>
      <c r="CK283" s="1368"/>
      <c r="CL283" s="1368"/>
      <c r="CM283" s="1369"/>
      <c r="CN283" s="1420"/>
      <c r="CO283" s="1368"/>
      <c r="CP283" s="1368"/>
      <c r="CQ283" s="1368"/>
      <c r="CR283" s="1369"/>
      <c r="CS283" s="1420"/>
      <c r="CT283" s="1368"/>
      <c r="CU283" s="1368"/>
      <c r="CV283" s="1368"/>
      <c r="CW283" s="1369"/>
      <c r="CX283" s="1420"/>
      <c r="CY283" s="1368"/>
      <c r="CZ283" s="1368"/>
      <c r="DA283" s="1368"/>
      <c r="DB283" s="1369"/>
      <c r="DC283" s="1368"/>
      <c r="DD283" s="1368"/>
      <c r="DE283" s="1368"/>
      <c r="DF283" s="1368"/>
      <c r="DG283" s="1369"/>
      <c r="DH283" s="1420"/>
      <c r="DI283" s="1368"/>
      <c r="DJ283" s="1368"/>
      <c r="DK283" s="1368"/>
      <c r="DL283" s="1369"/>
      <c r="DM283" s="1808"/>
      <c r="DN283" s="1809"/>
      <c r="DO283" s="1809"/>
      <c r="DP283" s="1810"/>
      <c r="DQ283" s="1809"/>
      <c r="DR283" s="1809"/>
      <c r="DS283" s="1809"/>
      <c r="DT283" s="1810"/>
      <c r="DU283" s="1377"/>
      <c r="DV283" s="1729"/>
      <c r="DW283" s="1811"/>
    </row>
    <row r="284" spans="1:127" s="397" customFormat="1" ht="15.75" customHeight="1">
      <c r="A284" s="1097" t="s">
        <v>1038</v>
      </c>
      <c r="B284" s="1057">
        <v>275</v>
      </c>
      <c r="C284" s="1018"/>
      <c r="D284" s="1018"/>
      <c r="E284" s="1018"/>
      <c r="F284" s="1018"/>
      <c r="G284" s="1018"/>
      <c r="H284" s="1018"/>
      <c r="I284" s="1018"/>
      <c r="J284" s="1018"/>
      <c r="K284" s="1018"/>
      <c r="L284" s="1018"/>
      <c r="M284" s="1057"/>
      <c r="N284" s="1018"/>
      <c r="O284" s="1018"/>
      <c r="P284" s="1018"/>
      <c r="Q284" s="1018"/>
      <c r="R284" s="1018"/>
      <c r="S284" s="1018"/>
      <c r="T284" s="1019"/>
      <c r="U284" s="1098" t="s">
        <v>3106</v>
      </c>
      <c r="V284" s="1099" t="s">
        <v>3100</v>
      </c>
      <c r="W284" s="1099" t="s">
        <v>1889</v>
      </c>
      <c r="X284" s="1100" t="s">
        <v>3107</v>
      </c>
      <c r="Y284" s="1101" t="s">
        <v>3108</v>
      </c>
      <c r="Z284" s="1102" t="s">
        <v>3109</v>
      </c>
      <c r="AA284" s="1103" t="s">
        <v>1942</v>
      </c>
      <c r="AB284" s="1104">
        <v>0.03</v>
      </c>
      <c r="AC284" s="1104" t="s">
        <v>1942</v>
      </c>
      <c r="AD284" s="1104">
        <v>0.97</v>
      </c>
      <c r="AE284" s="1104" t="s">
        <v>1942</v>
      </c>
      <c r="AF284" s="1104" t="s">
        <v>1942</v>
      </c>
      <c r="AG284" s="1104" t="s">
        <v>1942</v>
      </c>
      <c r="AH284" s="1104" t="s">
        <v>1942</v>
      </c>
      <c r="AI284" s="1105">
        <f t="shared" si="4"/>
        <v>1</v>
      </c>
      <c r="AJ284" s="1106" t="s">
        <v>1030</v>
      </c>
      <c r="AK284" s="1106" t="s">
        <v>1008</v>
      </c>
      <c r="AL284" s="1106" t="s">
        <v>1009</v>
      </c>
      <c r="AM284" s="1107" t="s">
        <v>3110</v>
      </c>
      <c r="AN284" s="1018" t="s">
        <v>278</v>
      </c>
      <c r="AO284" s="1018" t="s">
        <v>3111</v>
      </c>
      <c r="AP284" s="1274">
        <v>2</v>
      </c>
      <c r="AQ284" s="1076" t="s">
        <v>1010</v>
      </c>
      <c r="AR284" s="1109" t="s">
        <v>1942</v>
      </c>
      <c r="AS284" s="1110"/>
      <c r="AT284" s="1100"/>
      <c r="AU284" s="1100"/>
      <c r="AV284" s="1100"/>
      <c r="AW284" s="1111"/>
      <c r="AX284" s="1112"/>
      <c r="AY284" s="1075"/>
      <c r="AZ284" s="1076"/>
      <c r="BA284" s="1076"/>
      <c r="BB284" s="1076"/>
      <c r="BC284" s="1076"/>
      <c r="BD284" s="1076"/>
      <c r="BE284" s="1076"/>
      <c r="BF284" s="1076"/>
      <c r="BG284" s="1076"/>
      <c r="BH284" s="1076"/>
      <c r="BI284" s="1420"/>
      <c r="BJ284" s="1368"/>
      <c r="BK284" s="1368"/>
      <c r="BL284" s="1368"/>
      <c r="BM284" s="1368"/>
      <c r="BN284" s="1075"/>
      <c r="BO284" s="1076"/>
      <c r="BP284" s="1076"/>
      <c r="BQ284" s="1076"/>
      <c r="BR284" s="1076"/>
      <c r="BS284" s="1115"/>
      <c r="BT284" s="1076"/>
      <c r="BU284" s="1076"/>
      <c r="BV284" s="1076"/>
      <c r="BW284" s="1116"/>
      <c r="BX284" s="1115"/>
      <c r="BY284" s="1076"/>
      <c r="BZ284" s="1076"/>
      <c r="CA284" s="1076"/>
      <c r="CB284" s="1116"/>
      <c r="CC284" s="1117"/>
      <c r="CD284" s="1376"/>
      <c r="CE284" s="1377"/>
      <c r="CF284" s="1377"/>
      <c r="CG284" s="1377"/>
      <c r="CH284" s="1440"/>
      <c r="CI284" s="1420"/>
      <c r="CJ284" s="1368"/>
      <c r="CK284" s="1368"/>
      <c r="CL284" s="1368"/>
      <c r="CM284" s="1369"/>
      <c r="CN284" s="1420"/>
      <c r="CO284" s="1368"/>
      <c r="CP284" s="1368"/>
      <c r="CQ284" s="1368"/>
      <c r="CR284" s="1369"/>
      <c r="CS284" s="1420"/>
      <c r="CT284" s="1368"/>
      <c r="CU284" s="1368"/>
      <c r="CV284" s="1368"/>
      <c r="CW284" s="1369"/>
      <c r="CX284" s="1420"/>
      <c r="CY284" s="1368"/>
      <c r="CZ284" s="1368"/>
      <c r="DA284" s="1368"/>
      <c r="DB284" s="1369"/>
      <c r="DC284" s="1368"/>
      <c r="DD284" s="1368"/>
      <c r="DE284" s="1368"/>
      <c r="DF284" s="1368"/>
      <c r="DG284" s="1369"/>
      <c r="DH284" s="1420"/>
      <c r="DI284" s="1368"/>
      <c r="DJ284" s="1368"/>
      <c r="DK284" s="1368"/>
      <c r="DL284" s="1369"/>
      <c r="DM284" s="1808"/>
      <c r="DN284" s="1809"/>
      <c r="DO284" s="1809"/>
      <c r="DP284" s="1810"/>
      <c r="DQ284" s="1809"/>
      <c r="DR284" s="1809"/>
      <c r="DS284" s="1809"/>
      <c r="DT284" s="1810"/>
      <c r="DU284" s="1377"/>
      <c r="DV284" s="1729"/>
      <c r="DW284" s="1811"/>
    </row>
    <row r="285" spans="1:127" s="397" customFormat="1" ht="15.75" customHeight="1">
      <c r="A285" s="1097" t="s">
        <v>1038</v>
      </c>
      <c r="B285" s="1057">
        <v>276</v>
      </c>
      <c r="C285" s="1018"/>
      <c r="D285" s="1018"/>
      <c r="E285" s="1018"/>
      <c r="F285" s="1018"/>
      <c r="G285" s="1018"/>
      <c r="H285" s="1018"/>
      <c r="I285" s="1018"/>
      <c r="J285" s="1018"/>
      <c r="K285" s="1018"/>
      <c r="L285" s="1018"/>
      <c r="M285" s="1057"/>
      <c r="N285" s="1018"/>
      <c r="O285" s="1018"/>
      <c r="P285" s="1018"/>
      <c r="Q285" s="1018"/>
      <c r="R285" s="1018"/>
      <c r="S285" s="1018"/>
      <c r="T285" s="1019"/>
      <c r="U285" s="1098" t="s">
        <v>3112</v>
      </c>
      <c r="V285" s="1099" t="s">
        <v>3100</v>
      </c>
      <c r="W285" s="1099" t="s">
        <v>3095</v>
      </c>
      <c r="X285" s="1100" t="s">
        <v>3113</v>
      </c>
      <c r="Y285" s="1101" t="s">
        <v>3114</v>
      </c>
      <c r="Z285" s="1102" t="s">
        <v>3115</v>
      </c>
      <c r="AA285" s="1103" t="s">
        <v>1942</v>
      </c>
      <c r="AB285" s="1104" t="s">
        <v>1942</v>
      </c>
      <c r="AC285" s="1104" t="s">
        <v>1942</v>
      </c>
      <c r="AD285" s="1104">
        <v>1</v>
      </c>
      <c r="AE285" s="1104" t="s">
        <v>1942</v>
      </c>
      <c r="AF285" s="1104" t="s">
        <v>1942</v>
      </c>
      <c r="AG285" s="1104" t="s">
        <v>1942</v>
      </c>
      <c r="AH285" s="1104" t="s">
        <v>1942</v>
      </c>
      <c r="AI285" s="1105">
        <f t="shared" si="4"/>
        <v>1</v>
      </c>
      <c r="AJ285" s="1106" t="s">
        <v>1026</v>
      </c>
      <c r="AK285" s="1106" t="s">
        <v>1008</v>
      </c>
      <c r="AL285" s="1106" t="s">
        <v>1009</v>
      </c>
      <c r="AM285" s="1107" t="s">
        <v>3116</v>
      </c>
      <c r="AN285" s="1018" t="s">
        <v>278</v>
      </c>
      <c r="AO285" s="1018" t="s">
        <v>3117</v>
      </c>
      <c r="AP285" s="1274">
        <v>2</v>
      </c>
      <c r="AQ285" s="1076" t="s">
        <v>1010</v>
      </c>
      <c r="AR285" s="1109" t="s">
        <v>1942</v>
      </c>
      <c r="AS285" s="1110"/>
      <c r="AT285" s="1100"/>
      <c r="AU285" s="1100"/>
      <c r="AV285" s="1100"/>
      <c r="AW285" s="1111"/>
      <c r="AX285" s="1112"/>
      <c r="AY285" s="1075"/>
      <c r="AZ285" s="1076"/>
      <c r="BA285" s="1076"/>
      <c r="BB285" s="1076"/>
      <c r="BC285" s="1076"/>
      <c r="BD285" s="1076"/>
      <c r="BE285" s="1076"/>
      <c r="BF285" s="1076"/>
      <c r="BG285" s="1076"/>
      <c r="BH285" s="1076"/>
      <c r="BI285" s="1420"/>
      <c r="BJ285" s="1368"/>
      <c r="BK285" s="1368"/>
      <c r="BL285" s="1368"/>
      <c r="BM285" s="1368"/>
      <c r="BN285" s="1075"/>
      <c r="BO285" s="1076"/>
      <c r="BP285" s="1076"/>
      <c r="BQ285" s="1076"/>
      <c r="BR285" s="1076"/>
      <c r="BS285" s="1115"/>
      <c r="BT285" s="1076"/>
      <c r="BU285" s="1076"/>
      <c r="BV285" s="1076"/>
      <c r="BW285" s="1116"/>
      <c r="BX285" s="1115"/>
      <c r="BY285" s="1076"/>
      <c r="BZ285" s="1076"/>
      <c r="CA285" s="1076"/>
      <c r="CB285" s="1116"/>
      <c r="CC285" s="1117"/>
      <c r="CD285" s="1376"/>
      <c r="CE285" s="1377"/>
      <c r="CF285" s="1377"/>
      <c r="CG285" s="1377"/>
      <c r="CH285" s="1440"/>
      <c r="CI285" s="1420"/>
      <c r="CJ285" s="1368"/>
      <c r="CK285" s="1368"/>
      <c r="CL285" s="1368"/>
      <c r="CM285" s="1369"/>
      <c r="CN285" s="1420"/>
      <c r="CO285" s="1368"/>
      <c r="CP285" s="1368"/>
      <c r="CQ285" s="1368"/>
      <c r="CR285" s="1369"/>
      <c r="CS285" s="1420"/>
      <c r="CT285" s="1368"/>
      <c r="CU285" s="1368"/>
      <c r="CV285" s="1368"/>
      <c r="CW285" s="1369"/>
      <c r="CX285" s="1420"/>
      <c r="CY285" s="1368"/>
      <c r="CZ285" s="1368"/>
      <c r="DA285" s="1368"/>
      <c r="DB285" s="1369"/>
      <c r="DC285" s="1368"/>
      <c r="DD285" s="1368"/>
      <c r="DE285" s="1368"/>
      <c r="DF285" s="1368"/>
      <c r="DG285" s="1369"/>
      <c r="DH285" s="1420"/>
      <c r="DI285" s="1368"/>
      <c r="DJ285" s="1368"/>
      <c r="DK285" s="1368"/>
      <c r="DL285" s="1369"/>
      <c r="DM285" s="1808"/>
      <c r="DN285" s="1809"/>
      <c r="DO285" s="1809"/>
      <c r="DP285" s="1810"/>
      <c r="DQ285" s="1809"/>
      <c r="DR285" s="1809"/>
      <c r="DS285" s="1809"/>
      <c r="DT285" s="1810"/>
      <c r="DU285" s="1377"/>
      <c r="DV285" s="1729"/>
      <c r="DW285" s="1811"/>
    </row>
    <row r="286" spans="1:127" s="397" customFormat="1" ht="15.75" customHeight="1">
      <c r="A286" s="1097" t="s">
        <v>1038</v>
      </c>
      <c r="B286" s="1057">
        <v>277</v>
      </c>
      <c r="C286" s="1018"/>
      <c r="D286" s="1018"/>
      <c r="E286" s="1018"/>
      <c r="F286" s="1018"/>
      <c r="G286" s="1018"/>
      <c r="H286" s="1018"/>
      <c r="I286" s="1018"/>
      <c r="J286" s="1018"/>
      <c r="K286" s="1018"/>
      <c r="L286" s="1018"/>
      <c r="M286" s="1057"/>
      <c r="N286" s="1018"/>
      <c r="O286" s="1018"/>
      <c r="P286" s="1018"/>
      <c r="Q286" s="1018"/>
      <c r="R286" s="1018"/>
      <c r="S286" s="1018"/>
      <c r="T286" s="1019"/>
      <c r="U286" s="1098" t="s">
        <v>3118</v>
      </c>
      <c r="V286" s="1099" t="s">
        <v>3119</v>
      </c>
      <c r="W286" s="1099" t="s">
        <v>3095</v>
      </c>
      <c r="X286" s="1100" t="s">
        <v>3120</v>
      </c>
      <c r="Y286" s="1101" t="s">
        <v>3121</v>
      </c>
      <c r="Z286" s="1102" t="s">
        <v>3122</v>
      </c>
      <c r="AA286" s="1103" t="s">
        <v>1942</v>
      </c>
      <c r="AB286" s="1104" t="s">
        <v>1942</v>
      </c>
      <c r="AC286" s="1104">
        <v>1</v>
      </c>
      <c r="AD286" s="1104" t="s">
        <v>1942</v>
      </c>
      <c r="AE286" s="1104" t="s">
        <v>1942</v>
      </c>
      <c r="AF286" s="1104" t="s">
        <v>1942</v>
      </c>
      <c r="AG286" s="1104" t="s">
        <v>1942</v>
      </c>
      <c r="AH286" s="1104" t="s">
        <v>1942</v>
      </c>
      <c r="AI286" s="1105">
        <f t="shared" si="4"/>
        <v>1</v>
      </c>
      <c r="AJ286" s="1106" t="s">
        <v>1026</v>
      </c>
      <c r="AK286" s="1106" t="s">
        <v>1008</v>
      </c>
      <c r="AL286" s="1106" t="s">
        <v>1009</v>
      </c>
      <c r="AM286" s="1107" t="s">
        <v>3104</v>
      </c>
      <c r="AN286" s="1018" t="s">
        <v>1033</v>
      </c>
      <c r="AO286" s="1018" t="s">
        <v>3123</v>
      </c>
      <c r="AP286" s="1274">
        <v>2</v>
      </c>
      <c r="AQ286" s="1076" t="s">
        <v>1010</v>
      </c>
      <c r="AR286" s="1109" t="s">
        <v>1942</v>
      </c>
      <c r="AS286" s="1110"/>
      <c r="AT286" s="1100"/>
      <c r="AU286" s="1100"/>
      <c r="AV286" s="1100"/>
      <c r="AW286" s="1111"/>
      <c r="AX286" s="1112"/>
      <c r="AY286" s="1075"/>
      <c r="AZ286" s="1076"/>
      <c r="BA286" s="1076"/>
      <c r="BB286" s="1076"/>
      <c r="BC286" s="1076"/>
      <c r="BD286" s="1076"/>
      <c r="BE286" s="1076"/>
      <c r="BF286" s="1076"/>
      <c r="BG286" s="1076"/>
      <c r="BH286" s="1076"/>
      <c r="BI286" s="1420"/>
      <c r="BJ286" s="1368"/>
      <c r="BK286" s="1368"/>
      <c r="BL286" s="1368"/>
      <c r="BM286" s="1368"/>
      <c r="BN286" s="1075"/>
      <c r="BO286" s="1076"/>
      <c r="BP286" s="1076"/>
      <c r="BQ286" s="1076"/>
      <c r="BR286" s="1076"/>
      <c r="BS286" s="1115"/>
      <c r="BT286" s="1076"/>
      <c r="BU286" s="1076"/>
      <c r="BV286" s="1076"/>
      <c r="BW286" s="1116"/>
      <c r="BX286" s="1115"/>
      <c r="BY286" s="1076"/>
      <c r="BZ286" s="1076"/>
      <c r="CA286" s="1076"/>
      <c r="CB286" s="1116"/>
      <c r="CC286" s="1117"/>
      <c r="CD286" s="1376"/>
      <c r="CE286" s="1377"/>
      <c r="CF286" s="1377"/>
      <c r="CG286" s="1377"/>
      <c r="CH286" s="1440"/>
      <c r="CI286" s="1420"/>
      <c r="CJ286" s="1368"/>
      <c r="CK286" s="1368"/>
      <c r="CL286" s="1368"/>
      <c r="CM286" s="1369"/>
      <c r="CN286" s="1420"/>
      <c r="CO286" s="1368"/>
      <c r="CP286" s="1368"/>
      <c r="CQ286" s="1368"/>
      <c r="CR286" s="1369"/>
      <c r="CS286" s="1420"/>
      <c r="CT286" s="1368"/>
      <c r="CU286" s="1368"/>
      <c r="CV286" s="1368"/>
      <c r="CW286" s="1369"/>
      <c r="CX286" s="1420"/>
      <c r="CY286" s="1368"/>
      <c r="CZ286" s="1368"/>
      <c r="DA286" s="1368"/>
      <c r="DB286" s="1369"/>
      <c r="DC286" s="1368"/>
      <c r="DD286" s="1368"/>
      <c r="DE286" s="1368"/>
      <c r="DF286" s="1368"/>
      <c r="DG286" s="1369"/>
      <c r="DH286" s="1420"/>
      <c r="DI286" s="1368"/>
      <c r="DJ286" s="1368"/>
      <c r="DK286" s="1368"/>
      <c r="DL286" s="1369"/>
      <c r="DM286" s="1808"/>
      <c r="DN286" s="1809"/>
      <c r="DO286" s="1809"/>
      <c r="DP286" s="1810"/>
      <c r="DQ286" s="1809"/>
      <c r="DR286" s="1809"/>
      <c r="DS286" s="1809"/>
      <c r="DT286" s="1810"/>
      <c r="DU286" s="1377"/>
      <c r="DV286" s="1729"/>
      <c r="DW286" s="1811"/>
    </row>
    <row r="287" spans="1:127" s="397" customFormat="1" ht="15.75" customHeight="1">
      <c r="A287" s="1097" t="s">
        <v>1038</v>
      </c>
      <c r="B287" s="1057">
        <v>278</v>
      </c>
      <c r="C287" s="1018"/>
      <c r="D287" s="1018"/>
      <c r="E287" s="1018"/>
      <c r="F287" s="1018"/>
      <c r="G287" s="1018"/>
      <c r="H287" s="1018"/>
      <c r="I287" s="1018"/>
      <c r="J287" s="1018"/>
      <c r="K287" s="1018"/>
      <c r="L287" s="1018"/>
      <c r="M287" s="1057"/>
      <c r="N287" s="1018"/>
      <c r="O287" s="1018"/>
      <c r="P287" s="1018"/>
      <c r="Q287" s="1018"/>
      <c r="R287" s="1018"/>
      <c r="S287" s="1018"/>
      <c r="T287" s="1019"/>
      <c r="U287" s="1098" t="s">
        <v>3124</v>
      </c>
      <c r="V287" s="1099" t="s">
        <v>3119</v>
      </c>
      <c r="W287" s="1099" t="s">
        <v>3077</v>
      </c>
      <c r="X287" s="1100" t="s">
        <v>3125</v>
      </c>
      <c r="Y287" s="1101" t="s">
        <v>2110</v>
      </c>
      <c r="Z287" s="1102" t="s">
        <v>3126</v>
      </c>
      <c r="AA287" s="1103">
        <v>1</v>
      </c>
      <c r="AB287" s="1104" t="s">
        <v>1942</v>
      </c>
      <c r="AC287" s="1104" t="s">
        <v>1942</v>
      </c>
      <c r="AD287" s="1104" t="s">
        <v>1942</v>
      </c>
      <c r="AE287" s="1104" t="s">
        <v>1942</v>
      </c>
      <c r="AF287" s="1104" t="s">
        <v>1942</v>
      </c>
      <c r="AG287" s="1104" t="s">
        <v>1942</v>
      </c>
      <c r="AH287" s="1104" t="s">
        <v>1942</v>
      </c>
      <c r="AI287" s="1105">
        <f t="shared" si="4"/>
        <v>1</v>
      </c>
      <c r="AJ287" s="1106" t="s">
        <v>1030</v>
      </c>
      <c r="AK287" s="1106" t="s">
        <v>1008</v>
      </c>
      <c r="AL287" s="1106" t="s">
        <v>1009</v>
      </c>
      <c r="AM287" s="1107" t="s">
        <v>3127</v>
      </c>
      <c r="AN287" s="1018" t="s">
        <v>1033</v>
      </c>
      <c r="AO287" s="1018" t="s">
        <v>3128</v>
      </c>
      <c r="AP287" s="1274">
        <v>0</v>
      </c>
      <c r="AQ287" s="1076" t="s">
        <v>1020</v>
      </c>
      <c r="AR287" s="1109" t="s">
        <v>1942</v>
      </c>
      <c r="AS287" s="1110"/>
      <c r="AT287" s="1100"/>
      <c r="AU287" s="1100"/>
      <c r="AV287" s="1100"/>
      <c r="AW287" s="1111"/>
      <c r="AX287" s="1112"/>
      <c r="AY287" s="1075"/>
      <c r="AZ287" s="1076"/>
      <c r="BA287" s="1076"/>
      <c r="BB287" s="1076"/>
      <c r="BC287" s="1076"/>
      <c r="BD287" s="1076"/>
      <c r="BE287" s="1076"/>
      <c r="BF287" s="1076"/>
      <c r="BG287" s="1076"/>
      <c r="BH287" s="1076"/>
      <c r="BI287" s="1420"/>
      <c r="BJ287" s="1368"/>
      <c r="BK287" s="1368"/>
      <c r="BL287" s="1368"/>
      <c r="BM287" s="1368"/>
      <c r="BN287" s="1075"/>
      <c r="BO287" s="1076"/>
      <c r="BP287" s="1076"/>
      <c r="BQ287" s="1076"/>
      <c r="BR287" s="1076"/>
      <c r="BS287" s="1115"/>
      <c r="BT287" s="1076"/>
      <c r="BU287" s="1076"/>
      <c r="BV287" s="1076"/>
      <c r="BW287" s="1116"/>
      <c r="BX287" s="1115"/>
      <c r="BY287" s="1076"/>
      <c r="BZ287" s="1076"/>
      <c r="CA287" s="1076"/>
      <c r="CB287" s="1116"/>
      <c r="CC287" s="1117"/>
      <c r="CD287" s="1376"/>
      <c r="CE287" s="1377"/>
      <c r="CF287" s="1377"/>
      <c r="CG287" s="1377"/>
      <c r="CH287" s="1440"/>
      <c r="CI287" s="1420"/>
      <c r="CJ287" s="1368"/>
      <c r="CK287" s="1368"/>
      <c r="CL287" s="1368"/>
      <c r="CM287" s="1369"/>
      <c r="CN287" s="1420"/>
      <c r="CO287" s="1368"/>
      <c r="CP287" s="1368"/>
      <c r="CQ287" s="1368"/>
      <c r="CR287" s="1369"/>
      <c r="CS287" s="1420"/>
      <c r="CT287" s="1368"/>
      <c r="CU287" s="1368"/>
      <c r="CV287" s="1368"/>
      <c r="CW287" s="1369"/>
      <c r="CX287" s="1420"/>
      <c r="CY287" s="1368"/>
      <c r="CZ287" s="1368"/>
      <c r="DA287" s="1368"/>
      <c r="DB287" s="1369"/>
      <c r="DC287" s="1368"/>
      <c r="DD287" s="1368"/>
      <c r="DE287" s="1368"/>
      <c r="DF287" s="1368"/>
      <c r="DG287" s="1369"/>
      <c r="DH287" s="1420"/>
      <c r="DI287" s="1368"/>
      <c r="DJ287" s="1368"/>
      <c r="DK287" s="1368"/>
      <c r="DL287" s="1369"/>
      <c r="DM287" s="1808"/>
      <c r="DN287" s="1809"/>
      <c r="DO287" s="1809"/>
      <c r="DP287" s="1810"/>
      <c r="DQ287" s="1809"/>
      <c r="DR287" s="1809"/>
      <c r="DS287" s="1809"/>
      <c r="DT287" s="1810"/>
      <c r="DU287" s="1377"/>
      <c r="DV287" s="1729"/>
      <c r="DW287" s="1811"/>
    </row>
    <row r="288" spans="1:127" s="397" customFormat="1" ht="15.75" customHeight="1">
      <c r="A288" s="1097" t="s">
        <v>1038</v>
      </c>
      <c r="B288" s="1057">
        <v>279</v>
      </c>
      <c r="C288" s="1018"/>
      <c r="D288" s="1018"/>
      <c r="E288" s="1018"/>
      <c r="F288" s="1018"/>
      <c r="G288" s="1018"/>
      <c r="H288" s="1018"/>
      <c r="I288" s="1018"/>
      <c r="J288" s="1018"/>
      <c r="K288" s="1018"/>
      <c r="L288" s="1018"/>
      <c r="M288" s="1057"/>
      <c r="N288" s="1018"/>
      <c r="O288" s="1018"/>
      <c r="P288" s="1018"/>
      <c r="Q288" s="1018"/>
      <c r="R288" s="1018"/>
      <c r="S288" s="1018"/>
      <c r="T288" s="1019"/>
      <c r="U288" s="1098" t="s">
        <v>3129</v>
      </c>
      <c r="V288" s="1099" t="s">
        <v>3119</v>
      </c>
      <c r="W288" s="1099" t="s">
        <v>3077</v>
      </c>
      <c r="X288" s="1100" t="s">
        <v>3130</v>
      </c>
      <c r="Y288" s="1101" t="s">
        <v>3131</v>
      </c>
      <c r="Z288" s="1102" t="s">
        <v>3132</v>
      </c>
      <c r="AA288" s="1103" t="s">
        <v>1942</v>
      </c>
      <c r="AB288" s="1104" t="s">
        <v>1942</v>
      </c>
      <c r="AC288" s="1104">
        <v>1</v>
      </c>
      <c r="AD288" s="1104" t="s">
        <v>1942</v>
      </c>
      <c r="AE288" s="1104" t="s">
        <v>1942</v>
      </c>
      <c r="AF288" s="1104" t="s">
        <v>1942</v>
      </c>
      <c r="AG288" s="1104" t="s">
        <v>1942</v>
      </c>
      <c r="AH288" s="1104" t="s">
        <v>1942</v>
      </c>
      <c r="AI288" s="1105">
        <f t="shared" si="4"/>
        <v>1</v>
      </c>
      <c r="AJ288" s="1106" t="s">
        <v>1026</v>
      </c>
      <c r="AK288" s="1106" t="s">
        <v>1008</v>
      </c>
      <c r="AL288" s="1106" t="s">
        <v>1009</v>
      </c>
      <c r="AM288" s="1107" t="s">
        <v>3104</v>
      </c>
      <c r="AN288" s="1018" t="s">
        <v>1033</v>
      </c>
      <c r="AO288" s="1018" t="s">
        <v>3133</v>
      </c>
      <c r="AP288" s="1274">
        <v>0</v>
      </c>
      <c r="AQ288" s="1076" t="s">
        <v>1010</v>
      </c>
      <c r="AR288" s="1109" t="s">
        <v>1942</v>
      </c>
      <c r="AS288" s="1110"/>
      <c r="AT288" s="1100"/>
      <c r="AU288" s="1100"/>
      <c r="AV288" s="1100"/>
      <c r="AW288" s="1111"/>
      <c r="AX288" s="1112"/>
      <c r="AY288" s="1075"/>
      <c r="AZ288" s="1076"/>
      <c r="BA288" s="1076"/>
      <c r="BB288" s="1076"/>
      <c r="BC288" s="1076"/>
      <c r="BD288" s="1076"/>
      <c r="BE288" s="1076"/>
      <c r="BF288" s="1076"/>
      <c r="BG288" s="1076"/>
      <c r="BH288" s="1076"/>
      <c r="BI288" s="1420"/>
      <c r="BJ288" s="1368"/>
      <c r="BK288" s="1368"/>
      <c r="BL288" s="1368"/>
      <c r="BM288" s="1368"/>
      <c r="BN288" s="1075"/>
      <c r="BO288" s="1076"/>
      <c r="BP288" s="1076"/>
      <c r="BQ288" s="1076"/>
      <c r="BR288" s="1076"/>
      <c r="BS288" s="1115"/>
      <c r="BT288" s="1076"/>
      <c r="BU288" s="1076"/>
      <c r="BV288" s="1076"/>
      <c r="BW288" s="1116"/>
      <c r="BX288" s="1115"/>
      <c r="BY288" s="1076"/>
      <c r="BZ288" s="1076"/>
      <c r="CA288" s="1076"/>
      <c r="CB288" s="1116"/>
      <c r="CC288" s="1117"/>
      <c r="CD288" s="1376"/>
      <c r="CE288" s="1377"/>
      <c r="CF288" s="1377"/>
      <c r="CG288" s="1377"/>
      <c r="CH288" s="1440"/>
      <c r="CI288" s="1420"/>
      <c r="CJ288" s="1368"/>
      <c r="CK288" s="1368"/>
      <c r="CL288" s="1368"/>
      <c r="CM288" s="1369"/>
      <c r="CN288" s="1420"/>
      <c r="CO288" s="1368"/>
      <c r="CP288" s="1368"/>
      <c r="CQ288" s="1368"/>
      <c r="CR288" s="1369"/>
      <c r="CS288" s="1420"/>
      <c r="CT288" s="1368"/>
      <c r="CU288" s="1368"/>
      <c r="CV288" s="1368"/>
      <c r="CW288" s="1369"/>
      <c r="CX288" s="1420"/>
      <c r="CY288" s="1368"/>
      <c r="CZ288" s="1368"/>
      <c r="DA288" s="1368"/>
      <c r="DB288" s="1369"/>
      <c r="DC288" s="1368"/>
      <c r="DD288" s="1368"/>
      <c r="DE288" s="1368"/>
      <c r="DF288" s="1368"/>
      <c r="DG288" s="1369"/>
      <c r="DH288" s="1420"/>
      <c r="DI288" s="1368"/>
      <c r="DJ288" s="1368"/>
      <c r="DK288" s="1368"/>
      <c r="DL288" s="1369"/>
      <c r="DM288" s="1808"/>
      <c r="DN288" s="1809"/>
      <c r="DO288" s="1809"/>
      <c r="DP288" s="1810"/>
      <c r="DQ288" s="1809"/>
      <c r="DR288" s="1809"/>
      <c r="DS288" s="1809"/>
      <c r="DT288" s="1810"/>
      <c r="DU288" s="1377"/>
      <c r="DV288" s="1729"/>
      <c r="DW288" s="1811"/>
    </row>
    <row r="289" spans="1:127" s="397" customFormat="1" ht="15.75" customHeight="1">
      <c r="A289" s="1097" t="s">
        <v>1038</v>
      </c>
      <c r="B289" s="1057">
        <v>280</v>
      </c>
      <c r="C289" s="1018"/>
      <c r="D289" s="1018"/>
      <c r="E289" s="1018"/>
      <c r="F289" s="1018"/>
      <c r="G289" s="1018"/>
      <c r="H289" s="1018"/>
      <c r="I289" s="1018"/>
      <c r="J289" s="1018"/>
      <c r="K289" s="1018"/>
      <c r="L289" s="1018"/>
      <c r="M289" s="1057"/>
      <c r="N289" s="1018"/>
      <c r="O289" s="1018"/>
      <c r="P289" s="1018"/>
      <c r="Q289" s="1018"/>
      <c r="R289" s="1018"/>
      <c r="S289" s="1018"/>
      <c r="T289" s="1019"/>
      <c r="U289" s="1098" t="s">
        <v>3134</v>
      </c>
      <c r="V289" s="1099" t="s">
        <v>3119</v>
      </c>
      <c r="W289" s="1099" t="s">
        <v>3077</v>
      </c>
      <c r="X289" s="1100" t="s">
        <v>3135</v>
      </c>
      <c r="Y289" s="1101" t="s">
        <v>3136</v>
      </c>
      <c r="Z289" s="1102" t="s">
        <v>3137</v>
      </c>
      <c r="AA289" s="1103" t="s">
        <v>1942</v>
      </c>
      <c r="AB289" s="1104" t="s">
        <v>1942</v>
      </c>
      <c r="AC289" s="1104">
        <v>1</v>
      </c>
      <c r="AD289" s="1104" t="s">
        <v>1942</v>
      </c>
      <c r="AE289" s="1104" t="s">
        <v>1942</v>
      </c>
      <c r="AF289" s="1104" t="s">
        <v>1942</v>
      </c>
      <c r="AG289" s="1104" t="s">
        <v>1942</v>
      </c>
      <c r="AH289" s="1104" t="s">
        <v>1942</v>
      </c>
      <c r="AI289" s="1105">
        <f t="shared" si="4"/>
        <v>1</v>
      </c>
      <c r="AJ289" s="1106" t="s">
        <v>1030</v>
      </c>
      <c r="AK289" s="1106" t="s">
        <v>1008</v>
      </c>
      <c r="AL289" s="1106" t="s">
        <v>1009</v>
      </c>
      <c r="AM289" s="1107" t="s">
        <v>3104</v>
      </c>
      <c r="AN289" s="1018" t="s">
        <v>1033</v>
      </c>
      <c r="AO289" s="1018" t="s">
        <v>3138</v>
      </c>
      <c r="AP289" s="1274">
        <v>0</v>
      </c>
      <c r="AQ289" s="1076" t="s">
        <v>1010</v>
      </c>
      <c r="AR289" s="1109" t="s">
        <v>1942</v>
      </c>
      <c r="AS289" s="1110"/>
      <c r="AT289" s="1100"/>
      <c r="AU289" s="1100"/>
      <c r="AV289" s="1100"/>
      <c r="AW289" s="1111"/>
      <c r="AX289" s="1112"/>
      <c r="AY289" s="1075"/>
      <c r="AZ289" s="1076"/>
      <c r="BA289" s="1076"/>
      <c r="BB289" s="1076"/>
      <c r="BC289" s="1076"/>
      <c r="BD289" s="1076"/>
      <c r="BE289" s="1076"/>
      <c r="BF289" s="1076"/>
      <c r="BG289" s="1076"/>
      <c r="BH289" s="1076"/>
      <c r="BI289" s="1420"/>
      <c r="BJ289" s="1368"/>
      <c r="BK289" s="1368"/>
      <c r="BL289" s="1368"/>
      <c r="BM289" s="1368"/>
      <c r="BN289" s="1075"/>
      <c r="BO289" s="1076"/>
      <c r="BP289" s="1076"/>
      <c r="BQ289" s="1076"/>
      <c r="BR289" s="1076"/>
      <c r="BS289" s="1115"/>
      <c r="BT289" s="1076"/>
      <c r="BU289" s="1076"/>
      <c r="BV289" s="1076"/>
      <c r="BW289" s="1116"/>
      <c r="BX289" s="1115"/>
      <c r="BY289" s="1076"/>
      <c r="BZ289" s="1076"/>
      <c r="CA289" s="1076"/>
      <c r="CB289" s="1116"/>
      <c r="CC289" s="1117"/>
      <c r="CD289" s="1376"/>
      <c r="CE289" s="1377"/>
      <c r="CF289" s="1377"/>
      <c r="CG289" s="1377"/>
      <c r="CH289" s="1440"/>
      <c r="CI289" s="1420"/>
      <c r="CJ289" s="1368"/>
      <c r="CK289" s="1368"/>
      <c r="CL289" s="1368"/>
      <c r="CM289" s="1369"/>
      <c r="CN289" s="1420"/>
      <c r="CO289" s="1368"/>
      <c r="CP289" s="1368"/>
      <c r="CQ289" s="1368"/>
      <c r="CR289" s="1369"/>
      <c r="CS289" s="1420"/>
      <c r="CT289" s="1368"/>
      <c r="CU289" s="1368"/>
      <c r="CV289" s="1368"/>
      <c r="CW289" s="1369"/>
      <c r="CX289" s="1420"/>
      <c r="CY289" s="1368"/>
      <c r="CZ289" s="1368"/>
      <c r="DA289" s="1368"/>
      <c r="DB289" s="1369"/>
      <c r="DC289" s="1368"/>
      <c r="DD289" s="1368"/>
      <c r="DE289" s="1368"/>
      <c r="DF289" s="1368"/>
      <c r="DG289" s="1369"/>
      <c r="DH289" s="1420"/>
      <c r="DI289" s="1368"/>
      <c r="DJ289" s="1368"/>
      <c r="DK289" s="1368"/>
      <c r="DL289" s="1369"/>
      <c r="DM289" s="1808"/>
      <c r="DN289" s="1809"/>
      <c r="DO289" s="1809"/>
      <c r="DP289" s="1810"/>
      <c r="DQ289" s="1809"/>
      <c r="DR289" s="1809"/>
      <c r="DS289" s="1809"/>
      <c r="DT289" s="1810"/>
      <c r="DU289" s="1377"/>
      <c r="DV289" s="1729"/>
      <c r="DW289" s="1811"/>
    </row>
    <row r="290" spans="1:127" s="397" customFormat="1" ht="15.75" customHeight="1">
      <c r="A290" s="1097" t="s">
        <v>1038</v>
      </c>
      <c r="B290" s="1057">
        <v>281</v>
      </c>
      <c r="C290" s="1018"/>
      <c r="D290" s="1018"/>
      <c r="E290" s="1018"/>
      <c r="F290" s="1018"/>
      <c r="G290" s="1018"/>
      <c r="H290" s="1018"/>
      <c r="I290" s="1018"/>
      <c r="J290" s="1018"/>
      <c r="K290" s="1018"/>
      <c r="L290" s="1018"/>
      <c r="M290" s="1057"/>
      <c r="N290" s="1018"/>
      <c r="O290" s="1018"/>
      <c r="P290" s="1018"/>
      <c r="Q290" s="1018"/>
      <c r="R290" s="1018"/>
      <c r="S290" s="1018"/>
      <c r="T290" s="1019"/>
      <c r="U290" s="1098" t="s">
        <v>3139</v>
      </c>
      <c r="V290" s="1099" t="s">
        <v>3083</v>
      </c>
      <c r="W290" s="1099" t="s">
        <v>3095</v>
      </c>
      <c r="X290" s="1100" t="s">
        <v>3140</v>
      </c>
      <c r="Y290" s="1101" t="s">
        <v>3141</v>
      </c>
      <c r="Z290" s="1102" t="s">
        <v>3142</v>
      </c>
      <c r="AA290" s="1103" t="s">
        <v>1942</v>
      </c>
      <c r="AB290" s="1104">
        <v>1</v>
      </c>
      <c r="AC290" s="1104" t="s">
        <v>1942</v>
      </c>
      <c r="AD290" s="1104" t="s">
        <v>1942</v>
      </c>
      <c r="AE290" s="1104" t="s">
        <v>1942</v>
      </c>
      <c r="AF290" s="1104" t="s">
        <v>1942</v>
      </c>
      <c r="AG290" s="1104" t="s">
        <v>1942</v>
      </c>
      <c r="AH290" s="1104" t="s">
        <v>1942</v>
      </c>
      <c r="AI290" s="1105">
        <f t="shared" si="4"/>
        <v>1</v>
      </c>
      <c r="AJ290" s="1106" t="s">
        <v>1007</v>
      </c>
      <c r="AK290" s="1106" t="s">
        <v>4850</v>
      </c>
      <c r="AL290" s="1106" t="s">
        <v>4850</v>
      </c>
      <c r="AM290" s="1107" t="s">
        <v>3086</v>
      </c>
      <c r="AN290" s="1018" t="s">
        <v>278</v>
      </c>
      <c r="AO290" s="1018" t="s">
        <v>3143</v>
      </c>
      <c r="AP290" s="1274">
        <v>0</v>
      </c>
      <c r="AQ290" s="1076" t="s">
        <v>1010</v>
      </c>
      <c r="AR290" s="1109" t="s">
        <v>1942</v>
      </c>
      <c r="AS290" s="1110"/>
      <c r="AT290" s="1100"/>
      <c r="AU290" s="1100"/>
      <c r="AV290" s="1100"/>
      <c r="AW290" s="1111"/>
      <c r="AX290" s="1112"/>
      <c r="AY290" s="1075"/>
      <c r="AZ290" s="1076"/>
      <c r="BA290" s="1076"/>
      <c r="BB290" s="1076"/>
      <c r="BC290" s="1076"/>
      <c r="BD290" s="1076"/>
      <c r="BE290" s="1076"/>
      <c r="BF290" s="1076"/>
      <c r="BG290" s="1076"/>
      <c r="BH290" s="1076"/>
      <c r="BI290" s="1420"/>
      <c r="BJ290" s="1368"/>
      <c r="BK290" s="1368"/>
      <c r="BL290" s="1368"/>
      <c r="BM290" s="1368"/>
      <c r="BN290" s="1075"/>
      <c r="BO290" s="1076"/>
      <c r="BP290" s="1076"/>
      <c r="BQ290" s="1076"/>
      <c r="BR290" s="1076"/>
      <c r="BS290" s="1115"/>
      <c r="BT290" s="1076"/>
      <c r="BU290" s="1076"/>
      <c r="BV290" s="1076"/>
      <c r="BW290" s="1116"/>
      <c r="BX290" s="1115"/>
      <c r="BY290" s="1076"/>
      <c r="BZ290" s="1076"/>
      <c r="CA290" s="1076"/>
      <c r="CB290" s="1116"/>
      <c r="CC290" s="1117"/>
      <c r="CD290" s="1376"/>
      <c r="CE290" s="1377"/>
      <c r="CF290" s="1377"/>
      <c r="CG290" s="1377"/>
      <c r="CH290" s="1440"/>
      <c r="CI290" s="1420"/>
      <c r="CJ290" s="1368"/>
      <c r="CK290" s="1368"/>
      <c r="CL290" s="1368"/>
      <c r="CM290" s="1369"/>
      <c r="CN290" s="1420"/>
      <c r="CO290" s="1368"/>
      <c r="CP290" s="1368"/>
      <c r="CQ290" s="1368"/>
      <c r="CR290" s="1369"/>
      <c r="CS290" s="1420"/>
      <c r="CT290" s="1368"/>
      <c r="CU290" s="1368"/>
      <c r="CV290" s="1368"/>
      <c r="CW290" s="1369"/>
      <c r="CX290" s="1420"/>
      <c r="CY290" s="1368"/>
      <c r="CZ290" s="1368"/>
      <c r="DA290" s="1368"/>
      <c r="DB290" s="1369"/>
      <c r="DC290" s="1368"/>
      <c r="DD290" s="1368"/>
      <c r="DE290" s="1368"/>
      <c r="DF290" s="1368"/>
      <c r="DG290" s="1369"/>
      <c r="DH290" s="1420"/>
      <c r="DI290" s="1368"/>
      <c r="DJ290" s="1368"/>
      <c r="DK290" s="1368"/>
      <c r="DL290" s="1369"/>
      <c r="DM290" s="1808"/>
      <c r="DN290" s="1809"/>
      <c r="DO290" s="1809"/>
      <c r="DP290" s="1810"/>
      <c r="DQ290" s="1809"/>
      <c r="DR290" s="1809"/>
      <c r="DS290" s="1809"/>
      <c r="DT290" s="1810"/>
      <c r="DU290" s="1377"/>
      <c r="DV290" s="1729"/>
      <c r="DW290" s="1811"/>
    </row>
    <row r="291" spans="1:127" s="397" customFormat="1" ht="15.75" customHeight="1">
      <c r="A291" s="1097" t="s">
        <v>1038</v>
      </c>
      <c r="B291" s="1057">
        <v>282</v>
      </c>
      <c r="C291" s="1018"/>
      <c r="D291" s="1018"/>
      <c r="E291" s="1018"/>
      <c r="F291" s="1018"/>
      <c r="G291" s="1018"/>
      <c r="H291" s="1018"/>
      <c r="I291" s="1018"/>
      <c r="J291" s="1018"/>
      <c r="K291" s="1018"/>
      <c r="L291" s="1018"/>
      <c r="M291" s="1057"/>
      <c r="N291" s="1018"/>
      <c r="O291" s="1018"/>
      <c r="P291" s="1018"/>
      <c r="Q291" s="1018"/>
      <c r="R291" s="1018"/>
      <c r="S291" s="1018"/>
      <c r="T291" s="1019"/>
      <c r="U291" s="1098" t="s">
        <v>3144</v>
      </c>
      <c r="V291" s="1099" t="s">
        <v>3083</v>
      </c>
      <c r="W291" s="1099" t="s">
        <v>3095</v>
      </c>
      <c r="X291" s="1100" t="s">
        <v>3145</v>
      </c>
      <c r="Y291" s="1101" t="s">
        <v>3146</v>
      </c>
      <c r="Z291" s="1102" t="s">
        <v>3147</v>
      </c>
      <c r="AA291" s="1103" t="s">
        <v>1942</v>
      </c>
      <c r="AB291" s="1104">
        <v>1</v>
      </c>
      <c r="AC291" s="1104" t="s">
        <v>1942</v>
      </c>
      <c r="AD291" s="1104" t="s">
        <v>1942</v>
      </c>
      <c r="AE291" s="1104" t="s">
        <v>1942</v>
      </c>
      <c r="AF291" s="1104" t="s">
        <v>1942</v>
      </c>
      <c r="AG291" s="1104" t="s">
        <v>1942</v>
      </c>
      <c r="AH291" s="1104" t="s">
        <v>1942</v>
      </c>
      <c r="AI291" s="1105">
        <f t="shared" si="4"/>
        <v>1</v>
      </c>
      <c r="AJ291" s="1106" t="s">
        <v>1007</v>
      </c>
      <c r="AK291" s="1106" t="s">
        <v>1942</v>
      </c>
      <c r="AL291" s="1106" t="s">
        <v>1942</v>
      </c>
      <c r="AM291" s="1107" t="s">
        <v>3086</v>
      </c>
      <c r="AN291" s="1018" t="s">
        <v>1033</v>
      </c>
      <c r="AO291" s="1018" t="s">
        <v>3148</v>
      </c>
      <c r="AP291" s="1274">
        <v>0</v>
      </c>
      <c r="AQ291" s="1076" t="s">
        <v>1010</v>
      </c>
      <c r="AR291" s="1109" t="s">
        <v>1942</v>
      </c>
      <c r="AS291" s="1110"/>
      <c r="AT291" s="1100"/>
      <c r="AU291" s="1100"/>
      <c r="AV291" s="1100"/>
      <c r="AW291" s="1111"/>
      <c r="AX291" s="1112"/>
      <c r="AY291" s="1075"/>
      <c r="AZ291" s="1076"/>
      <c r="BA291" s="1076"/>
      <c r="BB291" s="1076"/>
      <c r="BC291" s="1076"/>
      <c r="BD291" s="1076"/>
      <c r="BE291" s="1076"/>
      <c r="BF291" s="1076"/>
      <c r="BG291" s="1076"/>
      <c r="BH291" s="1076"/>
      <c r="BI291" s="1420"/>
      <c r="BJ291" s="1368"/>
      <c r="BK291" s="1368"/>
      <c r="BL291" s="1368"/>
      <c r="BM291" s="1368"/>
      <c r="BN291" s="1075"/>
      <c r="BO291" s="1076"/>
      <c r="BP291" s="1076"/>
      <c r="BQ291" s="1076"/>
      <c r="BR291" s="1076"/>
      <c r="BS291" s="1115"/>
      <c r="BT291" s="1076"/>
      <c r="BU291" s="1076"/>
      <c r="BV291" s="1076"/>
      <c r="BW291" s="1116"/>
      <c r="BX291" s="1115"/>
      <c r="BY291" s="1076"/>
      <c r="BZ291" s="1076"/>
      <c r="CA291" s="1076"/>
      <c r="CB291" s="1116"/>
      <c r="CC291" s="1117"/>
      <c r="CD291" s="1376"/>
      <c r="CE291" s="1377"/>
      <c r="CF291" s="1377"/>
      <c r="CG291" s="1377"/>
      <c r="CH291" s="1440"/>
      <c r="CI291" s="1420"/>
      <c r="CJ291" s="1368"/>
      <c r="CK291" s="1368"/>
      <c r="CL291" s="1368"/>
      <c r="CM291" s="1369"/>
      <c r="CN291" s="1420"/>
      <c r="CO291" s="1368"/>
      <c r="CP291" s="1368"/>
      <c r="CQ291" s="1368"/>
      <c r="CR291" s="1369"/>
      <c r="CS291" s="1420"/>
      <c r="CT291" s="1368"/>
      <c r="CU291" s="1368"/>
      <c r="CV291" s="1368"/>
      <c r="CW291" s="1369"/>
      <c r="CX291" s="1420"/>
      <c r="CY291" s="1368"/>
      <c r="CZ291" s="1368"/>
      <c r="DA291" s="1368"/>
      <c r="DB291" s="1369"/>
      <c r="DC291" s="1368"/>
      <c r="DD291" s="1368"/>
      <c r="DE291" s="1368"/>
      <c r="DF291" s="1368"/>
      <c r="DG291" s="1369"/>
      <c r="DH291" s="1420"/>
      <c r="DI291" s="1368"/>
      <c r="DJ291" s="1368"/>
      <c r="DK291" s="1368"/>
      <c r="DL291" s="1369"/>
      <c r="DM291" s="1808"/>
      <c r="DN291" s="1809"/>
      <c r="DO291" s="1809"/>
      <c r="DP291" s="1810"/>
      <c r="DQ291" s="1809"/>
      <c r="DR291" s="1809"/>
      <c r="DS291" s="1809"/>
      <c r="DT291" s="1810"/>
      <c r="DU291" s="1377"/>
      <c r="DV291" s="1729"/>
      <c r="DW291" s="1811"/>
    </row>
    <row r="292" spans="1:127" s="397" customFormat="1" ht="15.75" customHeight="1">
      <c r="A292" s="1097" t="s">
        <v>1038</v>
      </c>
      <c r="B292" s="1057">
        <v>283</v>
      </c>
      <c r="C292" s="1018"/>
      <c r="D292" s="1018"/>
      <c r="E292" s="1018"/>
      <c r="F292" s="1018"/>
      <c r="G292" s="1018"/>
      <c r="H292" s="1018"/>
      <c r="I292" s="1018"/>
      <c r="J292" s="1018"/>
      <c r="K292" s="1018"/>
      <c r="L292" s="1018"/>
      <c r="M292" s="1057"/>
      <c r="N292" s="1018"/>
      <c r="O292" s="1018"/>
      <c r="P292" s="1018"/>
      <c r="Q292" s="1018"/>
      <c r="R292" s="1018"/>
      <c r="S292" s="1018"/>
      <c r="T292" s="1019"/>
      <c r="U292" s="1098" t="s">
        <v>3149</v>
      </c>
      <c r="V292" s="1099" t="s">
        <v>3083</v>
      </c>
      <c r="W292" s="1099" t="s">
        <v>3095</v>
      </c>
      <c r="X292" s="1100" t="s">
        <v>3150</v>
      </c>
      <c r="Y292" s="1101" t="s">
        <v>3151</v>
      </c>
      <c r="Z292" s="1102" t="s">
        <v>3152</v>
      </c>
      <c r="AA292" s="1103" t="s">
        <v>1942</v>
      </c>
      <c r="AB292" s="1104">
        <v>1</v>
      </c>
      <c r="AC292" s="1104" t="s">
        <v>1942</v>
      </c>
      <c r="AD292" s="1104" t="s">
        <v>1942</v>
      </c>
      <c r="AE292" s="1104" t="s">
        <v>1942</v>
      </c>
      <c r="AF292" s="1104" t="s">
        <v>1942</v>
      </c>
      <c r="AG292" s="1104" t="s">
        <v>1942</v>
      </c>
      <c r="AH292" s="1104" t="s">
        <v>1942</v>
      </c>
      <c r="AI292" s="1105">
        <f t="shared" si="4"/>
        <v>1</v>
      </c>
      <c r="AJ292" s="1106" t="s">
        <v>1017</v>
      </c>
      <c r="AK292" s="1106" t="s">
        <v>1008</v>
      </c>
      <c r="AL292" s="1106" t="s">
        <v>1009</v>
      </c>
      <c r="AM292" s="1107" t="s">
        <v>3086</v>
      </c>
      <c r="AN292" s="1018" t="s">
        <v>1033</v>
      </c>
      <c r="AO292" s="1018" t="s">
        <v>3153</v>
      </c>
      <c r="AP292" s="1274">
        <v>0</v>
      </c>
      <c r="AQ292" s="1076" t="s">
        <v>1010</v>
      </c>
      <c r="AR292" s="1109" t="s">
        <v>1942</v>
      </c>
      <c r="AS292" s="1110"/>
      <c r="AT292" s="1100"/>
      <c r="AU292" s="1100"/>
      <c r="AV292" s="1100"/>
      <c r="AW292" s="1111"/>
      <c r="AX292" s="1112"/>
      <c r="AY292" s="1075"/>
      <c r="AZ292" s="1076"/>
      <c r="BA292" s="1076"/>
      <c r="BB292" s="1076"/>
      <c r="BC292" s="1076"/>
      <c r="BD292" s="1076"/>
      <c r="BE292" s="1076"/>
      <c r="BF292" s="1076"/>
      <c r="BG292" s="1076"/>
      <c r="BH292" s="1076"/>
      <c r="BI292" s="1420"/>
      <c r="BJ292" s="1368"/>
      <c r="BK292" s="1368"/>
      <c r="BL292" s="1368"/>
      <c r="BM292" s="1368"/>
      <c r="BN292" s="1075"/>
      <c r="BO292" s="1076"/>
      <c r="BP292" s="1076"/>
      <c r="BQ292" s="1076"/>
      <c r="BR292" s="1076"/>
      <c r="BS292" s="1115"/>
      <c r="BT292" s="1076"/>
      <c r="BU292" s="1076"/>
      <c r="BV292" s="1076"/>
      <c r="BW292" s="1116"/>
      <c r="BX292" s="1115"/>
      <c r="BY292" s="1076"/>
      <c r="BZ292" s="1076"/>
      <c r="CA292" s="1076"/>
      <c r="CB292" s="1116"/>
      <c r="CC292" s="1117"/>
      <c r="CD292" s="1376"/>
      <c r="CE292" s="1377"/>
      <c r="CF292" s="1377"/>
      <c r="CG292" s="1377"/>
      <c r="CH292" s="1440"/>
      <c r="CI292" s="1420"/>
      <c r="CJ292" s="1368"/>
      <c r="CK292" s="1368"/>
      <c r="CL292" s="1368"/>
      <c r="CM292" s="1369"/>
      <c r="CN292" s="1420"/>
      <c r="CO292" s="1368"/>
      <c r="CP292" s="1368"/>
      <c r="CQ292" s="1368"/>
      <c r="CR292" s="1369"/>
      <c r="CS292" s="1420"/>
      <c r="CT292" s="1368"/>
      <c r="CU292" s="1368"/>
      <c r="CV292" s="1368"/>
      <c r="CW292" s="1369"/>
      <c r="CX292" s="1420"/>
      <c r="CY292" s="1368"/>
      <c r="CZ292" s="1368"/>
      <c r="DA292" s="1368"/>
      <c r="DB292" s="1369"/>
      <c r="DC292" s="1368"/>
      <c r="DD292" s="1368"/>
      <c r="DE292" s="1368"/>
      <c r="DF292" s="1368"/>
      <c r="DG292" s="1369"/>
      <c r="DH292" s="1420"/>
      <c r="DI292" s="1368"/>
      <c r="DJ292" s="1368"/>
      <c r="DK292" s="1368"/>
      <c r="DL292" s="1369"/>
      <c r="DM292" s="1808"/>
      <c r="DN292" s="1809"/>
      <c r="DO292" s="1809"/>
      <c r="DP292" s="1810"/>
      <c r="DQ292" s="1809"/>
      <c r="DR292" s="1809"/>
      <c r="DS292" s="1809"/>
      <c r="DT292" s="1810"/>
      <c r="DU292" s="1377"/>
      <c r="DV292" s="1729"/>
      <c r="DW292" s="1811"/>
    </row>
    <row r="293" spans="1:127" s="397" customFormat="1" ht="15.75" customHeight="1">
      <c r="A293" s="1097" t="s">
        <v>1038</v>
      </c>
      <c r="B293" s="1057">
        <v>284</v>
      </c>
      <c r="C293" s="1018"/>
      <c r="D293" s="1018"/>
      <c r="E293" s="1018"/>
      <c r="F293" s="1018"/>
      <c r="G293" s="1018"/>
      <c r="H293" s="1018"/>
      <c r="I293" s="1018"/>
      <c r="J293" s="1018"/>
      <c r="K293" s="1018"/>
      <c r="L293" s="1018"/>
      <c r="M293" s="1057"/>
      <c r="N293" s="1018"/>
      <c r="O293" s="1018"/>
      <c r="P293" s="1018"/>
      <c r="Q293" s="1018"/>
      <c r="R293" s="1018"/>
      <c r="S293" s="1018"/>
      <c r="T293" s="1019"/>
      <c r="U293" s="1098" t="s">
        <v>3154</v>
      </c>
      <c r="V293" s="1099" t="s">
        <v>3155</v>
      </c>
      <c r="W293" s="1099" t="s">
        <v>3095</v>
      </c>
      <c r="X293" s="1100" t="s">
        <v>3156</v>
      </c>
      <c r="Y293" s="1101" t="s">
        <v>1935</v>
      </c>
      <c r="Z293" s="1102" t="s">
        <v>3157</v>
      </c>
      <c r="AA293" s="1103" t="s">
        <v>1942</v>
      </c>
      <c r="AB293" s="1104">
        <v>0.433</v>
      </c>
      <c r="AC293" s="1104">
        <v>0.56699999999999995</v>
      </c>
      <c r="AD293" s="1104" t="s">
        <v>1942</v>
      </c>
      <c r="AE293" s="1104" t="s">
        <v>1942</v>
      </c>
      <c r="AF293" s="1104" t="s">
        <v>1942</v>
      </c>
      <c r="AG293" s="1104" t="s">
        <v>1942</v>
      </c>
      <c r="AH293" s="1104" t="s">
        <v>1942</v>
      </c>
      <c r="AI293" s="1105">
        <f t="shared" si="4"/>
        <v>1</v>
      </c>
      <c r="AJ293" s="1106" t="s">
        <v>1030</v>
      </c>
      <c r="AK293" s="1106" t="s">
        <v>1008</v>
      </c>
      <c r="AL293" s="1106" t="s">
        <v>1009</v>
      </c>
      <c r="AM293" s="1107" t="s">
        <v>3158</v>
      </c>
      <c r="AN293" s="1018" t="s">
        <v>1081</v>
      </c>
      <c r="AO293" s="1018" t="s">
        <v>3159</v>
      </c>
      <c r="AP293" s="1274">
        <v>2</v>
      </c>
      <c r="AQ293" s="1076" t="s">
        <v>1010</v>
      </c>
      <c r="AR293" s="1109" t="s">
        <v>1935</v>
      </c>
      <c r="AS293" s="1110"/>
      <c r="AT293" s="1100"/>
      <c r="AU293" s="1100"/>
      <c r="AV293" s="1100"/>
      <c r="AW293" s="1111"/>
      <c r="AX293" s="1112"/>
      <c r="AY293" s="1075"/>
      <c r="AZ293" s="1076"/>
      <c r="BA293" s="1076"/>
      <c r="BB293" s="1076"/>
      <c r="BC293" s="1076"/>
      <c r="BD293" s="1076"/>
      <c r="BE293" s="1076"/>
      <c r="BF293" s="1076"/>
      <c r="BG293" s="1076"/>
      <c r="BH293" s="1076"/>
      <c r="BI293" s="1075" t="s">
        <v>1942</v>
      </c>
      <c r="BJ293" s="1076" t="s">
        <v>1942</v>
      </c>
      <c r="BK293" s="1076" t="s">
        <v>1942</v>
      </c>
      <c r="BL293" s="1076" t="s">
        <v>1942</v>
      </c>
      <c r="BM293" s="1076" t="s">
        <v>4851</v>
      </c>
      <c r="BN293" s="1075"/>
      <c r="BO293" s="1076"/>
      <c r="BP293" s="1076"/>
      <c r="BQ293" s="1076"/>
      <c r="BR293" s="1076"/>
      <c r="BS293" s="1115"/>
      <c r="BT293" s="1076"/>
      <c r="BU293" s="1076"/>
      <c r="BV293" s="1076"/>
      <c r="BW293" s="1116"/>
      <c r="BX293" s="1115"/>
      <c r="BY293" s="1076"/>
      <c r="BZ293" s="1076"/>
      <c r="CA293" s="1076"/>
      <c r="CB293" s="1116"/>
      <c r="CC293" s="1117"/>
      <c r="CD293" s="1118" t="s">
        <v>168</v>
      </c>
      <c r="CE293" s="1119" t="s">
        <v>168</v>
      </c>
      <c r="CF293" s="1119" t="s">
        <v>168</v>
      </c>
      <c r="CG293" s="1119" t="s">
        <v>168</v>
      </c>
      <c r="CH293" s="1120" t="s">
        <v>168</v>
      </c>
      <c r="CI293" s="1075" t="s">
        <v>1942</v>
      </c>
      <c r="CJ293" s="1076" t="s">
        <v>1942</v>
      </c>
      <c r="CK293" s="1076" t="s">
        <v>1942</v>
      </c>
      <c r="CL293" s="1076" t="s">
        <v>1942</v>
      </c>
      <c r="CM293" s="1117" t="s">
        <v>1942</v>
      </c>
      <c r="CN293" s="1075" t="s">
        <v>1942</v>
      </c>
      <c r="CO293" s="1076" t="s">
        <v>1942</v>
      </c>
      <c r="CP293" s="1076" t="s">
        <v>1942</v>
      </c>
      <c r="CQ293" s="1076" t="s">
        <v>1942</v>
      </c>
      <c r="CR293" s="1117" t="s">
        <v>1942</v>
      </c>
      <c r="CS293" s="1075" t="s">
        <v>1942</v>
      </c>
      <c r="CT293" s="1076" t="s">
        <v>1942</v>
      </c>
      <c r="CU293" s="1076" t="s">
        <v>1942</v>
      </c>
      <c r="CV293" s="1076" t="s">
        <v>1942</v>
      </c>
      <c r="CW293" s="1117" t="s">
        <v>1942</v>
      </c>
      <c r="CX293" s="1075" t="s">
        <v>1942</v>
      </c>
      <c r="CY293" s="1076" t="s">
        <v>1942</v>
      </c>
      <c r="CZ293" s="1076" t="s">
        <v>1942</v>
      </c>
      <c r="DA293" s="1076" t="s">
        <v>1942</v>
      </c>
      <c r="DB293" s="1117" t="s">
        <v>1942</v>
      </c>
      <c r="DC293" s="1076" t="s">
        <v>1942</v>
      </c>
      <c r="DD293" s="1076" t="s">
        <v>1942</v>
      </c>
      <c r="DE293" s="1076" t="s">
        <v>1942</v>
      </c>
      <c r="DF293" s="1076" t="s">
        <v>1942</v>
      </c>
      <c r="DG293" s="1117" t="s">
        <v>1942</v>
      </c>
      <c r="DH293" s="1075" t="s">
        <v>1942</v>
      </c>
      <c r="DI293" s="1076" t="s">
        <v>1942</v>
      </c>
      <c r="DJ293" s="1076" t="s">
        <v>1942</v>
      </c>
      <c r="DK293" s="1076" t="s">
        <v>1942</v>
      </c>
      <c r="DL293" s="1117" t="s">
        <v>1942</v>
      </c>
      <c r="DM293" s="1121" t="s">
        <v>1942</v>
      </c>
      <c r="DN293" s="1122" t="s">
        <v>1942</v>
      </c>
      <c r="DO293" s="1122" t="s">
        <v>1942</v>
      </c>
      <c r="DP293" s="1123" t="s">
        <v>1942</v>
      </c>
      <c r="DQ293" s="1122" t="s">
        <v>1942</v>
      </c>
      <c r="DR293" s="1122" t="s">
        <v>1942</v>
      </c>
      <c r="DS293" s="1122" t="s">
        <v>1942</v>
      </c>
      <c r="DT293" s="1123" t="s">
        <v>1942</v>
      </c>
      <c r="DU293" s="1119" t="s">
        <v>1942</v>
      </c>
      <c r="DV293" s="1124">
        <v>1</v>
      </c>
      <c r="DW293" s="1125" t="s">
        <v>1942</v>
      </c>
    </row>
    <row r="294" spans="1:127" s="397" customFormat="1" ht="15.75" customHeight="1">
      <c r="A294" s="1097" t="s">
        <v>1038</v>
      </c>
      <c r="B294" s="1057">
        <v>285</v>
      </c>
      <c r="C294" s="1018"/>
      <c r="D294" s="1018"/>
      <c r="E294" s="1018"/>
      <c r="F294" s="1018"/>
      <c r="G294" s="1018"/>
      <c r="H294" s="1018"/>
      <c r="I294" s="1018"/>
      <c r="J294" s="1018"/>
      <c r="K294" s="1018"/>
      <c r="L294" s="1018"/>
      <c r="M294" s="1057"/>
      <c r="N294" s="1018"/>
      <c r="O294" s="1018"/>
      <c r="P294" s="1018"/>
      <c r="Q294" s="1018"/>
      <c r="R294" s="1018"/>
      <c r="S294" s="1018"/>
      <c r="T294" s="1019"/>
      <c r="U294" s="1098" t="s">
        <v>3160</v>
      </c>
      <c r="V294" s="1099" t="s">
        <v>3155</v>
      </c>
      <c r="W294" s="1099" t="s">
        <v>3095</v>
      </c>
      <c r="X294" s="1100" t="s">
        <v>3161</v>
      </c>
      <c r="Y294" s="1101" t="s">
        <v>3162</v>
      </c>
      <c r="Z294" s="1102" t="s">
        <v>3163</v>
      </c>
      <c r="AA294" s="1103" t="s">
        <v>1942</v>
      </c>
      <c r="AB294" s="1104" t="s">
        <v>1942</v>
      </c>
      <c r="AC294" s="1104">
        <v>1</v>
      </c>
      <c r="AD294" s="1104" t="s">
        <v>1942</v>
      </c>
      <c r="AE294" s="1104" t="s">
        <v>1942</v>
      </c>
      <c r="AF294" s="1104" t="s">
        <v>1942</v>
      </c>
      <c r="AG294" s="1104" t="s">
        <v>1942</v>
      </c>
      <c r="AH294" s="1104" t="s">
        <v>1942</v>
      </c>
      <c r="AI294" s="1105">
        <f t="shared" si="4"/>
        <v>1</v>
      </c>
      <c r="AJ294" s="1106" t="s">
        <v>1030</v>
      </c>
      <c r="AK294" s="1106" t="s">
        <v>1008</v>
      </c>
      <c r="AL294" s="1106" t="s">
        <v>1009</v>
      </c>
      <c r="AM294" s="1107" t="s">
        <v>3104</v>
      </c>
      <c r="AN294" s="1018" t="s">
        <v>1033</v>
      </c>
      <c r="AO294" s="1018" t="s">
        <v>3164</v>
      </c>
      <c r="AP294" s="1274">
        <v>0</v>
      </c>
      <c r="AQ294" s="1076" t="s">
        <v>1010</v>
      </c>
      <c r="AR294" s="1109" t="s">
        <v>1942</v>
      </c>
      <c r="AS294" s="1110"/>
      <c r="AT294" s="1100"/>
      <c r="AU294" s="1100"/>
      <c r="AV294" s="1100"/>
      <c r="AW294" s="1111"/>
      <c r="AX294" s="1112"/>
      <c r="AY294" s="1075"/>
      <c r="AZ294" s="1076"/>
      <c r="BA294" s="1076"/>
      <c r="BB294" s="1076"/>
      <c r="BC294" s="1076"/>
      <c r="BD294" s="1076"/>
      <c r="BE294" s="1076"/>
      <c r="BF294" s="1076"/>
      <c r="BG294" s="1076"/>
      <c r="BH294" s="1076"/>
      <c r="BI294" s="1420"/>
      <c r="BJ294" s="1368"/>
      <c r="BK294" s="1368"/>
      <c r="BL294" s="1368"/>
      <c r="BM294" s="1368"/>
      <c r="BN294" s="1075"/>
      <c r="BO294" s="1076"/>
      <c r="BP294" s="1076"/>
      <c r="BQ294" s="1076"/>
      <c r="BR294" s="1076"/>
      <c r="BS294" s="1115"/>
      <c r="BT294" s="1076"/>
      <c r="BU294" s="1076"/>
      <c r="BV294" s="1076"/>
      <c r="BW294" s="1116"/>
      <c r="BX294" s="1115"/>
      <c r="BY294" s="1076"/>
      <c r="BZ294" s="1076"/>
      <c r="CA294" s="1076"/>
      <c r="CB294" s="1116"/>
      <c r="CC294" s="1117"/>
      <c r="CD294" s="1376"/>
      <c r="CE294" s="1377"/>
      <c r="CF294" s="1377"/>
      <c r="CG294" s="1377"/>
      <c r="CH294" s="1440"/>
      <c r="CI294" s="1420"/>
      <c r="CJ294" s="1368"/>
      <c r="CK294" s="1368"/>
      <c r="CL294" s="1368"/>
      <c r="CM294" s="1369"/>
      <c r="CN294" s="1420"/>
      <c r="CO294" s="1368"/>
      <c r="CP294" s="1368"/>
      <c r="CQ294" s="1368"/>
      <c r="CR294" s="1369"/>
      <c r="CS294" s="1420"/>
      <c r="CT294" s="1368"/>
      <c r="CU294" s="1368"/>
      <c r="CV294" s="1368"/>
      <c r="CW294" s="1369"/>
      <c r="CX294" s="1420"/>
      <c r="CY294" s="1368"/>
      <c r="CZ294" s="1368"/>
      <c r="DA294" s="1368"/>
      <c r="DB294" s="1369"/>
      <c r="DC294" s="1368"/>
      <c r="DD294" s="1368"/>
      <c r="DE294" s="1368"/>
      <c r="DF294" s="1368"/>
      <c r="DG294" s="1369"/>
      <c r="DH294" s="1420"/>
      <c r="DI294" s="1368"/>
      <c r="DJ294" s="1368"/>
      <c r="DK294" s="1368"/>
      <c r="DL294" s="1369"/>
      <c r="DM294" s="1808"/>
      <c r="DN294" s="1809"/>
      <c r="DO294" s="1809"/>
      <c r="DP294" s="1810"/>
      <c r="DQ294" s="1809"/>
      <c r="DR294" s="1809"/>
      <c r="DS294" s="1809"/>
      <c r="DT294" s="1810"/>
      <c r="DU294" s="1377"/>
      <c r="DV294" s="1729"/>
      <c r="DW294" s="1811"/>
    </row>
    <row r="295" spans="1:127" s="397" customFormat="1" ht="15.75" customHeight="1">
      <c r="A295" s="1097" t="s">
        <v>1038</v>
      </c>
      <c r="B295" s="1057">
        <v>286</v>
      </c>
      <c r="C295" s="1018"/>
      <c r="D295" s="1018"/>
      <c r="E295" s="1018"/>
      <c r="F295" s="1018"/>
      <c r="G295" s="1018"/>
      <c r="H295" s="1018"/>
      <c r="I295" s="1018"/>
      <c r="J295" s="1018"/>
      <c r="K295" s="1018"/>
      <c r="L295" s="1018"/>
      <c r="M295" s="1057"/>
      <c r="N295" s="1018"/>
      <c r="O295" s="1018"/>
      <c r="P295" s="1018"/>
      <c r="Q295" s="1018"/>
      <c r="R295" s="1018"/>
      <c r="S295" s="1018"/>
      <c r="T295" s="1019"/>
      <c r="U295" s="1098" t="s">
        <v>3165</v>
      </c>
      <c r="V295" s="1099" t="s">
        <v>3166</v>
      </c>
      <c r="W295" s="1099" t="s">
        <v>3095</v>
      </c>
      <c r="X295" s="1100" t="s">
        <v>3167</v>
      </c>
      <c r="Y295" s="1101" t="s">
        <v>1931</v>
      </c>
      <c r="Z295" s="1102" t="s">
        <v>3168</v>
      </c>
      <c r="AA295" s="1103" t="s">
        <v>1942</v>
      </c>
      <c r="AB295" s="1104" t="s">
        <v>1942</v>
      </c>
      <c r="AC295" s="1104" t="s">
        <v>1942</v>
      </c>
      <c r="AD295" s="1104" t="s">
        <v>1942</v>
      </c>
      <c r="AE295" s="1104">
        <v>1</v>
      </c>
      <c r="AF295" s="1104" t="s">
        <v>1942</v>
      </c>
      <c r="AG295" s="1104" t="s">
        <v>1942</v>
      </c>
      <c r="AH295" s="1104" t="s">
        <v>1942</v>
      </c>
      <c r="AI295" s="1105">
        <f t="shared" si="4"/>
        <v>1</v>
      </c>
      <c r="AJ295" s="1106" t="s">
        <v>1030</v>
      </c>
      <c r="AK295" s="1106" t="s">
        <v>1008</v>
      </c>
      <c r="AL295" s="1106" t="s">
        <v>1009</v>
      </c>
      <c r="AM295" s="1107" t="s">
        <v>3169</v>
      </c>
      <c r="AN295" s="1018" t="s">
        <v>1081</v>
      </c>
      <c r="AO295" s="1018" t="s">
        <v>3170</v>
      </c>
      <c r="AP295" s="1274">
        <v>2</v>
      </c>
      <c r="AQ295" s="1076" t="s">
        <v>1010</v>
      </c>
      <c r="AR295" s="1109" t="s">
        <v>1931</v>
      </c>
      <c r="AS295" s="1110"/>
      <c r="AT295" s="1100"/>
      <c r="AU295" s="1100"/>
      <c r="AV295" s="1100"/>
      <c r="AW295" s="1111"/>
      <c r="AX295" s="1112"/>
      <c r="AY295" s="1075"/>
      <c r="AZ295" s="1076"/>
      <c r="BA295" s="1076"/>
      <c r="BB295" s="1076"/>
      <c r="BC295" s="1076"/>
      <c r="BD295" s="1076"/>
      <c r="BE295" s="1076"/>
      <c r="BF295" s="1076"/>
      <c r="BG295" s="1076"/>
      <c r="BH295" s="1076"/>
      <c r="BI295" s="1075" t="s">
        <v>1942</v>
      </c>
      <c r="BJ295" s="1076" t="s">
        <v>1942</v>
      </c>
      <c r="BK295" s="1076" t="s">
        <v>1942</v>
      </c>
      <c r="BL295" s="1076" t="s">
        <v>1942</v>
      </c>
      <c r="BM295" s="1076" t="s">
        <v>4852</v>
      </c>
      <c r="BN295" s="1075"/>
      <c r="BO295" s="1076"/>
      <c r="BP295" s="1076"/>
      <c r="BQ295" s="1076"/>
      <c r="BR295" s="1076"/>
      <c r="BS295" s="1115"/>
      <c r="BT295" s="1076"/>
      <c r="BU295" s="1076"/>
      <c r="BV295" s="1076"/>
      <c r="BW295" s="1116"/>
      <c r="BX295" s="1115"/>
      <c r="BY295" s="1076"/>
      <c r="BZ295" s="1076"/>
      <c r="CA295" s="1076"/>
      <c r="CB295" s="1116"/>
      <c r="CC295" s="1117"/>
      <c r="CD295" s="1118" t="s">
        <v>168</v>
      </c>
      <c r="CE295" s="1119" t="s">
        <v>168</v>
      </c>
      <c r="CF295" s="1119" t="s">
        <v>168</v>
      </c>
      <c r="CG295" s="1119" t="s">
        <v>168</v>
      </c>
      <c r="CH295" s="1120" t="s">
        <v>168</v>
      </c>
      <c r="CI295" s="1075" t="s">
        <v>1942</v>
      </c>
      <c r="CJ295" s="1076" t="s">
        <v>1942</v>
      </c>
      <c r="CK295" s="1076" t="s">
        <v>1942</v>
      </c>
      <c r="CL295" s="1076" t="s">
        <v>1942</v>
      </c>
      <c r="CM295" s="1117" t="s">
        <v>1942</v>
      </c>
      <c r="CN295" s="1075" t="s">
        <v>1942</v>
      </c>
      <c r="CO295" s="1076" t="s">
        <v>1942</v>
      </c>
      <c r="CP295" s="1076" t="s">
        <v>1942</v>
      </c>
      <c r="CQ295" s="1076" t="s">
        <v>1942</v>
      </c>
      <c r="CR295" s="1117" t="s">
        <v>1942</v>
      </c>
      <c r="CS295" s="1075" t="s">
        <v>1942</v>
      </c>
      <c r="CT295" s="1076" t="s">
        <v>1942</v>
      </c>
      <c r="CU295" s="1076" t="s">
        <v>1942</v>
      </c>
      <c r="CV295" s="1076" t="s">
        <v>1942</v>
      </c>
      <c r="CW295" s="1117" t="s">
        <v>1942</v>
      </c>
      <c r="CX295" s="1075" t="s">
        <v>1942</v>
      </c>
      <c r="CY295" s="1076" t="s">
        <v>1942</v>
      </c>
      <c r="CZ295" s="1076" t="s">
        <v>1942</v>
      </c>
      <c r="DA295" s="1076" t="s">
        <v>1942</v>
      </c>
      <c r="DB295" s="1117" t="s">
        <v>1942</v>
      </c>
      <c r="DC295" s="1076" t="s">
        <v>1942</v>
      </c>
      <c r="DD295" s="1076" t="s">
        <v>1942</v>
      </c>
      <c r="DE295" s="1076" t="s">
        <v>1942</v>
      </c>
      <c r="DF295" s="1076" t="s">
        <v>1942</v>
      </c>
      <c r="DG295" s="1117" t="s">
        <v>1942</v>
      </c>
      <c r="DH295" s="1075" t="s">
        <v>1942</v>
      </c>
      <c r="DI295" s="1076" t="s">
        <v>1942</v>
      </c>
      <c r="DJ295" s="1076" t="s">
        <v>1942</v>
      </c>
      <c r="DK295" s="1076" t="s">
        <v>1942</v>
      </c>
      <c r="DL295" s="1117" t="s">
        <v>1942</v>
      </c>
      <c r="DM295" s="1121" t="s">
        <v>1942</v>
      </c>
      <c r="DN295" s="1122" t="s">
        <v>1942</v>
      </c>
      <c r="DO295" s="1122" t="s">
        <v>1942</v>
      </c>
      <c r="DP295" s="1123" t="s">
        <v>1942</v>
      </c>
      <c r="DQ295" s="1122" t="s">
        <v>1942</v>
      </c>
      <c r="DR295" s="1122" t="s">
        <v>1942</v>
      </c>
      <c r="DS295" s="1122" t="s">
        <v>1942</v>
      </c>
      <c r="DT295" s="1123" t="s">
        <v>1942</v>
      </c>
      <c r="DU295" s="1119" t="s">
        <v>1942</v>
      </c>
      <c r="DV295" s="1124">
        <v>1</v>
      </c>
      <c r="DW295" s="1125" t="s">
        <v>1942</v>
      </c>
    </row>
    <row r="296" spans="1:127" s="397" customFormat="1" ht="15.75" customHeight="1">
      <c r="A296" s="1097" t="s">
        <v>1038</v>
      </c>
      <c r="B296" s="1057">
        <v>287</v>
      </c>
      <c r="C296" s="1018"/>
      <c r="D296" s="1018"/>
      <c r="E296" s="1018"/>
      <c r="F296" s="1018"/>
      <c r="G296" s="1018"/>
      <c r="H296" s="1018"/>
      <c r="I296" s="1018"/>
      <c r="J296" s="1018"/>
      <c r="K296" s="1018"/>
      <c r="L296" s="1018"/>
      <c r="M296" s="1057"/>
      <c r="N296" s="1018"/>
      <c r="O296" s="1018"/>
      <c r="P296" s="1018"/>
      <c r="Q296" s="1018"/>
      <c r="R296" s="1018"/>
      <c r="S296" s="1018"/>
      <c r="T296" s="1019"/>
      <c r="U296" s="1098" t="s">
        <v>3171</v>
      </c>
      <c r="V296" s="1099" t="s">
        <v>3172</v>
      </c>
      <c r="W296" s="1099" t="s">
        <v>3095</v>
      </c>
      <c r="X296" s="1100" t="s">
        <v>3173</v>
      </c>
      <c r="Y296" s="1101" t="s">
        <v>2263</v>
      </c>
      <c r="Z296" s="1102" t="s">
        <v>3174</v>
      </c>
      <c r="AA296" s="1103" t="s">
        <v>1942</v>
      </c>
      <c r="AB296" s="1104" t="s">
        <v>1942</v>
      </c>
      <c r="AC296" s="1104" t="s">
        <v>1942</v>
      </c>
      <c r="AD296" s="1104" t="s">
        <v>1942</v>
      </c>
      <c r="AE296" s="1104">
        <v>1</v>
      </c>
      <c r="AF296" s="1104" t="s">
        <v>1942</v>
      </c>
      <c r="AG296" s="1104" t="s">
        <v>1942</v>
      </c>
      <c r="AH296" s="1104" t="s">
        <v>1942</v>
      </c>
      <c r="AI296" s="1105">
        <f t="shared" si="4"/>
        <v>1</v>
      </c>
      <c r="AJ296" s="1106" t="s">
        <v>1030</v>
      </c>
      <c r="AK296" s="1106" t="s">
        <v>1008</v>
      </c>
      <c r="AL296" s="1106" t="s">
        <v>1009</v>
      </c>
      <c r="AM296" s="1107" t="s">
        <v>3175</v>
      </c>
      <c r="AN296" s="1018" t="s">
        <v>278</v>
      </c>
      <c r="AO296" s="1018" t="s">
        <v>3176</v>
      </c>
      <c r="AP296" s="1274">
        <v>2</v>
      </c>
      <c r="AQ296" s="1076" t="s">
        <v>1020</v>
      </c>
      <c r="AR296" s="1109" t="s">
        <v>1942</v>
      </c>
      <c r="AS296" s="1110"/>
      <c r="AT296" s="1100"/>
      <c r="AU296" s="1100"/>
      <c r="AV296" s="1100"/>
      <c r="AW296" s="1111"/>
      <c r="AX296" s="1112"/>
      <c r="AY296" s="1075"/>
      <c r="AZ296" s="1076"/>
      <c r="BA296" s="1076"/>
      <c r="BB296" s="1076"/>
      <c r="BC296" s="1076"/>
      <c r="BD296" s="1076"/>
      <c r="BE296" s="1076"/>
      <c r="BF296" s="1076"/>
      <c r="BG296" s="1076"/>
      <c r="BH296" s="1076"/>
      <c r="BI296" s="1420"/>
      <c r="BJ296" s="1368"/>
      <c r="BK296" s="1368"/>
      <c r="BL296" s="1368"/>
      <c r="BM296" s="1368"/>
      <c r="BN296" s="1075"/>
      <c r="BO296" s="1076"/>
      <c r="BP296" s="1076"/>
      <c r="BQ296" s="1076"/>
      <c r="BR296" s="1076"/>
      <c r="BS296" s="1115"/>
      <c r="BT296" s="1076"/>
      <c r="BU296" s="1076"/>
      <c r="BV296" s="1076"/>
      <c r="BW296" s="1116"/>
      <c r="BX296" s="1115"/>
      <c r="BY296" s="1076"/>
      <c r="BZ296" s="1076"/>
      <c r="CA296" s="1076"/>
      <c r="CB296" s="1116"/>
      <c r="CC296" s="1117"/>
      <c r="CD296" s="1376"/>
      <c r="CE296" s="1377"/>
      <c r="CF296" s="1377"/>
      <c r="CG296" s="1377"/>
      <c r="CH296" s="1440"/>
      <c r="CI296" s="1420"/>
      <c r="CJ296" s="1368"/>
      <c r="CK296" s="1368"/>
      <c r="CL296" s="1368"/>
      <c r="CM296" s="1369"/>
      <c r="CN296" s="1420"/>
      <c r="CO296" s="1368"/>
      <c r="CP296" s="1368"/>
      <c r="CQ296" s="1368"/>
      <c r="CR296" s="1369"/>
      <c r="CS296" s="1420"/>
      <c r="CT296" s="1368"/>
      <c r="CU296" s="1368"/>
      <c r="CV296" s="1368"/>
      <c r="CW296" s="1369"/>
      <c r="CX296" s="1420"/>
      <c r="CY296" s="1368"/>
      <c r="CZ296" s="1368"/>
      <c r="DA296" s="1368"/>
      <c r="DB296" s="1369"/>
      <c r="DC296" s="1368"/>
      <c r="DD296" s="1368"/>
      <c r="DE296" s="1368"/>
      <c r="DF296" s="1368"/>
      <c r="DG296" s="1369"/>
      <c r="DH296" s="1420"/>
      <c r="DI296" s="1368"/>
      <c r="DJ296" s="1368"/>
      <c r="DK296" s="1368"/>
      <c r="DL296" s="1369"/>
      <c r="DM296" s="1808"/>
      <c r="DN296" s="1809"/>
      <c r="DO296" s="1809"/>
      <c r="DP296" s="1810"/>
      <c r="DQ296" s="1809"/>
      <c r="DR296" s="1809"/>
      <c r="DS296" s="1809"/>
      <c r="DT296" s="1810"/>
      <c r="DU296" s="1377"/>
      <c r="DV296" s="1729"/>
      <c r="DW296" s="1811"/>
    </row>
    <row r="297" spans="1:127" s="397" customFormat="1" ht="15.75" customHeight="1">
      <c r="A297" s="1097" t="s">
        <v>1038</v>
      </c>
      <c r="B297" s="1057">
        <v>288</v>
      </c>
      <c r="C297" s="1018"/>
      <c r="D297" s="1018"/>
      <c r="E297" s="1018"/>
      <c r="F297" s="1018"/>
      <c r="G297" s="1018"/>
      <c r="H297" s="1018"/>
      <c r="I297" s="1018"/>
      <c r="J297" s="1018"/>
      <c r="K297" s="1018"/>
      <c r="L297" s="1018"/>
      <c r="M297" s="1057"/>
      <c r="N297" s="1018"/>
      <c r="O297" s="1018"/>
      <c r="P297" s="1018"/>
      <c r="Q297" s="1018"/>
      <c r="R297" s="1018"/>
      <c r="S297" s="1018"/>
      <c r="T297" s="1019"/>
      <c r="U297" s="1098" t="s">
        <v>3177</v>
      </c>
      <c r="V297" s="1099" t="s">
        <v>3172</v>
      </c>
      <c r="W297" s="1099" t="s">
        <v>3095</v>
      </c>
      <c r="X297" s="1100" t="s">
        <v>3178</v>
      </c>
      <c r="Y297" s="1101" t="s">
        <v>3179</v>
      </c>
      <c r="Z297" s="1102" t="s">
        <v>3180</v>
      </c>
      <c r="AA297" s="1103" t="s">
        <v>1942</v>
      </c>
      <c r="AB297" s="1104" t="s">
        <v>1942</v>
      </c>
      <c r="AC297" s="1104" t="s">
        <v>1942</v>
      </c>
      <c r="AD297" s="1104" t="s">
        <v>1942</v>
      </c>
      <c r="AE297" s="1104">
        <v>1</v>
      </c>
      <c r="AF297" s="1104" t="s">
        <v>1942</v>
      </c>
      <c r="AG297" s="1104" t="s">
        <v>1942</v>
      </c>
      <c r="AH297" s="1104" t="s">
        <v>1942</v>
      </c>
      <c r="AI297" s="1105">
        <f t="shared" si="4"/>
        <v>1</v>
      </c>
      <c r="AJ297" s="1106" t="s">
        <v>1007</v>
      </c>
      <c r="AK297" s="1106" t="s">
        <v>4850</v>
      </c>
      <c r="AL297" s="1106" t="s">
        <v>4850</v>
      </c>
      <c r="AM297" s="1107" t="s">
        <v>3181</v>
      </c>
      <c r="AN297" s="1018" t="s">
        <v>278</v>
      </c>
      <c r="AO297" s="1018" t="s">
        <v>3182</v>
      </c>
      <c r="AP297" s="1274">
        <v>0</v>
      </c>
      <c r="AQ297" s="1076" t="s">
        <v>1010</v>
      </c>
      <c r="AR297" s="1109" t="s">
        <v>1942</v>
      </c>
      <c r="AS297" s="1110"/>
      <c r="AT297" s="1100"/>
      <c r="AU297" s="1100"/>
      <c r="AV297" s="1100"/>
      <c r="AW297" s="1111"/>
      <c r="AX297" s="1112"/>
      <c r="AY297" s="1075"/>
      <c r="AZ297" s="1076"/>
      <c r="BA297" s="1076"/>
      <c r="BB297" s="1076"/>
      <c r="BC297" s="1076"/>
      <c r="BD297" s="1076"/>
      <c r="BE297" s="1076"/>
      <c r="BF297" s="1076"/>
      <c r="BG297" s="1076"/>
      <c r="BH297" s="1076"/>
      <c r="BI297" s="1420"/>
      <c r="BJ297" s="1368"/>
      <c r="BK297" s="1368"/>
      <c r="BL297" s="1368"/>
      <c r="BM297" s="1368"/>
      <c r="BN297" s="1075"/>
      <c r="BO297" s="1076"/>
      <c r="BP297" s="1076"/>
      <c r="BQ297" s="1076"/>
      <c r="BR297" s="1076"/>
      <c r="BS297" s="1115"/>
      <c r="BT297" s="1076"/>
      <c r="BU297" s="1076"/>
      <c r="BV297" s="1076"/>
      <c r="BW297" s="1116"/>
      <c r="BX297" s="1115"/>
      <c r="BY297" s="1076"/>
      <c r="BZ297" s="1076"/>
      <c r="CA297" s="1076"/>
      <c r="CB297" s="1116"/>
      <c r="CC297" s="1117"/>
      <c r="CD297" s="1376"/>
      <c r="CE297" s="1377"/>
      <c r="CF297" s="1377"/>
      <c r="CG297" s="1377"/>
      <c r="CH297" s="1440"/>
      <c r="CI297" s="1420"/>
      <c r="CJ297" s="1368"/>
      <c r="CK297" s="1368"/>
      <c r="CL297" s="1368"/>
      <c r="CM297" s="1369"/>
      <c r="CN297" s="1420"/>
      <c r="CO297" s="1368"/>
      <c r="CP297" s="1368"/>
      <c r="CQ297" s="1368"/>
      <c r="CR297" s="1369"/>
      <c r="CS297" s="1420"/>
      <c r="CT297" s="1368"/>
      <c r="CU297" s="1368"/>
      <c r="CV297" s="1368"/>
      <c r="CW297" s="1369"/>
      <c r="CX297" s="1420"/>
      <c r="CY297" s="1368"/>
      <c r="CZ297" s="1368"/>
      <c r="DA297" s="1368"/>
      <c r="DB297" s="1369"/>
      <c r="DC297" s="1368"/>
      <c r="DD297" s="1368"/>
      <c r="DE297" s="1368"/>
      <c r="DF297" s="1368"/>
      <c r="DG297" s="1369"/>
      <c r="DH297" s="1420"/>
      <c r="DI297" s="1368"/>
      <c r="DJ297" s="1368"/>
      <c r="DK297" s="1368"/>
      <c r="DL297" s="1369"/>
      <c r="DM297" s="1808"/>
      <c r="DN297" s="1809"/>
      <c r="DO297" s="1809"/>
      <c r="DP297" s="1810"/>
      <c r="DQ297" s="1809"/>
      <c r="DR297" s="1809"/>
      <c r="DS297" s="1809"/>
      <c r="DT297" s="1810"/>
      <c r="DU297" s="1377"/>
      <c r="DV297" s="1729"/>
      <c r="DW297" s="1811"/>
    </row>
    <row r="298" spans="1:127" s="397" customFormat="1" ht="15.75" customHeight="1">
      <c r="A298" s="1097" t="s">
        <v>1038</v>
      </c>
      <c r="B298" s="1057">
        <v>289</v>
      </c>
      <c r="C298" s="1018"/>
      <c r="D298" s="1018"/>
      <c r="E298" s="1018"/>
      <c r="F298" s="1018"/>
      <c r="G298" s="1018"/>
      <c r="H298" s="1018"/>
      <c r="I298" s="1018"/>
      <c r="J298" s="1018"/>
      <c r="K298" s="1018"/>
      <c r="L298" s="1018"/>
      <c r="M298" s="1057"/>
      <c r="N298" s="1018"/>
      <c r="O298" s="1018"/>
      <c r="P298" s="1018"/>
      <c r="Q298" s="1018"/>
      <c r="R298" s="1018"/>
      <c r="S298" s="1018"/>
      <c r="T298" s="1019"/>
      <c r="U298" s="1098" t="s">
        <v>3183</v>
      </c>
      <c r="V298" s="1099" t="s">
        <v>3184</v>
      </c>
      <c r="W298" s="1099" t="s">
        <v>3095</v>
      </c>
      <c r="X298" s="1100" t="s">
        <v>3185</v>
      </c>
      <c r="Y298" s="1101" t="s">
        <v>3186</v>
      </c>
      <c r="Z298" s="1102" t="s">
        <v>3187</v>
      </c>
      <c r="AA298" s="1103" t="s">
        <v>1942</v>
      </c>
      <c r="AB298" s="1104" t="s">
        <v>1942</v>
      </c>
      <c r="AC298" s="1104" t="s">
        <v>1942</v>
      </c>
      <c r="AD298" s="1104" t="s">
        <v>1942</v>
      </c>
      <c r="AE298" s="1104">
        <v>1</v>
      </c>
      <c r="AF298" s="1104" t="s">
        <v>1942</v>
      </c>
      <c r="AG298" s="1104" t="s">
        <v>1942</v>
      </c>
      <c r="AH298" s="1104" t="s">
        <v>1942</v>
      </c>
      <c r="AI298" s="1105">
        <f t="shared" si="4"/>
        <v>1</v>
      </c>
      <c r="AJ298" s="1106" t="s">
        <v>1007</v>
      </c>
      <c r="AK298" s="1106" t="s">
        <v>4850</v>
      </c>
      <c r="AL298" s="1106" t="s">
        <v>4850</v>
      </c>
      <c r="AM298" s="1107" t="s">
        <v>3181</v>
      </c>
      <c r="AN298" s="1018" t="s">
        <v>278</v>
      </c>
      <c r="AO298" s="1018" t="s">
        <v>3188</v>
      </c>
      <c r="AP298" s="1274">
        <v>0</v>
      </c>
      <c r="AQ298" s="1076" t="s">
        <v>1010</v>
      </c>
      <c r="AR298" s="1109" t="s">
        <v>1942</v>
      </c>
      <c r="AS298" s="1110"/>
      <c r="AT298" s="1100"/>
      <c r="AU298" s="1100"/>
      <c r="AV298" s="1100"/>
      <c r="AW298" s="1111"/>
      <c r="AX298" s="1112"/>
      <c r="AY298" s="1075"/>
      <c r="AZ298" s="1076"/>
      <c r="BA298" s="1076"/>
      <c r="BB298" s="1076"/>
      <c r="BC298" s="1076"/>
      <c r="BD298" s="1076"/>
      <c r="BE298" s="1076"/>
      <c r="BF298" s="1076"/>
      <c r="BG298" s="1076"/>
      <c r="BH298" s="1076"/>
      <c r="BI298" s="1420"/>
      <c r="BJ298" s="1368"/>
      <c r="BK298" s="1368"/>
      <c r="BL298" s="1368"/>
      <c r="BM298" s="1368"/>
      <c r="BN298" s="1075"/>
      <c r="BO298" s="1076"/>
      <c r="BP298" s="1076"/>
      <c r="BQ298" s="1076"/>
      <c r="BR298" s="1076"/>
      <c r="BS298" s="1115"/>
      <c r="BT298" s="1076"/>
      <c r="BU298" s="1076"/>
      <c r="BV298" s="1076"/>
      <c r="BW298" s="1116"/>
      <c r="BX298" s="1115"/>
      <c r="BY298" s="1076"/>
      <c r="BZ298" s="1076"/>
      <c r="CA298" s="1076"/>
      <c r="CB298" s="1116"/>
      <c r="CC298" s="1117"/>
      <c r="CD298" s="1376"/>
      <c r="CE298" s="1377"/>
      <c r="CF298" s="1377"/>
      <c r="CG298" s="1377"/>
      <c r="CH298" s="1440"/>
      <c r="CI298" s="1420"/>
      <c r="CJ298" s="1368"/>
      <c r="CK298" s="1368"/>
      <c r="CL298" s="1368"/>
      <c r="CM298" s="1369"/>
      <c r="CN298" s="1420"/>
      <c r="CO298" s="1368"/>
      <c r="CP298" s="1368"/>
      <c r="CQ298" s="1368"/>
      <c r="CR298" s="1369"/>
      <c r="CS298" s="1420"/>
      <c r="CT298" s="1368"/>
      <c r="CU298" s="1368"/>
      <c r="CV298" s="1368"/>
      <c r="CW298" s="1369"/>
      <c r="CX298" s="1420"/>
      <c r="CY298" s="1368"/>
      <c r="CZ298" s="1368"/>
      <c r="DA298" s="1368"/>
      <c r="DB298" s="1369"/>
      <c r="DC298" s="1368"/>
      <c r="DD298" s="1368"/>
      <c r="DE298" s="1368"/>
      <c r="DF298" s="1368"/>
      <c r="DG298" s="1369"/>
      <c r="DH298" s="1420"/>
      <c r="DI298" s="1368"/>
      <c r="DJ298" s="1368"/>
      <c r="DK298" s="1368"/>
      <c r="DL298" s="1369"/>
      <c r="DM298" s="1808"/>
      <c r="DN298" s="1809"/>
      <c r="DO298" s="1809"/>
      <c r="DP298" s="1810"/>
      <c r="DQ298" s="1809"/>
      <c r="DR298" s="1809"/>
      <c r="DS298" s="1809"/>
      <c r="DT298" s="1810"/>
      <c r="DU298" s="1377"/>
      <c r="DV298" s="1729"/>
      <c r="DW298" s="1811"/>
    </row>
    <row r="299" spans="1:127" s="397" customFormat="1" ht="15.75" customHeight="1">
      <c r="A299" s="1097" t="s">
        <v>1038</v>
      </c>
      <c r="B299" s="1057">
        <v>290</v>
      </c>
      <c r="C299" s="1018"/>
      <c r="D299" s="1018"/>
      <c r="E299" s="1018"/>
      <c r="F299" s="1018"/>
      <c r="G299" s="1018"/>
      <c r="H299" s="1018"/>
      <c r="I299" s="1018"/>
      <c r="J299" s="1018"/>
      <c r="K299" s="1018"/>
      <c r="L299" s="1018"/>
      <c r="M299" s="1057"/>
      <c r="N299" s="1018"/>
      <c r="O299" s="1018"/>
      <c r="P299" s="1018"/>
      <c r="Q299" s="1018"/>
      <c r="R299" s="1018"/>
      <c r="S299" s="1018"/>
      <c r="T299" s="1019"/>
      <c r="U299" s="1098" t="s">
        <v>3189</v>
      </c>
      <c r="V299" s="1099" t="s">
        <v>3076</v>
      </c>
      <c r="W299" s="1099" t="s">
        <v>3095</v>
      </c>
      <c r="X299" s="1100" t="s">
        <v>3190</v>
      </c>
      <c r="Y299" s="1101" t="s">
        <v>3191</v>
      </c>
      <c r="Z299" s="1102" t="s">
        <v>3192</v>
      </c>
      <c r="AA299" s="1103" t="s">
        <v>1942</v>
      </c>
      <c r="AB299" s="1104">
        <v>1</v>
      </c>
      <c r="AC299" s="1104" t="s">
        <v>1942</v>
      </c>
      <c r="AD299" s="1104" t="s">
        <v>1942</v>
      </c>
      <c r="AE299" s="1104" t="s">
        <v>1942</v>
      </c>
      <c r="AF299" s="1104" t="s">
        <v>1942</v>
      </c>
      <c r="AG299" s="1104" t="s">
        <v>1942</v>
      </c>
      <c r="AH299" s="1104" t="s">
        <v>1942</v>
      </c>
      <c r="AI299" s="1105">
        <f t="shared" si="4"/>
        <v>1</v>
      </c>
      <c r="AJ299" s="1106" t="s">
        <v>1017</v>
      </c>
      <c r="AK299" s="1106" t="s">
        <v>1008</v>
      </c>
      <c r="AL299" s="1106" t="s">
        <v>1009</v>
      </c>
      <c r="AM299" s="1107" t="s">
        <v>3193</v>
      </c>
      <c r="AN299" s="1018" t="s">
        <v>1033</v>
      </c>
      <c r="AO299" s="1018" t="s">
        <v>3194</v>
      </c>
      <c r="AP299" s="1274">
        <v>0</v>
      </c>
      <c r="AQ299" s="1076" t="s">
        <v>1010</v>
      </c>
      <c r="AR299" s="1109" t="s">
        <v>1942</v>
      </c>
      <c r="AS299" s="1110"/>
      <c r="AT299" s="1100"/>
      <c r="AU299" s="1100"/>
      <c r="AV299" s="1100"/>
      <c r="AW299" s="1111"/>
      <c r="AX299" s="1112"/>
      <c r="AY299" s="1075"/>
      <c r="AZ299" s="1076"/>
      <c r="BA299" s="1076"/>
      <c r="BB299" s="1076"/>
      <c r="BC299" s="1076"/>
      <c r="BD299" s="1076"/>
      <c r="BE299" s="1076"/>
      <c r="BF299" s="1076"/>
      <c r="BG299" s="1076"/>
      <c r="BH299" s="1076"/>
      <c r="BI299" s="1420"/>
      <c r="BJ299" s="1368"/>
      <c r="BK299" s="1368"/>
      <c r="BL299" s="1368"/>
      <c r="BM299" s="1368"/>
      <c r="BN299" s="1075"/>
      <c r="BO299" s="1076"/>
      <c r="BP299" s="1076"/>
      <c r="BQ299" s="1076"/>
      <c r="BR299" s="1076"/>
      <c r="BS299" s="1115"/>
      <c r="BT299" s="1076"/>
      <c r="BU299" s="1076"/>
      <c r="BV299" s="1076"/>
      <c r="BW299" s="1116"/>
      <c r="BX299" s="1115"/>
      <c r="BY299" s="1076"/>
      <c r="BZ299" s="1076"/>
      <c r="CA299" s="1076"/>
      <c r="CB299" s="1116"/>
      <c r="CC299" s="1117"/>
      <c r="CD299" s="1376"/>
      <c r="CE299" s="1377"/>
      <c r="CF299" s="1377"/>
      <c r="CG299" s="1377"/>
      <c r="CH299" s="1440"/>
      <c r="CI299" s="1420"/>
      <c r="CJ299" s="1368"/>
      <c r="CK299" s="1368"/>
      <c r="CL299" s="1368"/>
      <c r="CM299" s="1369"/>
      <c r="CN299" s="1420"/>
      <c r="CO299" s="1368"/>
      <c r="CP299" s="1368"/>
      <c r="CQ299" s="1368"/>
      <c r="CR299" s="1369"/>
      <c r="CS299" s="1420"/>
      <c r="CT299" s="1368"/>
      <c r="CU299" s="1368"/>
      <c r="CV299" s="1368"/>
      <c r="CW299" s="1369"/>
      <c r="CX299" s="1420"/>
      <c r="CY299" s="1368"/>
      <c r="CZ299" s="1368"/>
      <c r="DA299" s="1368"/>
      <c r="DB299" s="1369"/>
      <c r="DC299" s="1368"/>
      <c r="DD299" s="1368"/>
      <c r="DE299" s="1368"/>
      <c r="DF299" s="1368"/>
      <c r="DG299" s="1369"/>
      <c r="DH299" s="1420"/>
      <c r="DI299" s="1368"/>
      <c r="DJ299" s="1368"/>
      <c r="DK299" s="1368"/>
      <c r="DL299" s="1369"/>
      <c r="DM299" s="1808"/>
      <c r="DN299" s="1809"/>
      <c r="DO299" s="1809"/>
      <c r="DP299" s="1810"/>
      <c r="DQ299" s="1809"/>
      <c r="DR299" s="1809"/>
      <c r="DS299" s="1809"/>
      <c r="DT299" s="1810"/>
      <c r="DU299" s="1377"/>
      <c r="DV299" s="1729"/>
      <c r="DW299" s="1811"/>
    </row>
    <row r="300" spans="1:127" s="397" customFormat="1" ht="15.75" customHeight="1">
      <c r="A300" s="1097" t="s">
        <v>1038</v>
      </c>
      <c r="B300" s="1057">
        <v>291</v>
      </c>
      <c r="C300" s="1018"/>
      <c r="D300" s="1018"/>
      <c r="E300" s="1018"/>
      <c r="F300" s="1018"/>
      <c r="G300" s="1018"/>
      <c r="H300" s="1018"/>
      <c r="I300" s="1018"/>
      <c r="J300" s="1018"/>
      <c r="K300" s="1018"/>
      <c r="L300" s="1018"/>
      <c r="M300" s="1057"/>
      <c r="N300" s="1018"/>
      <c r="O300" s="1018"/>
      <c r="P300" s="1018"/>
      <c r="Q300" s="1018"/>
      <c r="R300" s="1018"/>
      <c r="S300" s="1018"/>
      <c r="T300" s="1019"/>
      <c r="U300" s="1098" t="s">
        <v>3195</v>
      </c>
      <c r="V300" s="1099" t="s">
        <v>3196</v>
      </c>
      <c r="W300" s="1099" t="s">
        <v>3095</v>
      </c>
      <c r="X300" s="1100" t="s">
        <v>3197</v>
      </c>
      <c r="Y300" s="1101" t="s">
        <v>3198</v>
      </c>
      <c r="Z300" s="1102" t="s">
        <v>3199</v>
      </c>
      <c r="AA300" s="1103" t="s">
        <v>1942</v>
      </c>
      <c r="AB300" s="1104" t="s">
        <v>1942</v>
      </c>
      <c r="AC300" s="1104">
        <v>1</v>
      </c>
      <c r="AD300" s="1104" t="s">
        <v>1942</v>
      </c>
      <c r="AE300" s="1104" t="s">
        <v>1942</v>
      </c>
      <c r="AF300" s="1104" t="s">
        <v>1942</v>
      </c>
      <c r="AG300" s="1104" t="s">
        <v>1942</v>
      </c>
      <c r="AH300" s="1104" t="s">
        <v>1942</v>
      </c>
      <c r="AI300" s="1105">
        <f t="shared" si="4"/>
        <v>1</v>
      </c>
      <c r="AJ300" s="1106" t="s">
        <v>1030</v>
      </c>
      <c r="AK300" s="1106" t="s">
        <v>1008</v>
      </c>
      <c r="AL300" s="1106" t="s">
        <v>1009</v>
      </c>
      <c r="AM300" s="1107" t="s">
        <v>3200</v>
      </c>
      <c r="AN300" s="1018" t="s">
        <v>1046</v>
      </c>
      <c r="AO300" s="1018" t="s">
        <v>3201</v>
      </c>
      <c r="AP300" s="1274">
        <v>0</v>
      </c>
      <c r="AQ300" s="1076" t="s">
        <v>1010</v>
      </c>
      <c r="AR300" s="1109" t="s">
        <v>1942</v>
      </c>
      <c r="AS300" s="1110"/>
      <c r="AT300" s="1100"/>
      <c r="AU300" s="1100"/>
      <c r="AV300" s="1100"/>
      <c r="AW300" s="1111"/>
      <c r="AX300" s="1112"/>
      <c r="AY300" s="1075"/>
      <c r="AZ300" s="1076"/>
      <c r="BA300" s="1076"/>
      <c r="BB300" s="1076"/>
      <c r="BC300" s="1076"/>
      <c r="BD300" s="1076"/>
      <c r="BE300" s="1076"/>
      <c r="BF300" s="1076"/>
      <c r="BG300" s="1076"/>
      <c r="BH300" s="1076"/>
      <c r="BI300" s="1420"/>
      <c r="BJ300" s="1368"/>
      <c r="BK300" s="1368"/>
      <c r="BL300" s="1368"/>
      <c r="BM300" s="1368"/>
      <c r="BN300" s="1075"/>
      <c r="BO300" s="1076"/>
      <c r="BP300" s="1076"/>
      <c r="BQ300" s="1076"/>
      <c r="BR300" s="1076"/>
      <c r="BS300" s="1115"/>
      <c r="BT300" s="1076"/>
      <c r="BU300" s="1076"/>
      <c r="BV300" s="1076"/>
      <c r="BW300" s="1116"/>
      <c r="BX300" s="1115"/>
      <c r="BY300" s="1076"/>
      <c r="BZ300" s="1076"/>
      <c r="CA300" s="1076"/>
      <c r="CB300" s="1116"/>
      <c r="CC300" s="1117"/>
      <c r="CD300" s="1376"/>
      <c r="CE300" s="1377"/>
      <c r="CF300" s="1377"/>
      <c r="CG300" s="1377"/>
      <c r="CH300" s="1440"/>
      <c r="CI300" s="1420"/>
      <c r="CJ300" s="1368"/>
      <c r="CK300" s="1368"/>
      <c r="CL300" s="1368"/>
      <c r="CM300" s="1369"/>
      <c r="CN300" s="1420"/>
      <c r="CO300" s="1368"/>
      <c r="CP300" s="1368"/>
      <c r="CQ300" s="1368"/>
      <c r="CR300" s="1369"/>
      <c r="CS300" s="1420"/>
      <c r="CT300" s="1368"/>
      <c r="CU300" s="1368"/>
      <c r="CV300" s="1368"/>
      <c r="CW300" s="1369"/>
      <c r="CX300" s="1420"/>
      <c r="CY300" s="1368"/>
      <c r="CZ300" s="1368"/>
      <c r="DA300" s="1368"/>
      <c r="DB300" s="1369"/>
      <c r="DC300" s="1368"/>
      <c r="DD300" s="1368"/>
      <c r="DE300" s="1368"/>
      <c r="DF300" s="1368"/>
      <c r="DG300" s="1369"/>
      <c r="DH300" s="1420"/>
      <c r="DI300" s="1368"/>
      <c r="DJ300" s="1368"/>
      <c r="DK300" s="1368"/>
      <c r="DL300" s="1369"/>
      <c r="DM300" s="1808"/>
      <c r="DN300" s="1809"/>
      <c r="DO300" s="1809"/>
      <c r="DP300" s="1810"/>
      <c r="DQ300" s="1809"/>
      <c r="DR300" s="1809"/>
      <c r="DS300" s="1809"/>
      <c r="DT300" s="1810"/>
      <c r="DU300" s="1377"/>
      <c r="DV300" s="1729"/>
      <c r="DW300" s="1811"/>
    </row>
    <row r="301" spans="1:127" s="397" customFormat="1" ht="15.75" customHeight="1">
      <c r="A301" s="1097" t="s">
        <v>1038</v>
      </c>
      <c r="B301" s="1057">
        <v>292</v>
      </c>
      <c r="C301" s="1018"/>
      <c r="D301" s="1018" t="s">
        <v>2098</v>
      </c>
      <c r="E301" s="1018"/>
      <c r="F301" s="1018"/>
      <c r="G301" s="1018"/>
      <c r="H301" s="1018"/>
      <c r="I301" s="1018"/>
      <c r="J301" s="1018"/>
      <c r="K301" s="1018"/>
      <c r="L301" s="1018"/>
      <c r="M301" s="1057"/>
      <c r="N301" s="1018"/>
      <c r="O301" s="1018"/>
      <c r="P301" s="1018"/>
      <c r="Q301" s="1018"/>
      <c r="R301" s="1018"/>
      <c r="S301" s="1018"/>
      <c r="T301" s="1019"/>
      <c r="U301" s="1098" t="s">
        <v>3202</v>
      </c>
      <c r="V301" s="1099" t="s">
        <v>3196</v>
      </c>
      <c r="W301" s="1099" t="s">
        <v>3095</v>
      </c>
      <c r="X301" s="1100" t="s">
        <v>3203</v>
      </c>
      <c r="Y301" s="1101" t="s">
        <v>3204</v>
      </c>
      <c r="Z301" s="1102" t="s">
        <v>3205</v>
      </c>
      <c r="AA301" s="1103" t="s">
        <v>1942</v>
      </c>
      <c r="AB301" s="1104">
        <v>0.5</v>
      </c>
      <c r="AC301" s="1104">
        <v>0.5</v>
      </c>
      <c r="AD301" s="1104" t="s">
        <v>1942</v>
      </c>
      <c r="AE301" s="1104" t="s">
        <v>1942</v>
      </c>
      <c r="AF301" s="1104" t="s">
        <v>1942</v>
      </c>
      <c r="AG301" s="1104" t="s">
        <v>1942</v>
      </c>
      <c r="AH301" s="1104" t="s">
        <v>1942</v>
      </c>
      <c r="AI301" s="1105">
        <f t="shared" si="4"/>
        <v>1</v>
      </c>
      <c r="AJ301" s="1106" t="s">
        <v>1007</v>
      </c>
      <c r="AK301" s="1106" t="s">
        <v>4850</v>
      </c>
      <c r="AL301" s="1106" t="s">
        <v>4850</v>
      </c>
      <c r="AM301" s="1107" t="s">
        <v>3206</v>
      </c>
      <c r="AN301" s="1018" t="s">
        <v>1086</v>
      </c>
      <c r="AO301" s="1018" t="s">
        <v>3207</v>
      </c>
      <c r="AP301" s="1274">
        <v>0</v>
      </c>
      <c r="AQ301" s="1076" t="s">
        <v>1010</v>
      </c>
      <c r="AR301" s="1109" t="s">
        <v>1942</v>
      </c>
      <c r="AS301" s="1110"/>
      <c r="AT301" s="1100"/>
      <c r="AU301" s="1100"/>
      <c r="AV301" s="1100"/>
      <c r="AW301" s="1111"/>
      <c r="AX301" s="1112"/>
      <c r="AY301" s="1075"/>
      <c r="AZ301" s="1076"/>
      <c r="BA301" s="1076"/>
      <c r="BB301" s="1076"/>
      <c r="BC301" s="1076"/>
      <c r="BD301" s="1076"/>
      <c r="BE301" s="1076"/>
      <c r="BF301" s="1076"/>
      <c r="BG301" s="1076"/>
      <c r="BH301" s="1076"/>
      <c r="BI301" s="1420"/>
      <c r="BJ301" s="1368"/>
      <c r="BK301" s="1368"/>
      <c r="BL301" s="1368"/>
      <c r="BM301" s="1368"/>
      <c r="BN301" s="1075"/>
      <c r="BO301" s="1076"/>
      <c r="BP301" s="1076"/>
      <c r="BQ301" s="1076"/>
      <c r="BR301" s="1076"/>
      <c r="BS301" s="1115"/>
      <c r="BT301" s="1076"/>
      <c r="BU301" s="1076"/>
      <c r="BV301" s="1076"/>
      <c r="BW301" s="1116"/>
      <c r="BX301" s="1115"/>
      <c r="BY301" s="1076"/>
      <c r="BZ301" s="1076"/>
      <c r="CA301" s="1076"/>
      <c r="CB301" s="1116"/>
      <c r="CC301" s="1117"/>
      <c r="CD301" s="1376"/>
      <c r="CE301" s="1377"/>
      <c r="CF301" s="1377"/>
      <c r="CG301" s="1377"/>
      <c r="CH301" s="1440"/>
      <c r="CI301" s="1420"/>
      <c r="CJ301" s="1368"/>
      <c r="CK301" s="1368"/>
      <c r="CL301" s="1368"/>
      <c r="CM301" s="1369"/>
      <c r="CN301" s="1420"/>
      <c r="CO301" s="1368"/>
      <c r="CP301" s="1368"/>
      <c r="CQ301" s="1368"/>
      <c r="CR301" s="1369"/>
      <c r="CS301" s="1420"/>
      <c r="CT301" s="1368"/>
      <c r="CU301" s="1368"/>
      <c r="CV301" s="1368"/>
      <c r="CW301" s="1369"/>
      <c r="CX301" s="1420"/>
      <c r="CY301" s="1368"/>
      <c r="CZ301" s="1368"/>
      <c r="DA301" s="1368"/>
      <c r="DB301" s="1369"/>
      <c r="DC301" s="1368"/>
      <c r="DD301" s="1368"/>
      <c r="DE301" s="1368"/>
      <c r="DF301" s="1368"/>
      <c r="DG301" s="1369"/>
      <c r="DH301" s="1420"/>
      <c r="DI301" s="1368"/>
      <c r="DJ301" s="1368"/>
      <c r="DK301" s="1368"/>
      <c r="DL301" s="1369"/>
      <c r="DM301" s="1808"/>
      <c r="DN301" s="1809"/>
      <c r="DO301" s="1809"/>
      <c r="DP301" s="1810"/>
      <c r="DQ301" s="1809"/>
      <c r="DR301" s="1809"/>
      <c r="DS301" s="1809"/>
      <c r="DT301" s="1810"/>
      <c r="DU301" s="1377"/>
      <c r="DV301" s="1729"/>
      <c r="DW301" s="1811"/>
    </row>
    <row r="302" spans="1:127" s="397" customFormat="1" ht="15.75" customHeight="1">
      <c r="A302" s="1097" t="s">
        <v>1038</v>
      </c>
      <c r="B302" s="1057">
        <v>293</v>
      </c>
      <c r="C302" s="1018"/>
      <c r="D302" s="1018"/>
      <c r="E302" s="1018"/>
      <c r="F302" s="1018"/>
      <c r="G302" s="1018"/>
      <c r="H302" s="1018"/>
      <c r="I302" s="1018"/>
      <c r="J302" s="1018"/>
      <c r="K302" s="1018"/>
      <c r="L302" s="1018"/>
      <c r="M302" s="1057"/>
      <c r="N302" s="1018"/>
      <c r="O302" s="1018"/>
      <c r="P302" s="1018"/>
      <c r="Q302" s="1018"/>
      <c r="R302" s="1018"/>
      <c r="S302" s="1018"/>
      <c r="T302" s="1019"/>
      <c r="U302" s="1098" t="s">
        <v>3208</v>
      </c>
      <c r="V302" s="1099" t="s">
        <v>3196</v>
      </c>
      <c r="W302" s="1099" t="s">
        <v>3095</v>
      </c>
      <c r="X302" s="1100" t="s">
        <v>3209</v>
      </c>
      <c r="Y302" s="1101" t="s">
        <v>3210</v>
      </c>
      <c r="Z302" s="1102" t="s">
        <v>3211</v>
      </c>
      <c r="AA302" s="1103" t="s">
        <v>1942</v>
      </c>
      <c r="AB302" s="1104">
        <v>0.5</v>
      </c>
      <c r="AC302" s="1104">
        <v>0.5</v>
      </c>
      <c r="AD302" s="1104" t="s">
        <v>1942</v>
      </c>
      <c r="AE302" s="1104" t="s">
        <v>1942</v>
      </c>
      <c r="AF302" s="1104" t="s">
        <v>1942</v>
      </c>
      <c r="AG302" s="1104" t="s">
        <v>1942</v>
      </c>
      <c r="AH302" s="1104" t="s">
        <v>1942</v>
      </c>
      <c r="AI302" s="1105">
        <f t="shared" si="4"/>
        <v>1</v>
      </c>
      <c r="AJ302" s="1106" t="s">
        <v>1007</v>
      </c>
      <c r="AK302" s="1106" t="s">
        <v>4850</v>
      </c>
      <c r="AL302" s="1106" t="s">
        <v>4850</v>
      </c>
      <c r="AM302" s="1107" t="s">
        <v>2306</v>
      </c>
      <c r="AN302" s="1018" t="s">
        <v>278</v>
      </c>
      <c r="AO302" s="1018" t="s">
        <v>3212</v>
      </c>
      <c r="AP302" s="1274">
        <v>0</v>
      </c>
      <c r="AQ302" s="1076" t="s">
        <v>1010</v>
      </c>
      <c r="AR302" s="1109" t="s">
        <v>1942</v>
      </c>
      <c r="AS302" s="1110"/>
      <c r="AT302" s="1100"/>
      <c r="AU302" s="1100"/>
      <c r="AV302" s="1100"/>
      <c r="AW302" s="1111"/>
      <c r="AX302" s="1112"/>
      <c r="AY302" s="1075"/>
      <c r="AZ302" s="1076"/>
      <c r="BA302" s="1076"/>
      <c r="BB302" s="1076"/>
      <c r="BC302" s="1076"/>
      <c r="BD302" s="1076"/>
      <c r="BE302" s="1076"/>
      <c r="BF302" s="1076"/>
      <c r="BG302" s="1076"/>
      <c r="BH302" s="1076"/>
      <c r="BI302" s="1420"/>
      <c r="BJ302" s="1368"/>
      <c r="BK302" s="1368"/>
      <c r="BL302" s="1368"/>
      <c r="BM302" s="1368"/>
      <c r="BN302" s="1075"/>
      <c r="BO302" s="1076"/>
      <c r="BP302" s="1076"/>
      <c r="BQ302" s="1076"/>
      <c r="BR302" s="1076"/>
      <c r="BS302" s="1115"/>
      <c r="BT302" s="1076"/>
      <c r="BU302" s="1076"/>
      <c r="BV302" s="1076"/>
      <c r="BW302" s="1116"/>
      <c r="BX302" s="1115"/>
      <c r="BY302" s="1076"/>
      <c r="BZ302" s="1076"/>
      <c r="CA302" s="1076"/>
      <c r="CB302" s="1116"/>
      <c r="CC302" s="1117"/>
      <c r="CD302" s="1376"/>
      <c r="CE302" s="1377"/>
      <c r="CF302" s="1377"/>
      <c r="CG302" s="1377"/>
      <c r="CH302" s="1440"/>
      <c r="CI302" s="1420"/>
      <c r="CJ302" s="1368"/>
      <c r="CK302" s="1368"/>
      <c r="CL302" s="1368"/>
      <c r="CM302" s="1369"/>
      <c r="CN302" s="1420"/>
      <c r="CO302" s="1368"/>
      <c r="CP302" s="1368"/>
      <c r="CQ302" s="1368"/>
      <c r="CR302" s="1369"/>
      <c r="CS302" s="1420"/>
      <c r="CT302" s="1368"/>
      <c r="CU302" s="1368"/>
      <c r="CV302" s="1368"/>
      <c r="CW302" s="1369"/>
      <c r="CX302" s="1420"/>
      <c r="CY302" s="1368"/>
      <c r="CZ302" s="1368"/>
      <c r="DA302" s="1368"/>
      <c r="DB302" s="1369"/>
      <c r="DC302" s="1368"/>
      <c r="DD302" s="1368"/>
      <c r="DE302" s="1368"/>
      <c r="DF302" s="1368"/>
      <c r="DG302" s="1369"/>
      <c r="DH302" s="1420"/>
      <c r="DI302" s="1368"/>
      <c r="DJ302" s="1368"/>
      <c r="DK302" s="1368"/>
      <c r="DL302" s="1369"/>
      <c r="DM302" s="1808"/>
      <c r="DN302" s="1809"/>
      <c r="DO302" s="1809"/>
      <c r="DP302" s="1810"/>
      <c r="DQ302" s="1809"/>
      <c r="DR302" s="1809"/>
      <c r="DS302" s="1809"/>
      <c r="DT302" s="1810"/>
      <c r="DU302" s="1377"/>
      <c r="DV302" s="1729"/>
      <c r="DW302" s="1811"/>
    </row>
    <row r="303" spans="1:127" s="397" customFormat="1" ht="15.75" customHeight="1">
      <c r="A303" s="1097" t="s">
        <v>1038</v>
      </c>
      <c r="B303" s="1057">
        <v>294</v>
      </c>
      <c r="C303" s="1018"/>
      <c r="D303" s="1018"/>
      <c r="E303" s="1018"/>
      <c r="F303" s="1018"/>
      <c r="G303" s="1018"/>
      <c r="H303" s="1018"/>
      <c r="I303" s="1018"/>
      <c r="J303" s="1018"/>
      <c r="K303" s="1018"/>
      <c r="L303" s="1018"/>
      <c r="M303" s="1057"/>
      <c r="N303" s="1018"/>
      <c r="O303" s="1018"/>
      <c r="P303" s="1018"/>
      <c r="Q303" s="1018"/>
      <c r="R303" s="1018"/>
      <c r="S303" s="1018"/>
      <c r="T303" s="1019"/>
      <c r="U303" s="1098" t="s">
        <v>3213</v>
      </c>
      <c r="V303" s="1099" t="s">
        <v>3214</v>
      </c>
      <c r="W303" s="1099" t="s">
        <v>3077</v>
      </c>
      <c r="X303" s="1100" t="s">
        <v>3215</v>
      </c>
      <c r="Y303" s="1101" t="s">
        <v>137</v>
      </c>
      <c r="Z303" s="1102" t="s">
        <v>3216</v>
      </c>
      <c r="AA303" s="1103" t="s">
        <v>1942</v>
      </c>
      <c r="AB303" s="1104">
        <v>1</v>
      </c>
      <c r="AC303" s="1104" t="s">
        <v>1942</v>
      </c>
      <c r="AD303" s="1104" t="s">
        <v>1942</v>
      </c>
      <c r="AE303" s="1104" t="s">
        <v>1942</v>
      </c>
      <c r="AF303" s="1104" t="s">
        <v>1942</v>
      </c>
      <c r="AG303" s="1104" t="s">
        <v>1942</v>
      </c>
      <c r="AH303" s="1104" t="s">
        <v>1942</v>
      </c>
      <c r="AI303" s="1105">
        <f t="shared" si="4"/>
        <v>1</v>
      </c>
      <c r="AJ303" s="1106" t="s">
        <v>1030</v>
      </c>
      <c r="AK303" s="1106" t="s">
        <v>1008</v>
      </c>
      <c r="AL303" s="1106" t="s">
        <v>1009</v>
      </c>
      <c r="AM303" s="1107" t="s">
        <v>3217</v>
      </c>
      <c r="AN303" s="1018" t="s">
        <v>4789</v>
      </c>
      <c r="AO303" s="1018" t="s">
        <v>4790</v>
      </c>
      <c r="AP303" s="1307">
        <v>0</v>
      </c>
      <c r="AQ303" s="1076" t="s">
        <v>1020</v>
      </c>
      <c r="AR303" s="1109" t="s">
        <v>137</v>
      </c>
      <c r="AS303" s="1110"/>
      <c r="AT303" s="1100"/>
      <c r="AU303" s="1100"/>
      <c r="AV303" s="1100"/>
      <c r="AW303" s="1111"/>
      <c r="AX303" s="1112"/>
      <c r="AY303" s="1075"/>
      <c r="AZ303" s="1076"/>
      <c r="BA303" s="1076"/>
      <c r="BB303" s="1076"/>
      <c r="BC303" s="1076"/>
      <c r="BD303" s="1076"/>
      <c r="BE303" s="1076"/>
      <c r="BF303" s="1076"/>
      <c r="BG303" s="1150"/>
      <c r="BH303" s="1150"/>
      <c r="BI303" s="1149">
        <v>4.5138888888888893E-3</v>
      </c>
      <c r="BJ303" s="1150">
        <v>4.2592592592592595E-3</v>
      </c>
      <c r="BK303" s="1150">
        <v>3.9930555555555561E-3</v>
      </c>
      <c r="BL303" s="1150">
        <v>3.7384259259259263E-3</v>
      </c>
      <c r="BM303" s="1150">
        <v>3.472222222222222E-3</v>
      </c>
      <c r="BN303" s="1075"/>
      <c r="BO303" s="1076"/>
      <c r="BP303" s="1076"/>
      <c r="BQ303" s="1076"/>
      <c r="BR303" s="1076"/>
      <c r="BS303" s="1115"/>
      <c r="BT303" s="1076"/>
      <c r="BU303" s="1076"/>
      <c r="BV303" s="1076"/>
      <c r="BW303" s="1116"/>
      <c r="BX303" s="1115"/>
      <c r="BY303" s="1076"/>
      <c r="BZ303" s="1076"/>
      <c r="CA303" s="1076"/>
      <c r="CB303" s="1116"/>
      <c r="CC303" s="1117"/>
      <c r="CD303" s="1118" t="s">
        <v>168</v>
      </c>
      <c r="CE303" s="1119" t="s">
        <v>168</v>
      </c>
      <c r="CF303" s="1119" t="s">
        <v>168</v>
      </c>
      <c r="CG303" s="1119" t="s">
        <v>168</v>
      </c>
      <c r="CH303" s="1120" t="s">
        <v>168</v>
      </c>
      <c r="CI303" s="1149" t="s">
        <v>1942</v>
      </c>
      <c r="CJ303" s="1150" t="s">
        <v>1942</v>
      </c>
      <c r="CK303" s="1150" t="s">
        <v>1942</v>
      </c>
      <c r="CL303" s="1150" t="s">
        <v>1942</v>
      </c>
      <c r="CM303" s="1153" t="s">
        <v>1942</v>
      </c>
      <c r="CN303" s="1149">
        <v>1.5798611111111114E-2</v>
      </c>
      <c r="CO303" s="1150">
        <v>1.5798611111111114E-2</v>
      </c>
      <c r="CP303" s="1150">
        <v>1.5798611111111114E-2</v>
      </c>
      <c r="CQ303" s="1150">
        <v>1.5798611111111114E-2</v>
      </c>
      <c r="CR303" s="1153">
        <v>1.5798611111111114E-2</v>
      </c>
      <c r="CS303" s="1149" t="s">
        <v>1942</v>
      </c>
      <c r="CT303" s="1150" t="s">
        <v>1942</v>
      </c>
      <c r="CU303" s="1150" t="s">
        <v>1942</v>
      </c>
      <c r="CV303" s="1150" t="s">
        <v>1942</v>
      </c>
      <c r="CW303" s="1153" t="s">
        <v>1942</v>
      </c>
      <c r="CX303" s="1149" t="s">
        <v>1942</v>
      </c>
      <c r="CY303" s="1150" t="s">
        <v>1942</v>
      </c>
      <c r="CZ303" s="1150" t="s">
        <v>1942</v>
      </c>
      <c r="DA303" s="1150" t="s">
        <v>1942</v>
      </c>
      <c r="DB303" s="1153" t="s">
        <v>1942</v>
      </c>
      <c r="DC303" s="1150">
        <v>2.430555555555556E-3</v>
      </c>
      <c r="DD303" s="1150">
        <v>2.1759259259259258E-3</v>
      </c>
      <c r="DE303" s="1150">
        <v>1.9097222222222226E-3</v>
      </c>
      <c r="DF303" s="1150">
        <v>1.6550925925925928E-3</v>
      </c>
      <c r="DG303" s="1153">
        <v>1.3888888888888887E-3</v>
      </c>
      <c r="DH303" s="1149" t="s">
        <v>1942</v>
      </c>
      <c r="DI303" s="1150" t="s">
        <v>1942</v>
      </c>
      <c r="DJ303" s="1150" t="s">
        <v>1942</v>
      </c>
      <c r="DK303" s="1150" t="s">
        <v>1942</v>
      </c>
      <c r="DL303" s="1153" t="s">
        <v>1942</v>
      </c>
      <c r="DM303" s="1121">
        <v>-0.24399999999999999</v>
      </c>
      <c r="DN303" s="1122" t="s">
        <v>1942</v>
      </c>
      <c r="DO303" s="1122" t="s">
        <v>1942</v>
      </c>
      <c r="DP303" s="1123" t="s">
        <v>1942</v>
      </c>
      <c r="DQ303" s="1122">
        <v>0.24399999999999999</v>
      </c>
      <c r="DR303" s="1122" t="s">
        <v>1942</v>
      </c>
      <c r="DS303" s="1122" t="s">
        <v>1942</v>
      </c>
      <c r="DT303" s="1123" t="s">
        <v>1942</v>
      </c>
      <c r="DU303" s="1119" t="s">
        <v>1942</v>
      </c>
      <c r="DV303" s="1124">
        <v>1</v>
      </c>
      <c r="DW303" s="1125" t="s">
        <v>1942</v>
      </c>
    </row>
    <row r="304" spans="1:127" s="397" customFormat="1" ht="15.75" customHeight="1">
      <c r="A304" s="1097" t="s">
        <v>1038</v>
      </c>
      <c r="B304" s="1057">
        <v>295</v>
      </c>
      <c r="C304" s="1018"/>
      <c r="D304" s="1018"/>
      <c r="E304" s="1018"/>
      <c r="F304" s="1018"/>
      <c r="G304" s="1018"/>
      <c r="H304" s="1018"/>
      <c r="I304" s="1018"/>
      <c r="J304" s="1018"/>
      <c r="K304" s="1018"/>
      <c r="L304" s="1018"/>
      <c r="M304" s="1057"/>
      <c r="N304" s="1018"/>
      <c r="O304" s="1018"/>
      <c r="P304" s="1018"/>
      <c r="Q304" s="1018"/>
      <c r="R304" s="1018"/>
      <c r="S304" s="1018"/>
      <c r="T304" s="1019"/>
      <c r="U304" s="1098" t="s">
        <v>3219</v>
      </c>
      <c r="V304" s="1099" t="s">
        <v>3214</v>
      </c>
      <c r="W304" s="1099" t="s">
        <v>3077</v>
      </c>
      <c r="X304" s="1100" t="s">
        <v>3220</v>
      </c>
      <c r="Y304" s="1101" t="s">
        <v>732</v>
      </c>
      <c r="Z304" s="1102" t="s">
        <v>3221</v>
      </c>
      <c r="AA304" s="1103" t="s">
        <v>1942</v>
      </c>
      <c r="AB304" s="1104" t="s">
        <v>1942</v>
      </c>
      <c r="AC304" s="1104">
        <v>1</v>
      </c>
      <c r="AD304" s="1104" t="s">
        <v>1942</v>
      </c>
      <c r="AE304" s="1104" t="s">
        <v>1942</v>
      </c>
      <c r="AF304" s="1104" t="s">
        <v>1942</v>
      </c>
      <c r="AG304" s="1104" t="s">
        <v>1942</v>
      </c>
      <c r="AH304" s="1104" t="s">
        <v>1942</v>
      </c>
      <c r="AI304" s="1105">
        <f t="shared" si="4"/>
        <v>1</v>
      </c>
      <c r="AJ304" s="1106" t="s">
        <v>1030</v>
      </c>
      <c r="AK304" s="1106" t="s">
        <v>1008</v>
      </c>
      <c r="AL304" s="1106" t="s">
        <v>1009</v>
      </c>
      <c r="AM304" s="1107" t="s">
        <v>3200</v>
      </c>
      <c r="AN304" s="1018" t="s">
        <v>2177</v>
      </c>
      <c r="AO304" s="1018" t="s">
        <v>4492</v>
      </c>
      <c r="AP304" s="1307">
        <v>2</v>
      </c>
      <c r="AQ304" s="1076" t="s">
        <v>1020</v>
      </c>
      <c r="AR304" s="1109" t="s">
        <v>732</v>
      </c>
      <c r="AS304" s="1110"/>
      <c r="AT304" s="1100"/>
      <c r="AU304" s="1100"/>
      <c r="AV304" s="1100"/>
      <c r="AW304" s="1111"/>
      <c r="AX304" s="1112"/>
      <c r="AY304" s="1075"/>
      <c r="AZ304" s="1076"/>
      <c r="BA304" s="1076"/>
      <c r="BB304" s="1076"/>
      <c r="BC304" s="1076"/>
      <c r="BD304" s="1076"/>
      <c r="BE304" s="1076"/>
      <c r="BF304" s="1076"/>
      <c r="BG304" s="1126"/>
      <c r="BH304" s="1126"/>
      <c r="BI304" s="1127">
        <v>1.68</v>
      </c>
      <c r="BJ304" s="1126">
        <v>1.63</v>
      </c>
      <c r="BK304" s="1126">
        <v>1.58</v>
      </c>
      <c r="BL304" s="1126">
        <v>1.44</v>
      </c>
      <c r="BM304" s="1126">
        <v>1.34</v>
      </c>
      <c r="BN304" s="1075"/>
      <c r="BO304" s="1076"/>
      <c r="BP304" s="1076"/>
      <c r="BQ304" s="1076"/>
      <c r="BR304" s="1076"/>
      <c r="BS304" s="1115"/>
      <c r="BT304" s="1076"/>
      <c r="BU304" s="1076"/>
      <c r="BV304" s="1076"/>
      <c r="BW304" s="1116"/>
      <c r="BX304" s="1115"/>
      <c r="BY304" s="1076"/>
      <c r="BZ304" s="1076"/>
      <c r="CA304" s="1076"/>
      <c r="CB304" s="1116"/>
      <c r="CC304" s="1117"/>
      <c r="CD304" s="1118" t="s">
        <v>168</v>
      </c>
      <c r="CE304" s="1119" t="s">
        <v>168</v>
      </c>
      <c r="CF304" s="1119" t="s">
        <v>168</v>
      </c>
      <c r="CG304" s="1119" t="s">
        <v>168</v>
      </c>
      <c r="CH304" s="1120" t="s">
        <v>168</v>
      </c>
      <c r="CI304" s="1075" t="s">
        <v>1942</v>
      </c>
      <c r="CJ304" s="1076" t="s">
        <v>1942</v>
      </c>
      <c r="CK304" s="1076" t="s">
        <v>1942</v>
      </c>
      <c r="CL304" s="1076" t="s">
        <v>1942</v>
      </c>
      <c r="CM304" s="1117" t="s">
        <v>1942</v>
      </c>
      <c r="CN304" s="1075">
        <v>3.35</v>
      </c>
      <c r="CO304" s="1076">
        <v>3.35</v>
      </c>
      <c r="CP304" s="1076">
        <v>3.35</v>
      </c>
      <c r="CQ304" s="1076">
        <v>3.35</v>
      </c>
      <c r="CR304" s="1117">
        <v>3.35</v>
      </c>
      <c r="CS304" s="1075" t="s">
        <v>1942</v>
      </c>
      <c r="CT304" s="1076" t="s">
        <v>1942</v>
      </c>
      <c r="CU304" s="1076" t="s">
        <v>1942</v>
      </c>
      <c r="CV304" s="1076" t="s">
        <v>1942</v>
      </c>
      <c r="CW304" s="1117" t="s">
        <v>1942</v>
      </c>
      <c r="CX304" s="1075" t="s">
        <v>1942</v>
      </c>
      <c r="CY304" s="1076" t="s">
        <v>1942</v>
      </c>
      <c r="CZ304" s="1076" t="s">
        <v>1942</v>
      </c>
      <c r="DA304" s="1076" t="s">
        <v>1942</v>
      </c>
      <c r="DB304" s="1117" t="s">
        <v>1942</v>
      </c>
      <c r="DC304" s="1076">
        <v>1.38</v>
      </c>
      <c r="DD304" s="1076">
        <v>1.33</v>
      </c>
      <c r="DE304" s="1076">
        <v>1.28</v>
      </c>
      <c r="DF304" s="1076">
        <v>1.1399999999999999</v>
      </c>
      <c r="DG304" s="1117">
        <v>1.04</v>
      </c>
      <c r="DH304" s="1075" t="s">
        <v>1942</v>
      </c>
      <c r="DI304" s="1076" t="s">
        <v>1942</v>
      </c>
      <c r="DJ304" s="1076" t="s">
        <v>1942</v>
      </c>
      <c r="DK304" s="1076" t="s">
        <v>1942</v>
      </c>
      <c r="DL304" s="1117" t="s">
        <v>1942</v>
      </c>
      <c r="DM304" s="1121">
        <v>-5.5570000000000004</v>
      </c>
      <c r="DN304" s="1122" t="s">
        <v>1942</v>
      </c>
      <c r="DO304" s="1122" t="s">
        <v>1942</v>
      </c>
      <c r="DP304" s="1123" t="s">
        <v>1942</v>
      </c>
      <c r="DQ304" s="1122">
        <v>5.5570000000000004</v>
      </c>
      <c r="DR304" s="1122" t="s">
        <v>1942</v>
      </c>
      <c r="DS304" s="1122" t="s">
        <v>1942</v>
      </c>
      <c r="DT304" s="1123" t="s">
        <v>1942</v>
      </c>
      <c r="DU304" s="1119" t="s">
        <v>1942</v>
      </c>
      <c r="DV304" s="1124">
        <v>1</v>
      </c>
      <c r="DW304" s="1125" t="s">
        <v>1942</v>
      </c>
    </row>
    <row r="305" spans="1:127" s="397" customFormat="1" ht="15.75" customHeight="1">
      <c r="A305" s="1097" t="s">
        <v>1038</v>
      </c>
      <c r="B305" s="1057">
        <v>296</v>
      </c>
      <c r="C305" s="1018"/>
      <c r="D305" s="1018"/>
      <c r="E305" s="1018"/>
      <c r="F305" s="1018"/>
      <c r="G305" s="1018"/>
      <c r="H305" s="1018"/>
      <c r="I305" s="1018"/>
      <c r="J305" s="1018"/>
      <c r="K305" s="1018"/>
      <c r="L305" s="1018"/>
      <c r="M305" s="1057"/>
      <c r="N305" s="1018"/>
      <c r="O305" s="1018"/>
      <c r="P305" s="1018"/>
      <c r="Q305" s="1018"/>
      <c r="R305" s="1018"/>
      <c r="S305" s="1018"/>
      <c r="T305" s="1019"/>
      <c r="U305" s="1098" t="s">
        <v>3223</v>
      </c>
      <c r="V305" s="1099" t="s">
        <v>3214</v>
      </c>
      <c r="W305" s="1099" t="s">
        <v>3077</v>
      </c>
      <c r="X305" s="1100" t="s">
        <v>3224</v>
      </c>
      <c r="Y305" s="1101" t="s">
        <v>736</v>
      </c>
      <c r="Z305" s="1102" t="s">
        <v>3225</v>
      </c>
      <c r="AA305" s="1103" t="s">
        <v>1942</v>
      </c>
      <c r="AB305" s="1104" t="s">
        <v>1942</v>
      </c>
      <c r="AC305" s="1104">
        <v>1</v>
      </c>
      <c r="AD305" s="1104" t="s">
        <v>1942</v>
      </c>
      <c r="AE305" s="1104" t="s">
        <v>1942</v>
      </c>
      <c r="AF305" s="1104" t="s">
        <v>1942</v>
      </c>
      <c r="AG305" s="1104" t="s">
        <v>1942</v>
      </c>
      <c r="AH305" s="1104" t="s">
        <v>1942</v>
      </c>
      <c r="AI305" s="1105">
        <f t="shared" si="4"/>
        <v>1</v>
      </c>
      <c r="AJ305" s="1106" t="s">
        <v>1030</v>
      </c>
      <c r="AK305" s="1106" t="s">
        <v>1008</v>
      </c>
      <c r="AL305" s="1106" t="s">
        <v>1009</v>
      </c>
      <c r="AM305" s="1107" t="s">
        <v>3226</v>
      </c>
      <c r="AN305" s="1018" t="s">
        <v>2177</v>
      </c>
      <c r="AO305" s="1018" t="s">
        <v>4806</v>
      </c>
      <c r="AP305" s="1307">
        <v>2</v>
      </c>
      <c r="AQ305" s="1076" t="s">
        <v>1020</v>
      </c>
      <c r="AR305" s="1109" t="s">
        <v>736</v>
      </c>
      <c r="AS305" s="1110"/>
      <c r="AT305" s="1100"/>
      <c r="AU305" s="1100"/>
      <c r="AV305" s="1100"/>
      <c r="AW305" s="1111"/>
      <c r="AX305" s="1112"/>
      <c r="AY305" s="1075"/>
      <c r="AZ305" s="1076"/>
      <c r="BA305" s="1076"/>
      <c r="BB305" s="1076"/>
      <c r="BC305" s="1076"/>
      <c r="BD305" s="1076"/>
      <c r="BE305" s="1076"/>
      <c r="BF305" s="1076"/>
      <c r="BG305" s="1126"/>
      <c r="BH305" s="1126"/>
      <c r="BI305" s="1127">
        <v>24.51</v>
      </c>
      <c r="BJ305" s="1126">
        <v>23.74</v>
      </c>
      <c r="BK305" s="1126">
        <v>23</v>
      </c>
      <c r="BL305" s="1126">
        <v>22.4</v>
      </c>
      <c r="BM305" s="1126">
        <v>19.5</v>
      </c>
      <c r="BN305" s="1075"/>
      <c r="BO305" s="1076"/>
      <c r="BP305" s="1076"/>
      <c r="BQ305" s="1076"/>
      <c r="BR305" s="1076"/>
      <c r="BS305" s="1115"/>
      <c r="BT305" s="1076"/>
      <c r="BU305" s="1076"/>
      <c r="BV305" s="1076"/>
      <c r="BW305" s="1116"/>
      <c r="BX305" s="1115"/>
      <c r="BY305" s="1076"/>
      <c r="BZ305" s="1076"/>
      <c r="CA305" s="1076"/>
      <c r="CB305" s="1116"/>
      <c r="CC305" s="1117"/>
      <c r="CD305" s="1118" t="s">
        <v>168</v>
      </c>
      <c r="CE305" s="1119" t="s">
        <v>168</v>
      </c>
      <c r="CF305" s="1119" t="s">
        <v>168</v>
      </c>
      <c r="CG305" s="1119" t="s">
        <v>168</v>
      </c>
      <c r="CH305" s="1120" t="s">
        <v>168</v>
      </c>
      <c r="CI305" s="1075" t="s">
        <v>1942</v>
      </c>
      <c r="CJ305" s="1076" t="s">
        <v>1942</v>
      </c>
      <c r="CK305" s="1076" t="s">
        <v>1942</v>
      </c>
      <c r="CL305" s="1076" t="s">
        <v>1942</v>
      </c>
      <c r="CM305" s="1117" t="s">
        <v>1942</v>
      </c>
      <c r="CN305" s="1075">
        <v>49.01</v>
      </c>
      <c r="CO305" s="1076">
        <v>49.01</v>
      </c>
      <c r="CP305" s="1076">
        <v>49.01</v>
      </c>
      <c r="CQ305" s="1076">
        <v>49.01</v>
      </c>
      <c r="CR305" s="1117">
        <v>49.01</v>
      </c>
      <c r="CS305" s="1075" t="s">
        <v>1942</v>
      </c>
      <c r="CT305" s="1076" t="s">
        <v>1942</v>
      </c>
      <c r="CU305" s="1076" t="s">
        <v>1942</v>
      </c>
      <c r="CV305" s="1076" t="s">
        <v>1942</v>
      </c>
      <c r="CW305" s="1117" t="s">
        <v>1942</v>
      </c>
      <c r="CX305" s="1075" t="s">
        <v>1942</v>
      </c>
      <c r="CY305" s="1076" t="s">
        <v>1942</v>
      </c>
      <c r="CZ305" s="1076" t="s">
        <v>1942</v>
      </c>
      <c r="DA305" s="1076" t="s">
        <v>1942</v>
      </c>
      <c r="DB305" s="1117" t="s">
        <v>1942</v>
      </c>
      <c r="DC305" s="1076">
        <v>18.57</v>
      </c>
      <c r="DD305" s="1076">
        <v>17.8</v>
      </c>
      <c r="DE305" s="1076">
        <v>17.07</v>
      </c>
      <c r="DF305" s="1076">
        <v>16.47</v>
      </c>
      <c r="DG305" s="1117">
        <v>13.57</v>
      </c>
      <c r="DH305" s="1075" t="s">
        <v>1942</v>
      </c>
      <c r="DI305" s="1076" t="s">
        <v>1942</v>
      </c>
      <c r="DJ305" s="1076" t="s">
        <v>1942</v>
      </c>
      <c r="DK305" s="1076" t="s">
        <v>1942</v>
      </c>
      <c r="DL305" s="1117" t="s">
        <v>1942</v>
      </c>
      <c r="DM305" s="1121">
        <v>-0.315</v>
      </c>
      <c r="DN305" s="1122" t="s">
        <v>1942</v>
      </c>
      <c r="DO305" s="1122" t="s">
        <v>1942</v>
      </c>
      <c r="DP305" s="1123" t="s">
        <v>1942</v>
      </c>
      <c r="DQ305" s="1122">
        <v>0.27</v>
      </c>
      <c r="DR305" s="1122" t="s">
        <v>1942</v>
      </c>
      <c r="DS305" s="1122" t="s">
        <v>1942</v>
      </c>
      <c r="DT305" s="1123" t="s">
        <v>1942</v>
      </c>
      <c r="DU305" s="1119" t="s">
        <v>1942</v>
      </c>
      <c r="DV305" s="1124">
        <v>1</v>
      </c>
      <c r="DW305" s="1125" t="s">
        <v>1942</v>
      </c>
    </row>
    <row r="306" spans="1:127" s="397" customFormat="1" ht="15.75" customHeight="1">
      <c r="A306" s="1097" t="s">
        <v>1038</v>
      </c>
      <c r="B306" s="1057">
        <v>297</v>
      </c>
      <c r="C306" s="1018"/>
      <c r="D306" s="1018"/>
      <c r="E306" s="1018"/>
      <c r="F306" s="1018"/>
      <c r="G306" s="1018"/>
      <c r="H306" s="1018"/>
      <c r="I306" s="1018"/>
      <c r="J306" s="1018"/>
      <c r="K306" s="1018"/>
      <c r="L306" s="1018"/>
      <c r="M306" s="1057"/>
      <c r="N306" s="1018"/>
      <c r="O306" s="1018"/>
      <c r="P306" s="1018"/>
      <c r="Q306" s="1018"/>
      <c r="R306" s="1018"/>
      <c r="S306" s="1018"/>
      <c r="T306" s="1019"/>
      <c r="U306" s="1098" t="s">
        <v>3228</v>
      </c>
      <c r="V306" s="1099" t="s">
        <v>3214</v>
      </c>
      <c r="W306" s="1099" t="s">
        <v>3095</v>
      </c>
      <c r="X306" s="1100" t="s">
        <v>3229</v>
      </c>
      <c r="Y306" s="1101" t="s">
        <v>535</v>
      </c>
      <c r="Z306" s="1102" t="s">
        <v>3230</v>
      </c>
      <c r="AA306" s="1103">
        <v>1</v>
      </c>
      <c r="AB306" s="1104" t="s">
        <v>1942</v>
      </c>
      <c r="AC306" s="1104" t="s">
        <v>1942</v>
      </c>
      <c r="AD306" s="1104" t="s">
        <v>1942</v>
      </c>
      <c r="AE306" s="1104" t="s">
        <v>1942</v>
      </c>
      <c r="AF306" s="1104" t="s">
        <v>1942</v>
      </c>
      <c r="AG306" s="1104" t="s">
        <v>1942</v>
      </c>
      <c r="AH306" s="1104" t="s">
        <v>1942</v>
      </c>
      <c r="AI306" s="1105">
        <f t="shared" si="4"/>
        <v>1</v>
      </c>
      <c r="AJ306" s="1106" t="s">
        <v>1007</v>
      </c>
      <c r="AK306" s="1106" t="s">
        <v>4850</v>
      </c>
      <c r="AL306" s="1106" t="s">
        <v>4850</v>
      </c>
      <c r="AM306" s="1107" t="s">
        <v>3231</v>
      </c>
      <c r="AN306" s="1018" t="s">
        <v>278</v>
      </c>
      <c r="AO306" s="1018" t="s">
        <v>4792</v>
      </c>
      <c r="AP306" s="1307">
        <v>1</v>
      </c>
      <c r="AQ306" s="1076" t="s">
        <v>1020</v>
      </c>
      <c r="AR306" s="1109" t="s">
        <v>535</v>
      </c>
      <c r="AS306" s="1110"/>
      <c r="AT306" s="1100"/>
      <c r="AU306" s="1100"/>
      <c r="AV306" s="1100"/>
      <c r="AW306" s="1111"/>
      <c r="AX306" s="1112"/>
      <c r="AY306" s="1075"/>
      <c r="AZ306" s="1076"/>
      <c r="BA306" s="1076"/>
      <c r="BB306" s="1076"/>
      <c r="BC306" s="1076"/>
      <c r="BD306" s="1076"/>
      <c r="BE306" s="1076"/>
      <c r="BF306" s="1076"/>
      <c r="BG306" s="1113"/>
      <c r="BH306" s="1113"/>
      <c r="BI306" s="1114">
        <v>0</v>
      </c>
      <c r="BJ306" s="1113">
        <v>0</v>
      </c>
      <c r="BK306" s="1113">
        <v>0</v>
      </c>
      <c r="BL306" s="1113">
        <v>0</v>
      </c>
      <c r="BM306" s="1113">
        <v>0</v>
      </c>
      <c r="BN306" s="1075"/>
      <c r="BO306" s="1076"/>
      <c r="BP306" s="1076"/>
      <c r="BQ306" s="1076"/>
      <c r="BR306" s="1076"/>
      <c r="BS306" s="1115"/>
      <c r="BT306" s="1076"/>
      <c r="BU306" s="1076"/>
      <c r="BV306" s="1076"/>
      <c r="BW306" s="1116"/>
      <c r="BX306" s="1115"/>
      <c r="BY306" s="1076"/>
      <c r="BZ306" s="1076"/>
      <c r="CA306" s="1076"/>
      <c r="CB306" s="1116"/>
      <c r="CC306" s="1117"/>
      <c r="CD306" s="1118" t="s">
        <v>1942</v>
      </c>
      <c r="CE306" s="1119" t="s">
        <v>1942</v>
      </c>
      <c r="CF306" s="1119" t="s">
        <v>1942</v>
      </c>
      <c r="CG306" s="1119" t="s">
        <v>1942</v>
      </c>
      <c r="CH306" s="1120" t="s">
        <v>1942</v>
      </c>
      <c r="CI306" s="1075" t="s">
        <v>1942</v>
      </c>
      <c r="CJ306" s="1076" t="s">
        <v>1942</v>
      </c>
      <c r="CK306" s="1076" t="s">
        <v>1942</v>
      </c>
      <c r="CL306" s="1076" t="s">
        <v>1942</v>
      </c>
      <c r="CM306" s="1117" t="s">
        <v>1942</v>
      </c>
      <c r="CN306" s="1075" t="s">
        <v>1942</v>
      </c>
      <c r="CO306" s="1076" t="s">
        <v>1942</v>
      </c>
      <c r="CP306" s="1076" t="s">
        <v>1942</v>
      </c>
      <c r="CQ306" s="1076" t="s">
        <v>1942</v>
      </c>
      <c r="CR306" s="1117" t="s">
        <v>1942</v>
      </c>
      <c r="CS306" s="1075" t="s">
        <v>1942</v>
      </c>
      <c r="CT306" s="1076" t="s">
        <v>1942</v>
      </c>
      <c r="CU306" s="1076" t="s">
        <v>1942</v>
      </c>
      <c r="CV306" s="1076" t="s">
        <v>1942</v>
      </c>
      <c r="CW306" s="1117" t="s">
        <v>1942</v>
      </c>
      <c r="CX306" s="1075" t="s">
        <v>1942</v>
      </c>
      <c r="CY306" s="1076" t="s">
        <v>1942</v>
      </c>
      <c r="CZ306" s="1076" t="s">
        <v>1942</v>
      </c>
      <c r="DA306" s="1076" t="s">
        <v>1942</v>
      </c>
      <c r="DB306" s="1117" t="s">
        <v>1942</v>
      </c>
      <c r="DC306" s="1076" t="s">
        <v>1942</v>
      </c>
      <c r="DD306" s="1076" t="s">
        <v>1942</v>
      </c>
      <c r="DE306" s="1076" t="s">
        <v>1942</v>
      </c>
      <c r="DF306" s="1076" t="s">
        <v>1942</v>
      </c>
      <c r="DG306" s="1117" t="s">
        <v>1942</v>
      </c>
      <c r="DH306" s="1075" t="s">
        <v>1942</v>
      </c>
      <c r="DI306" s="1076" t="s">
        <v>1942</v>
      </c>
      <c r="DJ306" s="1076" t="s">
        <v>1942</v>
      </c>
      <c r="DK306" s="1076" t="s">
        <v>1942</v>
      </c>
      <c r="DL306" s="1117" t="s">
        <v>1942</v>
      </c>
      <c r="DM306" s="1121" t="s">
        <v>1942</v>
      </c>
      <c r="DN306" s="1122" t="s">
        <v>1942</v>
      </c>
      <c r="DO306" s="1122" t="s">
        <v>1942</v>
      </c>
      <c r="DP306" s="1123" t="s">
        <v>1942</v>
      </c>
      <c r="DQ306" s="1122" t="s">
        <v>1942</v>
      </c>
      <c r="DR306" s="1122" t="s">
        <v>1942</v>
      </c>
      <c r="DS306" s="1122" t="s">
        <v>1942</v>
      </c>
      <c r="DT306" s="1123" t="s">
        <v>1942</v>
      </c>
      <c r="DU306" s="1119" t="s">
        <v>1942</v>
      </c>
      <c r="DV306" s="1124">
        <v>1</v>
      </c>
      <c r="DW306" s="1125" t="s">
        <v>1942</v>
      </c>
    </row>
    <row r="307" spans="1:127" s="397" customFormat="1" ht="15.75" customHeight="1">
      <c r="A307" s="1097" t="s">
        <v>1038</v>
      </c>
      <c r="B307" s="1057">
        <v>298</v>
      </c>
      <c r="C307" s="1018"/>
      <c r="D307" s="1018"/>
      <c r="E307" s="1018"/>
      <c r="F307" s="1018"/>
      <c r="G307" s="1018"/>
      <c r="H307" s="1018"/>
      <c r="I307" s="1018"/>
      <c r="J307" s="1018"/>
      <c r="K307" s="1018"/>
      <c r="L307" s="1018"/>
      <c r="M307" s="1057"/>
      <c r="N307" s="1018"/>
      <c r="O307" s="1018"/>
      <c r="P307" s="1018"/>
      <c r="Q307" s="1018"/>
      <c r="R307" s="1018"/>
      <c r="S307" s="1018"/>
      <c r="T307" s="1019"/>
      <c r="U307" s="1098" t="s">
        <v>3233</v>
      </c>
      <c r="V307" s="1099" t="s">
        <v>3214</v>
      </c>
      <c r="W307" s="1099" t="s">
        <v>3095</v>
      </c>
      <c r="X307" s="1100" t="s">
        <v>3234</v>
      </c>
      <c r="Y307" s="1101" t="s">
        <v>839</v>
      </c>
      <c r="Z307" s="1102" t="s">
        <v>3235</v>
      </c>
      <c r="AA307" s="1103" t="s">
        <v>1942</v>
      </c>
      <c r="AB307" s="1104" t="s">
        <v>1942</v>
      </c>
      <c r="AC307" s="1104">
        <v>1</v>
      </c>
      <c r="AD307" s="1104" t="s">
        <v>1942</v>
      </c>
      <c r="AE307" s="1104" t="s">
        <v>1942</v>
      </c>
      <c r="AF307" s="1104" t="s">
        <v>1942</v>
      </c>
      <c r="AG307" s="1104" t="s">
        <v>1942</v>
      </c>
      <c r="AH307" s="1104" t="s">
        <v>1942</v>
      </c>
      <c r="AI307" s="1105">
        <f t="shared" si="4"/>
        <v>1</v>
      </c>
      <c r="AJ307" s="1106" t="s">
        <v>1007</v>
      </c>
      <c r="AK307" s="1106" t="s">
        <v>4850</v>
      </c>
      <c r="AL307" s="1106" t="s">
        <v>4850</v>
      </c>
      <c r="AM307" s="1107" t="s">
        <v>3231</v>
      </c>
      <c r="AN307" s="1018" t="s">
        <v>278</v>
      </c>
      <c r="AO307" s="1018" t="s">
        <v>4792</v>
      </c>
      <c r="AP307" s="1307">
        <v>2</v>
      </c>
      <c r="AQ307" s="1076" t="s">
        <v>1020</v>
      </c>
      <c r="AR307" s="1109" t="s">
        <v>839</v>
      </c>
      <c r="AS307" s="1110"/>
      <c r="AT307" s="1100"/>
      <c r="AU307" s="1100"/>
      <c r="AV307" s="1100"/>
      <c r="AW307" s="1111"/>
      <c r="AX307" s="1112"/>
      <c r="AY307" s="1075"/>
      <c r="AZ307" s="1076"/>
      <c r="BA307" s="1076"/>
      <c r="BB307" s="1076"/>
      <c r="BC307" s="1076"/>
      <c r="BD307" s="1076"/>
      <c r="BE307" s="1076"/>
      <c r="BF307" s="1076"/>
      <c r="BG307" s="1126"/>
      <c r="BH307" s="1126"/>
      <c r="BI307" s="1127">
        <v>12.42</v>
      </c>
      <c r="BJ307" s="1126">
        <v>12.42</v>
      </c>
      <c r="BK307" s="1126">
        <v>12.42</v>
      </c>
      <c r="BL307" s="1126">
        <v>12.42</v>
      </c>
      <c r="BM307" s="1126">
        <v>12.42</v>
      </c>
      <c r="BN307" s="1075"/>
      <c r="BO307" s="1076"/>
      <c r="BP307" s="1076"/>
      <c r="BQ307" s="1076"/>
      <c r="BR307" s="1076"/>
      <c r="BS307" s="1115"/>
      <c r="BT307" s="1076"/>
      <c r="BU307" s="1076"/>
      <c r="BV307" s="1076"/>
      <c r="BW307" s="1116"/>
      <c r="BX307" s="1115"/>
      <c r="BY307" s="1076"/>
      <c r="BZ307" s="1076"/>
      <c r="CA307" s="1076"/>
      <c r="CB307" s="1116"/>
      <c r="CC307" s="1117"/>
      <c r="CD307" s="1118" t="s">
        <v>1942</v>
      </c>
      <c r="CE307" s="1119" t="s">
        <v>1942</v>
      </c>
      <c r="CF307" s="1119" t="s">
        <v>1942</v>
      </c>
      <c r="CG307" s="1119" t="s">
        <v>1942</v>
      </c>
      <c r="CH307" s="1120" t="s">
        <v>1942</v>
      </c>
      <c r="CI307" s="1075" t="s">
        <v>1942</v>
      </c>
      <c r="CJ307" s="1076" t="s">
        <v>1942</v>
      </c>
      <c r="CK307" s="1076" t="s">
        <v>1942</v>
      </c>
      <c r="CL307" s="1076" t="s">
        <v>1942</v>
      </c>
      <c r="CM307" s="1117" t="s">
        <v>1942</v>
      </c>
      <c r="CN307" s="1075" t="s">
        <v>1942</v>
      </c>
      <c r="CO307" s="1076" t="s">
        <v>1942</v>
      </c>
      <c r="CP307" s="1076" t="s">
        <v>1942</v>
      </c>
      <c r="CQ307" s="1076" t="s">
        <v>1942</v>
      </c>
      <c r="CR307" s="1117" t="s">
        <v>1942</v>
      </c>
      <c r="CS307" s="1075" t="s">
        <v>1942</v>
      </c>
      <c r="CT307" s="1076" t="s">
        <v>1942</v>
      </c>
      <c r="CU307" s="1076" t="s">
        <v>1942</v>
      </c>
      <c r="CV307" s="1076" t="s">
        <v>1942</v>
      </c>
      <c r="CW307" s="1117" t="s">
        <v>1942</v>
      </c>
      <c r="CX307" s="1075" t="s">
        <v>1942</v>
      </c>
      <c r="CY307" s="1076" t="s">
        <v>1942</v>
      </c>
      <c r="CZ307" s="1076" t="s">
        <v>1942</v>
      </c>
      <c r="DA307" s="1076" t="s">
        <v>1942</v>
      </c>
      <c r="DB307" s="1117" t="s">
        <v>1942</v>
      </c>
      <c r="DC307" s="1076" t="s">
        <v>1942</v>
      </c>
      <c r="DD307" s="1076" t="s">
        <v>1942</v>
      </c>
      <c r="DE307" s="1076" t="s">
        <v>1942</v>
      </c>
      <c r="DF307" s="1076" t="s">
        <v>1942</v>
      </c>
      <c r="DG307" s="1117" t="s">
        <v>1942</v>
      </c>
      <c r="DH307" s="1075" t="s">
        <v>1942</v>
      </c>
      <c r="DI307" s="1076" t="s">
        <v>1942</v>
      </c>
      <c r="DJ307" s="1076" t="s">
        <v>1942</v>
      </c>
      <c r="DK307" s="1076" t="s">
        <v>1942</v>
      </c>
      <c r="DL307" s="1117" t="s">
        <v>1942</v>
      </c>
      <c r="DM307" s="1121" t="s">
        <v>1942</v>
      </c>
      <c r="DN307" s="1122" t="s">
        <v>1942</v>
      </c>
      <c r="DO307" s="1122" t="s">
        <v>1942</v>
      </c>
      <c r="DP307" s="1123" t="s">
        <v>1942</v>
      </c>
      <c r="DQ307" s="1122" t="s">
        <v>1942</v>
      </c>
      <c r="DR307" s="1122" t="s">
        <v>1942</v>
      </c>
      <c r="DS307" s="1122" t="s">
        <v>1942</v>
      </c>
      <c r="DT307" s="1123" t="s">
        <v>1942</v>
      </c>
      <c r="DU307" s="1119" t="s">
        <v>1942</v>
      </c>
      <c r="DV307" s="1124">
        <v>1</v>
      </c>
      <c r="DW307" s="1125" t="s">
        <v>1942</v>
      </c>
    </row>
    <row r="308" spans="1:127" s="397" customFormat="1" ht="15.75" customHeight="1">
      <c r="A308" s="1097" t="s">
        <v>1038</v>
      </c>
      <c r="B308" s="1057">
        <v>299</v>
      </c>
      <c r="C308" s="1018"/>
      <c r="D308" s="1018"/>
      <c r="E308" s="1018"/>
      <c r="F308" s="1018"/>
      <c r="G308" s="1018"/>
      <c r="H308" s="1018"/>
      <c r="I308" s="1018"/>
      <c r="J308" s="1018"/>
      <c r="K308" s="1018"/>
      <c r="L308" s="1018"/>
      <c r="M308" s="1057"/>
      <c r="N308" s="1018"/>
      <c r="O308" s="1018"/>
      <c r="P308" s="1018"/>
      <c r="Q308" s="1018"/>
      <c r="R308" s="1018"/>
      <c r="S308" s="1018"/>
      <c r="T308" s="1019"/>
      <c r="U308" s="1098" t="s">
        <v>3237</v>
      </c>
      <c r="V308" s="1099" t="s">
        <v>3214</v>
      </c>
      <c r="W308" s="1099" t="s">
        <v>3077</v>
      </c>
      <c r="X308" s="1100" t="s">
        <v>3238</v>
      </c>
      <c r="Y308" s="1101" t="s">
        <v>161</v>
      </c>
      <c r="Z308" s="1102" t="s">
        <v>3239</v>
      </c>
      <c r="AA308" s="1103" t="s">
        <v>1942</v>
      </c>
      <c r="AB308" s="1104">
        <v>1</v>
      </c>
      <c r="AC308" s="1104" t="s">
        <v>1942</v>
      </c>
      <c r="AD308" s="1104" t="s">
        <v>1942</v>
      </c>
      <c r="AE308" s="1104" t="s">
        <v>1942</v>
      </c>
      <c r="AF308" s="1104" t="s">
        <v>1942</v>
      </c>
      <c r="AG308" s="1104" t="s">
        <v>1942</v>
      </c>
      <c r="AH308" s="1104" t="s">
        <v>1942</v>
      </c>
      <c r="AI308" s="1105">
        <f t="shared" si="4"/>
        <v>1</v>
      </c>
      <c r="AJ308" s="1106" t="s">
        <v>1030</v>
      </c>
      <c r="AK308" s="1106" t="s">
        <v>1008</v>
      </c>
      <c r="AL308" s="1106" t="s">
        <v>1009</v>
      </c>
      <c r="AM308" s="1107" t="s">
        <v>3240</v>
      </c>
      <c r="AN308" s="1018" t="s">
        <v>2177</v>
      </c>
      <c r="AO308" s="1018" t="s">
        <v>4794</v>
      </c>
      <c r="AP308" s="1307">
        <v>1</v>
      </c>
      <c r="AQ308" s="1076" t="s">
        <v>1020</v>
      </c>
      <c r="AR308" s="1109" t="s">
        <v>161</v>
      </c>
      <c r="AS308" s="1110"/>
      <c r="AT308" s="1100"/>
      <c r="AU308" s="1100"/>
      <c r="AV308" s="1100"/>
      <c r="AW308" s="1111"/>
      <c r="AX308" s="1112"/>
      <c r="AY308" s="1075"/>
      <c r="AZ308" s="1076"/>
      <c r="BA308" s="1076"/>
      <c r="BB308" s="1076"/>
      <c r="BC308" s="1076"/>
      <c r="BD308" s="1076"/>
      <c r="BE308" s="1076"/>
      <c r="BF308" s="1076"/>
      <c r="BG308" s="1113"/>
      <c r="BH308" s="1113"/>
      <c r="BI308" s="1114">
        <v>129.1</v>
      </c>
      <c r="BJ308" s="1113">
        <v>118.3</v>
      </c>
      <c r="BK308" s="1113">
        <v>107.7</v>
      </c>
      <c r="BL308" s="1113">
        <v>97.4</v>
      </c>
      <c r="BM308" s="1113">
        <v>87.3</v>
      </c>
      <c r="BN308" s="1075"/>
      <c r="BO308" s="1076"/>
      <c r="BP308" s="1076"/>
      <c r="BQ308" s="1076"/>
      <c r="BR308" s="1076"/>
      <c r="BS308" s="1115"/>
      <c r="BT308" s="1076"/>
      <c r="BU308" s="1076"/>
      <c r="BV308" s="1076"/>
      <c r="BW308" s="1116"/>
      <c r="BX308" s="1115"/>
      <c r="BY308" s="1076"/>
      <c r="BZ308" s="1076"/>
      <c r="CA308" s="1076"/>
      <c r="CB308" s="1116"/>
      <c r="CC308" s="1117"/>
      <c r="CD308" s="1118" t="s">
        <v>168</v>
      </c>
      <c r="CE308" s="1119" t="s">
        <v>168</v>
      </c>
      <c r="CF308" s="1119" t="s">
        <v>168</v>
      </c>
      <c r="CG308" s="1119" t="s">
        <v>168</v>
      </c>
      <c r="CH308" s="1120" t="s">
        <v>168</v>
      </c>
      <c r="CI308" s="1075" t="s">
        <v>1942</v>
      </c>
      <c r="CJ308" s="1076" t="s">
        <v>1942</v>
      </c>
      <c r="CK308" s="1076" t="s">
        <v>1942</v>
      </c>
      <c r="CL308" s="1076" t="s">
        <v>1942</v>
      </c>
      <c r="CM308" s="1117" t="s">
        <v>1942</v>
      </c>
      <c r="CN308" s="1075">
        <v>180.8</v>
      </c>
      <c r="CO308" s="1076">
        <v>180.8</v>
      </c>
      <c r="CP308" s="1076">
        <v>180.8</v>
      </c>
      <c r="CQ308" s="1076">
        <v>180.8</v>
      </c>
      <c r="CR308" s="1117">
        <v>180.8</v>
      </c>
      <c r="CS308" s="1075" t="s">
        <v>1942</v>
      </c>
      <c r="CT308" s="1076" t="s">
        <v>1942</v>
      </c>
      <c r="CU308" s="1076" t="s">
        <v>1942</v>
      </c>
      <c r="CV308" s="1076" t="s">
        <v>1942</v>
      </c>
      <c r="CW308" s="1117" t="s">
        <v>1942</v>
      </c>
      <c r="CX308" s="1075" t="s">
        <v>1942</v>
      </c>
      <c r="CY308" s="1076" t="s">
        <v>1942</v>
      </c>
      <c r="CZ308" s="1076" t="s">
        <v>1942</v>
      </c>
      <c r="DA308" s="1076" t="s">
        <v>1942</v>
      </c>
      <c r="DB308" s="1117" t="s">
        <v>1942</v>
      </c>
      <c r="DC308" s="1076">
        <v>106.7</v>
      </c>
      <c r="DD308" s="1076">
        <v>95.9</v>
      </c>
      <c r="DE308" s="1076">
        <v>85.3</v>
      </c>
      <c r="DF308" s="1076">
        <v>75</v>
      </c>
      <c r="DG308" s="1117">
        <v>64.900000000000006</v>
      </c>
      <c r="DH308" s="1075" t="s">
        <v>1942</v>
      </c>
      <c r="DI308" s="1076" t="s">
        <v>1942</v>
      </c>
      <c r="DJ308" s="1076" t="s">
        <v>1942</v>
      </c>
      <c r="DK308" s="1076" t="s">
        <v>1942</v>
      </c>
      <c r="DL308" s="1117" t="s">
        <v>1942</v>
      </c>
      <c r="DM308" s="1121">
        <v>-8.4000000000000005E-2</v>
      </c>
      <c r="DN308" s="1122" t="s">
        <v>1942</v>
      </c>
      <c r="DO308" s="1122" t="s">
        <v>1942</v>
      </c>
      <c r="DP308" s="1123" t="s">
        <v>1942</v>
      </c>
      <c r="DQ308" s="1122">
        <v>5.5E-2</v>
      </c>
      <c r="DR308" s="1122" t="s">
        <v>1942</v>
      </c>
      <c r="DS308" s="1122" t="s">
        <v>1942</v>
      </c>
      <c r="DT308" s="1123" t="s">
        <v>1942</v>
      </c>
      <c r="DU308" s="1119" t="s">
        <v>1942</v>
      </c>
      <c r="DV308" s="1124">
        <v>1</v>
      </c>
      <c r="DW308" s="1125" t="s">
        <v>1942</v>
      </c>
    </row>
    <row r="309" spans="1:127" s="397" customFormat="1" ht="15.75" customHeight="1">
      <c r="A309" s="1097" t="s">
        <v>1038</v>
      </c>
      <c r="B309" s="1057">
        <v>300</v>
      </c>
      <c r="C309" s="1018"/>
      <c r="D309" s="1018"/>
      <c r="E309" s="1018"/>
      <c r="F309" s="1018"/>
      <c r="G309" s="1018"/>
      <c r="H309" s="1018"/>
      <c r="I309" s="1018"/>
      <c r="J309" s="1018"/>
      <c r="K309" s="1018"/>
      <c r="L309" s="1018"/>
      <c r="M309" s="1057"/>
      <c r="N309" s="1018"/>
      <c r="O309" s="1018"/>
      <c r="P309" s="1018"/>
      <c r="Q309" s="1018"/>
      <c r="R309" s="1018"/>
      <c r="S309" s="1018"/>
      <c r="T309" s="1019"/>
      <c r="U309" s="1098" t="s">
        <v>3242</v>
      </c>
      <c r="V309" s="1099" t="s">
        <v>3214</v>
      </c>
      <c r="W309" s="1099" t="s">
        <v>3095</v>
      </c>
      <c r="X309" s="1100" t="s">
        <v>3243</v>
      </c>
      <c r="Y309" s="1101" t="s">
        <v>167</v>
      </c>
      <c r="Z309" s="1102" t="s">
        <v>3244</v>
      </c>
      <c r="AA309" s="1103" t="s">
        <v>1942</v>
      </c>
      <c r="AB309" s="1104">
        <v>1</v>
      </c>
      <c r="AC309" s="1104" t="s">
        <v>1942</v>
      </c>
      <c r="AD309" s="1104" t="s">
        <v>1942</v>
      </c>
      <c r="AE309" s="1104" t="s">
        <v>1942</v>
      </c>
      <c r="AF309" s="1104" t="s">
        <v>1942</v>
      </c>
      <c r="AG309" s="1104" t="s">
        <v>1942</v>
      </c>
      <c r="AH309" s="1104" t="s">
        <v>1942</v>
      </c>
      <c r="AI309" s="1105">
        <f t="shared" si="4"/>
        <v>1</v>
      </c>
      <c r="AJ309" s="1106" t="s">
        <v>1026</v>
      </c>
      <c r="AK309" s="1106" t="s">
        <v>1008</v>
      </c>
      <c r="AL309" s="1106" t="s">
        <v>1009</v>
      </c>
      <c r="AM309" s="1107" t="s">
        <v>3245</v>
      </c>
      <c r="AN309" s="1018" t="s">
        <v>278</v>
      </c>
      <c r="AO309" s="1018" t="s">
        <v>4793</v>
      </c>
      <c r="AP309" s="1307">
        <v>2</v>
      </c>
      <c r="AQ309" s="1076" t="s">
        <v>1020</v>
      </c>
      <c r="AR309" s="1109" t="s">
        <v>167</v>
      </c>
      <c r="AS309" s="1110"/>
      <c r="AT309" s="1100"/>
      <c r="AU309" s="1100"/>
      <c r="AV309" s="1100"/>
      <c r="AW309" s="1111"/>
      <c r="AX309" s="1112"/>
      <c r="AY309" s="1075"/>
      <c r="AZ309" s="1076"/>
      <c r="BA309" s="1076"/>
      <c r="BB309" s="1076"/>
      <c r="BC309" s="1076"/>
      <c r="BD309" s="1076"/>
      <c r="BE309" s="1076"/>
      <c r="BF309" s="1076"/>
      <c r="BG309" s="1126"/>
      <c r="BH309" s="1126"/>
      <c r="BI309" s="1127">
        <v>9.44</v>
      </c>
      <c r="BJ309" s="1126">
        <v>9.11</v>
      </c>
      <c r="BK309" s="1126">
        <v>7.33</v>
      </c>
      <c r="BL309" s="1126">
        <v>6.45</v>
      </c>
      <c r="BM309" s="1126">
        <v>3.25</v>
      </c>
      <c r="BN309" s="1075"/>
      <c r="BO309" s="1076"/>
      <c r="BP309" s="1076"/>
      <c r="BQ309" s="1076"/>
      <c r="BR309" s="1076"/>
      <c r="BS309" s="1115"/>
      <c r="BT309" s="1076"/>
      <c r="BU309" s="1076"/>
      <c r="BV309" s="1076"/>
      <c r="BW309" s="1116"/>
      <c r="BX309" s="1115"/>
      <c r="BY309" s="1076"/>
      <c r="BZ309" s="1076"/>
      <c r="CA309" s="1076"/>
      <c r="CB309" s="1116"/>
      <c r="CC309" s="1117"/>
      <c r="CD309" s="1118" t="s">
        <v>168</v>
      </c>
      <c r="CE309" s="1119" t="s">
        <v>168</v>
      </c>
      <c r="CF309" s="1119" t="s">
        <v>168</v>
      </c>
      <c r="CG309" s="1119" t="s">
        <v>168</v>
      </c>
      <c r="CH309" s="1120" t="s">
        <v>168</v>
      </c>
      <c r="CI309" s="1075" t="s">
        <v>1942</v>
      </c>
      <c r="CJ309" s="1076" t="s">
        <v>1942</v>
      </c>
      <c r="CK309" s="1076" t="s">
        <v>1942</v>
      </c>
      <c r="CL309" s="1076" t="s">
        <v>1942</v>
      </c>
      <c r="CM309" s="1117" t="s">
        <v>1942</v>
      </c>
      <c r="CN309" s="1075">
        <v>18.88</v>
      </c>
      <c r="CO309" s="1076">
        <v>18.88</v>
      </c>
      <c r="CP309" s="1076">
        <v>18.88</v>
      </c>
      <c r="CQ309" s="1076">
        <v>18.88</v>
      </c>
      <c r="CR309" s="1117">
        <v>18.88</v>
      </c>
      <c r="CS309" s="1075" t="s">
        <v>1942</v>
      </c>
      <c r="CT309" s="1076" t="s">
        <v>1942</v>
      </c>
      <c r="CU309" s="1076" t="s">
        <v>1942</v>
      </c>
      <c r="CV309" s="1076" t="s">
        <v>1942</v>
      </c>
      <c r="CW309" s="1117" t="s">
        <v>1942</v>
      </c>
      <c r="CX309" s="1075" t="s">
        <v>1942</v>
      </c>
      <c r="CY309" s="1076" t="s">
        <v>1942</v>
      </c>
      <c r="CZ309" s="1076" t="s">
        <v>1942</v>
      </c>
      <c r="DA309" s="1076" t="s">
        <v>1942</v>
      </c>
      <c r="DB309" s="1117" t="s">
        <v>1942</v>
      </c>
      <c r="DC309" s="1076" t="s">
        <v>1942</v>
      </c>
      <c r="DD309" s="1076" t="s">
        <v>1942</v>
      </c>
      <c r="DE309" s="1076" t="s">
        <v>1942</v>
      </c>
      <c r="DF309" s="1076" t="s">
        <v>1942</v>
      </c>
      <c r="DG309" s="1117" t="s">
        <v>1942</v>
      </c>
      <c r="DH309" s="1075" t="s">
        <v>1942</v>
      </c>
      <c r="DI309" s="1076" t="s">
        <v>1942</v>
      </c>
      <c r="DJ309" s="1076" t="s">
        <v>1942</v>
      </c>
      <c r="DK309" s="1076" t="s">
        <v>1942</v>
      </c>
      <c r="DL309" s="1117" t="s">
        <v>1942</v>
      </c>
      <c r="DM309" s="1121">
        <v>-0.89600000000000002</v>
      </c>
      <c r="DN309" s="1122" t="s">
        <v>1942</v>
      </c>
      <c r="DO309" s="1122" t="s">
        <v>1942</v>
      </c>
      <c r="DP309" s="1123" t="s">
        <v>1942</v>
      </c>
      <c r="DQ309" s="1122" t="s">
        <v>1942</v>
      </c>
      <c r="DR309" s="1122" t="s">
        <v>1942</v>
      </c>
      <c r="DS309" s="1122" t="s">
        <v>1942</v>
      </c>
      <c r="DT309" s="1123" t="s">
        <v>1942</v>
      </c>
      <c r="DU309" s="1119" t="s">
        <v>1942</v>
      </c>
      <c r="DV309" s="1124">
        <v>1</v>
      </c>
      <c r="DW309" s="1125" t="s">
        <v>1942</v>
      </c>
    </row>
    <row r="310" spans="1:127" s="397" customFormat="1" ht="15.75" customHeight="1">
      <c r="A310" s="1097" t="s">
        <v>1038</v>
      </c>
      <c r="B310" s="1057">
        <v>301</v>
      </c>
      <c r="C310" s="1018"/>
      <c r="D310" s="1018"/>
      <c r="E310" s="1018"/>
      <c r="F310" s="1018"/>
      <c r="G310" s="1018"/>
      <c r="H310" s="1018"/>
      <c r="I310" s="1018"/>
      <c r="J310" s="1018"/>
      <c r="K310" s="1018"/>
      <c r="L310" s="1018"/>
      <c r="M310" s="1057"/>
      <c r="N310" s="1018"/>
      <c r="O310" s="1018"/>
      <c r="P310" s="1018"/>
      <c r="Q310" s="1018"/>
      <c r="R310" s="1018"/>
      <c r="S310" s="1018"/>
      <c r="T310" s="1019"/>
      <c r="U310" s="1098" t="s">
        <v>3246</v>
      </c>
      <c r="V310" s="1099" t="s">
        <v>3214</v>
      </c>
      <c r="W310" s="1099" t="s">
        <v>3077</v>
      </c>
      <c r="X310" s="1100" t="s">
        <v>3247</v>
      </c>
      <c r="Y310" s="1101" t="s">
        <v>743</v>
      </c>
      <c r="Z310" s="1102" t="s">
        <v>3248</v>
      </c>
      <c r="AA310" s="1103" t="s">
        <v>1942</v>
      </c>
      <c r="AB310" s="1104" t="s">
        <v>1942</v>
      </c>
      <c r="AC310" s="1104">
        <v>1</v>
      </c>
      <c r="AD310" s="1104" t="s">
        <v>1942</v>
      </c>
      <c r="AE310" s="1104" t="s">
        <v>1942</v>
      </c>
      <c r="AF310" s="1104" t="s">
        <v>1942</v>
      </c>
      <c r="AG310" s="1104" t="s">
        <v>1942</v>
      </c>
      <c r="AH310" s="1104" t="s">
        <v>1942</v>
      </c>
      <c r="AI310" s="1105">
        <f t="shared" si="4"/>
        <v>1</v>
      </c>
      <c r="AJ310" s="1106" t="s">
        <v>1026</v>
      </c>
      <c r="AK310" s="1106" t="s">
        <v>1008</v>
      </c>
      <c r="AL310" s="1106" t="s">
        <v>1009</v>
      </c>
      <c r="AM310" s="1107" t="s">
        <v>3249</v>
      </c>
      <c r="AN310" s="1018" t="s">
        <v>2177</v>
      </c>
      <c r="AO310" s="1018" t="s">
        <v>4807</v>
      </c>
      <c r="AP310" s="1307">
        <v>2</v>
      </c>
      <c r="AQ310" s="1076" t="s">
        <v>1020</v>
      </c>
      <c r="AR310" s="1109" t="s">
        <v>743</v>
      </c>
      <c r="AS310" s="1110"/>
      <c r="AT310" s="1100"/>
      <c r="AU310" s="1100"/>
      <c r="AV310" s="1100"/>
      <c r="AW310" s="1111"/>
      <c r="AX310" s="1112"/>
      <c r="AY310" s="1075"/>
      <c r="AZ310" s="1076"/>
      <c r="BA310" s="1076"/>
      <c r="BB310" s="1076"/>
      <c r="BC310" s="1076"/>
      <c r="BD310" s="1076"/>
      <c r="BE310" s="1076"/>
      <c r="BF310" s="1076"/>
      <c r="BG310" s="1126"/>
      <c r="BH310" s="1126"/>
      <c r="BI310" s="1127">
        <v>5.72</v>
      </c>
      <c r="BJ310" s="1126">
        <v>5.64</v>
      </c>
      <c r="BK310" s="1126">
        <v>5.59</v>
      </c>
      <c r="BL310" s="1126">
        <v>5.53</v>
      </c>
      <c r="BM310" s="1126">
        <v>5.48</v>
      </c>
      <c r="BN310" s="1075"/>
      <c r="BO310" s="1076"/>
      <c r="BP310" s="1076"/>
      <c r="BQ310" s="1076"/>
      <c r="BR310" s="1076"/>
      <c r="BS310" s="1115"/>
      <c r="BT310" s="1076"/>
      <c r="BU310" s="1076"/>
      <c r="BV310" s="1076"/>
      <c r="BW310" s="1116"/>
      <c r="BX310" s="1115"/>
      <c r="BY310" s="1076"/>
      <c r="BZ310" s="1076"/>
      <c r="CA310" s="1076"/>
      <c r="CB310" s="1116"/>
      <c r="CC310" s="1117"/>
      <c r="CD310" s="1118" t="s">
        <v>168</v>
      </c>
      <c r="CE310" s="1119" t="s">
        <v>168</v>
      </c>
      <c r="CF310" s="1119" t="s">
        <v>168</v>
      </c>
      <c r="CG310" s="1119" t="s">
        <v>168</v>
      </c>
      <c r="CH310" s="1120" t="s">
        <v>168</v>
      </c>
      <c r="CI310" s="1075" t="s">
        <v>1942</v>
      </c>
      <c r="CJ310" s="1076" t="s">
        <v>1942</v>
      </c>
      <c r="CK310" s="1076" t="s">
        <v>1942</v>
      </c>
      <c r="CL310" s="1076" t="s">
        <v>1942</v>
      </c>
      <c r="CM310" s="1117" t="s">
        <v>1942</v>
      </c>
      <c r="CN310" s="1075" t="s">
        <v>1942</v>
      </c>
      <c r="CO310" s="1076" t="s">
        <v>1942</v>
      </c>
      <c r="CP310" s="1076" t="s">
        <v>1942</v>
      </c>
      <c r="CQ310" s="1076" t="s">
        <v>1942</v>
      </c>
      <c r="CR310" s="1117" t="s">
        <v>1942</v>
      </c>
      <c r="CS310" s="1075" t="s">
        <v>1942</v>
      </c>
      <c r="CT310" s="1076" t="s">
        <v>1942</v>
      </c>
      <c r="CU310" s="1076" t="s">
        <v>1942</v>
      </c>
      <c r="CV310" s="1076" t="s">
        <v>1942</v>
      </c>
      <c r="CW310" s="1117" t="s">
        <v>1942</v>
      </c>
      <c r="CX310" s="1075" t="s">
        <v>1942</v>
      </c>
      <c r="CY310" s="1076" t="s">
        <v>1942</v>
      </c>
      <c r="CZ310" s="1076" t="s">
        <v>1942</v>
      </c>
      <c r="DA310" s="1076" t="s">
        <v>1942</v>
      </c>
      <c r="DB310" s="1117" t="s">
        <v>1942</v>
      </c>
      <c r="DC310" s="1076" t="s">
        <v>1942</v>
      </c>
      <c r="DD310" s="1076" t="s">
        <v>1942</v>
      </c>
      <c r="DE310" s="1076" t="s">
        <v>1942</v>
      </c>
      <c r="DF310" s="1076" t="s">
        <v>1942</v>
      </c>
      <c r="DG310" s="1117" t="s">
        <v>1942</v>
      </c>
      <c r="DH310" s="1075" t="s">
        <v>1942</v>
      </c>
      <c r="DI310" s="1076" t="s">
        <v>1942</v>
      </c>
      <c r="DJ310" s="1076" t="s">
        <v>1942</v>
      </c>
      <c r="DK310" s="1076" t="s">
        <v>1942</v>
      </c>
      <c r="DL310" s="1117" t="s">
        <v>1942</v>
      </c>
      <c r="DM310" s="1121">
        <v>-1.843</v>
      </c>
      <c r="DN310" s="1122" t="s">
        <v>1942</v>
      </c>
      <c r="DO310" s="1122" t="s">
        <v>1942</v>
      </c>
      <c r="DP310" s="1123" t="s">
        <v>1942</v>
      </c>
      <c r="DQ310" s="1122" t="s">
        <v>1942</v>
      </c>
      <c r="DR310" s="1122" t="s">
        <v>1942</v>
      </c>
      <c r="DS310" s="1122" t="s">
        <v>1942</v>
      </c>
      <c r="DT310" s="1123" t="s">
        <v>1942</v>
      </c>
      <c r="DU310" s="1119" t="s">
        <v>1942</v>
      </c>
      <c r="DV310" s="1124">
        <v>1</v>
      </c>
      <c r="DW310" s="1125" t="s">
        <v>1942</v>
      </c>
    </row>
    <row r="311" spans="1:127" s="397" customFormat="1" ht="15.75" customHeight="1">
      <c r="A311" s="1097" t="s">
        <v>1038</v>
      </c>
      <c r="B311" s="1057">
        <v>302</v>
      </c>
      <c r="C311" s="1018"/>
      <c r="D311" s="1018"/>
      <c r="E311" s="1018"/>
      <c r="F311" s="1018"/>
      <c r="G311" s="1018"/>
      <c r="H311" s="1018"/>
      <c r="I311" s="1018"/>
      <c r="J311" s="1018"/>
      <c r="K311" s="1018"/>
      <c r="L311" s="1018"/>
      <c r="M311" s="1057"/>
      <c r="N311" s="1018"/>
      <c r="O311" s="1018"/>
      <c r="P311" s="1018"/>
      <c r="Q311" s="1018"/>
      <c r="R311" s="1018"/>
      <c r="S311" s="1018"/>
      <c r="T311" s="1019"/>
      <c r="U311" s="1098" t="s">
        <v>3251</v>
      </c>
      <c r="V311" s="1099" t="s">
        <v>3214</v>
      </c>
      <c r="W311" s="1099" t="s">
        <v>3077</v>
      </c>
      <c r="X311" s="1100" t="s">
        <v>3252</v>
      </c>
      <c r="Y311" s="1101" t="s">
        <v>1058</v>
      </c>
      <c r="Z311" s="1102" t="s">
        <v>3253</v>
      </c>
      <c r="AA311" s="1103" t="s">
        <v>1942</v>
      </c>
      <c r="AB311" s="1104" t="s">
        <v>1942</v>
      </c>
      <c r="AC311" s="1104">
        <v>1</v>
      </c>
      <c r="AD311" s="1104" t="s">
        <v>1942</v>
      </c>
      <c r="AE311" s="1104" t="s">
        <v>1942</v>
      </c>
      <c r="AF311" s="1104" t="s">
        <v>1942</v>
      </c>
      <c r="AG311" s="1104" t="s">
        <v>1942</v>
      </c>
      <c r="AH311" s="1104" t="s">
        <v>1942</v>
      </c>
      <c r="AI311" s="1105">
        <f t="shared" si="4"/>
        <v>1</v>
      </c>
      <c r="AJ311" s="1106" t="s">
        <v>1026</v>
      </c>
      <c r="AK311" s="1106" t="s">
        <v>1008</v>
      </c>
      <c r="AL311" s="1106" t="s">
        <v>1009</v>
      </c>
      <c r="AM311" s="1107" t="s">
        <v>3254</v>
      </c>
      <c r="AN311" s="1018" t="s">
        <v>278</v>
      </c>
      <c r="AO311" s="1018" t="s">
        <v>2449</v>
      </c>
      <c r="AP311" s="1307">
        <v>2</v>
      </c>
      <c r="AQ311" s="1076" t="s">
        <v>1010</v>
      </c>
      <c r="AR311" s="1109" t="s">
        <v>1058</v>
      </c>
      <c r="AS311" s="1110"/>
      <c r="AT311" s="1100"/>
      <c r="AU311" s="1100"/>
      <c r="AV311" s="1100"/>
      <c r="AW311" s="1111"/>
      <c r="AX311" s="1112"/>
      <c r="AY311" s="1075"/>
      <c r="AZ311" s="1076"/>
      <c r="BA311" s="1076"/>
      <c r="BB311" s="1076"/>
      <c r="BC311" s="1076"/>
      <c r="BD311" s="1076"/>
      <c r="BE311" s="1076"/>
      <c r="BF311" s="1076"/>
      <c r="BG311" s="1126"/>
      <c r="BH311" s="1126"/>
      <c r="BI311" s="1127">
        <v>100</v>
      </c>
      <c r="BJ311" s="1126">
        <v>100</v>
      </c>
      <c r="BK311" s="1126">
        <v>100</v>
      </c>
      <c r="BL311" s="1126">
        <v>100</v>
      </c>
      <c r="BM311" s="1126">
        <v>100</v>
      </c>
      <c r="BN311" s="1075"/>
      <c r="BO311" s="1076"/>
      <c r="BP311" s="1076"/>
      <c r="BQ311" s="1076"/>
      <c r="BR311" s="1076"/>
      <c r="BS311" s="1115"/>
      <c r="BT311" s="1076"/>
      <c r="BU311" s="1076"/>
      <c r="BV311" s="1076"/>
      <c r="BW311" s="1116"/>
      <c r="BX311" s="1115"/>
      <c r="BY311" s="1076"/>
      <c r="BZ311" s="1076"/>
      <c r="CA311" s="1076"/>
      <c r="CB311" s="1116"/>
      <c r="CC311" s="1117"/>
      <c r="CD311" s="1118" t="s">
        <v>168</v>
      </c>
      <c r="CE311" s="1119" t="s">
        <v>168</v>
      </c>
      <c r="CF311" s="1119" t="s">
        <v>168</v>
      </c>
      <c r="CG311" s="1119" t="s">
        <v>168</v>
      </c>
      <c r="CH311" s="1120" t="s">
        <v>168</v>
      </c>
      <c r="CI311" s="1075" t="s">
        <v>1942</v>
      </c>
      <c r="CJ311" s="1076" t="s">
        <v>1942</v>
      </c>
      <c r="CK311" s="1076" t="s">
        <v>1942</v>
      </c>
      <c r="CL311" s="1076" t="s">
        <v>1942</v>
      </c>
      <c r="CM311" s="1117" t="s">
        <v>1942</v>
      </c>
      <c r="CN311" s="1075">
        <v>97</v>
      </c>
      <c r="CO311" s="1076">
        <v>97</v>
      </c>
      <c r="CP311" s="1076">
        <v>97</v>
      </c>
      <c r="CQ311" s="1076">
        <v>97</v>
      </c>
      <c r="CR311" s="1117">
        <v>97</v>
      </c>
      <c r="CS311" s="1075">
        <v>99</v>
      </c>
      <c r="CT311" s="1076">
        <v>99</v>
      </c>
      <c r="CU311" s="1076">
        <v>99</v>
      </c>
      <c r="CV311" s="1076">
        <v>99</v>
      </c>
      <c r="CW311" s="1117">
        <v>99</v>
      </c>
      <c r="CX311" s="1075" t="s">
        <v>1942</v>
      </c>
      <c r="CY311" s="1076" t="s">
        <v>1942</v>
      </c>
      <c r="CZ311" s="1076" t="s">
        <v>1942</v>
      </c>
      <c r="DA311" s="1076" t="s">
        <v>1942</v>
      </c>
      <c r="DB311" s="1117" t="s">
        <v>1942</v>
      </c>
      <c r="DC311" s="1076" t="s">
        <v>1942</v>
      </c>
      <c r="DD311" s="1076" t="s">
        <v>1942</v>
      </c>
      <c r="DE311" s="1076" t="s">
        <v>1942</v>
      </c>
      <c r="DF311" s="1076" t="s">
        <v>1942</v>
      </c>
      <c r="DG311" s="1117" t="s">
        <v>1942</v>
      </c>
      <c r="DH311" s="1075" t="s">
        <v>1942</v>
      </c>
      <c r="DI311" s="1076" t="s">
        <v>1942</v>
      </c>
      <c r="DJ311" s="1076" t="s">
        <v>1942</v>
      </c>
      <c r="DK311" s="1076" t="s">
        <v>1942</v>
      </c>
      <c r="DL311" s="1117" t="s">
        <v>1942</v>
      </c>
      <c r="DM311" s="1121">
        <v>-10</v>
      </c>
      <c r="DN311" s="1122" t="s">
        <v>1942</v>
      </c>
      <c r="DO311" s="1122" t="s">
        <v>1942</v>
      </c>
      <c r="DP311" s="1123" t="s">
        <v>1942</v>
      </c>
      <c r="DQ311" s="1122" t="s">
        <v>1942</v>
      </c>
      <c r="DR311" s="1122" t="s">
        <v>1942</v>
      </c>
      <c r="DS311" s="1122" t="s">
        <v>1942</v>
      </c>
      <c r="DT311" s="1123" t="s">
        <v>1942</v>
      </c>
      <c r="DU311" s="1119" t="s">
        <v>1942</v>
      </c>
      <c r="DV311" s="1124">
        <v>1</v>
      </c>
      <c r="DW311" s="1125" t="s">
        <v>1942</v>
      </c>
    </row>
    <row r="312" spans="1:127" s="397" customFormat="1" ht="15.75" customHeight="1">
      <c r="A312" s="1097" t="s">
        <v>1038</v>
      </c>
      <c r="B312" s="1057">
        <v>303</v>
      </c>
      <c r="C312" s="1018"/>
      <c r="D312" s="1018"/>
      <c r="E312" s="1018"/>
      <c r="F312" s="1018"/>
      <c r="G312" s="1018"/>
      <c r="H312" s="1018"/>
      <c r="I312" s="1018"/>
      <c r="J312" s="1018"/>
      <c r="K312" s="1018"/>
      <c r="L312" s="1018"/>
      <c r="M312" s="1057"/>
      <c r="N312" s="1018"/>
      <c r="O312" s="1018"/>
      <c r="P312" s="1018"/>
      <c r="Q312" s="1018"/>
      <c r="R312" s="1018"/>
      <c r="S312" s="1018"/>
      <c r="T312" s="1019"/>
      <c r="U312" s="1098" t="s">
        <v>3256</v>
      </c>
      <c r="V312" s="1099" t="s">
        <v>3214</v>
      </c>
      <c r="W312" s="1099" t="s">
        <v>3095</v>
      </c>
      <c r="X312" s="1100" t="s">
        <v>3257</v>
      </c>
      <c r="Y312" s="1101" t="s">
        <v>3258</v>
      </c>
      <c r="Z312" s="1102" t="s">
        <v>3259</v>
      </c>
      <c r="AA312" s="1103" t="s">
        <v>1942</v>
      </c>
      <c r="AB312" s="1104">
        <v>1</v>
      </c>
      <c r="AC312" s="1104" t="s">
        <v>1942</v>
      </c>
      <c r="AD312" s="1104" t="s">
        <v>1942</v>
      </c>
      <c r="AE312" s="1104" t="s">
        <v>1942</v>
      </c>
      <c r="AF312" s="1104" t="s">
        <v>1942</v>
      </c>
      <c r="AG312" s="1104" t="s">
        <v>1942</v>
      </c>
      <c r="AH312" s="1104" t="s">
        <v>1942</v>
      </c>
      <c r="AI312" s="1105">
        <f t="shared" si="4"/>
        <v>1</v>
      </c>
      <c r="AJ312" s="1106" t="s">
        <v>1007</v>
      </c>
      <c r="AK312" s="1106" t="s">
        <v>4850</v>
      </c>
      <c r="AL312" s="1106" t="s">
        <v>4850</v>
      </c>
      <c r="AM312" s="1107" t="s">
        <v>3231</v>
      </c>
      <c r="AN312" s="1018" t="s">
        <v>1033</v>
      </c>
      <c r="AO312" s="1018" t="s">
        <v>3260</v>
      </c>
      <c r="AP312" s="1274">
        <v>0</v>
      </c>
      <c r="AQ312" s="1076" t="s">
        <v>1020</v>
      </c>
      <c r="AR312" s="1109" t="s">
        <v>1942</v>
      </c>
      <c r="AS312" s="1110"/>
      <c r="AT312" s="1100"/>
      <c r="AU312" s="1100"/>
      <c r="AV312" s="1100"/>
      <c r="AW312" s="1111"/>
      <c r="AX312" s="1112"/>
      <c r="AY312" s="1075"/>
      <c r="AZ312" s="1076"/>
      <c r="BA312" s="1076"/>
      <c r="BB312" s="1076"/>
      <c r="BC312" s="1076"/>
      <c r="BD312" s="1076"/>
      <c r="BE312" s="1076"/>
      <c r="BF312" s="1076"/>
      <c r="BG312" s="1076"/>
      <c r="BH312" s="1076"/>
      <c r="BI312" s="1420"/>
      <c r="BJ312" s="1368"/>
      <c r="BK312" s="1368"/>
      <c r="BL312" s="1368"/>
      <c r="BM312" s="1368"/>
      <c r="BN312" s="1075"/>
      <c r="BO312" s="1076"/>
      <c r="BP312" s="1076"/>
      <c r="BQ312" s="1076"/>
      <c r="BR312" s="1076"/>
      <c r="BS312" s="1115"/>
      <c r="BT312" s="1076"/>
      <c r="BU312" s="1076"/>
      <c r="BV312" s="1076"/>
      <c r="BW312" s="1116"/>
      <c r="BX312" s="1115"/>
      <c r="BY312" s="1076"/>
      <c r="BZ312" s="1076"/>
      <c r="CA312" s="1076"/>
      <c r="CB312" s="1116"/>
      <c r="CC312" s="1117"/>
      <c r="CD312" s="1376"/>
      <c r="CE312" s="1377"/>
      <c r="CF312" s="1377"/>
      <c r="CG312" s="1377"/>
      <c r="CH312" s="1440"/>
      <c r="CI312" s="1420"/>
      <c r="CJ312" s="1368"/>
      <c r="CK312" s="1368"/>
      <c r="CL312" s="1368"/>
      <c r="CM312" s="1369"/>
      <c r="CN312" s="1420"/>
      <c r="CO312" s="1368"/>
      <c r="CP312" s="1368"/>
      <c r="CQ312" s="1368"/>
      <c r="CR312" s="1369"/>
      <c r="CS312" s="1420"/>
      <c r="CT312" s="1368"/>
      <c r="CU312" s="1368"/>
      <c r="CV312" s="1368"/>
      <c r="CW312" s="1369"/>
      <c r="CX312" s="1420"/>
      <c r="CY312" s="1368"/>
      <c r="CZ312" s="1368"/>
      <c r="DA312" s="1368"/>
      <c r="DB312" s="1369"/>
      <c r="DC312" s="1368"/>
      <c r="DD312" s="1368"/>
      <c r="DE312" s="1368"/>
      <c r="DF312" s="1368"/>
      <c r="DG312" s="1369"/>
      <c r="DH312" s="1420"/>
      <c r="DI312" s="1368"/>
      <c r="DJ312" s="1368"/>
      <c r="DK312" s="1368"/>
      <c r="DL312" s="1369"/>
      <c r="DM312" s="1808"/>
      <c r="DN312" s="1809"/>
      <c r="DO312" s="1809"/>
      <c r="DP312" s="1810"/>
      <c r="DQ312" s="1809"/>
      <c r="DR312" s="1809"/>
      <c r="DS312" s="1809"/>
      <c r="DT312" s="1810"/>
      <c r="DU312" s="1377"/>
      <c r="DV312" s="1729"/>
      <c r="DW312" s="1811"/>
    </row>
    <row r="313" spans="1:127" s="397" customFormat="1" ht="15.75" customHeight="1">
      <c r="A313" s="1097" t="s">
        <v>1038</v>
      </c>
      <c r="B313" s="1057">
        <v>304</v>
      </c>
      <c r="C313" s="1018"/>
      <c r="D313" s="1018"/>
      <c r="E313" s="1018"/>
      <c r="F313" s="1018"/>
      <c r="G313" s="1018"/>
      <c r="H313" s="1018"/>
      <c r="I313" s="1018"/>
      <c r="J313" s="1018"/>
      <c r="K313" s="1018"/>
      <c r="L313" s="1018"/>
      <c r="M313" s="1057"/>
      <c r="N313" s="1018"/>
      <c r="O313" s="1018"/>
      <c r="P313" s="1018"/>
      <c r="Q313" s="1018"/>
      <c r="R313" s="1018"/>
      <c r="S313" s="1018"/>
      <c r="T313" s="1019"/>
      <c r="U313" s="1098" t="s">
        <v>3261</v>
      </c>
      <c r="V313" s="1099" t="s">
        <v>3214</v>
      </c>
      <c r="W313" s="1099" t="s">
        <v>3262</v>
      </c>
      <c r="X313" s="1100" t="s">
        <v>3263</v>
      </c>
      <c r="Y313" s="1101" t="s">
        <v>1983</v>
      </c>
      <c r="Z313" s="1102" t="s">
        <v>3264</v>
      </c>
      <c r="AA313" s="1103" t="s">
        <v>1942</v>
      </c>
      <c r="AB313" s="1104">
        <v>1</v>
      </c>
      <c r="AC313" s="1104" t="s">
        <v>1942</v>
      </c>
      <c r="AD313" s="1104" t="s">
        <v>1942</v>
      </c>
      <c r="AE313" s="1104" t="s">
        <v>1942</v>
      </c>
      <c r="AF313" s="1104" t="s">
        <v>1942</v>
      </c>
      <c r="AG313" s="1104" t="s">
        <v>1942</v>
      </c>
      <c r="AH313" s="1104" t="s">
        <v>1942</v>
      </c>
      <c r="AI313" s="1105">
        <f t="shared" si="4"/>
        <v>1</v>
      </c>
      <c r="AJ313" s="1106" t="s">
        <v>1026</v>
      </c>
      <c r="AK313" s="1106" t="s">
        <v>1008</v>
      </c>
      <c r="AL313" s="1106" t="s">
        <v>1009</v>
      </c>
      <c r="AM313" s="1107" t="s">
        <v>3265</v>
      </c>
      <c r="AN313" s="1018" t="s">
        <v>2177</v>
      </c>
      <c r="AO313" s="1018" t="s">
        <v>4796</v>
      </c>
      <c r="AP313" s="1274">
        <v>0</v>
      </c>
      <c r="AQ313" s="1076" t="s">
        <v>1020</v>
      </c>
      <c r="AR313" s="1109"/>
      <c r="AS313" s="1110"/>
      <c r="AT313" s="1100"/>
      <c r="AU313" s="1100"/>
      <c r="AV313" s="1100"/>
      <c r="AW313" s="1111"/>
      <c r="AX313" s="1112"/>
      <c r="AY313" s="1075"/>
      <c r="AZ313" s="1076"/>
      <c r="BA313" s="1076"/>
      <c r="BB313" s="1076"/>
      <c r="BC313" s="1076"/>
      <c r="BD313" s="1076"/>
      <c r="BE313" s="1076"/>
      <c r="BF313" s="1076"/>
      <c r="BG313" s="1076"/>
      <c r="BH313" s="1076"/>
      <c r="BI313" s="1420"/>
      <c r="BJ313" s="1368"/>
      <c r="BK313" s="1368"/>
      <c r="BL313" s="1368"/>
      <c r="BM313" s="1368"/>
      <c r="BN313" s="1075"/>
      <c r="BO313" s="1076"/>
      <c r="BP313" s="1076"/>
      <c r="BQ313" s="1076"/>
      <c r="BR313" s="1076"/>
      <c r="BS313" s="1115"/>
      <c r="BT313" s="1076"/>
      <c r="BU313" s="1076"/>
      <c r="BV313" s="1076"/>
      <c r="BW313" s="1116"/>
      <c r="BX313" s="1115"/>
      <c r="BY313" s="1076"/>
      <c r="BZ313" s="1076"/>
      <c r="CA313" s="1076"/>
      <c r="CB313" s="1116"/>
      <c r="CC313" s="1117"/>
      <c r="CD313" s="1376"/>
      <c r="CE313" s="1377"/>
      <c r="CF313" s="1377"/>
      <c r="CG313" s="1377"/>
      <c r="CH313" s="1440"/>
      <c r="CI313" s="1420"/>
      <c r="CJ313" s="1368"/>
      <c r="CK313" s="1368"/>
      <c r="CL313" s="1368"/>
      <c r="CM313" s="1369"/>
      <c r="CN313" s="1420"/>
      <c r="CO313" s="1368"/>
      <c r="CP313" s="1368"/>
      <c r="CQ313" s="1368"/>
      <c r="CR313" s="1369"/>
      <c r="CS313" s="1420"/>
      <c r="CT313" s="1368"/>
      <c r="CU313" s="1368"/>
      <c r="CV313" s="1368"/>
      <c r="CW313" s="1369"/>
      <c r="CX313" s="1420"/>
      <c r="CY313" s="1368"/>
      <c r="CZ313" s="1368"/>
      <c r="DA313" s="1368"/>
      <c r="DB313" s="1369"/>
      <c r="DC313" s="1368"/>
      <c r="DD313" s="1368"/>
      <c r="DE313" s="1368"/>
      <c r="DF313" s="1368"/>
      <c r="DG313" s="1369"/>
      <c r="DH313" s="1420"/>
      <c r="DI313" s="1368"/>
      <c r="DJ313" s="1368"/>
      <c r="DK313" s="1368"/>
      <c r="DL313" s="1369"/>
      <c r="DM313" s="1808"/>
      <c r="DN313" s="1809"/>
      <c r="DO313" s="1809"/>
      <c r="DP313" s="1810"/>
      <c r="DQ313" s="1809"/>
      <c r="DR313" s="1809"/>
      <c r="DS313" s="1809"/>
      <c r="DT313" s="1810"/>
      <c r="DU313" s="1377"/>
      <c r="DV313" s="1729"/>
      <c r="DW313" s="1811"/>
    </row>
    <row r="314" spans="1:127" s="397" customFormat="1" ht="15.75" customHeight="1">
      <c r="A314" s="1097" t="s">
        <v>1038</v>
      </c>
      <c r="B314" s="1057">
        <v>305</v>
      </c>
      <c r="C314" s="1018"/>
      <c r="D314" s="1018"/>
      <c r="E314" s="1018"/>
      <c r="F314" s="1018"/>
      <c r="G314" s="1018"/>
      <c r="H314" s="1018"/>
      <c r="I314" s="1018"/>
      <c r="J314" s="1018"/>
      <c r="K314" s="1018"/>
      <c r="L314" s="1018"/>
      <c r="M314" s="1057"/>
      <c r="N314" s="1018"/>
      <c r="O314" s="1018"/>
      <c r="P314" s="1018"/>
      <c r="Q314" s="1018"/>
      <c r="R314" s="1018"/>
      <c r="S314" s="1018"/>
      <c r="T314" s="1019"/>
      <c r="U314" s="1098" t="s">
        <v>3267</v>
      </c>
      <c r="V314" s="1099" t="s">
        <v>3214</v>
      </c>
      <c r="W314" s="1099" t="s">
        <v>3077</v>
      </c>
      <c r="X314" s="1100" t="s">
        <v>3268</v>
      </c>
      <c r="Y314" s="1101" t="s">
        <v>2098</v>
      </c>
      <c r="Z314" s="1102" t="s">
        <v>3269</v>
      </c>
      <c r="AA314" s="1103" t="s">
        <v>1942</v>
      </c>
      <c r="AB314" s="1104" t="s">
        <v>1942</v>
      </c>
      <c r="AC314" s="1104">
        <v>1</v>
      </c>
      <c r="AD314" s="1104" t="s">
        <v>1942</v>
      </c>
      <c r="AE314" s="1104" t="s">
        <v>1942</v>
      </c>
      <c r="AF314" s="1104" t="s">
        <v>1942</v>
      </c>
      <c r="AG314" s="1104" t="s">
        <v>1942</v>
      </c>
      <c r="AH314" s="1104" t="s">
        <v>1942</v>
      </c>
      <c r="AI314" s="1105">
        <f t="shared" si="4"/>
        <v>1</v>
      </c>
      <c r="AJ314" s="1106" t="s">
        <v>1030</v>
      </c>
      <c r="AK314" s="1106" t="s">
        <v>1008</v>
      </c>
      <c r="AL314" s="1106" t="s">
        <v>1009</v>
      </c>
      <c r="AM314" s="1107" t="s">
        <v>3200</v>
      </c>
      <c r="AN314" s="1018" t="s">
        <v>2177</v>
      </c>
      <c r="AO314" s="1018" t="s">
        <v>4492</v>
      </c>
      <c r="AP314" s="1274">
        <v>0</v>
      </c>
      <c r="AQ314" s="1076" t="s">
        <v>1020</v>
      </c>
      <c r="AR314" s="1109"/>
      <c r="AS314" s="1110"/>
      <c r="AT314" s="1100"/>
      <c r="AU314" s="1100"/>
      <c r="AV314" s="1100"/>
      <c r="AW314" s="1111"/>
      <c r="AX314" s="1112"/>
      <c r="AY314" s="1075"/>
      <c r="AZ314" s="1076"/>
      <c r="BA314" s="1076"/>
      <c r="BB314" s="1076"/>
      <c r="BC314" s="1076"/>
      <c r="BD314" s="1076"/>
      <c r="BE314" s="1076"/>
      <c r="BF314" s="1076"/>
      <c r="BG314" s="1076"/>
      <c r="BH314" s="1076"/>
      <c r="BI314" s="1420"/>
      <c r="BJ314" s="1368"/>
      <c r="BK314" s="1368"/>
      <c r="BL314" s="1368"/>
      <c r="BM314" s="1368"/>
      <c r="BN314" s="1075"/>
      <c r="BO314" s="1076"/>
      <c r="BP314" s="1076"/>
      <c r="BQ314" s="1076"/>
      <c r="BR314" s="1076"/>
      <c r="BS314" s="1115"/>
      <c r="BT314" s="1076"/>
      <c r="BU314" s="1076"/>
      <c r="BV314" s="1076"/>
      <c r="BW314" s="1116"/>
      <c r="BX314" s="1115"/>
      <c r="BY314" s="1076"/>
      <c r="BZ314" s="1076"/>
      <c r="CA314" s="1076"/>
      <c r="CB314" s="1116"/>
      <c r="CC314" s="1117"/>
      <c r="CD314" s="1376"/>
      <c r="CE314" s="1377"/>
      <c r="CF314" s="1377"/>
      <c r="CG314" s="1377"/>
      <c r="CH314" s="1440"/>
      <c r="CI314" s="1420"/>
      <c r="CJ314" s="1368"/>
      <c r="CK314" s="1368"/>
      <c r="CL314" s="1368"/>
      <c r="CM314" s="1369"/>
      <c r="CN314" s="1420"/>
      <c r="CO314" s="1368"/>
      <c r="CP314" s="1368"/>
      <c r="CQ314" s="1368"/>
      <c r="CR314" s="1369"/>
      <c r="CS314" s="1420"/>
      <c r="CT314" s="1368"/>
      <c r="CU314" s="1368"/>
      <c r="CV314" s="1368"/>
      <c r="CW314" s="1369"/>
      <c r="CX314" s="1420"/>
      <c r="CY314" s="1368"/>
      <c r="CZ314" s="1368"/>
      <c r="DA314" s="1368"/>
      <c r="DB314" s="1369"/>
      <c r="DC314" s="1368"/>
      <c r="DD314" s="1368"/>
      <c r="DE314" s="1368"/>
      <c r="DF314" s="1368"/>
      <c r="DG314" s="1369"/>
      <c r="DH314" s="1420"/>
      <c r="DI314" s="1368"/>
      <c r="DJ314" s="1368"/>
      <c r="DK314" s="1368"/>
      <c r="DL314" s="1369"/>
      <c r="DM314" s="1808"/>
      <c r="DN314" s="1809"/>
      <c r="DO314" s="1809"/>
      <c r="DP314" s="1810"/>
      <c r="DQ314" s="1809"/>
      <c r="DR314" s="1809"/>
      <c r="DS314" s="1809"/>
      <c r="DT314" s="1810"/>
      <c r="DU314" s="1377"/>
      <c r="DV314" s="1729"/>
      <c r="DW314" s="1811"/>
    </row>
    <row r="315" spans="1:127" s="397" customFormat="1" ht="15.75" customHeight="1">
      <c r="A315" s="1097" t="s">
        <v>1038</v>
      </c>
      <c r="B315" s="1057">
        <v>306</v>
      </c>
      <c r="C315" s="1018"/>
      <c r="D315" s="1018"/>
      <c r="E315" s="1018"/>
      <c r="F315" s="1018"/>
      <c r="G315" s="1018"/>
      <c r="H315" s="1018"/>
      <c r="I315" s="1018"/>
      <c r="J315" s="1018"/>
      <c r="K315" s="1018"/>
      <c r="L315" s="1018"/>
      <c r="M315" s="1057"/>
      <c r="N315" s="1018"/>
      <c r="O315" s="1018"/>
      <c r="P315" s="1018"/>
      <c r="Q315" s="1018"/>
      <c r="R315" s="1018"/>
      <c r="S315" s="1018"/>
      <c r="T315" s="1019"/>
      <c r="U315" s="1098" t="s">
        <v>3271</v>
      </c>
      <c r="V315" s="1099" t="s">
        <v>3119</v>
      </c>
      <c r="W315" s="1099" t="s">
        <v>3095</v>
      </c>
      <c r="X315" s="1100" t="s">
        <v>3272</v>
      </c>
      <c r="Y315" s="1101" t="s">
        <v>3273</v>
      </c>
      <c r="Z315" s="1102" t="s">
        <v>3274</v>
      </c>
      <c r="AA315" s="1103" t="s">
        <v>1942</v>
      </c>
      <c r="AB315" s="1104" t="s">
        <v>1942</v>
      </c>
      <c r="AC315" s="1104">
        <v>1</v>
      </c>
      <c r="AD315" s="1104" t="s">
        <v>1942</v>
      </c>
      <c r="AE315" s="1104" t="s">
        <v>1942</v>
      </c>
      <c r="AF315" s="1104" t="s">
        <v>1942</v>
      </c>
      <c r="AG315" s="1104" t="s">
        <v>1942</v>
      </c>
      <c r="AH315" s="1104" t="s">
        <v>1942</v>
      </c>
      <c r="AI315" s="1105">
        <f t="shared" si="4"/>
        <v>1</v>
      </c>
      <c r="AJ315" s="1106" t="s">
        <v>1007</v>
      </c>
      <c r="AK315" s="1106" t="s">
        <v>4850</v>
      </c>
      <c r="AL315" s="1106" t="s">
        <v>4850</v>
      </c>
      <c r="AM315" s="1107" t="s">
        <v>3231</v>
      </c>
      <c r="AN315" s="1018" t="s">
        <v>278</v>
      </c>
      <c r="AO315" s="1018" t="s">
        <v>3275</v>
      </c>
      <c r="AP315" s="1274">
        <v>2</v>
      </c>
      <c r="AQ315" s="1076" t="s">
        <v>1010</v>
      </c>
      <c r="AR315" s="1109" t="s">
        <v>1942</v>
      </c>
      <c r="AS315" s="1110"/>
      <c r="AT315" s="1100"/>
      <c r="AU315" s="1100"/>
      <c r="AV315" s="1100"/>
      <c r="AW315" s="1111"/>
      <c r="AX315" s="1112"/>
      <c r="AY315" s="1075"/>
      <c r="AZ315" s="1076"/>
      <c r="BA315" s="1076"/>
      <c r="BB315" s="1076"/>
      <c r="BC315" s="1076"/>
      <c r="BD315" s="1076"/>
      <c r="BE315" s="1076"/>
      <c r="BF315" s="1076"/>
      <c r="BG315" s="1076"/>
      <c r="BH315" s="1076"/>
      <c r="BI315" s="1420"/>
      <c r="BJ315" s="1368"/>
      <c r="BK315" s="1368"/>
      <c r="BL315" s="1368"/>
      <c r="BM315" s="1368"/>
      <c r="BN315" s="1075"/>
      <c r="BO315" s="1076"/>
      <c r="BP315" s="1076"/>
      <c r="BQ315" s="1076"/>
      <c r="BR315" s="1076"/>
      <c r="BS315" s="1115"/>
      <c r="BT315" s="1076"/>
      <c r="BU315" s="1076"/>
      <c r="BV315" s="1076"/>
      <c r="BW315" s="1116"/>
      <c r="BX315" s="1115"/>
      <c r="BY315" s="1076"/>
      <c r="BZ315" s="1076"/>
      <c r="CA315" s="1076"/>
      <c r="CB315" s="1116"/>
      <c r="CC315" s="1117"/>
      <c r="CD315" s="1376"/>
      <c r="CE315" s="1377"/>
      <c r="CF315" s="1377"/>
      <c r="CG315" s="1377"/>
      <c r="CH315" s="1440"/>
      <c r="CI315" s="1420"/>
      <c r="CJ315" s="1368"/>
      <c r="CK315" s="1368"/>
      <c r="CL315" s="1368"/>
      <c r="CM315" s="1369"/>
      <c r="CN315" s="1420"/>
      <c r="CO315" s="1368"/>
      <c r="CP315" s="1368"/>
      <c r="CQ315" s="1368"/>
      <c r="CR315" s="1369"/>
      <c r="CS315" s="1420"/>
      <c r="CT315" s="1368"/>
      <c r="CU315" s="1368"/>
      <c r="CV315" s="1368"/>
      <c r="CW315" s="1369"/>
      <c r="CX315" s="1420"/>
      <c r="CY315" s="1368"/>
      <c r="CZ315" s="1368"/>
      <c r="DA315" s="1368"/>
      <c r="DB315" s="1369"/>
      <c r="DC315" s="1368"/>
      <c r="DD315" s="1368"/>
      <c r="DE315" s="1368"/>
      <c r="DF315" s="1368"/>
      <c r="DG315" s="1369"/>
      <c r="DH315" s="1420"/>
      <c r="DI315" s="1368"/>
      <c r="DJ315" s="1368"/>
      <c r="DK315" s="1368"/>
      <c r="DL315" s="1369"/>
      <c r="DM315" s="1808"/>
      <c r="DN315" s="1809"/>
      <c r="DO315" s="1809"/>
      <c r="DP315" s="1810"/>
      <c r="DQ315" s="1809"/>
      <c r="DR315" s="1809"/>
      <c r="DS315" s="1809"/>
      <c r="DT315" s="1810"/>
      <c r="DU315" s="1377"/>
      <c r="DV315" s="1729"/>
      <c r="DW315" s="1811"/>
    </row>
    <row r="316" spans="1:127" s="397" customFormat="1" ht="15.75" customHeight="1">
      <c r="A316" s="1097" t="s">
        <v>1038</v>
      </c>
      <c r="B316" s="1057">
        <v>307</v>
      </c>
      <c r="C316" s="1018"/>
      <c r="D316" s="1018"/>
      <c r="E316" s="1018"/>
      <c r="F316" s="1018"/>
      <c r="G316" s="1018"/>
      <c r="H316" s="1018"/>
      <c r="I316" s="1018"/>
      <c r="J316" s="1018"/>
      <c r="K316" s="1018"/>
      <c r="L316" s="1018"/>
      <c r="M316" s="1057"/>
      <c r="N316" s="1018"/>
      <c r="O316" s="1018"/>
      <c r="P316" s="1018"/>
      <c r="Q316" s="1018"/>
      <c r="R316" s="1018"/>
      <c r="S316" s="1018"/>
      <c r="T316" s="1019"/>
      <c r="U316" s="1098" t="s">
        <v>3276</v>
      </c>
      <c r="V316" s="1099" t="s">
        <v>3119</v>
      </c>
      <c r="W316" s="1099" t="s">
        <v>3095</v>
      </c>
      <c r="X316" s="1100" t="s">
        <v>3277</v>
      </c>
      <c r="Y316" s="1101" t="s">
        <v>3278</v>
      </c>
      <c r="Z316" s="1102" t="s">
        <v>3279</v>
      </c>
      <c r="AA316" s="1103" t="s">
        <v>1942</v>
      </c>
      <c r="AB316" s="1104">
        <v>0.5</v>
      </c>
      <c r="AC316" s="1104">
        <v>0.5</v>
      </c>
      <c r="AD316" s="1104" t="s">
        <v>1942</v>
      </c>
      <c r="AE316" s="1104" t="s">
        <v>1942</v>
      </c>
      <c r="AF316" s="1104" t="s">
        <v>1942</v>
      </c>
      <c r="AG316" s="1104" t="s">
        <v>1942</v>
      </c>
      <c r="AH316" s="1104" t="s">
        <v>1942</v>
      </c>
      <c r="AI316" s="1105">
        <f t="shared" si="4"/>
        <v>1</v>
      </c>
      <c r="AJ316" s="1106" t="s">
        <v>1007</v>
      </c>
      <c r="AK316" s="1106" t="s">
        <v>4850</v>
      </c>
      <c r="AL316" s="1106" t="s">
        <v>4850</v>
      </c>
      <c r="AM316" s="1107" t="s">
        <v>3104</v>
      </c>
      <c r="AN316" s="1018" t="s">
        <v>1033</v>
      </c>
      <c r="AO316" s="1018" t="s">
        <v>3280</v>
      </c>
      <c r="AP316" s="1274">
        <v>0</v>
      </c>
      <c r="AQ316" s="1076" t="s">
        <v>1010</v>
      </c>
      <c r="AR316" s="1109" t="s">
        <v>1942</v>
      </c>
      <c r="AS316" s="1110"/>
      <c r="AT316" s="1100"/>
      <c r="AU316" s="1100"/>
      <c r="AV316" s="1100"/>
      <c r="AW316" s="1111"/>
      <c r="AX316" s="1112"/>
      <c r="AY316" s="1075"/>
      <c r="AZ316" s="1076"/>
      <c r="BA316" s="1076"/>
      <c r="BB316" s="1076"/>
      <c r="BC316" s="1076"/>
      <c r="BD316" s="1076"/>
      <c r="BE316" s="1076"/>
      <c r="BF316" s="1076"/>
      <c r="BG316" s="1076"/>
      <c r="BH316" s="1076"/>
      <c r="BI316" s="1420"/>
      <c r="BJ316" s="1368"/>
      <c r="BK316" s="1368"/>
      <c r="BL316" s="1368"/>
      <c r="BM316" s="1368"/>
      <c r="BN316" s="1075"/>
      <c r="BO316" s="1076"/>
      <c r="BP316" s="1076"/>
      <c r="BQ316" s="1076"/>
      <c r="BR316" s="1076"/>
      <c r="BS316" s="1115"/>
      <c r="BT316" s="1076"/>
      <c r="BU316" s="1076"/>
      <c r="BV316" s="1076"/>
      <c r="BW316" s="1116"/>
      <c r="BX316" s="1115"/>
      <c r="BY316" s="1076"/>
      <c r="BZ316" s="1076"/>
      <c r="CA316" s="1076"/>
      <c r="CB316" s="1116"/>
      <c r="CC316" s="1117"/>
      <c r="CD316" s="1376"/>
      <c r="CE316" s="1377"/>
      <c r="CF316" s="1377"/>
      <c r="CG316" s="1377"/>
      <c r="CH316" s="1440"/>
      <c r="CI316" s="1420"/>
      <c r="CJ316" s="1368"/>
      <c r="CK316" s="1368"/>
      <c r="CL316" s="1368"/>
      <c r="CM316" s="1369"/>
      <c r="CN316" s="1420"/>
      <c r="CO316" s="1368"/>
      <c r="CP316" s="1368"/>
      <c r="CQ316" s="1368"/>
      <c r="CR316" s="1369"/>
      <c r="CS316" s="1420"/>
      <c r="CT316" s="1368"/>
      <c r="CU316" s="1368"/>
      <c r="CV316" s="1368"/>
      <c r="CW316" s="1369"/>
      <c r="CX316" s="1420"/>
      <c r="CY316" s="1368"/>
      <c r="CZ316" s="1368"/>
      <c r="DA316" s="1368"/>
      <c r="DB316" s="1369"/>
      <c r="DC316" s="1368"/>
      <c r="DD316" s="1368"/>
      <c r="DE316" s="1368"/>
      <c r="DF316" s="1368"/>
      <c r="DG316" s="1369"/>
      <c r="DH316" s="1420"/>
      <c r="DI316" s="1368"/>
      <c r="DJ316" s="1368"/>
      <c r="DK316" s="1368"/>
      <c r="DL316" s="1369"/>
      <c r="DM316" s="1808"/>
      <c r="DN316" s="1809"/>
      <c r="DO316" s="1809"/>
      <c r="DP316" s="1810"/>
      <c r="DQ316" s="1809"/>
      <c r="DR316" s="1809"/>
      <c r="DS316" s="1809"/>
      <c r="DT316" s="1810"/>
      <c r="DU316" s="1377"/>
      <c r="DV316" s="1729"/>
      <c r="DW316" s="1811"/>
    </row>
    <row r="317" spans="1:127" s="397" customFormat="1" ht="15.75" customHeight="1">
      <c r="A317" s="1097" t="s">
        <v>1038</v>
      </c>
      <c r="B317" s="1057">
        <v>308</v>
      </c>
      <c r="C317" s="1018"/>
      <c r="D317" s="1018"/>
      <c r="E317" s="1018"/>
      <c r="F317" s="1018"/>
      <c r="G317" s="1018"/>
      <c r="H317" s="1018"/>
      <c r="I317" s="1018"/>
      <c r="J317" s="1018"/>
      <c r="K317" s="1018"/>
      <c r="L317" s="1018"/>
      <c r="M317" s="1057"/>
      <c r="N317" s="1018"/>
      <c r="O317" s="1018"/>
      <c r="P317" s="1018"/>
      <c r="Q317" s="1018"/>
      <c r="R317" s="1018"/>
      <c r="S317" s="1018"/>
      <c r="T317" s="1019"/>
      <c r="U317" s="1098" t="s">
        <v>3281</v>
      </c>
      <c r="V317" s="1099" t="s">
        <v>3282</v>
      </c>
      <c r="W317" s="1099" t="s">
        <v>3095</v>
      </c>
      <c r="X317" s="1100" t="s">
        <v>3283</v>
      </c>
      <c r="Y317" s="1101" t="s">
        <v>3284</v>
      </c>
      <c r="Z317" s="1102" t="s">
        <v>3285</v>
      </c>
      <c r="AA317" s="1103" t="s">
        <v>1942</v>
      </c>
      <c r="AB317" s="1104" t="s">
        <v>1942</v>
      </c>
      <c r="AC317" s="1104" t="s">
        <v>1942</v>
      </c>
      <c r="AD317" s="1104" t="s">
        <v>1942</v>
      </c>
      <c r="AE317" s="1104">
        <v>1</v>
      </c>
      <c r="AF317" s="1104" t="s">
        <v>1942</v>
      </c>
      <c r="AG317" s="1104" t="s">
        <v>1942</v>
      </c>
      <c r="AH317" s="1104" t="s">
        <v>1942</v>
      </c>
      <c r="AI317" s="1105">
        <f t="shared" si="4"/>
        <v>1</v>
      </c>
      <c r="AJ317" s="1106" t="s">
        <v>1007</v>
      </c>
      <c r="AK317" s="1106" t="s">
        <v>4850</v>
      </c>
      <c r="AL317" s="1106" t="s">
        <v>4850</v>
      </c>
      <c r="AM317" s="1107" t="s">
        <v>3175</v>
      </c>
      <c r="AN317" s="1018" t="s">
        <v>1033</v>
      </c>
      <c r="AO317" s="1018" t="s">
        <v>3286</v>
      </c>
      <c r="AP317" s="1274">
        <v>0</v>
      </c>
      <c r="AQ317" s="1076" t="s">
        <v>1010</v>
      </c>
      <c r="AR317" s="1109" t="s">
        <v>1942</v>
      </c>
      <c r="AS317" s="1110"/>
      <c r="AT317" s="1100"/>
      <c r="AU317" s="1100"/>
      <c r="AV317" s="1100"/>
      <c r="AW317" s="1111"/>
      <c r="AX317" s="1112"/>
      <c r="AY317" s="1075"/>
      <c r="AZ317" s="1076"/>
      <c r="BA317" s="1076"/>
      <c r="BB317" s="1076"/>
      <c r="BC317" s="1076"/>
      <c r="BD317" s="1076"/>
      <c r="BE317" s="1076"/>
      <c r="BF317" s="1076"/>
      <c r="BG317" s="1076"/>
      <c r="BH317" s="1076"/>
      <c r="BI317" s="1420"/>
      <c r="BJ317" s="1368"/>
      <c r="BK317" s="1368"/>
      <c r="BL317" s="1368"/>
      <c r="BM317" s="1368"/>
      <c r="BN317" s="1075"/>
      <c r="BO317" s="1076"/>
      <c r="BP317" s="1076"/>
      <c r="BQ317" s="1076"/>
      <c r="BR317" s="1076"/>
      <c r="BS317" s="1115"/>
      <c r="BT317" s="1076"/>
      <c r="BU317" s="1076"/>
      <c r="BV317" s="1076"/>
      <c r="BW317" s="1116"/>
      <c r="BX317" s="1115"/>
      <c r="BY317" s="1076"/>
      <c r="BZ317" s="1076"/>
      <c r="CA317" s="1076"/>
      <c r="CB317" s="1116"/>
      <c r="CC317" s="1117"/>
      <c r="CD317" s="1376"/>
      <c r="CE317" s="1377"/>
      <c r="CF317" s="1377"/>
      <c r="CG317" s="1377"/>
      <c r="CH317" s="1440"/>
      <c r="CI317" s="1420"/>
      <c r="CJ317" s="1368"/>
      <c r="CK317" s="1368"/>
      <c r="CL317" s="1368"/>
      <c r="CM317" s="1369"/>
      <c r="CN317" s="1420"/>
      <c r="CO317" s="1368"/>
      <c r="CP317" s="1368"/>
      <c r="CQ317" s="1368"/>
      <c r="CR317" s="1369"/>
      <c r="CS317" s="1420"/>
      <c r="CT317" s="1368"/>
      <c r="CU317" s="1368"/>
      <c r="CV317" s="1368"/>
      <c r="CW317" s="1369"/>
      <c r="CX317" s="1420"/>
      <c r="CY317" s="1368"/>
      <c r="CZ317" s="1368"/>
      <c r="DA317" s="1368"/>
      <c r="DB317" s="1369"/>
      <c r="DC317" s="1368"/>
      <c r="DD317" s="1368"/>
      <c r="DE317" s="1368"/>
      <c r="DF317" s="1368"/>
      <c r="DG317" s="1369"/>
      <c r="DH317" s="1420"/>
      <c r="DI317" s="1368"/>
      <c r="DJ317" s="1368"/>
      <c r="DK317" s="1368"/>
      <c r="DL317" s="1369"/>
      <c r="DM317" s="1808"/>
      <c r="DN317" s="1809"/>
      <c r="DO317" s="1809"/>
      <c r="DP317" s="1810"/>
      <c r="DQ317" s="1809"/>
      <c r="DR317" s="1809"/>
      <c r="DS317" s="1809"/>
      <c r="DT317" s="1810"/>
      <c r="DU317" s="1377"/>
      <c r="DV317" s="1729"/>
      <c r="DW317" s="1811"/>
    </row>
    <row r="318" spans="1:127" s="397" customFormat="1" ht="15.75" customHeight="1">
      <c r="A318" s="1097" t="s">
        <v>1038</v>
      </c>
      <c r="B318" s="1057">
        <v>309</v>
      </c>
      <c r="C318" s="1018"/>
      <c r="D318" s="1018"/>
      <c r="E318" s="1018"/>
      <c r="F318" s="1018"/>
      <c r="G318" s="1018"/>
      <c r="H318" s="1018"/>
      <c r="I318" s="1018"/>
      <c r="J318" s="1018"/>
      <c r="K318" s="1018"/>
      <c r="L318" s="1018"/>
      <c r="M318" s="1057"/>
      <c r="N318" s="1018"/>
      <c r="O318" s="1018"/>
      <c r="P318" s="1018"/>
      <c r="Q318" s="1018"/>
      <c r="R318" s="1018"/>
      <c r="S318" s="1018"/>
      <c r="T318" s="1019"/>
      <c r="U318" s="1098" t="s">
        <v>3287</v>
      </c>
      <c r="V318" s="1099" t="s">
        <v>3119</v>
      </c>
      <c r="W318" s="1099" t="s">
        <v>3095</v>
      </c>
      <c r="X318" s="1100" t="s">
        <v>3288</v>
      </c>
      <c r="Y318" s="1101" t="s">
        <v>3289</v>
      </c>
      <c r="Z318" s="1102" t="s">
        <v>3290</v>
      </c>
      <c r="AA318" s="1103" t="s">
        <v>1942</v>
      </c>
      <c r="AB318" s="1104" t="s">
        <v>1942</v>
      </c>
      <c r="AC318" s="1104">
        <v>1</v>
      </c>
      <c r="AD318" s="1104" t="s">
        <v>1942</v>
      </c>
      <c r="AE318" s="1104" t="s">
        <v>1942</v>
      </c>
      <c r="AF318" s="1104" t="s">
        <v>1942</v>
      </c>
      <c r="AG318" s="1104" t="s">
        <v>1942</v>
      </c>
      <c r="AH318" s="1104" t="s">
        <v>1942</v>
      </c>
      <c r="AI318" s="1105">
        <f t="shared" si="4"/>
        <v>1</v>
      </c>
      <c r="AJ318" s="1106" t="s">
        <v>1026</v>
      </c>
      <c r="AK318" s="1106" t="s">
        <v>1018</v>
      </c>
      <c r="AL318" s="1106" t="s">
        <v>4853</v>
      </c>
      <c r="AM318" s="1107" t="s">
        <v>3231</v>
      </c>
      <c r="AN318" s="1018" t="s">
        <v>1025</v>
      </c>
      <c r="AO318" s="1018" t="s">
        <v>1942</v>
      </c>
      <c r="AP318" s="1274">
        <v>0</v>
      </c>
      <c r="AQ318" s="1076" t="s">
        <v>1010</v>
      </c>
      <c r="AR318" s="1109" t="s">
        <v>1942</v>
      </c>
      <c r="AS318" s="1110"/>
      <c r="AT318" s="1100"/>
      <c r="AU318" s="1100"/>
      <c r="AV318" s="1100"/>
      <c r="AW318" s="1111"/>
      <c r="AX318" s="1112"/>
      <c r="AY318" s="1075"/>
      <c r="AZ318" s="1076"/>
      <c r="BA318" s="1076"/>
      <c r="BB318" s="1076"/>
      <c r="BC318" s="1076"/>
      <c r="BD318" s="1076"/>
      <c r="BE318" s="1076"/>
      <c r="BF318" s="1076"/>
      <c r="BG318" s="1076"/>
      <c r="BH318" s="1076"/>
      <c r="BI318" s="1420"/>
      <c r="BJ318" s="1368"/>
      <c r="BK318" s="1368"/>
      <c r="BL318" s="1368"/>
      <c r="BM318" s="1368"/>
      <c r="BN318" s="1075"/>
      <c r="BO318" s="1076"/>
      <c r="BP318" s="1076"/>
      <c r="BQ318" s="1076"/>
      <c r="BR318" s="1076"/>
      <c r="BS318" s="1115"/>
      <c r="BT318" s="1076"/>
      <c r="BU318" s="1076"/>
      <c r="BV318" s="1076"/>
      <c r="BW318" s="1116"/>
      <c r="BX318" s="1115"/>
      <c r="BY318" s="1076"/>
      <c r="BZ318" s="1076"/>
      <c r="CA318" s="1076"/>
      <c r="CB318" s="1116"/>
      <c r="CC318" s="1117"/>
      <c r="CD318" s="1376"/>
      <c r="CE318" s="1377"/>
      <c r="CF318" s="1377"/>
      <c r="CG318" s="1377"/>
      <c r="CH318" s="1440"/>
      <c r="CI318" s="1420"/>
      <c r="CJ318" s="1368"/>
      <c r="CK318" s="1368"/>
      <c r="CL318" s="1368"/>
      <c r="CM318" s="1369"/>
      <c r="CN318" s="1420"/>
      <c r="CO318" s="1368"/>
      <c r="CP318" s="1368"/>
      <c r="CQ318" s="1368"/>
      <c r="CR318" s="1369"/>
      <c r="CS318" s="1420"/>
      <c r="CT318" s="1368"/>
      <c r="CU318" s="1368"/>
      <c r="CV318" s="1368"/>
      <c r="CW318" s="1369"/>
      <c r="CX318" s="1420"/>
      <c r="CY318" s="1368"/>
      <c r="CZ318" s="1368"/>
      <c r="DA318" s="1368"/>
      <c r="DB318" s="1369"/>
      <c r="DC318" s="1368"/>
      <c r="DD318" s="1368"/>
      <c r="DE318" s="1368"/>
      <c r="DF318" s="1368"/>
      <c r="DG318" s="1369"/>
      <c r="DH318" s="1420"/>
      <c r="DI318" s="1368"/>
      <c r="DJ318" s="1368"/>
      <c r="DK318" s="1368"/>
      <c r="DL318" s="1369"/>
      <c r="DM318" s="1808"/>
      <c r="DN318" s="1809"/>
      <c r="DO318" s="1809"/>
      <c r="DP318" s="1810"/>
      <c r="DQ318" s="1809"/>
      <c r="DR318" s="1809"/>
      <c r="DS318" s="1809"/>
      <c r="DT318" s="1810"/>
      <c r="DU318" s="1377"/>
      <c r="DV318" s="1729"/>
      <c r="DW318" s="1811"/>
    </row>
    <row r="319" spans="1:127" s="397" customFormat="1" ht="15.75" customHeight="1">
      <c r="A319" s="1097" t="s">
        <v>1038</v>
      </c>
      <c r="B319" s="1057">
        <v>310</v>
      </c>
      <c r="C319" s="1018"/>
      <c r="D319" s="1018"/>
      <c r="E319" s="1018"/>
      <c r="F319" s="1018"/>
      <c r="G319" s="1018"/>
      <c r="H319" s="1018"/>
      <c r="I319" s="1018"/>
      <c r="J319" s="1018"/>
      <c r="K319" s="1018"/>
      <c r="L319" s="1018"/>
      <c r="M319" s="1057"/>
      <c r="N319" s="1018"/>
      <c r="O319" s="1018"/>
      <c r="P319" s="1018"/>
      <c r="Q319" s="1018"/>
      <c r="R319" s="1018"/>
      <c r="S319" s="1018"/>
      <c r="T319" s="1019"/>
      <c r="U319" s="1098" t="s">
        <v>3291</v>
      </c>
      <c r="V319" s="1099" t="s">
        <v>3119</v>
      </c>
      <c r="W319" s="1099" t="s">
        <v>3262</v>
      </c>
      <c r="X319" s="1100" t="s">
        <v>3292</v>
      </c>
      <c r="Y319" s="1101" t="s">
        <v>3293</v>
      </c>
      <c r="Z319" s="1102" t="s">
        <v>3294</v>
      </c>
      <c r="AA319" s="1103">
        <v>1</v>
      </c>
      <c r="AB319" s="1104" t="s">
        <v>1942</v>
      </c>
      <c r="AC319" s="1104" t="s">
        <v>1942</v>
      </c>
      <c r="AD319" s="1104" t="s">
        <v>1942</v>
      </c>
      <c r="AE319" s="1104" t="s">
        <v>1942</v>
      </c>
      <c r="AF319" s="1104" t="s">
        <v>1942</v>
      </c>
      <c r="AG319" s="1104" t="s">
        <v>1942</v>
      </c>
      <c r="AH319" s="1104" t="s">
        <v>1942</v>
      </c>
      <c r="AI319" s="1105">
        <f t="shared" si="4"/>
        <v>1</v>
      </c>
      <c r="AJ319" s="1106" t="s">
        <v>1007</v>
      </c>
      <c r="AK319" s="1106" t="s">
        <v>4850</v>
      </c>
      <c r="AL319" s="1106" t="s">
        <v>4850</v>
      </c>
      <c r="AM319" s="1107" t="s">
        <v>2106</v>
      </c>
      <c r="AN319" s="1018" t="s">
        <v>1033</v>
      </c>
      <c r="AO319" s="1018" t="s">
        <v>3081</v>
      </c>
      <c r="AP319" s="1274">
        <v>0</v>
      </c>
      <c r="AQ319" s="1076" t="s">
        <v>1020</v>
      </c>
      <c r="AR319" s="1109" t="s">
        <v>1942</v>
      </c>
      <c r="AS319" s="1110"/>
      <c r="AT319" s="1100"/>
      <c r="AU319" s="1100"/>
      <c r="AV319" s="1100"/>
      <c r="AW319" s="1111"/>
      <c r="AX319" s="1112"/>
      <c r="AY319" s="1075"/>
      <c r="AZ319" s="1076"/>
      <c r="BA319" s="1076"/>
      <c r="BB319" s="1076"/>
      <c r="BC319" s="1076"/>
      <c r="BD319" s="1076"/>
      <c r="BE319" s="1076"/>
      <c r="BF319" s="1076"/>
      <c r="BG319" s="1076"/>
      <c r="BH319" s="1076"/>
      <c r="BI319" s="1420"/>
      <c r="BJ319" s="1368"/>
      <c r="BK319" s="1368"/>
      <c r="BL319" s="1368"/>
      <c r="BM319" s="1368"/>
      <c r="BN319" s="1075"/>
      <c r="BO319" s="1076"/>
      <c r="BP319" s="1076"/>
      <c r="BQ319" s="1076"/>
      <c r="BR319" s="1076"/>
      <c r="BS319" s="1115"/>
      <c r="BT319" s="1076"/>
      <c r="BU319" s="1076"/>
      <c r="BV319" s="1076"/>
      <c r="BW319" s="1116"/>
      <c r="BX319" s="1115"/>
      <c r="BY319" s="1076"/>
      <c r="BZ319" s="1076"/>
      <c r="CA319" s="1076"/>
      <c r="CB319" s="1116"/>
      <c r="CC319" s="1117"/>
      <c r="CD319" s="1376"/>
      <c r="CE319" s="1377"/>
      <c r="CF319" s="1377"/>
      <c r="CG319" s="1377"/>
      <c r="CH319" s="1440"/>
      <c r="CI319" s="1420"/>
      <c r="CJ319" s="1368"/>
      <c r="CK319" s="1368"/>
      <c r="CL319" s="1368"/>
      <c r="CM319" s="1369"/>
      <c r="CN319" s="1420"/>
      <c r="CO319" s="1368"/>
      <c r="CP319" s="1368"/>
      <c r="CQ319" s="1368"/>
      <c r="CR319" s="1369"/>
      <c r="CS319" s="1420"/>
      <c r="CT319" s="1368"/>
      <c r="CU319" s="1368"/>
      <c r="CV319" s="1368"/>
      <c r="CW319" s="1369"/>
      <c r="CX319" s="1420"/>
      <c r="CY319" s="1368"/>
      <c r="CZ319" s="1368"/>
      <c r="DA319" s="1368"/>
      <c r="DB319" s="1369"/>
      <c r="DC319" s="1368"/>
      <c r="DD319" s="1368"/>
      <c r="DE319" s="1368"/>
      <c r="DF319" s="1368"/>
      <c r="DG319" s="1369"/>
      <c r="DH319" s="1420"/>
      <c r="DI319" s="1368"/>
      <c r="DJ319" s="1368"/>
      <c r="DK319" s="1368"/>
      <c r="DL319" s="1369"/>
      <c r="DM319" s="1808"/>
      <c r="DN319" s="1809"/>
      <c r="DO319" s="1809"/>
      <c r="DP319" s="1810"/>
      <c r="DQ319" s="1809"/>
      <c r="DR319" s="1809"/>
      <c r="DS319" s="1809"/>
      <c r="DT319" s="1810"/>
      <c r="DU319" s="1377"/>
      <c r="DV319" s="1729"/>
      <c r="DW319" s="1811"/>
    </row>
    <row r="320" spans="1:127" s="397" customFormat="1" ht="15.75" customHeight="1">
      <c r="A320" s="1097" t="s">
        <v>1038</v>
      </c>
      <c r="B320" s="1057">
        <v>311</v>
      </c>
      <c r="C320" s="1018"/>
      <c r="D320" s="1018"/>
      <c r="E320" s="1018"/>
      <c r="F320" s="1018"/>
      <c r="G320" s="1018"/>
      <c r="H320" s="1018"/>
      <c r="I320" s="1018"/>
      <c r="J320" s="1018"/>
      <c r="K320" s="1018"/>
      <c r="L320" s="1018"/>
      <c r="M320" s="1057"/>
      <c r="N320" s="1018"/>
      <c r="O320" s="1018"/>
      <c r="P320" s="1018"/>
      <c r="Q320" s="1018"/>
      <c r="R320" s="1018"/>
      <c r="S320" s="1018"/>
      <c r="T320" s="1019"/>
      <c r="U320" s="1098" t="s">
        <v>3295</v>
      </c>
      <c r="V320" s="1099" t="s">
        <v>3282</v>
      </c>
      <c r="W320" s="1099" t="s">
        <v>3262</v>
      </c>
      <c r="X320" s="1100" t="s">
        <v>3296</v>
      </c>
      <c r="Y320" s="1101" t="s">
        <v>2171</v>
      </c>
      <c r="Z320" s="1102" t="s">
        <v>3297</v>
      </c>
      <c r="AA320" s="1103" t="s">
        <v>1942</v>
      </c>
      <c r="AB320" s="1104" t="s">
        <v>1942</v>
      </c>
      <c r="AC320" s="1104" t="s">
        <v>1942</v>
      </c>
      <c r="AD320" s="1104" t="s">
        <v>1942</v>
      </c>
      <c r="AE320" s="1104">
        <v>1</v>
      </c>
      <c r="AF320" s="1104" t="s">
        <v>1942</v>
      </c>
      <c r="AG320" s="1104" t="s">
        <v>1942</v>
      </c>
      <c r="AH320" s="1104" t="s">
        <v>1942</v>
      </c>
      <c r="AI320" s="1105">
        <f t="shared" si="4"/>
        <v>1</v>
      </c>
      <c r="AJ320" s="1106" t="s">
        <v>1007</v>
      </c>
      <c r="AK320" s="1106" t="s">
        <v>1942</v>
      </c>
      <c r="AL320" s="1106" t="s">
        <v>1942</v>
      </c>
      <c r="AM320" s="1107" t="s">
        <v>2400</v>
      </c>
      <c r="AN320" s="1018" t="s">
        <v>278</v>
      </c>
      <c r="AO320" s="1018" t="s">
        <v>3298</v>
      </c>
      <c r="AP320" s="1274">
        <v>0</v>
      </c>
      <c r="AQ320" s="1076" t="s">
        <v>1010</v>
      </c>
      <c r="AR320" s="1109" t="s">
        <v>1942</v>
      </c>
      <c r="AS320" s="1110"/>
      <c r="AT320" s="1100"/>
      <c r="AU320" s="1100"/>
      <c r="AV320" s="1100"/>
      <c r="AW320" s="1111"/>
      <c r="AX320" s="1112"/>
      <c r="AY320" s="1075"/>
      <c r="AZ320" s="1076"/>
      <c r="BA320" s="1076"/>
      <c r="BB320" s="1076"/>
      <c r="BC320" s="1076"/>
      <c r="BD320" s="1076"/>
      <c r="BE320" s="1076"/>
      <c r="BF320" s="1076"/>
      <c r="BG320" s="1076"/>
      <c r="BH320" s="1076"/>
      <c r="BI320" s="1420"/>
      <c r="BJ320" s="1368"/>
      <c r="BK320" s="1368"/>
      <c r="BL320" s="1368"/>
      <c r="BM320" s="1368"/>
      <c r="BN320" s="1075"/>
      <c r="BO320" s="1076"/>
      <c r="BP320" s="1076"/>
      <c r="BQ320" s="1076"/>
      <c r="BR320" s="1076"/>
      <c r="BS320" s="1115"/>
      <c r="BT320" s="1076"/>
      <c r="BU320" s="1076"/>
      <c r="BV320" s="1076"/>
      <c r="BW320" s="1116"/>
      <c r="BX320" s="1115"/>
      <c r="BY320" s="1076"/>
      <c r="BZ320" s="1076"/>
      <c r="CA320" s="1076"/>
      <c r="CB320" s="1116"/>
      <c r="CC320" s="1117"/>
      <c r="CD320" s="1376"/>
      <c r="CE320" s="1377"/>
      <c r="CF320" s="1377"/>
      <c r="CG320" s="1377"/>
      <c r="CH320" s="1440"/>
      <c r="CI320" s="1420"/>
      <c r="CJ320" s="1368"/>
      <c r="CK320" s="1368"/>
      <c r="CL320" s="1368"/>
      <c r="CM320" s="1369"/>
      <c r="CN320" s="1420"/>
      <c r="CO320" s="1368"/>
      <c r="CP320" s="1368"/>
      <c r="CQ320" s="1368"/>
      <c r="CR320" s="1369"/>
      <c r="CS320" s="1420"/>
      <c r="CT320" s="1368"/>
      <c r="CU320" s="1368"/>
      <c r="CV320" s="1368"/>
      <c r="CW320" s="1369"/>
      <c r="CX320" s="1420"/>
      <c r="CY320" s="1368"/>
      <c r="CZ320" s="1368"/>
      <c r="DA320" s="1368"/>
      <c r="DB320" s="1369"/>
      <c r="DC320" s="1368"/>
      <c r="DD320" s="1368"/>
      <c r="DE320" s="1368"/>
      <c r="DF320" s="1368"/>
      <c r="DG320" s="1369"/>
      <c r="DH320" s="1420"/>
      <c r="DI320" s="1368"/>
      <c r="DJ320" s="1368"/>
      <c r="DK320" s="1368"/>
      <c r="DL320" s="1369"/>
      <c r="DM320" s="1808"/>
      <c r="DN320" s="1809"/>
      <c r="DO320" s="1809"/>
      <c r="DP320" s="1810"/>
      <c r="DQ320" s="1809"/>
      <c r="DR320" s="1809"/>
      <c r="DS320" s="1809"/>
      <c r="DT320" s="1810"/>
      <c r="DU320" s="1377"/>
      <c r="DV320" s="1729"/>
      <c r="DW320" s="1811"/>
    </row>
    <row r="321" spans="1:127" s="397" customFormat="1" ht="15.75" customHeight="1">
      <c r="A321" s="1097" t="s">
        <v>1038</v>
      </c>
      <c r="B321" s="1057">
        <v>312</v>
      </c>
      <c r="C321" s="1018"/>
      <c r="D321" s="1018"/>
      <c r="E321" s="1018"/>
      <c r="F321" s="1018"/>
      <c r="G321" s="1018"/>
      <c r="H321" s="1018"/>
      <c r="I321" s="1018"/>
      <c r="J321" s="1018"/>
      <c r="K321" s="1018"/>
      <c r="L321" s="1018"/>
      <c r="M321" s="1057"/>
      <c r="N321" s="1018"/>
      <c r="O321" s="1018"/>
      <c r="P321" s="1018"/>
      <c r="Q321" s="1018"/>
      <c r="R321" s="1018"/>
      <c r="S321" s="1018"/>
      <c r="T321" s="1019"/>
      <c r="U321" s="1098" t="s">
        <v>3299</v>
      </c>
      <c r="V321" s="1099" t="s">
        <v>3184</v>
      </c>
      <c r="W321" s="1099" t="s">
        <v>3095</v>
      </c>
      <c r="X321" s="1100" t="s">
        <v>3300</v>
      </c>
      <c r="Y321" s="1101" t="s">
        <v>703</v>
      </c>
      <c r="Z321" s="1102" t="s">
        <v>3301</v>
      </c>
      <c r="AA321" s="1103" t="s">
        <v>1942</v>
      </c>
      <c r="AB321" s="1104" t="s">
        <v>1942</v>
      </c>
      <c r="AC321" s="1104" t="s">
        <v>1942</v>
      </c>
      <c r="AD321" s="1104" t="s">
        <v>1942</v>
      </c>
      <c r="AE321" s="1104">
        <v>1</v>
      </c>
      <c r="AF321" s="1104" t="s">
        <v>1942</v>
      </c>
      <c r="AG321" s="1104" t="s">
        <v>1942</v>
      </c>
      <c r="AH321" s="1104" t="s">
        <v>1942</v>
      </c>
      <c r="AI321" s="1105">
        <f t="shared" si="4"/>
        <v>1</v>
      </c>
      <c r="AJ321" s="1106" t="s">
        <v>1007</v>
      </c>
      <c r="AK321" s="1106" t="s">
        <v>1942</v>
      </c>
      <c r="AL321" s="1106" t="s">
        <v>1942</v>
      </c>
      <c r="AM321" s="1107" t="s">
        <v>1947</v>
      </c>
      <c r="AN321" s="1018" t="s">
        <v>278</v>
      </c>
      <c r="AO321" s="1018" t="s">
        <v>4799</v>
      </c>
      <c r="AP321" s="1307">
        <v>1</v>
      </c>
      <c r="AQ321" s="1076" t="s">
        <v>1010</v>
      </c>
      <c r="AR321" s="1109" t="s">
        <v>703</v>
      </c>
      <c r="AS321" s="1110"/>
      <c r="AT321" s="1100"/>
      <c r="AU321" s="1100"/>
      <c r="AV321" s="1100"/>
      <c r="AW321" s="1111"/>
      <c r="AX321" s="1112"/>
      <c r="AY321" s="1075"/>
      <c r="AZ321" s="1076"/>
      <c r="BA321" s="1076"/>
      <c r="BB321" s="1076"/>
      <c r="BC321" s="1076"/>
      <c r="BD321" s="1076"/>
      <c r="BE321" s="1076"/>
      <c r="BF321" s="1076"/>
      <c r="BG321" s="1076"/>
      <c r="BH321" s="1076"/>
      <c r="BI321" s="1075" t="s">
        <v>4835</v>
      </c>
      <c r="BJ321" s="1076" t="s">
        <v>4854</v>
      </c>
      <c r="BK321" s="1076" t="s">
        <v>4855</v>
      </c>
      <c r="BL321" s="1076" t="s">
        <v>4803</v>
      </c>
      <c r="BM321" s="1076" t="s">
        <v>4822</v>
      </c>
      <c r="BN321" s="1075"/>
      <c r="BO321" s="1076"/>
      <c r="BP321" s="1076"/>
      <c r="BQ321" s="1076"/>
      <c r="BR321" s="1076"/>
      <c r="BS321" s="1115"/>
      <c r="BT321" s="1076"/>
      <c r="BU321" s="1076"/>
      <c r="BV321" s="1076"/>
      <c r="BW321" s="1116"/>
      <c r="BX321" s="1115"/>
      <c r="BY321" s="1076"/>
      <c r="BZ321" s="1076"/>
      <c r="CA321" s="1076"/>
      <c r="CB321" s="1116"/>
      <c r="CC321" s="1117"/>
      <c r="CD321" s="1118" t="s">
        <v>1942</v>
      </c>
      <c r="CE321" s="1119" t="s">
        <v>1942</v>
      </c>
      <c r="CF321" s="1119" t="s">
        <v>1942</v>
      </c>
      <c r="CG321" s="1119" t="s">
        <v>1942</v>
      </c>
      <c r="CH321" s="1120" t="s">
        <v>1942</v>
      </c>
      <c r="CI321" s="1075" t="s">
        <v>1942</v>
      </c>
      <c r="CJ321" s="1076" t="s">
        <v>1942</v>
      </c>
      <c r="CK321" s="1076" t="s">
        <v>1942</v>
      </c>
      <c r="CL321" s="1076" t="s">
        <v>1942</v>
      </c>
      <c r="CM321" s="1117" t="s">
        <v>1942</v>
      </c>
      <c r="CN321" s="1075" t="s">
        <v>1942</v>
      </c>
      <c r="CO321" s="1076" t="s">
        <v>1942</v>
      </c>
      <c r="CP321" s="1076" t="s">
        <v>1942</v>
      </c>
      <c r="CQ321" s="1076" t="s">
        <v>1942</v>
      </c>
      <c r="CR321" s="1117" t="s">
        <v>1942</v>
      </c>
      <c r="CS321" s="1075" t="s">
        <v>1942</v>
      </c>
      <c r="CT321" s="1076" t="s">
        <v>1942</v>
      </c>
      <c r="CU321" s="1076" t="s">
        <v>1942</v>
      </c>
      <c r="CV321" s="1076" t="s">
        <v>1942</v>
      </c>
      <c r="CW321" s="1117" t="s">
        <v>1942</v>
      </c>
      <c r="CX321" s="1075" t="s">
        <v>1942</v>
      </c>
      <c r="CY321" s="1076" t="s">
        <v>1942</v>
      </c>
      <c r="CZ321" s="1076" t="s">
        <v>1942</v>
      </c>
      <c r="DA321" s="1076" t="s">
        <v>1942</v>
      </c>
      <c r="DB321" s="1117" t="s">
        <v>1942</v>
      </c>
      <c r="DC321" s="1076" t="s">
        <v>1942</v>
      </c>
      <c r="DD321" s="1076" t="s">
        <v>1942</v>
      </c>
      <c r="DE321" s="1076" t="s">
        <v>1942</v>
      </c>
      <c r="DF321" s="1076" t="s">
        <v>1942</v>
      </c>
      <c r="DG321" s="1117" t="s">
        <v>1942</v>
      </c>
      <c r="DH321" s="1075" t="s">
        <v>1942</v>
      </c>
      <c r="DI321" s="1076" t="s">
        <v>1942</v>
      </c>
      <c r="DJ321" s="1076" t="s">
        <v>1942</v>
      </c>
      <c r="DK321" s="1076" t="s">
        <v>1942</v>
      </c>
      <c r="DL321" s="1117" t="s">
        <v>1942</v>
      </c>
      <c r="DM321" s="1121" t="s">
        <v>1942</v>
      </c>
      <c r="DN321" s="1122" t="s">
        <v>1942</v>
      </c>
      <c r="DO321" s="1122" t="s">
        <v>1942</v>
      </c>
      <c r="DP321" s="1123" t="s">
        <v>1942</v>
      </c>
      <c r="DQ321" s="1122" t="s">
        <v>1942</v>
      </c>
      <c r="DR321" s="1122" t="s">
        <v>1942</v>
      </c>
      <c r="DS321" s="1122" t="s">
        <v>1942</v>
      </c>
      <c r="DT321" s="1123" t="s">
        <v>1942</v>
      </c>
      <c r="DU321" s="1119" t="s">
        <v>1942</v>
      </c>
      <c r="DV321" s="1124">
        <v>1</v>
      </c>
      <c r="DW321" s="1125" t="s">
        <v>1942</v>
      </c>
    </row>
    <row r="322" spans="1:127" s="397" customFormat="1" ht="15.75" customHeight="1">
      <c r="A322" s="1097" t="s">
        <v>1038</v>
      </c>
      <c r="B322" s="1057">
        <v>313</v>
      </c>
      <c r="C322" s="1018"/>
      <c r="D322" s="1018"/>
      <c r="E322" s="1018"/>
      <c r="F322" s="1018"/>
      <c r="G322" s="1018"/>
      <c r="H322" s="1018"/>
      <c r="I322" s="1018"/>
      <c r="J322" s="1018"/>
      <c r="K322" s="1018"/>
      <c r="L322" s="1018"/>
      <c r="M322" s="1057"/>
      <c r="N322" s="1018"/>
      <c r="O322" s="1018"/>
      <c r="P322" s="1018"/>
      <c r="Q322" s="1018"/>
      <c r="R322" s="1018"/>
      <c r="S322" s="1018"/>
      <c r="T322" s="1019"/>
      <c r="U322" s="1098" t="s">
        <v>3303</v>
      </c>
      <c r="V322" s="1099" t="s">
        <v>3155</v>
      </c>
      <c r="W322" s="1099" t="s">
        <v>3095</v>
      </c>
      <c r="X322" s="1100" t="s">
        <v>3304</v>
      </c>
      <c r="Y322" s="1101" t="s">
        <v>3305</v>
      </c>
      <c r="Z322" s="1102" t="s">
        <v>3306</v>
      </c>
      <c r="AA322" s="1103" t="s">
        <v>1942</v>
      </c>
      <c r="AB322" s="1104">
        <v>1</v>
      </c>
      <c r="AC322" s="1104" t="s">
        <v>1942</v>
      </c>
      <c r="AD322" s="1104" t="s">
        <v>1942</v>
      </c>
      <c r="AE322" s="1104" t="s">
        <v>1942</v>
      </c>
      <c r="AF322" s="1104" t="s">
        <v>1942</v>
      </c>
      <c r="AG322" s="1104" t="s">
        <v>1942</v>
      </c>
      <c r="AH322" s="1104" t="s">
        <v>1942</v>
      </c>
      <c r="AI322" s="1105">
        <f t="shared" si="4"/>
        <v>1</v>
      </c>
      <c r="AJ322" s="1106" t="s">
        <v>1026</v>
      </c>
      <c r="AK322" s="1106" t="s">
        <v>1008</v>
      </c>
      <c r="AL322" s="1106" t="s">
        <v>4853</v>
      </c>
      <c r="AM322" s="1107" t="s">
        <v>1910</v>
      </c>
      <c r="AN322" s="1018" t="s">
        <v>1025</v>
      </c>
      <c r="AO322" s="1018" t="s">
        <v>2320</v>
      </c>
      <c r="AP322" s="1274">
        <v>0</v>
      </c>
      <c r="AQ322" s="1076" t="s">
        <v>1020</v>
      </c>
      <c r="AR322" s="1109" t="s">
        <v>1942</v>
      </c>
      <c r="AS322" s="1110"/>
      <c r="AT322" s="1100"/>
      <c r="AU322" s="1100"/>
      <c r="AV322" s="1100"/>
      <c r="AW322" s="1111"/>
      <c r="AX322" s="1112"/>
      <c r="AY322" s="1075"/>
      <c r="AZ322" s="1076"/>
      <c r="BA322" s="1076"/>
      <c r="BB322" s="1076"/>
      <c r="BC322" s="1076"/>
      <c r="BD322" s="1076"/>
      <c r="BE322" s="1076"/>
      <c r="BF322" s="1076"/>
      <c r="BG322" s="1076"/>
      <c r="BH322" s="1076"/>
      <c r="BI322" s="1420"/>
      <c r="BJ322" s="1368"/>
      <c r="BK322" s="1368"/>
      <c r="BL322" s="1368"/>
      <c r="BM322" s="1368"/>
      <c r="BN322" s="1075"/>
      <c r="BO322" s="1076"/>
      <c r="BP322" s="1076"/>
      <c r="BQ322" s="1076"/>
      <c r="BR322" s="1076"/>
      <c r="BS322" s="1115"/>
      <c r="BT322" s="1076"/>
      <c r="BU322" s="1076"/>
      <c r="BV322" s="1076"/>
      <c r="BW322" s="1116"/>
      <c r="BX322" s="1115"/>
      <c r="BY322" s="1076"/>
      <c r="BZ322" s="1076"/>
      <c r="CA322" s="1076"/>
      <c r="CB322" s="1116"/>
      <c r="CC322" s="1117"/>
      <c r="CD322" s="1376"/>
      <c r="CE322" s="1377"/>
      <c r="CF322" s="1377"/>
      <c r="CG322" s="1377"/>
      <c r="CH322" s="1440"/>
      <c r="CI322" s="1420"/>
      <c r="CJ322" s="1368"/>
      <c r="CK322" s="1368"/>
      <c r="CL322" s="1368"/>
      <c r="CM322" s="1369"/>
      <c r="CN322" s="1420"/>
      <c r="CO322" s="1368"/>
      <c r="CP322" s="1368"/>
      <c r="CQ322" s="1368"/>
      <c r="CR322" s="1369"/>
      <c r="CS322" s="1420"/>
      <c r="CT322" s="1368"/>
      <c r="CU322" s="1368"/>
      <c r="CV322" s="1368"/>
      <c r="CW322" s="1369"/>
      <c r="CX322" s="1420"/>
      <c r="CY322" s="1368"/>
      <c r="CZ322" s="1368"/>
      <c r="DA322" s="1368"/>
      <c r="DB322" s="1369"/>
      <c r="DC322" s="1368"/>
      <c r="DD322" s="1368"/>
      <c r="DE322" s="1368"/>
      <c r="DF322" s="1368"/>
      <c r="DG322" s="1369"/>
      <c r="DH322" s="1420"/>
      <c r="DI322" s="1368"/>
      <c r="DJ322" s="1368"/>
      <c r="DK322" s="1368"/>
      <c r="DL322" s="1369"/>
      <c r="DM322" s="1808"/>
      <c r="DN322" s="1809"/>
      <c r="DO322" s="1809"/>
      <c r="DP322" s="1810"/>
      <c r="DQ322" s="1809"/>
      <c r="DR322" s="1809"/>
      <c r="DS322" s="1809"/>
      <c r="DT322" s="1810"/>
      <c r="DU322" s="1377"/>
      <c r="DV322" s="1729"/>
      <c r="DW322" s="1811"/>
    </row>
    <row r="323" spans="1:127" s="397" customFormat="1" ht="15.75" customHeight="1">
      <c r="A323" s="1097" t="s">
        <v>1038</v>
      </c>
      <c r="B323" s="1057">
        <v>314</v>
      </c>
      <c r="C323" s="1018"/>
      <c r="D323" s="1018"/>
      <c r="E323" s="1018"/>
      <c r="F323" s="1018"/>
      <c r="G323" s="1018"/>
      <c r="H323" s="1018"/>
      <c r="I323" s="1018"/>
      <c r="J323" s="1018"/>
      <c r="K323" s="1018"/>
      <c r="L323" s="1018"/>
      <c r="M323" s="1057"/>
      <c r="N323" s="1018"/>
      <c r="O323" s="1018"/>
      <c r="P323" s="1018"/>
      <c r="Q323" s="1018"/>
      <c r="R323" s="1018"/>
      <c r="S323" s="1018"/>
      <c r="T323" s="1019"/>
      <c r="U323" s="1098" t="s">
        <v>3307</v>
      </c>
      <c r="V323" s="1099" t="s">
        <v>1942</v>
      </c>
      <c r="W323" s="1099" t="s">
        <v>1942</v>
      </c>
      <c r="X323" s="1100" t="s">
        <v>3308</v>
      </c>
      <c r="Y323" s="1101" t="s">
        <v>3309</v>
      </c>
      <c r="Z323" s="1102" t="s">
        <v>1942</v>
      </c>
      <c r="AA323" s="1103">
        <v>1</v>
      </c>
      <c r="AB323" s="1104" t="s">
        <v>1942</v>
      </c>
      <c r="AC323" s="1104" t="s">
        <v>1942</v>
      </c>
      <c r="AD323" s="1104" t="s">
        <v>1942</v>
      </c>
      <c r="AE323" s="1104" t="s">
        <v>1942</v>
      </c>
      <c r="AF323" s="1104" t="s">
        <v>1942</v>
      </c>
      <c r="AG323" s="1104" t="s">
        <v>1942</v>
      </c>
      <c r="AH323" s="1104" t="s">
        <v>1942</v>
      </c>
      <c r="AI323" s="1105">
        <f t="shared" si="4"/>
        <v>1</v>
      </c>
      <c r="AJ323" s="1106" t="s">
        <v>1026</v>
      </c>
      <c r="AK323" s="1106" t="s">
        <v>1008</v>
      </c>
      <c r="AL323" s="1106" t="s">
        <v>1009</v>
      </c>
      <c r="AM323" s="1107" t="s">
        <v>1942</v>
      </c>
      <c r="AN323" s="1018" t="s">
        <v>278</v>
      </c>
      <c r="AO323" s="1018" t="s">
        <v>3310</v>
      </c>
      <c r="AP323" s="1274">
        <v>1</v>
      </c>
      <c r="AQ323" s="1076" t="s">
        <v>1010</v>
      </c>
      <c r="AR323" s="1109" t="s">
        <v>1942</v>
      </c>
      <c r="AS323" s="1110"/>
      <c r="AT323" s="1100"/>
      <c r="AU323" s="1100"/>
      <c r="AV323" s="1100"/>
      <c r="AW323" s="1111"/>
      <c r="AX323" s="1112"/>
      <c r="AY323" s="1075"/>
      <c r="AZ323" s="1076"/>
      <c r="BA323" s="1076"/>
      <c r="BB323" s="1076"/>
      <c r="BC323" s="1076"/>
      <c r="BD323" s="1076"/>
      <c r="BE323" s="1076"/>
      <c r="BF323" s="1076"/>
      <c r="BG323" s="1076"/>
      <c r="BH323" s="1076"/>
      <c r="BI323" s="1420"/>
      <c r="BJ323" s="1368"/>
      <c r="BK323" s="1368"/>
      <c r="BL323" s="1368"/>
      <c r="BM323" s="1368"/>
      <c r="BN323" s="1075"/>
      <c r="BO323" s="1076"/>
      <c r="BP323" s="1076"/>
      <c r="BQ323" s="1076"/>
      <c r="BR323" s="1076"/>
      <c r="BS323" s="1115"/>
      <c r="BT323" s="1076"/>
      <c r="BU323" s="1076"/>
      <c r="BV323" s="1076"/>
      <c r="BW323" s="1116"/>
      <c r="BX323" s="1115"/>
      <c r="BY323" s="1076"/>
      <c r="BZ323" s="1076"/>
      <c r="CA323" s="1076"/>
      <c r="CB323" s="1116"/>
      <c r="CC323" s="1117"/>
      <c r="CD323" s="1376"/>
      <c r="CE323" s="1377"/>
      <c r="CF323" s="1377"/>
      <c r="CG323" s="1377"/>
      <c r="CH323" s="1440"/>
      <c r="CI323" s="1420"/>
      <c r="CJ323" s="1368"/>
      <c r="CK323" s="1368"/>
      <c r="CL323" s="1368"/>
      <c r="CM323" s="1369"/>
      <c r="CN323" s="1420"/>
      <c r="CO323" s="1368"/>
      <c r="CP323" s="1368"/>
      <c r="CQ323" s="1368"/>
      <c r="CR323" s="1369"/>
      <c r="CS323" s="1420"/>
      <c r="CT323" s="1368"/>
      <c r="CU323" s="1368"/>
      <c r="CV323" s="1368"/>
      <c r="CW323" s="1369"/>
      <c r="CX323" s="1420"/>
      <c r="CY323" s="1368"/>
      <c r="CZ323" s="1368"/>
      <c r="DA323" s="1368"/>
      <c r="DB323" s="1369"/>
      <c r="DC323" s="1368"/>
      <c r="DD323" s="1368"/>
      <c r="DE323" s="1368"/>
      <c r="DF323" s="1368"/>
      <c r="DG323" s="1369"/>
      <c r="DH323" s="1420"/>
      <c r="DI323" s="1368"/>
      <c r="DJ323" s="1368"/>
      <c r="DK323" s="1368"/>
      <c r="DL323" s="1369"/>
      <c r="DM323" s="1808"/>
      <c r="DN323" s="1809"/>
      <c r="DO323" s="1809"/>
      <c r="DP323" s="1810"/>
      <c r="DQ323" s="1809"/>
      <c r="DR323" s="1809"/>
      <c r="DS323" s="1809"/>
      <c r="DT323" s="1810"/>
      <c r="DU323" s="1377"/>
      <c r="DV323" s="1729"/>
      <c r="DW323" s="1811"/>
    </row>
    <row r="324" spans="1:127" s="397" customFormat="1" ht="15.75" customHeight="1">
      <c r="A324" s="1097" t="s">
        <v>1038</v>
      </c>
      <c r="B324" s="1057">
        <v>315</v>
      </c>
      <c r="C324" s="1018"/>
      <c r="D324" s="1018"/>
      <c r="E324" s="1018"/>
      <c r="F324" s="1018"/>
      <c r="G324" s="1018"/>
      <c r="H324" s="1018"/>
      <c r="I324" s="1018"/>
      <c r="J324" s="1018"/>
      <c r="K324" s="1018"/>
      <c r="L324" s="1018"/>
      <c r="M324" s="1057"/>
      <c r="N324" s="1018"/>
      <c r="O324" s="1018"/>
      <c r="P324" s="1018"/>
      <c r="Q324" s="1018"/>
      <c r="R324" s="1018"/>
      <c r="S324" s="1018"/>
      <c r="T324" s="1019"/>
      <c r="U324" s="1098" t="s">
        <v>3311</v>
      </c>
      <c r="V324" s="1099" t="s">
        <v>1942</v>
      </c>
      <c r="W324" s="1099" t="s">
        <v>1942</v>
      </c>
      <c r="X324" s="1100" t="s">
        <v>2032</v>
      </c>
      <c r="Y324" s="1101" t="s">
        <v>2033</v>
      </c>
      <c r="Z324" s="1102" t="s">
        <v>1942</v>
      </c>
      <c r="AA324" s="1103" t="s">
        <v>1942</v>
      </c>
      <c r="AB324" s="1104" t="s">
        <v>1942</v>
      </c>
      <c r="AC324" s="1104" t="s">
        <v>1942</v>
      </c>
      <c r="AD324" s="1104" t="s">
        <v>1942</v>
      </c>
      <c r="AE324" s="1104" t="s">
        <v>1942</v>
      </c>
      <c r="AF324" s="1104" t="s">
        <v>1942</v>
      </c>
      <c r="AG324" s="1104" t="s">
        <v>1942</v>
      </c>
      <c r="AH324" s="1104" t="s">
        <v>1942</v>
      </c>
      <c r="AI324" s="1105">
        <f t="shared" si="4"/>
        <v>0</v>
      </c>
      <c r="AJ324" s="1106" t="s">
        <v>1007</v>
      </c>
      <c r="AK324" s="1106" t="s">
        <v>1942</v>
      </c>
      <c r="AL324" s="1106" t="s">
        <v>1942</v>
      </c>
      <c r="AM324" s="1107" t="s">
        <v>1942</v>
      </c>
      <c r="AN324" s="1018" t="s">
        <v>1942</v>
      </c>
      <c r="AO324" s="1018" t="s">
        <v>2034</v>
      </c>
      <c r="AP324" s="1274">
        <v>0</v>
      </c>
      <c r="AQ324" s="1076" t="s">
        <v>1942</v>
      </c>
      <c r="AR324" s="1109" t="s">
        <v>1942</v>
      </c>
      <c r="AS324" s="1110"/>
      <c r="AT324" s="1100"/>
      <c r="AU324" s="1100"/>
      <c r="AV324" s="1100"/>
      <c r="AW324" s="1111"/>
      <c r="AX324" s="1112"/>
      <c r="AY324" s="1075"/>
      <c r="AZ324" s="1076"/>
      <c r="BA324" s="1076"/>
      <c r="BB324" s="1076"/>
      <c r="BC324" s="1076"/>
      <c r="BD324" s="1076"/>
      <c r="BE324" s="1076"/>
      <c r="BF324" s="1076"/>
      <c r="BG324" s="1076"/>
      <c r="BH324" s="1076"/>
      <c r="BI324" s="1420"/>
      <c r="BJ324" s="1368"/>
      <c r="BK324" s="1368"/>
      <c r="BL324" s="1368"/>
      <c r="BM324" s="1368"/>
      <c r="BN324" s="1075"/>
      <c r="BO324" s="1076"/>
      <c r="BP324" s="1076"/>
      <c r="BQ324" s="1076"/>
      <c r="BR324" s="1076"/>
      <c r="BS324" s="1115"/>
      <c r="BT324" s="1076"/>
      <c r="BU324" s="1076"/>
      <c r="BV324" s="1076"/>
      <c r="BW324" s="1116"/>
      <c r="BX324" s="1115"/>
      <c r="BY324" s="1076"/>
      <c r="BZ324" s="1076"/>
      <c r="CA324" s="1076"/>
      <c r="CB324" s="1116"/>
      <c r="CC324" s="1117"/>
      <c r="CD324" s="1376"/>
      <c r="CE324" s="1377"/>
      <c r="CF324" s="1377"/>
      <c r="CG324" s="1377"/>
      <c r="CH324" s="1440"/>
      <c r="CI324" s="1420"/>
      <c r="CJ324" s="1368"/>
      <c r="CK324" s="1368"/>
      <c r="CL324" s="1368"/>
      <c r="CM324" s="1369"/>
      <c r="CN324" s="1420"/>
      <c r="CO324" s="1368"/>
      <c r="CP324" s="1368"/>
      <c r="CQ324" s="1368"/>
      <c r="CR324" s="1369"/>
      <c r="CS324" s="1420"/>
      <c r="CT324" s="1368"/>
      <c r="CU324" s="1368"/>
      <c r="CV324" s="1368"/>
      <c r="CW324" s="1369"/>
      <c r="CX324" s="1420"/>
      <c r="CY324" s="1368"/>
      <c r="CZ324" s="1368"/>
      <c r="DA324" s="1368"/>
      <c r="DB324" s="1369"/>
      <c r="DC324" s="1368"/>
      <c r="DD324" s="1368"/>
      <c r="DE324" s="1368"/>
      <c r="DF324" s="1368"/>
      <c r="DG324" s="1369"/>
      <c r="DH324" s="1420"/>
      <c r="DI324" s="1368"/>
      <c r="DJ324" s="1368"/>
      <c r="DK324" s="1368"/>
      <c r="DL324" s="1369"/>
      <c r="DM324" s="1808"/>
      <c r="DN324" s="1809"/>
      <c r="DO324" s="1809"/>
      <c r="DP324" s="1810"/>
      <c r="DQ324" s="1809"/>
      <c r="DR324" s="1809"/>
      <c r="DS324" s="1809"/>
      <c r="DT324" s="1810"/>
      <c r="DU324" s="1377"/>
      <c r="DV324" s="1729"/>
      <c r="DW324" s="1811"/>
    </row>
    <row r="325" spans="1:127" s="397" customFormat="1" ht="15.75" hidden="1" customHeight="1">
      <c r="A325" s="1097" t="s">
        <v>1078</v>
      </c>
      <c r="B325" s="1057">
        <v>316</v>
      </c>
      <c r="C325" s="1018"/>
      <c r="D325" s="1018"/>
      <c r="E325" s="1018"/>
      <c r="F325" s="1018"/>
      <c r="G325" s="1018"/>
      <c r="H325" s="1018"/>
      <c r="I325" s="1018"/>
      <c r="J325" s="1018"/>
      <c r="K325" s="1018"/>
      <c r="L325" s="1018"/>
      <c r="M325" s="1057"/>
      <c r="N325" s="1018"/>
      <c r="O325" s="1018"/>
      <c r="P325" s="1018"/>
      <c r="Q325" s="1018"/>
      <c r="R325" s="1018"/>
      <c r="S325" s="1018"/>
      <c r="T325" s="1019"/>
      <c r="U325" s="1098" t="s">
        <v>3312</v>
      </c>
      <c r="V325" s="1099" t="s">
        <v>3313</v>
      </c>
      <c r="W325" s="1099" t="s">
        <v>1907</v>
      </c>
      <c r="X325" s="1100" t="s">
        <v>2333</v>
      </c>
      <c r="Y325" s="1101" t="s">
        <v>1931</v>
      </c>
      <c r="Z325" s="1102" t="s">
        <v>3314</v>
      </c>
      <c r="AA325" s="1103">
        <v>0</v>
      </c>
      <c r="AB325" s="1104">
        <v>0</v>
      </c>
      <c r="AC325" s="1104" t="s">
        <v>1942</v>
      </c>
      <c r="AD325" s="1104" t="s">
        <v>1942</v>
      </c>
      <c r="AE325" s="1104">
        <v>1</v>
      </c>
      <c r="AF325" s="1104" t="s">
        <v>1942</v>
      </c>
      <c r="AG325" s="1104" t="s">
        <v>1942</v>
      </c>
      <c r="AH325" s="1104" t="s">
        <v>1942</v>
      </c>
      <c r="AI325" s="1105">
        <f t="shared" si="4"/>
        <v>1</v>
      </c>
      <c r="AJ325" s="1106" t="s">
        <v>1030</v>
      </c>
      <c r="AK325" s="1106" t="s">
        <v>1008</v>
      </c>
      <c r="AL325" s="1106" t="s">
        <v>1009</v>
      </c>
      <c r="AM325" s="1107" t="s">
        <v>1069</v>
      </c>
      <c r="AN325" s="1018" t="s">
        <v>1081</v>
      </c>
      <c r="AO325" s="1018" t="s">
        <v>3315</v>
      </c>
      <c r="AP325" s="1333">
        <v>2</v>
      </c>
      <c r="AQ325" s="1076" t="s">
        <v>1010</v>
      </c>
      <c r="AR325" s="1109" t="s">
        <v>1931</v>
      </c>
      <c r="AS325" s="1110"/>
      <c r="AT325" s="1100"/>
      <c r="AU325" s="1100"/>
      <c r="AV325" s="1100"/>
      <c r="AW325" s="1111"/>
      <c r="AX325" s="1112"/>
      <c r="AY325" s="1075"/>
      <c r="AZ325" s="1076"/>
      <c r="BA325" s="1076"/>
      <c r="BB325" s="1076"/>
      <c r="BC325" s="1076"/>
      <c r="BD325" s="1076"/>
      <c r="BE325" s="1076"/>
      <c r="BF325" s="1076"/>
      <c r="BG325" s="1076"/>
      <c r="BH325" s="1076"/>
      <c r="BI325" s="1075" t="s">
        <v>4824</v>
      </c>
      <c r="BJ325" s="1076" t="s">
        <v>4824</v>
      </c>
      <c r="BK325" s="1076" t="s">
        <v>4824</v>
      </c>
      <c r="BL325" s="1076" t="s">
        <v>4824</v>
      </c>
      <c r="BM325" s="1076" t="s">
        <v>4824</v>
      </c>
      <c r="BN325" s="1075"/>
      <c r="BO325" s="1076"/>
      <c r="BP325" s="1076"/>
      <c r="BQ325" s="1076"/>
      <c r="BR325" s="1076"/>
      <c r="BS325" s="1115"/>
      <c r="BT325" s="1076"/>
      <c r="BU325" s="1076"/>
      <c r="BV325" s="1076"/>
      <c r="BW325" s="1116"/>
      <c r="BX325" s="1115"/>
      <c r="BY325" s="1076"/>
      <c r="BZ325" s="1076"/>
      <c r="CA325" s="1076"/>
      <c r="CB325" s="1116"/>
      <c r="CC325" s="1117"/>
      <c r="CD325" s="1118" t="s">
        <v>168</v>
      </c>
      <c r="CE325" s="1119" t="s">
        <v>168</v>
      </c>
      <c r="CF325" s="1119" t="s">
        <v>168</v>
      </c>
      <c r="CG325" s="1119" t="s">
        <v>168</v>
      </c>
      <c r="CH325" s="1120" t="s">
        <v>168</v>
      </c>
      <c r="CI325" s="1075" t="s">
        <v>1942</v>
      </c>
      <c r="CJ325" s="1076" t="s">
        <v>1942</v>
      </c>
      <c r="CK325" s="1076" t="s">
        <v>1942</v>
      </c>
      <c r="CL325" s="1076" t="s">
        <v>1942</v>
      </c>
      <c r="CM325" s="1117" t="s">
        <v>1942</v>
      </c>
      <c r="CN325" s="1075" t="s">
        <v>1942</v>
      </c>
      <c r="CO325" s="1076" t="s">
        <v>1942</v>
      </c>
      <c r="CP325" s="1076" t="s">
        <v>1942</v>
      </c>
      <c r="CQ325" s="1076" t="s">
        <v>1942</v>
      </c>
      <c r="CR325" s="1117" t="s">
        <v>1942</v>
      </c>
      <c r="CS325" s="1075" t="s">
        <v>1942</v>
      </c>
      <c r="CT325" s="1076" t="s">
        <v>1942</v>
      </c>
      <c r="CU325" s="1076" t="s">
        <v>1942</v>
      </c>
      <c r="CV325" s="1076" t="s">
        <v>1942</v>
      </c>
      <c r="CW325" s="1117" t="s">
        <v>1942</v>
      </c>
      <c r="CX325" s="1075" t="s">
        <v>1942</v>
      </c>
      <c r="CY325" s="1076" t="s">
        <v>1942</v>
      </c>
      <c r="CZ325" s="1076" t="s">
        <v>1942</v>
      </c>
      <c r="DA325" s="1076" t="s">
        <v>1942</v>
      </c>
      <c r="DB325" s="1117" t="s">
        <v>1942</v>
      </c>
      <c r="DC325" s="1076" t="s">
        <v>1942</v>
      </c>
      <c r="DD325" s="1076" t="s">
        <v>1942</v>
      </c>
      <c r="DE325" s="1076" t="s">
        <v>1942</v>
      </c>
      <c r="DF325" s="1076" t="s">
        <v>1942</v>
      </c>
      <c r="DG325" s="1117" t="s">
        <v>1942</v>
      </c>
      <c r="DH325" s="1075" t="s">
        <v>1942</v>
      </c>
      <c r="DI325" s="1076" t="s">
        <v>1942</v>
      </c>
      <c r="DJ325" s="1076" t="s">
        <v>1942</v>
      </c>
      <c r="DK325" s="1076" t="s">
        <v>1942</v>
      </c>
      <c r="DL325" s="1117" t="s">
        <v>1942</v>
      </c>
      <c r="DM325" s="1121" t="s">
        <v>1942</v>
      </c>
      <c r="DN325" s="1122" t="s">
        <v>1942</v>
      </c>
      <c r="DO325" s="1122" t="s">
        <v>1942</v>
      </c>
      <c r="DP325" s="1123" t="s">
        <v>1942</v>
      </c>
      <c r="DQ325" s="1122" t="s">
        <v>1942</v>
      </c>
      <c r="DR325" s="1122" t="s">
        <v>1942</v>
      </c>
      <c r="DS325" s="1122" t="s">
        <v>1942</v>
      </c>
      <c r="DT325" s="1123" t="s">
        <v>1942</v>
      </c>
      <c r="DU325" s="1119" t="s">
        <v>1942</v>
      </c>
      <c r="DV325" s="1124" t="s">
        <v>1942</v>
      </c>
      <c r="DW325" s="1125" t="s">
        <v>1942</v>
      </c>
    </row>
    <row r="326" spans="1:127" s="397" customFormat="1" ht="15.75" hidden="1" customHeight="1">
      <c r="A326" s="1097" t="s">
        <v>1078</v>
      </c>
      <c r="B326" s="1057">
        <v>317</v>
      </c>
      <c r="C326" s="1018"/>
      <c r="D326" s="1018"/>
      <c r="E326" s="1018"/>
      <c r="F326" s="1018"/>
      <c r="G326" s="1018"/>
      <c r="H326" s="1018"/>
      <c r="I326" s="1018"/>
      <c r="J326" s="1018"/>
      <c r="K326" s="1018"/>
      <c r="L326" s="1018"/>
      <c r="M326" s="1057"/>
      <c r="N326" s="1018"/>
      <c r="O326" s="1018"/>
      <c r="P326" s="1018"/>
      <c r="Q326" s="1018"/>
      <c r="R326" s="1018"/>
      <c r="S326" s="1018"/>
      <c r="T326" s="1019"/>
      <c r="U326" s="1098" t="s">
        <v>3316</v>
      </c>
      <c r="V326" s="1099" t="s">
        <v>3313</v>
      </c>
      <c r="W326" s="1099" t="s">
        <v>1907</v>
      </c>
      <c r="X326" s="1100" t="s">
        <v>2337</v>
      </c>
      <c r="Y326" s="1101" t="s">
        <v>1935</v>
      </c>
      <c r="Z326" s="1102" t="s">
        <v>3317</v>
      </c>
      <c r="AA326" s="1103">
        <v>0</v>
      </c>
      <c r="AB326" s="1104">
        <v>1</v>
      </c>
      <c r="AC326" s="1104" t="s">
        <v>1942</v>
      </c>
      <c r="AD326" s="1104" t="s">
        <v>1942</v>
      </c>
      <c r="AE326" s="1104">
        <v>0</v>
      </c>
      <c r="AF326" s="1104" t="s">
        <v>1942</v>
      </c>
      <c r="AG326" s="1104" t="s">
        <v>1942</v>
      </c>
      <c r="AH326" s="1104" t="s">
        <v>1942</v>
      </c>
      <c r="AI326" s="1105">
        <f t="shared" si="4"/>
        <v>1</v>
      </c>
      <c r="AJ326" s="1106" t="s">
        <v>1030</v>
      </c>
      <c r="AK326" s="1106" t="s">
        <v>1008</v>
      </c>
      <c r="AL326" s="1106" t="s">
        <v>1009</v>
      </c>
      <c r="AM326" s="1107" t="s">
        <v>1073</v>
      </c>
      <c r="AN326" s="1018" t="s">
        <v>1081</v>
      </c>
      <c r="AO326" s="1018" t="s">
        <v>3318</v>
      </c>
      <c r="AP326" s="1333">
        <v>2</v>
      </c>
      <c r="AQ326" s="1076" t="s">
        <v>1010</v>
      </c>
      <c r="AR326" s="1109" t="s">
        <v>1935</v>
      </c>
      <c r="AS326" s="1110"/>
      <c r="AT326" s="1100"/>
      <c r="AU326" s="1100"/>
      <c r="AV326" s="1100"/>
      <c r="AW326" s="1111"/>
      <c r="AX326" s="1112"/>
      <c r="AY326" s="1075"/>
      <c r="AZ326" s="1076"/>
      <c r="BA326" s="1076"/>
      <c r="BB326" s="1076"/>
      <c r="BC326" s="1076"/>
      <c r="BD326" s="1076"/>
      <c r="BE326" s="1076"/>
      <c r="BF326" s="1076"/>
      <c r="BG326" s="1076"/>
      <c r="BH326" s="1076"/>
      <c r="BI326" s="1075" t="s">
        <v>4824</v>
      </c>
      <c r="BJ326" s="1076" t="s">
        <v>4824</v>
      </c>
      <c r="BK326" s="1076" t="s">
        <v>4824</v>
      </c>
      <c r="BL326" s="1076" t="s">
        <v>4824</v>
      </c>
      <c r="BM326" s="1076" t="s">
        <v>4824</v>
      </c>
      <c r="BN326" s="1075"/>
      <c r="BO326" s="1076"/>
      <c r="BP326" s="1076"/>
      <c r="BQ326" s="1076"/>
      <c r="BR326" s="1076"/>
      <c r="BS326" s="1115"/>
      <c r="BT326" s="1076"/>
      <c r="BU326" s="1076"/>
      <c r="BV326" s="1076"/>
      <c r="BW326" s="1116"/>
      <c r="BX326" s="1115"/>
      <c r="BY326" s="1076"/>
      <c r="BZ326" s="1076"/>
      <c r="CA326" s="1076"/>
      <c r="CB326" s="1116"/>
      <c r="CC326" s="1117"/>
      <c r="CD326" s="1118" t="s">
        <v>168</v>
      </c>
      <c r="CE326" s="1119" t="s">
        <v>168</v>
      </c>
      <c r="CF326" s="1119" t="s">
        <v>168</v>
      </c>
      <c r="CG326" s="1119" t="s">
        <v>168</v>
      </c>
      <c r="CH326" s="1120" t="s">
        <v>168</v>
      </c>
      <c r="CI326" s="1075" t="s">
        <v>1942</v>
      </c>
      <c r="CJ326" s="1076" t="s">
        <v>1942</v>
      </c>
      <c r="CK326" s="1076" t="s">
        <v>1942</v>
      </c>
      <c r="CL326" s="1076" t="s">
        <v>1942</v>
      </c>
      <c r="CM326" s="1117" t="s">
        <v>1942</v>
      </c>
      <c r="CN326" s="1075" t="s">
        <v>1942</v>
      </c>
      <c r="CO326" s="1076" t="s">
        <v>1942</v>
      </c>
      <c r="CP326" s="1076" t="s">
        <v>1942</v>
      </c>
      <c r="CQ326" s="1076" t="s">
        <v>1942</v>
      </c>
      <c r="CR326" s="1117" t="s">
        <v>1942</v>
      </c>
      <c r="CS326" s="1075" t="s">
        <v>1942</v>
      </c>
      <c r="CT326" s="1076" t="s">
        <v>1942</v>
      </c>
      <c r="CU326" s="1076" t="s">
        <v>1942</v>
      </c>
      <c r="CV326" s="1076" t="s">
        <v>1942</v>
      </c>
      <c r="CW326" s="1117" t="s">
        <v>1942</v>
      </c>
      <c r="CX326" s="1075" t="s">
        <v>1942</v>
      </c>
      <c r="CY326" s="1076" t="s">
        <v>1942</v>
      </c>
      <c r="CZ326" s="1076" t="s">
        <v>1942</v>
      </c>
      <c r="DA326" s="1076" t="s">
        <v>1942</v>
      </c>
      <c r="DB326" s="1117" t="s">
        <v>1942</v>
      </c>
      <c r="DC326" s="1076" t="s">
        <v>1942</v>
      </c>
      <c r="DD326" s="1076" t="s">
        <v>1942</v>
      </c>
      <c r="DE326" s="1076" t="s">
        <v>1942</v>
      </c>
      <c r="DF326" s="1076" t="s">
        <v>1942</v>
      </c>
      <c r="DG326" s="1117" t="s">
        <v>1942</v>
      </c>
      <c r="DH326" s="1075" t="s">
        <v>1942</v>
      </c>
      <c r="DI326" s="1076" t="s">
        <v>1942</v>
      </c>
      <c r="DJ326" s="1076" t="s">
        <v>1942</v>
      </c>
      <c r="DK326" s="1076" t="s">
        <v>1942</v>
      </c>
      <c r="DL326" s="1117" t="s">
        <v>1942</v>
      </c>
      <c r="DM326" s="1121" t="s">
        <v>1942</v>
      </c>
      <c r="DN326" s="1122" t="s">
        <v>1942</v>
      </c>
      <c r="DO326" s="1122" t="s">
        <v>1942</v>
      </c>
      <c r="DP326" s="1123" t="s">
        <v>1942</v>
      </c>
      <c r="DQ326" s="1122" t="s">
        <v>1942</v>
      </c>
      <c r="DR326" s="1122" t="s">
        <v>1942</v>
      </c>
      <c r="DS326" s="1122" t="s">
        <v>1942</v>
      </c>
      <c r="DT326" s="1123" t="s">
        <v>1942</v>
      </c>
      <c r="DU326" s="1119" t="s">
        <v>1942</v>
      </c>
      <c r="DV326" s="1124">
        <v>1</v>
      </c>
      <c r="DW326" s="1125" t="s">
        <v>1942</v>
      </c>
    </row>
    <row r="327" spans="1:127" s="397" customFormat="1" ht="15.75" hidden="1" customHeight="1">
      <c r="A327" s="1097" t="s">
        <v>1078</v>
      </c>
      <c r="B327" s="1057">
        <v>318</v>
      </c>
      <c r="C327" s="1018"/>
      <c r="D327" s="1018"/>
      <c r="E327" s="1018"/>
      <c r="F327" s="1018"/>
      <c r="G327" s="1018"/>
      <c r="H327" s="1018"/>
      <c r="I327" s="1018"/>
      <c r="J327" s="1018"/>
      <c r="K327" s="1018"/>
      <c r="L327" s="1018"/>
      <c r="M327" s="1057"/>
      <c r="N327" s="1018"/>
      <c r="O327" s="1018"/>
      <c r="P327" s="1018"/>
      <c r="Q327" s="1018"/>
      <c r="R327" s="1018"/>
      <c r="S327" s="1018"/>
      <c r="T327" s="1019"/>
      <c r="U327" s="1098" t="s">
        <v>3319</v>
      </c>
      <c r="V327" s="1099" t="s">
        <v>3313</v>
      </c>
      <c r="W327" s="1099" t="s">
        <v>1907</v>
      </c>
      <c r="X327" s="1100" t="s">
        <v>2342</v>
      </c>
      <c r="Y327" s="1101" t="s">
        <v>3320</v>
      </c>
      <c r="Z327" s="1102" t="s">
        <v>3321</v>
      </c>
      <c r="AA327" s="1103">
        <v>0</v>
      </c>
      <c r="AB327" s="1104">
        <v>1</v>
      </c>
      <c r="AC327" s="1104" t="s">
        <v>1942</v>
      </c>
      <c r="AD327" s="1104" t="s">
        <v>1942</v>
      </c>
      <c r="AE327" s="1104">
        <v>0</v>
      </c>
      <c r="AF327" s="1104" t="s">
        <v>1942</v>
      </c>
      <c r="AG327" s="1104" t="s">
        <v>1942</v>
      </c>
      <c r="AH327" s="1104" t="s">
        <v>1942</v>
      </c>
      <c r="AI327" s="1105">
        <f t="shared" si="4"/>
        <v>1</v>
      </c>
      <c r="AJ327" s="1106" t="s">
        <v>1007</v>
      </c>
      <c r="AK327" s="1106" t="s">
        <v>1942</v>
      </c>
      <c r="AL327" s="1106" t="s">
        <v>1942</v>
      </c>
      <c r="AM327" s="1107" t="s">
        <v>2345</v>
      </c>
      <c r="AN327" s="1018" t="s">
        <v>278</v>
      </c>
      <c r="AO327" s="1018" t="s">
        <v>1146</v>
      </c>
      <c r="AP327" s="1333">
        <v>1</v>
      </c>
      <c r="AQ327" s="1076" t="s">
        <v>1010</v>
      </c>
      <c r="AR327" s="1109" t="s">
        <v>1942</v>
      </c>
      <c r="AS327" s="1110"/>
      <c r="AT327" s="1100"/>
      <c r="AU327" s="1100"/>
      <c r="AV327" s="1100"/>
      <c r="AW327" s="1111"/>
      <c r="AX327" s="1112"/>
      <c r="AY327" s="1075"/>
      <c r="AZ327" s="1076"/>
      <c r="BA327" s="1076"/>
      <c r="BB327" s="1076"/>
      <c r="BC327" s="1076"/>
      <c r="BD327" s="1076"/>
      <c r="BE327" s="1076"/>
      <c r="BF327" s="1076"/>
      <c r="BG327" s="1076"/>
      <c r="BH327" s="1076"/>
      <c r="BI327" s="1420"/>
      <c r="BJ327" s="1368"/>
      <c r="BK327" s="1368"/>
      <c r="BL327" s="1368"/>
      <c r="BM327" s="1368"/>
      <c r="BN327" s="1075"/>
      <c r="BO327" s="1076"/>
      <c r="BP327" s="1076"/>
      <c r="BQ327" s="1076"/>
      <c r="BR327" s="1076"/>
      <c r="BS327" s="1115"/>
      <c r="BT327" s="1076"/>
      <c r="BU327" s="1076"/>
      <c r="BV327" s="1076"/>
      <c r="BW327" s="1116"/>
      <c r="BX327" s="1115"/>
      <c r="BY327" s="1076"/>
      <c r="BZ327" s="1076"/>
      <c r="CA327" s="1076"/>
      <c r="CB327" s="1116"/>
      <c r="CC327" s="1117"/>
      <c r="CD327" s="1376"/>
      <c r="CE327" s="1377"/>
      <c r="CF327" s="1377"/>
      <c r="CG327" s="1377"/>
      <c r="CH327" s="1440"/>
      <c r="CI327" s="1420"/>
      <c r="CJ327" s="1368"/>
      <c r="CK327" s="1368"/>
      <c r="CL327" s="1368"/>
      <c r="CM327" s="1369"/>
      <c r="CN327" s="1420"/>
      <c r="CO327" s="1368"/>
      <c r="CP327" s="1368"/>
      <c r="CQ327" s="1368"/>
      <c r="CR327" s="1369"/>
      <c r="CS327" s="1420"/>
      <c r="CT327" s="1368"/>
      <c r="CU327" s="1368"/>
      <c r="CV327" s="1368"/>
      <c r="CW327" s="1369"/>
      <c r="CX327" s="1420"/>
      <c r="CY327" s="1368"/>
      <c r="CZ327" s="1368"/>
      <c r="DA327" s="1368"/>
      <c r="DB327" s="1369"/>
      <c r="DC327" s="1368"/>
      <c r="DD327" s="1368"/>
      <c r="DE327" s="1368"/>
      <c r="DF327" s="1368"/>
      <c r="DG327" s="1369"/>
      <c r="DH327" s="1420"/>
      <c r="DI327" s="1368"/>
      <c r="DJ327" s="1368"/>
      <c r="DK327" s="1368"/>
      <c r="DL327" s="1369"/>
      <c r="DM327" s="1808"/>
      <c r="DN327" s="1809"/>
      <c r="DO327" s="1809"/>
      <c r="DP327" s="1810"/>
      <c r="DQ327" s="1809"/>
      <c r="DR327" s="1809"/>
      <c r="DS327" s="1809"/>
      <c r="DT327" s="1810"/>
      <c r="DU327" s="1377"/>
      <c r="DV327" s="1729"/>
      <c r="DW327" s="1811"/>
    </row>
    <row r="328" spans="1:127" s="397" customFormat="1" ht="15.75" hidden="1" customHeight="1">
      <c r="A328" s="1097" t="s">
        <v>1078</v>
      </c>
      <c r="B328" s="1057">
        <v>319</v>
      </c>
      <c r="C328" s="1018"/>
      <c r="D328" s="1018"/>
      <c r="E328" s="1018"/>
      <c r="F328" s="1018"/>
      <c r="G328" s="1018"/>
      <c r="H328" s="1018"/>
      <c r="I328" s="1018"/>
      <c r="J328" s="1018"/>
      <c r="K328" s="1018"/>
      <c r="L328" s="1018"/>
      <c r="M328" s="1057"/>
      <c r="N328" s="1018"/>
      <c r="O328" s="1018"/>
      <c r="P328" s="1018"/>
      <c r="Q328" s="1018"/>
      <c r="R328" s="1018"/>
      <c r="S328" s="1018"/>
      <c r="T328" s="1019"/>
      <c r="U328" s="1098" t="s">
        <v>3322</v>
      </c>
      <c r="V328" s="1099" t="s">
        <v>3323</v>
      </c>
      <c r="W328" s="1099" t="s">
        <v>1896</v>
      </c>
      <c r="X328" s="1100" t="s">
        <v>2349</v>
      </c>
      <c r="Y328" s="1101" t="s">
        <v>3324</v>
      </c>
      <c r="Z328" s="1102" t="s">
        <v>3325</v>
      </c>
      <c r="AA328" s="1103">
        <v>0</v>
      </c>
      <c r="AB328" s="1104">
        <v>0</v>
      </c>
      <c r="AC328" s="1104" t="s">
        <v>1942</v>
      </c>
      <c r="AD328" s="1104" t="s">
        <v>1942</v>
      </c>
      <c r="AE328" s="1104">
        <v>1</v>
      </c>
      <c r="AF328" s="1104" t="s">
        <v>1942</v>
      </c>
      <c r="AG328" s="1104" t="s">
        <v>1942</v>
      </c>
      <c r="AH328" s="1104" t="s">
        <v>1942</v>
      </c>
      <c r="AI328" s="1105">
        <f t="shared" si="4"/>
        <v>1</v>
      </c>
      <c r="AJ328" s="1106" t="s">
        <v>1026</v>
      </c>
      <c r="AK328" s="1106" t="s">
        <v>1008</v>
      </c>
      <c r="AL328" s="1106" t="s">
        <v>1009</v>
      </c>
      <c r="AM328" s="1107" t="s">
        <v>2029</v>
      </c>
      <c r="AN328" s="1018" t="s">
        <v>1033</v>
      </c>
      <c r="AO328" s="1018" t="s">
        <v>3326</v>
      </c>
      <c r="AP328" s="1333">
        <v>0</v>
      </c>
      <c r="AQ328" s="1076" t="s">
        <v>1010</v>
      </c>
      <c r="AR328" s="1109" t="s">
        <v>1942</v>
      </c>
      <c r="AS328" s="1110"/>
      <c r="AT328" s="1100"/>
      <c r="AU328" s="1100"/>
      <c r="AV328" s="1100"/>
      <c r="AW328" s="1111"/>
      <c r="AX328" s="1112"/>
      <c r="AY328" s="1075"/>
      <c r="AZ328" s="1076"/>
      <c r="BA328" s="1076"/>
      <c r="BB328" s="1076"/>
      <c r="BC328" s="1076"/>
      <c r="BD328" s="1076"/>
      <c r="BE328" s="1076"/>
      <c r="BF328" s="1076"/>
      <c r="BG328" s="1076"/>
      <c r="BH328" s="1076"/>
      <c r="BI328" s="1420"/>
      <c r="BJ328" s="1368"/>
      <c r="BK328" s="1368"/>
      <c r="BL328" s="1368"/>
      <c r="BM328" s="1368"/>
      <c r="BN328" s="1075"/>
      <c r="BO328" s="1076"/>
      <c r="BP328" s="1076"/>
      <c r="BQ328" s="1076"/>
      <c r="BR328" s="1076"/>
      <c r="BS328" s="1115"/>
      <c r="BT328" s="1076"/>
      <c r="BU328" s="1076"/>
      <c r="BV328" s="1076"/>
      <c r="BW328" s="1116"/>
      <c r="BX328" s="1115"/>
      <c r="BY328" s="1076"/>
      <c r="BZ328" s="1076"/>
      <c r="CA328" s="1076"/>
      <c r="CB328" s="1116"/>
      <c r="CC328" s="1117"/>
      <c r="CD328" s="1376"/>
      <c r="CE328" s="1377"/>
      <c r="CF328" s="1377"/>
      <c r="CG328" s="1377"/>
      <c r="CH328" s="1440"/>
      <c r="CI328" s="1420"/>
      <c r="CJ328" s="1368"/>
      <c r="CK328" s="1368"/>
      <c r="CL328" s="1368"/>
      <c r="CM328" s="1369"/>
      <c r="CN328" s="1420"/>
      <c r="CO328" s="1368"/>
      <c r="CP328" s="1368"/>
      <c r="CQ328" s="1368"/>
      <c r="CR328" s="1369"/>
      <c r="CS328" s="1420"/>
      <c r="CT328" s="1368"/>
      <c r="CU328" s="1368"/>
      <c r="CV328" s="1368"/>
      <c r="CW328" s="1369"/>
      <c r="CX328" s="1420"/>
      <c r="CY328" s="1368"/>
      <c r="CZ328" s="1368"/>
      <c r="DA328" s="1368"/>
      <c r="DB328" s="1369"/>
      <c r="DC328" s="1368"/>
      <c r="DD328" s="1368"/>
      <c r="DE328" s="1368"/>
      <c r="DF328" s="1368"/>
      <c r="DG328" s="1369"/>
      <c r="DH328" s="1420"/>
      <c r="DI328" s="1368"/>
      <c r="DJ328" s="1368"/>
      <c r="DK328" s="1368"/>
      <c r="DL328" s="1369"/>
      <c r="DM328" s="1808"/>
      <c r="DN328" s="1809"/>
      <c r="DO328" s="1809"/>
      <c r="DP328" s="1810"/>
      <c r="DQ328" s="1809"/>
      <c r="DR328" s="1809"/>
      <c r="DS328" s="1809"/>
      <c r="DT328" s="1810"/>
      <c r="DU328" s="1377"/>
      <c r="DV328" s="1729"/>
      <c r="DW328" s="1811"/>
    </row>
    <row r="329" spans="1:127" s="397" customFormat="1" ht="15.75" hidden="1" customHeight="1">
      <c r="A329" s="1097" t="s">
        <v>1078</v>
      </c>
      <c r="B329" s="1057">
        <v>320</v>
      </c>
      <c r="C329" s="1018"/>
      <c r="D329" s="1018"/>
      <c r="E329" s="1018"/>
      <c r="F329" s="1018"/>
      <c r="G329" s="1018"/>
      <c r="H329" s="1018"/>
      <c r="I329" s="1018"/>
      <c r="J329" s="1018"/>
      <c r="K329" s="1018"/>
      <c r="L329" s="1018"/>
      <c r="M329" s="1057"/>
      <c r="N329" s="1018"/>
      <c r="O329" s="1018"/>
      <c r="P329" s="1018"/>
      <c r="Q329" s="1018"/>
      <c r="R329" s="1018"/>
      <c r="S329" s="1018"/>
      <c r="T329" s="1019"/>
      <c r="U329" s="1098" t="s">
        <v>3327</v>
      </c>
      <c r="V329" s="1099" t="s">
        <v>3323</v>
      </c>
      <c r="W329" s="1099" t="s">
        <v>1907</v>
      </c>
      <c r="X329" s="1100" t="s">
        <v>2353</v>
      </c>
      <c r="Y329" s="1101" t="s">
        <v>3328</v>
      </c>
      <c r="Z329" s="1102" t="s">
        <v>3329</v>
      </c>
      <c r="AA329" s="1103">
        <v>0</v>
      </c>
      <c r="AB329" s="1104">
        <v>0</v>
      </c>
      <c r="AC329" s="1104" t="s">
        <v>1942</v>
      </c>
      <c r="AD329" s="1104" t="s">
        <v>1942</v>
      </c>
      <c r="AE329" s="1104">
        <v>1</v>
      </c>
      <c r="AF329" s="1104" t="s">
        <v>1942</v>
      </c>
      <c r="AG329" s="1104" t="s">
        <v>1942</v>
      </c>
      <c r="AH329" s="1104" t="s">
        <v>1942</v>
      </c>
      <c r="AI329" s="1105">
        <f t="shared" si="4"/>
        <v>1</v>
      </c>
      <c r="AJ329" s="1106" t="s">
        <v>1026</v>
      </c>
      <c r="AK329" s="1106" t="s">
        <v>1008</v>
      </c>
      <c r="AL329" s="1106" t="s">
        <v>1009</v>
      </c>
      <c r="AM329" s="1107" t="s">
        <v>2029</v>
      </c>
      <c r="AN329" s="1018" t="s">
        <v>278</v>
      </c>
      <c r="AO329" s="1018" t="s">
        <v>1146</v>
      </c>
      <c r="AP329" s="1333">
        <v>1</v>
      </c>
      <c r="AQ329" s="1076" t="s">
        <v>1010</v>
      </c>
      <c r="AR329" s="1109" t="s">
        <v>1942</v>
      </c>
      <c r="AS329" s="1110"/>
      <c r="AT329" s="1100"/>
      <c r="AU329" s="1100"/>
      <c r="AV329" s="1100"/>
      <c r="AW329" s="1111"/>
      <c r="AX329" s="1112"/>
      <c r="AY329" s="1075"/>
      <c r="AZ329" s="1076"/>
      <c r="BA329" s="1076"/>
      <c r="BB329" s="1076"/>
      <c r="BC329" s="1076"/>
      <c r="BD329" s="1076"/>
      <c r="BE329" s="1076"/>
      <c r="BF329" s="1076"/>
      <c r="BG329" s="1076"/>
      <c r="BH329" s="1076"/>
      <c r="BI329" s="1420"/>
      <c r="BJ329" s="1368"/>
      <c r="BK329" s="1368"/>
      <c r="BL329" s="1368"/>
      <c r="BM329" s="1368"/>
      <c r="BN329" s="1075"/>
      <c r="BO329" s="1076"/>
      <c r="BP329" s="1076"/>
      <c r="BQ329" s="1076"/>
      <c r="BR329" s="1076"/>
      <c r="BS329" s="1115"/>
      <c r="BT329" s="1076"/>
      <c r="BU329" s="1076"/>
      <c r="BV329" s="1076"/>
      <c r="BW329" s="1116"/>
      <c r="BX329" s="1115"/>
      <c r="BY329" s="1076"/>
      <c r="BZ329" s="1076"/>
      <c r="CA329" s="1076"/>
      <c r="CB329" s="1116"/>
      <c r="CC329" s="1117"/>
      <c r="CD329" s="1376"/>
      <c r="CE329" s="1377"/>
      <c r="CF329" s="1377"/>
      <c r="CG329" s="1377"/>
      <c r="CH329" s="1440"/>
      <c r="CI329" s="1420"/>
      <c r="CJ329" s="1368"/>
      <c r="CK329" s="1368"/>
      <c r="CL329" s="1368"/>
      <c r="CM329" s="1369"/>
      <c r="CN329" s="1420"/>
      <c r="CO329" s="1368"/>
      <c r="CP329" s="1368"/>
      <c r="CQ329" s="1368"/>
      <c r="CR329" s="1369"/>
      <c r="CS329" s="1420"/>
      <c r="CT329" s="1368"/>
      <c r="CU329" s="1368"/>
      <c r="CV329" s="1368"/>
      <c r="CW329" s="1369"/>
      <c r="CX329" s="1420"/>
      <c r="CY329" s="1368"/>
      <c r="CZ329" s="1368"/>
      <c r="DA329" s="1368"/>
      <c r="DB329" s="1369"/>
      <c r="DC329" s="1368"/>
      <c r="DD329" s="1368"/>
      <c r="DE329" s="1368"/>
      <c r="DF329" s="1368"/>
      <c r="DG329" s="1369"/>
      <c r="DH329" s="1420"/>
      <c r="DI329" s="1368"/>
      <c r="DJ329" s="1368"/>
      <c r="DK329" s="1368"/>
      <c r="DL329" s="1369"/>
      <c r="DM329" s="1808"/>
      <c r="DN329" s="1809"/>
      <c r="DO329" s="1809"/>
      <c r="DP329" s="1810"/>
      <c r="DQ329" s="1809"/>
      <c r="DR329" s="1809"/>
      <c r="DS329" s="1809"/>
      <c r="DT329" s="1810"/>
      <c r="DU329" s="1377"/>
      <c r="DV329" s="1729"/>
      <c r="DW329" s="1811"/>
    </row>
    <row r="330" spans="1:127" s="397" customFormat="1" ht="15.75" hidden="1" customHeight="1">
      <c r="A330" s="1097" t="s">
        <v>1078</v>
      </c>
      <c r="B330" s="1057">
        <v>321</v>
      </c>
      <c r="C330" s="1018"/>
      <c r="D330" s="1018"/>
      <c r="E330" s="1018"/>
      <c r="F330" s="1018"/>
      <c r="G330" s="1018"/>
      <c r="H330" s="1018"/>
      <c r="I330" s="1018"/>
      <c r="J330" s="1018"/>
      <c r="K330" s="1018"/>
      <c r="L330" s="1018"/>
      <c r="M330" s="1057"/>
      <c r="N330" s="1018"/>
      <c r="O330" s="1018"/>
      <c r="P330" s="1018"/>
      <c r="Q330" s="1018"/>
      <c r="R330" s="1018"/>
      <c r="S330" s="1018"/>
      <c r="T330" s="1019"/>
      <c r="U330" s="1098" t="s">
        <v>3330</v>
      </c>
      <c r="V330" s="1099" t="s">
        <v>3323</v>
      </c>
      <c r="W330" s="1099" t="s">
        <v>1889</v>
      </c>
      <c r="X330" s="1100" t="s">
        <v>2356</v>
      </c>
      <c r="Y330" s="1101" t="s">
        <v>3331</v>
      </c>
      <c r="Z330" s="1102" t="s">
        <v>3332</v>
      </c>
      <c r="AA330" s="1103">
        <v>8.1000000000000003E-2</v>
      </c>
      <c r="AB330" s="1104">
        <v>0.91900000000000004</v>
      </c>
      <c r="AC330" s="1104" t="s">
        <v>1942</v>
      </c>
      <c r="AD330" s="1104" t="s">
        <v>1942</v>
      </c>
      <c r="AE330" s="1104">
        <v>0</v>
      </c>
      <c r="AF330" s="1104" t="s">
        <v>1942</v>
      </c>
      <c r="AG330" s="1104" t="s">
        <v>1942</v>
      </c>
      <c r="AH330" s="1104" t="s">
        <v>1942</v>
      </c>
      <c r="AI330" s="1105">
        <f t="shared" ref="AI330:AI393" si="5">SUM(AA330:AH330)</f>
        <v>1</v>
      </c>
      <c r="AJ330" s="1106" t="s">
        <v>1030</v>
      </c>
      <c r="AK330" s="1106" t="s">
        <v>1008</v>
      </c>
      <c r="AL330" s="1106" t="s">
        <v>1009</v>
      </c>
      <c r="AM330" s="1107" t="s">
        <v>2400</v>
      </c>
      <c r="AN330" s="1018" t="s">
        <v>1033</v>
      </c>
      <c r="AO330" s="1018" t="s">
        <v>2401</v>
      </c>
      <c r="AP330" s="1333">
        <v>0</v>
      </c>
      <c r="AQ330" s="1076" t="s">
        <v>1010</v>
      </c>
      <c r="AR330" s="1109" t="s">
        <v>1942</v>
      </c>
      <c r="AS330" s="1110"/>
      <c r="AT330" s="1100"/>
      <c r="AU330" s="1100"/>
      <c r="AV330" s="1100"/>
      <c r="AW330" s="1111"/>
      <c r="AX330" s="1112"/>
      <c r="AY330" s="1075"/>
      <c r="AZ330" s="1076"/>
      <c r="BA330" s="1076"/>
      <c r="BB330" s="1076"/>
      <c r="BC330" s="1076"/>
      <c r="BD330" s="1076"/>
      <c r="BE330" s="1076"/>
      <c r="BF330" s="1076"/>
      <c r="BG330" s="1076"/>
      <c r="BH330" s="1076"/>
      <c r="BI330" s="1420"/>
      <c r="BJ330" s="1368"/>
      <c r="BK330" s="1368"/>
      <c r="BL330" s="1368"/>
      <c r="BM330" s="1368"/>
      <c r="BN330" s="1075"/>
      <c r="BO330" s="1076"/>
      <c r="BP330" s="1076"/>
      <c r="BQ330" s="1076"/>
      <c r="BR330" s="1076"/>
      <c r="BS330" s="1115"/>
      <c r="BT330" s="1076"/>
      <c r="BU330" s="1076"/>
      <c r="BV330" s="1076"/>
      <c r="BW330" s="1116"/>
      <c r="BX330" s="1115"/>
      <c r="BY330" s="1076"/>
      <c r="BZ330" s="1076"/>
      <c r="CA330" s="1076"/>
      <c r="CB330" s="1116"/>
      <c r="CC330" s="1117"/>
      <c r="CD330" s="1376"/>
      <c r="CE330" s="1377"/>
      <c r="CF330" s="1377"/>
      <c r="CG330" s="1377"/>
      <c r="CH330" s="1440"/>
      <c r="CI330" s="1420"/>
      <c r="CJ330" s="1368"/>
      <c r="CK330" s="1368"/>
      <c r="CL330" s="1368"/>
      <c r="CM330" s="1369"/>
      <c r="CN330" s="1420"/>
      <c r="CO330" s="1368"/>
      <c r="CP330" s="1368"/>
      <c r="CQ330" s="1368"/>
      <c r="CR330" s="1369"/>
      <c r="CS330" s="1420"/>
      <c r="CT330" s="1368"/>
      <c r="CU330" s="1368"/>
      <c r="CV330" s="1368"/>
      <c r="CW330" s="1369"/>
      <c r="CX330" s="1420"/>
      <c r="CY330" s="1368"/>
      <c r="CZ330" s="1368"/>
      <c r="DA330" s="1368"/>
      <c r="DB330" s="1369"/>
      <c r="DC330" s="1368"/>
      <c r="DD330" s="1368"/>
      <c r="DE330" s="1368"/>
      <c r="DF330" s="1368"/>
      <c r="DG330" s="1369"/>
      <c r="DH330" s="1420"/>
      <c r="DI330" s="1368"/>
      <c r="DJ330" s="1368"/>
      <c r="DK330" s="1368"/>
      <c r="DL330" s="1369"/>
      <c r="DM330" s="1808"/>
      <c r="DN330" s="1809"/>
      <c r="DO330" s="1809"/>
      <c r="DP330" s="1810"/>
      <c r="DQ330" s="1809"/>
      <c r="DR330" s="1809"/>
      <c r="DS330" s="1809"/>
      <c r="DT330" s="1810"/>
      <c r="DU330" s="1377"/>
      <c r="DV330" s="1729"/>
      <c r="DW330" s="1811"/>
    </row>
    <row r="331" spans="1:127" s="397" customFormat="1" ht="15.75" hidden="1" customHeight="1">
      <c r="A331" s="1097" t="s">
        <v>1078</v>
      </c>
      <c r="B331" s="1057">
        <v>322</v>
      </c>
      <c r="C331" s="1018"/>
      <c r="D331" s="1018"/>
      <c r="E331" s="1018"/>
      <c r="F331" s="1018"/>
      <c r="G331" s="1018"/>
      <c r="H331" s="1018"/>
      <c r="I331" s="1018"/>
      <c r="J331" s="1018"/>
      <c r="K331" s="1018"/>
      <c r="L331" s="1018"/>
      <c r="M331" s="1057"/>
      <c r="N331" s="1018"/>
      <c r="O331" s="1018"/>
      <c r="P331" s="1018"/>
      <c r="Q331" s="1018"/>
      <c r="R331" s="1018"/>
      <c r="S331" s="1018"/>
      <c r="T331" s="1019"/>
      <c r="U331" s="1098" t="s">
        <v>3333</v>
      </c>
      <c r="V331" s="1099" t="s">
        <v>3323</v>
      </c>
      <c r="W331" s="1099" t="s">
        <v>1907</v>
      </c>
      <c r="X331" s="1100" t="s">
        <v>2360</v>
      </c>
      <c r="Y331" s="1101" t="s">
        <v>703</v>
      </c>
      <c r="Z331" s="1102" t="s">
        <v>3334</v>
      </c>
      <c r="AA331" s="1103">
        <v>0</v>
      </c>
      <c r="AB331" s="1104">
        <v>0</v>
      </c>
      <c r="AC331" s="1104" t="s">
        <v>1942</v>
      </c>
      <c r="AD331" s="1104" t="s">
        <v>1942</v>
      </c>
      <c r="AE331" s="1104">
        <v>1</v>
      </c>
      <c r="AF331" s="1104" t="s">
        <v>1942</v>
      </c>
      <c r="AG331" s="1104" t="s">
        <v>1942</v>
      </c>
      <c r="AH331" s="1104" t="s">
        <v>1942</v>
      </c>
      <c r="AI331" s="1105">
        <f t="shared" si="5"/>
        <v>1</v>
      </c>
      <c r="AJ331" s="1106" t="s">
        <v>1007</v>
      </c>
      <c r="AK331" s="1106" t="s">
        <v>1942</v>
      </c>
      <c r="AL331" s="1106" t="s">
        <v>1942</v>
      </c>
      <c r="AM331" s="1107" t="s">
        <v>2029</v>
      </c>
      <c r="AN331" s="1018" t="s">
        <v>278</v>
      </c>
      <c r="AO331" s="1018" t="s">
        <v>4799</v>
      </c>
      <c r="AP331" s="1307">
        <v>1</v>
      </c>
      <c r="AQ331" s="1076" t="s">
        <v>1010</v>
      </c>
      <c r="AR331" s="1109" t="s">
        <v>703</v>
      </c>
      <c r="AS331" s="1110"/>
      <c r="AT331" s="1100"/>
      <c r="AU331" s="1100"/>
      <c r="AV331" s="1100"/>
      <c r="AW331" s="1111"/>
      <c r="AX331" s="1112"/>
      <c r="AY331" s="1075"/>
      <c r="AZ331" s="1076"/>
      <c r="BA331" s="1076"/>
      <c r="BB331" s="1076"/>
      <c r="BC331" s="1076"/>
      <c r="BD331" s="1076"/>
      <c r="BE331" s="1076"/>
      <c r="BF331" s="1076"/>
      <c r="BG331" s="1076"/>
      <c r="BH331" s="1076"/>
      <c r="BI331" s="1075" t="s">
        <v>4856</v>
      </c>
      <c r="BJ331" s="1076" t="s">
        <v>4857</v>
      </c>
      <c r="BK331" s="1076" t="s">
        <v>4858</v>
      </c>
      <c r="BL331" s="1076" t="s">
        <v>4859</v>
      </c>
      <c r="BM331" s="1076" t="s">
        <v>4860</v>
      </c>
      <c r="BN331" s="1075"/>
      <c r="BO331" s="1076"/>
      <c r="BP331" s="1076"/>
      <c r="BQ331" s="1076"/>
      <c r="BR331" s="1076"/>
      <c r="BS331" s="1115"/>
      <c r="BT331" s="1076"/>
      <c r="BU331" s="1076"/>
      <c r="BV331" s="1076"/>
      <c r="BW331" s="1116"/>
      <c r="BX331" s="1115"/>
      <c r="BY331" s="1076"/>
      <c r="BZ331" s="1076"/>
      <c r="CA331" s="1076"/>
      <c r="CB331" s="1116"/>
      <c r="CC331" s="1117"/>
      <c r="CD331" s="1118" t="s">
        <v>1942</v>
      </c>
      <c r="CE331" s="1119" t="s">
        <v>1942</v>
      </c>
      <c r="CF331" s="1119" t="s">
        <v>1942</v>
      </c>
      <c r="CG331" s="1119" t="s">
        <v>1942</v>
      </c>
      <c r="CH331" s="1120" t="s">
        <v>1942</v>
      </c>
      <c r="CI331" s="1075" t="s">
        <v>1942</v>
      </c>
      <c r="CJ331" s="1076" t="s">
        <v>1942</v>
      </c>
      <c r="CK331" s="1076" t="s">
        <v>1942</v>
      </c>
      <c r="CL331" s="1076" t="s">
        <v>1942</v>
      </c>
      <c r="CM331" s="1117" t="s">
        <v>1942</v>
      </c>
      <c r="CN331" s="1075" t="s">
        <v>1942</v>
      </c>
      <c r="CO331" s="1076" t="s">
        <v>1942</v>
      </c>
      <c r="CP331" s="1076" t="s">
        <v>1942</v>
      </c>
      <c r="CQ331" s="1076" t="s">
        <v>1942</v>
      </c>
      <c r="CR331" s="1117" t="s">
        <v>1942</v>
      </c>
      <c r="CS331" s="1075" t="s">
        <v>1942</v>
      </c>
      <c r="CT331" s="1076" t="s">
        <v>1942</v>
      </c>
      <c r="CU331" s="1076" t="s">
        <v>1942</v>
      </c>
      <c r="CV331" s="1076" t="s">
        <v>1942</v>
      </c>
      <c r="CW331" s="1117" t="s">
        <v>1942</v>
      </c>
      <c r="CX331" s="1075" t="s">
        <v>1942</v>
      </c>
      <c r="CY331" s="1076" t="s">
        <v>1942</v>
      </c>
      <c r="CZ331" s="1076" t="s">
        <v>1942</v>
      </c>
      <c r="DA331" s="1076" t="s">
        <v>1942</v>
      </c>
      <c r="DB331" s="1117" t="s">
        <v>1942</v>
      </c>
      <c r="DC331" s="1076" t="s">
        <v>1942</v>
      </c>
      <c r="DD331" s="1076" t="s">
        <v>1942</v>
      </c>
      <c r="DE331" s="1076" t="s">
        <v>1942</v>
      </c>
      <c r="DF331" s="1076" t="s">
        <v>1942</v>
      </c>
      <c r="DG331" s="1117" t="s">
        <v>1942</v>
      </c>
      <c r="DH331" s="1075" t="s">
        <v>1942</v>
      </c>
      <c r="DI331" s="1076" t="s">
        <v>1942</v>
      </c>
      <c r="DJ331" s="1076" t="s">
        <v>1942</v>
      </c>
      <c r="DK331" s="1076" t="s">
        <v>1942</v>
      </c>
      <c r="DL331" s="1117" t="s">
        <v>1942</v>
      </c>
      <c r="DM331" s="1121" t="s">
        <v>1942</v>
      </c>
      <c r="DN331" s="1122" t="s">
        <v>1942</v>
      </c>
      <c r="DO331" s="1122" t="s">
        <v>1942</v>
      </c>
      <c r="DP331" s="1123" t="s">
        <v>1942</v>
      </c>
      <c r="DQ331" s="1122" t="s">
        <v>1942</v>
      </c>
      <c r="DR331" s="1122" t="s">
        <v>1942</v>
      </c>
      <c r="DS331" s="1122" t="s">
        <v>1942</v>
      </c>
      <c r="DT331" s="1123" t="s">
        <v>1942</v>
      </c>
      <c r="DU331" s="1119" t="s">
        <v>1942</v>
      </c>
      <c r="DV331" s="1124">
        <v>1</v>
      </c>
      <c r="DW331" s="1125" t="s">
        <v>1942</v>
      </c>
    </row>
    <row r="332" spans="1:127" s="397" customFormat="1" ht="15.75" hidden="1" customHeight="1">
      <c r="A332" s="1054" t="s">
        <v>1078</v>
      </c>
      <c r="B332" s="1055">
        <v>323</v>
      </c>
      <c r="C332" s="1143"/>
      <c r="D332" s="1143"/>
      <c r="E332" s="1143"/>
      <c r="F332" s="1143"/>
      <c r="G332" s="1143"/>
      <c r="H332" s="1143"/>
      <c r="I332" s="1143"/>
      <c r="J332" s="1143"/>
      <c r="K332" s="1143"/>
      <c r="L332" s="1143"/>
      <c r="M332" s="1055"/>
      <c r="N332" s="1143"/>
      <c r="O332" s="1143"/>
      <c r="P332" s="1143"/>
      <c r="Q332" s="1143"/>
      <c r="R332" s="1143"/>
      <c r="S332" s="1143"/>
      <c r="T332" s="1058"/>
      <c r="U332" s="1059" t="s">
        <v>3336</v>
      </c>
      <c r="V332" s="1060" t="s">
        <v>3337</v>
      </c>
      <c r="W332" s="1060" t="s">
        <v>1896</v>
      </c>
      <c r="X332" s="1061" t="s">
        <v>2377</v>
      </c>
      <c r="Y332" s="1062" t="s">
        <v>3338</v>
      </c>
      <c r="Z332" s="1063" t="s">
        <v>3339</v>
      </c>
      <c r="AA332" s="1064">
        <v>0</v>
      </c>
      <c r="AB332" s="1065">
        <v>1</v>
      </c>
      <c r="AC332" s="1065" t="s">
        <v>1942</v>
      </c>
      <c r="AD332" s="1065" t="s">
        <v>1942</v>
      </c>
      <c r="AE332" s="1065">
        <v>0</v>
      </c>
      <c r="AF332" s="1065" t="s">
        <v>1942</v>
      </c>
      <c r="AG332" s="1065" t="s">
        <v>1942</v>
      </c>
      <c r="AH332" s="1065" t="s">
        <v>1942</v>
      </c>
      <c r="AI332" s="1066">
        <f t="shared" si="5"/>
        <v>1</v>
      </c>
      <c r="AJ332" s="1067" t="s">
        <v>1030</v>
      </c>
      <c r="AK332" s="1067" t="s">
        <v>1008</v>
      </c>
      <c r="AL332" s="1067" t="s">
        <v>1009</v>
      </c>
      <c r="AM332" s="1068" t="s">
        <v>669</v>
      </c>
      <c r="AN332" s="1062" t="s">
        <v>278</v>
      </c>
      <c r="AO332" s="1062" t="s">
        <v>4791</v>
      </c>
      <c r="AP332" s="1307">
        <v>1</v>
      </c>
      <c r="AQ332" s="833" t="s">
        <v>1010</v>
      </c>
      <c r="AR332" s="1071" t="s">
        <v>669</v>
      </c>
      <c r="AS332" s="1072"/>
      <c r="AT332" s="1061"/>
      <c r="AU332" s="1061"/>
      <c r="AV332" s="1061"/>
      <c r="AW332" s="1073"/>
      <c r="AX332" s="1074"/>
      <c r="AY332" s="1079"/>
      <c r="AZ332" s="1080"/>
      <c r="BA332" s="1080"/>
      <c r="BB332" s="1080"/>
      <c r="BC332" s="1080"/>
      <c r="BD332" s="1080"/>
      <c r="BE332" s="1080"/>
      <c r="BF332" s="1080"/>
      <c r="BG332" s="1077"/>
      <c r="BH332" s="1077"/>
      <c r="BI332" s="1078">
        <v>1.8</v>
      </c>
      <c r="BJ332" s="1077">
        <v>4.2</v>
      </c>
      <c r="BK332" s="1077">
        <v>7.8</v>
      </c>
      <c r="BL332" s="1077">
        <v>11.4</v>
      </c>
      <c r="BM332" s="1077">
        <v>15</v>
      </c>
      <c r="BN332" s="1079"/>
      <c r="BO332" s="1080"/>
      <c r="BP332" s="1080"/>
      <c r="BQ332" s="1080"/>
      <c r="BR332" s="1080"/>
      <c r="BS332" s="1081"/>
      <c r="BT332" s="1080"/>
      <c r="BU332" s="1080"/>
      <c r="BV332" s="1080"/>
      <c r="BW332" s="1082"/>
      <c r="BX332" s="1081"/>
      <c r="BY332" s="1080"/>
      <c r="BZ332" s="1080"/>
      <c r="CA332" s="1080"/>
      <c r="CB332" s="1082"/>
      <c r="CC332" s="1083"/>
      <c r="CD332" s="1084" t="s">
        <v>168</v>
      </c>
      <c r="CE332" s="1085" t="s">
        <v>168</v>
      </c>
      <c r="CF332" s="1085" t="s">
        <v>168</v>
      </c>
      <c r="CG332" s="1085" t="s">
        <v>168</v>
      </c>
      <c r="CH332" s="1086" t="s">
        <v>168</v>
      </c>
      <c r="CI332" s="1089" t="s">
        <v>1942</v>
      </c>
      <c r="CJ332" s="1087" t="s">
        <v>1942</v>
      </c>
      <c r="CK332" s="1087" t="s">
        <v>1942</v>
      </c>
      <c r="CL332" s="1087" t="s">
        <v>1942</v>
      </c>
      <c r="CM332" s="1088" t="s">
        <v>1942</v>
      </c>
      <c r="CN332" s="1089">
        <v>-5</v>
      </c>
      <c r="CO332" s="1087">
        <v>-5</v>
      </c>
      <c r="CP332" s="1087">
        <v>-5</v>
      </c>
      <c r="CQ332" s="1087">
        <v>-5</v>
      </c>
      <c r="CR332" s="1088">
        <v>-5</v>
      </c>
      <c r="CS332" s="1079" t="s">
        <v>1942</v>
      </c>
      <c r="CT332" s="1080" t="s">
        <v>1942</v>
      </c>
      <c r="CU332" s="1080" t="s">
        <v>1942</v>
      </c>
      <c r="CV332" s="1080" t="s">
        <v>1942</v>
      </c>
      <c r="CW332" s="1083" t="s">
        <v>1942</v>
      </c>
      <c r="CX332" s="1079" t="s">
        <v>1942</v>
      </c>
      <c r="CY332" s="1080" t="s">
        <v>1942</v>
      </c>
      <c r="CZ332" s="1080" t="s">
        <v>1942</v>
      </c>
      <c r="DA332" s="1080" t="s">
        <v>1942</v>
      </c>
      <c r="DB332" s="1083" t="s">
        <v>1942</v>
      </c>
      <c r="DC332" s="1087">
        <v>6</v>
      </c>
      <c r="DD332" s="1087">
        <v>8.4</v>
      </c>
      <c r="DE332" s="1087">
        <v>12</v>
      </c>
      <c r="DF332" s="1087">
        <v>15.6</v>
      </c>
      <c r="DG332" s="1088">
        <v>19.2</v>
      </c>
      <c r="DH332" s="1089" t="s">
        <v>1942</v>
      </c>
      <c r="DI332" s="1080" t="s">
        <v>1942</v>
      </c>
      <c r="DJ332" s="1080" t="s">
        <v>1942</v>
      </c>
      <c r="DK332" s="1080" t="s">
        <v>1942</v>
      </c>
      <c r="DL332" s="1083" t="s">
        <v>1942</v>
      </c>
      <c r="DM332" s="1091">
        <v>-0.23499999999999999</v>
      </c>
      <c r="DN332" s="1092" t="s">
        <v>1942</v>
      </c>
      <c r="DO332" s="1092" t="s">
        <v>1942</v>
      </c>
      <c r="DP332" s="1093" t="s">
        <v>1942</v>
      </c>
      <c r="DQ332" s="1092">
        <v>0.19600000000000001</v>
      </c>
      <c r="DR332" s="1092" t="s">
        <v>1942</v>
      </c>
      <c r="DS332" s="1092" t="s">
        <v>1942</v>
      </c>
      <c r="DT332" s="1093" t="s">
        <v>1942</v>
      </c>
      <c r="DU332" s="1085" t="s">
        <v>1942</v>
      </c>
      <c r="DV332" s="1094">
        <v>1</v>
      </c>
      <c r="DW332" s="1095" t="s">
        <v>1942</v>
      </c>
    </row>
    <row r="333" spans="1:127" s="397" customFormat="1" ht="15.75" hidden="1" customHeight="1">
      <c r="A333" s="1054" t="s">
        <v>1078</v>
      </c>
      <c r="B333" s="1055">
        <v>324</v>
      </c>
      <c r="C333" s="1143"/>
      <c r="D333" s="1143"/>
      <c r="E333" s="1143"/>
      <c r="F333" s="1143"/>
      <c r="G333" s="1143"/>
      <c r="H333" s="1143"/>
      <c r="I333" s="1143"/>
      <c r="J333" s="1143"/>
      <c r="K333" s="1143"/>
      <c r="L333" s="1143"/>
      <c r="M333" s="1055"/>
      <c r="N333" s="1143"/>
      <c r="O333" s="1143"/>
      <c r="P333" s="1143"/>
      <c r="Q333" s="1143"/>
      <c r="R333" s="1143"/>
      <c r="S333" s="1143"/>
      <c r="T333" s="1058"/>
      <c r="U333" s="1059" t="s">
        <v>3341</v>
      </c>
      <c r="V333" s="1060" t="s">
        <v>3337</v>
      </c>
      <c r="W333" s="1060" t="s">
        <v>1896</v>
      </c>
      <c r="X333" s="1061" t="s">
        <v>2382</v>
      </c>
      <c r="Y333" s="1062" t="s">
        <v>3342</v>
      </c>
      <c r="Z333" s="1063" t="s">
        <v>3343</v>
      </c>
      <c r="AA333" s="1064">
        <v>0</v>
      </c>
      <c r="AB333" s="1065">
        <v>1</v>
      </c>
      <c r="AC333" s="1065" t="s">
        <v>1942</v>
      </c>
      <c r="AD333" s="1065" t="s">
        <v>1942</v>
      </c>
      <c r="AE333" s="1065">
        <v>0</v>
      </c>
      <c r="AF333" s="1065" t="s">
        <v>1942</v>
      </c>
      <c r="AG333" s="1065" t="s">
        <v>1942</v>
      </c>
      <c r="AH333" s="1065" t="s">
        <v>1942</v>
      </c>
      <c r="AI333" s="1066">
        <f t="shared" si="5"/>
        <v>1</v>
      </c>
      <c r="AJ333" s="1067" t="s">
        <v>1030</v>
      </c>
      <c r="AK333" s="1067" t="s">
        <v>1008</v>
      </c>
      <c r="AL333" s="1067" t="s">
        <v>1009</v>
      </c>
      <c r="AM333" s="1068" t="s">
        <v>669</v>
      </c>
      <c r="AN333" s="1062" t="s">
        <v>278</v>
      </c>
      <c r="AO333" s="1062" t="s">
        <v>4791</v>
      </c>
      <c r="AP333" s="1307">
        <v>1</v>
      </c>
      <c r="AQ333" s="833" t="s">
        <v>1010</v>
      </c>
      <c r="AR333" s="1071" t="s">
        <v>669</v>
      </c>
      <c r="AS333" s="1072"/>
      <c r="AT333" s="1061"/>
      <c r="AU333" s="1061"/>
      <c r="AV333" s="1061"/>
      <c r="AW333" s="1073"/>
      <c r="AX333" s="1074"/>
      <c r="AY333" s="1079"/>
      <c r="AZ333" s="1080"/>
      <c r="BA333" s="1080"/>
      <c r="BB333" s="1080"/>
      <c r="BC333" s="1080"/>
      <c r="BD333" s="1080"/>
      <c r="BE333" s="1080"/>
      <c r="BF333" s="1080"/>
      <c r="BG333" s="1077"/>
      <c r="BH333" s="1077"/>
      <c r="BI333" s="1078">
        <v>2.9</v>
      </c>
      <c r="BJ333" s="1077">
        <v>5.0999999999999996</v>
      </c>
      <c r="BK333" s="1077">
        <v>8</v>
      </c>
      <c r="BL333" s="1077">
        <v>10.9</v>
      </c>
      <c r="BM333" s="1077">
        <v>13.8</v>
      </c>
      <c r="BN333" s="1079"/>
      <c r="BO333" s="1080"/>
      <c r="BP333" s="1080"/>
      <c r="BQ333" s="1080"/>
      <c r="BR333" s="1080"/>
      <c r="BS333" s="1081"/>
      <c r="BT333" s="1080"/>
      <c r="BU333" s="1080"/>
      <c r="BV333" s="1080"/>
      <c r="BW333" s="1082"/>
      <c r="BX333" s="1081"/>
      <c r="BY333" s="1080"/>
      <c r="BZ333" s="1080"/>
      <c r="CA333" s="1080"/>
      <c r="CB333" s="1082"/>
      <c r="CC333" s="1083"/>
      <c r="CD333" s="1084" t="s">
        <v>168</v>
      </c>
      <c r="CE333" s="1085" t="s">
        <v>168</v>
      </c>
      <c r="CF333" s="1085" t="s">
        <v>168</v>
      </c>
      <c r="CG333" s="1085" t="s">
        <v>168</v>
      </c>
      <c r="CH333" s="1086" t="s">
        <v>168</v>
      </c>
      <c r="CI333" s="1089" t="s">
        <v>1942</v>
      </c>
      <c r="CJ333" s="1087" t="s">
        <v>1942</v>
      </c>
      <c r="CK333" s="1087" t="s">
        <v>1942</v>
      </c>
      <c r="CL333" s="1087" t="s">
        <v>1942</v>
      </c>
      <c r="CM333" s="1088" t="s">
        <v>1942</v>
      </c>
      <c r="CN333" s="1089">
        <v>-5</v>
      </c>
      <c r="CO333" s="1087">
        <v>-5</v>
      </c>
      <c r="CP333" s="1087">
        <v>-5</v>
      </c>
      <c r="CQ333" s="1087">
        <v>-5</v>
      </c>
      <c r="CR333" s="1088">
        <v>-5</v>
      </c>
      <c r="CS333" s="1079" t="s">
        <v>1942</v>
      </c>
      <c r="CT333" s="1080" t="s">
        <v>1942</v>
      </c>
      <c r="CU333" s="1080" t="s">
        <v>1942</v>
      </c>
      <c r="CV333" s="1080" t="s">
        <v>1942</v>
      </c>
      <c r="CW333" s="1083" t="s">
        <v>1942</v>
      </c>
      <c r="CX333" s="1079" t="s">
        <v>1942</v>
      </c>
      <c r="CY333" s="1080" t="s">
        <v>1942</v>
      </c>
      <c r="CZ333" s="1080" t="s">
        <v>1942</v>
      </c>
      <c r="DA333" s="1080" t="s">
        <v>1942</v>
      </c>
      <c r="DB333" s="1083" t="s">
        <v>1942</v>
      </c>
      <c r="DC333" s="1087">
        <v>8.6</v>
      </c>
      <c r="DD333" s="1087">
        <v>10.8</v>
      </c>
      <c r="DE333" s="1087">
        <v>13.7</v>
      </c>
      <c r="DF333" s="1087">
        <v>16.600000000000001</v>
      </c>
      <c r="DG333" s="1088">
        <v>19.5</v>
      </c>
      <c r="DH333" s="1089" t="s">
        <v>1942</v>
      </c>
      <c r="DI333" s="1080" t="s">
        <v>1942</v>
      </c>
      <c r="DJ333" s="1080" t="s">
        <v>1942</v>
      </c>
      <c r="DK333" s="1080" t="s">
        <v>1942</v>
      </c>
      <c r="DL333" s="1083" t="s">
        <v>1942</v>
      </c>
      <c r="DM333" s="1091">
        <v>-0.254</v>
      </c>
      <c r="DN333" s="1092" t="s">
        <v>1942</v>
      </c>
      <c r="DO333" s="1092" t="s">
        <v>1942</v>
      </c>
      <c r="DP333" s="1093" t="s">
        <v>1942</v>
      </c>
      <c r="DQ333" s="1092">
        <v>0.21099999999999999</v>
      </c>
      <c r="DR333" s="1092" t="s">
        <v>1942</v>
      </c>
      <c r="DS333" s="1092" t="s">
        <v>1942</v>
      </c>
      <c r="DT333" s="1093" t="s">
        <v>1942</v>
      </c>
      <c r="DU333" s="1085" t="s">
        <v>1942</v>
      </c>
      <c r="DV333" s="1094">
        <v>1</v>
      </c>
      <c r="DW333" s="1095" t="s">
        <v>1942</v>
      </c>
    </row>
    <row r="334" spans="1:127" s="397" customFormat="1" ht="15.75" hidden="1" customHeight="1">
      <c r="A334" s="1054" t="s">
        <v>1078</v>
      </c>
      <c r="B334" s="1055">
        <v>325</v>
      </c>
      <c r="C334" s="1143"/>
      <c r="D334" s="1143"/>
      <c r="E334" s="1143"/>
      <c r="F334" s="1143"/>
      <c r="G334" s="1143"/>
      <c r="H334" s="1143"/>
      <c r="I334" s="1143"/>
      <c r="J334" s="1143"/>
      <c r="K334" s="1143"/>
      <c r="L334" s="1143"/>
      <c r="M334" s="1055"/>
      <c r="N334" s="1143"/>
      <c r="O334" s="1143"/>
      <c r="P334" s="1143"/>
      <c r="Q334" s="1143"/>
      <c r="R334" s="1143"/>
      <c r="S334" s="1143"/>
      <c r="T334" s="1058"/>
      <c r="U334" s="1059" t="s">
        <v>3344</v>
      </c>
      <c r="V334" s="1060" t="s">
        <v>3337</v>
      </c>
      <c r="W334" s="1060" t="s">
        <v>1896</v>
      </c>
      <c r="X334" s="1061" t="s">
        <v>2387</v>
      </c>
      <c r="Y334" s="1062" t="s">
        <v>3345</v>
      </c>
      <c r="Z334" s="1063" t="s">
        <v>3346</v>
      </c>
      <c r="AA334" s="1064">
        <v>0</v>
      </c>
      <c r="AB334" s="1065">
        <v>1</v>
      </c>
      <c r="AC334" s="1065" t="s">
        <v>1942</v>
      </c>
      <c r="AD334" s="1065" t="s">
        <v>1942</v>
      </c>
      <c r="AE334" s="1065">
        <v>0</v>
      </c>
      <c r="AF334" s="1065" t="s">
        <v>1942</v>
      </c>
      <c r="AG334" s="1065" t="s">
        <v>1942</v>
      </c>
      <c r="AH334" s="1065" t="s">
        <v>1942</v>
      </c>
      <c r="AI334" s="1066">
        <f t="shared" si="5"/>
        <v>1</v>
      </c>
      <c r="AJ334" s="1067" t="s">
        <v>1030</v>
      </c>
      <c r="AK334" s="1067" t="s">
        <v>1008</v>
      </c>
      <c r="AL334" s="1440" t="s">
        <v>1019</v>
      </c>
      <c r="AM334" s="1068" t="s">
        <v>2054</v>
      </c>
      <c r="AN334" s="1062" t="s">
        <v>2118</v>
      </c>
      <c r="AO334" s="1062" t="s">
        <v>4791</v>
      </c>
      <c r="AP334" s="1307">
        <v>1</v>
      </c>
      <c r="AQ334" s="833" t="s">
        <v>1010</v>
      </c>
      <c r="AR334" s="1071" t="s">
        <v>1902</v>
      </c>
      <c r="AS334" s="1072"/>
      <c r="AT334" s="1061"/>
      <c r="AU334" s="1061"/>
      <c r="AV334" s="1061"/>
      <c r="AW334" s="1073"/>
      <c r="AX334" s="1074"/>
      <c r="AY334" s="1079"/>
      <c r="AZ334" s="1080"/>
      <c r="BA334" s="1080"/>
      <c r="BB334" s="1080"/>
      <c r="BC334" s="1080"/>
      <c r="BD334" s="1080"/>
      <c r="BE334" s="1080"/>
      <c r="BF334" s="1080"/>
      <c r="BG334" s="1077"/>
      <c r="BH334" s="1077"/>
      <c r="BI334" s="1078">
        <v>0.4</v>
      </c>
      <c r="BJ334" s="1077">
        <v>0.5</v>
      </c>
      <c r="BK334" s="1077">
        <v>0.7</v>
      </c>
      <c r="BL334" s="1077">
        <v>0.8</v>
      </c>
      <c r="BM334" s="1077">
        <v>1</v>
      </c>
      <c r="BN334" s="1079"/>
      <c r="BO334" s="1080"/>
      <c r="BP334" s="1080"/>
      <c r="BQ334" s="1080"/>
      <c r="BR334" s="1080"/>
      <c r="BS334" s="1081"/>
      <c r="BT334" s="1080"/>
      <c r="BU334" s="1080"/>
      <c r="BV334" s="1080"/>
      <c r="BW334" s="1082"/>
      <c r="BX334" s="1081"/>
      <c r="BY334" s="1080"/>
      <c r="BZ334" s="1080"/>
      <c r="CA334" s="1080"/>
      <c r="CB334" s="1082"/>
      <c r="CC334" s="1083"/>
      <c r="CD334" s="1084" t="s">
        <v>168</v>
      </c>
      <c r="CE334" s="1085" t="s">
        <v>168</v>
      </c>
      <c r="CF334" s="1085" t="s">
        <v>168</v>
      </c>
      <c r="CG334" s="1085" t="s">
        <v>168</v>
      </c>
      <c r="CH334" s="1086" t="s">
        <v>168</v>
      </c>
      <c r="CI334" s="1089" t="s">
        <v>1942</v>
      </c>
      <c r="CJ334" s="1087" t="s">
        <v>1942</v>
      </c>
      <c r="CK334" s="1087" t="s">
        <v>1942</v>
      </c>
      <c r="CL334" s="1087" t="s">
        <v>1942</v>
      </c>
      <c r="CM334" s="1088" t="s">
        <v>1942</v>
      </c>
      <c r="CN334" s="1089" t="s">
        <v>1942</v>
      </c>
      <c r="CO334" s="1087" t="s">
        <v>1942</v>
      </c>
      <c r="CP334" s="1087" t="s">
        <v>1942</v>
      </c>
      <c r="CQ334" s="1087" t="s">
        <v>1942</v>
      </c>
      <c r="CR334" s="1088" t="s">
        <v>1942</v>
      </c>
      <c r="CS334" s="1079" t="s">
        <v>1942</v>
      </c>
      <c r="CT334" s="1080" t="s">
        <v>1942</v>
      </c>
      <c r="CU334" s="1080" t="s">
        <v>1942</v>
      </c>
      <c r="CV334" s="1080" t="s">
        <v>1942</v>
      </c>
      <c r="CW334" s="1083" t="s">
        <v>1942</v>
      </c>
      <c r="CX334" s="1079" t="s">
        <v>1942</v>
      </c>
      <c r="CY334" s="1080" t="s">
        <v>1942</v>
      </c>
      <c r="CZ334" s="1080" t="s">
        <v>1942</v>
      </c>
      <c r="DA334" s="1080" t="s">
        <v>1942</v>
      </c>
      <c r="DB334" s="1083" t="s">
        <v>1942</v>
      </c>
      <c r="DC334" s="1087" t="s">
        <v>1942</v>
      </c>
      <c r="DD334" s="1087" t="s">
        <v>1942</v>
      </c>
      <c r="DE334" s="1087" t="s">
        <v>1942</v>
      </c>
      <c r="DF334" s="1087" t="s">
        <v>1942</v>
      </c>
      <c r="DG334" s="1088" t="s">
        <v>1942</v>
      </c>
      <c r="DH334" s="1089" t="s">
        <v>1942</v>
      </c>
      <c r="DI334" s="1080" t="s">
        <v>1942</v>
      </c>
      <c r="DJ334" s="1080" t="s">
        <v>1942</v>
      </c>
      <c r="DK334" s="1080" t="s">
        <v>1942</v>
      </c>
      <c r="DL334" s="1083" t="s">
        <v>1942</v>
      </c>
      <c r="DM334" s="1091">
        <v>-0.16900000000000001</v>
      </c>
      <c r="DN334" s="1092" t="s">
        <v>1942</v>
      </c>
      <c r="DO334" s="1092" t="s">
        <v>1942</v>
      </c>
      <c r="DP334" s="1093" t="s">
        <v>1942</v>
      </c>
      <c r="DQ334" s="1092">
        <v>0.125</v>
      </c>
      <c r="DR334" s="1092" t="s">
        <v>1942</v>
      </c>
      <c r="DS334" s="1092" t="s">
        <v>1942</v>
      </c>
      <c r="DT334" s="1093" t="s">
        <v>1942</v>
      </c>
      <c r="DU334" s="1085" t="s">
        <v>1942</v>
      </c>
      <c r="DV334" s="1094">
        <v>1</v>
      </c>
      <c r="DW334" s="1095" t="s">
        <v>1942</v>
      </c>
    </row>
    <row r="335" spans="1:127" s="397" customFormat="1" ht="15.75" hidden="1" customHeight="1">
      <c r="A335" s="1054" t="s">
        <v>1078</v>
      </c>
      <c r="B335" s="1055">
        <v>326</v>
      </c>
      <c r="C335" s="1143"/>
      <c r="D335" s="1143"/>
      <c r="E335" s="1143"/>
      <c r="F335" s="1143"/>
      <c r="G335" s="1143"/>
      <c r="H335" s="1143"/>
      <c r="I335" s="1143"/>
      <c r="J335" s="1143"/>
      <c r="K335" s="1143"/>
      <c r="L335" s="1143"/>
      <c r="M335" s="1055"/>
      <c r="N335" s="1143"/>
      <c r="O335" s="1143"/>
      <c r="P335" s="1143"/>
      <c r="Q335" s="1143"/>
      <c r="R335" s="1143"/>
      <c r="S335" s="1143"/>
      <c r="T335" s="1058"/>
      <c r="U335" s="1059" t="s">
        <v>3348</v>
      </c>
      <c r="V335" s="1060" t="s">
        <v>3337</v>
      </c>
      <c r="W335" s="1060" t="s">
        <v>1896</v>
      </c>
      <c r="X335" s="1061" t="s">
        <v>2392</v>
      </c>
      <c r="Y335" s="1062" t="s">
        <v>3349</v>
      </c>
      <c r="Z335" s="1063" t="s">
        <v>3350</v>
      </c>
      <c r="AA335" s="1064">
        <v>0</v>
      </c>
      <c r="AB335" s="1065">
        <v>1</v>
      </c>
      <c r="AC335" s="1065" t="s">
        <v>1942</v>
      </c>
      <c r="AD335" s="1065" t="s">
        <v>1942</v>
      </c>
      <c r="AE335" s="1065">
        <v>0</v>
      </c>
      <c r="AF335" s="1065" t="s">
        <v>1942</v>
      </c>
      <c r="AG335" s="1065" t="s">
        <v>1942</v>
      </c>
      <c r="AH335" s="1065" t="s">
        <v>1942</v>
      </c>
      <c r="AI335" s="1066">
        <f t="shared" si="5"/>
        <v>1</v>
      </c>
      <c r="AJ335" s="1067" t="s">
        <v>1030</v>
      </c>
      <c r="AK335" s="1067" t="s">
        <v>1008</v>
      </c>
      <c r="AL335" s="1440" t="s">
        <v>1019</v>
      </c>
      <c r="AM335" s="1068" t="s">
        <v>2054</v>
      </c>
      <c r="AN335" s="1062" t="s">
        <v>2118</v>
      </c>
      <c r="AO335" s="1062" t="s">
        <v>4791</v>
      </c>
      <c r="AP335" s="1307">
        <v>1</v>
      </c>
      <c r="AQ335" s="833" t="s">
        <v>1010</v>
      </c>
      <c r="AR335" s="1071" t="s">
        <v>1902</v>
      </c>
      <c r="AS335" s="1072"/>
      <c r="AT335" s="1061"/>
      <c r="AU335" s="1061"/>
      <c r="AV335" s="1061"/>
      <c r="AW335" s="1073"/>
      <c r="AX335" s="1074"/>
      <c r="AY335" s="1079"/>
      <c r="AZ335" s="1080"/>
      <c r="BA335" s="1080"/>
      <c r="BB335" s="1080"/>
      <c r="BC335" s="1080"/>
      <c r="BD335" s="1080"/>
      <c r="BE335" s="1080"/>
      <c r="BF335" s="1080"/>
      <c r="BG335" s="1077"/>
      <c r="BH335" s="1077"/>
      <c r="BI335" s="1078">
        <v>1.2</v>
      </c>
      <c r="BJ335" s="1077">
        <v>2.5</v>
      </c>
      <c r="BK335" s="1077">
        <v>3.7</v>
      </c>
      <c r="BL335" s="1077">
        <v>5</v>
      </c>
      <c r="BM335" s="1077">
        <v>6.3</v>
      </c>
      <c r="BN335" s="1079"/>
      <c r="BO335" s="1080"/>
      <c r="BP335" s="1080"/>
      <c r="BQ335" s="1080"/>
      <c r="BR335" s="1080"/>
      <c r="BS335" s="1081"/>
      <c r="BT335" s="1080"/>
      <c r="BU335" s="1080"/>
      <c r="BV335" s="1080"/>
      <c r="BW335" s="1082"/>
      <c r="BX335" s="1081"/>
      <c r="BY335" s="1080"/>
      <c r="BZ335" s="1080"/>
      <c r="CA335" s="1080"/>
      <c r="CB335" s="1082"/>
      <c r="CC335" s="1083"/>
      <c r="CD335" s="1084" t="s">
        <v>168</v>
      </c>
      <c r="CE335" s="1085" t="s">
        <v>168</v>
      </c>
      <c r="CF335" s="1085" t="s">
        <v>168</v>
      </c>
      <c r="CG335" s="1085" t="s">
        <v>168</v>
      </c>
      <c r="CH335" s="1086" t="s">
        <v>168</v>
      </c>
      <c r="CI335" s="1089" t="s">
        <v>1942</v>
      </c>
      <c r="CJ335" s="1087" t="s">
        <v>1942</v>
      </c>
      <c r="CK335" s="1087" t="s">
        <v>1942</v>
      </c>
      <c r="CL335" s="1087" t="s">
        <v>1942</v>
      </c>
      <c r="CM335" s="1088" t="s">
        <v>1942</v>
      </c>
      <c r="CN335" s="1089" t="s">
        <v>1942</v>
      </c>
      <c r="CO335" s="1087" t="s">
        <v>1942</v>
      </c>
      <c r="CP335" s="1087" t="s">
        <v>1942</v>
      </c>
      <c r="CQ335" s="1087" t="s">
        <v>1942</v>
      </c>
      <c r="CR335" s="1088" t="s">
        <v>1942</v>
      </c>
      <c r="CS335" s="1079" t="s">
        <v>1942</v>
      </c>
      <c r="CT335" s="1080" t="s">
        <v>1942</v>
      </c>
      <c r="CU335" s="1080" t="s">
        <v>1942</v>
      </c>
      <c r="CV335" s="1080" t="s">
        <v>1942</v>
      </c>
      <c r="CW335" s="1083" t="s">
        <v>1942</v>
      </c>
      <c r="CX335" s="1079" t="s">
        <v>1942</v>
      </c>
      <c r="CY335" s="1080" t="s">
        <v>1942</v>
      </c>
      <c r="CZ335" s="1080" t="s">
        <v>1942</v>
      </c>
      <c r="DA335" s="1080" t="s">
        <v>1942</v>
      </c>
      <c r="DB335" s="1083" t="s">
        <v>1942</v>
      </c>
      <c r="DC335" s="1087" t="s">
        <v>1942</v>
      </c>
      <c r="DD335" s="1087" t="s">
        <v>1942</v>
      </c>
      <c r="DE335" s="1087" t="s">
        <v>1942</v>
      </c>
      <c r="DF335" s="1087" t="s">
        <v>1942</v>
      </c>
      <c r="DG335" s="1088" t="s">
        <v>1942</v>
      </c>
      <c r="DH335" s="1089" t="s">
        <v>1942</v>
      </c>
      <c r="DI335" s="1080" t="s">
        <v>1942</v>
      </c>
      <c r="DJ335" s="1080" t="s">
        <v>1942</v>
      </c>
      <c r="DK335" s="1080" t="s">
        <v>1942</v>
      </c>
      <c r="DL335" s="1083" t="s">
        <v>1942</v>
      </c>
      <c r="DM335" s="1091">
        <v>-2.5000000000000001E-2</v>
      </c>
      <c r="DN335" s="1092" t="s">
        <v>1942</v>
      </c>
      <c r="DO335" s="1092" t="s">
        <v>1942</v>
      </c>
      <c r="DP335" s="1093" t="s">
        <v>1942</v>
      </c>
      <c r="DQ335" s="1092">
        <v>2.1000000000000001E-2</v>
      </c>
      <c r="DR335" s="1092" t="s">
        <v>1942</v>
      </c>
      <c r="DS335" s="1092" t="s">
        <v>1942</v>
      </c>
      <c r="DT335" s="1093" t="s">
        <v>1942</v>
      </c>
      <c r="DU335" s="1085" t="s">
        <v>1942</v>
      </c>
      <c r="DV335" s="1094">
        <v>1</v>
      </c>
      <c r="DW335" s="1095" t="s">
        <v>1942</v>
      </c>
    </row>
    <row r="336" spans="1:127" s="397" customFormat="1" ht="15.75" hidden="1" customHeight="1">
      <c r="A336" s="1097" t="s">
        <v>1078</v>
      </c>
      <c r="B336" s="1057">
        <v>327</v>
      </c>
      <c r="C336" s="1018"/>
      <c r="D336" s="1018"/>
      <c r="E336" s="1018"/>
      <c r="F336" s="1018"/>
      <c r="G336" s="1018"/>
      <c r="H336" s="1018"/>
      <c r="I336" s="1018"/>
      <c r="J336" s="1018"/>
      <c r="K336" s="1018"/>
      <c r="L336" s="1018"/>
      <c r="M336" s="1057"/>
      <c r="N336" s="1018"/>
      <c r="O336" s="1018"/>
      <c r="P336" s="1018"/>
      <c r="Q336" s="1018"/>
      <c r="R336" s="1018"/>
      <c r="S336" s="1018"/>
      <c r="T336" s="1019"/>
      <c r="U336" s="1098" t="s">
        <v>3351</v>
      </c>
      <c r="V336" s="1099" t="s">
        <v>3337</v>
      </c>
      <c r="W336" s="1099" t="s">
        <v>1907</v>
      </c>
      <c r="X336" s="1100" t="s">
        <v>3352</v>
      </c>
      <c r="Y336" s="1101" t="s">
        <v>3353</v>
      </c>
      <c r="Z336" s="1102" t="s">
        <v>3354</v>
      </c>
      <c r="AA336" s="1103">
        <v>1</v>
      </c>
      <c r="AB336" s="1104">
        <v>0</v>
      </c>
      <c r="AC336" s="1104" t="s">
        <v>1942</v>
      </c>
      <c r="AD336" s="1104" t="s">
        <v>1942</v>
      </c>
      <c r="AE336" s="1104">
        <v>0</v>
      </c>
      <c r="AF336" s="1104" t="s">
        <v>1942</v>
      </c>
      <c r="AG336" s="1104" t="s">
        <v>1942</v>
      </c>
      <c r="AH336" s="1104" t="s">
        <v>1942</v>
      </c>
      <c r="AI336" s="1105">
        <f t="shared" si="5"/>
        <v>1</v>
      </c>
      <c r="AJ336" s="1106" t="s">
        <v>1030</v>
      </c>
      <c r="AK336" s="1106" t="s">
        <v>1008</v>
      </c>
      <c r="AL336" s="1106" t="s">
        <v>1009</v>
      </c>
      <c r="AM336" s="1107" t="s">
        <v>1979</v>
      </c>
      <c r="AN336" s="856" t="s">
        <v>396</v>
      </c>
      <c r="AO336" s="1018" t="s">
        <v>3355</v>
      </c>
      <c r="AP336" s="1333">
        <v>2</v>
      </c>
      <c r="AQ336" s="1076" t="s">
        <v>1010</v>
      </c>
      <c r="AR336" s="1109" t="s">
        <v>1942</v>
      </c>
      <c r="AS336" s="1110"/>
      <c r="AT336" s="1100"/>
      <c r="AU336" s="1100"/>
      <c r="AV336" s="1100"/>
      <c r="AW336" s="1111"/>
      <c r="AX336" s="1112"/>
      <c r="AY336" s="1075"/>
      <c r="AZ336" s="1076"/>
      <c r="BA336" s="1076"/>
      <c r="BB336" s="1076"/>
      <c r="BC336" s="1076"/>
      <c r="BD336" s="1076"/>
      <c r="BE336" s="1076"/>
      <c r="BF336" s="1076"/>
      <c r="BG336" s="1076"/>
      <c r="BH336" s="1076"/>
      <c r="BI336" s="1420"/>
      <c r="BJ336" s="1368"/>
      <c r="BK336" s="1368"/>
      <c r="BL336" s="1368"/>
      <c r="BM336" s="1368"/>
      <c r="BN336" s="1075"/>
      <c r="BO336" s="1076"/>
      <c r="BP336" s="1076"/>
      <c r="BQ336" s="1076"/>
      <c r="BR336" s="1076"/>
      <c r="BS336" s="1115"/>
      <c r="BT336" s="1076"/>
      <c r="BU336" s="1076"/>
      <c r="BV336" s="1076"/>
      <c r="BW336" s="1116"/>
      <c r="BX336" s="1115"/>
      <c r="BY336" s="1076"/>
      <c r="BZ336" s="1076"/>
      <c r="CA336" s="1076"/>
      <c r="CB336" s="1116"/>
      <c r="CC336" s="1117"/>
      <c r="CD336" s="1376"/>
      <c r="CE336" s="1377"/>
      <c r="CF336" s="1377"/>
      <c r="CG336" s="1377"/>
      <c r="CH336" s="1440"/>
      <c r="CI336" s="1420"/>
      <c r="CJ336" s="1368"/>
      <c r="CK336" s="1368"/>
      <c r="CL336" s="1368"/>
      <c r="CM336" s="1369"/>
      <c r="CN336" s="1420"/>
      <c r="CO336" s="1368"/>
      <c r="CP336" s="1368"/>
      <c r="CQ336" s="1368"/>
      <c r="CR336" s="1369"/>
      <c r="CS336" s="1420"/>
      <c r="CT336" s="1368"/>
      <c r="CU336" s="1368"/>
      <c r="CV336" s="1368"/>
      <c r="CW336" s="1369"/>
      <c r="CX336" s="1420"/>
      <c r="CY336" s="1368"/>
      <c r="CZ336" s="1368"/>
      <c r="DA336" s="1368"/>
      <c r="DB336" s="1369"/>
      <c r="DC336" s="1368"/>
      <c r="DD336" s="1368"/>
      <c r="DE336" s="1368"/>
      <c r="DF336" s="1368"/>
      <c r="DG336" s="1369"/>
      <c r="DH336" s="1420"/>
      <c r="DI336" s="1368"/>
      <c r="DJ336" s="1368"/>
      <c r="DK336" s="1368"/>
      <c r="DL336" s="1369"/>
      <c r="DM336" s="1808"/>
      <c r="DN336" s="1809"/>
      <c r="DO336" s="1809"/>
      <c r="DP336" s="1810"/>
      <c r="DQ336" s="1809"/>
      <c r="DR336" s="1809"/>
      <c r="DS336" s="1809"/>
      <c r="DT336" s="1810"/>
      <c r="DU336" s="1377"/>
      <c r="DV336" s="1729"/>
      <c r="DW336" s="1811"/>
    </row>
    <row r="337" spans="1:127" s="397" customFormat="1" ht="15.75" hidden="1" customHeight="1">
      <c r="A337" s="1097" t="s">
        <v>1078</v>
      </c>
      <c r="B337" s="1057">
        <v>328</v>
      </c>
      <c r="C337" s="1018"/>
      <c r="D337" s="1018"/>
      <c r="E337" s="1018"/>
      <c r="F337" s="1018"/>
      <c r="G337" s="1018"/>
      <c r="H337" s="1018"/>
      <c r="I337" s="1018"/>
      <c r="J337" s="1018"/>
      <c r="K337" s="1018"/>
      <c r="L337" s="1018"/>
      <c r="M337" s="1057"/>
      <c r="N337" s="1018"/>
      <c r="O337" s="1018"/>
      <c r="P337" s="1018"/>
      <c r="Q337" s="1018"/>
      <c r="R337" s="1018"/>
      <c r="S337" s="1018"/>
      <c r="T337" s="1019"/>
      <c r="U337" s="1098" t="s">
        <v>3356</v>
      </c>
      <c r="V337" s="1099" t="s">
        <v>3337</v>
      </c>
      <c r="W337" s="1099" t="s">
        <v>1907</v>
      </c>
      <c r="X337" s="1100" t="s">
        <v>3357</v>
      </c>
      <c r="Y337" s="1101" t="s">
        <v>3358</v>
      </c>
      <c r="Z337" s="1102" t="s">
        <v>3359</v>
      </c>
      <c r="AA337" s="1103">
        <v>0</v>
      </c>
      <c r="AB337" s="1104">
        <v>1</v>
      </c>
      <c r="AC337" s="1104" t="s">
        <v>1942</v>
      </c>
      <c r="AD337" s="1104" t="s">
        <v>1942</v>
      </c>
      <c r="AE337" s="1104">
        <v>0</v>
      </c>
      <c r="AF337" s="1104" t="s">
        <v>1942</v>
      </c>
      <c r="AG337" s="1104" t="s">
        <v>1942</v>
      </c>
      <c r="AH337" s="1104" t="s">
        <v>1942</v>
      </c>
      <c r="AI337" s="1105">
        <f t="shared" si="5"/>
        <v>1</v>
      </c>
      <c r="AJ337" s="1106" t="s">
        <v>1007</v>
      </c>
      <c r="AK337" s="1106" t="s">
        <v>1942</v>
      </c>
      <c r="AL337" s="1106" t="s">
        <v>1942</v>
      </c>
      <c r="AM337" s="1107" t="s">
        <v>2054</v>
      </c>
      <c r="AN337" s="1018" t="s">
        <v>1033</v>
      </c>
      <c r="AO337" s="1018" t="s">
        <v>3360</v>
      </c>
      <c r="AP337" s="1333">
        <v>1</v>
      </c>
      <c r="AQ337" s="1076" t="s">
        <v>1010</v>
      </c>
      <c r="AR337" s="1109" t="s">
        <v>1942</v>
      </c>
      <c r="AS337" s="1110"/>
      <c r="AT337" s="1100"/>
      <c r="AU337" s="1100"/>
      <c r="AV337" s="1100"/>
      <c r="AW337" s="1111"/>
      <c r="AX337" s="1112"/>
      <c r="AY337" s="1075"/>
      <c r="AZ337" s="1076"/>
      <c r="BA337" s="1076"/>
      <c r="BB337" s="1076"/>
      <c r="BC337" s="1076"/>
      <c r="BD337" s="1076"/>
      <c r="BE337" s="1076"/>
      <c r="BF337" s="1076"/>
      <c r="BG337" s="1076"/>
      <c r="BH337" s="1076"/>
      <c r="BI337" s="1420"/>
      <c r="BJ337" s="1368"/>
      <c r="BK337" s="1368"/>
      <c r="BL337" s="1368"/>
      <c r="BM337" s="1368"/>
      <c r="BN337" s="1075"/>
      <c r="BO337" s="1076"/>
      <c r="BP337" s="1076"/>
      <c r="BQ337" s="1076"/>
      <c r="BR337" s="1076"/>
      <c r="BS337" s="1115"/>
      <c r="BT337" s="1076"/>
      <c r="BU337" s="1076"/>
      <c r="BV337" s="1076"/>
      <c r="BW337" s="1116"/>
      <c r="BX337" s="1115"/>
      <c r="BY337" s="1076"/>
      <c r="BZ337" s="1076"/>
      <c r="CA337" s="1076"/>
      <c r="CB337" s="1116"/>
      <c r="CC337" s="1117"/>
      <c r="CD337" s="1376"/>
      <c r="CE337" s="1377"/>
      <c r="CF337" s="1377"/>
      <c r="CG337" s="1377"/>
      <c r="CH337" s="1440"/>
      <c r="CI337" s="1420"/>
      <c r="CJ337" s="1368"/>
      <c r="CK337" s="1368"/>
      <c r="CL337" s="1368"/>
      <c r="CM337" s="1369"/>
      <c r="CN337" s="1420"/>
      <c r="CO337" s="1368"/>
      <c r="CP337" s="1368"/>
      <c r="CQ337" s="1368"/>
      <c r="CR337" s="1369"/>
      <c r="CS337" s="1420"/>
      <c r="CT337" s="1368"/>
      <c r="CU337" s="1368"/>
      <c r="CV337" s="1368"/>
      <c r="CW337" s="1369"/>
      <c r="CX337" s="1420"/>
      <c r="CY337" s="1368"/>
      <c r="CZ337" s="1368"/>
      <c r="DA337" s="1368"/>
      <c r="DB337" s="1369"/>
      <c r="DC337" s="1368"/>
      <c r="DD337" s="1368"/>
      <c r="DE337" s="1368"/>
      <c r="DF337" s="1368"/>
      <c r="DG337" s="1369"/>
      <c r="DH337" s="1420"/>
      <c r="DI337" s="1368"/>
      <c r="DJ337" s="1368"/>
      <c r="DK337" s="1368"/>
      <c r="DL337" s="1369"/>
      <c r="DM337" s="1808"/>
      <c r="DN337" s="1809"/>
      <c r="DO337" s="1809"/>
      <c r="DP337" s="1810"/>
      <c r="DQ337" s="1809"/>
      <c r="DR337" s="1809"/>
      <c r="DS337" s="1809"/>
      <c r="DT337" s="1810"/>
      <c r="DU337" s="1377"/>
      <c r="DV337" s="1729"/>
      <c r="DW337" s="1811"/>
    </row>
    <row r="338" spans="1:127" s="397" customFormat="1" ht="15.75" hidden="1" customHeight="1">
      <c r="A338" s="1097" t="s">
        <v>1078</v>
      </c>
      <c r="B338" s="1057">
        <v>329</v>
      </c>
      <c r="C338" s="1018"/>
      <c r="D338" s="1018"/>
      <c r="E338" s="1018"/>
      <c r="F338" s="1018"/>
      <c r="G338" s="1018"/>
      <c r="H338" s="1018"/>
      <c r="I338" s="1018"/>
      <c r="J338" s="1018"/>
      <c r="K338" s="1018"/>
      <c r="L338" s="1018"/>
      <c r="M338" s="1057"/>
      <c r="N338" s="1018"/>
      <c r="O338" s="1018"/>
      <c r="P338" s="1018"/>
      <c r="Q338" s="1018"/>
      <c r="R338" s="1018"/>
      <c r="S338" s="1018"/>
      <c r="T338" s="1019"/>
      <c r="U338" s="1098" t="s">
        <v>3361</v>
      </c>
      <c r="V338" s="1099" t="s">
        <v>3337</v>
      </c>
      <c r="W338" s="1099" t="s">
        <v>1889</v>
      </c>
      <c r="X338" s="1100" t="s">
        <v>3362</v>
      </c>
      <c r="Y338" s="1101" t="s">
        <v>3363</v>
      </c>
      <c r="Z338" s="1102" t="s">
        <v>3364</v>
      </c>
      <c r="AA338" s="1103">
        <v>0.5</v>
      </c>
      <c r="AB338" s="1104">
        <v>0.5</v>
      </c>
      <c r="AC338" s="1104" t="s">
        <v>1942</v>
      </c>
      <c r="AD338" s="1104" t="s">
        <v>1942</v>
      </c>
      <c r="AE338" s="1104">
        <v>0</v>
      </c>
      <c r="AF338" s="1104" t="s">
        <v>1942</v>
      </c>
      <c r="AG338" s="1104" t="s">
        <v>1942</v>
      </c>
      <c r="AH338" s="1104" t="s">
        <v>1942</v>
      </c>
      <c r="AI338" s="1105">
        <f t="shared" si="5"/>
        <v>1</v>
      </c>
      <c r="AJ338" s="1106" t="s">
        <v>1030</v>
      </c>
      <c r="AK338" s="1106" t="s">
        <v>1008</v>
      </c>
      <c r="AL338" s="1106" t="s">
        <v>1009</v>
      </c>
      <c r="AM338" s="1107" t="s">
        <v>2289</v>
      </c>
      <c r="AN338" s="1018" t="s">
        <v>1033</v>
      </c>
      <c r="AO338" s="1018" t="s">
        <v>3365</v>
      </c>
      <c r="AP338" s="1333">
        <v>1</v>
      </c>
      <c r="AQ338" s="1076" t="s">
        <v>1010</v>
      </c>
      <c r="AR338" s="1109" t="s">
        <v>1942</v>
      </c>
      <c r="AS338" s="1110"/>
      <c r="AT338" s="1100"/>
      <c r="AU338" s="1100"/>
      <c r="AV338" s="1100"/>
      <c r="AW338" s="1111"/>
      <c r="AX338" s="1112"/>
      <c r="AY338" s="1075"/>
      <c r="AZ338" s="1076"/>
      <c r="BA338" s="1076"/>
      <c r="BB338" s="1076"/>
      <c r="BC338" s="1076"/>
      <c r="BD338" s="1076"/>
      <c r="BE338" s="1076"/>
      <c r="BF338" s="1076"/>
      <c r="BG338" s="1076"/>
      <c r="BH338" s="1076"/>
      <c r="BI338" s="1420"/>
      <c r="BJ338" s="1368"/>
      <c r="BK338" s="1368"/>
      <c r="BL338" s="1368"/>
      <c r="BM338" s="1368"/>
      <c r="BN338" s="1075"/>
      <c r="BO338" s="1076"/>
      <c r="BP338" s="1076"/>
      <c r="BQ338" s="1076"/>
      <c r="BR338" s="1076"/>
      <c r="BS338" s="1115"/>
      <c r="BT338" s="1076"/>
      <c r="BU338" s="1076"/>
      <c r="BV338" s="1076"/>
      <c r="BW338" s="1116"/>
      <c r="BX338" s="1115"/>
      <c r="BY338" s="1076"/>
      <c r="BZ338" s="1076"/>
      <c r="CA338" s="1076"/>
      <c r="CB338" s="1116"/>
      <c r="CC338" s="1117"/>
      <c r="CD338" s="1376"/>
      <c r="CE338" s="1377"/>
      <c r="CF338" s="1377"/>
      <c r="CG338" s="1377"/>
      <c r="CH338" s="1440"/>
      <c r="CI338" s="1420"/>
      <c r="CJ338" s="1368"/>
      <c r="CK338" s="1368"/>
      <c r="CL338" s="1368"/>
      <c r="CM338" s="1369"/>
      <c r="CN338" s="1420"/>
      <c r="CO338" s="1368"/>
      <c r="CP338" s="1368"/>
      <c r="CQ338" s="1368"/>
      <c r="CR338" s="1369"/>
      <c r="CS338" s="1420"/>
      <c r="CT338" s="1368"/>
      <c r="CU338" s="1368"/>
      <c r="CV338" s="1368"/>
      <c r="CW338" s="1369"/>
      <c r="CX338" s="1420"/>
      <c r="CY338" s="1368"/>
      <c r="CZ338" s="1368"/>
      <c r="DA338" s="1368"/>
      <c r="DB338" s="1369"/>
      <c r="DC338" s="1368"/>
      <c r="DD338" s="1368"/>
      <c r="DE338" s="1368"/>
      <c r="DF338" s="1368"/>
      <c r="DG338" s="1369"/>
      <c r="DH338" s="1420"/>
      <c r="DI338" s="1368"/>
      <c r="DJ338" s="1368"/>
      <c r="DK338" s="1368"/>
      <c r="DL338" s="1369"/>
      <c r="DM338" s="1808"/>
      <c r="DN338" s="1809"/>
      <c r="DO338" s="1809"/>
      <c r="DP338" s="1810"/>
      <c r="DQ338" s="1809"/>
      <c r="DR338" s="1809"/>
      <c r="DS338" s="1809"/>
      <c r="DT338" s="1810"/>
      <c r="DU338" s="1377"/>
      <c r="DV338" s="1729"/>
      <c r="DW338" s="1811"/>
    </row>
    <row r="339" spans="1:127" s="397" customFormat="1" ht="15.75" hidden="1" customHeight="1">
      <c r="A339" s="1097" t="s">
        <v>1078</v>
      </c>
      <c r="B339" s="1057">
        <v>330</v>
      </c>
      <c r="C339" s="1018"/>
      <c r="D339" s="1018"/>
      <c r="E339" s="1018"/>
      <c r="F339" s="1018"/>
      <c r="G339" s="1018"/>
      <c r="H339" s="1018"/>
      <c r="I339" s="1018"/>
      <c r="J339" s="1018"/>
      <c r="K339" s="1018"/>
      <c r="L339" s="1018"/>
      <c r="M339" s="1057"/>
      <c r="N339" s="1018"/>
      <c r="O339" s="1018"/>
      <c r="P339" s="1018"/>
      <c r="Q339" s="1018"/>
      <c r="R339" s="1018"/>
      <c r="S339" s="1018"/>
      <c r="T339" s="1019"/>
      <c r="U339" s="1098" t="s">
        <v>3366</v>
      </c>
      <c r="V339" s="1099" t="s">
        <v>3337</v>
      </c>
      <c r="W339" s="1099" t="s">
        <v>1889</v>
      </c>
      <c r="X339" s="1100" t="s">
        <v>3367</v>
      </c>
      <c r="Y339" s="1101" t="s">
        <v>3368</v>
      </c>
      <c r="Z339" s="1102" t="s">
        <v>3369</v>
      </c>
      <c r="AA339" s="1103">
        <v>0.16200000000000001</v>
      </c>
      <c r="AB339" s="1104">
        <v>0.83799999999999997</v>
      </c>
      <c r="AC339" s="1104" t="s">
        <v>1942</v>
      </c>
      <c r="AD339" s="1104" t="s">
        <v>1942</v>
      </c>
      <c r="AE339" s="1104">
        <v>0</v>
      </c>
      <c r="AF339" s="1104" t="s">
        <v>1942</v>
      </c>
      <c r="AG339" s="1104" t="s">
        <v>1942</v>
      </c>
      <c r="AH339" s="1104" t="s">
        <v>1942</v>
      </c>
      <c r="AI339" s="1105">
        <f t="shared" si="5"/>
        <v>1</v>
      </c>
      <c r="AJ339" s="1106" t="s">
        <v>1007</v>
      </c>
      <c r="AK339" s="1106" t="s">
        <v>1942</v>
      </c>
      <c r="AL339" s="1106" t="s">
        <v>1942</v>
      </c>
      <c r="AM339" s="1107" t="s">
        <v>2132</v>
      </c>
      <c r="AN339" s="1018" t="s">
        <v>1033</v>
      </c>
      <c r="AO339" s="1018" t="s">
        <v>3370</v>
      </c>
      <c r="AP339" s="1333">
        <v>1</v>
      </c>
      <c r="AQ339" s="1076" t="s">
        <v>1020</v>
      </c>
      <c r="AR339" s="1109" t="s">
        <v>1942</v>
      </c>
      <c r="AS339" s="1110"/>
      <c r="AT339" s="1100"/>
      <c r="AU339" s="1100"/>
      <c r="AV339" s="1100"/>
      <c r="AW339" s="1111"/>
      <c r="AX339" s="1112"/>
      <c r="AY339" s="1075"/>
      <c r="AZ339" s="1076"/>
      <c r="BA339" s="1076"/>
      <c r="BB339" s="1076"/>
      <c r="BC339" s="1076"/>
      <c r="BD339" s="1076"/>
      <c r="BE339" s="1076"/>
      <c r="BF339" s="1076"/>
      <c r="BG339" s="1076"/>
      <c r="BH339" s="1076"/>
      <c r="BI339" s="1420"/>
      <c r="BJ339" s="1368"/>
      <c r="BK339" s="1368"/>
      <c r="BL339" s="1368"/>
      <c r="BM339" s="1368"/>
      <c r="BN339" s="1075"/>
      <c r="BO339" s="1076"/>
      <c r="BP339" s="1076"/>
      <c r="BQ339" s="1076"/>
      <c r="BR339" s="1076"/>
      <c r="BS339" s="1115"/>
      <c r="BT339" s="1076"/>
      <c r="BU339" s="1076"/>
      <c r="BV339" s="1076"/>
      <c r="BW339" s="1116"/>
      <c r="BX339" s="1115"/>
      <c r="BY339" s="1076"/>
      <c r="BZ339" s="1076"/>
      <c r="CA339" s="1076"/>
      <c r="CB339" s="1116"/>
      <c r="CC339" s="1117"/>
      <c r="CD339" s="1376"/>
      <c r="CE339" s="1377"/>
      <c r="CF339" s="1377"/>
      <c r="CG339" s="1377"/>
      <c r="CH339" s="1440"/>
      <c r="CI339" s="1420"/>
      <c r="CJ339" s="1368"/>
      <c r="CK339" s="1368"/>
      <c r="CL339" s="1368"/>
      <c r="CM339" s="1369"/>
      <c r="CN339" s="1420"/>
      <c r="CO339" s="1368"/>
      <c r="CP339" s="1368"/>
      <c r="CQ339" s="1368"/>
      <c r="CR339" s="1369"/>
      <c r="CS339" s="1420"/>
      <c r="CT339" s="1368"/>
      <c r="CU339" s="1368"/>
      <c r="CV339" s="1368"/>
      <c r="CW339" s="1369"/>
      <c r="CX339" s="1420"/>
      <c r="CY339" s="1368"/>
      <c r="CZ339" s="1368"/>
      <c r="DA339" s="1368"/>
      <c r="DB339" s="1369"/>
      <c r="DC339" s="1368"/>
      <c r="DD339" s="1368"/>
      <c r="DE339" s="1368"/>
      <c r="DF339" s="1368"/>
      <c r="DG339" s="1369"/>
      <c r="DH339" s="1420"/>
      <c r="DI339" s="1368"/>
      <c r="DJ339" s="1368"/>
      <c r="DK339" s="1368"/>
      <c r="DL339" s="1369"/>
      <c r="DM339" s="1808"/>
      <c r="DN339" s="1809"/>
      <c r="DO339" s="1809"/>
      <c r="DP339" s="1810"/>
      <c r="DQ339" s="1809"/>
      <c r="DR339" s="1809"/>
      <c r="DS339" s="1809"/>
      <c r="DT339" s="1810"/>
      <c r="DU339" s="1377"/>
      <c r="DV339" s="1729"/>
      <c r="DW339" s="1811"/>
    </row>
    <row r="340" spans="1:127" s="397" customFormat="1" ht="15.75" hidden="1" customHeight="1">
      <c r="A340" s="1097" t="s">
        <v>1078</v>
      </c>
      <c r="B340" s="1057">
        <v>331</v>
      </c>
      <c r="C340" s="1018"/>
      <c r="D340" s="1018"/>
      <c r="E340" s="1018"/>
      <c r="F340" s="1018"/>
      <c r="G340" s="1018"/>
      <c r="H340" s="1018"/>
      <c r="I340" s="1018"/>
      <c r="J340" s="1018"/>
      <c r="K340" s="1018"/>
      <c r="L340" s="1018"/>
      <c r="M340" s="1057"/>
      <c r="N340" s="1018"/>
      <c r="O340" s="1018"/>
      <c r="P340" s="1018"/>
      <c r="Q340" s="1018"/>
      <c r="R340" s="1018"/>
      <c r="S340" s="1018"/>
      <c r="T340" s="1019"/>
      <c r="U340" s="1098" t="s">
        <v>3371</v>
      </c>
      <c r="V340" s="1099" t="s">
        <v>3372</v>
      </c>
      <c r="W340" s="1099" t="s">
        <v>1907</v>
      </c>
      <c r="X340" s="1100" t="s">
        <v>2397</v>
      </c>
      <c r="Y340" s="1101" t="s">
        <v>130</v>
      </c>
      <c r="Z340" s="1102" t="s">
        <v>3373</v>
      </c>
      <c r="AA340" s="1103">
        <v>0</v>
      </c>
      <c r="AB340" s="1104">
        <v>1</v>
      </c>
      <c r="AC340" s="1104" t="s">
        <v>1942</v>
      </c>
      <c r="AD340" s="1104" t="s">
        <v>1942</v>
      </c>
      <c r="AE340" s="1104">
        <v>0</v>
      </c>
      <c r="AF340" s="1104" t="s">
        <v>1942</v>
      </c>
      <c r="AG340" s="1104" t="s">
        <v>1942</v>
      </c>
      <c r="AH340" s="1104" t="s">
        <v>1942</v>
      </c>
      <c r="AI340" s="1105">
        <f t="shared" si="5"/>
        <v>1</v>
      </c>
      <c r="AJ340" s="1106" t="s">
        <v>1026</v>
      </c>
      <c r="AK340" s="1106" t="s">
        <v>1008</v>
      </c>
      <c r="AL340" s="1106" t="s">
        <v>1009</v>
      </c>
      <c r="AM340" s="1107" t="s">
        <v>1926</v>
      </c>
      <c r="AN340" s="1018" t="s">
        <v>2177</v>
      </c>
      <c r="AO340" s="1018" t="s">
        <v>4795</v>
      </c>
      <c r="AP340" s="1307">
        <v>2</v>
      </c>
      <c r="AQ340" s="1076" t="s">
        <v>1020</v>
      </c>
      <c r="AR340" s="1109" t="s">
        <v>130</v>
      </c>
      <c r="AS340" s="1110"/>
      <c r="AT340" s="1100"/>
      <c r="AU340" s="1100"/>
      <c r="AV340" s="1100"/>
      <c r="AW340" s="1111"/>
      <c r="AX340" s="1112"/>
      <c r="AY340" s="1075"/>
      <c r="AZ340" s="1076"/>
      <c r="BA340" s="1076"/>
      <c r="BB340" s="1076"/>
      <c r="BC340" s="1076"/>
      <c r="BD340" s="1076"/>
      <c r="BE340" s="1076"/>
      <c r="BF340" s="1076"/>
      <c r="BG340" s="1126"/>
      <c r="BH340" s="1126"/>
      <c r="BI340" s="1127">
        <v>0</v>
      </c>
      <c r="BJ340" s="1126">
        <v>0</v>
      </c>
      <c r="BK340" s="1126">
        <v>0</v>
      </c>
      <c r="BL340" s="1126">
        <v>0</v>
      </c>
      <c r="BM340" s="1126">
        <v>0</v>
      </c>
      <c r="BN340" s="1075"/>
      <c r="BO340" s="1076"/>
      <c r="BP340" s="1076"/>
      <c r="BQ340" s="1076"/>
      <c r="BR340" s="1076"/>
      <c r="BS340" s="1115"/>
      <c r="BT340" s="1076"/>
      <c r="BU340" s="1076"/>
      <c r="BV340" s="1076"/>
      <c r="BW340" s="1116"/>
      <c r="BX340" s="1115"/>
      <c r="BY340" s="1076"/>
      <c r="BZ340" s="1076"/>
      <c r="CA340" s="1076"/>
      <c r="CB340" s="1116"/>
      <c r="CC340" s="1117"/>
      <c r="CD340" s="1118" t="s">
        <v>168</v>
      </c>
      <c r="CE340" s="1119" t="s">
        <v>168</v>
      </c>
      <c r="CF340" s="1119" t="s">
        <v>168</v>
      </c>
      <c r="CG340" s="1119" t="s">
        <v>168</v>
      </c>
      <c r="CH340" s="1120" t="s">
        <v>168</v>
      </c>
      <c r="CI340" s="1075" t="s">
        <v>1942</v>
      </c>
      <c r="CJ340" s="1076" t="s">
        <v>1942</v>
      </c>
      <c r="CK340" s="1076" t="s">
        <v>1942</v>
      </c>
      <c r="CL340" s="1076" t="s">
        <v>1942</v>
      </c>
      <c r="CM340" s="1117" t="s">
        <v>1942</v>
      </c>
      <c r="CN340" s="1075">
        <v>6.7</v>
      </c>
      <c r="CO340" s="1076">
        <v>7.4</v>
      </c>
      <c r="CP340" s="1076">
        <v>8.1</v>
      </c>
      <c r="CQ340" s="1076">
        <v>8.8000000000000007</v>
      </c>
      <c r="CR340" s="1117">
        <v>9.5</v>
      </c>
      <c r="CS340" s="1075">
        <v>2</v>
      </c>
      <c r="CT340" s="1076">
        <v>2</v>
      </c>
      <c r="CU340" s="1076">
        <v>2</v>
      </c>
      <c r="CV340" s="1076">
        <v>2</v>
      </c>
      <c r="CW340" s="1117">
        <v>2</v>
      </c>
      <c r="CX340" s="1075" t="s">
        <v>1942</v>
      </c>
      <c r="CY340" s="1076" t="s">
        <v>1942</v>
      </c>
      <c r="CZ340" s="1076" t="s">
        <v>1942</v>
      </c>
      <c r="DA340" s="1076" t="s">
        <v>1942</v>
      </c>
      <c r="DB340" s="1117" t="s">
        <v>1942</v>
      </c>
      <c r="DC340" s="1076" t="s">
        <v>1942</v>
      </c>
      <c r="DD340" s="1076" t="s">
        <v>1942</v>
      </c>
      <c r="DE340" s="1076" t="s">
        <v>1942</v>
      </c>
      <c r="DF340" s="1076" t="s">
        <v>1942</v>
      </c>
      <c r="DG340" s="1117" t="s">
        <v>1942</v>
      </c>
      <c r="DH340" s="1075" t="s">
        <v>1942</v>
      </c>
      <c r="DI340" s="1076" t="s">
        <v>1942</v>
      </c>
      <c r="DJ340" s="1076" t="s">
        <v>1942</v>
      </c>
      <c r="DK340" s="1076" t="s">
        <v>1942</v>
      </c>
      <c r="DL340" s="1117" t="s">
        <v>1942</v>
      </c>
      <c r="DM340" s="1121">
        <v>-0.26700000000000002</v>
      </c>
      <c r="DN340" s="1122" t="s">
        <v>1942</v>
      </c>
      <c r="DO340" s="1122" t="s">
        <v>1942</v>
      </c>
      <c r="DP340" s="1123" t="s">
        <v>1942</v>
      </c>
      <c r="DQ340" s="1122">
        <v>0</v>
      </c>
      <c r="DR340" s="1122" t="s">
        <v>1942</v>
      </c>
      <c r="DS340" s="1122" t="s">
        <v>1942</v>
      </c>
      <c r="DT340" s="1123" t="s">
        <v>1942</v>
      </c>
      <c r="DU340" s="1119" t="s">
        <v>1942</v>
      </c>
      <c r="DV340" s="1124">
        <v>1</v>
      </c>
      <c r="DW340" s="1125" t="s">
        <v>1942</v>
      </c>
    </row>
    <row r="341" spans="1:127" s="397" customFormat="1" ht="15.75" hidden="1" customHeight="1">
      <c r="A341" s="1097" t="s">
        <v>1078</v>
      </c>
      <c r="B341" s="1057">
        <v>332</v>
      </c>
      <c r="C341" s="1018"/>
      <c r="D341" s="1018"/>
      <c r="E341" s="1018"/>
      <c r="F341" s="1018"/>
      <c r="G341" s="1018"/>
      <c r="H341" s="1018"/>
      <c r="I341" s="1018"/>
      <c r="J341" s="1018"/>
      <c r="K341" s="1018"/>
      <c r="L341" s="1018"/>
      <c r="M341" s="1057"/>
      <c r="N341" s="1018"/>
      <c r="O341" s="1018"/>
      <c r="P341" s="1018"/>
      <c r="Q341" s="1018"/>
      <c r="R341" s="1018"/>
      <c r="S341" s="1018"/>
      <c r="T341" s="1019"/>
      <c r="U341" s="1098" t="s">
        <v>3375</v>
      </c>
      <c r="V341" s="1099" t="s">
        <v>3372</v>
      </c>
      <c r="W341" s="1099" t="s">
        <v>1896</v>
      </c>
      <c r="X341" s="1100" t="s">
        <v>3376</v>
      </c>
      <c r="Y341" s="1101" t="s">
        <v>137</v>
      </c>
      <c r="Z341" s="1102" t="s">
        <v>3377</v>
      </c>
      <c r="AA341" s="1103">
        <v>0</v>
      </c>
      <c r="AB341" s="1104">
        <v>1</v>
      </c>
      <c r="AC341" s="1104" t="s">
        <v>1942</v>
      </c>
      <c r="AD341" s="1104" t="s">
        <v>1942</v>
      </c>
      <c r="AE341" s="1104">
        <v>0</v>
      </c>
      <c r="AF341" s="1104" t="s">
        <v>1942</v>
      </c>
      <c r="AG341" s="1104" t="s">
        <v>1942</v>
      </c>
      <c r="AH341" s="1104" t="s">
        <v>1942</v>
      </c>
      <c r="AI341" s="1105">
        <f t="shared" si="5"/>
        <v>1</v>
      </c>
      <c r="AJ341" s="1106" t="s">
        <v>1030</v>
      </c>
      <c r="AK341" s="1106" t="s">
        <v>1008</v>
      </c>
      <c r="AL341" s="1106" t="s">
        <v>1009</v>
      </c>
      <c r="AM341" s="1107" t="s">
        <v>1892</v>
      </c>
      <c r="AN341" s="1018" t="s">
        <v>4789</v>
      </c>
      <c r="AO341" s="1018" t="s">
        <v>4790</v>
      </c>
      <c r="AP341" s="1307">
        <v>0</v>
      </c>
      <c r="AQ341" s="1076" t="s">
        <v>1020</v>
      </c>
      <c r="AR341" s="1109" t="s">
        <v>137</v>
      </c>
      <c r="AS341" s="1110"/>
      <c r="AT341" s="1100"/>
      <c r="AU341" s="1100"/>
      <c r="AV341" s="1100"/>
      <c r="AW341" s="1111"/>
      <c r="AX341" s="1112"/>
      <c r="AY341" s="1075"/>
      <c r="AZ341" s="1076"/>
      <c r="BA341" s="1076"/>
      <c r="BB341" s="1076"/>
      <c r="BC341" s="1076"/>
      <c r="BD341" s="1076"/>
      <c r="BE341" s="1076"/>
      <c r="BF341" s="1076"/>
      <c r="BG341" s="1150"/>
      <c r="BH341" s="1150"/>
      <c r="BI341" s="1149">
        <v>4.5138888888888893E-3</v>
      </c>
      <c r="BJ341" s="1150">
        <v>4.2592592592592595E-3</v>
      </c>
      <c r="BK341" s="1150">
        <v>3.9930555555555561E-3</v>
      </c>
      <c r="BL341" s="1150">
        <v>3.7384259259259263E-3</v>
      </c>
      <c r="BM341" s="1150">
        <v>3.472222222222222E-3</v>
      </c>
      <c r="BN341" s="1075"/>
      <c r="BO341" s="1076"/>
      <c r="BP341" s="1076"/>
      <c r="BQ341" s="1076"/>
      <c r="BR341" s="1076"/>
      <c r="BS341" s="1115"/>
      <c r="BT341" s="1076"/>
      <c r="BU341" s="1076"/>
      <c r="BV341" s="1076"/>
      <c r="BW341" s="1116"/>
      <c r="BX341" s="1115"/>
      <c r="BY341" s="1076"/>
      <c r="BZ341" s="1076"/>
      <c r="CA341" s="1076"/>
      <c r="CB341" s="1116"/>
      <c r="CC341" s="1117"/>
      <c r="CD341" s="1118" t="s">
        <v>168</v>
      </c>
      <c r="CE341" s="1119" t="s">
        <v>168</v>
      </c>
      <c r="CF341" s="1119" t="s">
        <v>168</v>
      </c>
      <c r="CG341" s="1119" t="s">
        <v>168</v>
      </c>
      <c r="CH341" s="1120" t="s">
        <v>168</v>
      </c>
      <c r="CI341" s="1149" t="s">
        <v>1942</v>
      </c>
      <c r="CJ341" s="1150" t="s">
        <v>1942</v>
      </c>
      <c r="CK341" s="1150" t="s">
        <v>1942</v>
      </c>
      <c r="CL341" s="1150" t="s">
        <v>1942</v>
      </c>
      <c r="CM341" s="1153" t="s">
        <v>1942</v>
      </c>
      <c r="CN341" s="1149">
        <v>7.2916666666666659E-3</v>
      </c>
      <c r="CO341" s="1150">
        <v>7.6388888888888886E-3</v>
      </c>
      <c r="CP341" s="1150">
        <v>7.9861111111111105E-3</v>
      </c>
      <c r="CQ341" s="1150">
        <v>8.3333333333333297E-3</v>
      </c>
      <c r="CR341" s="1153">
        <v>8.6805555555555594E-3</v>
      </c>
      <c r="CS341" s="1149" t="s">
        <v>1942</v>
      </c>
      <c r="CT341" s="1150" t="s">
        <v>1942</v>
      </c>
      <c r="CU341" s="1150" t="s">
        <v>1942</v>
      </c>
      <c r="CV341" s="1150" t="s">
        <v>1942</v>
      </c>
      <c r="CW341" s="1153" t="s">
        <v>1942</v>
      </c>
      <c r="CX341" s="1149" t="s">
        <v>1942</v>
      </c>
      <c r="CY341" s="1150" t="s">
        <v>1942</v>
      </c>
      <c r="CZ341" s="1150" t="s">
        <v>1942</v>
      </c>
      <c r="DA341" s="1150" t="s">
        <v>1942</v>
      </c>
      <c r="DB341" s="1153" t="s">
        <v>1942</v>
      </c>
      <c r="DC341" s="1150">
        <v>2.8009259259259268E-3</v>
      </c>
      <c r="DD341" s="1150">
        <v>2.5462962962962965E-3</v>
      </c>
      <c r="DE341" s="1150">
        <v>2.2800925925925931E-3</v>
      </c>
      <c r="DF341" s="1150">
        <v>2.0254629629629633E-3</v>
      </c>
      <c r="DG341" s="1153">
        <v>1.7592592592592592E-3</v>
      </c>
      <c r="DH341" s="1149" t="s">
        <v>1942</v>
      </c>
      <c r="DI341" s="1150" t="s">
        <v>1942</v>
      </c>
      <c r="DJ341" s="1150" t="s">
        <v>1942</v>
      </c>
      <c r="DK341" s="1150" t="s">
        <v>1942</v>
      </c>
      <c r="DL341" s="1153" t="s">
        <v>1942</v>
      </c>
      <c r="DM341" s="1121">
        <v>-0.19700000000000001</v>
      </c>
      <c r="DN341" s="1122" t="s">
        <v>1942</v>
      </c>
      <c r="DO341" s="1122" t="s">
        <v>1942</v>
      </c>
      <c r="DP341" s="1123" t="s">
        <v>1942</v>
      </c>
      <c r="DQ341" s="1122">
        <v>0.19700000000000001</v>
      </c>
      <c r="DR341" s="1122" t="s">
        <v>1942</v>
      </c>
      <c r="DS341" s="1122" t="s">
        <v>1942</v>
      </c>
      <c r="DT341" s="1123" t="s">
        <v>1942</v>
      </c>
      <c r="DU341" s="1119" t="s">
        <v>1942</v>
      </c>
      <c r="DV341" s="1124">
        <v>1</v>
      </c>
      <c r="DW341" s="1125" t="s">
        <v>1942</v>
      </c>
    </row>
    <row r="342" spans="1:127" s="397" customFormat="1" ht="15.75" hidden="1" customHeight="1">
      <c r="A342" s="1097" t="s">
        <v>1078</v>
      </c>
      <c r="B342" s="1057">
        <v>333</v>
      </c>
      <c r="C342" s="1018"/>
      <c r="D342" s="1018"/>
      <c r="E342" s="1018"/>
      <c r="F342" s="1018"/>
      <c r="G342" s="1018"/>
      <c r="H342" s="1018"/>
      <c r="I342" s="1018"/>
      <c r="J342" s="1018"/>
      <c r="K342" s="1018"/>
      <c r="L342" s="1018"/>
      <c r="M342" s="1057"/>
      <c r="N342" s="1018"/>
      <c r="O342" s="1018"/>
      <c r="P342" s="1018"/>
      <c r="Q342" s="1018"/>
      <c r="R342" s="1018"/>
      <c r="S342" s="1018"/>
      <c r="T342" s="1019"/>
      <c r="U342" s="1098" t="s">
        <v>3379</v>
      </c>
      <c r="V342" s="1099" t="s">
        <v>3372</v>
      </c>
      <c r="W342" s="1099" t="s">
        <v>1907</v>
      </c>
      <c r="X342" s="1100" t="s">
        <v>3380</v>
      </c>
      <c r="Y342" s="1101" t="s">
        <v>535</v>
      </c>
      <c r="Z342" s="1102" t="s">
        <v>3381</v>
      </c>
      <c r="AA342" s="1103">
        <v>1</v>
      </c>
      <c r="AB342" s="1104">
        <v>0</v>
      </c>
      <c r="AC342" s="1104" t="s">
        <v>1942</v>
      </c>
      <c r="AD342" s="1104" t="s">
        <v>1942</v>
      </c>
      <c r="AE342" s="1104">
        <v>0</v>
      </c>
      <c r="AF342" s="1104" t="s">
        <v>1942</v>
      </c>
      <c r="AG342" s="1104" t="s">
        <v>1942</v>
      </c>
      <c r="AH342" s="1104" t="s">
        <v>1942</v>
      </c>
      <c r="AI342" s="1105">
        <f t="shared" si="5"/>
        <v>1</v>
      </c>
      <c r="AJ342" s="1106" t="s">
        <v>1007</v>
      </c>
      <c r="AK342" s="1106" t="s">
        <v>1942</v>
      </c>
      <c r="AL342" s="1106" t="s">
        <v>1942</v>
      </c>
      <c r="AM342" s="1107" t="s">
        <v>2944</v>
      </c>
      <c r="AN342" s="1018" t="s">
        <v>278</v>
      </c>
      <c r="AO342" s="1018" t="s">
        <v>4792</v>
      </c>
      <c r="AP342" s="1307">
        <v>1</v>
      </c>
      <c r="AQ342" s="1076" t="s">
        <v>1020</v>
      </c>
      <c r="AR342" s="1109" t="s">
        <v>535</v>
      </c>
      <c r="AS342" s="1110"/>
      <c r="AT342" s="1100"/>
      <c r="AU342" s="1100"/>
      <c r="AV342" s="1100"/>
      <c r="AW342" s="1111"/>
      <c r="AX342" s="1112"/>
      <c r="AY342" s="1075"/>
      <c r="AZ342" s="1076"/>
      <c r="BA342" s="1076"/>
      <c r="BB342" s="1076"/>
      <c r="BC342" s="1076"/>
      <c r="BD342" s="1076"/>
      <c r="BE342" s="1076"/>
      <c r="BF342" s="1076"/>
      <c r="BG342" s="1113"/>
      <c r="BH342" s="1113"/>
      <c r="BI342" s="1114">
        <v>0</v>
      </c>
      <c r="BJ342" s="1113">
        <v>0</v>
      </c>
      <c r="BK342" s="1113">
        <v>0</v>
      </c>
      <c r="BL342" s="1113">
        <v>0</v>
      </c>
      <c r="BM342" s="1113">
        <v>0</v>
      </c>
      <c r="BN342" s="1075"/>
      <c r="BO342" s="1076"/>
      <c r="BP342" s="1076"/>
      <c r="BQ342" s="1076"/>
      <c r="BR342" s="1076"/>
      <c r="BS342" s="1115"/>
      <c r="BT342" s="1076"/>
      <c r="BU342" s="1076"/>
      <c r="BV342" s="1076"/>
      <c r="BW342" s="1116"/>
      <c r="BX342" s="1115"/>
      <c r="BY342" s="1076"/>
      <c r="BZ342" s="1076"/>
      <c r="CA342" s="1076"/>
      <c r="CB342" s="1116"/>
      <c r="CC342" s="1117"/>
      <c r="CD342" s="1118" t="s">
        <v>1942</v>
      </c>
      <c r="CE342" s="1119" t="s">
        <v>1942</v>
      </c>
      <c r="CF342" s="1119" t="s">
        <v>1942</v>
      </c>
      <c r="CG342" s="1119" t="s">
        <v>1942</v>
      </c>
      <c r="CH342" s="1120" t="s">
        <v>1942</v>
      </c>
      <c r="CI342" s="1075" t="s">
        <v>1942</v>
      </c>
      <c r="CJ342" s="1076" t="s">
        <v>1942</v>
      </c>
      <c r="CK342" s="1076" t="s">
        <v>1942</v>
      </c>
      <c r="CL342" s="1076" t="s">
        <v>1942</v>
      </c>
      <c r="CM342" s="1117" t="s">
        <v>1942</v>
      </c>
      <c r="CN342" s="1075" t="s">
        <v>1942</v>
      </c>
      <c r="CO342" s="1076" t="s">
        <v>1942</v>
      </c>
      <c r="CP342" s="1076" t="s">
        <v>1942</v>
      </c>
      <c r="CQ342" s="1076" t="s">
        <v>1942</v>
      </c>
      <c r="CR342" s="1117" t="s">
        <v>1942</v>
      </c>
      <c r="CS342" s="1075" t="s">
        <v>1942</v>
      </c>
      <c r="CT342" s="1076" t="s">
        <v>1942</v>
      </c>
      <c r="CU342" s="1076" t="s">
        <v>1942</v>
      </c>
      <c r="CV342" s="1076" t="s">
        <v>1942</v>
      </c>
      <c r="CW342" s="1117" t="s">
        <v>1942</v>
      </c>
      <c r="CX342" s="1075" t="s">
        <v>1942</v>
      </c>
      <c r="CY342" s="1076" t="s">
        <v>1942</v>
      </c>
      <c r="CZ342" s="1076" t="s">
        <v>1942</v>
      </c>
      <c r="DA342" s="1076" t="s">
        <v>1942</v>
      </c>
      <c r="DB342" s="1117" t="s">
        <v>1942</v>
      </c>
      <c r="DC342" s="1076" t="s">
        <v>1942</v>
      </c>
      <c r="DD342" s="1076" t="s">
        <v>1942</v>
      </c>
      <c r="DE342" s="1076" t="s">
        <v>1942</v>
      </c>
      <c r="DF342" s="1076" t="s">
        <v>1942</v>
      </c>
      <c r="DG342" s="1117" t="s">
        <v>1942</v>
      </c>
      <c r="DH342" s="1075" t="s">
        <v>1942</v>
      </c>
      <c r="DI342" s="1076" t="s">
        <v>1942</v>
      </c>
      <c r="DJ342" s="1076" t="s">
        <v>1942</v>
      </c>
      <c r="DK342" s="1076" t="s">
        <v>1942</v>
      </c>
      <c r="DL342" s="1117" t="s">
        <v>1942</v>
      </c>
      <c r="DM342" s="1121" t="s">
        <v>1942</v>
      </c>
      <c r="DN342" s="1122" t="s">
        <v>1942</v>
      </c>
      <c r="DO342" s="1122" t="s">
        <v>1942</v>
      </c>
      <c r="DP342" s="1123" t="s">
        <v>1942</v>
      </c>
      <c r="DQ342" s="1122" t="s">
        <v>1942</v>
      </c>
      <c r="DR342" s="1122" t="s">
        <v>1942</v>
      </c>
      <c r="DS342" s="1122" t="s">
        <v>1942</v>
      </c>
      <c r="DT342" s="1123" t="s">
        <v>1942</v>
      </c>
      <c r="DU342" s="1119" t="s">
        <v>1942</v>
      </c>
      <c r="DV342" s="1124">
        <v>1</v>
      </c>
      <c r="DW342" s="1125" t="s">
        <v>1942</v>
      </c>
    </row>
    <row r="343" spans="1:127" s="397" customFormat="1" ht="15.75" hidden="1" customHeight="1">
      <c r="A343" s="1097" t="s">
        <v>1078</v>
      </c>
      <c r="B343" s="1057">
        <v>334</v>
      </c>
      <c r="C343" s="1018"/>
      <c r="D343" s="1018"/>
      <c r="E343" s="1018"/>
      <c r="F343" s="1018"/>
      <c r="G343" s="1018"/>
      <c r="H343" s="1018"/>
      <c r="I343" s="1018"/>
      <c r="J343" s="1018"/>
      <c r="K343" s="1018"/>
      <c r="L343" s="1018"/>
      <c r="M343" s="1057"/>
      <c r="N343" s="1018"/>
      <c r="O343" s="1018"/>
      <c r="P343" s="1018"/>
      <c r="Q343" s="1018"/>
      <c r="R343" s="1018"/>
      <c r="S343" s="1018"/>
      <c r="T343" s="1019"/>
      <c r="U343" s="1098" t="s">
        <v>3382</v>
      </c>
      <c r="V343" s="1099" t="s">
        <v>3372</v>
      </c>
      <c r="W343" s="1099" t="s">
        <v>1907</v>
      </c>
      <c r="X343" s="1100" t="s">
        <v>3383</v>
      </c>
      <c r="Y343" s="1101" t="s">
        <v>161</v>
      </c>
      <c r="Z343" s="1102" t="s">
        <v>3384</v>
      </c>
      <c r="AA343" s="1103">
        <v>0</v>
      </c>
      <c r="AB343" s="1104">
        <v>1</v>
      </c>
      <c r="AC343" s="1104" t="s">
        <v>1942</v>
      </c>
      <c r="AD343" s="1104" t="s">
        <v>1942</v>
      </c>
      <c r="AE343" s="1104">
        <v>0</v>
      </c>
      <c r="AF343" s="1104" t="s">
        <v>1942</v>
      </c>
      <c r="AG343" s="1104" t="s">
        <v>1942</v>
      </c>
      <c r="AH343" s="1104" t="s">
        <v>1942</v>
      </c>
      <c r="AI343" s="1105">
        <f t="shared" si="5"/>
        <v>1</v>
      </c>
      <c r="AJ343" s="1106" t="s">
        <v>1030</v>
      </c>
      <c r="AK343" s="1106" t="s">
        <v>1008</v>
      </c>
      <c r="AL343" s="1106" t="s">
        <v>1009</v>
      </c>
      <c r="AM343" s="1107" t="s">
        <v>1920</v>
      </c>
      <c r="AN343" s="1018" t="s">
        <v>2177</v>
      </c>
      <c r="AO343" s="1018" t="s">
        <v>4794</v>
      </c>
      <c r="AP343" s="1307">
        <v>1</v>
      </c>
      <c r="AQ343" s="1076" t="s">
        <v>1020</v>
      </c>
      <c r="AR343" s="1109" t="s">
        <v>161</v>
      </c>
      <c r="AS343" s="1110"/>
      <c r="AT343" s="1100"/>
      <c r="AU343" s="1100"/>
      <c r="AV343" s="1100"/>
      <c r="AW343" s="1111"/>
      <c r="AX343" s="1112"/>
      <c r="AY343" s="1075"/>
      <c r="AZ343" s="1076"/>
      <c r="BA343" s="1076"/>
      <c r="BB343" s="1076"/>
      <c r="BC343" s="1076"/>
      <c r="BD343" s="1076"/>
      <c r="BE343" s="1076"/>
      <c r="BF343" s="1076"/>
      <c r="BG343" s="1113"/>
      <c r="BH343" s="1113"/>
      <c r="BI343" s="1114">
        <v>129.6</v>
      </c>
      <c r="BJ343" s="1113">
        <v>127.8</v>
      </c>
      <c r="BK343" s="1113">
        <v>126</v>
      </c>
      <c r="BL343" s="1113">
        <v>124.2</v>
      </c>
      <c r="BM343" s="1113">
        <v>122.4</v>
      </c>
      <c r="BN343" s="1075"/>
      <c r="BO343" s="1076"/>
      <c r="BP343" s="1076"/>
      <c r="BQ343" s="1076"/>
      <c r="BR343" s="1076"/>
      <c r="BS343" s="1115"/>
      <c r="BT343" s="1076"/>
      <c r="BU343" s="1076"/>
      <c r="BV343" s="1076"/>
      <c r="BW343" s="1116"/>
      <c r="BX343" s="1115"/>
      <c r="BY343" s="1076"/>
      <c r="BZ343" s="1076"/>
      <c r="CA343" s="1076"/>
      <c r="CB343" s="1116"/>
      <c r="CC343" s="1117"/>
      <c r="CD343" s="1118" t="s">
        <v>168</v>
      </c>
      <c r="CE343" s="1119" t="s">
        <v>168</v>
      </c>
      <c r="CF343" s="1119" t="s">
        <v>168</v>
      </c>
      <c r="CG343" s="1119" t="s">
        <v>168</v>
      </c>
      <c r="CH343" s="1120" t="s">
        <v>168</v>
      </c>
      <c r="CI343" s="1075" t="s">
        <v>1942</v>
      </c>
      <c r="CJ343" s="1076" t="s">
        <v>1942</v>
      </c>
      <c r="CK343" s="1076" t="s">
        <v>1942</v>
      </c>
      <c r="CL343" s="1076" t="s">
        <v>1942</v>
      </c>
      <c r="CM343" s="1117" t="s">
        <v>1942</v>
      </c>
      <c r="CN343" s="1075">
        <v>142</v>
      </c>
      <c r="CO343" s="1076">
        <v>144</v>
      </c>
      <c r="CP343" s="1076">
        <v>146</v>
      </c>
      <c r="CQ343" s="1076">
        <v>148</v>
      </c>
      <c r="CR343" s="1117">
        <v>150</v>
      </c>
      <c r="CS343" s="1075" t="s">
        <v>1942</v>
      </c>
      <c r="CT343" s="1076" t="s">
        <v>1942</v>
      </c>
      <c r="CU343" s="1076" t="s">
        <v>1942</v>
      </c>
      <c r="CV343" s="1076" t="s">
        <v>1942</v>
      </c>
      <c r="CW343" s="1117" t="s">
        <v>1942</v>
      </c>
      <c r="CX343" s="1075" t="s">
        <v>1942</v>
      </c>
      <c r="CY343" s="1076" t="s">
        <v>1942</v>
      </c>
      <c r="CZ343" s="1076" t="s">
        <v>1942</v>
      </c>
      <c r="DA343" s="1076" t="s">
        <v>1942</v>
      </c>
      <c r="DB343" s="1117" t="s">
        <v>1942</v>
      </c>
      <c r="DC343" s="1076">
        <v>111.6</v>
      </c>
      <c r="DD343" s="1076">
        <v>109.8</v>
      </c>
      <c r="DE343" s="1076">
        <v>108</v>
      </c>
      <c r="DF343" s="1076">
        <v>106.2</v>
      </c>
      <c r="DG343" s="1117">
        <v>104.4</v>
      </c>
      <c r="DH343" s="1075" t="s">
        <v>1942</v>
      </c>
      <c r="DI343" s="1076" t="s">
        <v>1942</v>
      </c>
      <c r="DJ343" s="1076" t="s">
        <v>1942</v>
      </c>
      <c r="DK343" s="1076" t="s">
        <v>1942</v>
      </c>
      <c r="DL343" s="1117" t="s">
        <v>1942</v>
      </c>
      <c r="DM343" s="1121">
        <v>-5.6000000000000001E-2</v>
      </c>
      <c r="DN343" s="1122" t="s">
        <v>1942</v>
      </c>
      <c r="DO343" s="1122" t="s">
        <v>1942</v>
      </c>
      <c r="DP343" s="1123" t="s">
        <v>1942</v>
      </c>
      <c r="DQ343" s="1122">
        <v>1.9E-2</v>
      </c>
      <c r="DR343" s="1122" t="s">
        <v>1942</v>
      </c>
      <c r="DS343" s="1122" t="s">
        <v>1942</v>
      </c>
      <c r="DT343" s="1123" t="s">
        <v>1942</v>
      </c>
      <c r="DU343" s="1119" t="s">
        <v>1942</v>
      </c>
      <c r="DV343" s="1124">
        <v>1</v>
      </c>
      <c r="DW343" s="1125" t="s">
        <v>1942</v>
      </c>
    </row>
    <row r="344" spans="1:127" s="397" customFormat="1" ht="15.75" hidden="1" customHeight="1">
      <c r="A344" s="1097" t="s">
        <v>1078</v>
      </c>
      <c r="B344" s="1057">
        <v>335</v>
      </c>
      <c r="C344" s="1018"/>
      <c r="D344" s="1018"/>
      <c r="E344" s="1018"/>
      <c r="F344" s="1018"/>
      <c r="G344" s="1018"/>
      <c r="H344" s="1018"/>
      <c r="I344" s="1018"/>
      <c r="J344" s="1018"/>
      <c r="K344" s="1018"/>
      <c r="L344" s="1018"/>
      <c r="M344" s="1057"/>
      <c r="N344" s="1018"/>
      <c r="O344" s="1018"/>
      <c r="P344" s="1018"/>
      <c r="Q344" s="1018"/>
      <c r="R344" s="1018"/>
      <c r="S344" s="1018"/>
      <c r="T344" s="1019"/>
      <c r="U344" s="1098" t="s">
        <v>3386</v>
      </c>
      <c r="V344" s="1099" t="s">
        <v>3372</v>
      </c>
      <c r="W344" s="1099" t="s">
        <v>1907</v>
      </c>
      <c r="X344" s="1100" t="s">
        <v>3387</v>
      </c>
      <c r="Y344" s="1101" t="s">
        <v>167</v>
      </c>
      <c r="Z344" s="1102" t="s">
        <v>3388</v>
      </c>
      <c r="AA344" s="1103">
        <v>0.10100000000000001</v>
      </c>
      <c r="AB344" s="1104">
        <v>0.89900000000000002</v>
      </c>
      <c r="AC344" s="1104" t="s">
        <v>1942</v>
      </c>
      <c r="AD344" s="1104" t="s">
        <v>1942</v>
      </c>
      <c r="AE344" s="1104">
        <v>0</v>
      </c>
      <c r="AF344" s="1104" t="s">
        <v>1942</v>
      </c>
      <c r="AG344" s="1104" t="s">
        <v>1942</v>
      </c>
      <c r="AH344" s="1104" t="s">
        <v>1942</v>
      </c>
      <c r="AI344" s="1105">
        <f t="shared" si="5"/>
        <v>1</v>
      </c>
      <c r="AJ344" s="1106" t="s">
        <v>1030</v>
      </c>
      <c r="AK344" s="1106" t="s">
        <v>1008</v>
      </c>
      <c r="AL344" s="1106" t="s">
        <v>1009</v>
      </c>
      <c r="AM344" s="1107" t="s">
        <v>1920</v>
      </c>
      <c r="AN344" s="1018" t="s">
        <v>278</v>
      </c>
      <c r="AO344" s="1018" t="s">
        <v>4793</v>
      </c>
      <c r="AP344" s="1307">
        <v>2</v>
      </c>
      <c r="AQ344" s="1076" t="s">
        <v>1020</v>
      </c>
      <c r="AR344" s="1109" t="s">
        <v>167</v>
      </c>
      <c r="AS344" s="1110"/>
      <c r="AT344" s="1100"/>
      <c r="AU344" s="1100"/>
      <c r="AV344" s="1100"/>
      <c r="AW344" s="1111"/>
      <c r="AX344" s="1112"/>
      <c r="AY344" s="1075"/>
      <c r="AZ344" s="1076"/>
      <c r="BA344" s="1076"/>
      <c r="BB344" s="1076"/>
      <c r="BC344" s="1076"/>
      <c r="BD344" s="1076"/>
      <c r="BE344" s="1076"/>
      <c r="BF344" s="1076"/>
      <c r="BG344" s="1126"/>
      <c r="BH344" s="1126"/>
      <c r="BI344" s="1127">
        <v>2.34</v>
      </c>
      <c r="BJ344" s="1126">
        <v>2.34</v>
      </c>
      <c r="BK344" s="1126">
        <v>2.34</v>
      </c>
      <c r="BL344" s="1126">
        <v>2.34</v>
      </c>
      <c r="BM344" s="1126">
        <v>2.34</v>
      </c>
      <c r="BN344" s="1075"/>
      <c r="BO344" s="1076"/>
      <c r="BP344" s="1076"/>
      <c r="BQ344" s="1076"/>
      <c r="BR344" s="1076"/>
      <c r="BS344" s="1115"/>
      <c r="BT344" s="1076"/>
      <c r="BU344" s="1076"/>
      <c r="BV344" s="1076"/>
      <c r="BW344" s="1116"/>
      <c r="BX344" s="1115"/>
      <c r="BY344" s="1076"/>
      <c r="BZ344" s="1076"/>
      <c r="CA344" s="1076"/>
      <c r="CB344" s="1116"/>
      <c r="CC344" s="1117"/>
      <c r="CD344" s="1118" t="s">
        <v>168</v>
      </c>
      <c r="CE344" s="1119" t="s">
        <v>168</v>
      </c>
      <c r="CF344" s="1119" t="s">
        <v>168</v>
      </c>
      <c r="CG344" s="1119" t="s">
        <v>168</v>
      </c>
      <c r="CH344" s="1120" t="s">
        <v>168</v>
      </c>
      <c r="CI344" s="1075" t="s">
        <v>1942</v>
      </c>
      <c r="CJ344" s="1076" t="s">
        <v>1942</v>
      </c>
      <c r="CK344" s="1076" t="s">
        <v>1942</v>
      </c>
      <c r="CL344" s="1076" t="s">
        <v>1942</v>
      </c>
      <c r="CM344" s="1117" t="s">
        <v>1942</v>
      </c>
      <c r="CN344" s="1075">
        <v>4.68</v>
      </c>
      <c r="CO344" s="1076">
        <v>4.68</v>
      </c>
      <c r="CP344" s="1076">
        <v>4.68</v>
      </c>
      <c r="CQ344" s="1076">
        <v>4.68</v>
      </c>
      <c r="CR344" s="1117">
        <v>4.68</v>
      </c>
      <c r="CS344" s="1075" t="s">
        <v>1942</v>
      </c>
      <c r="CT344" s="1076" t="s">
        <v>1942</v>
      </c>
      <c r="CU344" s="1076" t="s">
        <v>1942</v>
      </c>
      <c r="CV344" s="1076" t="s">
        <v>1942</v>
      </c>
      <c r="CW344" s="1117" t="s">
        <v>1942</v>
      </c>
      <c r="CX344" s="1075" t="s">
        <v>1942</v>
      </c>
      <c r="CY344" s="1076" t="s">
        <v>1942</v>
      </c>
      <c r="CZ344" s="1076" t="s">
        <v>1942</v>
      </c>
      <c r="DA344" s="1076" t="s">
        <v>1942</v>
      </c>
      <c r="DB344" s="1117" t="s">
        <v>1942</v>
      </c>
      <c r="DC344" s="1076">
        <v>1.64</v>
      </c>
      <c r="DD344" s="1076">
        <v>1.64</v>
      </c>
      <c r="DE344" s="1076">
        <v>1.64</v>
      </c>
      <c r="DF344" s="1076">
        <v>1.64</v>
      </c>
      <c r="DG344" s="1117">
        <v>1.64</v>
      </c>
      <c r="DH344" s="1075" t="s">
        <v>1942</v>
      </c>
      <c r="DI344" s="1076" t="s">
        <v>1942</v>
      </c>
      <c r="DJ344" s="1076" t="s">
        <v>1942</v>
      </c>
      <c r="DK344" s="1076" t="s">
        <v>1942</v>
      </c>
      <c r="DL344" s="1117" t="s">
        <v>1942</v>
      </c>
      <c r="DM344" s="1121">
        <v>-0.54700000000000004</v>
      </c>
      <c r="DN344" s="1122" t="s">
        <v>1942</v>
      </c>
      <c r="DO344" s="1122" t="s">
        <v>1942</v>
      </c>
      <c r="DP344" s="1123" t="s">
        <v>1942</v>
      </c>
      <c r="DQ344" s="1122">
        <v>0.36199999999999999</v>
      </c>
      <c r="DR344" s="1122" t="s">
        <v>1942</v>
      </c>
      <c r="DS344" s="1122" t="s">
        <v>1942</v>
      </c>
      <c r="DT344" s="1123" t="s">
        <v>1942</v>
      </c>
      <c r="DU344" s="1119" t="s">
        <v>1942</v>
      </c>
      <c r="DV344" s="1124">
        <v>1</v>
      </c>
      <c r="DW344" s="1125" t="s">
        <v>1942</v>
      </c>
    </row>
    <row r="345" spans="1:127" s="397" customFormat="1" ht="15.75" hidden="1" customHeight="1">
      <c r="A345" s="1097" t="s">
        <v>1078</v>
      </c>
      <c r="B345" s="1057">
        <v>336</v>
      </c>
      <c r="C345" s="1018"/>
      <c r="D345" s="1018"/>
      <c r="E345" s="1018"/>
      <c r="F345" s="1018"/>
      <c r="G345" s="1018"/>
      <c r="H345" s="1018"/>
      <c r="I345" s="1018"/>
      <c r="J345" s="1018"/>
      <c r="K345" s="1018"/>
      <c r="L345" s="1018"/>
      <c r="M345" s="1057"/>
      <c r="N345" s="1018"/>
      <c r="O345" s="1018"/>
      <c r="P345" s="1018"/>
      <c r="Q345" s="1018"/>
      <c r="R345" s="1018"/>
      <c r="S345" s="1018"/>
      <c r="T345" s="1019"/>
      <c r="U345" s="1098" t="s">
        <v>3389</v>
      </c>
      <c r="V345" s="1099" t="s">
        <v>3372</v>
      </c>
      <c r="W345" s="1099" t="s">
        <v>1896</v>
      </c>
      <c r="X345" s="1100" t="s">
        <v>3390</v>
      </c>
      <c r="Y345" s="1101" t="s">
        <v>3391</v>
      </c>
      <c r="Z345" s="1102" t="s">
        <v>3392</v>
      </c>
      <c r="AA345" s="1103">
        <v>0</v>
      </c>
      <c r="AB345" s="1104">
        <v>1</v>
      </c>
      <c r="AC345" s="1104" t="s">
        <v>1942</v>
      </c>
      <c r="AD345" s="1104" t="s">
        <v>1942</v>
      </c>
      <c r="AE345" s="1104">
        <v>0</v>
      </c>
      <c r="AF345" s="1104" t="s">
        <v>1942</v>
      </c>
      <c r="AG345" s="1104" t="s">
        <v>1942</v>
      </c>
      <c r="AH345" s="1104" t="s">
        <v>1942</v>
      </c>
      <c r="AI345" s="1105">
        <f t="shared" si="5"/>
        <v>1</v>
      </c>
      <c r="AJ345" s="1106" t="s">
        <v>1030</v>
      </c>
      <c r="AK345" s="1106" t="s">
        <v>1008</v>
      </c>
      <c r="AL345" s="1106" t="s">
        <v>1009</v>
      </c>
      <c r="AM345" s="1107" t="s">
        <v>2149</v>
      </c>
      <c r="AN345" s="1018" t="s">
        <v>396</v>
      </c>
      <c r="AO345" s="1018" t="s">
        <v>4798</v>
      </c>
      <c r="AP345" s="1307">
        <v>2</v>
      </c>
      <c r="AQ345" s="1076" t="s">
        <v>1020</v>
      </c>
      <c r="AR345" s="1109"/>
      <c r="AS345" s="1110"/>
      <c r="AT345" s="1100"/>
      <c r="AU345" s="1100"/>
      <c r="AV345" s="1100"/>
      <c r="AW345" s="1111"/>
      <c r="AX345" s="1112"/>
      <c r="AY345" s="1075"/>
      <c r="AZ345" s="1076"/>
      <c r="BA345" s="1076"/>
      <c r="BB345" s="1076"/>
      <c r="BC345" s="1076"/>
      <c r="BD345" s="1076"/>
      <c r="BE345" s="1076"/>
      <c r="BF345" s="1076"/>
      <c r="BG345" s="1076"/>
      <c r="BH345" s="1076"/>
      <c r="BI345" s="1420"/>
      <c r="BJ345" s="1368"/>
      <c r="BK345" s="1368"/>
      <c r="BL345" s="1368"/>
      <c r="BM345" s="1368"/>
      <c r="BN345" s="1075"/>
      <c r="BO345" s="1076"/>
      <c r="BP345" s="1076"/>
      <c r="BQ345" s="1076"/>
      <c r="BR345" s="1076"/>
      <c r="BS345" s="1115"/>
      <c r="BT345" s="1076"/>
      <c r="BU345" s="1076"/>
      <c r="BV345" s="1076"/>
      <c r="BW345" s="1116"/>
      <c r="BX345" s="1115"/>
      <c r="BY345" s="1076"/>
      <c r="BZ345" s="1076"/>
      <c r="CA345" s="1076"/>
      <c r="CB345" s="1116"/>
      <c r="CC345" s="1117"/>
      <c r="CD345" s="1376"/>
      <c r="CE345" s="1377"/>
      <c r="CF345" s="1377"/>
      <c r="CG345" s="1377"/>
      <c r="CH345" s="1440"/>
      <c r="CI345" s="1420"/>
      <c r="CJ345" s="1368"/>
      <c r="CK345" s="1368"/>
      <c r="CL345" s="1368"/>
      <c r="CM345" s="1369"/>
      <c r="CN345" s="1420"/>
      <c r="CO345" s="1368"/>
      <c r="CP345" s="1368"/>
      <c r="CQ345" s="1368"/>
      <c r="CR345" s="1369"/>
      <c r="CS345" s="1420"/>
      <c r="CT345" s="1368"/>
      <c r="CU345" s="1368"/>
      <c r="CV345" s="1368"/>
      <c r="CW345" s="1369"/>
      <c r="CX345" s="1420"/>
      <c r="CY345" s="1368"/>
      <c r="CZ345" s="1368"/>
      <c r="DA345" s="1368"/>
      <c r="DB345" s="1369"/>
      <c r="DC345" s="1368"/>
      <c r="DD345" s="1368"/>
      <c r="DE345" s="1368"/>
      <c r="DF345" s="1368"/>
      <c r="DG345" s="1369"/>
      <c r="DH345" s="1420"/>
      <c r="DI345" s="1368"/>
      <c r="DJ345" s="1368"/>
      <c r="DK345" s="1368"/>
      <c r="DL345" s="1369"/>
      <c r="DM345" s="1808"/>
      <c r="DN345" s="1809"/>
      <c r="DO345" s="1809"/>
      <c r="DP345" s="1810"/>
      <c r="DQ345" s="1809"/>
      <c r="DR345" s="1809"/>
      <c r="DS345" s="1809"/>
      <c r="DT345" s="1810"/>
      <c r="DU345" s="1377"/>
      <c r="DV345" s="1729"/>
      <c r="DW345" s="1811"/>
    </row>
    <row r="346" spans="1:127" s="397" customFormat="1" ht="15.75" hidden="1" customHeight="1">
      <c r="A346" s="1097" t="s">
        <v>1078</v>
      </c>
      <c r="B346" s="1057">
        <v>337</v>
      </c>
      <c r="C346" s="1018"/>
      <c r="D346" s="1018"/>
      <c r="E346" s="1018"/>
      <c r="F346" s="1018"/>
      <c r="G346" s="1018"/>
      <c r="H346" s="1018"/>
      <c r="I346" s="1018"/>
      <c r="J346" s="1018"/>
      <c r="K346" s="1018"/>
      <c r="L346" s="1018"/>
      <c r="M346" s="1057"/>
      <c r="N346" s="1018"/>
      <c r="O346" s="1018"/>
      <c r="P346" s="1018"/>
      <c r="Q346" s="1018"/>
      <c r="R346" s="1018"/>
      <c r="S346" s="1018"/>
      <c r="T346" s="1019"/>
      <c r="U346" s="1098" t="s">
        <v>3394</v>
      </c>
      <c r="V346" s="1099" t="s">
        <v>3372</v>
      </c>
      <c r="W346" s="1099" t="s">
        <v>1907</v>
      </c>
      <c r="X346" s="1100" t="s">
        <v>3395</v>
      </c>
      <c r="Y346" s="1101" t="s">
        <v>2557</v>
      </c>
      <c r="Z346" s="1102" t="s">
        <v>3396</v>
      </c>
      <c r="AA346" s="1103">
        <v>0</v>
      </c>
      <c r="AB346" s="1104">
        <v>1</v>
      </c>
      <c r="AC346" s="1104" t="s">
        <v>1942</v>
      </c>
      <c r="AD346" s="1104" t="s">
        <v>1942</v>
      </c>
      <c r="AE346" s="1104">
        <v>0</v>
      </c>
      <c r="AF346" s="1104" t="s">
        <v>1942</v>
      </c>
      <c r="AG346" s="1104" t="s">
        <v>1942</v>
      </c>
      <c r="AH346" s="1104" t="s">
        <v>1942</v>
      </c>
      <c r="AI346" s="1105">
        <f t="shared" si="5"/>
        <v>1</v>
      </c>
      <c r="AJ346" s="1106" t="s">
        <v>1030</v>
      </c>
      <c r="AK346" s="1106" t="s">
        <v>1008</v>
      </c>
      <c r="AL346" s="1106" t="s">
        <v>1009</v>
      </c>
      <c r="AM346" s="1107" t="s">
        <v>2237</v>
      </c>
      <c r="AN346" s="1018" t="s">
        <v>1072</v>
      </c>
      <c r="AO346" s="1018" t="s">
        <v>3397</v>
      </c>
      <c r="AP346" s="1333">
        <v>0</v>
      </c>
      <c r="AQ346" s="1076" t="s">
        <v>1020</v>
      </c>
      <c r="AR346" s="1109" t="s">
        <v>1942</v>
      </c>
      <c r="AS346" s="1110"/>
      <c r="AT346" s="1100"/>
      <c r="AU346" s="1100"/>
      <c r="AV346" s="1100"/>
      <c r="AW346" s="1111"/>
      <c r="AX346" s="1112"/>
      <c r="AY346" s="1075"/>
      <c r="AZ346" s="1076"/>
      <c r="BA346" s="1076"/>
      <c r="BB346" s="1076"/>
      <c r="BC346" s="1076"/>
      <c r="BD346" s="1076"/>
      <c r="BE346" s="1076"/>
      <c r="BF346" s="1076"/>
      <c r="BG346" s="1076"/>
      <c r="BH346" s="1076"/>
      <c r="BI346" s="1420"/>
      <c r="BJ346" s="1368"/>
      <c r="BK346" s="1368"/>
      <c r="BL346" s="1368"/>
      <c r="BM346" s="1368"/>
      <c r="BN346" s="1075"/>
      <c r="BO346" s="1076"/>
      <c r="BP346" s="1076"/>
      <c r="BQ346" s="1076"/>
      <c r="BR346" s="1076"/>
      <c r="BS346" s="1115"/>
      <c r="BT346" s="1076"/>
      <c r="BU346" s="1076"/>
      <c r="BV346" s="1076"/>
      <c r="BW346" s="1116"/>
      <c r="BX346" s="1115"/>
      <c r="BY346" s="1076"/>
      <c r="BZ346" s="1076"/>
      <c r="CA346" s="1076"/>
      <c r="CB346" s="1116"/>
      <c r="CC346" s="1117"/>
      <c r="CD346" s="1376"/>
      <c r="CE346" s="1377"/>
      <c r="CF346" s="1377"/>
      <c r="CG346" s="1377"/>
      <c r="CH346" s="1440"/>
      <c r="CI346" s="1420"/>
      <c r="CJ346" s="1368"/>
      <c r="CK346" s="1368"/>
      <c r="CL346" s="1368"/>
      <c r="CM346" s="1369"/>
      <c r="CN346" s="1420"/>
      <c r="CO346" s="1368"/>
      <c r="CP346" s="1368"/>
      <c r="CQ346" s="1368"/>
      <c r="CR346" s="1369"/>
      <c r="CS346" s="1420"/>
      <c r="CT346" s="1368"/>
      <c r="CU346" s="1368"/>
      <c r="CV346" s="1368"/>
      <c r="CW346" s="1369"/>
      <c r="CX346" s="1420"/>
      <c r="CY346" s="1368"/>
      <c r="CZ346" s="1368"/>
      <c r="DA346" s="1368"/>
      <c r="DB346" s="1369"/>
      <c r="DC346" s="1368"/>
      <c r="DD346" s="1368"/>
      <c r="DE346" s="1368"/>
      <c r="DF346" s="1368"/>
      <c r="DG346" s="1369"/>
      <c r="DH346" s="1420"/>
      <c r="DI346" s="1368"/>
      <c r="DJ346" s="1368"/>
      <c r="DK346" s="1368"/>
      <c r="DL346" s="1369"/>
      <c r="DM346" s="1808"/>
      <c r="DN346" s="1809"/>
      <c r="DO346" s="1809"/>
      <c r="DP346" s="1810"/>
      <c r="DQ346" s="1809"/>
      <c r="DR346" s="1809"/>
      <c r="DS346" s="1809"/>
      <c r="DT346" s="1810"/>
      <c r="DU346" s="1377"/>
      <c r="DV346" s="1729"/>
      <c r="DW346" s="1811"/>
    </row>
    <row r="347" spans="1:127" s="397" customFormat="1" ht="15.75" hidden="1" customHeight="1">
      <c r="A347" s="1097" t="s">
        <v>1078</v>
      </c>
      <c r="B347" s="1057">
        <v>338</v>
      </c>
      <c r="C347" s="1018"/>
      <c r="D347" s="1018"/>
      <c r="E347" s="1018"/>
      <c r="F347" s="1018"/>
      <c r="G347" s="1018"/>
      <c r="H347" s="1018"/>
      <c r="I347" s="1018"/>
      <c r="J347" s="1018"/>
      <c r="K347" s="1018"/>
      <c r="L347" s="1018"/>
      <c r="M347" s="1057"/>
      <c r="N347" s="1018"/>
      <c r="O347" s="1018"/>
      <c r="P347" s="1018"/>
      <c r="Q347" s="1018"/>
      <c r="R347" s="1018"/>
      <c r="S347" s="1018"/>
      <c r="T347" s="1019"/>
      <c r="U347" s="1098" t="s">
        <v>3398</v>
      </c>
      <c r="V347" s="1099" t="s">
        <v>3372</v>
      </c>
      <c r="W347" s="1099" t="s">
        <v>1907</v>
      </c>
      <c r="X347" s="1100" t="s">
        <v>3399</v>
      </c>
      <c r="Y347" s="1101" t="s">
        <v>3400</v>
      </c>
      <c r="Z347" s="1102" t="s">
        <v>3401</v>
      </c>
      <c r="AA347" s="1103">
        <v>0</v>
      </c>
      <c r="AB347" s="1104">
        <v>1</v>
      </c>
      <c r="AC347" s="1104" t="s">
        <v>1942</v>
      </c>
      <c r="AD347" s="1104" t="s">
        <v>1942</v>
      </c>
      <c r="AE347" s="1104">
        <v>0</v>
      </c>
      <c r="AF347" s="1104" t="s">
        <v>1942</v>
      </c>
      <c r="AG347" s="1104" t="s">
        <v>1942</v>
      </c>
      <c r="AH347" s="1104" t="s">
        <v>1942</v>
      </c>
      <c r="AI347" s="1105">
        <f t="shared" si="5"/>
        <v>1</v>
      </c>
      <c r="AJ347" s="1106" t="s">
        <v>1026</v>
      </c>
      <c r="AK347" s="1106" t="s">
        <v>1008</v>
      </c>
      <c r="AL347" s="1106" t="s">
        <v>1009</v>
      </c>
      <c r="AM347" s="1107" t="s">
        <v>2085</v>
      </c>
      <c r="AN347" s="1018" t="s">
        <v>278</v>
      </c>
      <c r="AO347" s="1018" t="s">
        <v>3402</v>
      </c>
      <c r="AP347" s="1333">
        <v>1</v>
      </c>
      <c r="AQ347" s="1076" t="s">
        <v>1010</v>
      </c>
      <c r="AR347" s="1109" t="s">
        <v>1942</v>
      </c>
      <c r="AS347" s="1110"/>
      <c r="AT347" s="1100"/>
      <c r="AU347" s="1100"/>
      <c r="AV347" s="1100"/>
      <c r="AW347" s="1111"/>
      <c r="AX347" s="1112"/>
      <c r="AY347" s="1075"/>
      <c r="AZ347" s="1076"/>
      <c r="BA347" s="1076"/>
      <c r="BB347" s="1076"/>
      <c r="BC347" s="1076"/>
      <c r="BD347" s="1076"/>
      <c r="BE347" s="1076"/>
      <c r="BF347" s="1076"/>
      <c r="BG347" s="1076"/>
      <c r="BH347" s="1076"/>
      <c r="BI347" s="1420"/>
      <c r="BJ347" s="1368"/>
      <c r="BK347" s="1368"/>
      <c r="BL347" s="1368"/>
      <c r="BM347" s="1368"/>
      <c r="BN347" s="1075"/>
      <c r="BO347" s="1076"/>
      <c r="BP347" s="1076"/>
      <c r="BQ347" s="1076"/>
      <c r="BR347" s="1076"/>
      <c r="BS347" s="1115"/>
      <c r="BT347" s="1076"/>
      <c r="BU347" s="1076"/>
      <c r="BV347" s="1076"/>
      <c r="BW347" s="1116"/>
      <c r="BX347" s="1115"/>
      <c r="BY347" s="1076"/>
      <c r="BZ347" s="1076"/>
      <c r="CA347" s="1076"/>
      <c r="CB347" s="1116"/>
      <c r="CC347" s="1117"/>
      <c r="CD347" s="1376"/>
      <c r="CE347" s="1377"/>
      <c r="CF347" s="1377"/>
      <c r="CG347" s="1377"/>
      <c r="CH347" s="1440"/>
      <c r="CI347" s="1420"/>
      <c r="CJ347" s="1368"/>
      <c r="CK347" s="1368"/>
      <c r="CL347" s="1368"/>
      <c r="CM347" s="1369"/>
      <c r="CN347" s="1420"/>
      <c r="CO347" s="1368"/>
      <c r="CP347" s="1368"/>
      <c r="CQ347" s="1368"/>
      <c r="CR347" s="1369"/>
      <c r="CS347" s="1420"/>
      <c r="CT347" s="1368"/>
      <c r="CU347" s="1368"/>
      <c r="CV347" s="1368"/>
      <c r="CW347" s="1369"/>
      <c r="CX347" s="1420"/>
      <c r="CY347" s="1368"/>
      <c r="CZ347" s="1368"/>
      <c r="DA347" s="1368"/>
      <c r="DB347" s="1369"/>
      <c r="DC347" s="1368"/>
      <c r="DD347" s="1368"/>
      <c r="DE347" s="1368"/>
      <c r="DF347" s="1368"/>
      <c r="DG347" s="1369"/>
      <c r="DH347" s="1420"/>
      <c r="DI347" s="1368"/>
      <c r="DJ347" s="1368"/>
      <c r="DK347" s="1368"/>
      <c r="DL347" s="1369"/>
      <c r="DM347" s="1808"/>
      <c r="DN347" s="1809"/>
      <c r="DO347" s="1809"/>
      <c r="DP347" s="1810"/>
      <c r="DQ347" s="1809"/>
      <c r="DR347" s="1809"/>
      <c r="DS347" s="1809"/>
      <c r="DT347" s="1810"/>
      <c r="DU347" s="1377"/>
      <c r="DV347" s="1729"/>
      <c r="DW347" s="1811"/>
    </row>
    <row r="348" spans="1:127" s="397" customFormat="1" ht="15.75" hidden="1" customHeight="1">
      <c r="A348" s="1097" t="s">
        <v>1078</v>
      </c>
      <c r="B348" s="1057">
        <v>339</v>
      </c>
      <c r="C348" s="1018"/>
      <c r="D348" s="1018"/>
      <c r="E348" s="1018"/>
      <c r="F348" s="1018"/>
      <c r="G348" s="1018"/>
      <c r="H348" s="1018"/>
      <c r="I348" s="1018"/>
      <c r="J348" s="1018"/>
      <c r="K348" s="1018"/>
      <c r="L348" s="1018"/>
      <c r="M348" s="1057"/>
      <c r="N348" s="1018"/>
      <c r="O348" s="1018"/>
      <c r="P348" s="1018"/>
      <c r="Q348" s="1018"/>
      <c r="R348" s="1018"/>
      <c r="S348" s="1018"/>
      <c r="T348" s="1019"/>
      <c r="U348" s="1098" t="s">
        <v>3403</v>
      </c>
      <c r="V348" s="1099" t="s">
        <v>3404</v>
      </c>
      <c r="W348" s="1099" t="s">
        <v>1907</v>
      </c>
      <c r="X348" s="1100" t="s">
        <v>2404</v>
      </c>
      <c r="Y348" s="1101" t="s">
        <v>3405</v>
      </c>
      <c r="Z348" s="1102" t="s">
        <v>3406</v>
      </c>
      <c r="AA348" s="1103">
        <v>0</v>
      </c>
      <c r="AB348" s="1104">
        <v>0</v>
      </c>
      <c r="AC348" s="1104" t="s">
        <v>1942</v>
      </c>
      <c r="AD348" s="1104" t="s">
        <v>1942</v>
      </c>
      <c r="AE348" s="1104">
        <v>1</v>
      </c>
      <c r="AF348" s="1104" t="s">
        <v>1942</v>
      </c>
      <c r="AG348" s="1104" t="s">
        <v>1942</v>
      </c>
      <c r="AH348" s="1104" t="s">
        <v>1942</v>
      </c>
      <c r="AI348" s="1105">
        <f t="shared" si="5"/>
        <v>1</v>
      </c>
      <c r="AJ348" s="1106" t="s">
        <v>1007</v>
      </c>
      <c r="AK348" s="1106" t="s">
        <v>1942</v>
      </c>
      <c r="AL348" s="1106" t="s">
        <v>1942</v>
      </c>
      <c r="AM348" s="1107" t="s">
        <v>2677</v>
      </c>
      <c r="AN348" s="1018" t="s">
        <v>278</v>
      </c>
      <c r="AO348" s="1018" t="s">
        <v>1146</v>
      </c>
      <c r="AP348" s="1333">
        <v>2</v>
      </c>
      <c r="AQ348" s="1076" t="s">
        <v>1020</v>
      </c>
      <c r="AR348" s="1109" t="s">
        <v>1942</v>
      </c>
      <c r="AS348" s="1110"/>
      <c r="AT348" s="1100"/>
      <c r="AU348" s="1100"/>
      <c r="AV348" s="1100"/>
      <c r="AW348" s="1111"/>
      <c r="AX348" s="1112"/>
      <c r="AY348" s="1075"/>
      <c r="AZ348" s="1076"/>
      <c r="BA348" s="1076"/>
      <c r="BB348" s="1076"/>
      <c r="BC348" s="1076"/>
      <c r="BD348" s="1076"/>
      <c r="BE348" s="1076"/>
      <c r="BF348" s="1076"/>
      <c r="BG348" s="1076"/>
      <c r="BH348" s="1076"/>
      <c r="BI348" s="1420"/>
      <c r="BJ348" s="1368"/>
      <c r="BK348" s="1368"/>
      <c r="BL348" s="1368"/>
      <c r="BM348" s="1368"/>
      <c r="BN348" s="1075"/>
      <c r="BO348" s="1076"/>
      <c r="BP348" s="1076"/>
      <c r="BQ348" s="1076"/>
      <c r="BR348" s="1076"/>
      <c r="BS348" s="1115"/>
      <c r="BT348" s="1076"/>
      <c r="BU348" s="1076"/>
      <c r="BV348" s="1076"/>
      <c r="BW348" s="1116"/>
      <c r="BX348" s="1115"/>
      <c r="BY348" s="1076"/>
      <c r="BZ348" s="1076"/>
      <c r="CA348" s="1076"/>
      <c r="CB348" s="1116"/>
      <c r="CC348" s="1117"/>
      <c r="CD348" s="1376"/>
      <c r="CE348" s="1377"/>
      <c r="CF348" s="1377"/>
      <c r="CG348" s="1377"/>
      <c r="CH348" s="1440"/>
      <c r="CI348" s="1420"/>
      <c r="CJ348" s="1368"/>
      <c r="CK348" s="1368"/>
      <c r="CL348" s="1368"/>
      <c r="CM348" s="1369"/>
      <c r="CN348" s="1420"/>
      <c r="CO348" s="1368"/>
      <c r="CP348" s="1368"/>
      <c r="CQ348" s="1368"/>
      <c r="CR348" s="1369"/>
      <c r="CS348" s="1420"/>
      <c r="CT348" s="1368"/>
      <c r="CU348" s="1368"/>
      <c r="CV348" s="1368"/>
      <c r="CW348" s="1369"/>
      <c r="CX348" s="1420"/>
      <c r="CY348" s="1368"/>
      <c r="CZ348" s="1368"/>
      <c r="DA348" s="1368"/>
      <c r="DB348" s="1369"/>
      <c r="DC348" s="1368"/>
      <c r="DD348" s="1368"/>
      <c r="DE348" s="1368"/>
      <c r="DF348" s="1368"/>
      <c r="DG348" s="1369"/>
      <c r="DH348" s="1420"/>
      <c r="DI348" s="1368"/>
      <c r="DJ348" s="1368"/>
      <c r="DK348" s="1368"/>
      <c r="DL348" s="1369"/>
      <c r="DM348" s="1808"/>
      <c r="DN348" s="1809"/>
      <c r="DO348" s="1809"/>
      <c r="DP348" s="1810"/>
      <c r="DQ348" s="1809"/>
      <c r="DR348" s="1809"/>
      <c r="DS348" s="1809"/>
      <c r="DT348" s="1810"/>
      <c r="DU348" s="1377"/>
      <c r="DV348" s="1729"/>
      <c r="DW348" s="1811"/>
    </row>
    <row r="349" spans="1:127" s="397" customFormat="1" ht="15.75" hidden="1" customHeight="1">
      <c r="A349" s="1097" t="s">
        <v>1078</v>
      </c>
      <c r="B349" s="1057">
        <v>340</v>
      </c>
      <c r="C349" s="1018"/>
      <c r="D349" s="1018"/>
      <c r="E349" s="1018"/>
      <c r="F349" s="1018"/>
      <c r="G349" s="1018"/>
      <c r="H349" s="1018"/>
      <c r="I349" s="1018"/>
      <c r="J349" s="1018"/>
      <c r="K349" s="1018"/>
      <c r="L349" s="1018"/>
      <c r="M349" s="1057"/>
      <c r="N349" s="1018"/>
      <c r="O349" s="1018"/>
      <c r="P349" s="1018"/>
      <c r="Q349" s="1018"/>
      <c r="R349" s="1018"/>
      <c r="S349" s="1018"/>
      <c r="T349" s="1019"/>
      <c r="U349" s="1098" t="s">
        <v>3407</v>
      </c>
      <c r="V349" s="1099" t="s">
        <v>3404</v>
      </c>
      <c r="W349" s="1099" t="s">
        <v>1907</v>
      </c>
      <c r="X349" s="1100" t="s">
        <v>2408</v>
      </c>
      <c r="Y349" s="1101" t="s">
        <v>3408</v>
      </c>
      <c r="Z349" s="1102" t="s">
        <v>3409</v>
      </c>
      <c r="AA349" s="1103">
        <v>0</v>
      </c>
      <c r="AB349" s="1104">
        <v>0</v>
      </c>
      <c r="AC349" s="1104" t="s">
        <v>1942</v>
      </c>
      <c r="AD349" s="1104" t="s">
        <v>1942</v>
      </c>
      <c r="AE349" s="1104">
        <v>1</v>
      </c>
      <c r="AF349" s="1104" t="s">
        <v>1942</v>
      </c>
      <c r="AG349" s="1104" t="s">
        <v>1942</v>
      </c>
      <c r="AH349" s="1104" t="s">
        <v>1942</v>
      </c>
      <c r="AI349" s="1105">
        <f t="shared" si="5"/>
        <v>1</v>
      </c>
      <c r="AJ349" s="1106" t="s">
        <v>1026</v>
      </c>
      <c r="AK349" s="1106" t="s">
        <v>1008</v>
      </c>
      <c r="AL349" s="1106" t="s">
        <v>1009</v>
      </c>
      <c r="AM349" s="1107" t="s">
        <v>2763</v>
      </c>
      <c r="AN349" s="1018" t="s">
        <v>278</v>
      </c>
      <c r="AO349" s="1018" t="s">
        <v>1146</v>
      </c>
      <c r="AP349" s="1333">
        <v>0</v>
      </c>
      <c r="AQ349" s="1076" t="s">
        <v>1010</v>
      </c>
      <c r="AR349" s="1109" t="s">
        <v>1942</v>
      </c>
      <c r="AS349" s="1110"/>
      <c r="AT349" s="1100"/>
      <c r="AU349" s="1100"/>
      <c r="AV349" s="1100"/>
      <c r="AW349" s="1111"/>
      <c r="AX349" s="1112"/>
      <c r="AY349" s="1075"/>
      <c r="AZ349" s="1076"/>
      <c r="BA349" s="1076"/>
      <c r="BB349" s="1076"/>
      <c r="BC349" s="1076"/>
      <c r="BD349" s="1076"/>
      <c r="BE349" s="1076"/>
      <c r="BF349" s="1076"/>
      <c r="BG349" s="1076"/>
      <c r="BH349" s="1076"/>
      <c r="BI349" s="1420"/>
      <c r="BJ349" s="1368"/>
      <c r="BK349" s="1368"/>
      <c r="BL349" s="1368"/>
      <c r="BM349" s="1368"/>
      <c r="BN349" s="1075"/>
      <c r="BO349" s="1076"/>
      <c r="BP349" s="1076"/>
      <c r="BQ349" s="1076"/>
      <c r="BR349" s="1076"/>
      <c r="BS349" s="1115"/>
      <c r="BT349" s="1076"/>
      <c r="BU349" s="1076"/>
      <c r="BV349" s="1076"/>
      <c r="BW349" s="1116"/>
      <c r="BX349" s="1115"/>
      <c r="BY349" s="1076"/>
      <c r="BZ349" s="1076"/>
      <c r="CA349" s="1076"/>
      <c r="CB349" s="1116"/>
      <c r="CC349" s="1117"/>
      <c r="CD349" s="1376"/>
      <c r="CE349" s="1377"/>
      <c r="CF349" s="1377"/>
      <c r="CG349" s="1377"/>
      <c r="CH349" s="1440"/>
      <c r="CI349" s="1420"/>
      <c r="CJ349" s="1368"/>
      <c r="CK349" s="1368"/>
      <c r="CL349" s="1368"/>
      <c r="CM349" s="1369"/>
      <c r="CN349" s="1420"/>
      <c r="CO349" s="1368"/>
      <c r="CP349" s="1368"/>
      <c r="CQ349" s="1368"/>
      <c r="CR349" s="1369"/>
      <c r="CS349" s="1420"/>
      <c r="CT349" s="1368"/>
      <c r="CU349" s="1368"/>
      <c r="CV349" s="1368"/>
      <c r="CW349" s="1369"/>
      <c r="CX349" s="1420"/>
      <c r="CY349" s="1368"/>
      <c r="CZ349" s="1368"/>
      <c r="DA349" s="1368"/>
      <c r="DB349" s="1369"/>
      <c r="DC349" s="1368"/>
      <c r="DD349" s="1368"/>
      <c r="DE349" s="1368"/>
      <c r="DF349" s="1368"/>
      <c r="DG349" s="1369"/>
      <c r="DH349" s="1420"/>
      <c r="DI349" s="1368"/>
      <c r="DJ349" s="1368"/>
      <c r="DK349" s="1368"/>
      <c r="DL349" s="1369"/>
      <c r="DM349" s="1808"/>
      <c r="DN349" s="1809"/>
      <c r="DO349" s="1809"/>
      <c r="DP349" s="1810"/>
      <c r="DQ349" s="1809"/>
      <c r="DR349" s="1809"/>
      <c r="DS349" s="1809"/>
      <c r="DT349" s="1810"/>
      <c r="DU349" s="1377"/>
      <c r="DV349" s="1729"/>
      <c r="DW349" s="1811"/>
    </row>
    <row r="350" spans="1:127" s="397" customFormat="1" ht="15.75" hidden="1" customHeight="1">
      <c r="A350" s="1097" t="s">
        <v>1078</v>
      </c>
      <c r="B350" s="1057">
        <v>341</v>
      </c>
      <c r="C350" s="1018"/>
      <c r="D350" s="1018"/>
      <c r="E350" s="1018"/>
      <c r="F350" s="1018"/>
      <c r="G350" s="1018"/>
      <c r="H350" s="1018"/>
      <c r="I350" s="1018"/>
      <c r="J350" s="1018"/>
      <c r="K350" s="1018"/>
      <c r="L350" s="1018"/>
      <c r="M350" s="1057"/>
      <c r="N350" s="1018"/>
      <c r="O350" s="1018"/>
      <c r="P350" s="1018"/>
      <c r="Q350" s="1018"/>
      <c r="R350" s="1018"/>
      <c r="S350" s="1018"/>
      <c r="T350" s="1019"/>
      <c r="U350" s="1098" t="s">
        <v>3410</v>
      </c>
      <c r="V350" s="1099" t="s">
        <v>3404</v>
      </c>
      <c r="W350" s="1099" t="s">
        <v>1907</v>
      </c>
      <c r="X350" s="1100" t="s">
        <v>2412</v>
      </c>
      <c r="Y350" s="1101" t="s">
        <v>3411</v>
      </c>
      <c r="Z350" s="1102" t="s">
        <v>3412</v>
      </c>
      <c r="AA350" s="1103">
        <v>8.1000000000000003E-2</v>
      </c>
      <c r="AB350" s="1104">
        <v>0.91900000000000004</v>
      </c>
      <c r="AC350" s="1104" t="s">
        <v>1942</v>
      </c>
      <c r="AD350" s="1104" t="s">
        <v>1942</v>
      </c>
      <c r="AE350" s="1104">
        <v>0</v>
      </c>
      <c r="AF350" s="1104" t="s">
        <v>1942</v>
      </c>
      <c r="AG350" s="1104" t="s">
        <v>1942</v>
      </c>
      <c r="AH350" s="1104" t="s">
        <v>1942</v>
      </c>
      <c r="AI350" s="1105">
        <f t="shared" si="5"/>
        <v>1</v>
      </c>
      <c r="AJ350" s="1106" t="s">
        <v>1007</v>
      </c>
      <c r="AK350" s="1106" t="s">
        <v>1942</v>
      </c>
      <c r="AL350" s="1106" t="s">
        <v>1942</v>
      </c>
      <c r="AM350" s="1107" t="s">
        <v>3413</v>
      </c>
      <c r="AN350" s="1018" t="s">
        <v>1081</v>
      </c>
      <c r="AO350" s="1018" t="s">
        <v>3414</v>
      </c>
      <c r="AP350" s="1333">
        <v>0</v>
      </c>
      <c r="AQ350" s="1076" t="s">
        <v>1010</v>
      </c>
      <c r="AR350" s="1109" t="s">
        <v>1942</v>
      </c>
      <c r="AS350" s="1110"/>
      <c r="AT350" s="1100"/>
      <c r="AU350" s="1100"/>
      <c r="AV350" s="1100"/>
      <c r="AW350" s="1111"/>
      <c r="AX350" s="1112"/>
      <c r="AY350" s="1075"/>
      <c r="AZ350" s="1076"/>
      <c r="BA350" s="1076"/>
      <c r="BB350" s="1076"/>
      <c r="BC350" s="1076"/>
      <c r="BD350" s="1076"/>
      <c r="BE350" s="1076"/>
      <c r="BF350" s="1076"/>
      <c r="BG350" s="1076"/>
      <c r="BH350" s="1076"/>
      <c r="BI350" s="1420"/>
      <c r="BJ350" s="1368"/>
      <c r="BK350" s="1368"/>
      <c r="BL350" s="1368"/>
      <c r="BM350" s="1368"/>
      <c r="BN350" s="1075"/>
      <c r="BO350" s="1076"/>
      <c r="BP350" s="1076"/>
      <c r="BQ350" s="1076"/>
      <c r="BR350" s="1076"/>
      <c r="BS350" s="1115"/>
      <c r="BT350" s="1076"/>
      <c r="BU350" s="1076"/>
      <c r="BV350" s="1076"/>
      <c r="BW350" s="1116"/>
      <c r="BX350" s="1115"/>
      <c r="BY350" s="1076"/>
      <c r="BZ350" s="1076"/>
      <c r="CA350" s="1076"/>
      <c r="CB350" s="1116"/>
      <c r="CC350" s="1117"/>
      <c r="CD350" s="1376"/>
      <c r="CE350" s="1377"/>
      <c r="CF350" s="1377"/>
      <c r="CG350" s="1377"/>
      <c r="CH350" s="1440"/>
      <c r="CI350" s="1420"/>
      <c r="CJ350" s="1368"/>
      <c r="CK350" s="1368"/>
      <c r="CL350" s="1368"/>
      <c r="CM350" s="1369"/>
      <c r="CN350" s="1420"/>
      <c r="CO350" s="1368"/>
      <c r="CP350" s="1368"/>
      <c r="CQ350" s="1368"/>
      <c r="CR350" s="1369"/>
      <c r="CS350" s="1420"/>
      <c r="CT350" s="1368"/>
      <c r="CU350" s="1368"/>
      <c r="CV350" s="1368"/>
      <c r="CW350" s="1369"/>
      <c r="CX350" s="1420"/>
      <c r="CY350" s="1368"/>
      <c r="CZ350" s="1368"/>
      <c r="DA350" s="1368"/>
      <c r="DB350" s="1369"/>
      <c r="DC350" s="1368"/>
      <c r="DD350" s="1368"/>
      <c r="DE350" s="1368"/>
      <c r="DF350" s="1368"/>
      <c r="DG350" s="1369"/>
      <c r="DH350" s="1420"/>
      <c r="DI350" s="1368"/>
      <c r="DJ350" s="1368"/>
      <c r="DK350" s="1368"/>
      <c r="DL350" s="1369"/>
      <c r="DM350" s="1808"/>
      <c r="DN350" s="1809"/>
      <c r="DO350" s="1809"/>
      <c r="DP350" s="1810"/>
      <c r="DQ350" s="1809"/>
      <c r="DR350" s="1809"/>
      <c r="DS350" s="1809"/>
      <c r="DT350" s="1810"/>
      <c r="DU350" s="1377"/>
      <c r="DV350" s="1729"/>
      <c r="DW350" s="1811"/>
    </row>
    <row r="351" spans="1:127" s="397" customFormat="1" ht="15.75" hidden="1" customHeight="1">
      <c r="A351" s="1097" t="s">
        <v>1078</v>
      </c>
      <c r="B351" s="1057">
        <v>342</v>
      </c>
      <c r="C351" s="1018"/>
      <c r="D351" s="1018"/>
      <c r="E351" s="1018"/>
      <c r="F351" s="1018"/>
      <c r="G351" s="1018"/>
      <c r="H351" s="1018"/>
      <c r="I351" s="1018"/>
      <c r="J351" s="1018"/>
      <c r="K351" s="1018"/>
      <c r="L351" s="1018"/>
      <c r="M351" s="1057"/>
      <c r="N351" s="1018"/>
      <c r="O351" s="1018"/>
      <c r="P351" s="1018"/>
      <c r="Q351" s="1018"/>
      <c r="R351" s="1018"/>
      <c r="S351" s="1018"/>
      <c r="T351" s="1019"/>
      <c r="U351" s="1098" t="s">
        <v>3415</v>
      </c>
      <c r="V351" s="1099" t="s">
        <v>3404</v>
      </c>
      <c r="W351" s="1099" t="s">
        <v>1907</v>
      </c>
      <c r="X351" s="1100" t="s">
        <v>2418</v>
      </c>
      <c r="Y351" s="1101" t="s">
        <v>3416</v>
      </c>
      <c r="Z351" s="1102" t="s">
        <v>3417</v>
      </c>
      <c r="AA351" s="1103">
        <v>0.10100000000000001</v>
      </c>
      <c r="AB351" s="1104">
        <v>0.89900000000000002</v>
      </c>
      <c r="AC351" s="1104" t="s">
        <v>1942</v>
      </c>
      <c r="AD351" s="1104" t="s">
        <v>1942</v>
      </c>
      <c r="AE351" s="1104">
        <v>0</v>
      </c>
      <c r="AF351" s="1104" t="s">
        <v>1942</v>
      </c>
      <c r="AG351" s="1104" t="s">
        <v>1942</v>
      </c>
      <c r="AH351" s="1104" t="s">
        <v>1942</v>
      </c>
      <c r="AI351" s="1105">
        <f t="shared" si="5"/>
        <v>1</v>
      </c>
      <c r="AJ351" s="1106" t="s">
        <v>1007</v>
      </c>
      <c r="AK351" s="1106" t="s">
        <v>1942</v>
      </c>
      <c r="AL351" s="1106" t="s">
        <v>1942</v>
      </c>
      <c r="AM351" s="1107" t="s">
        <v>3418</v>
      </c>
      <c r="AN351" s="1018" t="s">
        <v>278</v>
      </c>
      <c r="AO351" s="1018" t="s">
        <v>1146</v>
      </c>
      <c r="AP351" s="1333">
        <v>0</v>
      </c>
      <c r="AQ351" s="1076" t="s">
        <v>1010</v>
      </c>
      <c r="AR351" s="1109" t="s">
        <v>1942</v>
      </c>
      <c r="AS351" s="1110"/>
      <c r="AT351" s="1100"/>
      <c r="AU351" s="1100"/>
      <c r="AV351" s="1100"/>
      <c r="AW351" s="1111"/>
      <c r="AX351" s="1112"/>
      <c r="AY351" s="1075"/>
      <c r="AZ351" s="1076"/>
      <c r="BA351" s="1076"/>
      <c r="BB351" s="1076"/>
      <c r="BC351" s="1076"/>
      <c r="BD351" s="1076"/>
      <c r="BE351" s="1076"/>
      <c r="BF351" s="1076"/>
      <c r="BG351" s="1076"/>
      <c r="BH351" s="1076"/>
      <c r="BI351" s="1420"/>
      <c r="BJ351" s="1368"/>
      <c r="BK351" s="1368"/>
      <c r="BL351" s="1368"/>
      <c r="BM351" s="1368"/>
      <c r="BN351" s="1075"/>
      <c r="BO351" s="1076"/>
      <c r="BP351" s="1076"/>
      <c r="BQ351" s="1076"/>
      <c r="BR351" s="1076"/>
      <c r="BS351" s="1115"/>
      <c r="BT351" s="1076"/>
      <c r="BU351" s="1076"/>
      <c r="BV351" s="1076"/>
      <c r="BW351" s="1116"/>
      <c r="BX351" s="1115"/>
      <c r="BY351" s="1076"/>
      <c r="BZ351" s="1076"/>
      <c r="CA351" s="1076"/>
      <c r="CB351" s="1116"/>
      <c r="CC351" s="1117"/>
      <c r="CD351" s="1376"/>
      <c r="CE351" s="1377"/>
      <c r="CF351" s="1377"/>
      <c r="CG351" s="1377"/>
      <c r="CH351" s="1440"/>
      <c r="CI351" s="1420"/>
      <c r="CJ351" s="1368"/>
      <c r="CK351" s="1368"/>
      <c r="CL351" s="1368"/>
      <c r="CM351" s="1369"/>
      <c r="CN351" s="1420"/>
      <c r="CO351" s="1368"/>
      <c r="CP351" s="1368"/>
      <c r="CQ351" s="1368"/>
      <c r="CR351" s="1369"/>
      <c r="CS351" s="1420"/>
      <c r="CT351" s="1368"/>
      <c r="CU351" s="1368"/>
      <c r="CV351" s="1368"/>
      <c r="CW351" s="1369"/>
      <c r="CX351" s="1420"/>
      <c r="CY351" s="1368"/>
      <c r="CZ351" s="1368"/>
      <c r="DA351" s="1368"/>
      <c r="DB351" s="1369"/>
      <c r="DC351" s="1368"/>
      <c r="DD351" s="1368"/>
      <c r="DE351" s="1368"/>
      <c r="DF351" s="1368"/>
      <c r="DG351" s="1369"/>
      <c r="DH351" s="1420"/>
      <c r="DI351" s="1368"/>
      <c r="DJ351" s="1368"/>
      <c r="DK351" s="1368"/>
      <c r="DL351" s="1369"/>
      <c r="DM351" s="1808"/>
      <c r="DN351" s="1809"/>
      <c r="DO351" s="1809"/>
      <c r="DP351" s="1810"/>
      <c r="DQ351" s="1809"/>
      <c r="DR351" s="1809"/>
      <c r="DS351" s="1809"/>
      <c r="DT351" s="1810"/>
      <c r="DU351" s="1377"/>
      <c r="DV351" s="1729"/>
      <c r="DW351" s="1811"/>
    </row>
    <row r="352" spans="1:127" s="397" customFormat="1" ht="15.75" hidden="1" customHeight="1">
      <c r="A352" s="1097" t="s">
        <v>1078</v>
      </c>
      <c r="B352" s="1057">
        <v>343</v>
      </c>
      <c r="C352" s="1018"/>
      <c r="D352" s="1018"/>
      <c r="E352" s="1018"/>
      <c r="F352" s="1018"/>
      <c r="G352" s="1018"/>
      <c r="H352" s="1018"/>
      <c r="I352" s="1018"/>
      <c r="J352" s="1018"/>
      <c r="K352" s="1018"/>
      <c r="L352" s="1018"/>
      <c r="M352" s="1057"/>
      <c r="N352" s="1018"/>
      <c r="O352" s="1018"/>
      <c r="P352" s="1018"/>
      <c r="Q352" s="1018"/>
      <c r="R352" s="1018"/>
      <c r="S352" s="1018"/>
      <c r="T352" s="1019"/>
      <c r="U352" s="1098" t="s">
        <v>3419</v>
      </c>
      <c r="V352" s="1099" t="s">
        <v>3420</v>
      </c>
      <c r="W352" s="1099" t="s">
        <v>1907</v>
      </c>
      <c r="X352" s="1100" t="s">
        <v>2427</v>
      </c>
      <c r="Y352" s="1101" t="s">
        <v>3421</v>
      </c>
      <c r="Z352" s="1102" t="s">
        <v>3422</v>
      </c>
      <c r="AA352" s="1103">
        <v>0</v>
      </c>
      <c r="AB352" s="1104">
        <v>0</v>
      </c>
      <c r="AC352" s="1104" t="s">
        <v>1942</v>
      </c>
      <c r="AD352" s="1104" t="s">
        <v>1942</v>
      </c>
      <c r="AE352" s="1104">
        <v>1</v>
      </c>
      <c r="AF352" s="1104" t="s">
        <v>1942</v>
      </c>
      <c r="AG352" s="1104" t="s">
        <v>1942</v>
      </c>
      <c r="AH352" s="1104" t="s">
        <v>1942</v>
      </c>
      <c r="AI352" s="1105">
        <f t="shared" si="5"/>
        <v>1</v>
      </c>
      <c r="AJ352" s="1106" t="s">
        <v>1007</v>
      </c>
      <c r="AK352" s="1106" t="s">
        <v>1942</v>
      </c>
      <c r="AL352" s="1106" t="s">
        <v>1942</v>
      </c>
      <c r="AM352" s="1107" t="s">
        <v>1947</v>
      </c>
      <c r="AN352" s="1018" t="s">
        <v>1033</v>
      </c>
      <c r="AO352" s="1018" t="s">
        <v>3423</v>
      </c>
      <c r="AP352" s="1333">
        <v>2</v>
      </c>
      <c r="AQ352" s="1076" t="s">
        <v>1010</v>
      </c>
      <c r="AR352" s="1109" t="s">
        <v>1942</v>
      </c>
      <c r="AS352" s="1110"/>
      <c r="AT352" s="1100"/>
      <c r="AU352" s="1100"/>
      <c r="AV352" s="1100"/>
      <c r="AW352" s="1111"/>
      <c r="AX352" s="1112"/>
      <c r="AY352" s="1075"/>
      <c r="AZ352" s="1076"/>
      <c r="BA352" s="1076"/>
      <c r="BB352" s="1076"/>
      <c r="BC352" s="1076"/>
      <c r="BD352" s="1076"/>
      <c r="BE352" s="1076"/>
      <c r="BF352" s="1076"/>
      <c r="BG352" s="1076"/>
      <c r="BH352" s="1076"/>
      <c r="BI352" s="1420"/>
      <c r="BJ352" s="1368"/>
      <c r="BK352" s="1368"/>
      <c r="BL352" s="1368"/>
      <c r="BM352" s="1368"/>
      <c r="BN352" s="1075"/>
      <c r="BO352" s="1076"/>
      <c r="BP352" s="1076"/>
      <c r="BQ352" s="1076"/>
      <c r="BR352" s="1076"/>
      <c r="BS352" s="1115"/>
      <c r="BT352" s="1076"/>
      <c r="BU352" s="1076"/>
      <c r="BV352" s="1076"/>
      <c r="BW352" s="1116"/>
      <c r="BX352" s="1115"/>
      <c r="BY352" s="1076"/>
      <c r="BZ352" s="1076"/>
      <c r="CA352" s="1076"/>
      <c r="CB352" s="1116"/>
      <c r="CC352" s="1117"/>
      <c r="CD352" s="1376"/>
      <c r="CE352" s="1377"/>
      <c r="CF352" s="1377"/>
      <c r="CG352" s="1377"/>
      <c r="CH352" s="1440"/>
      <c r="CI352" s="1420"/>
      <c r="CJ352" s="1368"/>
      <c r="CK352" s="1368"/>
      <c r="CL352" s="1368"/>
      <c r="CM352" s="1369"/>
      <c r="CN352" s="1420"/>
      <c r="CO352" s="1368"/>
      <c r="CP352" s="1368"/>
      <c r="CQ352" s="1368"/>
      <c r="CR352" s="1369"/>
      <c r="CS352" s="1420"/>
      <c r="CT352" s="1368"/>
      <c r="CU352" s="1368"/>
      <c r="CV352" s="1368"/>
      <c r="CW352" s="1369"/>
      <c r="CX352" s="1420"/>
      <c r="CY352" s="1368"/>
      <c r="CZ352" s="1368"/>
      <c r="DA352" s="1368"/>
      <c r="DB352" s="1369"/>
      <c r="DC352" s="1368"/>
      <c r="DD352" s="1368"/>
      <c r="DE352" s="1368"/>
      <c r="DF352" s="1368"/>
      <c r="DG352" s="1369"/>
      <c r="DH352" s="1420"/>
      <c r="DI352" s="1368"/>
      <c r="DJ352" s="1368"/>
      <c r="DK352" s="1368"/>
      <c r="DL352" s="1369"/>
      <c r="DM352" s="1808"/>
      <c r="DN352" s="1809"/>
      <c r="DO352" s="1809"/>
      <c r="DP352" s="1810"/>
      <c r="DQ352" s="1809"/>
      <c r="DR352" s="1809"/>
      <c r="DS352" s="1809"/>
      <c r="DT352" s="1810"/>
      <c r="DU352" s="1377"/>
      <c r="DV352" s="1729"/>
      <c r="DW352" s="1811"/>
    </row>
    <row r="353" spans="1:127" s="397" customFormat="1" ht="15.75" hidden="1" customHeight="1">
      <c r="A353" s="1097" t="s">
        <v>1078</v>
      </c>
      <c r="B353" s="1057">
        <v>344</v>
      </c>
      <c r="C353" s="1018"/>
      <c r="D353" s="1018"/>
      <c r="E353" s="1018"/>
      <c r="F353" s="1018"/>
      <c r="G353" s="1018"/>
      <c r="H353" s="1018"/>
      <c r="I353" s="1018"/>
      <c r="J353" s="1018"/>
      <c r="K353" s="1018"/>
      <c r="L353" s="1018"/>
      <c r="M353" s="1057"/>
      <c r="N353" s="1018"/>
      <c r="O353" s="1018"/>
      <c r="P353" s="1018"/>
      <c r="Q353" s="1018"/>
      <c r="R353" s="1018"/>
      <c r="S353" s="1018"/>
      <c r="T353" s="1019"/>
      <c r="U353" s="1098" t="s">
        <v>3424</v>
      </c>
      <c r="V353" s="1099" t="s">
        <v>3420</v>
      </c>
      <c r="W353" s="1099" t="s">
        <v>1889</v>
      </c>
      <c r="X353" s="1100" t="s">
        <v>3425</v>
      </c>
      <c r="Y353" s="1101" t="s">
        <v>2253</v>
      </c>
      <c r="Z353" s="1102" t="s">
        <v>3426</v>
      </c>
      <c r="AA353" s="1103">
        <v>0</v>
      </c>
      <c r="AB353" s="1104">
        <v>0</v>
      </c>
      <c r="AC353" s="1104" t="s">
        <v>1942</v>
      </c>
      <c r="AD353" s="1104" t="s">
        <v>1942</v>
      </c>
      <c r="AE353" s="1104">
        <v>1</v>
      </c>
      <c r="AF353" s="1104" t="s">
        <v>1942</v>
      </c>
      <c r="AG353" s="1104" t="s">
        <v>1942</v>
      </c>
      <c r="AH353" s="1104" t="s">
        <v>1942</v>
      </c>
      <c r="AI353" s="1105">
        <f t="shared" si="5"/>
        <v>1</v>
      </c>
      <c r="AJ353" s="1106" t="s">
        <v>1007</v>
      </c>
      <c r="AK353" s="1106" t="s">
        <v>1942</v>
      </c>
      <c r="AL353" s="1106" t="s">
        <v>1942</v>
      </c>
      <c r="AM353" s="1107" t="s">
        <v>2677</v>
      </c>
      <c r="AN353" s="1018" t="s">
        <v>278</v>
      </c>
      <c r="AO353" s="1018" t="s">
        <v>1146</v>
      </c>
      <c r="AP353" s="1333">
        <v>0</v>
      </c>
      <c r="AQ353" s="1076" t="s">
        <v>1010</v>
      </c>
      <c r="AR353" s="1109" t="s">
        <v>1942</v>
      </c>
      <c r="AS353" s="1110"/>
      <c r="AT353" s="1100"/>
      <c r="AU353" s="1100"/>
      <c r="AV353" s="1100"/>
      <c r="AW353" s="1111"/>
      <c r="AX353" s="1112"/>
      <c r="AY353" s="1075"/>
      <c r="AZ353" s="1076"/>
      <c r="BA353" s="1076"/>
      <c r="BB353" s="1076"/>
      <c r="BC353" s="1076"/>
      <c r="BD353" s="1076"/>
      <c r="BE353" s="1076"/>
      <c r="BF353" s="1076"/>
      <c r="BG353" s="1076"/>
      <c r="BH353" s="1076"/>
      <c r="BI353" s="1420"/>
      <c r="BJ353" s="1368"/>
      <c r="BK353" s="1368"/>
      <c r="BL353" s="1368"/>
      <c r="BM353" s="1368"/>
      <c r="BN353" s="1075"/>
      <c r="BO353" s="1076"/>
      <c r="BP353" s="1076"/>
      <c r="BQ353" s="1076"/>
      <c r="BR353" s="1076"/>
      <c r="BS353" s="1115"/>
      <c r="BT353" s="1076"/>
      <c r="BU353" s="1076"/>
      <c r="BV353" s="1076"/>
      <c r="BW353" s="1116"/>
      <c r="BX353" s="1115"/>
      <c r="BY353" s="1076"/>
      <c r="BZ353" s="1076"/>
      <c r="CA353" s="1076"/>
      <c r="CB353" s="1116"/>
      <c r="CC353" s="1117"/>
      <c r="CD353" s="1376"/>
      <c r="CE353" s="1377"/>
      <c r="CF353" s="1377"/>
      <c r="CG353" s="1377"/>
      <c r="CH353" s="1440"/>
      <c r="CI353" s="1420"/>
      <c r="CJ353" s="1368"/>
      <c r="CK353" s="1368"/>
      <c r="CL353" s="1368"/>
      <c r="CM353" s="1369"/>
      <c r="CN353" s="1420"/>
      <c r="CO353" s="1368"/>
      <c r="CP353" s="1368"/>
      <c r="CQ353" s="1368"/>
      <c r="CR353" s="1369"/>
      <c r="CS353" s="1420"/>
      <c r="CT353" s="1368"/>
      <c r="CU353" s="1368"/>
      <c r="CV353" s="1368"/>
      <c r="CW353" s="1369"/>
      <c r="CX353" s="1420"/>
      <c r="CY353" s="1368"/>
      <c r="CZ353" s="1368"/>
      <c r="DA353" s="1368"/>
      <c r="DB353" s="1369"/>
      <c r="DC353" s="1368"/>
      <c r="DD353" s="1368"/>
      <c r="DE353" s="1368"/>
      <c r="DF353" s="1368"/>
      <c r="DG353" s="1369"/>
      <c r="DH353" s="1420"/>
      <c r="DI353" s="1368"/>
      <c r="DJ353" s="1368"/>
      <c r="DK353" s="1368"/>
      <c r="DL353" s="1369"/>
      <c r="DM353" s="1808"/>
      <c r="DN353" s="1809"/>
      <c r="DO353" s="1809"/>
      <c r="DP353" s="1810"/>
      <c r="DQ353" s="1809"/>
      <c r="DR353" s="1809"/>
      <c r="DS353" s="1809"/>
      <c r="DT353" s="1810"/>
      <c r="DU353" s="1377"/>
      <c r="DV353" s="1729"/>
      <c r="DW353" s="1811"/>
    </row>
    <row r="354" spans="1:127" s="397" customFormat="1" ht="15.75" hidden="1" customHeight="1">
      <c r="A354" s="1097" t="s">
        <v>1078</v>
      </c>
      <c r="B354" s="1057">
        <v>345</v>
      </c>
      <c r="C354" s="1018"/>
      <c r="D354" s="1018"/>
      <c r="E354" s="1018"/>
      <c r="F354" s="1018"/>
      <c r="G354" s="1018"/>
      <c r="H354" s="1018"/>
      <c r="I354" s="1018"/>
      <c r="J354" s="1018"/>
      <c r="K354" s="1018"/>
      <c r="L354" s="1018"/>
      <c r="M354" s="1057"/>
      <c r="N354" s="1018"/>
      <c r="O354" s="1018"/>
      <c r="P354" s="1018"/>
      <c r="Q354" s="1018"/>
      <c r="R354" s="1018"/>
      <c r="S354" s="1018"/>
      <c r="T354" s="1019"/>
      <c r="U354" s="1098" t="s">
        <v>3427</v>
      </c>
      <c r="V354" s="1099" t="s">
        <v>1942</v>
      </c>
      <c r="W354" s="1099" t="s">
        <v>1942</v>
      </c>
      <c r="X354" s="1100" t="s">
        <v>2032</v>
      </c>
      <c r="Y354" s="1101" t="s">
        <v>2033</v>
      </c>
      <c r="Z354" s="1102" t="s">
        <v>1942</v>
      </c>
      <c r="AA354" s="1103" t="s">
        <v>1942</v>
      </c>
      <c r="AB354" s="1104" t="s">
        <v>1942</v>
      </c>
      <c r="AC354" s="1104" t="s">
        <v>1942</v>
      </c>
      <c r="AD354" s="1104" t="s">
        <v>1942</v>
      </c>
      <c r="AE354" s="1104" t="s">
        <v>1942</v>
      </c>
      <c r="AF354" s="1104" t="s">
        <v>1942</v>
      </c>
      <c r="AG354" s="1104" t="s">
        <v>1942</v>
      </c>
      <c r="AH354" s="1104" t="s">
        <v>1942</v>
      </c>
      <c r="AI354" s="1105">
        <f t="shared" si="5"/>
        <v>0</v>
      </c>
      <c r="AJ354" s="1106" t="s">
        <v>1007</v>
      </c>
      <c r="AK354" s="1106" t="s">
        <v>1942</v>
      </c>
      <c r="AL354" s="1106" t="s">
        <v>1942</v>
      </c>
      <c r="AM354" s="1107" t="s">
        <v>1942</v>
      </c>
      <c r="AN354" s="1018" t="s">
        <v>1942</v>
      </c>
      <c r="AO354" s="1018" t="s">
        <v>2034</v>
      </c>
      <c r="AP354" s="1333">
        <v>0</v>
      </c>
      <c r="AQ354" s="1076" t="s">
        <v>1942</v>
      </c>
      <c r="AR354" s="1109" t="s">
        <v>1942</v>
      </c>
      <c r="AS354" s="1110"/>
      <c r="AT354" s="1100"/>
      <c r="AU354" s="1100"/>
      <c r="AV354" s="1100"/>
      <c r="AW354" s="1111"/>
      <c r="AX354" s="1112"/>
      <c r="AY354" s="1075"/>
      <c r="AZ354" s="1076"/>
      <c r="BA354" s="1076"/>
      <c r="BB354" s="1076"/>
      <c r="BC354" s="1076"/>
      <c r="BD354" s="1076"/>
      <c r="BE354" s="1076"/>
      <c r="BF354" s="1076"/>
      <c r="BG354" s="1076"/>
      <c r="BH354" s="1076"/>
      <c r="BI354" s="1420"/>
      <c r="BJ354" s="1368"/>
      <c r="BK354" s="1368"/>
      <c r="BL354" s="1368"/>
      <c r="BM354" s="1368"/>
      <c r="BN354" s="1075"/>
      <c r="BO354" s="1076"/>
      <c r="BP354" s="1076"/>
      <c r="BQ354" s="1076"/>
      <c r="BR354" s="1076"/>
      <c r="BS354" s="1115"/>
      <c r="BT354" s="1076"/>
      <c r="BU354" s="1076"/>
      <c r="BV354" s="1076"/>
      <c r="BW354" s="1116"/>
      <c r="BX354" s="1115"/>
      <c r="BY354" s="1076"/>
      <c r="BZ354" s="1076"/>
      <c r="CA354" s="1076"/>
      <c r="CB354" s="1116"/>
      <c r="CC354" s="1117"/>
      <c r="CD354" s="1376"/>
      <c r="CE354" s="1377"/>
      <c r="CF354" s="1377"/>
      <c r="CG354" s="1377"/>
      <c r="CH354" s="1440"/>
      <c r="CI354" s="1420"/>
      <c r="CJ354" s="1368"/>
      <c r="CK354" s="1368"/>
      <c r="CL354" s="1368"/>
      <c r="CM354" s="1369"/>
      <c r="CN354" s="1420"/>
      <c r="CO354" s="1368"/>
      <c r="CP354" s="1368"/>
      <c r="CQ354" s="1368"/>
      <c r="CR354" s="1369"/>
      <c r="CS354" s="1420"/>
      <c r="CT354" s="1368"/>
      <c r="CU354" s="1368"/>
      <c r="CV354" s="1368"/>
      <c r="CW354" s="1369"/>
      <c r="CX354" s="1420"/>
      <c r="CY354" s="1368"/>
      <c r="CZ354" s="1368"/>
      <c r="DA354" s="1368"/>
      <c r="DB354" s="1369"/>
      <c r="DC354" s="1368"/>
      <c r="DD354" s="1368"/>
      <c r="DE354" s="1368"/>
      <c r="DF354" s="1368"/>
      <c r="DG354" s="1369"/>
      <c r="DH354" s="1420"/>
      <c r="DI354" s="1368"/>
      <c r="DJ354" s="1368"/>
      <c r="DK354" s="1368"/>
      <c r="DL354" s="1369"/>
      <c r="DM354" s="1808"/>
      <c r="DN354" s="1809"/>
      <c r="DO354" s="1809"/>
      <c r="DP354" s="1810"/>
      <c r="DQ354" s="1809"/>
      <c r="DR354" s="1809"/>
      <c r="DS354" s="1809"/>
      <c r="DT354" s="1810"/>
      <c r="DU354" s="1377"/>
      <c r="DV354" s="1729"/>
      <c r="DW354" s="1811"/>
    </row>
    <row r="355" spans="1:127" s="397" customFormat="1" ht="15.75" hidden="1" customHeight="1">
      <c r="A355" s="1097" t="s">
        <v>1036</v>
      </c>
      <c r="B355" s="1057">
        <v>346</v>
      </c>
      <c r="C355" s="1018"/>
      <c r="D355" s="1018"/>
      <c r="E355" s="1018"/>
      <c r="F355" s="1018"/>
      <c r="G355" s="1018"/>
      <c r="H355" s="1018"/>
      <c r="I355" s="1018"/>
      <c r="J355" s="1018"/>
      <c r="K355" s="1018"/>
      <c r="L355" s="1018"/>
      <c r="M355" s="1057"/>
      <c r="N355" s="1018"/>
      <c r="O355" s="1018"/>
      <c r="P355" s="1018"/>
      <c r="Q355" s="1018"/>
      <c r="R355" s="1018"/>
      <c r="S355" s="1018"/>
      <c r="T355" s="1019"/>
      <c r="U355" s="1098" t="s">
        <v>3428</v>
      </c>
      <c r="V355" s="1099" t="s">
        <v>2426</v>
      </c>
      <c r="W355" s="1099" t="s">
        <v>1907</v>
      </c>
      <c r="X355" s="1100" t="s">
        <v>3429</v>
      </c>
      <c r="Y355" s="1101" t="s">
        <v>3430</v>
      </c>
      <c r="Z355" s="1102" t="s">
        <v>3431</v>
      </c>
      <c r="AA355" s="1103" t="s">
        <v>1942</v>
      </c>
      <c r="AB355" s="1104" t="s">
        <v>1942</v>
      </c>
      <c r="AC355" s="1104" t="s">
        <v>1942</v>
      </c>
      <c r="AD355" s="1104" t="s">
        <v>1942</v>
      </c>
      <c r="AE355" s="1104">
        <v>1</v>
      </c>
      <c r="AF355" s="1104" t="s">
        <v>1942</v>
      </c>
      <c r="AG355" s="1104" t="s">
        <v>1942</v>
      </c>
      <c r="AH355" s="1104" t="s">
        <v>1942</v>
      </c>
      <c r="AI355" s="1105">
        <f t="shared" si="5"/>
        <v>1</v>
      </c>
      <c r="AJ355" s="1106" t="s">
        <v>1017</v>
      </c>
      <c r="AK355" s="1106" t="s">
        <v>1008</v>
      </c>
      <c r="AL355" s="1106" t="s">
        <v>1009</v>
      </c>
      <c r="AM355" s="1107" t="s">
        <v>2677</v>
      </c>
      <c r="AN355" s="1018" t="s">
        <v>1033</v>
      </c>
      <c r="AO355" s="1018" t="s">
        <v>3432</v>
      </c>
      <c r="AP355" s="1333">
        <v>0</v>
      </c>
      <c r="AQ355" s="1076" t="s">
        <v>1020</v>
      </c>
      <c r="AR355" s="1109" t="s">
        <v>1942</v>
      </c>
      <c r="AS355" s="1110"/>
      <c r="AT355" s="1100"/>
      <c r="AU355" s="1100"/>
      <c r="AV355" s="1100"/>
      <c r="AW355" s="1111"/>
      <c r="AX355" s="1112"/>
      <c r="AY355" s="1075"/>
      <c r="AZ355" s="1076"/>
      <c r="BA355" s="1076"/>
      <c r="BB355" s="1076"/>
      <c r="BC355" s="1076"/>
      <c r="BD355" s="1076"/>
      <c r="BE355" s="1076"/>
      <c r="BF355" s="1076"/>
      <c r="BG355" s="1076"/>
      <c r="BH355" s="1076"/>
      <c r="BI355" s="1420"/>
      <c r="BJ355" s="1368"/>
      <c r="BK355" s="1368"/>
      <c r="BL355" s="1368"/>
      <c r="BM355" s="1368"/>
      <c r="BN355" s="1075"/>
      <c r="BO355" s="1076"/>
      <c r="BP355" s="1076"/>
      <c r="BQ355" s="1076"/>
      <c r="BR355" s="1076"/>
      <c r="BS355" s="1115"/>
      <c r="BT355" s="1076"/>
      <c r="BU355" s="1076"/>
      <c r="BV355" s="1076"/>
      <c r="BW355" s="1116"/>
      <c r="BX355" s="1115"/>
      <c r="BY355" s="1076"/>
      <c r="BZ355" s="1076"/>
      <c r="CA355" s="1076"/>
      <c r="CB355" s="1116"/>
      <c r="CC355" s="1117"/>
      <c r="CD355" s="1376"/>
      <c r="CE355" s="1377"/>
      <c r="CF355" s="1377"/>
      <c r="CG355" s="1377"/>
      <c r="CH355" s="1440"/>
      <c r="CI355" s="1420"/>
      <c r="CJ355" s="1368"/>
      <c r="CK355" s="1368"/>
      <c r="CL355" s="1368"/>
      <c r="CM355" s="1369"/>
      <c r="CN355" s="1420"/>
      <c r="CO355" s="1368"/>
      <c r="CP355" s="1368"/>
      <c r="CQ355" s="1368"/>
      <c r="CR355" s="1369"/>
      <c r="CS355" s="1420"/>
      <c r="CT355" s="1368"/>
      <c r="CU355" s="1368"/>
      <c r="CV355" s="1368"/>
      <c r="CW355" s="1369"/>
      <c r="CX355" s="1420"/>
      <c r="CY355" s="1368"/>
      <c r="CZ355" s="1368"/>
      <c r="DA355" s="1368"/>
      <c r="DB355" s="1369"/>
      <c r="DC355" s="1368"/>
      <c r="DD355" s="1368"/>
      <c r="DE355" s="1368"/>
      <c r="DF355" s="1368"/>
      <c r="DG355" s="1369"/>
      <c r="DH355" s="1420"/>
      <c r="DI355" s="1368"/>
      <c r="DJ355" s="1368"/>
      <c r="DK355" s="1368"/>
      <c r="DL355" s="1369"/>
      <c r="DM355" s="1808"/>
      <c r="DN355" s="1809"/>
      <c r="DO355" s="1809"/>
      <c r="DP355" s="1810"/>
      <c r="DQ355" s="1809"/>
      <c r="DR355" s="1809"/>
      <c r="DS355" s="1809"/>
      <c r="DT355" s="1810"/>
      <c r="DU355" s="1377"/>
      <c r="DV355" s="1729"/>
      <c r="DW355" s="1811"/>
    </row>
    <row r="356" spans="1:127" s="397" customFormat="1" ht="15.75" hidden="1" customHeight="1">
      <c r="A356" s="1097" t="s">
        <v>1036</v>
      </c>
      <c r="B356" s="1057">
        <v>347</v>
      </c>
      <c r="C356" s="1018"/>
      <c r="D356" s="1018"/>
      <c r="E356" s="1018"/>
      <c r="F356" s="1018"/>
      <c r="G356" s="1018"/>
      <c r="H356" s="1018"/>
      <c r="I356" s="1018"/>
      <c r="J356" s="1018"/>
      <c r="K356" s="1018"/>
      <c r="L356" s="1018"/>
      <c r="M356" s="1057"/>
      <c r="N356" s="1018"/>
      <c r="O356" s="1018"/>
      <c r="P356" s="1018"/>
      <c r="Q356" s="1018"/>
      <c r="R356" s="1018"/>
      <c r="S356" s="1018"/>
      <c r="T356" s="1019"/>
      <c r="U356" s="1098" t="s">
        <v>3433</v>
      </c>
      <c r="V356" s="1099" t="s">
        <v>2426</v>
      </c>
      <c r="W356" s="1099" t="s">
        <v>1907</v>
      </c>
      <c r="X356" s="1100" t="s">
        <v>3434</v>
      </c>
      <c r="Y356" s="1101" t="s">
        <v>3435</v>
      </c>
      <c r="Z356" s="1102" t="s">
        <v>3436</v>
      </c>
      <c r="AA356" s="1103" t="s">
        <v>1942</v>
      </c>
      <c r="AB356" s="1104" t="s">
        <v>1942</v>
      </c>
      <c r="AC356" s="1104" t="s">
        <v>1942</v>
      </c>
      <c r="AD356" s="1104" t="s">
        <v>1942</v>
      </c>
      <c r="AE356" s="1104">
        <v>1</v>
      </c>
      <c r="AF356" s="1104" t="s">
        <v>1942</v>
      </c>
      <c r="AG356" s="1104" t="s">
        <v>1942</v>
      </c>
      <c r="AH356" s="1104" t="s">
        <v>1942</v>
      </c>
      <c r="AI356" s="1105">
        <f t="shared" si="5"/>
        <v>1</v>
      </c>
      <c r="AJ356" s="1106" t="s">
        <v>1007</v>
      </c>
      <c r="AK356" s="1106" t="s">
        <v>1942</v>
      </c>
      <c r="AL356" s="1106" t="s">
        <v>1942</v>
      </c>
      <c r="AM356" s="1107" t="s">
        <v>2677</v>
      </c>
      <c r="AN356" s="1018" t="s">
        <v>1033</v>
      </c>
      <c r="AO356" s="1018" t="s">
        <v>3437</v>
      </c>
      <c r="AP356" s="1333">
        <v>0</v>
      </c>
      <c r="AQ356" s="1076" t="s">
        <v>1010</v>
      </c>
      <c r="AR356" s="1109" t="s">
        <v>1942</v>
      </c>
      <c r="AS356" s="1110"/>
      <c r="AT356" s="1100"/>
      <c r="AU356" s="1100"/>
      <c r="AV356" s="1100"/>
      <c r="AW356" s="1111"/>
      <c r="AX356" s="1112"/>
      <c r="AY356" s="1075"/>
      <c r="AZ356" s="1076"/>
      <c r="BA356" s="1076"/>
      <c r="BB356" s="1076"/>
      <c r="BC356" s="1076"/>
      <c r="BD356" s="1076"/>
      <c r="BE356" s="1076"/>
      <c r="BF356" s="1076"/>
      <c r="BG356" s="1076"/>
      <c r="BH356" s="1076"/>
      <c r="BI356" s="1420"/>
      <c r="BJ356" s="1368"/>
      <c r="BK356" s="1368"/>
      <c r="BL356" s="1368"/>
      <c r="BM356" s="1368"/>
      <c r="BN356" s="1075"/>
      <c r="BO356" s="1076"/>
      <c r="BP356" s="1076"/>
      <c r="BQ356" s="1076"/>
      <c r="BR356" s="1076"/>
      <c r="BS356" s="1115"/>
      <c r="BT356" s="1076"/>
      <c r="BU356" s="1076"/>
      <c r="BV356" s="1076"/>
      <c r="BW356" s="1116"/>
      <c r="BX356" s="1115"/>
      <c r="BY356" s="1076"/>
      <c r="BZ356" s="1076"/>
      <c r="CA356" s="1076"/>
      <c r="CB356" s="1116"/>
      <c r="CC356" s="1117"/>
      <c r="CD356" s="1376"/>
      <c r="CE356" s="1377"/>
      <c r="CF356" s="1377"/>
      <c r="CG356" s="1377"/>
      <c r="CH356" s="1440"/>
      <c r="CI356" s="1420"/>
      <c r="CJ356" s="1368"/>
      <c r="CK356" s="1368"/>
      <c r="CL356" s="1368"/>
      <c r="CM356" s="1369"/>
      <c r="CN356" s="1420"/>
      <c r="CO356" s="1368"/>
      <c r="CP356" s="1368"/>
      <c r="CQ356" s="1368"/>
      <c r="CR356" s="1369"/>
      <c r="CS356" s="1420"/>
      <c r="CT356" s="1368"/>
      <c r="CU356" s="1368"/>
      <c r="CV356" s="1368"/>
      <c r="CW356" s="1369"/>
      <c r="CX356" s="1420"/>
      <c r="CY356" s="1368"/>
      <c r="CZ356" s="1368"/>
      <c r="DA356" s="1368"/>
      <c r="DB356" s="1369"/>
      <c r="DC356" s="1368"/>
      <c r="DD356" s="1368"/>
      <c r="DE356" s="1368"/>
      <c r="DF356" s="1368"/>
      <c r="DG356" s="1369"/>
      <c r="DH356" s="1420"/>
      <c r="DI356" s="1368"/>
      <c r="DJ356" s="1368"/>
      <c r="DK356" s="1368"/>
      <c r="DL356" s="1369"/>
      <c r="DM356" s="1808"/>
      <c r="DN356" s="1809"/>
      <c r="DO356" s="1809"/>
      <c r="DP356" s="1810"/>
      <c r="DQ356" s="1809"/>
      <c r="DR356" s="1809"/>
      <c r="DS356" s="1809"/>
      <c r="DT356" s="1810"/>
      <c r="DU356" s="1377"/>
      <c r="DV356" s="1729"/>
      <c r="DW356" s="1811"/>
    </row>
    <row r="357" spans="1:127" s="397" customFormat="1" ht="15.75" hidden="1" customHeight="1">
      <c r="A357" s="1097" t="s">
        <v>1036</v>
      </c>
      <c r="B357" s="1057">
        <v>348</v>
      </c>
      <c r="C357" s="1018"/>
      <c r="D357" s="1018"/>
      <c r="E357" s="1018"/>
      <c r="F357" s="1018"/>
      <c r="G357" s="1018"/>
      <c r="H357" s="1018"/>
      <c r="I357" s="1018"/>
      <c r="J357" s="1018"/>
      <c r="K357" s="1018"/>
      <c r="L357" s="1018"/>
      <c r="M357" s="1057"/>
      <c r="N357" s="1018"/>
      <c r="O357" s="1018"/>
      <c r="P357" s="1018"/>
      <c r="Q357" s="1018"/>
      <c r="R357" s="1018"/>
      <c r="S357" s="1018"/>
      <c r="T357" s="1019"/>
      <c r="U357" s="1098" t="s">
        <v>3438</v>
      </c>
      <c r="V357" s="1099" t="s">
        <v>2426</v>
      </c>
      <c r="W357" s="1099" t="s">
        <v>1907</v>
      </c>
      <c r="X357" s="1100" t="s">
        <v>3439</v>
      </c>
      <c r="Y357" s="1101" t="s">
        <v>3440</v>
      </c>
      <c r="Z357" s="1102" t="s">
        <v>3441</v>
      </c>
      <c r="AA357" s="1103" t="s">
        <v>1942</v>
      </c>
      <c r="AB357" s="1104">
        <v>0.5</v>
      </c>
      <c r="AC357" s="1104">
        <v>0.5</v>
      </c>
      <c r="AD357" s="1104" t="s">
        <v>1942</v>
      </c>
      <c r="AE357" s="1104" t="s">
        <v>1942</v>
      </c>
      <c r="AF357" s="1104" t="s">
        <v>1942</v>
      </c>
      <c r="AG357" s="1104" t="s">
        <v>1942</v>
      </c>
      <c r="AH357" s="1104" t="s">
        <v>1942</v>
      </c>
      <c r="AI357" s="1105">
        <f t="shared" si="5"/>
        <v>1</v>
      </c>
      <c r="AJ357" s="1106" t="s">
        <v>1017</v>
      </c>
      <c r="AK357" s="1106" t="s">
        <v>1008</v>
      </c>
      <c r="AL357" s="1106" t="s">
        <v>1009</v>
      </c>
      <c r="AM357" s="1107" t="s">
        <v>2677</v>
      </c>
      <c r="AN357" s="1018" t="s">
        <v>1033</v>
      </c>
      <c r="AO357" s="1018" t="s">
        <v>3442</v>
      </c>
      <c r="AP357" s="1333">
        <v>0</v>
      </c>
      <c r="AQ357" s="1076" t="s">
        <v>1010</v>
      </c>
      <c r="AR357" s="1109" t="s">
        <v>1942</v>
      </c>
      <c r="AS357" s="1110"/>
      <c r="AT357" s="1100"/>
      <c r="AU357" s="1100"/>
      <c r="AV357" s="1100"/>
      <c r="AW357" s="1111"/>
      <c r="AX357" s="1112"/>
      <c r="AY357" s="1075"/>
      <c r="AZ357" s="1076"/>
      <c r="BA357" s="1076"/>
      <c r="BB357" s="1076"/>
      <c r="BC357" s="1076"/>
      <c r="BD357" s="1076"/>
      <c r="BE357" s="1076"/>
      <c r="BF357" s="1076"/>
      <c r="BG357" s="1076"/>
      <c r="BH357" s="1076"/>
      <c r="BI357" s="1420"/>
      <c r="BJ357" s="1368"/>
      <c r="BK357" s="1368"/>
      <c r="BL357" s="1368"/>
      <c r="BM357" s="1368"/>
      <c r="BN357" s="1075"/>
      <c r="BO357" s="1076"/>
      <c r="BP357" s="1076"/>
      <c r="BQ357" s="1076"/>
      <c r="BR357" s="1076"/>
      <c r="BS357" s="1115"/>
      <c r="BT357" s="1076"/>
      <c r="BU357" s="1076"/>
      <c r="BV357" s="1076"/>
      <c r="BW357" s="1116"/>
      <c r="BX357" s="1115"/>
      <c r="BY357" s="1076"/>
      <c r="BZ357" s="1076"/>
      <c r="CA357" s="1076"/>
      <c r="CB357" s="1116"/>
      <c r="CC357" s="1117"/>
      <c r="CD357" s="1376"/>
      <c r="CE357" s="1377"/>
      <c r="CF357" s="1377"/>
      <c r="CG357" s="1377"/>
      <c r="CH357" s="1440"/>
      <c r="CI357" s="1420"/>
      <c r="CJ357" s="1368"/>
      <c r="CK357" s="1368"/>
      <c r="CL357" s="1368"/>
      <c r="CM357" s="1369"/>
      <c r="CN357" s="1420"/>
      <c r="CO357" s="1368"/>
      <c r="CP357" s="1368"/>
      <c r="CQ357" s="1368"/>
      <c r="CR357" s="1369"/>
      <c r="CS357" s="1420"/>
      <c r="CT357" s="1368"/>
      <c r="CU357" s="1368"/>
      <c r="CV357" s="1368"/>
      <c r="CW357" s="1369"/>
      <c r="CX357" s="1420"/>
      <c r="CY357" s="1368"/>
      <c r="CZ357" s="1368"/>
      <c r="DA357" s="1368"/>
      <c r="DB357" s="1369"/>
      <c r="DC357" s="1368"/>
      <c r="DD357" s="1368"/>
      <c r="DE357" s="1368"/>
      <c r="DF357" s="1368"/>
      <c r="DG357" s="1369"/>
      <c r="DH357" s="1420"/>
      <c r="DI357" s="1368"/>
      <c r="DJ357" s="1368"/>
      <c r="DK357" s="1368"/>
      <c r="DL357" s="1369"/>
      <c r="DM357" s="1808"/>
      <c r="DN357" s="1809"/>
      <c r="DO357" s="1809"/>
      <c r="DP357" s="1810"/>
      <c r="DQ357" s="1809"/>
      <c r="DR357" s="1809"/>
      <c r="DS357" s="1809"/>
      <c r="DT357" s="1810"/>
      <c r="DU357" s="1377"/>
      <c r="DV357" s="1729"/>
      <c r="DW357" s="1811"/>
    </row>
    <row r="358" spans="1:127" s="397" customFormat="1" ht="15.75" hidden="1" customHeight="1">
      <c r="A358" s="1097" t="s">
        <v>1036</v>
      </c>
      <c r="B358" s="1057">
        <v>349</v>
      </c>
      <c r="C358" s="1018"/>
      <c r="D358" s="1018" t="s">
        <v>2098</v>
      </c>
      <c r="E358" s="1018"/>
      <c r="F358" s="1018"/>
      <c r="G358" s="1018"/>
      <c r="H358" s="1018"/>
      <c r="I358" s="1018"/>
      <c r="J358" s="1018"/>
      <c r="K358" s="1018"/>
      <c r="L358" s="1018"/>
      <c r="M358" s="1057"/>
      <c r="N358" s="1018"/>
      <c r="O358" s="1018"/>
      <c r="P358" s="1018"/>
      <c r="Q358" s="1018"/>
      <c r="R358" s="1018"/>
      <c r="S358" s="1018"/>
      <c r="T358" s="1019"/>
      <c r="U358" s="1098" t="s">
        <v>3443</v>
      </c>
      <c r="V358" s="1099" t="s">
        <v>2426</v>
      </c>
      <c r="W358" s="1099" t="s">
        <v>1889</v>
      </c>
      <c r="X358" s="1100" t="s">
        <v>3444</v>
      </c>
      <c r="Y358" s="1101" t="s">
        <v>2171</v>
      </c>
      <c r="Z358" s="1102" t="s">
        <v>3445</v>
      </c>
      <c r="AA358" s="1103" t="s">
        <v>1942</v>
      </c>
      <c r="AB358" s="1104" t="s">
        <v>1942</v>
      </c>
      <c r="AC358" s="1104" t="s">
        <v>1942</v>
      </c>
      <c r="AD358" s="1104" t="s">
        <v>1942</v>
      </c>
      <c r="AE358" s="1104">
        <v>1</v>
      </c>
      <c r="AF358" s="1104" t="s">
        <v>1942</v>
      </c>
      <c r="AG358" s="1104" t="s">
        <v>1942</v>
      </c>
      <c r="AH358" s="1104" t="s">
        <v>1942</v>
      </c>
      <c r="AI358" s="1105">
        <f t="shared" si="5"/>
        <v>1</v>
      </c>
      <c r="AJ358" s="1106" t="s">
        <v>1007</v>
      </c>
      <c r="AK358" s="1106" t="s">
        <v>1942</v>
      </c>
      <c r="AL358" s="1106" t="s">
        <v>1942</v>
      </c>
      <c r="AM358" s="1107" t="s">
        <v>2677</v>
      </c>
      <c r="AN358" s="1018" t="s">
        <v>278</v>
      </c>
      <c r="AO358" s="1018" t="s">
        <v>3446</v>
      </c>
      <c r="AP358" s="1333">
        <v>1</v>
      </c>
      <c r="AQ358" s="1076" t="s">
        <v>1010</v>
      </c>
      <c r="AR358" s="1109" t="s">
        <v>1942</v>
      </c>
      <c r="AS358" s="1110"/>
      <c r="AT358" s="1100"/>
      <c r="AU358" s="1100"/>
      <c r="AV358" s="1100"/>
      <c r="AW358" s="1111"/>
      <c r="AX358" s="1112"/>
      <c r="AY358" s="1075"/>
      <c r="AZ358" s="1076"/>
      <c r="BA358" s="1076"/>
      <c r="BB358" s="1076"/>
      <c r="BC358" s="1076"/>
      <c r="BD358" s="1076"/>
      <c r="BE358" s="1076"/>
      <c r="BF358" s="1076"/>
      <c r="BG358" s="1076"/>
      <c r="BH358" s="1076"/>
      <c r="BI358" s="1420"/>
      <c r="BJ358" s="1368"/>
      <c r="BK358" s="1368"/>
      <c r="BL358" s="1368"/>
      <c r="BM358" s="1368"/>
      <c r="BN358" s="1075"/>
      <c r="BO358" s="1076"/>
      <c r="BP358" s="1076"/>
      <c r="BQ358" s="1076"/>
      <c r="BR358" s="1076"/>
      <c r="BS358" s="1115"/>
      <c r="BT358" s="1076"/>
      <c r="BU358" s="1076"/>
      <c r="BV358" s="1076"/>
      <c r="BW358" s="1116"/>
      <c r="BX358" s="1115"/>
      <c r="BY358" s="1076"/>
      <c r="BZ358" s="1076"/>
      <c r="CA358" s="1076"/>
      <c r="CB358" s="1116"/>
      <c r="CC358" s="1117"/>
      <c r="CD358" s="1376"/>
      <c r="CE358" s="1377"/>
      <c r="CF358" s="1377"/>
      <c r="CG358" s="1377"/>
      <c r="CH358" s="1440"/>
      <c r="CI358" s="1420"/>
      <c r="CJ358" s="1368"/>
      <c r="CK358" s="1368"/>
      <c r="CL358" s="1368"/>
      <c r="CM358" s="1369"/>
      <c r="CN358" s="1420"/>
      <c r="CO358" s="1368"/>
      <c r="CP358" s="1368"/>
      <c r="CQ358" s="1368"/>
      <c r="CR358" s="1369"/>
      <c r="CS358" s="1420"/>
      <c r="CT358" s="1368"/>
      <c r="CU358" s="1368"/>
      <c r="CV358" s="1368"/>
      <c r="CW358" s="1369"/>
      <c r="CX358" s="1420"/>
      <c r="CY358" s="1368"/>
      <c r="CZ358" s="1368"/>
      <c r="DA358" s="1368"/>
      <c r="DB358" s="1369"/>
      <c r="DC358" s="1368"/>
      <c r="DD358" s="1368"/>
      <c r="DE358" s="1368"/>
      <c r="DF358" s="1368"/>
      <c r="DG358" s="1369"/>
      <c r="DH358" s="1420"/>
      <c r="DI358" s="1368"/>
      <c r="DJ358" s="1368"/>
      <c r="DK358" s="1368"/>
      <c r="DL358" s="1369"/>
      <c r="DM358" s="1808"/>
      <c r="DN358" s="1809"/>
      <c r="DO358" s="1809"/>
      <c r="DP358" s="1810"/>
      <c r="DQ358" s="1809"/>
      <c r="DR358" s="1809"/>
      <c r="DS358" s="1809"/>
      <c r="DT358" s="1810"/>
      <c r="DU358" s="1377"/>
      <c r="DV358" s="1729"/>
      <c r="DW358" s="1811"/>
    </row>
    <row r="359" spans="1:127" s="397" customFormat="1" ht="15.75" hidden="1" customHeight="1">
      <c r="A359" s="1097" t="s">
        <v>1036</v>
      </c>
      <c r="B359" s="1057">
        <v>350</v>
      </c>
      <c r="C359" s="1018"/>
      <c r="D359" s="1018"/>
      <c r="E359" s="1018"/>
      <c r="F359" s="1018"/>
      <c r="G359" s="1018"/>
      <c r="H359" s="1018"/>
      <c r="I359" s="1018"/>
      <c r="J359" s="1018"/>
      <c r="K359" s="1018"/>
      <c r="L359" s="1018"/>
      <c r="M359" s="1057"/>
      <c r="N359" s="1018"/>
      <c r="O359" s="1018"/>
      <c r="P359" s="1018"/>
      <c r="Q359" s="1018"/>
      <c r="R359" s="1018"/>
      <c r="S359" s="1018"/>
      <c r="T359" s="1019"/>
      <c r="U359" s="1098" t="s">
        <v>3447</v>
      </c>
      <c r="V359" s="1099" t="s">
        <v>3448</v>
      </c>
      <c r="W359" s="1099" t="s">
        <v>1889</v>
      </c>
      <c r="X359" s="1100" t="s">
        <v>3449</v>
      </c>
      <c r="Y359" s="1101" t="s">
        <v>2398</v>
      </c>
      <c r="Z359" s="1102" t="s">
        <v>3450</v>
      </c>
      <c r="AA359" s="1103" t="s">
        <v>1942</v>
      </c>
      <c r="AB359" s="1104">
        <v>0.5</v>
      </c>
      <c r="AC359" s="1104">
        <v>0.5</v>
      </c>
      <c r="AD359" s="1104" t="s">
        <v>1942</v>
      </c>
      <c r="AE359" s="1104" t="s">
        <v>1942</v>
      </c>
      <c r="AF359" s="1104" t="s">
        <v>1942</v>
      </c>
      <c r="AG359" s="1104" t="s">
        <v>1942</v>
      </c>
      <c r="AH359" s="1104" t="s">
        <v>1942</v>
      </c>
      <c r="AI359" s="1105">
        <f t="shared" si="5"/>
        <v>1</v>
      </c>
      <c r="AJ359" s="1106" t="s">
        <v>1030</v>
      </c>
      <c r="AK359" s="1106" t="s">
        <v>1008</v>
      </c>
      <c r="AL359" s="1106" t="s">
        <v>1009</v>
      </c>
      <c r="AM359" s="1107" t="s">
        <v>2400</v>
      </c>
      <c r="AN359" s="1018" t="s">
        <v>1033</v>
      </c>
      <c r="AO359" s="1018" t="s">
        <v>2401</v>
      </c>
      <c r="AP359" s="1333">
        <v>0</v>
      </c>
      <c r="AQ359" s="1076" t="s">
        <v>1010</v>
      </c>
      <c r="AR359" s="1109" t="s">
        <v>1942</v>
      </c>
      <c r="AS359" s="1110"/>
      <c r="AT359" s="1100"/>
      <c r="AU359" s="1100"/>
      <c r="AV359" s="1100"/>
      <c r="AW359" s="1111"/>
      <c r="AX359" s="1112"/>
      <c r="AY359" s="1075"/>
      <c r="AZ359" s="1076"/>
      <c r="BA359" s="1076"/>
      <c r="BB359" s="1076"/>
      <c r="BC359" s="1076"/>
      <c r="BD359" s="1076"/>
      <c r="BE359" s="1076"/>
      <c r="BF359" s="1076"/>
      <c r="BG359" s="1076"/>
      <c r="BH359" s="1076"/>
      <c r="BI359" s="1420"/>
      <c r="BJ359" s="1368"/>
      <c r="BK359" s="1368"/>
      <c r="BL359" s="1368"/>
      <c r="BM359" s="1368"/>
      <c r="BN359" s="1075"/>
      <c r="BO359" s="1076"/>
      <c r="BP359" s="1076"/>
      <c r="BQ359" s="1076"/>
      <c r="BR359" s="1076"/>
      <c r="BS359" s="1115"/>
      <c r="BT359" s="1076"/>
      <c r="BU359" s="1076"/>
      <c r="BV359" s="1076"/>
      <c r="BW359" s="1116"/>
      <c r="BX359" s="1115"/>
      <c r="BY359" s="1076"/>
      <c r="BZ359" s="1076"/>
      <c r="CA359" s="1076"/>
      <c r="CB359" s="1116"/>
      <c r="CC359" s="1117"/>
      <c r="CD359" s="1376"/>
      <c r="CE359" s="1377"/>
      <c r="CF359" s="1377"/>
      <c r="CG359" s="1377"/>
      <c r="CH359" s="1440"/>
      <c r="CI359" s="1420"/>
      <c r="CJ359" s="1368"/>
      <c r="CK359" s="1368"/>
      <c r="CL359" s="1368"/>
      <c r="CM359" s="1369"/>
      <c r="CN359" s="1420"/>
      <c r="CO359" s="1368"/>
      <c r="CP359" s="1368"/>
      <c r="CQ359" s="1368"/>
      <c r="CR359" s="1369"/>
      <c r="CS359" s="1420"/>
      <c r="CT359" s="1368"/>
      <c r="CU359" s="1368"/>
      <c r="CV359" s="1368"/>
      <c r="CW359" s="1369"/>
      <c r="CX359" s="1420"/>
      <c r="CY359" s="1368"/>
      <c r="CZ359" s="1368"/>
      <c r="DA359" s="1368"/>
      <c r="DB359" s="1369"/>
      <c r="DC359" s="1368"/>
      <c r="DD359" s="1368"/>
      <c r="DE359" s="1368"/>
      <c r="DF359" s="1368"/>
      <c r="DG359" s="1369"/>
      <c r="DH359" s="1420"/>
      <c r="DI359" s="1368"/>
      <c r="DJ359" s="1368"/>
      <c r="DK359" s="1368"/>
      <c r="DL359" s="1369"/>
      <c r="DM359" s="1808"/>
      <c r="DN359" s="1809"/>
      <c r="DO359" s="1809"/>
      <c r="DP359" s="1810"/>
      <c r="DQ359" s="1809"/>
      <c r="DR359" s="1809"/>
      <c r="DS359" s="1809"/>
      <c r="DT359" s="1810"/>
      <c r="DU359" s="1377"/>
      <c r="DV359" s="1729"/>
      <c r="DW359" s="1811"/>
    </row>
    <row r="360" spans="1:127" s="397" customFormat="1" ht="15.75" hidden="1" customHeight="1">
      <c r="A360" s="1097" t="s">
        <v>1036</v>
      </c>
      <c r="B360" s="1057">
        <v>351</v>
      </c>
      <c r="C360" s="1018"/>
      <c r="D360" s="1018"/>
      <c r="E360" s="1018"/>
      <c r="F360" s="1018"/>
      <c r="G360" s="1018"/>
      <c r="H360" s="1018"/>
      <c r="I360" s="1018"/>
      <c r="J360" s="1018"/>
      <c r="K360" s="1018"/>
      <c r="L360" s="1018"/>
      <c r="M360" s="1057"/>
      <c r="N360" s="1018"/>
      <c r="O360" s="1018"/>
      <c r="P360" s="1018"/>
      <c r="Q360" s="1018"/>
      <c r="R360" s="1018"/>
      <c r="S360" s="1018"/>
      <c r="T360" s="1019"/>
      <c r="U360" s="1098" t="s">
        <v>3451</v>
      </c>
      <c r="V360" s="1099" t="s">
        <v>2376</v>
      </c>
      <c r="W360" s="1099" t="s">
        <v>1907</v>
      </c>
      <c r="X360" s="1100" t="s">
        <v>3452</v>
      </c>
      <c r="Y360" s="1101" t="s">
        <v>1058</v>
      </c>
      <c r="Z360" s="1102" t="s">
        <v>2393</v>
      </c>
      <c r="AA360" s="1103" t="s">
        <v>1942</v>
      </c>
      <c r="AB360" s="1104">
        <v>0.1</v>
      </c>
      <c r="AC360" s="1104">
        <v>0.9</v>
      </c>
      <c r="AD360" s="1104" t="s">
        <v>1942</v>
      </c>
      <c r="AE360" s="1104" t="s">
        <v>1942</v>
      </c>
      <c r="AF360" s="1104" t="s">
        <v>1942</v>
      </c>
      <c r="AG360" s="1104" t="s">
        <v>1942</v>
      </c>
      <c r="AH360" s="1104" t="s">
        <v>1942</v>
      </c>
      <c r="AI360" s="1105">
        <f t="shared" si="5"/>
        <v>1</v>
      </c>
      <c r="AJ360" s="1106" t="s">
        <v>1026</v>
      </c>
      <c r="AK360" s="1106" t="s">
        <v>1008</v>
      </c>
      <c r="AL360" s="1106" t="s">
        <v>1009</v>
      </c>
      <c r="AM360" s="1107" t="s">
        <v>2106</v>
      </c>
      <c r="AN360" s="1018" t="s">
        <v>278</v>
      </c>
      <c r="AO360" s="1018" t="s">
        <v>2449</v>
      </c>
      <c r="AP360" s="1307">
        <v>2</v>
      </c>
      <c r="AQ360" s="1076" t="s">
        <v>1010</v>
      </c>
      <c r="AR360" s="1109" t="s">
        <v>1058</v>
      </c>
      <c r="AS360" s="1110"/>
      <c r="AT360" s="1100"/>
      <c r="AU360" s="1100"/>
      <c r="AV360" s="1100"/>
      <c r="AW360" s="1111"/>
      <c r="AX360" s="1112"/>
      <c r="AY360" s="1075"/>
      <c r="AZ360" s="1076"/>
      <c r="BA360" s="1076"/>
      <c r="BB360" s="1076"/>
      <c r="BC360" s="1076"/>
      <c r="BD360" s="1076"/>
      <c r="BE360" s="1076"/>
      <c r="BF360" s="1076"/>
      <c r="BG360" s="1126"/>
      <c r="BH360" s="1126"/>
      <c r="BI360" s="1127">
        <v>100</v>
      </c>
      <c r="BJ360" s="1126">
        <v>100</v>
      </c>
      <c r="BK360" s="1126">
        <v>100</v>
      </c>
      <c r="BL360" s="1126">
        <v>100</v>
      </c>
      <c r="BM360" s="1126">
        <v>100</v>
      </c>
      <c r="BN360" s="1075"/>
      <c r="BO360" s="1076"/>
      <c r="BP360" s="1076"/>
      <c r="BQ360" s="1076"/>
      <c r="BR360" s="1076"/>
      <c r="BS360" s="1115"/>
      <c r="BT360" s="1076"/>
      <c r="BU360" s="1076"/>
      <c r="BV360" s="1076"/>
      <c r="BW360" s="1116"/>
      <c r="BX360" s="1115"/>
      <c r="BY360" s="1076"/>
      <c r="BZ360" s="1076"/>
      <c r="CA360" s="1076"/>
      <c r="CB360" s="1116"/>
      <c r="CC360" s="1117"/>
      <c r="CD360" s="1118" t="s">
        <v>168</v>
      </c>
      <c r="CE360" s="1119" t="s">
        <v>168</v>
      </c>
      <c r="CF360" s="1119" t="s">
        <v>168</v>
      </c>
      <c r="CG360" s="1119" t="s">
        <v>168</v>
      </c>
      <c r="CH360" s="1120" t="s">
        <v>168</v>
      </c>
      <c r="CI360" s="1075" t="s">
        <v>1942</v>
      </c>
      <c r="CJ360" s="1076" t="s">
        <v>1942</v>
      </c>
      <c r="CK360" s="1076" t="s">
        <v>1942</v>
      </c>
      <c r="CL360" s="1076" t="s">
        <v>1942</v>
      </c>
      <c r="CM360" s="1117" t="s">
        <v>1942</v>
      </c>
      <c r="CN360" s="1075" t="s">
        <v>1942</v>
      </c>
      <c r="CO360" s="1076" t="s">
        <v>1942</v>
      </c>
      <c r="CP360" s="1076" t="s">
        <v>1942</v>
      </c>
      <c r="CQ360" s="1076" t="s">
        <v>1942</v>
      </c>
      <c r="CR360" s="1117" t="s">
        <v>1942</v>
      </c>
      <c r="CS360" s="1075">
        <v>99</v>
      </c>
      <c r="CT360" s="1076">
        <v>99</v>
      </c>
      <c r="CU360" s="1076">
        <v>99</v>
      </c>
      <c r="CV360" s="1076">
        <v>99</v>
      </c>
      <c r="CW360" s="1117">
        <v>99</v>
      </c>
      <c r="CX360" s="1075" t="s">
        <v>1942</v>
      </c>
      <c r="CY360" s="1076" t="s">
        <v>1942</v>
      </c>
      <c r="CZ360" s="1076" t="s">
        <v>1942</v>
      </c>
      <c r="DA360" s="1076" t="s">
        <v>1942</v>
      </c>
      <c r="DB360" s="1117" t="s">
        <v>1942</v>
      </c>
      <c r="DC360" s="1076" t="s">
        <v>1942</v>
      </c>
      <c r="DD360" s="1076" t="s">
        <v>1942</v>
      </c>
      <c r="DE360" s="1076" t="s">
        <v>1942</v>
      </c>
      <c r="DF360" s="1076" t="s">
        <v>1942</v>
      </c>
      <c r="DG360" s="1117" t="s">
        <v>1942</v>
      </c>
      <c r="DH360" s="1075" t="s">
        <v>1942</v>
      </c>
      <c r="DI360" s="1076" t="s">
        <v>1942</v>
      </c>
      <c r="DJ360" s="1076" t="s">
        <v>1942</v>
      </c>
      <c r="DK360" s="1076" t="s">
        <v>1942</v>
      </c>
      <c r="DL360" s="1117" t="s">
        <v>1942</v>
      </c>
      <c r="DM360" s="1121">
        <v>-1.9450000000000001</v>
      </c>
      <c r="DN360" s="1122" t="s">
        <v>1942</v>
      </c>
      <c r="DO360" s="1122" t="s">
        <v>1942</v>
      </c>
      <c r="DP360" s="1123" t="s">
        <v>1942</v>
      </c>
      <c r="DQ360" s="1122" t="s">
        <v>1942</v>
      </c>
      <c r="DR360" s="1122" t="s">
        <v>1942</v>
      </c>
      <c r="DS360" s="1122" t="s">
        <v>1942</v>
      </c>
      <c r="DT360" s="1123" t="s">
        <v>1942</v>
      </c>
      <c r="DU360" s="1119" t="s">
        <v>1942</v>
      </c>
      <c r="DV360" s="1124">
        <v>1</v>
      </c>
      <c r="DW360" s="1125" t="s">
        <v>1942</v>
      </c>
    </row>
    <row r="361" spans="1:127" s="397" customFormat="1" ht="15.75" hidden="1" customHeight="1">
      <c r="A361" s="1097" t="s">
        <v>1036</v>
      </c>
      <c r="B361" s="1057">
        <v>352</v>
      </c>
      <c r="C361" s="1018"/>
      <c r="D361" s="1018"/>
      <c r="E361" s="1018"/>
      <c r="F361" s="1018"/>
      <c r="G361" s="1018"/>
      <c r="H361" s="1018"/>
      <c r="I361" s="1018"/>
      <c r="J361" s="1018"/>
      <c r="K361" s="1018"/>
      <c r="L361" s="1018"/>
      <c r="M361" s="1057"/>
      <c r="N361" s="1018"/>
      <c r="O361" s="1018"/>
      <c r="P361" s="1018"/>
      <c r="Q361" s="1018"/>
      <c r="R361" s="1018"/>
      <c r="S361" s="1018"/>
      <c r="T361" s="1019"/>
      <c r="U361" s="1098" t="s">
        <v>3454</v>
      </c>
      <c r="V361" s="1099" t="s">
        <v>2376</v>
      </c>
      <c r="W361" s="1099" t="s">
        <v>1889</v>
      </c>
      <c r="X361" s="1100" t="s">
        <v>3455</v>
      </c>
      <c r="Y361" s="1101" t="s">
        <v>3456</v>
      </c>
      <c r="Z361" s="1102" t="s">
        <v>3457</v>
      </c>
      <c r="AA361" s="1103">
        <v>0.1</v>
      </c>
      <c r="AB361" s="1104" t="s">
        <v>1942</v>
      </c>
      <c r="AC361" s="1104">
        <v>0.9</v>
      </c>
      <c r="AD361" s="1104" t="s">
        <v>1942</v>
      </c>
      <c r="AE361" s="1104" t="s">
        <v>1942</v>
      </c>
      <c r="AF361" s="1104" t="s">
        <v>1942</v>
      </c>
      <c r="AG361" s="1104" t="s">
        <v>1942</v>
      </c>
      <c r="AH361" s="1104" t="s">
        <v>1942</v>
      </c>
      <c r="AI361" s="1105">
        <f t="shared" si="5"/>
        <v>1</v>
      </c>
      <c r="AJ361" s="1106" t="s">
        <v>1030</v>
      </c>
      <c r="AK361" s="1106" t="s">
        <v>1008</v>
      </c>
      <c r="AL361" s="1106" t="s">
        <v>4861</v>
      </c>
      <c r="AM361" s="1107" t="s">
        <v>2106</v>
      </c>
      <c r="AN361" s="1018" t="s">
        <v>1033</v>
      </c>
      <c r="AO361" s="1018" t="s">
        <v>3458</v>
      </c>
      <c r="AP361" s="1333">
        <v>0</v>
      </c>
      <c r="AQ361" s="1076" t="s">
        <v>1010</v>
      </c>
      <c r="AR361" s="1109" t="s">
        <v>1942</v>
      </c>
      <c r="AS361" s="1110"/>
      <c r="AT361" s="1100"/>
      <c r="AU361" s="1100"/>
      <c r="AV361" s="1100"/>
      <c r="AW361" s="1111"/>
      <c r="AX361" s="1112"/>
      <c r="AY361" s="1075"/>
      <c r="AZ361" s="1076"/>
      <c r="BA361" s="1076"/>
      <c r="BB361" s="1076"/>
      <c r="BC361" s="1076"/>
      <c r="BD361" s="1076"/>
      <c r="BE361" s="1076"/>
      <c r="BF361" s="1076"/>
      <c r="BG361" s="1076"/>
      <c r="BH361" s="1076"/>
      <c r="BI361" s="1420"/>
      <c r="BJ361" s="1368"/>
      <c r="BK361" s="1368"/>
      <c r="BL361" s="1368"/>
      <c r="BM361" s="1368"/>
      <c r="BN361" s="1075"/>
      <c r="BO361" s="1076"/>
      <c r="BP361" s="1076"/>
      <c r="BQ361" s="1076"/>
      <c r="BR361" s="1076"/>
      <c r="BS361" s="1115"/>
      <c r="BT361" s="1076"/>
      <c r="BU361" s="1076"/>
      <c r="BV361" s="1076"/>
      <c r="BW361" s="1116"/>
      <c r="BX361" s="1115"/>
      <c r="BY361" s="1076"/>
      <c r="BZ361" s="1076"/>
      <c r="CA361" s="1076"/>
      <c r="CB361" s="1116"/>
      <c r="CC361" s="1117"/>
      <c r="CD361" s="1376"/>
      <c r="CE361" s="1377"/>
      <c r="CF361" s="1377"/>
      <c r="CG361" s="1377"/>
      <c r="CH361" s="1440"/>
      <c r="CI361" s="1420"/>
      <c r="CJ361" s="1368"/>
      <c r="CK361" s="1368"/>
      <c r="CL361" s="1368"/>
      <c r="CM361" s="1369"/>
      <c r="CN361" s="1420"/>
      <c r="CO361" s="1368"/>
      <c r="CP361" s="1368"/>
      <c r="CQ361" s="1368"/>
      <c r="CR361" s="1369"/>
      <c r="CS361" s="1420"/>
      <c r="CT361" s="1368"/>
      <c r="CU361" s="1368"/>
      <c r="CV361" s="1368"/>
      <c r="CW361" s="1369"/>
      <c r="CX361" s="1420"/>
      <c r="CY361" s="1368"/>
      <c r="CZ361" s="1368"/>
      <c r="DA361" s="1368"/>
      <c r="DB361" s="1369"/>
      <c r="DC361" s="1368"/>
      <c r="DD361" s="1368"/>
      <c r="DE361" s="1368"/>
      <c r="DF361" s="1368"/>
      <c r="DG361" s="1369"/>
      <c r="DH361" s="1420"/>
      <c r="DI361" s="1368"/>
      <c r="DJ361" s="1368"/>
      <c r="DK361" s="1368"/>
      <c r="DL361" s="1369"/>
      <c r="DM361" s="1808"/>
      <c r="DN361" s="1809"/>
      <c r="DO361" s="1809"/>
      <c r="DP361" s="1810"/>
      <c r="DQ361" s="1809"/>
      <c r="DR361" s="1809"/>
      <c r="DS361" s="1809"/>
      <c r="DT361" s="1810"/>
      <c r="DU361" s="1377"/>
      <c r="DV361" s="1729"/>
      <c r="DW361" s="1811"/>
    </row>
    <row r="362" spans="1:127" s="397" customFormat="1" ht="15.75" hidden="1" customHeight="1">
      <c r="A362" s="1097" t="s">
        <v>1036</v>
      </c>
      <c r="B362" s="1057">
        <v>353</v>
      </c>
      <c r="C362" s="1018"/>
      <c r="D362" s="1018"/>
      <c r="E362" s="1018"/>
      <c r="F362" s="1018"/>
      <c r="G362" s="1018"/>
      <c r="H362" s="1018"/>
      <c r="I362" s="1018"/>
      <c r="J362" s="1018"/>
      <c r="K362" s="1018"/>
      <c r="L362" s="1018"/>
      <c r="M362" s="1057"/>
      <c r="N362" s="1018"/>
      <c r="O362" s="1018"/>
      <c r="P362" s="1018"/>
      <c r="Q362" s="1018"/>
      <c r="R362" s="1018"/>
      <c r="S362" s="1018"/>
      <c r="T362" s="1019"/>
      <c r="U362" s="1098" t="s">
        <v>3459</v>
      </c>
      <c r="V362" s="1099" t="s">
        <v>2376</v>
      </c>
      <c r="W362" s="1099" t="s">
        <v>1889</v>
      </c>
      <c r="X362" s="1100" t="s">
        <v>3460</v>
      </c>
      <c r="Y362" s="1101" t="s">
        <v>3461</v>
      </c>
      <c r="Z362" s="1102" t="s">
        <v>3462</v>
      </c>
      <c r="AA362" s="1103">
        <v>1</v>
      </c>
      <c r="AB362" s="1104" t="s">
        <v>1942</v>
      </c>
      <c r="AC362" s="1104" t="s">
        <v>1942</v>
      </c>
      <c r="AD362" s="1104" t="s">
        <v>1942</v>
      </c>
      <c r="AE362" s="1104" t="s">
        <v>1942</v>
      </c>
      <c r="AF362" s="1104" t="s">
        <v>1942</v>
      </c>
      <c r="AG362" s="1104" t="s">
        <v>1942</v>
      </c>
      <c r="AH362" s="1104" t="s">
        <v>1942</v>
      </c>
      <c r="AI362" s="1105">
        <f t="shared" si="5"/>
        <v>1</v>
      </c>
      <c r="AJ362" s="1106" t="s">
        <v>1030</v>
      </c>
      <c r="AK362" s="1106" t="s">
        <v>1008</v>
      </c>
      <c r="AL362" s="1106" t="s">
        <v>1009</v>
      </c>
      <c r="AM362" s="1107" t="s">
        <v>2289</v>
      </c>
      <c r="AN362" s="1018" t="s">
        <v>1033</v>
      </c>
      <c r="AO362" s="1018" t="s">
        <v>3365</v>
      </c>
      <c r="AP362" s="1333">
        <v>1</v>
      </c>
      <c r="AQ362" s="1076" t="s">
        <v>1010</v>
      </c>
      <c r="AR362" s="1109" t="s">
        <v>1942</v>
      </c>
      <c r="AS362" s="1110"/>
      <c r="AT362" s="1100"/>
      <c r="AU362" s="1100"/>
      <c r="AV362" s="1100"/>
      <c r="AW362" s="1111"/>
      <c r="AX362" s="1112"/>
      <c r="AY362" s="1075"/>
      <c r="AZ362" s="1076"/>
      <c r="BA362" s="1076"/>
      <c r="BB362" s="1076"/>
      <c r="BC362" s="1076"/>
      <c r="BD362" s="1076"/>
      <c r="BE362" s="1076"/>
      <c r="BF362" s="1076"/>
      <c r="BG362" s="1076"/>
      <c r="BH362" s="1076"/>
      <c r="BI362" s="1420"/>
      <c r="BJ362" s="1368"/>
      <c r="BK362" s="1368"/>
      <c r="BL362" s="1368"/>
      <c r="BM362" s="1368"/>
      <c r="BN362" s="1075"/>
      <c r="BO362" s="1076"/>
      <c r="BP362" s="1076"/>
      <c r="BQ362" s="1076"/>
      <c r="BR362" s="1076"/>
      <c r="BS362" s="1115"/>
      <c r="BT362" s="1076"/>
      <c r="BU362" s="1076"/>
      <c r="BV362" s="1076"/>
      <c r="BW362" s="1116"/>
      <c r="BX362" s="1115"/>
      <c r="BY362" s="1076"/>
      <c r="BZ362" s="1076"/>
      <c r="CA362" s="1076"/>
      <c r="CB362" s="1116"/>
      <c r="CC362" s="1117"/>
      <c r="CD362" s="1376"/>
      <c r="CE362" s="1377"/>
      <c r="CF362" s="1377"/>
      <c r="CG362" s="1377"/>
      <c r="CH362" s="1440"/>
      <c r="CI362" s="1420"/>
      <c r="CJ362" s="1368"/>
      <c r="CK362" s="1368"/>
      <c r="CL362" s="1368"/>
      <c r="CM362" s="1369"/>
      <c r="CN362" s="1420"/>
      <c r="CO362" s="1368"/>
      <c r="CP362" s="1368"/>
      <c r="CQ362" s="1368"/>
      <c r="CR362" s="1369"/>
      <c r="CS362" s="1420"/>
      <c r="CT362" s="1368"/>
      <c r="CU362" s="1368"/>
      <c r="CV362" s="1368"/>
      <c r="CW362" s="1369"/>
      <c r="CX362" s="1420"/>
      <c r="CY362" s="1368"/>
      <c r="CZ362" s="1368"/>
      <c r="DA362" s="1368"/>
      <c r="DB362" s="1369"/>
      <c r="DC362" s="1368"/>
      <c r="DD362" s="1368"/>
      <c r="DE362" s="1368"/>
      <c r="DF362" s="1368"/>
      <c r="DG362" s="1369"/>
      <c r="DH362" s="1420"/>
      <c r="DI362" s="1368"/>
      <c r="DJ362" s="1368"/>
      <c r="DK362" s="1368"/>
      <c r="DL362" s="1369"/>
      <c r="DM362" s="1808"/>
      <c r="DN362" s="1809"/>
      <c r="DO362" s="1809"/>
      <c r="DP362" s="1810"/>
      <c r="DQ362" s="1809"/>
      <c r="DR362" s="1809"/>
      <c r="DS362" s="1809"/>
      <c r="DT362" s="1810"/>
      <c r="DU362" s="1377"/>
      <c r="DV362" s="1729"/>
      <c r="DW362" s="1811"/>
    </row>
    <row r="363" spans="1:127" s="397" customFormat="1" ht="15.75" hidden="1" customHeight="1">
      <c r="A363" s="1097" t="s">
        <v>1036</v>
      </c>
      <c r="B363" s="1057">
        <v>354</v>
      </c>
      <c r="C363" s="1018"/>
      <c r="D363" s="1018"/>
      <c r="E363" s="1018"/>
      <c r="F363" s="1018"/>
      <c r="G363" s="1018"/>
      <c r="H363" s="1018"/>
      <c r="I363" s="1018"/>
      <c r="J363" s="1018"/>
      <c r="K363" s="1018"/>
      <c r="L363" s="1018"/>
      <c r="M363" s="1057"/>
      <c r="N363" s="1018"/>
      <c r="O363" s="1018"/>
      <c r="P363" s="1018"/>
      <c r="Q363" s="1018"/>
      <c r="R363" s="1018"/>
      <c r="S363" s="1018"/>
      <c r="T363" s="1019"/>
      <c r="U363" s="1098" t="s">
        <v>3463</v>
      </c>
      <c r="V363" s="1099" t="s">
        <v>2376</v>
      </c>
      <c r="W363" s="1099" t="s">
        <v>1889</v>
      </c>
      <c r="X363" s="1100" t="s">
        <v>3464</v>
      </c>
      <c r="Y363" s="1101" t="s">
        <v>3465</v>
      </c>
      <c r="Z363" s="1102" t="s">
        <v>3462</v>
      </c>
      <c r="AA363" s="1103" t="s">
        <v>1942</v>
      </c>
      <c r="AB363" s="1104" t="s">
        <v>1942</v>
      </c>
      <c r="AC363" s="1104">
        <v>1</v>
      </c>
      <c r="AD363" s="1104" t="s">
        <v>1942</v>
      </c>
      <c r="AE363" s="1104" t="s">
        <v>1942</v>
      </c>
      <c r="AF363" s="1104" t="s">
        <v>1942</v>
      </c>
      <c r="AG363" s="1104" t="s">
        <v>1942</v>
      </c>
      <c r="AH363" s="1104" t="s">
        <v>1942</v>
      </c>
      <c r="AI363" s="1105">
        <f t="shared" si="5"/>
        <v>1</v>
      </c>
      <c r="AJ363" s="1106" t="s">
        <v>1030</v>
      </c>
      <c r="AK363" s="1106" t="s">
        <v>1008</v>
      </c>
      <c r="AL363" s="1106" t="s">
        <v>1009</v>
      </c>
      <c r="AM363" s="1107" t="s">
        <v>2289</v>
      </c>
      <c r="AN363" s="1018" t="s">
        <v>1033</v>
      </c>
      <c r="AO363" s="1018" t="s">
        <v>3365</v>
      </c>
      <c r="AP363" s="1333">
        <v>1</v>
      </c>
      <c r="AQ363" s="1076" t="s">
        <v>1010</v>
      </c>
      <c r="AR363" s="1109" t="s">
        <v>1942</v>
      </c>
      <c r="AS363" s="1110"/>
      <c r="AT363" s="1100"/>
      <c r="AU363" s="1100"/>
      <c r="AV363" s="1100"/>
      <c r="AW363" s="1111"/>
      <c r="AX363" s="1112"/>
      <c r="AY363" s="1075"/>
      <c r="AZ363" s="1076"/>
      <c r="BA363" s="1076"/>
      <c r="BB363" s="1076"/>
      <c r="BC363" s="1076"/>
      <c r="BD363" s="1076"/>
      <c r="BE363" s="1076"/>
      <c r="BF363" s="1076"/>
      <c r="BG363" s="1076"/>
      <c r="BH363" s="1076"/>
      <c r="BI363" s="1420"/>
      <c r="BJ363" s="1368"/>
      <c r="BK363" s="1368"/>
      <c r="BL363" s="1368"/>
      <c r="BM363" s="1368"/>
      <c r="BN363" s="1075"/>
      <c r="BO363" s="1076"/>
      <c r="BP363" s="1076"/>
      <c r="BQ363" s="1076"/>
      <c r="BR363" s="1076"/>
      <c r="BS363" s="1115"/>
      <c r="BT363" s="1076"/>
      <c r="BU363" s="1076"/>
      <c r="BV363" s="1076"/>
      <c r="BW363" s="1116"/>
      <c r="BX363" s="1115"/>
      <c r="BY363" s="1076"/>
      <c r="BZ363" s="1076"/>
      <c r="CA363" s="1076"/>
      <c r="CB363" s="1116"/>
      <c r="CC363" s="1117"/>
      <c r="CD363" s="1376"/>
      <c r="CE363" s="1377"/>
      <c r="CF363" s="1377"/>
      <c r="CG363" s="1377"/>
      <c r="CH363" s="1440"/>
      <c r="CI363" s="1420"/>
      <c r="CJ363" s="1368"/>
      <c r="CK363" s="1368"/>
      <c r="CL363" s="1368"/>
      <c r="CM363" s="1369"/>
      <c r="CN363" s="1420"/>
      <c r="CO363" s="1368"/>
      <c r="CP363" s="1368"/>
      <c r="CQ363" s="1368"/>
      <c r="CR363" s="1369"/>
      <c r="CS363" s="1420"/>
      <c r="CT363" s="1368"/>
      <c r="CU363" s="1368"/>
      <c r="CV363" s="1368"/>
      <c r="CW363" s="1369"/>
      <c r="CX363" s="1420"/>
      <c r="CY363" s="1368"/>
      <c r="CZ363" s="1368"/>
      <c r="DA363" s="1368"/>
      <c r="DB363" s="1369"/>
      <c r="DC363" s="1368"/>
      <c r="DD363" s="1368"/>
      <c r="DE363" s="1368"/>
      <c r="DF363" s="1368"/>
      <c r="DG363" s="1369"/>
      <c r="DH363" s="1420"/>
      <c r="DI363" s="1368"/>
      <c r="DJ363" s="1368"/>
      <c r="DK363" s="1368"/>
      <c r="DL363" s="1369"/>
      <c r="DM363" s="1808"/>
      <c r="DN363" s="1809"/>
      <c r="DO363" s="1809"/>
      <c r="DP363" s="1810"/>
      <c r="DQ363" s="1809"/>
      <c r="DR363" s="1809"/>
      <c r="DS363" s="1809"/>
      <c r="DT363" s="1810"/>
      <c r="DU363" s="1377"/>
      <c r="DV363" s="1729"/>
      <c r="DW363" s="1811"/>
    </row>
    <row r="364" spans="1:127" s="397" customFormat="1" ht="15.75" hidden="1" customHeight="1">
      <c r="A364" s="1097" t="s">
        <v>1036</v>
      </c>
      <c r="B364" s="1057">
        <v>355</v>
      </c>
      <c r="C364" s="1018"/>
      <c r="D364" s="1018"/>
      <c r="E364" s="1018"/>
      <c r="F364" s="1018"/>
      <c r="G364" s="1018"/>
      <c r="H364" s="1018"/>
      <c r="I364" s="1018"/>
      <c r="J364" s="1018"/>
      <c r="K364" s="1018"/>
      <c r="L364" s="1018"/>
      <c r="M364" s="1057"/>
      <c r="N364" s="1018"/>
      <c r="O364" s="1018"/>
      <c r="P364" s="1018"/>
      <c r="Q364" s="1018"/>
      <c r="R364" s="1018"/>
      <c r="S364" s="1018"/>
      <c r="T364" s="1019"/>
      <c r="U364" s="1098" t="s">
        <v>3466</v>
      </c>
      <c r="V364" s="1099" t="s">
        <v>2376</v>
      </c>
      <c r="W364" s="1099" t="s">
        <v>1907</v>
      </c>
      <c r="X364" s="1100" t="s">
        <v>3467</v>
      </c>
      <c r="Y364" s="1101" t="s">
        <v>3468</v>
      </c>
      <c r="Z364" s="1102" t="s">
        <v>3469</v>
      </c>
      <c r="AA364" s="1103" t="s">
        <v>1942</v>
      </c>
      <c r="AB364" s="1104" t="s">
        <v>1942</v>
      </c>
      <c r="AC364" s="1104" t="s">
        <v>1942</v>
      </c>
      <c r="AD364" s="1104">
        <v>1</v>
      </c>
      <c r="AE364" s="1104" t="s">
        <v>1942</v>
      </c>
      <c r="AF364" s="1104" t="s">
        <v>1942</v>
      </c>
      <c r="AG364" s="1104" t="s">
        <v>1942</v>
      </c>
      <c r="AH364" s="1104" t="s">
        <v>1942</v>
      </c>
      <c r="AI364" s="1105">
        <f t="shared" si="5"/>
        <v>1</v>
      </c>
      <c r="AJ364" s="1106" t="s">
        <v>1026</v>
      </c>
      <c r="AK364" s="1106" t="s">
        <v>1008</v>
      </c>
      <c r="AL364" s="1106" t="s">
        <v>1009</v>
      </c>
      <c r="AM364" s="1107" t="s">
        <v>763</v>
      </c>
      <c r="AN364" s="1018" t="s">
        <v>278</v>
      </c>
      <c r="AO364" s="1018" t="s">
        <v>3470</v>
      </c>
      <c r="AP364" s="1333">
        <v>2</v>
      </c>
      <c r="AQ364" s="1076" t="s">
        <v>1010</v>
      </c>
      <c r="AR364" s="1109" t="s">
        <v>1942</v>
      </c>
      <c r="AS364" s="1110"/>
      <c r="AT364" s="1100"/>
      <c r="AU364" s="1100"/>
      <c r="AV364" s="1100"/>
      <c r="AW364" s="1111"/>
      <c r="AX364" s="1112"/>
      <c r="AY364" s="1075"/>
      <c r="AZ364" s="1076"/>
      <c r="BA364" s="1076"/>
      <c r="BB364" s="1076"/>
      <c r="BC364" s="1076"/>
      <c r="BD364" s="1076"/>
      <c r="BE364" s="1076"/>
      <c r="BF364" s="1076"/>
      <c r="BG364" s="1076"/>
      <c r="BH364" s="1076"/>
      <c r="BI364" s="1420"/>
      <c r="BJ364" s="1368"/>
      <c r="BK364" s="1368"/>
      <c r="BL364" s="1368"/>
      <c r="BM364" s="1368"/>
      <c r="BN364" s="1075"/>
      <c r="BO364" s="1076"/>
      <c r="BP364" s="1076"/>
      <c r="BQ364" s="1076"/>
      <c r="BR364" s="1076"/>
      <c r="BS364" s="1115"/>
      <c r="BT364" s="1076"/>
      <c r="BU364" s="1076"/>
      <c r="BV364" s="1076"/>
      <c r="BW364" s="1116"/>
      <c r="BX364" s="1115"/>
      <c r="BY364" s="1076"/>
      <c r="BZ364" s="1076"/>
      <c r="CA364" s="1076"/>
      <c r="CB364" s="1116"/>
      <c r="CC364" s="1117"/>
      <c r="CD364" s="1376"/>
      <c r="CE364" s="1377"/>
      <c r="CF364" s="1377"/>
      <c r="CG364" s="1377"/>
      <c r="CH364" s="1440"/>
      <c r="CI364" s="1420"/>
      <c r="CJ364" s="1368"/>
      <c r="CK364" s="1368"/>
      <c r="CL364" s="1368"/>
      <c r="CM364" s="1369"/>
      <c r="CN364" s="1420"/>
      <c r="CO364" s="1368"/>
      <c r="CP364" s="1368"/>
      <c r="CQ364" s="1368"/>
      <c r="CR364" s="1369"/>
      <c r="CS364" s="1420"/>
      <c r="CT364" s="1368"/>
      <c r="CU364" s="1368"/>
      <c r="CV364" s="1368"/>
      <c r="CW364" s="1369"/>
      <c r="CX364" s="1420"/>
      <c r="CY364" s="1368"/>
      <c r="CZ364" s="1368"/>
      <c r="DA364" s="1368"/>
      <c r="DB364" s="1369"/>
      <c r="DC364" s="1368"/>
      <c r="DD364" s="1368"/>
      <c r="DE364" s="1368"/>
      <c r="DF364" s="1368"/>
      <c r="DG364" s="1369"/>
      <c r="DH364" s="1420"/>
      <c r="DI364" s="1368"/>
      <c r="DJ364" s="1368"/>
      <c r="DK364" s="1368"/>
      <c r="DL364" s="1369"/>
      <c r="DM364" s="1808"/>
      <c r="DN364" s="1809"/>
      <c r="DO364" s="1809"/>
      <c r="DP364" s="1810"/>
      <c r="DQ364" s="1809"/>
      <c r="DR364" s="1809"/>
      <c r="DS364" s="1809"/>
      <c r="DT364" s="1810"/>
      <c r="DU364" s="1377"/>
      <c r="DV364" s="1729"/>
      <c r="DW364" s="1811"/>
    </row>
    <row r="365" spans="1:127" s="397" customFormat="1" ht="15.75" hidden="1" customHeight="1">
      <c r="A365" s="1097" t="s">
        <v>1036</v>
      </c>
      <c r="B365" s="1057">
        <v>356</v>
      </c>
      <c r="C365" s="1018"/>
      <c r="D365" s="1018"/>
      <c r="E365" s="1018"/>
      <c r="F365" s="1018"/>
      <c r="G365" s="1018"/>
      <c r="H365" s="1018"/>
      <c r="I365" s="1018"/>
      <c r="J365" s="1018"/>
      <c r="K365" s="1018"/>
      <c r="L365" s="1018"/>
      <c r="M365" s="1057"/>
      <c r="N365" s="1018"/>
      <c r="O365" s="1018"/>
      <c r="P365" s="1018"/>
      <c r="Q365" s="1018"/>
      <c r="R365" s="1018"/>
      <c r="S365" s="1018"/>
      <c r="T365" s="1019"/>
      <c r="U365" s="1098" t="s">
        <v>3471</v>
      </c>
      <c r="V365" s="1099" t="s">
        <v>3472</v>
      </c>
      <c r="W365" s="1099" t="s">
        <v>1907</v>
      </c>
      <c r="X365" s="1100" t="s">
        <v>3473</v>
      </c>
      <c r="Y365" s="1101" t="s">
        <v>1931</v>
      </c>
      <c r="Z365" s="1102" t="s">
        <v>2434</v>
      </c>
      <c r="AA365" s="1103" t="s">
        <v>1942</v>
      </c>
      <c r="AB365" s="1104" t="s">
        <v>1942</v>
      </c>
      <c r="AC365" s="1104" t="s">
        <v>1942</v>
      </c>
      <c r="AD365" s="1104" t="s">
        <v>1942</v>
      </c>
      <c r="AE365" s="1104">
        <v>1</v>
      </c>
      <c r="AF365" s="1104" t="s">
        <v>1942</v>
      </c>
      <c r="AG365" s="1104" t="s">
        <v>1942</v>
      </c>
      <c r="AH365" s="1104" t="s">
        <v>1942</v>
      </c>
      <c r="AI365" s="1105">
        <f t="shared" si="5"/>
        <v>1</v>
      </c>
      <c r="AJ365" s="1106" t="s">
        <v>1030</v>
      </c>
      <c r="AK365" s="1106" t="s">
        <v>1008</v>
      </c>
      <c r="AL365" s="1106" t="s">
        <v>1009</v>
      </c>
      <c r="AM365" s="1107" t="s">
        <v>1069</v>
      </c>
      <c r="AN365" s="1018" t="s">
        <v>1081</v>
      </c>
      <c r="AO365" s="1018" t="s">
        <v>2038</v>
      </c>
      <c r="AP365" s="1333">
        <v>2</v>
      </c>
      <c r="AQ365" s="1076" t="s">
        <v>1010</v>
      </c>
      <c r="AR365" s="1109" t="s">
        <v>1931</v>
      </c>
      <c r="AS365" s="1110"/>
      <c r="AT365" s="1100"/>
      <c r="AU365" s="1100"/>
      <c r="AV365" s="1100"/>
      <c r="AW365" s="1111"/>
      <c r="AX365" s="1112"/>
      <c r="AY365" s="1075"/>
      <c r="AZ365" s="1076"/>
      <c r="BA365" s="1076"/>
      <c r="BB365" s="1076"/>
      <c r="BC365" s="1076"/>
      <c r="BD365" s="1076"/>
      <c r="BE365" s="1076"/>
      <c r="BF365" s="1076"/>
      <c r="BG365" s="1076"/>
      <c r="BH365" s="1076"/>
      <c r="BI365" s="1075" t="s">
        <v>4824</v>
      </c>
      <c r="BJ365" s="1076" t="s">
        <v>4824</v>
      </c>
      <c r="BK365" s="1076" t="s">
        <v>4824</v>
      </c>
      <c r="BL365" s="1076" t="s">
        <v>4824</v>
      </c>
      <c r="BM365" s="1076" t="s">
        <v>4824</v>
      </c>
      <c r="BN365" s="1075"/>
      <c r="BO365" s="1076"/>
      <c r="BP365" s="1076"/>
      <c r="BQ365" s="1076"/>
      <c r="BR365" s="1076"/>
      <c r="BS365" s="1115"/>
      <c r="BT365" s="1076"/>
      <c r="BU365" s="1076"/>
      <c r="BV365" s="1076"/>
      <c r="BW365" s="1116"/>
      <c r="BX365" s="1115"/>
      <c r="BY365" s="1076"/>
      <c r="BZ365" s="1076"/>
      <c r="CA365" s="1076"/>
      <c r="CB365" s="1116"/>
      <c r="CC365" s="1117"/>
      <c r="CD365" s="1118" t="s">
        <v>168</v>
      </c>
      <c r="CE365" s="1119" t="s">
        <v>168</v>
      </c>
      <c r="CF365" s="1119" t="s">
        <v>168</v>
      </c>
      <c r="CG365" s="1119" t="s">
        <v>168</v>
      </c>
      <c r="CH365" s="1120" t="s">
        <v>168</v>
      </c>
      <c r="CI365" s="1075" t="s">
        <v>1942</v>
      </c>
      <c r="CJ365" s="1076" t="s">
        <v>1942</v>
      </c>
      <c r="CK365" s="1076" t="s">
        <v>1942</v>
      </c>
      <c r="CL365" s="1076" t="s">
        <v>1942</v>
      </c>
      <c r="CM365" s="1117" t="s">
        <v>1942</v>
      </c>
      <c r="CN365" s="1075" t="s">
        <v>1942</v>
      </c>
      <c r="CO365" s="1076" t="s">
        <v>1942</v>
      </c>
      <c r="CP365" s="1076" t="s">
        <v>1942</v>
      </c>
      <c r="CQ365" s="1076" t="s">
        <v>1942</v>
      </c>
      <c r="CR365" s="1117" t="s">
        <v>1942</v>
      </c>
      <c r="CS365" s="1075" t="s">
        <v>1942</v>
      </c>
      <c r="CT365" s="1076" t="s">
        <v>1942</v>
      </c>
      <c r="CU365" s="1076" t="s">
        <v>1942</v>
      </c>
      <c r="CV365" s="1076" t="s">
        <v>1942</v>
      </c>
      <c r="CW365" s="1117" t="s">
        <v>1942</v>
      </c>
      <c r="CX365" s="1075" t="s">
        <v>1942</v>
      </c>
      <c r="CY365" s="1076" t="s">
        <v>1942</v>
      </c>
      <c r="CZ365" s="1076" t="s">
        <v>1942</v>
      </c>
      <c r="DA365" s="1076" t="s">
        <v>1942</v>
      </c>
      <c r="DB365" s="1117" t="s">
        <v>1942</v>
      </c>
      <c r="DC365" s="1076" t="s">
        <v>1942</v>
      </c>
      <c r="DD365" s="1076" t="s">
        <v>1942</v>
      </c>
      <c r="DE365" s="1076" t="s">
        <v>1942</v>
      </c>
      <c r="DF365" s="1076" t="s">
        <v>1942</v>
      </c>
      <c r="DG365" s="1117" t="s">
        <v>1942</v>
      </c>
      <c r="DH365" s="1075" t="s">
        <v>1942</v>
      </c>
      <c r="DI365" s="1076" t="s">
        <v>1942</v>
      </c>
      <c r="DJ365" s="1076" t="s">
        <v>1942</v>
      </c>
      <c r="DK365" s="1076" t="s">
        <v>1942</v>
      </c>
      <c r="DL365" s="1117" t="s">
        <v>1942</v>
      </c>
      <c r="DM365" s="1121" t="s">
        <v>1942</v>
      </c>
      <c r="DN365" s="1122" t="s">
        <v>1942</v>
      </c>
      <c r="DO365" s="1122" t="s">
        <v>1942</v>
      </c>
      <c r="DP365" s="1123" t="s">
        <v>1942</v>
      </c>
      <c r="DQ365" s="1122" t="s">
        <v>1942</v>
      </c>
      <c r="DR365" s="1122" t="s">
        <v>1942</v>
      </c>
      <c r="DS365" s="1122" t="s">
        <v>1942</v>
      </c>
      <c r="DT365" s="1123" t="s">
        <v>1942</v>
      </c>
      <c r="DU365" s="1119" t="s">
        <v>1942</v>
      </c>
      <c r="DV365" s="1124">
        <v>1</v>
      </c>
      <c r="DW365" s="1125" t="s">
        <v>1942</v>
      </c>
    </row>
    <row r="366" spans="1:127" s="397" customFormat="1" ht="15.75" hidden="1" customHeight="1">
      <c r="A366" s="1097" t="s">
        <v>1036</v>
      </c>
      <c r="B366" s="1057">
        <v>357</v>
      </c>
      <c r="C366" s="1018"/>
      <c r="D366" s="1018"/>
      <c r="E366" s="1018"/>
      <c r="F366" s="1018"/>
      <c r="G366" s="1018"/>
      <c r="H366" s="1018"/>
      <c r="I366" s="1018"/>
      <c r="J366" s="1018"/>
      <c r="K366" s="1018"/>
      <c r="L366" s="1018"/>
      <c r="M366" s="1057"/>
      <c r="N366" s="1018"/>
      <c r="O366" s="1018"/>
      <c r="P366" s="1018"/>
      <c r="Q366" s="1018"/>
      <c r="R366" s="1018"/>
      <c r="S366" s="1018"/>
      <c r="T366" s="1019"/>
      <c r="U366" s="1098" t="s">
        <v>3474</v>
      </c>
      <c r="V366" s="1099" t="s">
        <v>3472</v>
      </c>
      <c r="W366" s="1099" t="s">
        <v>1907</v>
      </c>
      <c r="X366" s="1100" t="s">
        <v>3475</v>
      </c>
      <c r="Y366" s="1101" t="s">
        <v>1935</v>
      </c>
      <c r="Z366" s="1102" t="s">
        <v>2438</v>
      </c>
      <c r="AA366" s="1103" t="s">
        <v>1942</v>
      </c>
      <c r="AB366" s="1104">
        <v>0.5</v>
      </c>
      <c r="AC366" s="1104">
        <v>0.5</v>
      </c>
      <c r="AD366" s="1104" t="s">
        <v>1942</v>
      </c>
      <c r="AE366" s="1104" t="s">
        <v>1942</v>
      </c>
      <c r="AF366" s="1104" t="s">
        <v>1942</v>
      </c>
      <c r="AG366" s="1104" t="s">
        <v>1942</v>
      </c>
      <c r="AH366" s="1104" t="s">
        <v>1942</v>
      </c>
      <c r="AI366" s="1105">
        <f t="shared" si="5"/>
        <v>1</v>
      </c>
      <c r="AJ366" s="1106" t="s">
        <v>1030</v>
      </c>
      <c r="AK366" s="1106" t="s">
        <v>1008</v>
      </c>
      <c r="AL366" s="1106" t="s">
        <v>1009</v>
      </c>
      <c r="AM366" s="1107" t="s">
        <v>1073</v>
      </c>
      <c r="AN366" s="1018" t="s">
        <v>1081</v>
      </c>
      <c r="AO366" s="1018" t="s">
        <v>427</v>
      </c>
      <c r="AP366" s="1333">
        <v>2</v>
      </c>
      <c r="AQ366" s="1076" t="s">
        <v>1010</v>
      </c>
      <c r="AR366" s="1109" t="s">
        <v>1935</v>
      </c>
      <c r="AS366" s="1110"/>
      <c r="AT366" s="1100"/>
      <c r="AU366" s="1100"/>
      <c r="AV366" s="1100"/>
      <c r="AW366" s="1111"/>
      <c r="AX366" s="1112"/>
      <c r="AY366" s="1075"/>
      <c r="AZ366" s="1076"/>
      <c r="BA366" s="1076"/>
      <c r="BB366" s="1076"/>
      <c r="BC366" s="1076"/>
      <c r="BD366" s="1076"/>
      <c r="BE366" s="1076"/>
      <c r="BF366" s="1076"/>
      <c r="BG366" s="1076"/>
      <c r="BH366" s="1076"/>
      <c r="BI366" s="1075" t="s">
        <v>4824</v>
      </c>
      <c r="BJ366" s="1076" t="s">
        <v>4824</v>
      </c>
      <c r="BK366" s="1076" t="s">
        <v>4824</v>
      </c>
      <c r="BL366" s="1076" t="s">
        <v>4824</v>
      </c>
      <c r="BM366" s="1076" t="s">
        <v>4824</v>
      </c>
      <c r="BN366" s="1075"/>
      <c r="BO366" s="1076"/>
      <c r="BP366" s="1076"/>
      <c r="BQ366" s="1076"/>
      <c r="BR366" s="1076"/>
      <c r="BS366" s="1115"/>
      <c r="BT366" s="1076"/>
      <c r="BU366" s="1076"/>
      <c r="BV366" s="1076"/>
      <c r="BW366" s="1116"/>
      <c r="BX366" s="1115"/>
      <c r="BY366" s="1076"/>
      <c r="BZ366" s="1076"/>
      <c r="CA366" s="1076"/>
      <c r="CB366" s="1116"/>
      <c r="CC366" s="1117"/>
      <c r="CD366" s="1118" t="s">
        <v>168</v>
      </c>
      <c r="CE366" s="1119" t="s">
        <v>168</v>
      </c>
      <c r="CF366" s="1119" t="s">
        <v>168</v>
      </c>
      <c r="CG366" s="1119" t="s">
        <v>168</v>
      </c>
      <c r="CH366" s="1120" t="s">
        <v>168</v>
      </c>
      <c r="CI366" s="1075" t="s">
        <v>1942</v>
      </c>
      <c r="CJ366" s="1076" t="s">
        <v>1942</v>
      </c>
      <c r="CK366" s="1076" t="s">
        <v>1942</v>
      </c>
      <c r="CL366" s="1076" t="s">
        <v>1942</v>
      </c>
      <c r="CM366" s="1117" t="s">
        <v>1942</v>
      </c>
      <c r="CN366" s="1075" t="s">
        <v>1942</v>
      </c>
      <c r="CO366" s="1076" t="s">
        <v>1942</v>
      </c>
      <c r="CP366" s="1076" t="s">
        <v>1942</v>
      </c>
      <c r="CQ366" s="1076" t="s">
        <v>1942</v>
      </c>
      <c r="CR366" s="1117" t="s">
        <v>1942</v>
      </c>
      <c r="CS366" s="1075" t="s">
        <v>1942</v>
      </c>
      <c r="CT366" s="1076" t="s">
        <v>1942</v>
      </c>
      <c r="CU366" s="1076" t="s">
        <v>1942</v>
      </c>
      <c r="CV366" s="1076" t="s">
        <v>1942</v>
      </c>
      <c r="CW366" s="1117" t="s">
        <v>1942</v>
      </c>
      <c r="CX366" s="1075" t="s">
        <v>1942</v>
      </c>
      <c r="CY366" s="1076" t="s">
        <v>1942</v>
      </c>
      <c r="CZ366" s="1076" t="s">
        <v>1942</v>
      </c>
      <c r="DA366" s="1076" t="s">
        <v>1942</v>
      </c>
      <c r="DB366" s="1117" t="s">
        <v>1942</v>
      </c>
      <c r="DC366" s="1076" t="s">
        <v>1942</v>
      </c>
      <c r="DD366" s="1076" t="s">
        <v>1942</v>
      </c>
      <c r="DE366" s="1076" t="s">
        <v>1942</v>
      </c>
      <c r="DF366" s="1076" t="s">
        <v>1942</v>
      </c>
      <c r="DG366" s="1117" t="s">
        <v>1942</v>
      </c>
      <c r="DH366" s="1075" t="s">
        <v>1942</v>
      </c>
      <c r="DI366" s="1076" t="s">
        <v>1942</v>
      </c>
      <c r="DJ366" s="1076" t="s">
        <v>1942</v>
      </c>
      <c r="DK366" s="1076" t="s">
        <v>1942</v>
      </c>
      <c r="DL366" s="1117" t="s">
        <v>1942</v>
      </c>
      <c r="DM366" s="1121" t="s">
        <v>1942</v>
      </c>
      <c r="DN366" s="1122" t="s">
        <v>1942</v>
      </c>
      <c r="DO366" s="1122" t="s">
        <v>1942</v>
      </c>
      <c r="DP366" s="1123" t="s">
        <v>1942</v>
      </c>
      <c r="DQ366" s="1122" t="s">
        <v>1942</v>
      </c>
      <c r="DR366" s="1122" t="s">
        <v>1942</v>
      </c>
      <c r="DS366" s="1122" t="s">
        <v>1942</v>
      </c>
      <c r="DT366" s="1123" t="s">
        <v>1942</v>
      </c>
      <c r="DU366" s="1119" t="s">
        <v>131</v>
      </c>
      <c r="DV366" s="1124">
        <v>1</v>
      </c>
      <c r="DW366" s="1125" t="s">
        <v>1942</v>
      </c>
    </row>
    <row r="367" spans="1:127" s="397" customFormat="1" ht="15.75" hidden="1" customHeight="1">
      <c r="A367" s="1097" t="s">
        <v>1036</v>
      </c>
      <c r="B367" s="1057">
        <v>358</v>
      </c>
      <c r="C367" s="1018"/>
      <c r="D367" s="1018"/>
      <c r="E367" s="1018"/>
      <c r="F367" s="1018"/>
      <c r="G367" s="1018"/>
      <c r="H367" s="1018"/>
      <c r="I367" s="1018"/>
      <c r="J367" s="1018"/>
      <c r="K367" s="1018"/>
      <c r="L367" s="1018"/>
      <c r="M367" s="1057"/>
      <c r="N367" s="1018"/>
      <c r="O367" s="1018"/>
      <c r="P367" s="1018"/>
      <c r="Q367" s="1018"/>
      <c r="R367" s="1018"/>
      <c r="S367" s="1018"/>
      <c r="T367" s="1019"/>
      <c r="U367" s="1098" t="s">
        <v>3476</v>
      </c>
      <c r="V367" s="1099" t="s">
        <v>2451</v>
      </c>
      <c r="W367" s="1099" t="s">
        <v>1889</v>
      </c>
      <c r="X367" s="1100" t="s">
        <v>3477</v>
      </c>
      <c r="Y367" s="1101" t="s">
        <v>2457</v>
      </c>
      <c r="Z367" s="1102" t="s">
        <v>3478</v>
      </c>
      <c r="AA367" s="1103" t="s">
        <v>1942</v>
      </c>
      <c r="AB367" s="1104" t="s">
        <v>1942</v>
      </c>
      <c r="AC367" s="1104" t="s">
        <v>1942</v>
      </c>
      <c r="AD367" s="1104" t="s">
        <v>1942</v>
      </c>
      <c r="AE367" s="1104">
        <v>1</v>
      </c>
      <c r="AF367" s="1104" t="s">
        <v>1942</v>
      </c>
      <c r="AG367" s="1104" t="s">
        <v>1942</v>
      </c>
      <c r="AH367" s="1104" t="s">
        <v>1942</v>
      </c>
      <c r="AI367" s="1105">
        <f t="shared" si="5"/>
        <v>1</v>
      </c>
      <c r="AJ367" s="1106" t="s">
        <v>1007</v>
      </c>
      <c r="AK367" s="1106" t="s">
        <v>1942</v>
      </c>
      <c r="AL367" s="1106" t="s">
        <v>1942</v>
      </c>
      <c r="AM367" s="1107" t="s">
        <v>2117</v>
      </c>
      <c r="AN367" s="1018" t="s">
        <v>278</v>
      </c>
      <c r="AO367" s="1018" t="s">
        <v>2459</v>
      </c>
      <c r="AP367" s="1333">
        <v>0</v>
      </c>
      <c r="AQ367" s="1076" t="s">
        <v>1010</v>
      </c>
      <c r="AR367" s="1109" t="s">
        <v>1942</v>
      </c>
      <c r="AS367" s="1110"/>
      <c r="AT367" s="1100"/>
      <c r="AU367" s="1100"/>
      <c r="AV367" s="1100"/>
      <c r="AW367" s="1111"/>
      <c r="AX367" s="1112"/>
      <c r="AY367" s="1075"/>
      <c r="AZ367" s="1076"/>
      <c r="BA367" s="1076"/>
      <c r="BB367" s="1076"/>
      <c r="BC367" s="1076"/>
      <c r="BD367" s="1076"/>
      <c r="BE367" s="1076"/>
      <c r="BF367" s="1076"/>
      <c r="BG367" s="1076"/>
      <c r="BH367" s="1076"/>
      <c r="BI367" s="1420"/>
      <c r="BJ367" s="1368"/>
      <c r="BK367" s="1368"/>
      <c r="BL367" s="1368"/>
      <c r="BM367" s="1368"/>
      <c r="BN367" s="1075"/>
      <c r="BO367" s="1076"/>
      <c r="BP367" s="1076"/>
      <c r="BQ367" s="1076"/>
      <c r="BR367" s="1076"/>
      <c r="BS367" s="1115"/>
      <c r="BT367" s="1076"/>
      <c r="BU367" s="1076"/>
      <c r="BV367" s="1076"/>
      <c r="BW367" s="1116"/>
      <c r="BX367" s="1115"/>
      <c r="BY367" s="1076"/>
      <c r="BZ367" s="1076"/>
      <c r="CA367" s="1076"/>
      <c r="CB367" s="1116"/>
      <c r="CC367" s="1117"/>
      <c r="CD367" s="1376"/>
      <c r="CE367" s="1377"/>
      <c r="CF367" s="1377"/>
      <c r="CG367" s="1377"/>
      <c r="CH367" s="1440"/>
      <c r="CI367" s="1420"/>
      <c r="CJ367" s="1368"/>
      <c r="CK367" s="1368"/>
      <c r="CL367" s="1368"/>
      <c r="CM367" s="1369"/>
      <c r="CN367" s="1420"/>
      <c r="CO367" s="1368"/>
      <c r="CP367" s="1368"/>
      <c r="CQ367" s="1368"/>
      <c r="CR367" s="1369"/>
      <c r="CS367" s="1420"/>
      <c r="CT367" s="1368"/>
      <c r="CU367" s="1368"/>
      <c r="CV367" s="1368"/>
      <c r="CW367" s="1369"/>
      <c r="CX367" s="1420"/>
      <c r="CY367" s="1368"/>
      <c r="CZ367" s="1368"/>
      <c r="DA367" s="1368"/>
      <c r="DB367" s="1369"/>
      <c r="DC367" s="1368"/>
      <c r="DD367" s="1368"/>
      <c r="DE367" s="1368"/>
      <c r="DF367" s="1368"/>
      <c r="DG367" s="1369"/>
      <c r="DH367" s="1420"/>
      <c r="DI367" s="1368"/>
      <c r="DJ367" s="1368"/>
      <c r="DK367" s="1368"/>
      <c r="DL367" s="1369"/>
      <c r="DM367" s="1808"/>
      <c r="DN367" s="1809"/>
      <c r="DO367" s="1809"/>
      <c r="DP367" s="1810"/>
      <c r="DQ367" s="1809"/>
      <c r="DR367" s="1809"/>
      <c r="DS367" s="1809"/>
      <c r="DT367" s="1810"/>
      <c r="DU367" s="1377"/>
      <c r="DV367" s="1729"/>
      <c r="DW367" s="1811"/>
    </row>
    <row r="368" spans="1:127" s="397" customFormat="1" ht="15.75" hidden="1" customHeight="1">
      <c r="A368" s="1097" t="s">
        <v>1036</v>
      </c>
      <c r="B368" s="1057">
        <v>359</v>
      </c>
      <c r="C368" s="1018"/>
      <c r="D368" s="1018"/>
      <c r="E368" s="1018"/>
      <c r="F368" s="1018"/>
      <c r="G368" s="1018"/>
      <c r="H368" s="1018"/>
      <c r="I368" s="1018"/>
      <c r="J368" s="1018"/>
      <c r="K368" s="1018"/>
      <c r="L368" s="1018"/>
      <c r="M368" s="1057"/>
      <c r="N368" s="1018"/>
      <c r="O368" s="1018"/>
      <c r="P368" s="1018"/>
      <c r="Q368" s="1018"/>
      <c r="R368" s="1018"/>
      <c r="S368" s="1018"/>
      <c r="T368" s="1019"/>
      <c r="U368" s="1098" t="s">
        <v>3479</v>
      </c>
      <c r="V368" s="1099" t="s">
        <v>2451</v>
      </c>
      <c r="W368" s="1099" t="s">
        <v>1907</v>
      </c>
      <c r="X368" s="1100" t="s">
        <v>3480</v>
      </c>
      <c r="Y368" s="1101" t="s">
        <v>703</v>
      </c>
      <c r="Z368" s="1102" t="s">
        <v>3481</v>
      </c>
      <c r="AA368" s="1103" t="s">
        <v>1942</v>
      </c>
      <c r="AB368" s="1104" t="s">
        <v>1942</v>
      </c>
      <c r="AC368" s="1104" t="s">
        <v>1942</v>
      </c>
      <c r="AD368" s="1104" t="s">
        <v>1942</v>
      </c>
      <c r="AE368" s="1104">
        <v>1</v>
      </c>
      <c r="AF368" s="1104" t="s">
        <v>1942</v>
      </c>
      <c r="AG368" s="1104" t="s">
        <v>1942</v>
      </c>
      <c r="AH368" s="1104" t="s">
        <v>1942</v>
      </c>
      <c r="AI368" s="1105">
        <f t="shared" si="5"/>
        <v>1</v>
      </c>
      <c r="AJ368" s="1106" t="s">
        <v>1007</v>
      </c>
      <c r="AK368" s="1106" t="s">
        <v>1942</v>
      </c>
      <c r="AL368" s="1106" t="s">
        <v>1942</v>
      </c>
      <c r="AM368" s="1107" t="s">
        <v>2117</v>
      </c>
      <c r="AN368" s="1018" t="s">
        <v>278</v>
      </c>
      <c r="AO368" s="1018" t="s">
        <v>4799</v>
      </c>
      <c r="AP368" s="1307">
        <v>1</v>
      </c>
      <c r="AQ368" s="1076" t="s">
        <v>1010</v>
      </c>
      <c r="AR368" s="1109" t="s">
        <v>703</v>
      </c>
      <c r="AS368" s="1110"/>
      <c r="AT368" s="1100"/>
      <c r="AU368" s="1100"/>
      <c r="AV368" s="1100"/>
      <c r="AW368" s="1111"/>
      <c r="AX368" s="1112"/>
      <c r="AY368" s="1075"/>
      <c r="AZ368" s="1076"/>
      <c r="BA368" s="1076"/>
      <c r="BB368" s="1076"/>
      <c r="BC368" s="1076"/>
      <c r="BD368" s="1076"/>
      <c r="BE368" s="1076"/>
      <c r="BF368" s="1076"/>
      <c r="BG368" s="1076"/>
      <c r="BH368" s="1076"/>
      <c r="BI368" s="1075" t="s">
        <v>4862</v>
      </c>
      <c r="BJ368" s="1076" t="s">
        <v>4863</v>
      </c>
      <c r="BK368" s="1076" t="s">
        <v>4837</v>
      </c>
      <c r="BL368" s="1076" t="s">
        <v>4846</v>
      </c>
      <c r="BM368" s="1076" t="s">
        <v>4864</v>
      </c>
      <c r="BN368" s="1075"/>
      <c r="BO368" s="1076"/>
      <c r="BP368" s="1076"/>
      <c r="BQ368" s="1076"/>
      <c r="BR368" s="1076"/>
      <c r="BS368" s="1115"/>
      <c r="BT368" s="1076"/>
      <c r="BU368" s="1076"/>
      <c r="BV368" s="1076"/>
      <c r="BW368" s="1116"/>
      <c r="BX368" s="1115"/>
      <c r="BY368" s="1076"/>
      <c r="BZ368" s="1076"/>
      <c r="CA368" s="1076"/>
      <c r="CB368" s="1116"/>
      <c r="CC368" s="1117"/>
      <c r="CD368" s="1118" t="s">
        <v>1942</v>
      </c>
      <c r="CE368" s="1119" t="s">
        <v>1942</v>
      </c>
      <c r="CF368" s="1119" t="s">
        <v>1942</v>
      </c>
      <c r="CG368" s="1119" t="s">
        <v>1942</v>
      </c>
      <c r="CH368" s="1120" t="s">
        <v>1942</v>
      </c>
      <c r="CI368" s="1075" t="s">
        <v>1942</v>
      </c>
      <c r="CJ368" s="1076" t="s">
        <v>1942</v>
      </c>
      <c r="CK368" s="1076" t="s">
        <v>1942</v>
      </c>
      <c r="CL368" s="1076" t="s">
        <v>1942</v>
      </c>
      <c r="CM368" s="1117" t="s">
        <v>1942</v>
      </c>
      <c r="CN368" s="1075" t="s">
        <v>1942</v>
      </c>
      <c r="CO368" s="1076" t="s">
        <v>1942</v>
      </c>
      <c r="CP368" s="1076" t="s">
        <v>1942</v>
      </c>
      <c r="CQ368" s="1076" t="s">
        <v>1942</v>
      </c>
      <c r="CR368" s="1117" t="s">
        <v>1942</v>
      </c>
      <c r="CS368" s="1075" t="s">
        <v>1942</v>
      </c>
      <c r="CT368" s="1076" t="s">
        <v>1942</v>
      </c>
      <c r="CU368" s="1076" t="s">
        <v>1942</v>
      </c>
      <c r="CV368" s="1076" t="s">
        <v>1942</v>
      </c>
      <c r="CW368" s="1117" t="s">
        <v>1942</v>
      </c>
      <c r="CX368" s="1075" t="s">
        <v>1942</v>
      </c>
      <c r="CY368" s="1076" t="s">
        <v>1942</v>
      </c>
      <c r="CZ368" s="1076" t="s">
        <v>1942</v>
      </c>
      <c r="DA368" s="1076" t="s">
        <v>1942</v>
      </c>
      <c r="DB368" s="1117" t="s">
        <v>1942</v>
      </c>
      <c r="DC368" s="1076" t="s">
        <v>1942</v>
      </c>
      <c r="DD368" s="1076" t="s">
        <v>1942</v>
      </c>
      <c r="DE368" s="1076" t="s">
        <v>1942</v>
      </c>
      <c r="DF368" s="1076" t="s">
        <v>1942</v>
      </c>
      <c r="DG368" s="1117" t="s">
        <v>1942</v>
      </c>
      <c r="DH368" s="1075" t="s">
        <v>1942</v>
      </c>
      <c r="DI368" s="1076" t="s">
        <v>1942</v>
      </c>
      <c r="DJ368" s="1076" t="s">
        <v>1942</v>
      </c>
      <c r="DK368" s="1076" t="s">
        <v>1942</v>
      </c>
      <c r="DL368" s="1117" t="s">
        <v>1942</v>
      </c>
      <c r="DM368" s="1121" t="s">
        <v>1942</v>
      </c>
      <c r="DN368" s="1122" t="s">
        <v>1942</v>
      </c>
      <c r="DO368" s="1122" t="s">
        <v>1942</v>
      </c>
      <c r="DP368" s="1123" t="s">
        <v>1942</v>
      </c>
      <c r="DQ368" s="1122" t="s">
        <v>1942</v>
      </c>
      <c r="DR368" s="1122" t="s">
        <v>1942</v>
      </c>
      <c r="DS368" s="1122" t="s">
        <v>1942</v>
      </c>
      <c r="DT368" s="1123" t="s">
        <v>1942</v>
      </c>
      <c r="DU368" s="1119" t="s">
        <v>1942</v>
      </c>
      <c r="DV368" s="1124">
        <v>1</v>
      </c>
      <c r="DW368" s="1125" t="s">
        <v>1942</v>
      </c>
    </row>
    <row r="369" spans="1:127" s="397" customFormat="1" ht="15.75" hidden="1" customHeight="1">
      <c r="A369" s="1097" t="s">
        <v>1036</v>
      </c>
      <c r="B369" s="1057">
        <v>360</v>
      </c>
      <c r="C369" s="1018"/>
      <c r="D369" s="1018"/>
      <c r="E369" s="1018"/>
      <c r="F369" s="1018"/>
      <c r="G369" s="1018"/>
      <c r="H369" s="1018"/>
      <c r="I369" s="1018"/>
      <c r="J369" s="1018"/>
      <c r="K369" s="1018"/>
      <c r="L369" s="1018"/>
      <c r="M369" s="1057"/>
      <c r="N369" s="1018"/>
      <c r="O369" s="1018"/>
      <c r="P369" s="1018"/>
      <c r="Q369" s="1018"/>
      <c r="R369" s="1018"/>
      <c r="S369" s="1018"/>
      <c r="T369" s="1019"/>
      <c r="U369" s="1098" t="s">
        <v>3482</v>
      </c>
      <c r="V369" s="1099" t="s">
        <v>2403</v>
      </c>
      <c r="W369" s="1099" t="s">
        <v>1889</v>
      </c>
      <c r="X369" s="1100" t="s">
        <v>3483</v>
      </c>
      <c r="Y369" s="1101" t="s">
        <v>732</v>
      </c>
      <c r="Z369" s="1102" t="s">
        <v>2405</v>
      </c>
      <c r="AA369" s="1103" t="s">
        <v>1942</v>
      </c>
      <c r="AB369" s="1104" t="s">
        <v>1942</v>
      </c>
      <c r="AC369" s="1104">
        <v>1</v>
      </c>
      <c r="AD369" s="1104" t="s">
        <v>1942</v>
      </c>
      <c r="AE369" s="1104" t="s">
        <v>1942</v>
      </c>
      <c r="AF369" s="1104" t="s">
        <v>1942</v>
      </c>
      <c r="AG369" s="1104" t="s">
        <v>1942</v>
      </c>
      <c r="AH369" s="1104" t="s">
        <v>1942</v>
      </c>
      <c r="AI369" s="1105">
        <f t="shared" si="5"/>
        <v>1</v>
      </c>
      <c r="AJ369" s="1106" t="s">
        <v>1030</v>
      </c>
      <c r="AK369" s="1106" t="s">
        <v>1008</v>
      </c>
      <c r="AL369" s="1106" t="s">
        <v>1009</v>
      </c>
      <c r="AM369" s="1107" t="s">
        <v>2058</v>
      </c>
      <c r="AN369" s="1018" t="s">
        <v>2177</v>
      </c>
      <c r="AO369" s="1018" t="s">
        <v>4492</v>
      </c>
      <c r="AP369" s="1307">
        <v>2</v>
      </c>
      <c r="AQ369" s="1076" t="s">
        <v>1020</v>
      </c>
      <c r="AR369" s="1109" t="s">
        <v>732</v>
      </c>
      <c r="AS369" s="1110"/>
      <c r="AT369" s="1100"/>
      <c r="AU369" s="1100"/>
      <c r="AV369" s="1100"/>
      <c r="AW369" s="1111"/>
      <c r="AX369" s="1112"/>
      <c r="AY369" s="1075"/>
      <c r="AZ369" s="1076"/>
      <c r="BA369" s="1076"/>
      <c r="BB369" s="1076"/>
      <c r="BC369" s="1076"/>
      <c r="BD369" s="1076"/>
      <c r="BE369" s="1076"/>
      <c r="BF369" s="1076"/>
      <c r="BG369" s="1126"/>
      <c r="BH369" s="1126"/>
      <c r="BI369" s="1127">
        <v>1.68</v>
      </c>
      <c r="BJ369" s="1126">
        <v>1.63</v>
      </c>
      <c r="BK369" s="1126">
        <v>1.58</v>
      </c>
      <c r="BL369" s="1126">
        <v>1.44</v>
      </c>
      <c r="BM369" s="1126">
        <v>1.34</v>
      </c>
      <c r="BN369" s="1075"/>
      <c r="BO369" s="1076"/>
      <c r="BP369" s="1076"/>
      <c r="BQ369" s="1076"/>
      <c r="BR369" s="1076"/>
      <c r="BS369" s="1115"/>
      <c r="BT369" s="1076"/>
      <c r="BU369" s="1076"/>
      <c r="BV369" s="1076"/>
      <c r="BW369" s="1116"/>
      <c r="BX369" s="1115"/>
      <c r="BY369" s="1076"/>
      <c r="BZ369" s="1076"/>
      <c r="CA369" s="1076"/>
      <c r="CB369" s="1116"/>
      <c r="CC369" s="1117"/>
      <c r="CD369" s="1118" t="s">
        <v>168</v>
      </c>
      <c r="CE369" s="1119" t="s">
        <v>168</v>
      </c>
      <c r="CF369" s="1119" t="s">
        <v>168</v>
      </c>
      <c r="CG369" s="1119" t="s">
        <v>168</v>
      </c>
      <c r="CH369" s="1120" t="s">
        <v>168</v>
      </c>
      <c r="CI369" s="1420">
        <v>2.56</v>
      </c>
      <c r="CJ369" s="1420">
        <v>2.56</v>
      </c>
      <c r="CK369" s="1420">
        <v>2.56</v>
      </c>
      <c r="CL369" s="1420">
        <v>2.56</v>
      </c>
      <c r="CM369" s="1420">
        <v>2.56</v>
      </c>
      <c r="CN369" s="1421">
        <v>2.35</v>
      </c>
      <c r="CO369" s="1421">
        <v>2.35</v>
      </c>
      <c r="CP369" s="1421">
        <v>2.35</v>
      </c>
      <c r="CQ369" s="1421">
        <v>2.35</v>
      </c>
      <c r="CR369" s="1421">
        <v>2.35</v>
      </c>
      <c r="CS369" s="1075" t="s">
        <v>1942</v>
      </c>
      <c r="CT369" s="1076" t="s">
        <v>1942</v>
      </c>
      <c r="CU369" s="1076" t="s">
        <v>1942</v>
      </c>
      <c r="CV369" s="1076" t="s">
        <v>1942</v>
      </c>
      <c r="CW369" s="1117" t="s">
        <v>1942</v>
      </c>
      <c r="CX369" s="1075" t="s">
        <v>1942</v>
      </c>
      <c r="CY369" s="1076" t="s">
        <v>1942</v>
      </c>
      <c r="CZ369" s="1076" t="s">
        <v>1942</v>
      </c>
      <c r="DA369" s="1076" t="s">
        <v>1942</v>
      </c>
      <c r="DB369" s="1117" t="s">
        <v>1942</v>
      </c>
      <c r="DC369" s="1076">
        <v>0.93</v>
      </c>
      <c r="DD369" s="1076">
        <v>0.91</v>
      </c>
      <c r="DE369" s="1076">
        <v>0.87</v>
      </c>
      <c r="DF369" s="1076">
        <v>0.8</v>
      </c>
      <c r="DG369" s="1117">
        <v>0.74</v>
      </c>
      <c r="DH369" s="1075">
        <v>0</v>
      </c>
      <c r="DI369" s="1076">
        <v>0</v>
      </c>
      <c r="DJ369" s="1076">
        <v>0</v>
      </c>
      <c r="DK369" s="1076">
        <v>0</v>
      </c>
      <c r="DL369" s="1117">
        <v>0</v>
      </c>
      <c r="DM369" s="1121">
        <v>-22.602</v>
      </c>
      <c r="DN369" s="1122" t="s">
        <v>1942</v>
      </c>
      <c r="DO369" s="1122" t="s">
        <v>1942</v>
      </c>
      <c r="DP369" s="1123">
        <v>-33.904000000000003</v>
      </c>
      <c r="DQ369" s="1122">
        <v>18.72</v>
      </c>
      <c r="DR369" s="1122" t="s">
        <v>1942</v>
      </c>
      <c r="DS369" s="1122" t="s">
        <v>1942</v>
      </c>
      <c r="DT369" s="1123">
        <v>28.08</v>
      </c>
      <c r="DU369" s="1119" t="s">
        <v>1942</v>
      </c>
      <c r="DV369" s="1124">
        <v>1</v>
      </c>
      <c r="DW369" s="1125" t="s">
        <v>1942</v>
      </c>
    </row>
    <row r="370" spans="1:127" s="397" customFormat="1" ht="15.75" hidden="1" customHeight="1">
      <c r="A370" s="1097" t="s">
        <v>1036</v>
      </c>
      <c r="B370" s="1057">
        <v>361</v>
      </c>
      <c r="C370" s="1018"/>
      <c r="D370" s="1018"/>
      <c r="E370" s="1018"/>
      <c r="F370" s="1018"/>
      <c r="G370" s="1018"/>
      <c r="H370" s="1018"/>
      <c r="I370" s="1018"/>
      <c r="J370" s="1018"/>
      <c r="K370" s="1018"/>
      <c r="L370" s="1018"/>
      <c r="M370" s="1057"/>
      <c r="N370" s="1018"/>
      <c r="O370" s="1018"/>
      <c r="P370" s="1018"/>
      <c r="Q370" s="1018"/>
      <c r="R370" s="1018"/>
      <c r="S370" s="1018"/>
      <c r="T370" s="1019"/>
      <c r="U370" s="1098" t="s">
        <v>3485</v>
      </c>
      <c r="V370" s="1099" t="s">
        <v>2403</v>
      </c>
      <c r="W370" s="1099" t="s">
        <v>1889</v>
      </c>
      <c r="X370" s="1100" t="s">
        <v>3486</v>
      </c>
      <c r="Y370" s="1101" t="s">
        <v>736</v>
      </c>
      <c r="Z370" s="1102" t="s">
        <v>2409</v>
      </c>
      <c r="AA370" s="1103" t="s">
        <v>1942</v>
      </c>
      <c r="AB370" s="1104" t="s">
        <v>1942</v>
      </c>
      <c r="AC370" s="1104">
        <v>1</v>
      </c>
      <c r="AD370" s="1104" t="s">
        <v>1942</v>
      </c>
      <c r="AE370" s="1104" t="s">
        <v>1942</v>
      </c>
      <c r="AF370" s="1104" t="s">
        <v>1942</v>
      </c>
      <c r="AG370" s="1104" t="s">
        <v>1942</v>
      </c>
      <c r="AH370" s="1104" t="s">
        <v>1942</v>
      </c>
      <c r="AI370" s="1105">
        <f t="shared" si="5"/>
        <v>1</v>
      </c>
      <c r="AJ370" s="1106" t="s">
        <v>1030</v>
      </c>
      <c r="AK370" s="1106" t="s">
        <v>1008</v>
      </c>
      <c r="AL370" s="1106" t="s">
        <v>1009</v>
      </c>
      <c r="AM370" s="1107" t="s">
        <v>736</v>
      </c>
      <c r="AN370" s="1018" t="s">
        <v>2177</v>
      </c>
      <c r="AO370" s="1018" t="s">
        <v>4806</v>
      </c>
      <c r="AP370" s="1307">
        <v>2</v>
      </c>
      <c r="AQ370" s="1076" t="s">
        <v>1020</v>
      </c>
      <c r="AR370" s="1109" t="s">
        <v>736</v>
      </c>
      <c r="AS370" s="1110"/>
      <c r="AT370" s="1100"/>
      <c r="AU370" s="1100"/>
      <c r="AV370" s="1100"/>
      <c r="AW370" s="1111"/>
      <c r="AX370" s="1112"/>
      <c r="AY370" s="1075"/>
      <c r="AZ370" s="1076"/>
      <c r="BA370" s="1076"/>
      <c r="BB370" s="1076"/>
      <c r="BC370" s="1076"/>
      <c r="BD370" s="1076"/>
      <c r="BE370" s="1076"/>
      <c r="BF370" s="1076"/>
      <c r="BG370" s="1126"/>
      <c r="BH370" s="1126"/>
      <c r="BI370" s="1127">
        <v>24.51</v>
      </c>
      <c r="BJ370" s="1126">
        <v>23.74</v>
      </c>
      <c r="BK370" s="1126">
        <v>23</v>
      </c>
      <c r="BL370" s="1126">
        <v>22.4</v>
      </c>
      <c r="BM370" s="1126">
        <v>19.5</v>
      </c>
      <c r="BN370" s="1075"/>
      <c r="BO370" s="1076"/>
      <c r="BP370" s="1076"/>
      <c r="BQ370" s="1076"/>
      <c r="BR370" s="1076"/>
      <c r="BS370" s="1115"/>
      <c r="BT370" s="1076"/>
      <c r="BU370" s="1076"/>
      <c r="BV370" s="1076"/>
      <c r="BW370" s="1116"/>
      <c r="BX370" s="1115"/>
      <c r="BY370" s="1076"/>
      <c r="BZ370" s="1076"/>
      <c r="CA370" s="1076"/>
      <c r="CB370" s="1116"/>
      <c r="CC370" s="1117"/>
      <c r="CD370" s="1118" t="s">
        <v>168</v>
      </c>
      <c r="CE370" s="1119" t="s">
        <v>168</v>
      </c>
      <c r="CF370" s="1119" t="s">
        <v>168</v>
      </c>
      <c r="CG370" s="1119" t="s">
        <v>168</v>
      </c>
      <c r="CH370" s="1120" t="s">
        <v>168</v>
      </c>
      <c r="CI370" s="1075" t="s">
        <v>1942</v>
      </c>
      <c r="CJ370" s="1076" t="s">
        <v>1942</v>
      </c>
      <c r="CK370" s="1076" t="s">
        <v>1942</v>
      </c>
      <c r="CL370" s="1076" t="s">
        <v>1942</v>
      </c>
      <c r="CM370" s="1117" t="s">
        <v>1942</v>
      </c>
      <c r="CN370" s="1075">
        <v>28.73</v>
      </c>
      <c r="CO370" s="1076">
        <v>27.82</v>
      </c>
      <c r="CP370" s="1076">
        <v>26.96</v>
      </c>
      <c r="CQ370" s="1076">
        <v>26.25</v>
      </c>
      <c r="CR370" s="1117">
        <v>22.85</v>
      </c>
      <c r="CS370" s="1075" t="s">
        <v>1942</v>
      </c>
      <c r="CT370" s="1076" t="s">
        <v>1942</v>
      </c>
      <c r="CU370" s="1076" t="s">
        <v>1942</v>
      </c>
      <c r="CV370" s="1076" t="s">
        <v>1942</v>
      </c>
      <c r="CW370" s="1117" t="s">
        <v>1942</v>
      </c>
      <c r="CX370" s="1075" t="s">
        <v>1942</v>
      </c>
      <c r="CY370" s="1076" t="s">
        <v>1942</v>
      </c>
      <c r="CZ370" s="1076" t="s">
        <v>1942</v>
      </c>
      <c r="DA370" s="1076" t="s">
        <v>1942</v>
      </c>
      <c r="DB370" s="1117" t="s">
        <v>1942</v>
      </c>
      <c r="DC370" s="1076">
        <v>8.83</v>
      </c>
      <c r="DD370" s="1076">
        <v>8.5500000000000007</v>
      </c>
      <c r="DE370" s="1076">
        <v>8.2799999999999994</v>
      </c>
      <c r="DF370" s="1076">
        <v>8.07</v>
      </c>
      <c r="DG370" s="1117">
        <v>7.02</v>
      </c>
      <c r="DH370" s="1075" t="s">
        <v>1942</v>
      </c>
      <c r="DI370" s="1076" t="s">
        <v>1942</v>
      </c>
      <c r="DJ370" s="1076" t="s">
        <v>1942</v>
      </c>
      <c r="DK370" s="1076" t="s">
        <v>1942</v>
      </c>
      <c r="DL370" s="1117" t="s">
        <v>1942</v>
      </c>
      <c r="DM370" s="1121">
        <v>-0.61</v>
      </c>
      <c r="DN370" s="1122" t="s">
        <v>1942</v>
      </c>
      <c r="DO370" s="1122" t="s">
        <v>1942</v>
      </c>
      <c r="DP370" s="1123" t="s">
        <v>1942</v>
      </c>
      <c r="DQ370" s="1122">
        <v>0.59699999999999998</v>
      </c>
      <c r="DR370" s="1122" t="s">
        <v>1942</v>
      </c>
      <c r="DS370" s="1122" t="s">
        <v>1942</v>
      </c>
      <c r="DT370" s="1123" t="s">
        <v>1942</v>
      </c>
      <c r="DU370" s="1119" t="s">
        <v>1942</v>
      </c>
      <c r="DV370" s="1124">
        <v>1</v>
      </c>
      <c r="DW370" s="1125" t="s">
        <v>1942</v>
      </c>
    </row>
    <row r="371" spans="1:127" s="397" customFormat="1" ht="15.75" hidden="1" customHeight="1">
      <c r="A371" s="1097" t="s">
        <v>1036</v>
      </c>
      <c r="B371" s="1057">
        <v>362</v>
      </c>
      <c r="C371" s="1018"/>
      <c r="D371" s="1018"/>
      <c r="E371" s="1018"/>
      <c r="F371" s="1018"/>
      <c r="G371" s="1018"/>
      <c r="H371" s="1018"/>
      <c r="I371" s="1018"/>
      <c r="J371" s="1018"/>
      <c r="K371" s="1018"/>
      <c r="L371" s="1018"/>
      <c r="M371" s="1057"/>
      <c r="N371" s="1018"/>
      <c r="O371" s="1018"/>
      <c r="P371" s="1018"/>
      <c r="Q371" s="1018"/>
      <c r="R371" s="1018"/>
      <c r="S371" s="1018"/>
      <c r="T371" s="1019"/>
      <c r="U371" s="1098" t="s">
        <v>3488</v>
      </c>
      <c r="V371" s="1099" t="s">
        <v>2403</v>
      </c>
      <c r="W371" s="1099" t="s">
        <v>1907</v>
      </c>
      <c r="X371" s="1100" t="s">
        <v>3489</v>
      </c>
      <c r="Y371" s="1101" t="s">
        <v>743</v>
      </c>
      <c r="Z371" s="1102" t="s">
        <v>2423</v>
      </c>
      <c r="AA371" s="1103" t="s">
        <v>1942</v>
      </c>
      <c r="AB371" s="1104" t="s">
        <v>1942</v>
      </c>
      <c r="AC371" s="1104">
        <v>1</v>
      </c>
      <c r="AD371" s="1104" t="s">
        <v>1942</v>
      </c>
      <c r="AE371" s="1104" t="s">
        <v>1942</v>
      </c>
      <c r="AF371" s="1104" t="s">
        <v>1942</v>
      </c>
      <c r="AG371" s="1104" t="s">
        <v>1942</v>
      </c>
      <c r="AH371" s="1104" t="s">
        <v>1942</v>
      </c>
      <c r="AI371" s="1105">
        <f t="shared" si="5"/>
        <v>1</v>
      </c>
      <c r="AJ371" s="1106" t="s">
        <v>1030</v>
      </c>
      <c r="AK371" s="1106" t="s">
        <v>1008</v>
      </c>
      <c r="AL371" s="1106" t="s">
        <v>1009</v>
      </c>
      <c r="AM371" s="1107" t="s">
        <v>1920</v>
      </c>
      <c r="AN371" s="1018" t="s">
        <v>2177</v>
      </c>
      <c r="AO371" s="1018" t="s">
        <v>4807</v>
      </c>
      <c r="AP371" s="1307">
        <v>2</v>
      </c>
      <c r="AQ371" s="1076" t="s">
        <v>1020</v>
      </c>
      <c r="AR371" s="1109" t="s">
        <v>743</v>
      </c>
      <c r="AS371" s="1110"/>
      <c r="AT371" s="1100"/>
      <c r="AU371" s="1100"/>
      <c r="AV371" s="1100"/>
      <c r="AW371" s="1111"/>
      <c r="AX371" s="1112"/>
      <c r="AY371" s="1075"/>
      <c r="AZ371" s="1076"/>
      <c r="BA371" s="1076"/>
      <c r="BB371" s="1076"/>
      <c r="BC371" s="1076"/>
      <c r="BD371" s="1076"/>
      <c r="BE371" s="1076"/>
      <c r="BF371" s="1076"/>
      <c r="BG371" s="1076"/>
      <c r="BH371" s="1076"/>
      <c r="BI371" s="1127">
        <v>8</v>
      </c>
      <c r="BJ371" s="1126">
        <v>8</v>
      </c>
      <c r="BK371" s="1126">
        <v>8</v>
      </c>
      <c r="BL371" s="1126">
        <v>8</v>
      </c>
      <c r="BM371" s="1126">
        <v>8</v>
      </c>
      <c r="BN371" s="1075"/>
      <c r="BO371" s="1076"/>
      <c r="BP371" s="1076"/>
      <c r="BQ371" s="1076"/>
      <c r="BR371" s="1076"/>
      <c r="BS371" s="1115"/>
      <c r="BT371" s="1076"/>
      <c r="BU371" s="1076"/>
      <c r="BV371" s="1076"/>
      <c r="BW371" s="1116"/>
      <c r="BX371" s="1115"/>
      <c r="BY371" s="1076"/>
      <c r="BZ371" s="1076"/>
      <c r="CA371" s="1076"/>
      <c r="CB371" s="1116"/>
      <c r="CC371" s="1117"/>
      <c r="CD371" s="1118" t="s">
        <v>168</v>
      </c>
      <c r="CE371" s="1119" t="s">
        <v>168</v>
      </c>
      <c r="CF371" s="1119" t="s">
        <v>168</v>
      </c>
      <c r="CG371" s="1119" t="s">
        <v>168</v>
      </c>
      <c r="CH371" s="1120" t="s">
        <v>168</v>
      </c>
      <c r="CI371" s="1075" t="s">
        <v>1942</v>
      </c>
      <c r="CJ371" s="1076" t="s">
        <v>1942</v>
      </c>
      <c r="CK371" s="1076" t="s">
        <v>1942</v>
      </c>
      <c r="CL371" s="1076" t="s">
        <v>1942</v>
      </c>
      <c r="CM371" s="1117" t="s">
        <v>1942</v>
      </c>
      <c r="CN371" s="1075" t="s">
        <v>1942</v>
      </c>
      <c r="CO371" s="1076" t="s">
        <v>1942</v>
      </c>
      <c r="CP371" s="1076" t="s">
        <v>1942</v>
      </c>
      <c r="CQ371" s="1076" t="s">
        <v>1942</v>
      </c>
      <c r="CR371" s="1117" t="s">
        <v>1942</v>
      </c>
      <c r="CS371" s="1075" t="s">
        <v>1942</v>
      </c>
      <c r="CT371" s="1076" t="s">
        <v>1942</v>
      </c>
      <c r="CU371" s="1076" t="s">
        <v>1942</v>
      </c>
      <c r="CV371" s="1076" t="s">
        <v>1942</v>
      </c>
      <c r="CW371" s="1117" t="s">
        <v>1942</v>
      </c>
      <c r="CX371" s="1075" t="s">
        <v>1942</v>
      </c>
      <c r="CY371" s="1076" t="s">
        <v>1942</v>
      </c>
      <c r="CZ371" s="1076" t="s">
        <v>1942</v>
      </c>
      <c r="DA371" s="1076" t="s">
        <v>1942</v>
      </c>
      <c r="DB371" s="1117" t="s">
        <v>1942</v>
      </c>
      <c r="DC371" s="1076" t="s">
        <v>1942</v>
      </c>
      <c r="DD371" s="1076" t="s">
        <v>1942</v>
      </c>
      <c r="DE371" s="1076" t="s">
        <v>1942</v>
      </c>
      <c r="DF371" s="1076" t="s">
        <v>1942</v>
      </c>
      <c r="DG371" s="1117" t="s">
        <v>1942</v>
      </c>
      <c r="DH371" s="1075" t="s">
        <v>1942</v>
      </c>
      <c r="DI371" s="1076" t="s">
        <v>1942</v>
      </c>
      <c r="DJ371" s="1076" t="s">
        <v>1942</v>
      </c>
      <c r="DK371" s="1076" t="s">
        <v>1942</v>
      </c>
      <c r="DL371" s="1117" t="s">
        <v>1942</v>
      </c>
      <c r="DM371" s="1121">
        <v>-1.0449999999999999</v>
      </c>
      <c r="DN371" s="1122" t="s">
        <v>1942</v>
      </c>
      <c r="DO371" s="1122" t="s">
        <v>1942</v>
      </c>
      <c r="DP371" s="1123" t="s">
        <v>1942</v>
      </c>
      <c r="DQ371" s="1122">
        <v>0.34499999999999997</v>
      </c>
      <c r="DR371" s="1122" t="s">
        <v>1942</v>
      </c>
      <c r="DS371" s="1122" t="s">
        <v>1942</v>
      </c>
      <c r="DT371" s="1123" t="s">
        <v>1942</v>
      </c>
      <c r="DU371" s="1119" t="s">
        <v>1942</v>
      </c>
      <c r="DV371" s="1124">
        <v>1</v>
      </c>
      <c r="DW371" s="1125" t="s">
        <v>1942</v>
      </c>
    </row>
    <row r="372" spans="1:127" s="397" customFormat="1" ht="15.75" hidden="1" customHeight="1">
      <c r="A372" s="1097" t="s">
        <v>1036</v>
      </c>
      <c r="B372" s="1057">
        <v>363</v>
      </c>
      <c r="C372" s="1018"/>
      <c r="D372" s="1018"/>
      <c r="E372" s="1018"/>
      <c r="F372" s="1018"/>
      <c r="G372" s="1018"/>
      <c r="H372" s="1018"/>
      <c r="I372" s="1018"/>
      <c r="J372" s="1018"/>
      <c r="K372" s="1018"/>
      <c r="L372" s="1018"/>
      <c r="M372" s="1057"/>
      <c r="N372" s="1018"/>
      <c r="O372" s="1018"/>
      <c r="P372" s="1018"/>
      <c r="Q372" s="1018"/>
      <c r="R372" s="1018"/>
      <c r="S372" s="1018"/>
      <c r="T372" s="1019"/>
      <c r="U372" s="1098" t="s">
        <v>3491</v>
      </c>
      <c r="V372" s="1099" t="s">
        <v>2403</v>
      </c>
      <c r="W372" s="1099" t="s">
        <v>1907</v>
      </c>
      <c r="X372" s="1100" t="s">
        <v>3492</v>
      </c>
      <c r="Y372" s="1101" t="s">
        <v>839</v>
      </c>
      <c r="Z372" s="1102" t="s">
        <v>2419</v>
      </c>
      <c r="AA372" s="1103" t="s">
        <v>1942</v>
      </c>
      <c r="AB372" s="1104" t="s">
        <v>1942</v>
      </c>
      <c r="AC372" s="1104">
        <v>1</v>
      </c>
      <c r="AD372" s="1104" t="s">
        <v>1942</v>
      </c>
      <c r="AE372" s="1104" t="s">
        <v>1942</v>
      </c>
      <c r="AF372" s="1104" t="s">
        <v>1942</v>
      </c>
      <c r="AG372" s="1104" t="s">
        <v>1942</v>
      </c>
      <c r="AH372" s="1104" t="s">
        <v>1942</v>
      </c>
      <c r="AI372" s="1105">
        <f t="shared" si="5"/>
        <v>1</v>
      </c>
      <c r="AJ372" s="1106" t="s">
        <v>1007</v>
      </c>
      <c r="AK372" s="1106" t="s">
        <v>1942</v>
      </c>
      <c r="AL372" s="1106" t="s">
        <v>1942</v>
      </c>
      <c r="AM372" s="1107" t="s">
        <v>1910</v>
      </c>
      <c r="AN372" s="1018" t="s">
        <v>278</v>
      </c>
      <c r="AO372" s="1018" t="s">
        <v>4792</v>
      </c>
      <c r="AP372" s="1307">
        <v>2</v>
      </c>
      <c r="AQ372" s="1076" t="s">
        <v>1020</v>
      </c>
      <c r="AR372" s="1109" t="s">
        <v>839</v>
      </c>
      <c r="AS372" s="1110"/>
      <c r="AT372" s="1100"/>
      <c r="AU372" s="1100"/>
      <c r="AV372" s="1100"/>
      <c r="AW372" s="1111"/>
      <c r="AX372" s="1112"/>
      <c r="AY372" s="1075"/>
      <c r="AZ372" s="1076"/>
      <c r="BA372" s="1076"/>
      <c r="BB372" s="1076"/>
      <c r="BC372" s="1076"/>
      <c r="BD372" s="1076"/>
      <c r="BE372" s="1076"/>
      <c r="BF372" s="1076"/>
      <c r="BG372" s="1126"/>
      <c r="BH372" s="1126"/>
      <c r="BI372" s="1127">
        <v>4.1100000000000003</v>
      </c>
      <c r="BJ372" s="1126">
        <v>4.07</v>
      </c>
      <c r="BK372" s="1126">
        <v>4.03</v>
      </c>
      <c r="BL372" s="1126">
        <v>3.99</v>
      </c>
      <c r="BM372" s="1126">
        <v>3.95</v>
      </c>
      <c r="BN372" s="1075"/>
      <c r="BO372" s="1076"/>
      <c r="BP372" s="1076"/>
      <c r="BQ372" s="1076"/>
      <c r="BR372" s="1076"/>
      <c r="BS372" s="1115"/>
      <c r="BT372" s="1076"/>
      <c r="BU372" s="1076"/>
      <c r="BV372" s="1076"/>
      <c r="BW372" s="1116"/>
      <c r="BX372" s="1115"/>
      <c r="BY372" s="1076"/>
      <c r="BZ372" s="1076"/>
      <c r="CA372" s="1076"/>
      <c r="CB372" s="1116"/>
      <c r="CC372" s="1117"/>
      <c r="CD372" s="1118" t="s">
        <v>1942</v>
      </c>
      <c r="CE372" s="1119" t="s">
        <v>1942</v>
      </c>
      <c r="CF372" s="1119" t="s">
        <v>1942</v>
      </c>
      <c r="CG372" s="1119" t="s">
        <v>1942</v>
      </c>
      <c r="CH372" s="1120" t="s">
        <v>1942</v>
      </c>
      <c r="CI372" s="1075" t="s">
        <v>1942</v>
      </c>
      <c r="CJ372" s="1076" t="s">
        <v>1942</v>
      </c>
      <c r="CK372" s="1076" t="s">
        <v>1942</v>
      </c>
      <c r="CL372" s="1076" t="s">
        <v>1942</v>
      </c>
      <c r="CM372" s="1117" t="s">
        <v>1942</v>
      </c>
      <c r="CN372" s="1075" t="s">
        <v>1942</v>
      </c>
      <c r="CO372" s="1076" t="s">
        <v>1942</v>
      </c>
      <c r="CP372" s="1076" t="s">
        <v>1942</v>
      </c>
      <c r="CQ372" s="1076" t="s">
        <v>1942</v>
      </c>
      <c r="CR372" s="1117" t="s">
        <v>1942</v>
      </c>
      <c r="CS372" s="1075" t="s">
        <v>1942</v>
      </c>
      <c r="CT372" s="1076" t="s">
        <v>1942</v>
      </c>
      <c r="CU372" s="1076" t="s">
        <v>1942</v>
      </c>
      <c r="CV372" s="1076" t="s">
        <v>1942</v>
      </c>
      <c r="CW372" s="1117" t="s">
        <v>1942</v>
      </c>
      <c r="CX372" s="1075" t="s">
        <v>1942</v>
      </c>
      <c r="CY372" s="1076" t="s">
        <v>1942</v>
      </c>
      <c r="CZ372" s="1076" t="s">
        <v>1942</v>
      </c>
      <c r="DA372" s="1076" t="s">
        <v>1942</v>
      </c>
      <c r="DB372" s="1117" t="s">
        <v>1942</v>
      </c>
      <c r="DC372" s="1076" t="s">
        <v>1942</v>
      </c>
      <c r="DD372" s="1076" t="s">
        <v>1942</v>
      </c>
      <c r="DE372" s="1076" t="s">
        <v>1942</v>
      </c>
      <c r="DF372" s="1076" t="s">
        <v>1942</v>
      </c>
      <c r="DG372" s="1117" t="s">
        <v>1942</v>
      </c>
      <c r="DH372" s="1075" t="s">
        <v>1942</v>
      </c>
      <c r="DI372" s="1076" t="s">
        <v>1942</v>
      </c>
      <c r="DJ372" s="1076" t="s">
        <v>1942</v>
      </c>
      <c r="DK372" s="1076" t="s">
        <v>1942</v>
      </c>
      <c r="DL372" s="1117" t="s">
        <v>1942</v>
      </c>
      <c r="DM372" s="1121" t="s">
        <v>1942</v>
      </c>
      <c r="DN372" s="1122" t="s">
        <v>1942</v>
      </c>
      <c r="DO372" s="1122" t="s">
        <v>1942</v>
      </c>
      <c r="DP372" s="1123" t="s">
        <v>1942</v>
      </c>
      <c r="DQ372" s="1122" t="s">
        <v>1942</v>
      </c>
      <c r="DR372" s="1122" t="s">
        <v>1942</v>
      </c>
      <c r="DS372" s="1122" t="s">
        <v>1942</v>
      </c>
      <c r="DT372" s="1123" t="s">
        <v>1942</v>
      </c>
      <c r="DU372" s="1119" t="s">
        <v>1942</v>
      </c>
      <c r="DV372" s="1124">
        <v>1</v>
      </c>
      <c r="DW372" s="1125" t="s">
        <v>1942</v>
      </c>
    </row>
    <row r="373" spans="1:127" s="397" customFormat="1" ht="15.75" hidden="1" customHeight="1">
      <c r="A373" s="1097" t="s">
        <v>1036</v>
      </c>
      <c r="B373" s="1057">
        <v>364</v>
      </c>
      <c r="C373" s="1018"/>
      <c r="D373" s="1018"/>
      <c r="E373" s="1018"/>
      <c r="F373" s="1018"/>
      <c r="G373" s="1018"/>
      <c r="H373" s="1018"/>
      <c r="I373" s="1018"/>
      <c r="J373" s="1018"/>
      <c r="K373" s="1018"/>
      <c r="L373" s="1018"/>
      <c r="M373" s="1057"/>
      <c r="N373" s="1018"/>
      <c r="O373" s="1018"/>
      <c r="P373" s="1018"/>
      <c r="Q373" s="1018"/>
      <c r="R373" s="1018"/>
      <c r="S373" s="1018"/>
      <c r="T373" s="1019"/>
      <c r="U373" s="1098" t="s">
        <v>3494</v>
      </c>
      <c r="V373" s="1099" t="s">
        <v>2403</v>
      </c>
      <c r="W373" s="1099" t="s">
        <v>1889</v>
      </c>
      <c r="X373" s="1100" t="s">
        <v>3495</v>
      </c>
      <c r="Y373" s="1101" t="s">
        <v>2098</v>
      </c>
      <c r="Z373" s="1102" t="s">
        <v>3496</v>
      </c>
      <c r="AA373" s="1103" t="s">
        <v>1942</v>
      </c>
      <c r="AB373" s="1104" t="s">
        <v>1942</v>
      </c>
      <c r="AC373" s="1104">
        <v>1</v>
      </c>
      <c r="AD373" s="1104" t="s">
        <v>1942</v>
      </c>
      <c r="AE373" s="1104" t="s">
        <v>1942</v>
      </c>
      <c r="AF373" s="1104" t="s">
        <v>1942</v>
      </c>
      <c r="AG373" s="1104" t="s">
        <v>1942</v>
      </c>
      <c r="AH373" s="1104" t="s">
        <v>1942</v>
      </c>
      <c r="AI373" s="1105">
        <f t="shared" si="5"/>
        <v>1</v>
      </c>
      <c r="AJ373" s="1106" t="s">
        <v>1030</v>
      </c>
      <c r="AK373" s="1106" t="s">
        <v>1008</v>
      </c>
      <c r="AL373" s="1106" t="s">
        <v>1009</v>
      </c>
      <c r="AM373" s="1107" t="s">
        <v>2058</v>
      </c>
      <c r="AN373" s="1018" t="s">
        <v>2177</v>
      </c>
      <c r="AO373" s="1018" t="s">
        <v>4492</v>
      </c>
      <c r="AP373" s="1333">
        <v>0</v>
      </c>
      <c r="AQ373" s="1076" t="s">
        <v>1020</v>
      </c>
      <c r="AR373" s="1109"/>
      <c r="AS373" s="1110"/>
      <c r="AT373" s="1100"/>
      <c r="AU373" s="1100"/>
      <c r="AV373" s="1100"/>
      <c r="AW373" s="1111"/>
      <c r="AX373" s="1112"/>
      <c r="AY373" s="1075"/>
      <c r="AZ373" s="1076"/>
      <c r="BA373" s="1076"/>
      <c r="BB373" s="1076"/>
      <c r="BC373" s="1076"/>
      <c r="BD373" s="1076"/>
      <c r="BE373" s="1076"/>
      <c r="BF373" s="1076"/>
      <c r="BG373" s="1076"/>
      <c r="BH373" s="1076"/>
      <c r="BI373" s="1420"/>
      <c r="BJ373" s="1368"/>
      <c r="BK373" s="1368"/>
      <c r="BL373" s="1368"/>
      <c r="BM373" s="1368"/>
      <c r="BN373" s="1075"/>
      <c r="BO373" s="1076"/>
      <c r="BP373" s="1076"/>
      <c r="BQ373" s="1076"/>
      <c r="BR373" s="1076"/>
      <c r="BS373" s="1115"/>
      <c r="BT373" s="1076"/>
      <c r="BU373" s="1076"/>
      <c r="BV373" s="1076"/>
      <c r="BW373" s="1116"/>
      <c r="BX373" s="1115"/>
      <c r="BY373" s="1076"/>
      <c r="BZ373" s="1076"/>
      <c r="CA373" s="1076"/>
      <c r="CB373" s="1116"/>
      <c r="CC373" s="1117"/>
      <c r="CD373" s="1376"/>
      <c r="CE373" s="1377"/>
      <c r="CF373" s="1377"/>
      <c r="CG373" s="1377"/>
      <c r="CH373" s="1440"/>
      <c r="CI373" s="1420"/>
      <c r="CJ373" s="1368"/>
      <c r="CK373" s="1368"/>
      <c r="CL373" s="1368"/>
      <c r="CM373" s="1369"/>
      <c r="CN373" s="1420"/>
      <c r="CO373" s="1368"/>
      <c r="CP373" s="1368"/>
      <c r="CQ373" s="1368"/>
      <c r="CR373" s="1369"/>
      <c r="CS373" s="1420"/>
      <c r="CT373" s="1368"/>
      <c r="CU373" s="1368"/>
      <c r="CV373" s="1368"/>
      <c r="CW373" s="1369"/>
      <c r="CX373" s="1420"/>
      <c r="CY373" s="1368"/>
      <c r="CZ373" s="1368"/>
      <c r="DA373" s="1368"/>
      <c r="DB373" s="1369"/>
      <c r="DC373" s="1368"/>
      <c r="DD373" s="1368"/>
      <c r="DE373" s="1368"/>
      <c r="DF373" s="1368"/>
      <c r="DG373" s="1369"/>
      <c r="DH373" s="1420"/>
      <c r="DI373" s="1368"/>
      <c r="DJ373" s="1368"/>
      <c r="DK373" s="1368"/>
      <c r="DL373" s="1369"/>
      <c r="DM373" s="1808"/>
      <c r="DN373" s="1809"/>
      <c r="DO373" s="1809"/>
      <c r="DP373" s="1810"/>
      <c r="DQ373" s="1809"/>
      <c r="DR373" s="1809"/>
      <c r="DS373" s="1809"/>
      <c r="DT373" s="1810"/>
      <c r="DU373" s="1377"/>
      <c r="DV373" s="1729"/>
      <c r="DW373" s="1811"/>
    </row>
    <row r="374" spans="1:127" s="397" customFormat="1" ht="15.75" hidden="1" customHeight="1">
      <c r="A374" s="1097" t="s">
        <v>1036</v>
      </c>
      <c r="B374" s="1057">
        <v>365</v>
      </c>
      <c r="C374" s="1018"/>
      <c r="D374" s="1018"/>
      <c r="E374" s="1018"/>
      <c r="F374" s="1018"/>
      <c r="G374" s="1018"/>
      <c r="H374" s="1018"/>
      <c r="I374" s="1018"/>
      <c r="J374" s="1018"/>
      <c r="K374" s="1018"/>
      <c r="L374" s="1018"/>
      <c r="M374" s="1057"/>
      <c r="N374" s="1018"/>
      <c r="O374" s="1018"/>
      <c r="P374" s="1018"/>
      <c r="Q374" s="1018"/>
      <c r="R374" s="1018"/>
      <c r="S374" s="1018"/>
      <c r="T374" s="1019"/>
      <c r="U374" s="1098" t="s">
        <v>3498</v>
      </c>
      <c r="V374" s="1099" t="s">
        <v>2403</v>
      </c>
      <c r="W374" s="1099" t="s">
        <v>1896</v>
      </c>
      <c r="X374" s="1100" t="s">
        <v>3499</v>
      </c>
      <c r="Y374" s="1101" t="s">
        <v>2416</v>
      </c>
      <c r="Z374" s="1102" t="s">
        <v>3500</v>
      </c>
      <c r="AA374" s="1103" t="s">
        <v>1942</v>
      </c>
      <c r="AB374" s="1104" t="s">
        <v>1942</v>
      </c>
      <c r="AC374" s="1104">
        <v>1</v>
      </c>
      <c r="AD374" s="1104" t="s">
        <v>1942</v>
      </c>
      <c r="AE374" s="1104" t="s">
        <v>1942</v>
      </c>
      <c r="AF374" s="1104" t="s">
        <v>1942</v>
      </c>
      <c r="AG374" s="1104" t="s">
        <v>1942</v>
      </c>
      <c r="AH374" s="1104" t="s">
        <v>1942</v>
      </c>
      <c r="AI374" s="1105">
        <f t="shared" si="5"/>
        <v>1</v>
      </c>
      <c r="AJ374" s="1106" t="s">
        <v>1030</v>
      </c>
      <c r="AK374" s="1106" t="s">
        <v>1008</v>
      </c>
      <c r="AL374" s="1106" t="s">
        <v>1009</v>
      </c>
      <c r="AM374" s="1107" t="s">
        <v>2106</v>
      </c>
      <c r="AN374" s="1018" t="s">
        <v>2177</v>
      </c>
      <c r="AO374" s="1018" t="s">
        <v>4823</v>
      </c>
      <c r="AP374" s="1333">
        <v>0</v>
      </c>
      <c r="AQ374" s="1076" t="s">
        <v>1020</v>
      </c>
      <c r="AR374" s="1109"/>
      <c r="AS374" s="1110"/>
      <c r="AT374" s="1100"/>
      <c r="AU374" s="1100"/>
      <c r="AV374" s="1100"/>
      <c r="AW374" s="1111"/>
      <c r="AX374" s="1112"/>
      <c r="AY374" s="1075"/>
      <c r="AZ374" s="1076"/>
      <c r="BA374" s="1076"/>
      <c r="BB374" s="1076"/>
      <c r="BC374" s="1076"/>
      <c r="BD374" s="1076"/>
      <c r="BE374" s="1076"/>
      <c r="BF374" s="1076"/>
      <c r="BG374" s="1076"/>
      <c r="BH374" s="1076"/>
      <c r="BI374" s="1420"/>
      <c r="BJ374" s="1368"/>
      <c r="BK374" s="1368"/>
      <c r="BL374" s="1368"/>
      <c r="BM374" s="1368"/>
      <c r="BN374" s="1075"/>
      <c r="BO374" s="1076"/>
      <c r="BP374" s="1076"/>
      <c r="BQ374" s="1076"/>
      <c r="BR374" s="1076"/>
      <c r="BS374" s="1115"/>
      <c r="BT374" s="1076"/>
      <c r="BU374" s="1076"/>
      <c r="BV374" s="1076"/>
      <c r="BW374" s="1116"/>
      <c r="BX374" s="1115"/>
      <c r="BY374" s="1076"/>
      <c r="BZ374" s="1076"/>
      <c r="CA374" s="1076"/>
      <c r="CB374" s="1116"/>
      <c r="CC374" s="1117"/>
      <c r="CD374" s="1376"/>
      <c r="CE374" s="1377"/>
      <c r="CF374" s="1377"/>
      <c r="CG374" s="1377"/>
      <c r="CH374" s="1440"/>
      <c r="CI374" s="1420"/>
      <c r="CJ374" s="1368"/>
      <c r="CK374" s="1368"/>
      <c r="CL374" s="1368"/>
      <c r="CM374" s="1369"/>
      <c r="CN374" s="1420"/>
      <c r="CO374" s="1368"/>
      <c r="CP374" s="1368"/>
      <c r="CQ374" s="1368"/>
      <c r="CR374" s="1369"/>
      <c r="CS374" s="1420"/>
      <c r="CT374" s="1368"/>
      <c r="CU374" s="1368"/>
      <c r="CV374" s="1368"/>
      <c r="CW374" s="1369"/>
      <c r="CX374" s="1420"/>
      <c r="CY374" s="1368"/>
      <c r="CZ374" s="1368"/>
      <c r="DA374" s="1368"/>
      <c r="DB374" s="1369"/>
      <c r="DC374" s="1368"/>
      <c r="DD374" s="1368"/>
      <c r="DE374" s="1368"/>
      <c r="DF374" s="1368"/>
      <c r="DG374" s="1369"/>
      <c r="DH374" s="1420"/>
      <c r="DI374" s="1368"/>
      <c r="DJ374" s="1368"/>
      <c r="DK374" s="1368"/>
      <c r="DL374" s="1369"/>
      <c r="DM374" s="1808"/>
      <c r="DN374" s="1809"/>
      <c r="DO374" s="1809"/>
      <c r="DP374" s="1810"/>
      <c r="DQ374" s="1809"/>
      <c r="DR374" s="1809"/>
      <c r="DS374" s="1809"/>
      <c r="DT374" s="1810"/>
      <c r="DU374" s="1377"/>
      <c r="DV374" s="1729"/>
      <c r="DW374" s="1811"/>
    </row>
    <row r="375" spans="1:127" s="397" customFormat="1" ht="15.75" hidden="1" customHeight="1">
      <c r="A375" s="1097" t="s">
        <v>1036</v>
      </c>
      <c r="B375" s="1057">
        <v>366</v>
      </c>
      <c r="C375" s="1018"/>
      <c r="D375" s="1018"/>
      <c r="E375" s="1018"/>
      <c r="F375" s="1018"/>
      <c r="G375" s="1018"/>
      <c r="H375" s="1018"/>
      <c r="I375" s="1018"/>
      <c r="J375" s="1018"/>
      <c r="K375" s="1018"/>
      <c r="L375" s="1018"/>
      <c r="M375" s="1057"/>
      <c r="N375" s="1018"/>
      <c r="O375" s="1018"/>
      <c r="P375" s="1018"/>
      <c r="Q375" s="1018"/>
      <c r="R375" s="1018"/>
      <c r="S375" s="1018"/>
      <c r="T375" s="1019"/>
      <c r="U375" s="1098" t="s">
        <v>3501</v>
      </c>
      <c r="V375" s="1099" t="s">
        <v>2403</v>
      </c>
      <c r="W375" s="1099" t="s">
        <v>1907</v>
      </c>
      <c r="X375" s="1100" t="s">
        <v>3502</v>
      </c>
      <c r="Y375" s="1101" t="s">
        <v>3503</v>
      </c>
      <c r="Z375" s="1102" t="s">
        <v>3504</v>
      </c>
      <c r="AA375" s="1103" t="s">
        <v>1942</v>
      </c>
      <c r="AB375" s="1104" t="s">
        <v>1942</v>
      </c>
      <c r="AC375" s="1104">
        <v>1</v>
      </c>
      <c r="AD375" s="1104" t="s">
        <v>1942</v>
      </c>
      <c r="AE375" s="1104" t="s">
        <v>1942</v>
      </c>
      <c r="AF375" s="1104" t="s">
        <v>1942</v>
      </c>
      <c r="AG375" s="1104" t="s">
        <v>1942</v>
      </c>
      <c r="AH375" s="1104" t="s">
        <v>1942</v>
      </c>
      <c r="AI375" s="1105">
        <f t="shared" si="5"/>
        <v>1</v>
      </c>
      <c r="AJ375" s="1106" t="s">
        <v>1030</v>
      </c>
      <c r="AK375" s="1106" t="s">
        <v>1008</v>
      </c>
      <c r="AL375" s="1106" t="s">
        <v>1009</v>
      </c>
      <c r="AM375" s="1107" t="s">
        <v>2058</v>
      </c>
      <c r="AN375" s="1018" t="s">
        <v>1033</v>
      </c>
      <c r="AO375" s="1018" t="s">
        <v>3497</v>
      </c>
      <c r="AP375" s="1333">
        <v>0</v>
      </c>
      <c r="AQ375" s="1076" t="s">
        <v>1020</v>
      </c>
      <c r="AR375" s="1109" t="s">
        <v>1942</v>
      </c>
      <c r="AS375" s="1110"/>
      <c r="AT375" s="1100"/>
      <c r="AU375" s="1100"/>
      <c r="AV375" s="1100"/>
      <c r="AW375" s="1111"/>
      <c r="AX375" s="1112"/>
      <c r="AY375" s="1075"/>
      <c r="AZ375" s="1076"/>
      <c r="BA375" s="1076"/>
      <c r="BB375" s="1076"/>
      <c r="BC375" s="1076"/>
      <c r="BD375" s="1076"/>
      <c r="BE375" s="1076"/>
      <c r="BF375" s="1076"/>
      <c r="BG375" s="1076"/>
      <c r="BH375" s="1076"/>
      <c r="BI375" s="1420"/>
      <c r="BJ375" s="1368"/>
      <c r="BK375" s="1368"/>
      <c r="BL375" s="1368"/>
      <c r="BM375" s="1368"/>
      <c r="BN375" s="1075"/>
      <c r="BO375" s="1076"/>
      <c r="BP375" s="1076"/>
      <c r="BQ375" s="1076"/>
      <c r="BR375" s="1076"/>
      <c r="BS375" s="1115"/>
      <c r="BT375" s="1076"/>
      <c r="BU375" s="1076"/>
      <c r="BV375" s="1076"/>
      <c r="BW375" s="1116"/>
      <c r="BX375" s="1115"/>
      <c r="BY375" s="1076"/>
      <c r="BZ375" s="1076"/>
      <c r="CA375" s="1076"/>
      <c r="CB375" s="1116"/>
      <c r="CC375" s="1117"/>
      <c r="CD375" s="1376"/>
      <c r="CE375" s="1377"/>
      <c r="CF375" s="1377"/>
      <c r="CG375" s="1377"/>
      <c r="CH375" s="1440"/>
      <c r="CI375" s="1420"/>
      <c r="CJ375" s="1368"/>
      <c r="CK375" s="1368"/>
      <c r="CL375" s="1368"/>
      <c r="CM375" s="1369"/>
      <c r="CN375" s="1420"/>
      <c r="CO375" s="1368"/>
      <c r="CP375" s="1368"/>
      <c r="CQ375" s="1368"/>
      <c r="CR375" s="1369"/>
      <c r="CS375" s="1420"/>
      <c r="CT375" s="1368"/>
      <c r="CU375" s="1368"/>
      <c r="CV375" s="1368"/>
      <c r="CW375" s="1369"/>
      <c r="CX375" s="1420"/>
      <c r="CY375" s="1368"/>
      <c r="CZ375" s="1368"/>
      <c r="DA375" s="1368"/>
      <c r="DB375" s="1369"/>
      <c r="DC375" s="1368"/>
      <c r="DD375" s="1368"/>
      <c r="DE375" s="1368"/>
      <c r="DF375" s="1368"/>
      <c r="DG375" s="1369"/>
      <c r="DH375" s="1420"/>
      <c r="DI375" s="1368"/>
      <c r="DJ375" s="1368"/>
      <c r="DK375" s="1368"/>
      <c r="DL375" s="1369"/>
      <c r="DM375" s="1808"/>
      <c r="DN375" s="1809"/>
      <c r="DO375" s="1809"/>
      <c r="DP375" s="1810"/>
      <c r="DQ375" s="1809"/>
      <c r="DR375" s="1809"/>
      <c r="DS375" s="1809"/>
      <c r="DT375" s="1810"/>
      <c r="DU375" s="1377"/>
      <c r="DV375" s="1729"/>
      <c r="DW375" s="1811"/>
    </row>
    <row r="376" spans="1:127" s="397" customFormat="1" ht="15.75" hidden="1" customHeight="1">
      <c r="A376" s="1097" t="s">
        <v>1036</v>
      </c>
      <c r="B376" s="1057">
        <v>367</v>
      </c>
      <c r="C376" s="1018"/>
      <c r="D376" s="1018"/>
      <c r="E376" s="1018"/>
      <c r="F376" s="1018"/>
      <c r="G376" s="1018"/>
      <c r="H376" s="1018"/>
      <c r="I376" s="1018"/>
      <c r="J376" s="1018"/>
      <c r="K376" s="1018"/>
      <c r="L376" s="1018"/>
      <c r="M376" s="1057"/>
      <c r="N376" s="1018"/>
      <c r="O376" s="1018"/>
      <c r="P376" s="1018"/>
      <c r="Q376" s="1018"/>
      <c r="R376" s="1018"/>
      <c r="S376" s="1018"/>
      <c r="T376" s="1019"/>
      <c r="U376" s="1098" t="s">
        <v>3505</v>
      </c>
      <c r="V376" s="1099" t="s">
        <v>2403</v>
      </c>
      <c r="W376" s="1099" t="s">
        <v>1907</v>
      </c>
      <c r="X376" s="1100" t="s">
        <v>3506</v>
      </c>
      <c r="Y376" s="1101" t="s">
        <v>3507</v>
      </c>
      <c r="Z376" s="1102" t="s">
        <v>3508</v>
      </c>
      <c r="AA376" s="1103" t="s">
        <v>1942</v>
      </c>
      <c r="AB376" s="1104" t="s">
        <v>1942</v>
      </c>
      <c r="AC376" s="1104">
        <v>1</v>
      </c>
      <c r="AD376" s="1104" t="s">
        <v>1942</v>
      </c>
      <c r="AE376" s="1104" t="s">
        <v>1942</v>
      </c>
      <c r="AF376" s="1104" t="s">
        <v>1942</v>
      </c>
      <c r="AG376" s="1104" t="s">
        <v>1942</v>
      </c>
      <c r="AH376" s="1104" t="s">
        <v>1942</v>
      </c>
      <c r="AI376" s="1105">
        <f t="shared" si="5"/>
        <v>1</v>
      </c>
      <c r="AJ376" s="1106" t="s">
        <v>1030</v>
      </c>
      <c r="AK376" s="1106" t="s">
        <v>1008</v>
      </c>
      <c r="AL376" s="1106" t="s">
        <v>1009</v>
      </c>
      <c r="AM376" s="1107" t="s">
        <v>2058</v>
      </c>
      <c r="AN376" s="1018" t="s">
        <v>123</v>
      </c>
      <c r="AO376" s="1018" t="s">
        <v>3509</v>
      </c>
      <c r="AP376" s="1333">
        <v>3</v>
      </c>
      <c r="AQ376" s="1076" t="s">
        <v>1010</v>
      </c>
      <c r="AR376" s="1109" t="s">
        <v>1942</v>
      </c>
      <c r="AS376" s="1110"/>
      <c r="AT376" s="1100"/>
      <c r="AU376" s="1100"/>
      <c r="AV376" s="1100"/>
      <c r="AW376" s="1111"/>
      <c r="AX376" s="1112"/>
      <c r="AY376" s="1075"/>
      <c r="AZ376" s="1076"/>
      <c r="BA376" s="1076"/>
      <c r="BB376" s="1076"/>
      <c r="BC376" s="1076"/>
      <c r="BD376" s="1076"/>
      <c r="BE376" s="1076"/>
      <c r="BF376" s="1076"/>
      <c r="BG376" s="1076"/>
      <c r="BH376" s="1076"/>
      <c r="BI376" s="1420"/>
      <c r="BJ376" s="1368"/>
      <c r="BK376" s="1368"/>
      <c r="BL376" s="1368"/>
      <c r="BM376" s="1368"/>
      <c r="BN376" s="1075"/>
      <c r="BO376" s="1076"/>
      <c r="BP376" s="1076"/>
      <c r="BQ376" s="1076"/>
      <c r="BR376" s="1076"/>
      <c r="BS376" s="1115"/>
      <c r="BT376" s="1076"/>
      <c r="BU376" s="1076"/>
      <c r="BV376" s="1076"/>
      <c r="BW376" s="1116"/>
      <c r="BX376" s="1115"/>
      <c r="BY376" s="1076"/>
      <c r="BZ376" s="1076"/>
      <c r="CA376" s="1076"/>
      <c r="CB376" s="1116"/>
      <c r="CC376" s="1117"/>
      <c r="CD376" s="1376"/>
      <c r="CE376" s="1377"/>
      <c r="CF376" s="1377"/>
      <c r="CG376" s="1377"/>
      <c r="CH376" s="1440"/>
      <c r="CI376" s="1420"/>
      <c r="CJ376" s="1368"/>
      <c r="CK376" s="1368"/>
      <c r="CL376" s="1368"/>
      <c r="CM376" s="1369"/>
      <c r="CN376" s="1420"/>
      <c r="CO376" s="1368"/>
      <c r="CP376" s="1368"/>
      <c r="CQ376" s="1368"/>
      <c r="CR376" s="1369"/>
      <c r="CS376" s="1420"/>
      <c r="CT376" s="1368"/>
      <c r="CU376" s="1368"/>
      <c r="CV376" s="1368"/>
      <c r="CW376" s="1369"/>
      <c r="CX376" s="1420"/>
      <c r="CY376" s="1368"/>
      <c r="CZ376" s="1368"/>
      <c r="DA376" s="1368"/>
      <c r="DB376" s="1369"/>
      <c r="DC376" s="1368"/>
      <c r="DD376" s="1368"/>
      <c r="DE376" s="1368"/>
      <c r="DF376" s="1368"/>
      <c r="DG376" s="1369"/>
      <c r="DH376" s="1420"/>
      <c r="DI376" s="1368"/>
      <c r="DJ376" s="1368"/>
      <c r="DK376" s="1368"/>
      <c r="DL376" s="1369"/>
      <c r="DM376" s="1808"/>
      <c r="DN376" s="1809"/>
      <c r="DO376" s="1809"/>
      <c r="DP376" s="1810"/>
      <c r="DQ376" s="1809"/>
      <c r="DR376" s="1809"/>
      <c r="DS376" s="1809"/>
      <c r="DT376" s="1810"/>
      <c r="DU376" s="1377"/>
      <c r="DV376" s="1729"/>
      <c r="DW376" s="1811"/>
    </row>
    <row r="377" spans="1:127" s="397" customFormat="1" ht="15.75" hidden="1" customHeight="1">
      <c r="A377" s="1097" t="s">
        <v>1036</v>
      </c>
      <c r="B377" s="1057">
        <v>368</v>
      </c>
      <c r="C377" s="1018"/>
      <c r="D377" s="1018"/>
      <c r="E377" s="1018"/>
      <c r="F377" s="1018"/>
      <c r="G377" s="1018"/>
      <c r="H377" s="1018"/>
      <c r="I377" s="1018"/>
      <c r="J377" s="1018"/>
      <c r="K377" s="1018"/>
      <c r="L377" s="1018"/>
      <c r="M377" s="1057"/>
      <c r="N377" s="1018"/>
      <c r="O377" s="1018"/>
      <c r="P377" s="1018"/>
      <c r="Q377" s="1018"/>
      <c r="R377" s="1018"/>
      <c r="S377" s="1018"/>
      <c r="T377" s="1019"/>
      <c r="U377" s="1098" t="s">
        <v>3510</v>
      </c>
      <c r="V377" s="1099" t="s">
        <v>2403</v>
      </c>
      <c r="W377" s="1099" t="s">
        <v>1889</v>
      </c>
      <c r="X377" s="1100" t="s">
        <v>3511</v>
      </c>
      <c r="Y377" s="1101" t="s">
        <v>3512</v>
      </c>
      <c r="Z377" s="1102" t="s">
        <v>3513</v>
      </c>
      <c r="AA377" s="1103" t="s">
        <v>1942</v>
      </c>
      <c r="AB377" s="1104" t="s">
        <v>1942</v>
      </c>
      <c r="AC377" s="1104">
        <v>1</v>
      </c>
      <c r="AD377" s="1104" t="s">
        <v>1942</v>
      </c>
      <c r="AE377" s="1104" t="s">
        <v>1942</v>
      </c>
      <c r="AF377" s="1104" t="s">
        <v>1942</v>
      </c>
      <c r="AG377" s="1104" t="s">
        <v>1942</v>
      </c>
      <c r="AH377" s="1104" t="s">
        <v>1942</v>
      </c>
      <c r="AI377" s="1105">
        <f t="shared" si="5"/>
        <v>1</v>
      </c>
      <c r="AJ377" s="1106" t="s">
        <v>1030</v>
      </c>
      <c r="AK377" s="1106" t="s">
        <v>1008</v>
      </c>
      <c r="AL377" s="1106" t="s">
        <v>4861</v>
      </c>
      <c r="AM377" s="1107" t="s">
        <v>2058</v>
      </c>
      <c r="AN377" s="1018" t="s">
        <v>1033</v>
      </c>
      <c r="AO377" s="1018" t="s">
        <v>3514</v>
      </c>
      <c r="AP377" s="1333">
        <v>0</v>
      </c>
      <c r="AQ377" s="1076" t="s">
        <v>1010</v>
      </c>
      <c r="AR377" s="1109" t="s">
        <v>1942</v>
      </c>
      <c r="AS377" s="1110"/>
      <c r="AT377" s="1100"/>
      <c r="AU377" s="1100"/>
      <c r="AV377" s="1100"/>
      <c r="AW377" s="1111"/>
      <c r="AX377" s="1112"/>
      <c r="AY377" s="1075"/>
      <c r="AZ377" s="1076"/>
      <c r="BA377" s="1076"/>
      <c r="BB377" s="1076"/>
      <c r="BC377" s="1076"/>
      <c r="BD377" s="1076"/>
      <c r="BE377" s="1076"/>
      <c r="BF377" s="1076"/>
      <c r="BG377" s="1076"/>
      <c r="BH377" s="1076"/>
      <c r="BI377" s="1420"/>
      <c r="BJ377" s="1368"/>
      <c r="BK377" s="1368"/>
      <c r="BL377" s="1368"/>
      <c r="BM377" s="1368"/>
      <c r="BN377" s="1075"/>
      <c r="BO377" s="1076"/>
      <c r="BP377" s="1076"/>
      <c r="BQ377" s="1076"/>
      <c r="BR377" s="1076"/>
      <c r="BS377" s="1115"/>
      <c r="BT377" s="1076"/>
      <c r="BU377" s="1076"/>
      <c r="BV377" s="1076"/>
      <c r="BW377" s="1116"/>
      <c r="BX377" s="1115"/>
      <c r="BY377" s="1076"/>
      <c r="BZ377" s="1076"/>
      <c r="CA377" s="1076"/>
      <c r="CB377" s="1116"/>
      <c r="CC377" s="1117"/>
      <c r="CD377" s="1376"/>
      <c r="CE377" s="1377"/>
      <c r="CF377" s="1377"/>
      <c r="CG377" s="1377"/>
      <c r="CH377" s="1440"/>
      <c r="CI377" s="1420"/>
      <c r="CJ377" s="1368"/>
      <c r="CK377" s="1368"/>
      <c r="CL377" s="1368"/>
      <c r="CM377" s="1369"/>
      <c r="CN377" s="1420"/>
      <c r="CO377" s="1368"/>
      <c r="CP377" s="1368"/>
      <c r="CQ377" s="1368"/>
      <c r="CR377" s="1369"/>
      <c r="CS377" s="1420"/>
      <c r="CT377" s="1368"/>
      <c r="CU377" s="1368"/>
      <c r="CV377" s="1368"/>
      <c r="CW377" s="1369"/>
      <c r="CX377" s="1420"/>
      <c r="CY377" s="1368"/>
      <c r="CZ377" s="1368"/>
      <c r="DA377" s="1368"/>
      <c r="DB377" s="1369"/>
      <c r="DC377" s="1368"/>
      <c r="DD377" s="1368"/>
      <c r="DE377" s="1368"/>
      <c r="DF377" s="1368"/>
      <c r="DG377" s="1369"/>
      <c r="DH377" s="1420"/>
      <c r="DI377" s="1368"/>
      <c r="DJ377" s="1368"/>
      <c r="DK377" s="1368"/>
      <c r="DL377" s="1369"/>
      <c r="DM377" s="1808"/>
      <c r="DN377" s="1809"/>
      <c r="DO377" s="1809"/>
      <c r="DP377" s="1810"/>
      <c r="DQ377" s="1809"/>
      <c r="DR377" s="1809"/>
      <c r="DS377" s="1809"/>
      <c r="DT377" s="1810"/>
      <c r="DU377" s="1377"/>
      <c r="DV377" s="1729"/>
      <c r="DW377" s="1811"/>
    </row>
    <row r="378" spans="1:127" s="397" customFormat="1" ht="15.75" hidden="1" customHeight="1">
      <c r="A378" s="1097" t="s">
        <v>1036</v>
      </c>
      <c r="B378" s="1057">
        <v>369</v>
      </c>
      <c r="C378" s="1018"/>
      <c r="D378" s="1018"/>
      <c r="E378" s="1018"/>
      <c r="F378" s="1018"/>
      <c r="G378" s="1018"/>
      <c r="H378" s="1018"/>
      <c r="I378" s="1018"/>
      <c r="J378" s="1018"/>
      <c r="K378" s="1018"/>
      <c r="L378" s="1018"/>
      <c r="M378" s="1057"/>
      <c r="N378" s="1018"/>
      <c r="O378" s="1018"/>
      <c r="P378" s="1018"/>
      <c r="Q378" s="1018"/>
      <c r="R378" s="1018"/>
      <c r="S378" s="1018"/>
      <c r="T378" s="1019"/>
      <c r="U378" s="1098" t="s">
        <v>3515</v>
      </c>
      <c r="V378" s="1099" t="s">
        <v>2348</v>
      </c>
      <c r="W378" s="1099" t="s">
        <v>1889</v>
      </c>
      <c r="X378" s="1100" t="s">
        <v>3516</v>
      </c>
      <c r="Y378" s="1101" t="s">
        <v>137</v>
      </c>
      <c r="Z378" s="1102" t="s">
        <v>2350</v>
      </c>
      <c r="AA378" s="1103" t="s">
        <v>1942</v>
      </c>
      <c r="AB378" s="1104">
        <v>1</v>
      </c>
      <c r="AC378" s="1104" t="s">
        <v>1942</v>
      </c>
      <c r="AD378" s="1104" t="s">
        <v>1942</v>
      </c>
      <c r="AE378" s="1104" t="s">
        <v>1942</v>
      </c>
      <c r="AF378" s="1104" t="s">
        <v>1942</v>
      </c>
      <c r="AG378" s="1104" t="s">
        <v>1942</v>
      </c>
      <c r="AH378" s="1104" t="s">
        <v>1942</v>
      </c>
      <c r="AI378" s="1105">
        <f t="shared" si="5"/>
        <v>1</v>
      </c>
      <c r="AJ378" s="1106" t="s">
        <v>1030</v>
      </c>
      <c r="AK378" s="1106" t="s">
        <v>1008</v>
      </c>
      <c r="AL378" s="1106" t="s">
        <v>1009</v>
      </c>
      <c r="AM378" s="1107" t="s">
        <v>1892</v>
      </c>
      <c r="AN378" s="1018" t="s">
        <v>4789</v>
      </c>
      <c r="AO378" s="1018" t="s">
        <v>4790</v>
      </c>
      <c r="AP378" s="1307">
        <v>0</v>
      </c>
      <c r="AQ378" s="1076" t="s">
        <v>1020</v>
      </c>
      <c r="AR378" s="1109" t="s">
        <v>137</v>
      </c>
      <c r="AS378" s="1110"/>
      <c r="AT378" s="1100"/>
      <c r="AU378" s="1100"/>
      <c r="AV378" s="1100"/>
      <c r="AW378" s="1111"/>
      <c r="AX378" s="1112"/>
      <c r="AY378" s="1075"/>
      <c r="AZ378" s="1076"/>
      <c r="BA378" s="1076"/>
      <c r="BB378" s="1076"/>
      <c r="BC378" s="1076"/>
      <c r="BD378" s="1076"/>
      <c r="BE378" s="1076"/>
      <c r="BF378" s="1076"/>
      <c r="BG378" s="1150"/>
      <c r="BH378" s="1150"/>
      <c r="BI378" s="1149">
        <v>4.5138888888888893E-3</v>
      </c>
      <c r="BJ378" s="1150">
        <v>4.2592592592592595E-3</v>
      </c>
      <c r="BK378" s="1150">
        <v>3.9930555555555561E-3</v>
      </c>
      <c r="BL378" s="1150">
        <v>3.7384259259259263E-3</v>
      </c>
      <c r="BM378" s="1150">
        <v>3.472222222222222E-3</v>
      </c>
      <c r="BN378" s="1075"/>
      <c r="BO378" s="1076"/>
      <c r="BP378" s="1076"/>
      <c r="BQ378" s="1076"/>
      <c r="BR378" s="1076"/>
      <c r="BS378" s="1115"/>
      <c r="BT378" s="1076"/>
      <c r="BU378" s="1076"/>
      <c r="BV378" s="1076"/>
      <c r="BW378" s="1116"/>
      <c r="BX378" s="1115"/>
      <c r="BY378" s="1076"/>
      <c r="BZ378" s="1076"/>
      <c r="CA378" s="1076"/>
      <c r="CB378" s="1116"/>
      <c r="CC378" s="1117"/>
      <c r="CD378" s="1118" t="s">
        <v>168</v>
      </c>
      <c r="CE378" s="1119" t="s">
        <v>168</v>
      </c>
      <c r="CF378" s="1119" t="s">
        <v>168</v>
      </c>
      <c r="CG378" s="1119" t="s">
        <v>168</v>
      </c>
      <c r="CH378" s="1120" t="s">
        <v>168</v>
      </c>
      <c r="CI378" s="1149" t="s">
        <v>1942</v>
      </c>
      <c r="CJ378" s="1150" t="s">
        <v>1942</v>
      </c>
      <c r="CK378" s="1150" t="s">
        <v>1942</v>
      </c>
      <c r="CL378" s="1150" t="s">
        <v>1942</v>
      </c>
      <c r="CM378" s="1153" t="s">
        <v>1942</v>
      </c>
      <c r="CN378" s="1149">
        <v>1.5798611111111114E-2</v>
      </c>
      <c r="CO378" s="1150">
        <v>1.5798611111111114E-2</v>
      </c>
      <c r="CP378" s="1150">
        <v>1.5798611111111114E-2</v>
      </c>
      <c r="CQ378" s="1150">
        <v>1.5798611111111114E-2</v>
      </c>
      <c r="CR378" s="1153">
        <v>1.5798611111111114E-2</v>
      </c>
      <c r="CS378" s="1149" t="s">
        <v>1942</v>
      </c>
      <c r="CT378" s="1150" t="s">
        <v>1942</v>
      </c>
      <c r="CU378" s="1150" t="s">
        <v>1942</v>
      </c>
      <c r="CV378" s="1150" t="s">
        <v>1942</v>
      </c>
      <c r="CW378" s="1153" t="s">
        <v>1942</v>
      </c>
      <c r="CX378" s="1149" t="s">
        <v>1942</v>
      </c>
      <c r="CY378" s="1150" t="s">
        <v>1942</v>
      </c>
      <c r="CZ378" s="1150" t="s">
        <v>1942</v>
      </c>
      <c r="DA378" s="1150" t="s">
        <v>1942</v>
      </c>
      <c r="DB378" s="1153" t="s">
        <v>1942</v>
      </c>
      <c r="DC378" s="1150">
        <v>2.4305555555555556E-3</v>
      </c>
      <c r="DD378" s="1150">
        <v>2.3263888888888891E-3</v>
      </c>
      <c r="DE378" s="1150">
        <v>2.2106481481481491E-3</v>
      </c>
      <c r="DF378" s="1150">
        <v>2.1064814814814817E-3</v>
      </c>
      <c r="DG378" s="1153">
        <v>2.0138888888888888E-3</v>
      </c>
      <c r="DH378" s="1149" t="s">
        <v>1942</v>
      </c>
      <c r="DI378" s="1150" t="s">
        <v>1942</v>
      </c>
      <c r="DJ378" s="1150" t="s">
        <v>1942</v>
      </c>
      <c r="DK378" s="1150" t="s">
        <v>1942</v>
      </c>
      <c r="DL378" s="1153" t="s">
        <v>1942</v>
      </c>
      <c r="DM378" s="1121">
        <v>-1.081</v>
      </c>
      <c r="DN378" s="1122" t="s">
        <v>1942</v>
      </c>
      <c r="DO378" s="1122" t="s">
        <v>1942</v>
      </c>
      <c r="DP378" s="1123" t="s">
        <v>1942</v>
      </c>
      <c r="DQ378" s="1122">
        <v>1.081</v>
      </c>
      <c r="DR378" s="1122" t="s">
        <v>1942</v>
      </c>
      <c r="DS378" s="1122" t="s">
        <v>1942</v>
      </c>
      <c r="DT378" s="1123" t="s">
        <v>1942</v>
      </c>
      <c r="DU378" s="1119" t="s">
        <v>1942</v>
      </c>
      <c r="DV378" s="1124">
        <v>1</v>
      </c>
      <c r="DW378" s="1125" t="s">
        <v>1942</v>
      </c>
    </row>
    <row r="379" spans="1:127" s="397" customFormat="1" ht="15.75" hidden="1" customHeight="1">
      <c r="A379" s="1054" t="s">
        <v>1036</v>
      </c>
      <c r="B379" s="1055">
        <v>370</v>
      </c>
      <c r="C379" s="1143"/>
      <c r="D379" s="1143"/>
      <c r="E379" s="1143"/>
      <c r="F379" s="1143"/>
      <c r="G379" s="1143"/>
      <c r="H379" s="1143"/>
      <c r="I379" s="1143"/>
      <c r="J379" s="1143"/>
      <c r="K379" s="1143"/>
      <c r="L379" s="1143"/>
      <c r="M379" s="1055"/>
      <c r="N379" s="1143"/>
      <c r="O379" s="1143"/>
      <c r="P379" s="1143"/>
      <c r="Q379" s="1143"/>
      <c r="R379" s="1143"/>
      <c r="S379" s="1143"/>
      <c r="T379" s="1058"/>
      <c r="U379" s="1059" t="s">
        <v>3517</v>
      </c>
      <c r="V379" s="1060" t="s">
        <v>2348</v>
      </c>
      <c r="W379" s="1060" t="s">
        <v>1889</v>
      </c>
      <c r="X379" s="1061" t="s">
        <v>3518</v>
      </c>
      <c r="Y379" s="1062" t="s">
        <v>669</v>
      </c>
      <c r="Z379" s="1063" t="s">
        <v>2354</v>
      </c>
      <c r="AA379" s="1064" t="s">
        <v>1942</v>
      </c>
      <c r="AB379" s="1065">
        <v>1</v>
      </c>
      <c r="AC379" s="1065" t="s">
        <v>1942</v>
      </c>
      <c r="AD379" s="1065" t="s">
        <v>1942</v>
      </c>
      <c r="AE379" s="1065" t="s">
        <v>1942</v>
      </c>
      <c r="AF379" s="1065" t="s">
        <v>1942</v>
      </c>
      <c r="AG379" s="1065" t="s">
        <v>1942</v>
      </c>
      <c r="AH379" s="1065" t="s">
        <v>1942</v>
      </c>
      <c r="AI379" s="1066">
        <f t="shared" si="5"/>
        <v>1</v>
      </c>
      <c r="AJ379" s="1067" t="s">
        <v>1030</v>
      </c>
      <c r="AK379" s="1067" t="s">
        <v>1008</v>
      </c>
      <c r="AL379" s="1067" t="s">
        <v>1009</v>
      </c>
      <c r="AM379" s="1068" t="s">
        <v>669</v>
      </c>
      <c r="AN379" s="1062" t="s">
        <v>278</v>
      </c>
      <c r="AO379" s="1062" t="s">
        <v>4791</v>
      </c>
      <c r="AP379" s="1307">
        <v>1</v>
      </c>
      <c r="AQ379" s="833" t="s">
        <v>1010</v>
      </c>
      <c r="AR379" s="1071" t="s">
        <v>669</v>
      </c>
      <c r="AS379" s="1072"/>
      <c r="AT379" s="1061"/>
      <c r="AU379" s="1061"/>
      <c r="AV379" s="1061"/>
      <c r="AW379" s="1073"/>
      <c r="AX379" s="1074"/>
      <c r="AY379" s="1079"/>
      <c r="AZ379" s="1080"/>
      <c r="BA379" s="1080"/>
      <c r="BB379" s="1080"/>
      <c r="BC379" s="1080"/>
      <c r="BD379" s="1080"/>
      <c r="BE379" s="1080"/>
      <c r="BF379" s="1080"/>
      <c r="BG379" s="1077"/>
      <c r="BH379" s="1077"/>
      <c r="BI379" s="1078">
        <v>1.4</v>
      </c>
      <c r="BJ379" s="1077">
        <v>2.9</v>
      </c>
      <c r="BK379" s="1077">
        <v>5.7</v>
      </c>
      <c r="BL379" s="1077">
        <v>10.5</v>
      </c>
      <c r="BM379" s="1077">
        <v>14.3</v>
      </c>
      <c r="BN379" s="1079"/>
      <c r="BO379" s="1080"/>
      <c r="BP379" s="1080"/>
      <c r="BQ379" s="1080"/>
      <c r="BR379" s="1080"/>
      <c r="BS379" s="1081"/>
      <c r="BT379" s="1080"/>
      <c r="BU379" s="1080"/>
      <c r="BV379" s="1080"/>
      <c r="BW379" s="1082"/>
      <c r="BX379" s="1081"/>
      <c r="BY379" s="1080"/>
      <c r="BZ379" s="1080"/>
      <c r="CA379" s="1080"/>
      <c r="CB379" s="1082"/>
      <c r="CC379" s="1083"/>
      <c r="CD379" s="1084" t="s">
        <v>168</v>
      </c>
      <c r="CE379" s="1085" t="s">
        <v>168</v>
      </c>
      <c r="CF379" s="1085" t="s">
        <v>168</v>
      </c>
      <c r="CG379" s="1085" t="s">
        <v>168</v>
      </c>
      <c r="CH379" s="1086" t="s">
        <v>168</v>
      </c>
      <c r="CI379" s="1089" t="s">
        <v>1942</v>
      </c>
      <c r="CJ379" s="1087" t="s">
        <v>1942</v>
      </c>
      <c r="CK379" s="1087" t="s">
        <v>1942</v>
      </c>
      <c r="CL379" s="1087" t="s">
        <v>1942</v>
      </c>
      <c r="CM379" s="1088" t="s">
        <v>1942</v>
      </c>
      <c r="CN379" s="1089" t="s">
        <v>1942</v>
      </c>
      <c r="CO379" s="1087" t="s">
        <v>1942</v>
      </c>
      <c r="CP379" s="1087" t="s">
        <v>1942</v>
      </c>
      <c r="CQ379" s="1087" t="s">
        <v>1942</v>
      </c>
      <c r="CR379" s="1088" t="s">
        <v>1942</v>
      </c>
      <c r="CS379" s="1079" t="s">
        <v>1942</v>
      </c>
      <c r="CT379" s="1080" t="s">
        <v>1942</v>
      </c>
      <c r="CU379" s="1080" t="s">
        <v>1942</v>
      </c>
      <c r="CV379" s="1080" t="s">
        <v>1942</v>
      </c>
      <c r="CW379" s="1083" t="s">
        <v>1942</v>
      </c>
      <c r="CX379" s="1079" t="s">
        <v>1942</v>
      </c>
      <c r="CY379" s="1080" t="s">
        <v>1942</v>
      </c>
      <c r="CZ379" s="1080" t="s">
        <v>1942</v>
      </c>
      <c r="DA379" s="1080" t="s">
        <v>1942</v>
      </c>
      <c r="DB379" s="1083" t="s">
        <v>1942</v>
      </c>
      <c r="DC379" s="1090" t="s">
        <v>1942</v>
      </c>
      <c r="DD379" s="1087" t="s">
        <v>1942</v>
      </c>
      <c r="DE379" s="1087" t="s">
        <v>1942</v>
      </c>
      <c r="DF379" s="1087" t="s">
        <v>1942</v>
      </c>
      <c r="DG379" s="1088" t="s">
        <v>1942</v>
      </c>
      <c r="DH379" s="1089" t="s">
        <v>1942</v>
      </c>
      <c r="DI379" s="1080" t="s">
        <v>1942</v>
      </c>
      <c r="DJ379" s="1080" t="s">
        <v>1942</v>
      </c>
      <c r="DK379" s="1080" t="s">
        <v>1942</v>
      </c>
      <c r="DL379" s="1083" t="s">
        <v>1942</v>
      </c>
      <c r="DM379" s="1091">
        <v>-0.32500000000000001</v>
      </c>
      <c r="DN379" s="1092" t="s">
        <v>1942</v>
      </c>
      <c r="DO379" s="1092" t="s">
        <v>1942</v>
      </c>
      <c r="DP379" s="1093" t="s">
        <v>1942</v>
      </c>
      <c r="DQ379" s="1092">
        <v>0.32500000000000001</v>
      </c>
      <c r="DR379" s="1092" t="s">
        <v>1942</v>
      </c>
      <c r="DS379" s="1092" t="s">
        <v>1942</v>
      </c>
      <c r="DT379" s="1093" t="s">
        <v>1942</v>
      </c>
      <c r="DU379" s="1085" t="s">
        <v>1942</v>
      </c>
      <c r="DV379" s="1094">
        <v>1</v>
      </c>
      <c r="DW379" s="1095" t="s">
        <v>1942</v>
      </c>
    </row>
    <row r="380" spans="1:127" s="397" customFormat="1" ht="15.75" hidden="1" customHeight="1">
      <c r="A380" s="1054" t="s">
        <v>1036</v>
      </c>
      <c r="B380" s="1055">
        <v>371</v>
      </c>
      <c r="C380" s="1143"/>
      <c r="D380" s="1143"/>
      <c r="E380" s="1143"/>
      <c r="F380" s="1143"/>
      <c r="G380" s="1143"/>
      <c r="H380" s="1143"/>
      <c r="I380" s="1143"/>
      <c r="J380" s="1143"/>
      <c r="K380" s="1143"/>
      <c r="L380" s="1143"/>
      <c r="M380" s="1055"/>
      <c r="N380" s="1143"/>
      <c r="O380" s="1143"/>
      <c r="P380" s="1143"/>
      <c r="Q380" s="1143"/>
      <c r="R380" s="1143"/>
      <c r="S380" s="1143"/>
      <c r="T380" s="1058"/>
      <c r="U380" s="1059" t="s">
        <v>3519</v>
      </c>
      <c r="V380" s="1060" t="s">
        <v>2348</v>
      </c>
      <c r="W380" s="1060" t="s">
        <v>1907</v>
      </c>
      <c r="X380" s="1061" t="s">
        <v>3520</v>
      </c>
      <c r="Y380" s="1062" t="s">
        <v>1902</v>
      </c>
      <c r="Z380" s="1063" t="s">
        <v>2357</v>
      </c>
      <c r="AA380" s="1064">
        <v>1</v>
      </c>
      <c r="AB380" s="1065" t="s">
        <v>1942</v>
      </c>
      <c r="AC380" s="1065" t="s">
        <v>1942</v>
      </c>
      <c r="AD380" s="1065" t="s">
        <v>1942</v>
      </c>
      <c r="AE380" s="1065" t="s">
        <v>1942</v>
      </c>
      <c r="AF380" s="1065" t="s">
        <v>1942</v>
      </c>
      <c r="AG380" s="1065" t="s">
        <v>1942</v>
      </c>
      <c r="AH380" s="1065" t="s">
        <v>1942</v>
      </c>
      <c r="AI380" s="1066">
        <f t="shared" si="5"/>
        <v>1</v>
      </c>
      <c r="AJ380" s="1067" t="s">
        <v>1026</v>
      </c>
      <c r="AK380" s="1067" t="s">
        <v>1008</v>
      </c>
      <c r="AL380" s="1440" t="s">
        <v>1019</v>
      </c>
      <c r="AM380" s="1068" t="s">
        <v>2054</v>
      </c>
      <c r="AN380" s="1062" t="s">
        <v>2118</v>
      </c>
      <c r="AO380" s="1062" t="s">
        <v>4791</v>
      </c>
      <c r="AP380" s="1307">
        <v>1</v>
      </c>
      <c r="AQ380" s="833" t="s">
        <v>1010</v>
      </c>
      <c r="AR380" s="1071" t="s">
        <v>1902</v>
      </c>
      <c r="AS380" s="1072"/>
      <c r="AT380" s="1061"/>
      <c r="AU380" s="1061"/>
      <c r="AV380" s="1061"/>
      <c r="AW380" s="1073"/>
      <c r="AX380" s="1074"/>
      <c r="AY380" s="1079"/>
      <c r="AZ380" s="1080"/>
      <c r="BA380" s="1080"/>
      <c r="BB380" s="1080"/>
      <c r="BC380" s="1080"/>
      <c r="BD380" s="1080"/>
      <c r="BE380" s="1080"/>
      <c r="BF380" s="1080"/>
      <c r="BG380" s="1077"/>
      <c r="BH380" s="1077"/>
      <c r="BI380" s="1078">
        <v>0.7</v>
      </c>
      <c r="BJ380" s="1077">
        <v>1.4</v>
      </c>
      <c r="BK380" s="1077">
        <v>2.1</v>
      </c>
      <c r="BL380" s="1077">
        <v>2.8</v>
      </c>
      <c r="BM380" s="1077">
        <v>3.5</v>
      </c>
      <c r="BN380" s="1079"/>
      <c r="BO380" s="1080"/>
      <c r="BP380" s="1080"/>
      <c r="BQ380" s="1080"/>
      <c r="BR380" s="1080"/>
      <c r="BS380" s="1081"/>
      <c r="BT380" s="1080"/>
      <c r="BU380" s="1080"/>
      <c r="BV380" s="1080"/>
      <c r="BW380" s="1082"/>
      <c r="BX380" s="1081"/>
      <c r="BY380" s="1080"/>
      <c r="BZ380" s="1080"/>
      <c r="CA380" s="1080"/>
      <c r="CB380" s="1082"/>
      <c r="CC380" s="1083"/>
      <c r="CD380" s="1084" t="s">
        <v>168</v>
      </c>
      <c r="CE380" s="1085" t="s">
        <v>168</v>
      </c>
      <c r="CF380" s="1085" t="s">
        <v>168</v>
      </c>
      <c r="CG380" s="1085" t="s">
        <v>168</v>
      </c>
      <c r="CH380" s="1086" t="s">
        <v>168</v>
      </c>
      <c r="CI380" s="1089" t="s">
        <v>1942</v>
      </c>
      <c r="CJ380" s="1087" t="s">
        <v>1942</v>
      </c>
      <c r="CK380" s="1087" t="s">
        <v>1942</v>
      </c>
      <c r="CL380" s="1087" t="s">
        <v>1942</v>
      </c>
      <c r="CM380" s="1088" t="s">
        <v>1942</v>
      </c>
      <c r="CN380" s="1089" t="s">
        <v>1942</v>
      </c>
      <c r="CO380" s="1087" t="s">
        <v>1942</v>
      </c>
      <c r="CP380" s="1087" t="s">
        <v>1942</v>
      </c>
      <c r="CQ380" s="1087" t="s">
        <v>1942</v>
      </c>
      <c r="CR380" s="1088" t="s">
        <v>1942</v>
      </c>
      <c r="CS380" s="1079" t="s">
        <v>1942</v>
      </c>
      <c r="CT380" s="1080" t="s">
        <v>1942</v>
      </c>
      <c r="CU380" s="1080" t="s">
        <v>1942</v>
      </c>
      <c r="CV380" s="1080" t="s">
        <v>1942</v>
      </c>
      <c r="CW380" s="1083" t="s">
        <v>1942</v>
      </c>
      <c r="CX380" s="1079" t="s">
        <v>1942</v>
      </c>
      <c r="CY380" s="1080" t="s">
        <v>1942</v>
      </c>
      <c r="CZ380" s="1080" t="s">
        <v>1942</v>
      </c>
      <c r="DA380" s="1080" t="s">
        <v>1942</v>
      </c>
      <c r="DB380" s="1083" t="s">
        <v>1942</v>
      </c>
      <c r="DC380" s="1087" t="s">
        <v>1942</v>
      </c>
      <c r="DD380" s="1087" t="s">
        <v>1942</v>
      </c>
      <c r="DE380" s="1087" t="s">
        <v>1942</v>
      </c>
      <c r="DF380" s="1087" t="s">
        <v>1942</v>
      </c>
      <c r="DG380" s="1088" t="s">
        <v>1942</v>
      </c>
      <c r="DH380" s="1089" t="s">
        <v>1942</v>
      </c>
      <c r="DI380" s="1080" t="s">
        <v>1942</v>
      </c>
      <c r="DJ380" s="1080" t="s">
        <v>1942</v>
      </c>
      <c r="DK380" s="1080" t="s">
        <v>1942</v>
      </c>
      <c r="DL380" s="1083" t="s">
        <v>1942</v>
      </c>
      <c r="DM380" s="1091">
        <v>-0.35</v>
      </c>
      <c r="DN380" s="1092" t="s">
        <v>1942</v>
      </c>
      <c r="DO380" s="1092" t="s">
        <v>1942</v>
      </c>
      <c r="DP380" s="1093" t="s">
        <v>1942</v>
      </c>
      <c r="DQ380" s="1092" t="s">
        <v>1942</v>
      </c>
      <c r="DR380" s="1092" t="s">
        <v>1942</v>
      </c>
      <c r="DS380" s="1092" t="s">
        <v>1942</v>
      </c>
      <c r="DT380" s="1093" t="s">
        <v>1942</v>
      </c>
      <c r="DU380" s="1085" t="s">
        <v>1942</v>
      </c>
      <c r="DV380" s="1094">
        <v>1</v>
      </c>
      <c r="DW380" s="1095" t="s">
        <v>1942</v>
      </c>
    </row>
    <row r="381" spans="1:127" s="397" customFormat="1" ht="15.75" hidden="1" customHeight="1">
      <c r="A381" s="1097" t="s">
        <v>1036</v>
      </c>
      <c r="B381" s="1057">
        <v>372</v>
      </c>
      <c r="C381" s="1018"/>
      <c r="D381" s="1018"/>
      <c r="E381" s="1018"/>
      <c r="F381" s="1018"/>
      <c r="G381" s="1018"/>
      <c r="H381" s="1018"/>
      <c r="I381" s="1018"/>
      <c r="J381" s="1018"/>
      <c r="K381" s="1018"/>
      <c r="L381" s="1018"/>
      <c r="M381" s="1057"/>
      <c r="N381" s="1018"/>
      <c r="O381" s="1018"/>
      <c r="P381" s="1018"/>
      <c r="Q381" s="1018"/>
      <c r="R381" s="1018"/>
      <c r="S381" s="1018"/>
      <c r="T381" s="1019"/>
      <c r="U381" s="1098" t="s">
        <v>3521</v>
      </c>
      <c r="V381" s="1099" t="s">
        <v>2348</v>
      </c>
      <c r="W381" s="1099" t="s">
        <v>3522</v>
      </c>
      <c r="X381" s="1100" t="s">
        <v>3523</v>
      </c>
      <c r="Y381" s="1101" t="s">
        <v>161</v>
      </c>
      <c r="Z381" s="1102" t="s">
        <v>2365</v>
      </c>
      <c r="AA381" s="1103" t="s">
        <v>1942</v>
      </c>
      <c r="AB381" s="1104">
        <v>1</v>
      </c>
      <c r="AC381" s="1104" t="s">
        <v>1942</v>
      </c>
      <c r="AD381" s="1104" t="s">
        <v>1942</v>
      </c>
      <c r="AE381" s="1104" t="s">
        <v>1942</v>
      </c>
      <c r="AF381" s="1104" t="s">
        <v>1942</v>
      </c>
      <c r="AG381" s="1104" t="s">
        <v>1942</v>
      </c>
      <c r="AH381" s="1104" t="s">
        <v>1942</v>
      </c>
      <c r="AI381" s="1105">
        <f t="shared" si="5"/>
        <v>1</v>
      </c>
      <c r="AJ381" s="1106" t="s">
        <v>1030</v>
      </c>
      <c r="AK381" s="1106" t="s">
        <v>1008</v>
      </c>
      <c r="AL381" s="1106" t="s">
        <v>1009</v>
      </c>
      <c r="AM381" s="1107" t="s">
        <v>2074</v>
      </c>
      <c r="AN381" s="1018" t="s">
        <v>2177</v>
      </c>
      <c r="AO381" s="1018" t="s">
        <v>4794</v>
      </c>
      <c r="AP381" s="1307">
        <v>1</v>
      </c>
      <c r="AQ381" s="1076" t="s">
        <v>1020</v>
      </c>
      <c r="AR381" s="1109" t="s">
        <v>161</v>
      </c>
      <c r="AS381" s="1110"/>
      <c r="AT381" s="1100"/>
      <c r="AU381" s="1100"/>
      <c r="AV381" s="1100"/>
      <c r="AW381" s="1111"/>
      <c r="AX381" s="1112"/>
      <c r="AY381" s="1075"/>
      <c r="AZ381" s="1076"/>
      <c r="BA381" s="1076"/>
      <c r="BB381" s="1076"/>
      <c r="BC381" s="1076"/>
      <c r="BD381" s="1076"/>
      <c r="BE381" s="1076"/>
      <c r="BF381" s="1076"/>
      <c r="BG381" s="1113"/>
      <c r="BH381" s="1113"/>
      <c r="BI381" s="1114">
        <v>123.5</v>
      </c>
      <c r="BJ381" s="1113">
        <v>121.8</v>
      </c>
      <c r="BK381" s="1113">
        <v>120.1</v>
      </c>
      <c r="BL381" s="1113">
        <v>118.4</v>
      </c>
      <c r="BM381" s="1113">
        <v>116.7</v>
      </c>
      <c r="BN381" s="1075"/>
      <c r="BO381" s="1076"/>
      <c r="BP381" s="1076"/>
      <c r="BQ381" s="1076"/>
      <c r="BR381" s="1076"/>
      <c r="BS381" s="1115"/>
      <c r="BT381" s="1076"/>
      <c r="BU381" s="1076"/>
      <c r="BV381" s="1076"/>
      <c r="BW381" s="1116"/>
      <c r="BX381" s="1115"/>
      <c r="BY381" s="1076"/>
      <c r="BZ381" s="1076"/>
      <c r="CA381" s="1076"/>
      <c r="CB381" s="1116"/>
      <c r="CC381" s="1117"/>
      <c r="CD381" s="1118" t="s">
        <v>168</v>
      </c>
      <c r="CE381" s="1119" t="s">
        <v>168</v>
      </c>
      <c r="CF381" s="1119" t="s">
        <v>168</v>
      </c>
      <c r="CG381" s="1119" t="s">
        <v>168</v>
      </c>
      <c r="CH381" s="1120" t="s">
        <v>168</v>
      </c>
      <c r="CI381" s="1075" t="s">
        <v>1942</v>
      </c>
      <c r="CJ381" s="1076" t="s">
        <v>1942</v>
      </c>
      <c r="CK381" s="1076" t="s">
        <v>1942</v>
      </c>
      <c r="CL381" s="1076" t="s">
        <v>1942</v>
      </c>
      <c r="CM381" s="1117" t="s">
        <v>1942</v>
      </c>
      <c r="CN381" s="1075">
        <v>163</v>
      </c>
      <c r="CO381" s="1076">
        <v>163</v>
      </c>
      <c r="CP381" s="1076">
        <v>163</v>
      </c>
      <c r="CQ381" s="1076">
        <v>163</v>
      </c>
      <c r="CR381" s="1117">
        <v>163</v>
      </c>
      <c r="CS381" s="1075" t="s">
        <v>1942</v>
      </c>
      <c r="CT381" s="1076" t="s">
        <v>1942</v>
      </c>
      <c r="CU381" s="1076" t="s">
        <v>1942</v>
      </c>
      <c r="CV381" s="1076" t="s">
        <v>1942</v>
      </c>
      <c r="CW381" s="1117" t="s">
        <v>1942</v>
      </c>
      <c r="CX381" s="1075" t="s">
        <v>1942</v>
      </c>
      <c r="CY381" s="1076" t="s">
        <v>1942</v>
      </c>
      <c r="CZ381" s="1076" t="s">
        <v>1942</v>
      </c>
      <c r="DA381" s="1076" t="s">
        <v>1942</v>
      </c>
      <c r="DB381" s="1117" t="s">
        <v>1942</v>
      </c>
      <c r="DC381" s="1076">
        <v>101</v>
      </c>
      <c r="DD381" s="1076">
        <v>101</v>
      </c>
      <c r="DE381" s="1076">
        <v>101</v>
      </c>
      <c r="DF381" s="1076">
        <v>101</v>
      </c>
      <c r="DG381" s="1117">
        <v>101</v>
      </c>
      <c r="DH381" s="1075" t="s">
        <v>1942</v>
      </c>
      <c r="DI381" s="1076" t="s">
        <v>1942</v>
      </c>
      <c r="DJ381" s="1076" t="s">
        <v>1942</v>
      </c>
      <c r="DK381" s="1076" t="s">
        <v>1942</v>
      </c>
      <c r="DL381" s="1117" t="s">
        <v>1942</v>
      </c>
      <c r="DM381" s="1121">
        <v>-0.56200000000000006</v>
      </c>
      <c r="DN381" s="1122" t="s">
        <v>1942</v>
      </c>
      <c r="DO381" s="1122" t="s">
        <v>1942</v>
      </c>
      <c r="DP381" s="1123" t="s">
        <v>1942</v>
      </c>
      <c r="DQ381" s="1122">
        <v>0.185</v>
      </c>
      <c r="DR381" s="1122" t="s">
        <v>1942</v>
      </c>
      <c r="DS381" s="1122" t="s">
        <v>1942</v>
      </c>
      <c r="DT381" s="1123" t="s">
        <v>1942</v>
      </c>
      <c r="DU381" s="1119" t="s">
        <v>1942</v>
      </c>
      <c r="DV381" s="1124">
        <v>1</v>
      </c>
      <c r="DW381" s="1125" t="s">
        <v>1942</v>
      </c>
    </row>
    <row r="382" spans="1:127" s="397" customFormat="1" ht="15.75" hidden="1" customHeight="1">
      <c r="A382" s="1097" t="s">
        <v>1036</v>
      </c>
      <c r="B382" s="1057">
        <v>373</v>
      </c>
      <c r="C382" s="1018"/>
      <c r="D382" s="1018"/>
      <c r="E382" s="1018"/>
      <c r="F382" s="1018"/>
      <c r="G382" s="1018"/>
      <c r="H382" s="1018"/>
      <c r="I382" s="1018"/>
      <c r="J382" s="1018"/>
      <c r="K382" s="1018"/>
      <c r="L382" s="1018"/>
      <c r="M382" s="1057"/>
      <c r="N382" s="1018"/>
      <c r="O382" s="1018"/>
      <c r="P382" s="1018"/>
      <c r="Q382" s="1018"/>
      <c r="R382" s="1018"/>
      <c r="S382" s="1018"/>
      <c r="T382" s="1019"/>
      <c r="U382" s="1098" t="s">
        <v>3525</v>
      </c>
      <c r="V382" s="1099" t="s">
        <v>2348</v>
      </c>
      <c r="W382" s="1099" t="s">
        <v>1907</v>
      </c>
      <c r="X382" s="1100" t="s">
        <v>3526</v>
      </c>
      <c r="Y382" s="1101" t="s">
        <v>167</v>
      </c>
      <c r="Z382" s="1102" t="s">
        <v>2369</v>
      </c>
      <c r="AA382" s="1103">
        <v>0.1</v>
      </c>
      <c r="AB382" s="1104">
        <v>0.9</v>
      </c>
      <c r="AC382" s="1104" t="s">
        <v>1942</v>
      </c>
      <c r="AD382" s="1104" t="s">
        <v>1942</v>
      </c>
      <c r="AE382" s="1104" t="s">
        <v>1942</v>
      </c>
      <c r="AF382" s="1104" t="s">
        <v>1942</v>
      </c>
      <c r="AG382" s="1104" t="s">
        <v>1942</v>
      </c>
      <c r="AH382" s="1104" t="s">
        <v>1942</v>
      </c>
      <c r="AI382" s="1105">
        <f t="shared" si="5"/>
        <v>1</v>
      </c>
      <c r="AJ382" s="1106" t="s">
        <v>1026</v>
      </c>
      <c r="AK382" s="1106" t="s">
        <v>1008</v>
      </c>
      <c r="AL382" s="1106" t="s">
        <v>1009</v>
      </c>
      <c r="AM382" s="1107" t="s">
        <v>1915</v>
      </c>
      <c r="AN382" s="1018" t="s">
        <v>278</v>
      </c>
      <c r="AO382" s="1018" t="s">
        <v>4793</v>
      </c>
      <c r="AP382" s="1307">
        <v>2</v>
      </c>
      <c r="AQ382" s="1076" t="s">
        <v>1020</v>
      </c>
      <c r="AR382" s="1109" t="s">
        <v>167</v>
      </c>
      <c r="AS382" s="1110"/>
      <c r="AT382" s="1100"/>
      <c r="AU382" s="1100"/>
      <c r="AV382" s="1100"/>
      <c r="AW382" s="1111"/>
      <c r="AX382" s="1112"/>
      <c r="AY382" s="1075"/>
      <c r="AZ382" s="1076"/>
      <c r="BA382" s="1076"/>
      <c r="BB382" s="1076"/>
      <c r="BC382" s="1076"/>
      <c r="BD382" s="1076"/>
      <c r="BE382" s="1076"/>
      <c r="BF382" s="1076"/>
      <c r="BG382" s="1126"/>
      <c r="BH382" s="1126"/>
      <c r="BI382" s="1127">
        <v>2.34</v>
      </c>
      <c r="BJ382" s="1126">
        <v>2.34</v>
      </c>
      <c r="BK382" s="1126">
        <v>2.34</v>
      </c>
      <c r="BL382" s="1126">
        <v>2.34</v>
      </c>
      <c r="BM382" s="1126">
        <v>2.34</v>
      </c>
      <c r="BN382" s="1075"/>
      <c r="BO382" s="1076"/>
      <c r="BP382" s="1076"/>
      <c r="BQ382" s="1076"/>
      <c r="BR382" s="1076"/>
      <c r="BS382" s="1115"/>
      <c r="BT382" s="1076"/>
      <c r="BU382" s="1076"/>
      <c r="BV382" s="1076"/>
      <c r="BW382" s="1116"/>
      <c r="BX382" s="1115"/>
      <c r="BY382" s="1076"/>
      <c r="BZ382" s="1076"/>
      <c r="CA382" s="1076"/>
      <c r="CB382" s="1116"/>
      <c r="CC382" s="1117"/>
      <c r="CD382" s="1118" t="s">
        <v>168</v>
      </c>
      <c r="CE382" s="1119" t="s">
        <v>168</v>
      </c>
      <c r="CF382" s="1119" t="s">
        <v>168</v>
      </c>
      <c r="CG382" s="1119" t="s">
        <v>168</v>
      </c>
      <c r="CH382" s="1120" t="s">
        <v>168</v>
      </c>
      <c r="CI382" s="1075" t="s">
        <v>1942</v>
      </c>
      <c r="CJ382" s="1076" t="s">
        <v>1942</v>
      </c>
      <c r="CK382" s="1076" t="s">
        <v>1942</v>
      </c>
      <c r="CL382" s="1076" t="s">
        <v>1942</v>
      </c>
      <c r="CM382" s="1117" t="s">
        <v>1942</v>
      </c>
      <c r="CN382" s="1075">
        <v>4.68</v>
      </c>
      <c r="CO382" s="1076">
        <v>4.68</v>
      </c>
      <c r="CP382" s="1076">
        <v>4.68</v>
      </c>
      <c r="CQ382" s="1076">
        <v>4.68</v>
      </c>
      <c r="CR382" s="1117">
        <v>4.68</v>
      </c>
      <c r="CS382" s="1075" t="s">
        <v>1942</v>
      </c>
      <c r="CT382" s="1076" t="s">
        <v>1942</v>
      </c>
      <c r="CU382" s="1076" t="s">
        <v>1942</v>
      </c>
      <c r="CV382" s="1076" t="s">
        <v>1942</v>
      </c>
      <c r="CW382" s="1117" t="s">
        <v>1942</v>
      </c>
      <c r="CX382" s="1075" t="s">
        <v>1942</v>
      </c>
      <c r="CY382" s="1076" t="s">
        <v>1942</v>
      </c>
      <c r="CZ382" s="1076" t="s">
        <v>1942</v>
      </c>
      <c r="DA382" s="1076" t="s">
        <v>1942</v>
      </c>
      <c r="DB382" s="1117" t="s">
        <v>1942</v>
      </c>
      <c r="DC382" s="1076" t="s">
        <v>1942</v>
      </c>
      <c r="DD382" s="1076" t="s">
        <v>1942</v>
      </c>
      <c r="DE382" s="1076" t="s">
        <v>1942</v>
      </c>
      <c r="DF382" s="1076" t="s">
        <v>1942</v>
      </c>
      <c r="DG382" s="1117" t="s">
        <v>1942</v>
      </c>
      <c r="DH382" s="1075" t="s">
        <v>1942</v>
      </c>
      <c r="DI382" s="1076" t="s">
        <v>1942</v>
      </c>
      <c r="DJ382" s="1076" t="s">
        <v>1942</v>
      </c>
      <c r="DK382" s="1076" t="s">
        <v>1942</v>
      </c>
      <c r="DL382" s="1117" t="s">
        <v>1942</v>
      </c>
      <c r="DM382" s="1121">
        <v>-3.0249999999999999</v>
      </c>
      <c r="DN382" s="1122" t="s">
        <v>1942</v>
      </c>
      <c r="DO382" s="1122" t="s">
        <v>1942</v>
      </c>
      <c r="DP382" s="1123" t="s">
        <v>1942</v>
      </c>
      <c r="DQ382" s="1122" t="s">
        <v>1942</v>
      </c>
      <c r="DR382" s="1122" t="s">
        <v>1942</v>
      </c>
      <c r="DS382" s="1122" t="s">
        <v>1942</v>
      </c>
      <c r="DT382" s="1123" t="s">
        <v>1942</v>
      </c>
      <c r="DU382" s="1119" t="s">
        <v>1942</v>
      </c>
      <c r="DV382" s="1124">
        <v>1</v>
      </c>
      <c r="DW382" s="1125" t="s">
        <v>1942</v>
      </c>
    </row>
    <row r="383" spans="1:127" s="397" customFormat="1" ht="15.75" hidden="1" customHeight="1">
      <c r="A383" s="1097" t="s">
        <v>1036</v>
      </c>
      <c r="B383" s="1057">
        <v>374</v>
      </c>
      <c r="C383" s="1018"/>
      <c r="D383" s="1018"/>
      <c r="E383" s="1018"/>
      <c r="F383" s="1018"/>
      <c r="G383" s="1018"/>
      <c r="H383" s="1018"/>
      <c r="I383" s="1018"/>
      <c r="J383" s="1018"/>
      <c r="K383" s="1018"/>
      <c r="L383" s="1018"/>
      <c r="M383" s="1057"/>
      <c r="N383" s="1018"/>
      <c r="O383" s="1018"/>
      <c r="P383" s="1018"/>
      <c r="Q383" s="1018"/>
      <c r="R383" s="1018"/>
      <c r="S383" s="1018"/>
      <c r="T383" s="1019"/>
      <c r="U383" s="1098" t="s">
        <v>3527</v>
      </c>
      <c r="V383" s="1099" t="s">
        <v>2348</v>
      </c>
      <c r="W383" s="1099" t="s">
        <v>1907</v>
      </c>
      <c r="X383" s="1100" t="s">
        <v>3528</v>
      </c>
      <c r="Y383" s="1101" t="s">
        <v>535</v>
      </c>
      <c r="Z383" s="1102" t="s">
        <v>2361</v>
      </c>
      <c r="AA383" s="1103">
        <v>1</v>
      </c>
      <c r="AB383" s="1104" t="s">
        <v>1942</v>
      </c>
      <c r="AC383" s="1104" t="s">
        <v>1942</v>
      </c>
      <c r="AD383" s="1104" t="s">
        <v>1942</v>
      </c>
      <c r="AE383" s="1104" t="s">
        <v>1942</v>
      </c>
      <c r="AF383" s="1104" t="s">
        <v>1942</v>
      </c>
      <c r="AG383" s="1104" t="s">
        <v>1942</v>
      </c>
      <c r="AH383" s="1104" t="s">
        <v>1942</v>
      </c>
      <c r="AI383" s="1105">
        <f t="shared" si="5"/>
        <v>1</v>
      </c>
      <c r="AJ383" s="1106" t="s">
        <v>1007</v>
      </c>
      <c r="AK383" s="1106" t="s">
        <v>1942</v>
      </c>
      <c r="AL383" s="1106" t="s">
        <v>1942</v>
      </c>
      <c r="AM383" s="1107" t="s">
        <v>1910</v>
      </c>
      <c r="AN383" s="1018" t="s">
        <v>278</v>
      </c>
      <c r="AO383" s="1018" t="s">
        <v>4792</v>
      </c>
      <c r="AP383" s="1307">
        <v>1</v>
      </c>
      <c r="AQ383" s="1076" t="s">
        <v>1020</v>
      </c>
      <c r="AR383" s="1109" t="s">
        <v>535</v>
      </c>
      <c r="AS383" s="1110"/>
      <c r="AT383" s="1100"/>
      <c r="AU383" s="1100"/>
      <c r="AV383" s="1100"/>
      <c r="AW383" s="1111"/>
      <c r="AX383" s="1112"/>
      <c r="AY383" s="1075"/>
      <c r="AZ383" s="1076"/>
      <c r="BA383" s="1076"/>
      <c r="BB383" s="1076"/>
      <c r="BC383" s="1076"/>
      <c r="BD383" s="1076"/>
      <c r="BE383" s="1076"/>
      <c r="BF383" s="1076"/>
      <c r="BG383" s="1113"/>
      <c r="BH383" s="1113"/>
      <c r="BI383" s="1114">
        <v>56.2</v>
      </c>
      <c r="BJ383" s="1113">
        <v>56.2</v>
      </c>
      <c r="BK383" s="1113">
        <v>56.2</v>
      </c>
      <c r="BL383" s="1113">
        <v>56.2</v>
      </c>
      <c r="BM383" s="1113">
        <v>56.2</v>
      </c>
      <c r="BN383" s="1075"/>
      <c r="BO383" s="1076"/>
      <c r="BP383" s="1076"/>
      <c r="BQ383" s="1076"/>
      <c r="BR383" s="1076"/>
      <c r="BS383" s="1115"/>
      <c r="BT383" s="1076"/>
      <c r="BU383" s="1076"/>
      <c r="BV383" s="1076"/>
      <c r="BW383" s="1116"/>
      <c r="BX383" s="1115"/>
      <c r="BY383" s="1076"/>
      <c r="BZ383" s="1076"/>
      <c r="CA383" s="1076"/>
      <c r="CB383" s="1116"/>
      <c r="CC383" s="1117"/>
      <c r="CD383" s="1118" t="s">
        <v>1942</v>
      </c>
      <c r="CE383" s="1119" t="s">
        <v>1942</v>
      </c>
      <c r="CF383" s="1119" t="s">
        <v>1942</v>
      </c>
      <c r="CG383" s="1119" t="s">
        <v>1942</v>
      </c>
      <c r="CH383" s="1120" t="s">
        <v>1942</v>
      </c>
      <c r="CI383" s="1075" t="s">
        <v>1942</v>
      </c>
      <c r="CJ383" s="1076" t="s">
        <v>1942</v>
      </c>
      <c r="CK383" s="1076" t="s">
        <v>1942</v>
      </c>
      <c r="CL383" s="1076" t="s">
        <v>1942</v>
      </c>
      <c r="CM383" s="1117" t="s">
        <v>1942</v>
      </c>
      <c r="CN383" s="1075" t="s">
        <v>1942</v>
      </c>
      <c r="CO383" s="1076" t="s">
        <v>1942</v>
      </c>
      <c r="CP383" s="1076" t="s">
        <v>1942</v>
      </c>
      <c r="CQ383" s="1076" t="s">
        <v>1942</v>
      </c>
      <c r="CR383" s="1117" t="s">
        <v>1942</v>
      </c>
      <c r="CS383" s="1075" t="s">
        <v>1942</v>
      </c>
      <c r="CT383" s="1076" t="s">
        <v>1942</v>
      </c>
      <c r="CU383" s="1076" t="s">
        <v>1942</v>
      </c>
      <c r="CV383" s="1076" t="s">
        <v>1942</v>
      </c>
      <c r="CW383" s="1117" t="s">
        <v>1942</v>
      </c>
      <c r="CX383" s="1075" t="s">
        <v>1942</v>
      </c>
      <c r="CY383" s="1076" t="s">
        <v>1942</v>
      </c>
      <c r="CZ383" s="1076" t="s">
        <v>1942</v>
      </c>
      <c r="DA383" s="1076" t="s">
        <v>1942</v>
      </c>
      <c r="DB383" s="1117" t="s">
        <v>1942</v>
      </c>
      <c r="DC383" s="1076" t="s">
        <v>1942</v>
      </c>
      <c r="DD383" s="1076" t="s">
        <v>1942</v>
      </c>
      <c r="DE383" s="1076" t="s">
        <v>1942</v>
      </c>
      <c r="DF383" s="1076" t="s">
        <v>1942</v>
      </c>
      <c r="DG383" s="1117" t="s">
        <v>1942</v>
      </c>
      <c r="DH383" s="1075" t="s">
        <v>1942</v>
      </c>
      <c r="DI383" s="1076" t="s">
        <v>1942</v>
      </c>
      <c r="DJ383" s="1076" t="s">
        <v>1942</v>
      </c>
      <c r="DK383" s="1076" t="s">
        <v>1942</v>
      </c>
      <c r="DL383" s="1117" t="s">
        <v>1942</v>
      </c>
      <c r="DM383" s="1121" t="s">
        <v>1942</v>
      </c>
      <c r="DN383" s="1122" t="s">
        <v>1942</v>
      </c>
      <c r="DO383" s="1122" t="s">
        <v>1942</v>
      </c>
      <c r="DP383" s="1123" t="s">
        <v>1942</v>
      </c>
      <c r="DQ383" s="1122" t="s">
        <v>1942</v>
      </c>
      <c r="DR383" s="1122" t="s">
        <v>1942</v>
      </c>
      <c r="DS383" s="1122" t="s">
        <v>1942</v>
      </c>
      <c r="DT383" s="1123" t="s">
        <v>1942</v>
      </c>
      <c r="DU383" s="1119" t="s">
        <v>1942</v>
      </c>
      <c r="DV383" s="1124">
        <v>1</v>
      </c>
      <c r="DW383" s="1125" t="s">
        <v>1942</v>
      </c>
    </row>
    <row r="384" spans="1:127" s="397" customFormat="1" ht="15.75" hidden="1" customHeight="1">
      <c r="A384" s="1097" t="s">
        <v>1036</v>
      </c>
      <c r="B384" s="1057">
        <v>375</v>
      </c>
      <c r="C384" s="1018"/>
      <c r="D384" s="1018"/>
      <c r="E384" s="1018"/>
      <c r="F384" s="1018"/>
      <c r="G384" s="1018"/>
      <c r="H384" s="1018"/>
      <c r="I384" s="1018"/>
      <c r="J384" s="1018"/>
      <c r="K384" s="1018"/>
      <c r="L384" s="1018"/>
      <c r="M384" s="1057"/>
      <c r="N384" s="1018"/>
      <c r="O384" s="1018"/>
      <c r="P384" s="1018"/>
      <c r="Q384" s="1018"/>
      <c r="R384" s="1018"/>
      <c r="S384" s="1018"/>
      <c r="T384" s="1019"/>
      <c r="U384" s="1098" t="s">
        <v>3530</v>
      </c>
      <c r="V384" s="1099" t="s">
        <v>2348</v>
      </c>
      <c r="W384" s="1099" t="s">
        <v>1889</v>
      </c>
      <c r="X384" s="1100" t="s">
        <v>3531</v>
      </c>
      <c r="Y384" s="1101" t="s">
        <v>3532</v>
      </c>
      <c r="Z384" s="1102" t="s">
        <v>3533</v>
      </c>
      <c r="AA384" s="1103" t="s">
        <v>1942</v>
      </c>
      <c r="AB384" s="1104">
        <v>1</v>
      </c>
      <c r="AC384" s="1104" t="s">
        <v>1942</v>
      </c>
      <c r="AD384" s="1104" t="s">
        <v>1942</v>
      </c>
      <c r="AE384" s="1104" t="s">
        <v>1942</v>
      </c>
      <c r="AF384" s="1104" t="s">
        <v>1942</v>
      </c>
      <c r="AG384" s="1104" t="s">
        <v>1942</v>
      </c>
      <c r="AH384" s="1104" t="s">
        <v>1942</v>
      </c>
      <c r="AI384" s="1105">
        <f t="shared" si="5"/>
        <v>1</v>
      </c>
      <c r="AJ384" s="1106" t="s">
        <v>1030</v>
      </c>
      <c r="AK384" s="1106" t="s">
        <v>1008</v>
      </c>
      <c r="AL384" s="1106" t="s">
        <v>1009</v>
      </c>
      <c r="AM384" s="1107" t="s">
        <v>669</v>
      </c>
      <c r="AN384" s="1018" t="s">
        <v>1029</v>
      </c>
      <c r="AO384" s="1018" t="s">
        <v>3534</v>
      </c>
      <c r="AP384" s="1333">
        <v>1</v>
      </c>
      <c r="AQ384" s="1076" t="s">
        <v>1020</v>
      </c>
      <c r="AR384" s="1109" t="s">
        <v>1942</v>
      </c>
      <c r="AS384" s="1110"/>
      <c r="AT384" s="1100"/>
      <c r="AU384" s="1100"/>
      <c r="AV384" s="1100"/>
      <c r="AW384" s="1111"/>
      <c r="AX384" s="1112"/>
      <c r="AY384" s="1075"/>
      <c r="AZ384" s="1076"/>
      <c r="BA384" s="1076"/>
      <c r="BB384" s="1076"/>
      <c r="BC384" s="1076"/>
      <c r="BD384" s="1076"/>
      <c r="BE384" s="1076"/>
      <c r="BF384" s="1076"/>
      <c r="BG384" s="1076"/>
      <c r="BH384" s="1076"/>
      <c r="BI384" s="1420"/>
      <c r="BJ384" s="1368"/>
      <c r="BK384" s="1368"/>
      <c r="BL384" s="1368"/>
      <c r="BM384" s="1368"/>
      <c r="BN384" s="1075"/>
      <c r="BO384" s="1076"/>
      <c r="BP384" s="1076"/>
      <c r="BQ384" s="1076"/>
      <c r="BR384" s="1076"/>
      <c r="BS384" s="1115"/>
      <c r="BT384" s="1076"/>
      <c r="BU384" s="1076"/>
      <c r="BV384" s="1076"/>
      <c r="BW384" s="1116"/>
      <c r="BX384" s="1115"/>
      <c r="BY384" s="1076"/>
      <c r="BZ384" s="1076"/>
      <c r="CA384" s="1076"/>
      <c r="CB384" s="1116"/>
      <c r="CC384" s="1117"/>
      <c r="CD384" s="1376"/>
      <c r="CE384" s="1377"/>
      <c r="CF384" s="1377"/>
      <c r="CG384" s="1377"/>
      <c r="CH384" s="1440"/>
      <c r="CI384" s="1420"/>
      <c r="CJ384" s="1368"/>
      <c r="CK384" s="1368"/>
      <c r="CL384" s="1368"/>
      <c r="CM384" s="1369"/>
      <c r="CN384" s="1420"/>
      <c r="CO384" s="1368"/>
      <c r="CP384" s="1368"/>
      <c r="CQ384" s="1368"/>
      <c r="CR384" s="1369"/>
      <c r="CS384" s="1420"/>
      <c r="CT384" s="1368"/>
      <c r="CU384" s="1368"/>
      <c r="CV384" s="1368"/>
      <c r="CW384" s="1369"/>
      <c r="CX384" s="1420"/>
      <c r="CY384" s="1368"/>
      <c r="CZ384" s="1368"/>
      <c r="DA384" s="1368"/>
      <c r="DB384" s="1369"/>
      <c r="DC384" s="1368"/>
      <c r="DD384" s="1368"/>
      <c r="DE384" s="1368"/>
      <c r="DF384" s="1368"/>
      <c r="DG384" s="1369"/>
      <c r="DH384" s="1420"/>
      <c r="DI384" s="1368"/>
      <c r="DJ384" s="1368"/>
      <c r="DK384" s="1368"/>
      <c r="DL384" s="1369"/>
      <c r="DM384" s="1808"/>
      <c r="DN384" s="1809"/>
      <c r="DO384" s="1809"/>
      <c r="DP384" s="1810"/>
      <c r="DQ384" s="1809"/>
      <c r="DR384" s="1809"/>
      <c r="DS384" s="1809"/>
      <c r="DT384" s="1810"/>
      <c r="DU384" s="1377"/>
      <c r="DV384" s="1729"/>
      <c r="DW384" s="1811"/>
    </row>
    <row r="385" spans="1:127" s="397" customFormat="1" ht="15.75" hidden="1" customHeight="1">
      <c r="A385" s="1097" t="s">
        <v>1036</v>
      </c>
      <c r="B385" s="1057">
        <v>376</v>
      </c>
      <c r="C385" s="1018"/>
      <c r="D385" s="1018"/>
      <c r="E385" s="1018"/>
      <c r="F385" s="1018"/>
      <c r="G385" s="1018"/>
      <c r="H385" s="1018"/>
      <c r="I385" s="1018"/>
      <c r="J385" s="1018"/>
      <c r="K385" s="1018"/>
      <c r="L385" s="1018"/>
      <c r="M385" s="1057"/>
      <c r="N385" s="1018"/>
      <c r="O385" s="1018"/>
      <c r="P385" s="1018"/>
      <c r="Q385" s="1018"/>
      <c r="R385" s="1018"/>
      <c r="S385" s="1018"/>
      <c r="T385" s="1019"/>
      <c r="U385" s="1098" t="s">
        <v>3535</v>
      </c>
      <c r="V385" s="1099" t="s">
        <v>2348</v>
      </c>
      <c r="W385" s="1099" t="s">
        <v>1889</v>
      </c>
      <c r="X385" s="1100" t="s">
        <v>3536</v>
      </c>
      <c r="Y385" s="1101" t="s">
        <v>3537</v>
      </c>
      <c r="Z385" s="1102" t="s">
        <v>3538</v>
      </c>
      <c r="AA385" s="1103" t="s">
        <v>1942</v>
      </c>
      <c r="AB385" s="1104">
        <v>1</v>
      </c>
      <c r="AC385" s="1104" t="s">
        <v>1942</v>
      </c>
      <c r="AD385" s="1104" t="s">
        <v>1942</v>
      </c>
      <c r="AE385" s="1104" t="s">
        <v>1942</v>
      </c>
      <c r="AF385" s="1104" t="s">
        <v>1942</v>
      </c>
      <c r="AG385" s="1104" t="s">
        <v>1942</v>
      </c>
      <c r="AH385" s="1104" t="s">
        <v>1942</v>
      </c>
      <c r="AI385" s="1105">
        <f t="shared" si="5"/>
        <v>1</v>
      </c>
      <c r="AJ385" s="1106" t="s">
        <v>1030</v>
      </c>
      <c r="AK385" s="1106" t="s">
        <v>1008</v>
      </c>
      <c r="AL385" s="1106" t="s">
        <v>1009</v>
      </c>
      <c r="AM385" s="1107" t="s">
        <v>1987</v>
      </c>
      <c r="AN385" s="1018" t="s">
        <v>1033</v>
      </c>
      <c r="AO385" s="1018" t="s">
        <v>3539</v>
      </c>
      <c r="AP385" s="1333">
        <v>0</v>
      </c>
      <c r="AQ385" s="1076" t="s">
        <v>1020</v>
      </c>
      <c r="AR385" s="1109" t="s">
        <v>1942</v>
      </c>
      <c r="AS385" s="1110"/>
      <c r="AT385" s="1100"/>
      <c r="AU385" s="1100"/>
      <c r="AV385" s="1100"/>
      <c r="AW385" s="1111"/>
      <c r="AX385" s="1112"/>
      <c r="AY385" s="1075"/>
      <c r="AZ385" s="1076"/>
      <c r="BA385" s="1076"/>
      <c r="BB385" s="1076"/>
      <c r="BC385" s="1076"/>
      <c r="BD385" s="1076"/>
      <c r="BE385" s="1076"/>
      <c r="BF385" s="1076"/>
      <c r="BG385" s="1076"/>
      <c r="BH385" s="1076"/>
      <c r="BI385" s="1420"/>
      <c r="BJ385" s="1368"/>
      <c r="BK385" s="1368"/>
      <c r="BL385" s="1368"/>
      <c r="BM385" s="1368"/>
      <c r="BN385" s="1075"/>
      <c r="BO385" s="1076"/>
      <c r="BP385" s="1076"/>
      <c r="BQ385" s="1076"/>
      <c r="BR385" s="1076"/>
      <c r="BS385" s="1115"/>
      <c r="BT385" s="1076"/>
      <c r="BU385" s="1076"/>
      <c r="BV385" s="1076"/>
      <c r="BW385" s="1116"/>
      <c r="BX385" s="1115"/>
      <c r="BY385" s="1076"/>
      <c r="BZ385" s="1076"/>
      <c r="CA385" s="1076"/>
      <c r="CB385" s="1116"/>
      <c r="CC385" s="1117"/>
      <c r="CD385" s="1376"/>
      <c r="CE385" s="1377"/>
      <c r="CF385" s="1377"/>
      <c r="CG385" s="1377"/>
      <c r="CH385" s="1440"/>
      <c r="CI385" s="1420"/>
      <c r="CJ385" s="1368"/>
      <c r="CK385" s="1368"/>
      <c r="CL385" s="1368"/>
      <c r="CM385" s="1369"/>
      <c r="CN385" s="1420"/>
      <c r="CO385" s="1368"/>
      <c r="CP385" s="1368"/>
      <c r="CQ385" s="1368"/>
      <c r="CR385" s="1369"/>
      <c r="CS385" s="1420"/>
      <c r="CT385" s="1368"/>
      <c r="CU385" s="1368"/>
      <c r="CV385" s="1368"/>
      <c r="CW385" s="1369"/>
      <c r="CX385" s="1420"/>
      <c r="CY385" s="1368"/>
      <c r="CZ385" s="1368"/>
      <c r="DA385" s="1368"/>
      <c r="DB385" s="1369"/>
      <c r="DC385" s="1368"/>
      <c r="DD385" s="1368"/>
      <c r="DE385" s="1368"/>
      <c r="DF385" s="1368"/>
      <c r="DG385" s="1369"/>
      <c r="DH385" s="1420"/>
      <c r="DI385" s="1368"/>
      <c r="DJ385" s="1368"/>
      <c r="DK385" s="1368"/>
      <c r="DL385" s="1369"/>
      <c r="DM385" s="1808"/>
      <c r="DN385" s="1809"/>
      <c r="DO385" s="1809"/>
      <c r="DP385" s="1810"/>
      <c r="DQ385" s="1809"/>
      <c r="DR385" s="1809"/>
      <c r="DS385" s="1809"/>
      <c r="DT385" s="1810"/>
      <c r="DU385" s="1377"/>
      <c r="DV385" s="1729"/>
      <c r="DW385" s="1811"/>
    </row>
    <row r="386" spans="1:127" s="397" customFormat="1" ht="15.75" hidden="1" customHeight="1">
      <c r="A386" s="1097" t="s">
        <v>1036</v>
      </c>
      <c r="B386" s="1057">
        <v>377</v>
      </c>
      <c r="C386" s="1018"/>
      <c r="D386" s="1018"/>
      <c r="E386" s="1018"/>
      <c r="F386" s="1018"/>
      <c r="G386" s="1018"/>
      <c r="H386" s="1018"/>
      <c r="I386" s="1018"/>
      <c r="J386" s="1018"/>
      <c r="K386" s="1018"/>
      <c r="L386" s="1018"/>
      <c r="M386" s="1057"/>
      <c r="N386" s="1018"/>
      <c r="O386" s="1018"/>
      <c r="P386" s="1018"/>
      <c r="Q386" s="1018"/>
      <c r="R386" s="1018"/>
      <c r="S386" s="1018"/>
      <c r="T386" s="1019"/>
      <c r="U386" s="1098" t="s">
        <v>3540</v>
      </c>
      <c r="V386" s="1099" t="s">
        <v>2348</v>
      </c>
      <c r="W386" s="1099" t="s">
        <v>1907</v>
      </c>
      <c r="X386" s="1100" t="s">
        <v>3541</v>
      </c>
      <c r="Y386" s="1101" t="s">
        <v>2310</v>
      </c>
      <c r="Z386" s="1102" t="s">
        <v>3542</v>
      </c>
      <c r="AA386" s="1103">
        <v>1</v>
      </c>
      <c r="AB386" s="1104" t="s">
        <v>1942</v>
      </c>
      <c r="AC386" s="1104" t="s">
        <v>1942</v>
      </c>
      <c r="AD386" s="1104" t="s">
        <v>1942</v>
      </c>
      <c r="AE386" s="1104" t="s">
        <v>1942</v>
      </c>
      <c r="AF386" s="1104" t="s">
        <v>1942</v>
      </c>
      <c r="AG386" s="1104" t="s">
        <v>1942</v>
      </c>
      <c r="AH386" s="1104" t="s">
        <v>1942</v>
      </c>
      <c r="AI386" s="1105">
        <f t="shared" si="5"/>
        <v>1</v>
      </c>
      <c r="AJ386" s="1106" t="s">
        <v>1030</v>
      </c>
      <c r="AK386" s="1106" t="s">
        <v>1008</v>
      </c>
      <c r="AL386" s="1106" t="s">
        <v>1009</v>
      </c>
      <c r="AM386" s="1107" t="s">
        <v>1979</v>
      </c>
      <c r="AN386" s="1018" t="s">
        <v>1033</v>
      </c>
      <c r="AO386" s="1018" t="s">
        <v>2312</v>
      </c>
      <c r="AP386" s="1333">
        <v>0</v>
      </c>
      <c r="AQ386" s="1076" t="s">
        <v>1020</v>
      </c>
      <c r="AR386" s="1109" t="s">
        <v>1942</v>
      </c>
      <c r="AS386" s="1110"/>
      <c r="AT386" s="1100"/>
      <c r="AU386" s="1100"/>
      <c r="AV386" s="1100"/>
      <c r="AW386" s="1111"/>
      <c r="AX386" s="1112"/>
      <c r="AY386" s="1075"/>
      <c r="AZ386" s="1076"/>
      <c r="BA386" s="1076"/>
      <c r="BB386" s="1076"/>
      <c r="BC386" s="1076"/>
      <c r="BD386" s="1076"/>
      <c r="BE386" s="1076"/>
      <c r="BF386" s="1076"/>
      <c r="BG386" s="1076"/>
      <c r="BH386" s="1076"/>
      <c r="BI386" s="1420"/>
      <c r="BJ386" s="1368"/>
      <c r="BK386" s="1368"/>
      <c r="BL386" s="1368"/>
      <c r="BM386" s="1368"/>
      <c r="BN386" s="1075"/>
      <c r="BO386" s="1076"/>
      <c r="BP386" s="1076"/>
      <c r="BQ386" s="1076"/>
      <c r="BR386" s="1076"/>
      <c r="BS386" s="1115"/>
      <c r="BT386" s="1076"/>
      <c r="BU386" s="1076"/>
      <c r="BV386" s="1076"/>
      <c r="BW386" s="1116"/>
      <c r="BX386" s="1115"/>
      <c r="BY386" s="1076"/>
      <c r="BZ386" s="1076"/>
      <c r="CA386" s="1076"/>
      <c r="CB386" s="1116"/>
      <c r="CC386" s="1117"/>
      <c r="CD386" s="1376"/>
      <c r="CE386" s="1377"/>
      <c r="CF386" s="1377"/>
      <c r="CG386" s="1377"/>
      <c r="CH386" s="1440"/>
      <c r="CI386" s="1420"/>
      <c r="CJ386" s="1368"/>
      <c r="CK386" s="1368"/>
      <c r="CL386" s="1368"/>
      <c r="CM386" s="1369"/>
      <c r="CN386" s="1420"/>
      <c r="CO386" s="1368"/>
      <c r="CP386" s="1368"/>
      <c r="CQ386" s="1368"/>
      <c r="CR386" s="1369"/>
      <c r="CS386" s="1420"/>
      <c r="CT386" s="1368"/>
      <c r="CU386" s="1368"/>
      <c r="CV386" s="1368"/>
      <c r="CW386" s="1369"/>
      <c r="CX386" s="1420"/>
      <c r="CY386" s="1368"/>
      <c r="CZ386" s="1368"/>
      <c r="DA386" s="1368"/>
      <c r="DB386" s="1369"/>
      <c r="DC386" s="1368"/>
      <c r="DD386" s="1368"/>
      <c r="DE386" s="1368"/>
      <c r="DF386" s="1368"/>
      <c r="DG386" s="1369"/>
      <c r="DH386" s="1420"/>
      <c r="DI386" s="1368"/>
      <c r="DJ386" s="1368"/>
      <c r="DK386" s="1368"/>
      <c r="DL386" s="1369"/>
      <c r="DM386" s="1808"/>
      <c r="DN386" s="1809"/>
      <c r="DO386" s="1809"/>
      <c r="DP386" s="1810"/>
      <c r="DQ386" s="1809"/>
      <c r="DR386" s="1809"/>
      <c r="DS386" s="1809"/>
      <c r="DT386" s="1810"/>
      <c r="DU386" s="1377"/>
      <c r="DV386" s="1729"/>
      <c r="DW386" s="1811"/>
    </row>
    <row r="387" spans="1:127" s="397" customFormat="1" ht="15.75" hidden="1" customHeight="1">
      <c r="A387" s="1097" t="s">
        <v>1036</v>
      </c>
      <c r="B387" s="1057">
        <v>378</v>
      </c>
      <c r="C387" s="1018"/>
      <c r="D387" s="1018"/>
      <c r="E387" s="1018"/>
      <c r="F387" s="1018"/>
      <c r="G387" s="1018"/>
      <c r="H387" s="1018"/>
      <c r="I387" s="1018"/>
      <c r="J387" s="1018"/>
      <c r="K387" s="1018"/>
      <c r="L387" s="1018"/>
      <c r="M387" s="1057"/>
      <c r="N387" s="1018"/>
      <c r="O387" s="1018"/>
      <c r="P387" s="1018"/>
      <c r="Q387" s="1018"/>
      <c r="R387" s="1018"/>
      <c r="S387" s="1018"/>
      <c r="T387" s="1019"/>
      <c r="U387" s="1098" t="s">
        <v>3543</v>
      </c>
      <c r="V387" s="1099" t="s">
        <v>2348</v>
      </c>
      <c r="W387" s="1099" t="s">
        <v>1889</v>
      </c>
      <c r="X387" s="1100" t="s">
        <v>3544</v>
      </c>
      <c r="Y387" s="1101" t="s">
        <v>3545</v>
      </c>
      <c r="Z387" s="1102" t="s">
        <v>3546</v>
      </c>
      <c r="AA387" s="1103" t="s">
        <v>1942</v>
      </c>
      <c r="AB387" s="1104">
        <v>1</v>
      </c>
      <c r="AC387" s="1104" t="s">
        <v>1942</v>
      </c>
      <c r="AD387" s="1104" t="s">
        <v>1942</v>
      </c>
      <c r="AE387" s="1104" t="s">
        <v>1942</v>
      </c>
      <c r="AF387" s="1104" t="s">
        <v>1942</v>
      </c>
      <c r="AG387" s="1104" t="s">
        <v>1942</v>
      </c>
      <c r="AH387" s="1104" t="s">
        <v>1942</v>
      </c>
      <c r="AI387" s="1105">
        <f t="shared" si="5"/>
        <v>1</v>
      </c>
      <c r="AJ387" s="1106" t="s">
        <v>1030</v>
      </c>
      <c r="AK387" s="1106" t="s">
        <v>1018</v>
      </c>
      <c r="AL387" s="1106" t="s">
        <v>4861</v>
      </c>
      <c r="AM387" s="1107" t="s">
        <v>1910</v>
      </c>
      <c r="AN387" s="1018" t="s">
        <v>278</v>
      </c>
      <c r="AO387" s="1018" t="s">
        <v>3547</v>
      </c>
      <c r="AP387" s="1333">
        <v>1</v>
      </c>
      <c r="AQ387" s="1076" t="s">
        <v>1010</v>
      </c>
      <c r="AR387" s="1109" t="s">
        <v>1942</v>
      </c>
      <c r="AS387" s="1110"/>
      <c r="AT387" s="1100"/>
      <c r="AU387" s="1100"/>
      <c r="AV387" s="1100"/>
      <c r="AW387" s="1111"/>
      <c r="AX387" s="1112"/>
      <c r="AY387" s="1075"/>
      <c r="AZ387" s="1076"/>
      <c r="BA387" s="1076"/>
      <c r="BB387" s="1076"/>
      <c r="BC387" s="1076"/>
      <c r="BD387" s="1076"/>
      <c r="BE387" s="1076"/>
      <c r="BF387" s="1076"/>
      <c r="BG387" s="1076"/>
      <c r="BH387" s="1076"/>
      <c r="BI387" s="1420"/>
      <c r="BJ387" s="1368"/>
      <c r="BK387" s="1368"/>
      <c r="BL387" s="1368"/>
      <c r="BM387" s="1368"/>
      <c r="BN387" s="1075"/>
      <c r="BO387" s="1076"/>
      <c r="BP387" s="1076"/>
      <c r="BQ387" s="1076"/>
      <c r="BR387" s="1076"/>
      <c r="BS387" s="1115"/>
      <c r="BT387" s="1076"/>
      <c r="BU387" s="1076"/>
      <c r="BV387" s="1076"/>
      <c r="BW387" s="1116"/>
      <c r="BX387" s="1115"/>
      <c r="BY387" s="1076"/>
      <c r="BZ387" s="1076"/>
      <c r="CA387" s="1076"/>
      <c r="CB387" s="1116"/>
      <c r="CC387" s="1117"/>
      <c r="CD387" s="1376"/>
      <c r="CE387" s="1377"/>
      <c r="CF387" s="1377"/>
      <c r="CG387" s="1377"/>
      <c r="CH387" s="1440"/>
      <c r="CI387" s="1420"/>
      <c r="CJ387" s="1368"/>
      <c r="CK387" s="1368"/>
      <c r="CL387" s="1368"/>
      <c r="CM387" s="1369"/>
      <c r="CN387" s="1420"/>
      <c r="CO387" s="1368"/>
      <c r="CP387" s="1368"/>
      <c r="CQ387" s="1368"/>
      <c r="CR387" s="1369"/>
      <c r="CS387" s="1420"/>
      <c r="CT387" s="1368"/>
      <c r="CU387" s="1368"/>
      <c r="CV387" s="1368"/>
      <c r="CW387" s="1369"/>
      <c r="CX387" s="1420"/>
      <c r="CY387" s="1368"/>
      <c r="CZ387" s="1368"/>
      <c r="DA387" s="1368"/>
      <c r="DB387" s="1369"/>
      <c r="DC387" s="1368"/>
      <c r="DD387" s="1368"/>
      <c r="DE387" s="1368"/>
      <c r="DF387" s="1368"/>
      <c r="DG387" s="1369"/>
      <c r="DH387" s="1420"/>
      <c r="DI387" s="1368"/>
      <c r="DJ387" s="1368"/>
      <c r="DK387" s="1368"/>
      <c r="DL387" s="1369"/>
      <c r="DM387" s="1808"/>
      <c r="DN387" s="1809"/>
      <c r="DO387" s="1809"/>
      <c r="DP387" s="1810"/>
      <c r="DQ387" s="1809"/>
      <c r="DR387" s="1809"/>
      <c r="DS387" s="1809"/>
      <c r="DT387" s="1810"/>
      <c r="DU387" s="1377"/>
      <c r="DV387" s="1729"/>
      <c r="DW387" s="1811"/>
    </row>
    <row r="388" spans="1:127" s="397" customFormat="1" ht="15.75" hidden="1" customHeight="1">
      <c r="A388" s="1097" t="s">
        <v>1036</v>
      </c>
      <c r="B388" s="1057">
        <v>379</v>
      </c>
      <c r="C388" s="1018"/>
      <c r="D388" s="1018"/>
      <c r="E388" s="1018"/>
      <c r="F388" s="1018"/>
      <c r="G388" s="1018"/>
      <c r="H388" s="1018"/>
      <c r="I388" s="1018"/>
      <c r="J388" s="1018"/>
      <c r="K388" s="1018"/>
      <c r="L388" s="1018"/>
      <c r="M388" s="1057"/>
      <c r="N388" s="1018"/>
      <c r="O388" s="1018"/>
      <c r="P388" s="1018"/>
      <c r="Q388" s="1018"/>
      <c r="R388" s="1018"/>
      <c r="S388" s="1018"/>
      <c r="T388" s="1019"/>
      <c r="U388" s="1098" t="s">
        <v>3548</v>
      </c>
      <c r="V388" s="1099" t="s">
        <v>2348</v>
      </c>
      <c r="W388" s="1099" t="s">
        <v>1907</v>
      </c>
      <c r="X388" s="1100" t="s">
        <v>3549</v>
      </c>
      <c r="Y388" s="1101" t="s">
        <v>3550</v>
      </c>
      <c r="Z388" s="1102" t="s">
        <v>3551</v>
      </c>
      <c r="AA388" s="1103" t="s">
        <v>1942</v>
      </c>
      <c r="AB388" s="1104">
        <v>0.75</v>
      </c>
      <c r="AC388" s="1104" t="s">
        <v>1942</v>
      </c>
      <c r="AD388" s="1104" t="s">
        <v>1942</v>
      </c>
      <c r="AE388" s="1104">
        <v>0.25</v>
      </c>
      <c r="AF388" s="1104" t="s">
        <v>1942</v>
      </c>
      <c r="AG388" s="1104" t="s">
        <v>1942</v>
      </c>
      <c r="AH388" s="1104" t="s">
        <v>1942</v>
      </c>
      <c r="AI388" s="1105">
        <f t="shared" si="5"/>
        <v>1</v>
      </c>
      <c r="AJ388" s="1106" t="s">
        <v>1030</v>
      </c>
      <c r="AK388" s="1106" t="s">
        <v>1008</v>
      </c>
      <c r="AL388" s="1106" t="s">
        <v>1009</v>
      </c>
      <c r="AM388" s="1107" t="s">
        <v>1987</v>
      </c>
      <c r="AN388" s="1018" t="s">
        <v>278</v>
      </c>
      <c r="AO388" s="1018" t="s">
        <v>1146</v>
      </c>
      <c r="AP388" s="1333">
        <v>1</v>
      </c>
      <c r="AQ388" s="1076" t="s">
        <v>1010</v>
      </c>
      <c r="AR388" s="1109" t="s">
        <v>1942</v>
      </c>
      <c r="AS388" s="1110"/>
      <c r="AT388" s="1100"/>
      <c r="AU388" s="1100"/>
      <c r="AV388" s="1100"/>
      <c r="AW388" s="1111"/>
      <c r="AX388" s="1112"/>
      <c r="AY388" s="1075"/>
      <c r="AZ388" s="1076"/>
      <c r="BA388" s="1076"/>
      <c r="BB388" s="1076"/>
      <c r="BC388" s="1076"/>
      <c r="BD388" s="1076"/>
      <c r="BE388" s="1076"/>
      <c r="BF388" s="1076"/>
      <c r="BG388" s="1076"/>
      <c r="BH388" s="1076"/>
      <c r="BI388" s="1420"/>
      <c r="BJ388" s="1368"/>
      <c r="BK388" s="1368"/>
      <c r="BL388" s="1368"/>
      <c r="BM388" s="1368"/>
      <c r="BN388" s="1075"/>
      <c r="BO388" s="1076"/>
      <c r="BP388" s="1076"/>
      <c r="BQ388" s="1076"/>
      <c r="BR388" s="1076"/>
      <c r="BS388" s="1115"/>
      <c r="BT388" s="1076"/>
      <c r="BU388" s="1076"/>
      <c r="BV388" s="1076"/>
      <c r="BW388" s="1116"/>
      <c r="BX388" s="1115"/>
      <c r="BY388" s="1076"/>
      <c r="BZ388" s="1076"/>
      <c r="CA388" s="1076"/>
      <c r="CB388" s="1116"/>
      <c r="CC388" s="1117"/>
      <c r="CD388" s="1376"/>
      <c r="CE388" s="1377"/>
      <c r="CF388" s="1377"/>
      <c r="CG388" s="1377"/>
      <c r="CH388" s="1440"/>
      <c r="CI388" s="1420"/>
      <c r="CJ388" s="1368"/>
      <c r="CK388" s="1368"/>
      <c r="CL388" s="1368"/>
      <c r="CM388" s="1369"/>
      <c r="CN388" s="1420"/>
      <c r="CO388" s="1368"/>
      <c r="CP388" s="1368"/>
      <c r="CQ388" s="1368"/>
      <c r="CR388" s="1369"/>
      <c r="CS388" s="1420"/>
      <c r="CT388" s="1368"/>
      <c r="CU388" s="1368"/>
      <c r="CV388" s="1368"/>
      <c r="CW388" s="1369"/>
      <c r="CX388" s="1420"/>
      <c r="CY388" s="1368"/>
      <c r="CZ388" s="1368"/>
      <c r="DA388" s="1368"/>
      <c r="DB388" s="1369"/>
      <c r="DC388" s="1368"/>
      <c r="DD388" s="1368"/>
      <c r="DE388" s="1368"/>
      <c r="DF388" s="1368"/>
      <c r="DG388" s="1369"/>
      <c r="DH388" s="1420"/>
      <c r="DI388" s="1368"/>
      <c r="DJ388" s="1368"/>
      <c r="DK388" s="1368"/>
      <c r="DL388" s="1369"/>
      <c r="DM388" s="1808"/>
      <c r="DN388" s="1809"/>
      <c r="DO388" s="1809"/>
      <c r="DP388" s="1810"/>
      <c r="DQ388" s="1809"/>
      <c r="DR388" s="1809"/>
      <c r="DS388" s="1809"/>
      <c r="DT388" s="1810"/>
      <c r="DU388" s="1377"/>
      <c r="DV388" s="1729"/>
      <c r="DW388" s="1811"/>
    </row>
    <row r="389" spans="1:127" s="397" customFormat="1" ht="15.75" hidden="1" customHeight="1">
      <c r="A389" s="1097" t="s">
        <v>1036</v>
      </c>
      <c r="B389" s="1057">
        <v>380</v>
      </c>
      <c r="C389" s="1018"/>
      <c r="D389" s="1018" t="s">
        <v>2098</v>
      </c>
      <c r="E389" s="1018"/>
      <c r="F389" s="1018"/>
      <c r="G389" s="1018"/>
      <c r="H389" s="1018"/>
      <c r="I389" s="1018"/>
      <c r="J389" s="1018"/>
      <c r="K389" s="1018"/>
      <c r="L389" s="1018"/>
      <c r="M389" s="1057"/>
      <c r="N389" s="1018"/>
      <c r="O389" s="1018"/>
      <c r="P389" s="1018"/>
      <c r="Q389" s="1018"/>
      <c r="R389" s="1018"/>
      <c r="S389" s="1018"/>
      <c r="T389" s="1019"/>
      <c r="U389" s="1098" t="s">
        <v>3552</v>
      </c>
      <c r="V389" s="1099" t="s">
        <v>2348</v>
      </c>
      <c r="W389" s="1099" t="s">
        <v>1907</v>
      </c>
      <c r="X389" s="1100" t="s">
        <v>3553</v>
      </c>
      <c r="Y389" s="1101" t="s">
        <v>3554</v>
      </c>
      <c r="Z389" s="1102" t="s">
        <v>3555</v>
      </c>
      <c r="AA389" s="1103">
        <v>1</v>
      </c>
      <c r="AB389" s="1104" t="s">
        <v>1942</v>
      </c>
      <c r="AC389" s="1104" t="s">
        <v>1942</v>
      </c>
      <c r="AD389" s="1104" t="s">
        <v>1942</v>
      </c>
      <c r="AE389" s="1104" t="s">
        <v>1942</v>
      </c>
      <c r="AF389" s="1104" t="s">
        <v>1942</v>
      </c>
      <c r="AG389" s="1104" t="s">
        <v>1942</v>
      </c>
      <c r="AH389" s="1104" t="s">
        <v>1942</v>
      </c>
      <c r="AI389" s="1105">
        <f t="shared" si="5"/>
        <v>1</v>
      </c>
      <c r="AJ389" s="1106" t="s">
        <v>1026</v>
      </c>
      <c r="AK389" s="1106" t="s">
        <v>1018</v>
      </c>
      <c r="AL389" s="1106" t="s">
        <v>4861</v>
      </c>
      <c r="AM389" s="1107" t="s">
        <v>2515</v>
      </c>
      <c r="AN389" s="1018" t="s">
        <v>1033</v>
      </c>
      <c r="AO389" s="1018" t="s">
        <v>2270</v>
      </c>
      <c r="AP389" s="1333">
        <v>1</v>
      </c>
      <c r="AQ389" s="1076" t="s">
        <v>1010</v>
      </c>
      <c r="AR389" s="1109" t="s">
        <v>1942</v>
      </c>
      <c r="AS389" s="1110"/>
      <c r="AT389" s="1100"/>
      <c r="AU389" s="1100"/>
      <c r="AV389" s="1100"/>
      <c r="AW389" s="1111"/>
      <c r="AX389" s="1112"/>
      <c r="AY389" s="1075"/>
      <c r="AZ389" s="1076"/>
      <c r="BA389" s="1076"/>
      <c r="BB389" s="1076"/>
      <c r="BC389" s="1076"/>
      <c r="BD389" s="1076"/>
      <c r="BE389" s="1076"/>
      <c r="BF389" s="1076"/>
      <c r="BG389" s="1076"/>
      <c r="BH389" s="1076"/>
      <c r="BI389" s="1420"/>
      <c r="BJ389" s="1368"/>
      <c r="BK389" s="1368"/>
      <c r="BL389" s="1368"/>
      <c r="BM389" s="1368"/>
      <c r="BN389" s="1075"/>
      <c r="BO389" s="1076"/>
      <c r="BP389" s="1076"/>
      <c r="BQ389" s="1076"/>
      <c r="BR389" s="1076"/>
      <c r="BS389" s="1115"/>
      <c r="BT389" s="1076"/>
      <c r="BU389" s="1076"/>
      <c r="BV389" s="1076"/>
      <c r="BW389" s="1116"/>
      <c r="BX389" s="1115"/>
      <c r="BY389" s="1076"/>
      <c r="BZ389" s="1076"/>
      <c r="CA389" s="1076"/>
      <c r="CB389" s="1116"/>
      <c r="CC389" s="1117"/>
      <c r="CD389" s="1376"/>
      <c r="CE389" s="1377"/>
      <c r="CF389" s="1377"/>
      <c r="CG389" s="1377"/>
      <c r="CH389" s="1440"/>
      <c r="CI389" s="1420"/>
      <c r="CJ389" s="1368"/>
      <c r="CK389" s="1368"/>
      <c r="CL389" s="1368"/>
      <c r="CM389" s="1369"/>
      <c r="CN389" s="1420"/>
      <c r="CO389" s="1368"/>
      <c r="CP389" s="1368"/>
      <c r="CQ389" s="1368"/>
      <c r="CR389" s="1369"/>
      <c r="CS389" s="1420"/>
      <c r="CT389" s="1368"/>
      <c r="CU389" s="1368"/>
      <c r="CV389" s="1368"/>
      <c r="CW389" s="1369"/>
      <c r="CX389" s="1420"/>
      <c r="CY389" s="1368"/>
      <c r="CZ389" s="1368"/>
      <c r="DA389" s="1368"/>
      <c r="DB389" s="1369"/>
      <c r="DC389" s="1368"/>
      <c r="DD389" s="1368"/>
      <c r="DE389" s="1368"/>
      <c r="DF389" s="1368"/>
      <c r="DG389" s="1369"/>
      <c r="DH389" s="1420"/>
      <c r="DI389" s="1368"/>
      <c r="DJ389" s="1368"/>
      <c r="DK389" s="1368"/>
      <c r="DL389" s="1369"/>
      <c r="DM389" s="1808"/>
      <c r="DN389" s="1809"/>
      <c r="DO389" s="1809"/>
      <c r="DP389" s="1810"/>
      <c r="DQ389" s="1809"/>
      <c r="DR389" s="1809"/>
      <c r="DS389" s="1809"/>
      <c r="DT389" s="1810"/>
      <c r="DU389" s="1377"/>
      <c r="DV389" s="1729"/>
      <c r="DW389" s="1811"/>
    </row>
    <row r="390" spans="1:127" s="397" customFormat="1" ht="15.75" hidden="1" customHeight="1">
      <c r="A390" s="1097" t="s">
        <v>1036</v>
      </c>
      <c r="B390" s="1057">
        <v>381</v>
      </c>
      <c r="C390" s="1018"/>
      <c r="D390" s="1018"/>
      <c r="E390" s="1018"/>
      <c r="F390" s="1018"/>
      <c r="G390" s="1018"/>
      <c r="H390" s="1018"/>
      <c r="I390" s="1018"/>
      <c r="J390" s="1018"/>
      <c r="K390" s="1018"/>
      <c r="L390" s="1018"/>
      <c r="M390" s="1057"/>
      <c r="N390" s="1018"/>
      <c r="O390" s="1018"/>
      <c r="P390" s="1018"/>
      <c r="Q390" s="1018"/>
      <c r="R390" s="1018"/>
      <c r="S390" s="1018"/>
      <c r="T390" s="1019"/>
      <c r="U390" s="1098" t="s">
        <v>3556</v>
      </c>
      <c r="V390" s="1099" t="s">
        <v>2348</v>
      </c>
      <c r="W390" s="1099" t="s">
        <v>1907</v>
      </c>
      <c r="X390" s="1100" t="s">
        <v>3557</v>
      </c>
      <c r="Y390" s="1101" t="s">
        <v>3558</v>
      </c>
      <c r="Z390" s="1102" t="s">
        <v>3559</v>
      </c>
      <c r="AA390" s="1103">
        <v>1</v>
      </c>
      <c r="AB390" s="1104" t="s">
        <v>1942</v>
      </c>
      <c r="AC390" s="1104" t="s">
        <v>1942</v>
      </c>
      <c r="AD390" s="1104" t="s">
        <v>1942</v>
      </c>
      <c r="AE390" s="1104" t="s">
        <v>1942</v>
      </c>
      <c r="AF390" s="1104" t="s">
        <v>1942</v>
      </c>
      <c r="AG390" s="1104" t="s">
        <v>1942</v>
      </c>
      <c r="AH390" s="1104" t="s">
        <v>1942</v>
      </c>
      <c r="AI390" s="1105">
        <f t="shared" si="5"/>
        <v>1</v>
      </c>
      <c r="AJ390" s="1106" t="s">
        <v>1030</v>
      </c>
      <c r="AK390" s="1106" t="s">
        <v>1008</v>
      </c>
      <c r="AL390" s="1106" t="s">
        <v>1009</v>
      </c>
      <c r="AM390" s="1107" t="s">
        <v>1961</v>
      </c>
      <c r="AN390" s="1018" t="s">
        <v>1033</v>
      </c>
      <c r="AO390" s="1018" t="s">
        <v>3560</v>
      </c>
      <c r="AP390" s="1333">
        <v>0</v>
      </c>
      <c r="AQ390" s="1076" t="s">
        <v>1010</v>
      </c>
      <c r="AR390" s="1109" t="s">
        <v>1942</v>
      </c>
      <c r="AS390" s="1110"/>
      <c r="AT390" s="1100"/>
      <c r="AU390" s="1100"/>
      <c r="AV390" s="1100"/>
      <c r="AW390" s="1111"/>
      <c r="AX390" s="1112"/>
      <c r="AY390" s="1075"/>
      <c r="AZ390" s="1076"/>
      <c r="BA390" s="1076"/>
      <c r="BB390" s="1076"/>
      <c r="BC390" s="1076"/>
      <c r="BD390" s="1076"/>
      <c r="BE390" s="1076"/>
      <c r="BF390" s="1076"/>
      <c r="BG390" s="1076"/>
      <c r="BH390" s="1076"/>
      <c r="BI390" s="1420"/>
      <c r="BJ390" s="1368"/>
      <c r="BK390" s="1368"/>
      <c r="BL390" s="1368"/>
      <c r="BM390" s="1368"/>
      <c r="BN390" s="1075"/>
      <c r="BO390" s="1076"/>
      <c r="BP390" s="1076"/>
      <c r="BQ390" s="1076"/>
      <c r="BR390" s="1076"/>
      <c r="BS390" s="1115"/>
      <c r="BT390" s="1076"/>
      <c r="BU390" s="1076"/>
      <c r="BV390" s="1076"/>
      <c r="BW390" s="1116"/>
      <c r="BX390" s="1115"/>
      <c r="BY390" s="1076"/>
      <c r="BZ390" s="1076"/>
      <c r="CA390" s="1076"/>
      <c r="CB390" s="1116"/>
      <c r="CC390" s="1117"/>
      <c r="CD390" s="1376"/>
      <c r="CE390" s="1377"/>
      <c r="CF390" s="1377"/>
      <c r="CG390" s="1377"/>
      <c r="CH390" s="1440"/>
      <c r="CI390" s="1420"/>
      <c r="CJ390" s="1368"/>
      <c r="CK390" s="1368"/>
      <c r="CL390" s="1368"/>
      <c r="CM390" s="1369"/>
      <c r="CN390" s="1420"/>
      <c r="CO390" s="1368"/>
      <c r="CP390" s="1368"/>
      <c r="CQ390" s="1368"/>
      <c r="CR390" s="1369"/>
      <c r="CS390" s="1420"/>
      <c r="CT390" s="1368"/>
      <c r="CU390" s="1368"/>
      <c r="CV390" s="1368"/>
      <c r="CW390" s="1369"/>
      <c r="CX390" s="1420"/>
      <c r="CY390" s="1368"/>
      <c r="CZ390" s="1368"/>
      <c r="DA390" s="1368"/>
      <c r="DB390" s="1369"/>
      <c r="DC390" s="1368"/>
      <c r="DD390" s="1368"/>
      <c r="DE390" s="1368"/>
      <c r="DF390" s="1368"/>
      <c r="DG390" s="1369"/>
      <c r="DH390" s="1420"/>
      <c r="DI390" s="1368"/>
      <c r="DJ390" s="1368"/>
      <c r="DK390" s="1368"/>
      <c r="DL390" s="1369"/>
      <c r="DM390" s="1808"/>
      <c r="DN390" s="1809"/>
      <c r="DO390" s="1809"/>
      <c r="DP390" s="1810"/>
      <c r="DQ390" s="1809"/>
      <c r="DR390" s="1809"/>
      <c r="DS390" s="1809"/>
      <c r="DT390" s="1810"/>
      <c r="DU390" s="1377"/>
      <c r="DV390" s="1729"/>
      <c r="DW390" s="1811"/>
    </row>
    <row r="391" spans="1:127" s="397" customFormat="1" ht="15.75" hidden="1" customHeight="1">
      <c r="A391" s="1097" t="s">
        <v>1036</v>
      </c>
      <c r="B391" s="1057">
        <v>382</v>
      </c>
      <c r="C391" s="1018"/>
      <c r="D391" s="1018"/>
      <c r="E391" s="1018"/>
      <c r="F391" s="1018"/>
      <c r="G391" s="1018"/>
      <c r="H391" s="1018"/>
      <c r="I391" s="1018"/>
      <c r="J391" s="1018"/>
      <c r="K391" s="1018"/>
      <c r="L391" s="1018"/>
      <c r="M391" s="1057"/>
      <c r="N391" s="1018"/>
      <c r="O391" s="1018"/>
      <c r="P391" s="1018"/>
      <c r="Q391" s="1018"/>
      <c r="R391" s="1018"/>
      <c r="S391" s="1018"/>
      <c r="T391" s="1019"/>
      <c r="U391" s="1098" t="s">
        <v>3561</v>
      </c>
      <c r="V391" s="1099" t="s">
        <v>2332</v>
      </c>
      <c r="W391" s="1099" t="s">
        <v>1907</v>
      </c>
      <c r="X391" s="1100" t="s">
        <v>3562</v>
      </c>
      <c r="Y391" s="1101" t="s">
        <v>130</v>
      </c>
      <c r="Z391" s="1102" t="s">
        <v>2334</v>
      </c>
      <c r="AA391" s="1103">
        <v>0.5</v>
      </c>
      <c r="AB391" s="1104">
        <v>0.5</v>
      </c>
      <c r="AC391" s="1104" t="s">
        <v>1942</v>
      </c>
      <c r="AD391" s="1104" t="s">
        <v>1942</v>
      </c>
      <c r="AE391" s="1104" t="s">
        <v>1942</v>
      </c>
      <c r="AF391" s="1104" t="s">
        <v>1942</v>
      </c>
      <c r="AG391" s="1104" t="s">
        <v>1942</v>
      </c>
      <c r="AH391" s="1104" t="s">
        <v>1942</v>
      </c>
      <c r="AI391" s="1105">
        <f t="shared" si="5"/>
        <v>1</v>
      </c>
      <c r="AJ391" s="1106" t="s">
        <v>1026</v>
      </c>
      <c r="AK391" s="1106" t="s">
        <v>1008</v>
      </c>
      <c r="AL391" s="1106" t="s">
        <v>1009</v>
      </c>
      <c r="AM391" s="1107" t="s">
        <v>1926</v>
      </c>
      <c r="AN391" s="1018" t="s">
        <v>2177</v>
      </c>
      <c r="AO391" s="1018" t="s">
        <v>4795</v>
      </c>
      <c r="AP391" s="1307">
        <v>2</v>
      </c>
      <c r="AQ391" s="1076" t="s">
        <v>1020</v>
      </c>
      <c r="AR391" s="1109" t="s">
        <v>130</v>
      </c>
      <c r="AS391" s="1110"/>
      <c r="AT391" s="1100"/>
      <c r="AU391" s="1100"/>
      <c r="AV391" s="1100"/>
      <c r="AW391" s="1111"/>
      <c r="AX391" s="1112"/>
      <c r="AY391" s="1075"/>
      <c r="AZ391" s="1076"/>
      <c r="BA391" s="1076"/>
      <c r="BB391" s="1076"/>
      <c r="BC391" s="1076"/>
      <c r="BD391" s="1076"/>
      <c r="BE391" s="1076"/>
      <c r="BF391" s="1076"/>
      <c r="BG391" s="1126"/>
      <c r="BH391" s="1126"/>
      <c r="BI391" s="1127">
        <v>0</v>
      </c>
      <c r="BJ391" s="1126">
        <v>0</v>
      </c>
      <c r="BK391" s="1126">
        <v>0</v>
      </c>
      <c r="BL391" s="1126">
        <v>0</v>
      </c>
      <c r="BM391" s="1126">
        <v>0</v>
      </c>
      <c r="BN391" s="1075"/>
      <c r="BO391" s="1076"/>
      <c r="BP391" s="1076"/>
      <c r="BQ391" s="1076"/>
      <c r="BR391" s="1076"/>
      <c r="BS391" s="1115"/>
      <c r="BT391" s="1076"/>
      <c r="BU391" s="1076"/>
      <c r="BV391" s="1076"/>
      <c r="BW391" s="1116"/>
      <c r="BX391" s="1115"/>
      <c r="BY391" s="1076"/>
      <c r="BZ391" s="1076"/>
      <c r="CA391" s="1076"/>
      <c r="CB391" s="1116"/>
      <c r="CC391" s="1117"/>
      <c r="CD391" s="1118" t="s">
        <v>168</v>
      </c>
      <c r="CE391" s="1119" t="s">
        <v>168</v>
      </c>
      <c r="CF391" s="1119" t="s">
        <v>168</v>
      </c>
      <c r="CG391" s="1119" t="s">
        <v>168</v>
      </c>
      <c r="CH391" s="1120" t="s">
        <v>168</v>
      </c>
      <c r="CI391" s="1075" t="s">
        <v>1942</v>
      </c>
      <c r="CJ391" s="1076" t="s">
        <v>1942</v>
      </c>
      <c r="CK391" s="1076" t="s">
        <v>1942</v>
      </c>
      <c r="CL391" s="1076" t="s">
        <v>1942</v>
      </c>
      <c r="CM391" s="1117" t="s">
        <v>1942</v>
      </c>
      <c r="CN391" s="1075">
        <v>9.5</v>
      </c>
      <c r="CO391" s="1076">
        <v>9.5</v>
      </c>
      <c r="CP391" s="1076">
        <v>9.5</v>
      </c>
      <c r="CQ391" s="1076">
        <v>9.5</v>
      </c>
      <c r="CR391" s="1117">
        <v>9.5</v>
      </c>
      <c r="CS391" s="1075">
        <v>2</v>
      </c>
      <c r="CT391" s="1076">
        <v>2</v>
      </c>
      <c r="CU391" s="1076">
        <v>2</v>
      </c>
      <c r="CV391" s="1076">
        <v>2</v>
      </c>
      <c r="CW391" s="1117">
        <v>2</v>
      </c>
      <c r="CX391" s="1075" t="s">
        <v>1942</v>
      </c>
      <c r="CY391" s="1076" t="s">
        <v>1942</v>
      </c>
      <c r="CZ391" s="1076" t="s">
        <v>1942</v>
      </c>
      <c r="DA391" s="1076" t="s">
        <v>1942</v>
      </c>
      <c r="DB391" s="1117" t="s">
        <v>1942</v>
      </c>
      <c r="DC391" s="1076" t="s">
        <v>1942</v>
      </c>
      <c r="DD391" s="1076" t="s">
        <v>1942</v>
      </c>
      <c r="DE391" s="1076" t="s">
        <v>1942</v>
      </c>
      <c r="DF391" s="1076" t="s">
        <v>1942</v>
      </c>
      <c r="DG391" s="1117" t="s">
        <v>1942</v>
      </c>
      <c r="DH391" s="1075" t="s">
        <v>1942</v>
      </c>
      <c r="DI391" s="1076" t="s">
        <v>1942</v>
      </c>
      <c r="DJ391" s="1076" t="s">
        <v>1942</v>
      </c>
      <c r="DK391" s="1076" t="s">
        <v>1942</v>
      </c>
      <c r="DL391" s="1117" t="s">
        <v>1942</v>
      </c>
      <c r="DM391" s="1121">
        <v>-1.9610000000000001</v>
      </c>
      <c r="DN391" s="1122" t="s">
        <v>1942</v>
      </c>
      <c r="DO391" s="1122" t="s">
        <v>1942</v>
      </c>
      <c r="DP391" s="1123" t="s">
        <v>1942</v>
      </c>
      <c r="DQ391" s="1122">
        <v>0</v>
      </c>
      <c r="DR391" s="1122" t="s">
        <v>1942</v>
      </c>
      <c r="DS391" s="1122" t="s">
        <v>1942</v>
      </c>
      <c r="DT391" s="1123" t="s">
        <v>1942</v>
      </c>
      <c r="DU391" s="1119" t="s">
        <v>1942</v>
      </c>
      <c r="DV391" s="1124">
        <v>1</v>
      </c>
      <c r="DW391" s="1125" t="s">
        <v>1942</v>
      </c>
    </row>
    <row r="392" spans="1:127" s="397" customFormat="1" ht="15.75" hidden="1" customHeight="1">
      <c r="A392" s="1097" t="s">
        <v>1036</v>
      </c>
      <c r="B392" s="1057">
        <v>383</v>
      </c>
      <c r="C392" s="1018"/>
      <c r="D392" s="1018"/>
      <c r="E392" s="1018"/>
      <c r="F392" s="1018"/>
      <c r="G392" s="1018"/>
      <c r="H392" s="1018"/>
      <c r="I392" s="1018"/>
      <c r="J392" s="1018"/>
      <c r="K392" s="1018"/>
      <c r="L392" s="1018"/>
      <c r="M392" s="1057"/>
      <c r="N392" s="1018"/>
      <c r="O392" s="1018"/>
      <c r="P392" s="1018"/>
      <c r="Q392" s="1018"/>
      <c r="R392" s="1018"/>
      <c r="S392" s="1018"/>
      <c r="T392" s="1019"/>
      <c r="U392" s="1098" t="s">
        <v>3563</v>
      </c>
      <c r="V392" s="1099" t="s">
        <v>2332</v>
      </c>
      <c r="W392" s="1099" t="s">
        <v>1896</v>
      </c>
      <c r="X392" s="1100" t="s">
        <v>3564</v>
      </c>
      <c r="Y392" s="1101" t="s">
        <v>3565</v>
      </c>
      <c r="Z392" s="1102" t="s">
        <v>3566</v>
      </c>
      <c r="AA392" s="1103">
        <v>0.25</v>
      </c>
      <c r="AB392" s="1104">
        <v>0.75</v>
      </c>
      <c r="AC392" s="1104" t="s">
        <v>1942</v>
      </c>
      <c r="AD392" s="1104" t="s">
        <v>1942</v>
      </c>
      <c r="AE392" s="1104" t="s">
        <v>1942</v>
      </c>
      <c r="AF392" s="1104" t="s">
        <v>1942</v>
      </c>
      <c r="AG392" s="1104" t="s">
        <v>1942</v>
      </c>
      <c r="AH392" s="1104" t="s">
        <v>1942</v>
      </c>
      <c r="AI392" s="1105">
        <f t="shared" si="5"/>
        <v>1</v>
      </c>
      <c r="AJ392" s="1106" t="s">
        <v>1030</v>
      </c>
      <c r="AK392" s="1106" t="s">
        <v>1008</v>
      </c>
      <c r="AL392" s="1106" t="s">
        <v>1009</v>
      </c>
      <c r="AM392" s="1107" t="s">
        <v>2149</v>
      </c>
      <c r="AN392" s="1018" t="s">
        <v>396</v>
      </c>
      <c r="AO392" s="1018" t="s">
        <v>4798</v>
      </c>
      <c r="AP392" s="1333">
        <v>0</v>
      </c>
      <c r="AQ392" s="1076" t="s">
        <v>1020</v>
      </c>
      <c r="AR392" s="1109"/>
      <c r="AS392" s="1110"/>
      <c r="AT392" s="1100"/>
      <c r="AU392" s="1100"/>
      <c r="AV392" s="1100"/>
      <c r="AW392" s="1111"/>
      <c r="AX392" s="1112"/>
      <c r="AY392" s="1075"/>
      <c r="AZ392" s="1076"/>
      <c r="BA392" s="1076"/>
      <c r="BB392" s="1076"/>
      <c r="BC392" s="1076"/>
      <c r="BD392" s="1076"/>
      <c r="BE392" s="1076"/>
      <c r="BF392" s="1076"/>
      <c r="BG392" s="1076"/>
      <c r="BH392" s="1076"/>
      <c r="BI392" s="1420"/>
      <c r="BJ392" s="1368"/>
      <c r="BK392" s="1368"/>
      <c r="BL392" s="1368"/>
      <c r="BM392" s="1368"/>
      <c r="BN392" s="1075"/>
      <c r="BO392" s="1076"/>
      <c r="BP392" s="1076"/>
      <c r="BQ392" s="1076"/>
      <c r="BR392" s="1076"/>
      <c r="BS392" s="1115"/>
      <c r="BT392" s="1076"/>
      <c r="BU392" s="1076"/>
      <c r="BV392" s="1076"/>
      <c r="BW392" s="1116"/>
      <c r="BX392" s="1115"/>
      <c r="BY392" s="1076"/>
      <c r="BZ392" s="1076"/>
      <c r="CA392" s="1076"/>
      <c r="CB392" s="1116"/>
      <c r="CC392" s="1117"/>
      <c r="CD392" s="1376"/>
      <c r="CE392" s="1377"/>
      <c r="CF392" s="1377"/>
      <c r="CG392" s="1377"/>
      <c r="CH392" s="1440"/>
      <c r="CI392" s="1420"/>
      <c r="CJ392" s="1368"/>
      <c r="CK392" s="1368"/>
      <c r="CL392" s="1368"/>
      <c r="CM392" s="1369"/>
      <c r="CN392" s="1420"/>
      <c r="CO392" s="1368"/>
      <c r="CP392" s="1368"/>
      <c r="CQ392" s="1368"/>
      <c r="CR392" s="1369"/>
      <c r="CS392" s="1420"/>
      <c r="CT392" s="1368"/>
      <c r="CU392" s="1368"/>
      <c r="CV392" s="1368"/>
      <c r="CW392" s="1369"/>
      <c r="CX392" s="1420"/>
      <c r="CY392" s="1368"/>
      <c r="CZ392" s="1368"/>
      <c r="DA392" s="1368"/>
      <c r="DB392" s="1369"/>
      <c r="DC392" s="1368"/>
      <c r="DD392" s="1368"/>
      <c r="DE392" s="1368"/>
      <c r="DF392" s="1368"/>
      <c r="DG392" s="1369"/>
      <c r="DH392" s="1420"/>
      <c r="DI392" s="1368"/>
      <c r="DJ392" s="1368"/>
      <c r="DK392" s="1368"/>
      <c r="DL392" s="1369"/>
      <c r="DM392" s="1808"/>
      <c r="DN392" s="1809"/>
      <c r="DO392" s="1809"/>
      <c r="DP392" s="1810"/>
      <c r="DQ392" s="1809"/>
      <c r="DR392" s="1809"/>
      <c r="DS392" s="1809"/>
      <c r="DT392" s="1810"/>
      <c r="DU392" s="1377"/>
      <c r="DV392" s="1729"/>
      <c r="DW392" s="1811"/>
    </row>
    <row r="393" spans="1:127" s="397" customFormat="1" ht="15.75" hidden="1" customHeight="1">
      <c r="A393" s="1097" t="s">
        <v>1036</v>
      </c>
      <c r="B393" s="1057">
        <v>384</v>
      </c>
      <c r="C393" s="1018"/>
      <c r="D393" s="1018"/>
      <c r="E393" s="1018"/>
      <c r="F393" s="1018"/>
      <c r="G393" s="1018"/>
      <c r="H393" s="1018"/>
      <c r="I393" s="1018"/>
      <c r="J393" s="1018"/>
      <c r="K393" s="1018"/>
      <c r="L393" s="1018"/>
      <c r="M393" s="1057"/>
      <c r="N393" s="1018"/>
      <c r="O393" s="1018"/>
      <c r="P393" s="1018"/>
      <c r="Q393" s="1018"/>
      <c r="R393" s="1018"/>
      <c r="S393" s="1018"/>
      <c r="T393" s="1019"/>
      <c r="U393" s="1098" t="s">
        <v>3568</v>
      </c>
      <c r="V393" s="1099" t="s">
        <v>2332</v>
      </c>
      <c r="W393" s="1099" t="s">
        <v>1889</v>
      </c>
      <c r="X393" s="1100" t="s">
        <v>3569</v>
      </c>
      <c r="Y393" s="1101" t="s">
        <v>3570</v>
      </c>
      <c r="Z393" s="1102" t="s">
        <v>3571</v>
      </c>
      <c r="AA393" s="1103" t="s">
        <v>1942</v>
      </c>
      <c r="AB393" s="1104">
        <v>1</v>
      </c>
      <c r="AC393" s="1104" t="s">
        <v>1942</v>
      </c>
      <c r="AD393" s="1104" t="s">
        <v>1942</v>
      </c>
      <c r="AE393" s="1104" t="s">
        <v>1942</v>
      </c>
      <c r="AF393" s="1104" t="s">
        <v>1942</v>
      </c>
      <c r="AG393" s="1104" t="s">
        <v>1942</v>
      </c>
      <c r="AH393" s="1104" t="s">
        <v>1942</v>
      </c>
      <c r="AI393" s="1105">
        <f t="shared" si="5"/>
        <v>1</v>
      </c>
      <c r="AJ393" s="1106" t="s">
        <v>1030</v>
      </c>
      <c r="AK393" s="1106" t="s">
        <v>1008</v>
      </c>
      <c r="AL393" s="1106" t="s">
        <v>4861</v>
      </c>
      <c r="AM393" s="1107" t="s">
        <v>1967</v>
      </c>
      <c r="AN393" s="1018" t="s">
        <v>1033</v>
      </c>
      <c r="AO393" s="1018" t="s">
        <v>3572</v>
      </c>
      <c r="AP393" s="1333">
        <v>0</v>
      </c>
      <c r="AQ393" s="1076" t="s">
        <v>1010</v>
      </c>
      <c r="AR393" s="1109" t="s">
        <v>1942</v>
      </c>
      <c r="AS393" s="1110"/>
      <c r="AT393" s="1100"/>
      <c r="AU393" s="1100"/>
      <c r="AV393" s="1100"/>
      <c r="AW393" s="1111"/>
      <c r="AX393" s="1112"/>
      <c r="AY393" s="1075"/>
      <c r="AZ393" s="1076"/>
      <c r="BA393" s="1076"/>
      <c r="BB393" s="1076"/>
      <c r="BC393" s="1076"/>
      <c r="BD393" s="1076"/>
      <c r="BE393" s="1076"/>
      <c r="BF393" s="1076"/>
      <c r="BG393" s="1076"/>
      <c r="BH393" s="1076"/>
      <c r="BI393" s="1420"/>
      <c r="BJ393" s="1368"/>
      <c r="BK393" s="1368"/>
      <c r="BL393" s="1368"/>
      <c r="BM393" s="1368"/>
      <c r="BN393" s="1075"/>
      <c r="BO393" s="1076"/>
      <c r="BP393" s="1076"/>
      <c r="BQ393" s="1076"/>
      <c r="BR393" s="1076"/>
      <c r="BS393" s="1115"/>
      <c r="BT393" s="1076"/>
      <c r="BU393" s="1076"/>
      <c r="BV393" s="1076"/>
      <c r="BW393" s="1116"/>
      <c r="BX393" s="1115"/>
      <c r="BY393" s="1076"/>
      <c r="BZ393" s="1076"/>
      <c r="CA393" s="1076"/>
      <c r="CB393" s="1116"/>
      <c r="CC393" s="1117"/>
      <c r="CD393" s="1376"/>
      <c r="CE393" s="1377"/>
      <c r="CF393" s="1377"/>
      <c r="CG393" s="1377"/>
      <c r="CH393" s="1440"/>
      <c r="CI393" s="1420"/>
      <c r="CJ393" s="1368"/>
      <c r="CK393" s="1368"/>
      <c r="CL393" s="1368"/>
      <c r="CM393" s="1369"/>
      <c r="CN393" s="1420"/>
      <c r="CO393" s="1368"/>
      <c r="CP393" s="1368"/>
      <c r="CQ393" s="1368"/>
      <c r="CR393" s="1369"/>
      <c r="CS393" s="1420"/>
      <c r="CT393" s="1368"/>
      <c r="CU393" s="1368"/>
      <c r="CV393" s="1368"/>
      <c r="CW393" s="1369"/>
      <c r="CX393" s="1420"/>
      <c r="CY393" s="1368"/>
      <c r="CZ393" s="1368"/>
      <c r="DA393" s="1368"/>
      <c r="DB393" s="1369"/>
      <c r="DC393" s="1368"/>
      <c r="DD393" s="1368"/>
      <c r="DE393" s="1368"/>
      <c r="DF393" s="1368"/>
      <c r="DG393" s="1369"/>
      <c r="DH393" s="1420"/>
      <c r="DI393" s="1368"/>
      <c r="DJ393" s="1368"/>
      <c r="DK393" s="1368"/>
      <c r="DL393" s="1369"/>
      <c r="DM393" s="1808"/>
      <c r="DN393" s="1809"/>
      <c r="DO393" s="1809"/>
      <c r="DP393" s="1810"/>
      <c r="DQ393" s="1809"/>
      <c r="DR393" s="1809"/>
      <c r="DS393" s="1809"/>
      <c r="DT393" s="1810"/>
      <c r="DU393" s="1377"/>
      <c r="DV393" s="1729"/>
      <c r="DW393" s="1811"/>
    </row>
    <row r="394" spans="1:127" s="397" customFormat="1" ht="15.75" hidden="1" customHeight="1">
      <c r="A394" s="1097" t="s">
        <v>1036</v>
      </c>
      <c r="B394" s="1057">
        <v>385</v>
      </c>
      <c r="C394" s="1018"/>
      <c r="D394" s="1018"/>
      <c r="E394" s="1018"/>
      <c r="F394" s="1018"/>
      <c r="G394" s="1018"/>
      <c r="H394" s="1018"/>
      <c r="I394" s="1018"/>
      <c r="J394" s="1018"/>
      <c r="K394" s="1018"/>
      <c r="L394" s="1018"/>
      <c r="M394" s="1057"/>
      <c r="N394" s="1018"/>
      <c r="O394" s="1018"/>
      <c r="P394" s="1018"/>
      <c r="Q394" s="1018"/>
      <c r="R394" s="1018"/>
      <c r="S394" s="1018"/>
      <c r="T394" s="1019"/>
      <c r="U394" s="1098" t="s">
        <v>3573</v>
      </c>
      <c r="V394" s="1099" t="s">
        <v>2332</v>
      </c>
      <c r="W394" s="1099" t="s">
        <v>1907</v>
      </c>
      <c r="X394" s="1100" t="s">
        <v>3574</v>
      </c>
      <c r="Y394" s="1101" t="s">
        <v>3575</v>
      </c>
      <c r="Z394" s="1102" t="s">
        <v>3576</v>
      </c>
      <c r="AA394" s="1103" t="s">
        <v>1942</v>
      </c>
      <c r="AB394" s="1104">
        <v>1</v>
      </c>
      <c r="AC394" s="1104" t="s">
        <v>1942</v>
      </c>
      <c r="AD394" s="1104" t="s">
        <v>1942</v>
      </c>
      <c r="AE394" s="1104" t="s">
        <v>1942</v>
      </c>
      <c r="AF394" s="1104" t="s">
        <v>1942</v>
      </c>
      <c r="AG394" s="1104" t="s">
        <v>1942</v>
      </c>
      <c r="AH394" s="1104" t="s">
        <v>1942</v>
      </c>
      <c r="AI394" s="1105">
        <f t="shared" ref="AI394:AI457" si="6">SUM(AA394:AH394)</f>
        <v>1</v>
      </c>
      <c r="AJ394" s="1106" t="s">
        <v>1030</v>
      </c>
      <c r="AK394" s="1106" t="s">
        <v>1008</v>
      </c>
      <c r="AL394" s="1106" t="s">
        <v>4861</v>
      </c>
      <c r="AM394" s="1107" t="s">
        <v>3193</v>
      </c>
      <c r="AN394" s="1018" t="s">
        <v>1033</v>
      </c>
      <c r="AO394" s="1018" t="s">
        <v>3577</v>
      </c>
      <c r="AP394" s="1333">
        <v>0</v>
      </c>
      <c r="AQ394" s="1076" t="s">
        <v>1010</v>
      </c>
      <c r="AR394" s="1109" t="s">
        <v>1942</v>
      </c>
      <c r="AS394" s="1110"/>
      <c r="AT394" s="1100"/>
      <c r="AU394" s="1100"/>
      <c r="AV394" s="1100"/>
      <c r="AW394" s="1111"/>
      <c r="AX394" s="1112"/>
      <c r="AY394" s="1075"/>
      <c r="AZ394" s="1076"/>
      <c r="BA394" s="1076"/>
      <c r="BB394" s="1076"/>
      <c r="BC394" s="1076"/>
      <c r="BD394" s="1076"/>
      <c r="BE394" s="1076"/>
      <c r="BF394" s="1076"/>
      <c r="BG394" s="1076"/>
      <c r="BH394" s="1076"/>
      <c r="BI394" s="1420"/>
      <c r="BJ394" s="1368"/>
      <c r="BK394" s="1368"/>
      <c r="BL394" s="1368"/>
      <c r="BM394" s="1368"/>
      <c r="BN394" s="1075"/>
      <c r="BO394" s="1076"/>
      <c r="BP394" s="1076"/>
      <c r="BQ394" s="1076"/>
      <c r="BR394" s="1076"/>
      <c r="BS394" s="1115"/>
      <c r="BT394" s="1076"/>
      <c r="BU394" s="1076"/>
      <c r="BV394" s="1076"/>
      <c r="BW394" s="1116"/>
      <c r="BX394" s="1115"/>
      <c r="BY394" s="1076"/>
      <c r="BZ394" s="1076"/>
      <c r="CA394" s="1076"/>
      <c r="CB394" s="1116"/>
      <c r="CC394" s="1117"/>
      <c r="CD394" s="1376"/>
      <c r="CE394" s="1377"/>
      <c r="CF394" s="1377"/>
      <c r="CG394" s="1377"/>
      <c r="CH394" s="1440"/>
      <c r="CI394" s="1420"/>
      <c r="CJ394" s="1368"/>
      <c r="CK394" s="1368"/>
      <c r="CL394" s="1368"/>
      <c r="CM394" s="1369"/>
      <c r="CN394" s="1420"/>
      <c r="CO394" s="1368"/>
      <c r="CP394" s="1368"/>
      <c r="CQ394" s="1368"/>
      <c r="CR394" s="1369"/>
      <c r="CS394" s="1420"/>
      <c r="CT394" s="1368"/>
      <c r="CU394" s="1368"/>
      <c r="CV394" s="1368"/>
      <c r="CW394" s="1369"/>
      <c r="CX394" s="1420"/>
      <c r="CY394" s="1368"/>
      <c r="CZ394" s="1368"/>
      <c r="DA394" s="1368"/>
      <c r="DB394" s="1369"/>
      <c r="DC394" s="1368"/>
      <c r="DD394" s="1368"/>
      <c r="DE394" s="1368"/>
      <c r="DF394" s="1368"/>
      <c r="DG394" s="1369"/>
      <c r="DH394" s="1420"/>
      <c r="DI394" s="1368"/>
      <c r="DJ394" s="1368"/>
      <c r="DK394" s="1368"/>
      <c r="DL394" s="1369"/>
      <c r="DM394" s="1808"/>
      <c r="DN394" s="1809"/>
      <c r="DO394" s="1809"/>
      <c r="DP394" s="1810"/>
      <c r="DQ394" s="1809"/>
      <c r="DR394" s="1809"/>
      <c r="DS394" s="1809"/>
      <c r="DT394" s="1810"/>
      <c r="DU394" s="1377"/>
      <c r="DV394" s="1729"/>
      <c r="DW394" s="1811"/>
    </row>
    <row r="395" spans="1:127" s="397" customFormat="1" ht="15.75" hidden="1" customHeight="1">
      <c r="A395" s="1097" t="s">
        <v>1041</v>
      </c>
      <c r="B395" s="1057">
        <v>386</v>
      </c>
      <c r="C395" s="1018"/>
      <c r="D395" s="1018"/>
      <c r="E395" s="1018"/>
      <c r="F395" s="1018"/>
      <c r="G395" s="1018"/>
      <c r="H395" s="1018"/>
      <c r="I395" s="1018"/>
      <c r="J395" s="1018"/>
      <c r="K395" s="1018"/>
      <c r="L395" s="1018"/>
      <c r="M395" s="1057"/>
      <c r="N395" s="1018"/>
      <c r="O395" s="1018"/>
      <c r="P395" s="1018"/>
      <c r="Q395" s="1018"/>
      <c r="R395" s="1018"/>
      <c r="S395" s="1018"/>
      <c r="T395" s="1019"/>
      <c r="U395" s="1098" t="s">
        <v>3578</v>
      </c>
      <c r="V395" s="1099" t="s">
        <v>3579</v>
      </c>
      <c r="W395" s="1099" t="s">
        <v>1889</v>
      </c>
      <c r="X395" s="1100" t="s">
        <v>3580</v>
      </c>
      <c r="Y395" s="1101" t="s">
        <v>130</v>
      </c>
      <c r="Z395" s="1102" t="s">
        <v>3581</v>
      </c>
      <c r="AA395" s="1103" t="s">
        <v>1942</v>
      </c>
      <c r="AB395" s="1104">
        <v>1</v>
      </c>
      <c r="AC395" s="1104" t="s">
        <v>1942</v>
      </c>
      <c r="AD395" s="1104" t="s">
        <v>1942</v>
      </c>
      <c r="AE395" s="1104" t="s">
        <v>1942</v>
      </c>
      <c r="AF395" s="1104" t="s">
        <v>1942</v>
      </c>
      <c r="AG395" s="1104" t="s">
        <v>1942</v>
      </c>
      <c r="AH395" s="1104" t="s">
        <v>1942</v>
      </c>
      <c r="AI395" s="1105">
        <f t="shared" si="6"/>
        <v>1</v>
      </c>
      <c r="AJ395" s="1106" t="s">
        <v>1026</v>
      </c>
      <c r="AK395" s="1106" t="s">
        <v>1008</v>
      </c>
      <c r="AL395" s="1106" t="s">
        <v>1009</v>
      </c>
      <c r="AM395" s="1107" t="s">
        <v>1926</v>
      </c>
      <c r="AN395" s="1018" t="s">
        <v>2177</v>
      </c>
      <c r="AO395" s="1018" t="s">
        <v>4795</v>
      </c>
      <c r="AP395" s="1307">
        <v>2</v>
      </c>
      <c r="AQ395" s="1076" t="s">
        <v>1020</v>
      </c>
      <c r="AR395" s="1109" t="s">
        <v>130</v>
      </c>
      <c r="AS395" s="1110"/>
      <c r="AT395" s="1100"/>
      <c r="AU395" s="1100"/>
      <c r="AV395" s="1100"/>
      <c r="AW395" s="1111"/>
      <c r="AX395" s="1112"/>
      <c r="AY395" s="1075"/>
      <c r="AZ395" s="1076"/>
      <c r="BA395" s="1076"/>
      <c r="BB395" s="1076"/>
      <c r="BC395" s="1076"/>
      <c r="BD395" s="1076"/>
      <c r="BE395" s="1076"/>
      <c r="BF395" s="1076"/>
      <c r="BG395" s="1126"/>
      <c r="BH395" s="1126"/>
      <c r="BI395" s="1127">
        <v>0</v>
      </c>
      <c r="BJ395" s="1126">
        <v>0</v>
      </c>
      <c r="BK395" s="1126">
        <v>0</v>
      </c>
      <c r="BL395" s="1126">
        <v>0</v>
      </c>
      <c r="BM395" s="1126">
        <v>0</v>
      </c>
      <c r="BN395" s="1075"/>
      <c r="BO395" s="1076"/>
      <c r="BP395" s="1076"/>
      <c r="BQ395" s="1076"/>
      <c r="BR395" s="1076"/>
      <c r="BS395" s="1115"/>
      <c r="BT395" s="1076"/>
      <c r="BU395" s="1076"/>
      <c r="BV395" s="1076"/>
      <c r="BW395" s="1116"/>
      <c r="BX395" s="1115"/>
      <c r="BY395" s="1076"/>
      <c r="BZ395" s="1076"/>
      <c r="CA395" s="1076"/>
      <c r="CB395" s="1116"/>
      <c r="CC395" s="1117"/>
      <c r="CD395" s="1118" t="s">
        <v>168</v>
      </c>
      <c r="CE395" s="1119" t="s">
        <v>168</v>
      </c>
      <c r="CF395" s="1119" t="s">
        <v>168</v>
      </c>
      <c r="CG395" s="1119" t="s">
        <v>168</v>
      </c>
      <c r="CH395" s="1120" t="s">
        <v>168</v>
      </c>
      <c r="CI395" s="1075" t="s">
        <v>1942</v>
      </c>
      <c r="CJ395" s="1076" t="s">
        <v>1942</v>
      </c>
      <c r="CK395" s="1076" t="s">
        <v>1942</v>
      </c>
      <c r="CL395" s="1076" t="s">
        <v>1942</v>
      </c>
      <c r="CM395" s="1117" t="s">
        <v>1942</v>
      </c>
      <c r="CN395" s="1075">
        <v>9.5</v>
      </c>
      <c r="CO395" s="1076">
        <v>9.5</v>
      </c>
      <c r="CP395" s="1076">
        <v>9.5</v>
      </c>
      <c r="CQ395" s="1076">
        <v>9.5</v>
      </c>
      <c r="CR395" s="1117">
        <v>9.5</v>
      </c>
      <c r="CS395" s="1075">
        <v>2</v>
      </c>
      <c r="CT395" s="1076">
        <v>2</v>
      </c>
      <c r="CU395" s="1076">
        <v>2</v>
      </c>
      <c r="CV395" s="1076">
        <v>2</v>
      </c>
      <c r="CW395" s="1117">
        <v>2</v>
      </c>
      <c r="CX395" s="1075" t="s">
        <v>1942</v>
      </c>
      <c r="CY395" s="1076" t="s">
        <v>1942</v>
      </c>
      <c r="CZ395" s="1076" t="s">
        <v>1942</v>
      </c>
      <c r="DA395" s="1076" t="s">
        <v>1942</v>
      </c>
      <c r="DB395" s="1117" t="s">
        <v>1942</v>
      </c>
      <c r="DC395" s="1076" t="s">
        <v>1942</v>
      </c>
      <c r="DD395" s="1076" t="s">
        <v>1942</v>
      </c>
      <c r="DE395" s="1076" t="s">
        <v>1942</v>
      </c>
      <c r="DF395" s="1076" t="s">
        <v>1942</v>
      </c>
      <c r="DG395" s="1117" t="s">
        <v>1942</v>
      </c>
      <c r="DH395" s="1075" t="s">
        <v>1942</v>
      </c>
      <c r="DI395" s="1076" t="s">
        <v>1942</v>
      </c>
      <c r="DJ395" s="1076" t="s">
        <v>1942</v>
      </c>
      <c r="DK395" s="1076" t="s">
        <v>1942</v>
      </c>
      <c r="DL395" s="1117" t="s">
        <v>1942</v>
      </c>
      <c r="DM395" s="1121">
        <v>-0.37</v>
      </c>
      <c r="DN395" s="1122" t="s">
        <v>1942</v>
      </c>
      <c r="DO395" s="1122" t="s">
        <v>1942</v>
      </c>
      <c r="DP395" s="1123" t="s">
        <v>1942</v>
      </c>
      <c r="DQ395" s="1122">
        <v>0</v>
      </c>
      <c r="DR395" s="1122" t="s">
        <v>1942</v>
      </c>
      <c r="DS395" s="1122" t="s">
        <v>1942</v>
      </c>
      <c r="DT395" s="1123" t="s">
        <v>1942</v>
      </c>
      <c r="DU395" s="1119" t="s">
        <v>1942</v>
      </c>
      <c r="DV395" s="1124">
        <v>1</v>
      </c>
      <c r="DW395" s="1125" t="s">
        <v>1942</v>
      </c>
    </row>
    <row r="396" spans="1:127" s="397" customFormat="1" ht="15.75" hidden="1" customHeight="1">
      <c r="A396" s="1097" t="s">
        <v>1041</v>
      </c>
      <c r="B396" s="1057">
        <v>387</v>
      </c>
      <c r="C396" s="1018"/>
      <c r="D396" s="1018"/>
      <c r="E396" s="1018"/>
      <c r="F396" s="1018"/>
      <c r="G396" s="1018"/>
      <c r="H396" s="1018"/>
      <c r="I396" s="1018"/>
      <c r="J396" s="1018"/>
      <c r="K396" s="1018"/>
      <c r="L396" s="1018"/>
      <c r="M396" s="1057"/>
      <c r="N396" s="1018"/>
      <c r="O396" s="1018"/>
      <c r="P396" s="1018"/>
      <c r="Q396" s="1018"/>
      <c r="R396" s="1018"/>
      <c r="S396" s="1018"/>
      <c r="T396" s="1019"/>
      <c r="U396" s="1098" t="s">
        <v>3582</v>
      </c>
      <c r="V396" s="1099" t="s">
        <v>3579</v>
      </c>
      <c r="W396" s="1099" t="s">
        <v>1889</v>
      </c>
      <c r="X396" s="1100" t="s">
        <v>3583</v>
      </c>
      <c r="Y396" s="1101" t="s">
        <v>137</v>
      </c>
      <c r="Z396" s="1102" t="s">
        <v>3584</v>
      </c>
      <c r="AA396" s="1103" t="s">
        <v>1942</v>
      </c>
      <c r="AB396" s="1104">
        <v>1</v>
      </c>
      <c r="AC396" s="1104" t="s">
        <v>1942</v>
      </c>
      <c r="AD396" s="1104" t="s">
        <v>1942</v>
      </c>
      <c r="AE396" s="1104" t="s">
        <v>1942</v>
      </c>
      <c r="AF396" s="1104" t="s">
        <v>1942</v>
      </c>
      <c r="AG396" s="1104" t="s">
        <v>1942</v>
      </c>
      <c r="AH396" s="1104" t="s">
        <v>1942</v>
      </c>
      <c r="AI396" s="1105">
        <f t="shared" si="6"/>
        <v>1</v>
      </c>
      <c r="AJ396" s="1106" t="s">
        <v>1030</v>
      </c>
      <c r="AK396" s="1106" t="s">
        <v>1008</v>
      </c>
      <c r="AL396" s="1106" t="s">
        <v>1009</v>
      </c>
      <c r="AM396" s="1107" t="s">
        <v>1892</v>
      </c>
      <c r="AN396" s="1018" t="s">
        <v>4789</v>
      </c>
      <c r="AO396" s="1018" t="s">
        <v>4790</v>
      </c>
      <c r="AP396" s="1307">
        <v>0</v>
      </c>
      <c r="AQ396" s="1076" t="s">
        <v>1020</v>
      </c>
      <c r="AR396" s="1109" t="s">
        <v>137</v>
      </c>
      <c r="AS396" s="1110"/>
      <c r="AT396" s="1100"/>
      <c r="AU396" s="1100"/>
      <c r="AV396" s="1100"/>
      <c r="AW396" s="1111"/>
      <c r="AX396" s="1112"/>
      <c r="AY396" s="1075"/>
      <c r="AZ396" s="1076"/>
      <c r="BA396" s="1076"/>
      <c r="BB396" s="1076"/>
      <c r="BC396" s="1076"/>
      <c r="BD396" s="1076"/>
      <c r="BE396" s="1076"/>
      <c r="BF396" s="1076"/>
      <c r="BG396" s="1150"/>
      <c r="BH396" s="1150"/>
      <c r="BI396" s="1149">
        <v>4.5138888888888893E-3</v>
      </c>
      <c r="BJ396" s="1150">
        <v>4.2592592592592595E-3</v>
      </c>
      <c r="BK396" s="1150">
        <v>3.9930555555555561E-3</v>
      </c>
      <c r="BL396" s="1150">
        <v>3.7384259259259263E-3</v>
      </c>
      <c r="BM396" s="1150">
        <v>3.472222222222222E-3</v>
      </c>
      <c r="BN396" s="1075"/>
      <c r="BO396" s="1076"/>
      <c r="BP396" s="1076"/>
      <c r="BQ396" s="1076"/>
      <c r="BR396" s="1076"/>
      <c r="BS396" s="1115"/>
      <c r="BT396" s="1076"/>
      <c r="BU396" s="1076"/>
      <c r="BV396" s="1076"/>
      <c r="BW396" s="1116"/>
      <c r="BX396" s="1115"/>
      <c r="BY396" s="1076"/>
      <c r="BZ396" s="1076"/>
      <c r="CA396" s="1076"/>
      <c r="CB396" s="1116"/>
      <c r="CC396" s="1117"/>
      <c r="CD396" s="1118" t="s">
        <v>168</v>
      </c>
      <c r="CE396" s="1119" t="s">
        <v>168</v>
      </c>
      <c r="CF396" s="1119" t="s">
        <v>168</v>
      </c>
      <c r="CG396" s="1119" t="s">
        <v>168</v>
      </c>
      <c r="CH396" s="1120" t="s">
        <v>168</v>
      </c>
      <c r="CI396" s="1075" t="s">
        <v>1942</v>
      </c>
      <c r="CJ396" s="1076" t="s">
        <v>1942</v>
      </c>
      <c r="CK396" s="1076" t="s">
        <v>1942</v>
      </c>
      <c r="CL396" s="1076" t="s">
        <v>1942</v>
      </c>
      <c r="CM396" s="1117" t="s">
        <v>1942</v>
      </c>
      <c r="CN396" s="1075" t="s">
        <v>1942</v>
      </c>
      <c r="CO396" s="1076" t="s">
        <v>1942</v>
      </c>
      <c r="CP396" s="1076" t="s">
        <v>1942</v>
      </c>
      <c r="CQ396" s="1076" t="s">
        <v>1942</v>
      </c>
      <c r="CR396" s="1117" t="s">
        <v>1942</v>
      </c>
      <c r="CS396" s="1075" t="s">
        <v>1942</v>
      </c>
      <c r="CT396" s="1076" t="s">
        <v>1942</v>
      </c>
      <c r="CU396" s="1076" t="s">
        <v>1942</v>
      </c>
      <c r="CV396" s="1076" t="s">
        <v>1942</v>
      </c>
      <c r="CW396" s="1117" t="s">
        <v>1942</v>
      </c>
      <c r="CX396" s="1075" t="s">
        <v>1942</v>
      </c>
      <c r="CY396" s="1076" t="s">
        <v>1942</v>
      </c>
      <c r="CZ396" s="1076" t="s">
        <v>1942</v>
      </c>
      <c r="DA396" s="1076" t="s">
        <v>1942</v>
      </c>
      <c r="DB396" s="1117" t="s">
        <v>1942</v>
      </c>
      <c r="DC396" s="1076" t="s">
        <v>1942</v>
      </c>
      <c r="DD396" s="1076" t="s">
        <v>1942</v>
      </c>
      <c r="DE396" s="1076" t="s">
        <v>1942</v>
      </c>
      <c r="DF396" s="1076" t="s">
        <v>1942</v>
      </c>
      <c r="DG396" s="1117" t="s">
        <v>1942</v>
      </c>
      <c r="DH396" s="1075" t="s">
        <v>1942</v>
      </c>
      <c r="DI396" s="1076" t="s">
        <v>1942</v>
      </c>
      <c r="DJ396" s="1076" t="s">
        <v>1942</v>
      </c>
      <c r="DK396" s="1076" t="s">
        <v>1942</v>
      </c>
      <c r="DL396" s="1117" t="s">
        <v>1942</v>
      </c>
      <c r="DM396" s="1121">
        <v>-0.46100000000000002</v>
      </c>
      <c r="DN396" s="1122" t="s">
        <v>1942</v>
      </c>
      <c r="DO396" s="1122" t="s">
        <v>1942</v>
      </c>
      <c r="DP396" s="1123" t="s">
        <v>1942</v>
      </c>
      <c r="DQ396" s="1122">
        <v>9.1999999999999998E-2</v>
      </c>
      <c r="DR396" s="1122" t="s">
        <v>1942</v>
      </c>
      <c r="DS396" s="1122" t="s">
        <v>1942</v>
      </c>
      <c r="DT396" s="1123" t="s">
        <v>1942</v>
      </c>
      <c r="DU396" s="1119" t="s">
        <v>1942</v>
      </c>
      <c r="DV396" s="1124">
        <v>1</v>
      </c>
      <c r="DW396" s="1125" t="s">
        <v>1942</v>
      </c>
    </row>
    <row r="397" spans="1:127" s="397" customFormat="1" ht="15.75" hidden="1" customHeight="1">
      <c r="A397" s="1097" t="s">
        <v>1041</v>
      </c>
      <c r="B397" s="1057">
        <v>388</v>
      </c>
      <c r="C397" s="1018"/>
      <c r="D397" s="1018"/>
      <c r="E397" s="1018"/>
      <c r="F397" s="1018"/>
      <c r="G397" s="1018"/>
      <c r="H397" s="1018"/>
      <c r="I397" s="1018"/>
      <c r="J397" s="1018"/>
      <c r="K397" s="1018"/>
      <c r="L397" s="1018"/>
      <c r="M397" s="1057"/>
      <c r="N397" s="1018"/>
      <c r="O397" s="1018"/>
      <c r="P397" s="1018"/>
      <c r="Q397" s="1018"/>
      <c r="R397" s="1018"/>
      <c r="S397" s="1018"/>
      <c r="T397" s="1019"/>
      <c r="U397" s="1098" t="s">
        <v>3586</v>
      </c>
      <c r="V397" s="1099" t="s">
        <v>3579</v>
      </c>
      <c r="W397" s="1099" t="s">
        <v>1889</v>
      </c>
      <c r="X397" s="1100" t="s">
        <v>3587</v>
      </c>
      <c r="Y397" s="1101" t="s">
        <v>161</v>
      </c>
      <c r="Z397" s="1102" t="s">
        <v>3588</v>
      </c>
      <c r="AA397" s="1103" t="s">
        <v>1942</v>
      </c>
      <c r="AB397" s="1104">
        <v>1</v>
      </c>
      <c r="AC397" s="1104" t="s">
        <v>1942</v>
      </c>
      <c r="AD397" s="1104" t="s">
        <v>1942</v>
      </c>
      <c r="AE397" s="1104" t="s">
        <v>1942</v>
      </c>
      <c r="AF397" s="1104" t="s">
        <v>1942</v>
      </c>
      <c r="AG397" s="1104" t="s">
        <v>1942</v>
      </c>
      <c r="AH397" s="1104" t="s">
        <v>1942</v>
      </c>
      <c r="AI397" s="1105">
        <f t="shared" si="6"/>
        <v>1</v>
      </c>
      <c r="AJ397" s="1106" t="s">
        <v>1030</v>
      </c>
      <c r="AK397" s="1106" t="s">
        <v>1008</v>
      </c>
      <c r="AL397" s="1106" t="s">
        <v>1009</v>
      </c>
      <c r="AM397" s="1107" t="s">
        <v>2074</v>
      </c>
      <c r="AN397" s="1018" t="s">
        <v>2177</v>
      </c>
      <c r="AO397" s="1018" t="s">
        <v>4794</v>
      </c>
      <c r="AP397" s="1307">
        <v>1</v>
      </c>
      <c r="AQ397" s="1076" t="s">
        <v>1020</v>
      </c>
      <c r="AR397" s="1109" t="s">
        <v>161</v>
      </c>
      <c r="AS397" s="1110"/>
      <c r="AT397" s="1100"/>
      <c r="AU397" s="1100"/>
      <c r="AV397" s="1100"/>
      <c r="AW397" s="1111"/>
      <c r="AX397" s="1112"/>
      <c r="AY397" s="1075"/>
      <c r="AZ397" s="1076"/>
      <c r="BA397" s="1076"/>
      <c r="BB397" s="1076"/>
      <c r="BC397" s="1076"/>
      <c r="BD397" s="1076"/>
      <c r="BE397" s="1076"/>
      <c r="BF397" s="1076"/>
      <c r="BG397" s="1113"/>
      <c r="BH397" s="1113"/>
      <c r="BI397" s="1114">
        <v>152.30000000000001</v>
      </c>
      <c r="BJ397" s="1113">
        <v>147</v>
      </c>
      <c r="BK397" s="1113">
        <v>141.80000000000001</v>
      </c>
      <c r="BL397" s="1113">
        <v>136.6</v>
      </c>
      <c r="BM397" s="1113">
        <v>131.6</v>
      </c>
      <c r="BN397" s="1075"/>
      <c r="BO397" s="1076"/>
      <c r="BP397" s="1076"/>
      <c r="BQ397" s="1076"/>
      <c r="BR397" s="1076"/>
      <c r="BS397" s="1115"/>
      <c r="BT397" s="1076"/>
      <c r="BU397" s="1076"/>
      <c r="BV397" s="1076"/>
      <c r="BW397" s="1116"/>
      <c r="BX397" s="1115"/>
      <c r="BY397" s="1076"/>
      <c r="BZ397" s="1076"/>
      <c r="CA397" s="1076"/>
      <c r="CB397" s="1116"/>
      <c r="CC397" s="1117"/>
      <c r="CD397" s="1118" t="s">
        <v>168</v>
      </c>
      <c r="CE397" s="1119" t="s">
        <v>168</v>
      </c>
      <c r="CF397" s="1119" t="s">
        <v>168</v>
      </c>
      <c r="CG397" s="1119" t="s">
        <v>168</v>
      </c>
      <c r="CH397" s="1120" t="s">
        <v>168</v>
      </c>
      <c r="CI397" s="1075" t="s">
        <v>1942</v>
      </c>
      <c r="CJ397" s="1076" t="s">
        <v>1942</v>
      </c>
      <c r="CK397" s="1076" t="s">
        <v>1942</v>
      </c>
      <c r="CL397" s="1076" t="s">
        <v>1942</v>
      </c>
      <c r="CM397" s="1117" t="s">
        <v>1942</v>
      </c>
      <c r="CN397" s="1075" t="s">
        <v>1942</v>
      </c>
      <c r="CO397" s="1076" t="s">
        <v>1942</v>
      </c>
      <c r="CP397" s="1076" t="s">
        <v>1942</v>
      </c>
      <c r="CQ397" s="1076" t="s">
        <v>1942</v>
      </c>
      <c r="CR397" s="1117" t="s">
        <v>1942</v>
      </c>
      <c r="CS397" s="1075" t="s">
        <v>1942</v>
      </c>
      <c r="CT397" s="1076" t="s">
        <v>1942</v>
      </c>
      <c r="CU397" s="1076" t="s">
        <v>1942</v>
      </c>
      <c r="CV397" s="1076" t="s">
        <v>1942</v>
      </c>
      <c r="CW397" s="1117" t="s">
        <v>1942</v>
      </c>
      <c r="CX397" s="1075" t="s">
        <v>1942</v>
      </c>
      <c r="CY397" s="1076" t="s">
        <v>1942</v>
      </c>
      <c r="CZ397" s="1076" t="s">
        <v>1942</v>
      </c>
      <c r="DA397" s="1076" t="s">
        <v>1942</v>
      </c>
      <c r="DB397" s="1117" t="s">
        <v>1942</v>
      </c>
      <c r="DC397" s="1076" t="s">
        <v>1942</v>
      </c>
      <c r="DD397" s="1076" t="s">
        <v>1942</v>
      </c>
      <c r="DE397" s="1076" t="s">
        <v>1942</v>
      </c>
      <c r="DF397" s="1076" t="s">
        <v>1942</v>
      </c>
      <c r="DG397" s="1117" t="s">
        <v>1942</v>
      </c>
      <c r="DH397" s="1075" t="s">
        <v>1942</v>
      </c>
      <c r="DI397" s="1076" t="s">
        <v>1942</v>
      </c>
      <c r="DJ397" s="1076" t="s">
        <v>1942</v>
      </c>
      <c r="DK397" s="1076" t="s">
        <v>1942</v>
      </c>
      <c r="DL397" s="1117" t="s">
        <v>1942</v>
      </c>
      <c r="DM397" s="1121">
        <v>-9.5000000000000001E-2</v>
      </c>
      <c r="DN397" s="1122" t="s">
        <v>1942</v>
      </c>
      <c r="DO397" s="1122" t="s">
        <v>1942</v>
      </c>
      <c r="DP397" s="1123" t="s">
        <v>1942</v>
      </c>
      <c r="DQ397" s="1122">
        <v>6.0000000000000001E-3</v>
      </c>
      <c r="DR397" s="1122" t="s">
        <v>1942</v>
      </c>
      <c r="DS397" s="1122" t="s">
        <v>1942</v>
      </c>
      <c r="DT397" s="1123" t="s">
        <v>1942</v>
      </c>
      <c r="DU397" s="1119" t="s">
        <v>1942</v>
      </c>
      <c r="DV397" s="1124">
        <v>1</v>
      </c>
      <c r="DW397" s="1125" t="s">
        <v>1942</v>
      </c>
    </row>
    <row r="398" spans="1:127" s="397" customFormat="1" ht="15.75" hidden="1" customHeight="1">
      <c r="A398" s="1097" t="s">
        <v>1041</v>
      </c>
      <c r="B398" s="1057">
        <v>389</v>
      </c>
      <c r="C398" s="1018"/>
      <c r="D398" s="1018"/>
      <c r="E398" s="1018"/>
      <c r="F398" s="1018"/>
      <c r="G398" s="1018"/>
      <c r="H398" s="1018"/>
      <c r="I398" s="1018"/>
      <c r="J398" s="1018"/>
      <c r="K398" s="1018"/>
      <c r="L398" s="1018"/>
      <c r="M398" s="1057"/>
      <c r="N398" s="1018"/>
      <c r="O398" s="1018"/>
      <c r="P398" s="1018"/>
      <c r="Q398" s="1018"/>
      <c r="R398" s="1018"/>
      <c r="S398" s="1018"/>
      <c r="T398" s="1019"/>
      <c r="U398" s="1098" t="s">
        <v>3590</v>
      </c>
      <c r="V398" s="1099" t="s">
        <v>3579</v>
      </c>
      <c r="W398" s="1099" t="s">
        <v>1907</v>
      </c>
      <c r="X398" s="1100" t="s">
        <v>3591</v>
      </c>
      <c r="Y398" s="1101" t="s">
        <v>167</v>
      </c>
      <c r="Z398" s="1102" t="s">
        <v>3592</v>
      </c>
      <c r="AA398" s="1103" t="s">
        <v>1942</v>
      </c>
      <c r="AB398" s="1104">
        <v>1</v>
      </c>
      <c r="AC398" s="1104" t="s">
        <v>1942</v>
      </c>
      <c r="AD398" s="1104" t="s">
        <v>1942</v>
      </c>
      <c r="AE398" s="1104" t="s">
        <v>1942</v>
      </c>
      <c r="AF398" s="1104" t="s">
        <v>1942</v>
      </c>
      <c r="AG398" s="1104" t="s">
        <v>1942</v>
      </c>
      <c r="AH398" s="1104" t="s">
        <v>1942</v>
      </c>
      <c r="AI398" s="1105">
        <f t="shared" si="6"/>
        <v>1</v>
      </c>
      <c r="AJ398" s="1106" t="s">
        <v>1026</v>
      </c>
      <c r="AK398" s="1106" t="s">
        <v>1008</v>
      </c>
      <c r="AL398" s="1106" t="s">
        <v>1009</v>
      </c>
      <c r="AM398" s="1107" t="s">
        <v>1915</v>
      </c>
      <c r="AN398" s="1018" t="s">
        <v>278</v>
      </c>
      <c r="AO398" s="1018" t="s">
        <v>4793</v>
      </c>
      <c r="AP398" s="1307">
        <v>2</v>
      </c>
      <c r="AQ398" s="1076" t="s">
        <v>1020</v>
      </c>
      <c r="AR398" s="1109" t="s">
        <v>167</v>
      </c>
      <c r="AS398" s="1110"/>
      <c r="AT398" s="1100"/>
      <c r="AU398" s="1100"/>
      <c r="AV398" s="1100"/>
      <c r="AW398" s="1111"/>
      <c r="AX398" s="1112"/>
      <c r="AY398" s="1075"/>
      <c r="AZ398" s="1076"/>
      <c r="BA398" s="1076"/>
      <c r="BB398" s="1076"/>
      <c r="BC398" s="1076"/>
      <c r="BD398" s="1076"/>
      <c r="BE398" s="1076"/>
      <c r="BF398" s="1076"/>
      <c r="BG398" s="1126"/>
      <c r="BH398" s="1126"/>
      <c r="BI398" s="1127">
        <v>2.34</v>
      </c>
      <c r="BJ398" s="1126">
        <v>2.34</v>
      </c>
      <c r="BK398" s="1126">
        <v>2.34</v>
      </c>
      <c r="BL398" s="1126">
        <v>2.34</v>
      </c>
      <c r="BM398" s="1126">
        <v>2.34</v>
      </c>
      <c r="BN398" s="1075"/>
      <c r="BO398" s="1076"/>
      <c r="BP398" s="1076"/>
      <c r="BQ398" s="1076"/>
      <c r="BR398" s="1076"/>
      <c r="BS398" s="1115"/>
      <c r="BT398" s="1076"/>
      <c r="BU398" s="1076"/>
      <c r="BV398" s="1076"/>
      <c r="BW398" s="1116"/>
      <c r="BX398" s="1115"/>
      <c r="BY398" s="1076"/>
      <c r="BZ398" s="1076"/>
      <c r="CA398" s="1076"/>
      <c r="CB398" s="1116"/>
      <c r="CC398" s="1117"/>
      <c r="CD398" s="1118" t="s">
        <v>168</v>
      </c>
      <c r="CE398" s="1119" t="s">
        <v>168</v>
      </c>
      <c r="CF398" s="1119" t="s">
        <v>168</v>
      </c>
      <c r="CG398" s="1119" t="s">
        <v>168</v>
      </c>
      <c r="CH398" s="1120" t="s">
        <v>168</v>
      </c>
      <c r="CI398" s="1075" t="s">
        <v>1942</v>
      </c>
      <c r="CJ398" s="1076" t="s">
        <v>1942</v>
      </c>
      <c r="CK398" s="1076" t="s">
        <v>1942</v>
      </c>
      <c r="CL398" s="1076" t="s">
        <v>1942</v>
      </c>
      <c r="CM398" s="1117" t="s">
        <v>1942</v>
      </c>
      <c r="CN398" s="1075">
        <v>2.98</v>
      </c>
      <c r="CO398" s="1076">
        <v>2.98</v>
      </c>
      <c r="CP398" s="1076">
        <v>2.98</v>
      </c>
      <c r="CQ398" s="1076">
        <v>2.98</v>
      </c>
      <c r="CR398" s="1117">
        <v>2.98</v>
      </c>
      <c r="CS398" s="1075" t="s">
        <v>1942</v>
      </c>
      <c r="CT398" s="1076" t="s">
        <v>1942</v>
      </c>
      <c r="CU398" s="1076" t="s">
        <v>1942</v>
      </c>
      <c r="CV398" s="1076" t="s">
        <v>1942</v>
      </c>
      <c r="CW398" s="1117" t="s">
        <v>1942</v>
      </c>
      <c r="CX398" s="1075" t="s">
        <v>1942</v>
      </c>
      <c r="CY398" s="1076" t="s">
        <v>1942</v>
      </c>
      <c r="CZ398" s="1076" t="s">
        <v>1942</v>
      </c>
      <c r="DA398" s="1076" t="s">
        <v>1942</v>
      </c>
      <c r="DB398" s="1117" t="s">
        <v>1942</v>
      </c>
      <c r="DC398" s="1076" t="s">
        <v>1942</v>
      </c>
      <c r="DD398" s="1076" t="s">
        <v>1942</v>
      </c>
      <c r="DE398" s="1076" t="s">
        <v>1942</v>
      </c>
      <c r="DF398" s="1076" t="s">
        <v>1942</v>
      </c>
      <c r="DG398" s="1117" t="s">
        <v>1942</v>
      </c>
      <c r="DH398" s="1075" t="s">
        <v>1942</v>
      </c>
      <c r="DI398" s="1076" t="s">
        <v>1942</v>
      </c>
      <c r="DJ398" s="1076" t="s">
        <v>1942</v>
      </c>
      <c r="DK398" s="1076" t="s">
        <v>1942</v>
      </c>
      <c r="DL398" s="1117" t="s">
        <v>1942</v>
      </c>
      <c r="DM398" s="1121">
        <v>-1.58</v>
      </c>
      <c r="DN398" s="1122" t="s">
        <v>1942</v>
      </c>
      <c r="DO398" s="1122" t="s">
        <v>1942</v>
      </c>
      <c r="DP398" s="1123" t="s">
        <v>1942</v>
      </c>
      <c r="DQ398" s="1122" t="s">
        <v>1942</v>
      </c>
      <c r="DR398" s="1122" t="s">
        <v>1942</v>
      </c>
      <c r="DS398" s="1122" t="s">
        <v>1942</v>
      </c>
      <c r="DT398" s="1123" t="s">
        <v>1942</v>
      </c>
      <c r="DU398" s="1119" t="s">
        <v>1942</v>
      </c>
      <c r="DV398" s="1124">
        <v>1</v>
      </c>
      <c r="DW398" s="1125" t="s">
        <v>1942</v>
      </c>
    </row>
    <row r="399" spans="1:127" s="397" customFormat="1" ht="15.75" hidden="1" customHeight="1">
      <c r="A399" s="1097" t="s">
        <v>1041</v>
      </c>
      <c r="B399" s="1057">
        <v>390</v>
      </c>
      <c r="C399" s="1018"/>
      <c r="D399" s="1018"/>
      <c r="E399" s="1018"/>
      <c r="F399" s="1018"/>
      <c r="G399" s="1018"/>
      <c r="H399" s="1018"/>
      <c r="I399" s="1018"/>
      <c r="J399" s="1018"/>
      <c r="K399" s="1018"/>
      <c r="L399" s="1018"/>
      <c r="M399" s="1057"/>
      <c r="N399" s="1018"/>
      <c r="O399" s="1018"/>
      <c r="P399" s="1018"/>
      <c r="Q399" s="1018"/>
      <c r="R399" s="1018"/>
      <c r="S399" s="1018"/>
      <c r="T399" s="1019"/>
      <c r="U399" s="1098" t="s">
        <v>3593</v>
      </c>
      <c r="V399" s="1099" t="s">
        <v>3579</v>
      </c>
      <c r="W399" s="1099" t="s">
        <v>1889</v>
      </c>
      <c r="X399" s="1100" t="s">
        <v>3594</v>
      </c>
      <c r="Y399" s="1101" t="s">
        <v>3595</v>
      </c>
      <c r="Z399" s="1102" t="s">
        <v>3596</v>
      </c>
      <c r="AA399" s="1103" t="s">
        <v>1942</v>
      </c>
      <c r="AB399" s="1104">
        <v>1</v>
      </c>
      <c r="AC399" s="1104" t="s">
        <v>1942</v>
      </c>
      <c r="AD399" s="1104" t="s">
        <v>1942</v>
      </c>
      <c r="AE399" s="1104" t="s">
        <v>1942</v>
      </c>
      <c r="AF399" s="1104" t="s">
        <v>1942</v>
      </c>
      <c r="AG399" s="1104" t="s">
        <v>1942</v>
      </c>
      <c r="AH399" s="1104" t="s">
        <v>1942</v>
      </c>
      <c r="AI399" s="1105">
        <f t="shared" si="6"/>
        <v>1</v>
      </c>
      <c r="AJ399" s="1106" t="s">
        <v>1030</v>
      </c>
      <c r="AK399" s="1106" t="s">
        <v>1008</v>
      </c>
      <c r="AL399" s="1106" t="s">
        <v>1009</v>
      </c>
      <c r="AM399" s="1107" t="s">
        <v>2149</v>
      </c>
      <c r="AN399" s="1018" t="s">
        <v>396</v>
      </c>
      <c r="AO399" s="1018" t="s">
        <v>4798</v>
      </c>
      <c r="AP399" s="1307">
        <v>2</v>
      </c>
      <c r="AQ399" s="1076" t="s">
        <v>1020</v>
      </c>
      <c r="AR399" s="1109"/>
      <c r="AS399" s="1110"/>
      <c r="AT399" s="1100"/>
      <c r="AU399" s="1100"/>
      <c r="AV399" s="1100"/>
      <c r="AW399" s="1111"/>
      <c r="AX399" s="1112"/>
      <c r="AY399" s="1075"/>
      <c r="AZ399" s="1076"/>
      <c r="BA399" s="1076"/>
      <c r="BB399" s="1076"/>
      <c r="BC399" s="1076"/>
      <c r="BD399" s="1076"/>
      <c r="BE399" s="1076"/>
      <c r="BF399" s="1076"/>
      <c r="BG399" s="1076"/>
      <c r="BH399" s="1076"/>
      <c r="BI399" s="1420"/>
      <c r="BJ399" s="1368"/>
      <c r="BK399" s="1368"/>
      <c r="BL399" s="1368"/>
      <c r="BM399" s="1368"/>
      <c r="BN399" s="1075"/>
      <c r="BO399" s="1076"/>
      <c r="BP399" s="1076"/>
      <c r="BQ399" s="1076"/>
      <c r="BR399" s="1076"/>
      <c r="BS399" s="1115"/>
      <c r="BT399" s="1076"/>
      <c r="BU399" s="1076"/>
      <c r="BV399" s="1076"/>
      <c r="BW399" s="1116"/>
      <c r="BX399" s="1115"/>
      <c r="BY399" s="1076"/>
      <c r="BZ399" s="1076"/>
      <c r="CA399" s="1076"/>
      <c r="CB399" s="1116"/>
      <c r="CC399" s="1117"/>
      <c r="CD399" s="1376"/>
      <c r="CE399" s="1377"/>
      <c r="CF399" s="1377"/>
      <c r="CG399" s="1377"/>
      <c r="CH399" s="1440"/>
      <c r="CI399" s="1420"/>
      <c r="CJ399" s="1368"/>
      <c r="CK399" s="1368"/>
      <c r="CL399" s="1368"/>
      <c r="CM399" s="1369"/>
      <c r="CN399" s="1420"/>
      <c r="CO399" s="1368"/>
      <c r="CP399" s="1368"/>
      <c r="CQ399" s="1368"/>
      <c r="CR399" s="1369"/>
      <c r="CS399" s="1420"/>
      <c r="CT399" s="1368"/>
      <c r="CU399" s="1368"/>
      <c r="CV399" s="1368"/>
      <c r="CW399" s="1369"/>
      <c r="CX399" s="1420"/>
      <c r="CY399" s="1368"/>
      <c r="CZ399" s="1368"/>
      <c r="DA399" s="1368"/>
      <c r="DB399" s="1369"/>
      <c r="DC399" s="1368"/>
      <c r="DD399" s="1368"/>
      <c r="DE399" s="1368"/>
      <c r="DF399" s="1368"/>
      <c r="DG399" s="1369"/>
      <c r="DH399" s="1420"/>
      <c r="DI399" s="1368"/>
      <c r="DJ399" s="1368"/>
      <c r="DK399" s="1368"/>
      <c r="DL399" s="1369"/>
      <c r="DM399" s="1808"/>
      <c r="DN399" s="1809"/>
      <c r="DO399" s="1809"/>
      <c r="DP399" s="1810"/>
      <c r="DQ399" s="1809"/>
      <c r="DR399" s="1809"/>
      <c r="DS399" s="1809"/>
      <c r="DT399" s="1810"/>
      <c r="DU399" s="1377"/>
      <c r="DV399" s="1729"/>
      <c r="DW399" s="1811"/>
    </row>
    <row r="400" spans="1:127" s="397" customFormat="1" ht="15.75" hidden="1" customHeight="1">
      <c r="A400" s="1097" t="s">
        <v>1041</v>
      </c>
      <c r="B400" s="1057">
        <v>391</v>
      </c>
      <c r="C400" s="1018"/>
      <c r="D400" s="1018"/>
      <c r="E400" s="1018"/>
      <c r="F400" s="1018"/>
      <c r="G400" s="1018"/>
      <c r="H400" s="1018"/>
      <c r="I400" s="1018"/>
      <c r="J400" s="1018"/>
      <c r="K400" s="1018"/>
      <c r="L400" s="1018"/>
      <c r="M400" s="1057"/>
      <c r="N400" s="1018"/>
      <c r="O400" s="1018"/>
      <c r="P400" s="1018"/>
      <c r="Q400" s="1018"/>
      <c r="R400" s="1018"/>
      <c r="S400" s="1018"/>
      <c r="T400" s="1019"/>
      <c r="U400" s="1098" t="s">
        <v>3598</v>
      </c>
      <c r="V400" s="1099" t="s">
        <v>3599</v>
      </c>
      <c r="W400" s="1099" t="s">
        <v>1889</v>
      </c>
      <c r="X400" s="1100" t="s">
        <v>3600</v>
      </c>
      <c r="Y400" s="1101" t="s">
        <v>3601</v>
      </c>
      <c r="Z400" s="1102" t="s">
        <v>3602</v>
      </c>
      <c r="AA400" s="1103">
        <v>0.1</v>
      </c>
      <c r="AB400" s="1104">
        <v>0.9</v>
      </c>
      <c r="AC400" s="1104" t="s">
        <v>1942</v>
      </c>
      <c r="AD400" s="1104" t="s">
        <v>1942</v>
      </c>
      <c r="AE400" s="1104" t="s">
        <v>1942</v>
      </c>
      <c r="AF400" s="1104" t="s">
        <v>1942</v>
      </c>
      <c r="AG400" s="1104" t="s">
        <v>1942</v>
      </c>
      <c r="AH400" s="1104" t="s">
        <v>1942</v>
      </c>
      <c r="AI400" s="1105">
        <f t="shared" si="6"/>
        <v>1</v>
      </c>
      <c r="AJ400" s="1106" t="s">
        <v>1026</v>
      </c>
      <c r="AK400" s="1106" t="s">
        <v>1018</v>
      </c>
      <c r="AL400" s="1106" t="s">
        <v>1019</v>
      </c>
      <c r="AM400" s="1107" t="s">
        <v>2944</v>
      </c>
      <c r="AN400" s="1018" t="s">
        <v>4865</v>
      </c>
      <c r="AO400" s="1018" t="s">
        <v>396</v>
      </c>
      <c r="AP400" s="1307">
        <v>0</v>
      </c>
      <c r="AQ400" s="1076" t="s">
        <v>1020</v>
      </c>
      <c r="AR400" s="1109" t="s">
        <v>1942</v>
      </c>
      <c r="AS400" s="1110"/>
      <c r="AT400" s="1100"/>
      <c r="AU400" s="1100"/>
      <c r="AV400" s="1100"/>
      <c r="AW400" s="1111"/>
      <c r="AX400" s="1112"/>
      <c r="AY400" s="1075"/>
      <c r="AZ400" s="1076"/>
      <c r="BA400" s="1076"/>
      <c r="BB400" s="1076"/>
      <c r="BC400" s="1076"/>
      <c r="BD400" s="1076"/>
      <c r="BE400" s="1076"/>
      <c r="BF400" s="1076"/>
      <c r="BG400" s="1076"/>
      <c r="BH400" s="1076"/>
      <c r="BI400" s="1420"/>
      <c r="BJ400" s="1368"/>
      <c r="BK400" s="1368"/>
      <c r="BL400" s="1368"/>
      <c r="BM400" s="1368"/>
      <c r="BN400" s="1075"/>
      <c r="BO400" s="1076"/>
      <c r="BP400" s="1076"/>
      <c r="BQ400" s="1076"/>
      <c r="BR400" s="1076"/>
      <c r="BS400" s="1115"/>
      <c r="BT400" s="1076"/>
      <c r="BU400" s="1076"/>
      <c r="BV400" s="1076"/>
      <c r="BW400" s="1116"/>
      <c r="BX400" s="1115"/>
      <c r="BY400" s="1076"/>
      <c r="BZ400" s="1076"/>
      <c r="CA400" s="1076"/>
      <c r="CB400" s="1116"/>
      <c r="CC400" s="1117"/>
      <c r="CD400" s="1376"/>
      <c r="CE400" s="1377"/>
      <c r="CF400" s="1377"/>
      <c r="CG400" s="1377"/>
      <c r="CH400" s="1440"/>
      <c r="CI400" s="1420"/>
      <c r="CJ400" s="1368"/>
      <c r="CK400" s="1368"/>
      <c r="CL400" s="1368"/>
      <c r="CM400" s="1369"/>
      <c r="CN400" s="1420"/>
      <c r="CO400" s="1368"/>
      <c r="CP400" s="1368"/>
      <c r="CQ400" s="1368"/>
      <c r="CR400" s="1369"/>
      <c r="CS400" s="1420"/>
      <c r="CT400" s="1368"/>
      <c r="CU400" s="1368"/>
      <c r="CV400" s="1368"/>
      <c r="CW400" s="1369"/>
      <c r="CX400" s="1420"/>
      <c r="CY400" s="1368"/>
      <c r="CZ400" s="1368"/>
      <c r="DA400" s="1368"/>
      <c r="DB400" s="1369"/>
      <c r="DC400" s="1368"/>
      <c r="DD400" s="1368"/>
      <c r="DE400" s="1368"/>
      <c r="DF400" s="1368"/>
      <c r="DG400" s="1369"/>
      <c r="DH400" s="1420"/>
      <c r="DI400" s="1368"/>
      <c r="DJ400" s="1368"/>
      <c r="DK400" s="1368"/>
      <c r="DL400" s="1369"/>
      <c r="DM400" s="1808"/>
      <c r="DN400" s="1809"/>
      <c r="DO400" s="1809"/>
      <c r="DP400" s="1810"/>
      <c r="DQ400" s="1809"/>
      <c r="DR400" s="1809"/>
      <c r="DS400" s="1809"/>
      <c r="DT400" s="1810"/>
      <c r="DU400" s="1377"/>
      <c r="DV400" s="1729"/>
      <c r="DW400" s="1811"/>
    </row>
    <row r="401" spans="1:127" s="397" customFormat="1" ht="15.75" hidden="1" customHeight="1">
      <c r="A401" s="1054" t="s">
        <v>1041</v>
      </c>
      <c r="B401" s="1055">
        <v>392</v>
      </c>
      <c r="C401" s="1143"/>
      <c r="D401" s="1143"/>
      <c r="E401" s="1143"/>
      <c r="F401" s="1143"/>
      <c r="G401" s="1143"/>
      <c r="H401" s="1143"/>
      <c r="I401" s="1143"/>
      <c r="J401" s="1143"/>
      <c r="K401" s="1143"/>
      <c r="L401" s="1143"/>
      <c r="M401" s="1055"/>
      <c r="N401" s="1143"/>
      <c r="O401" s="1143"/>
      <c r="P401" s="1143"/>
      <c r="Q401" s="1143"/>
      <c r="R401" s="1143"/>
      <c r="S401" s="1143"/>
      <c r="T401" s="1058"/>
      <c r="U401" s="1059" t="s">
        <v>3603</v>
      </c>
      <c r="V401" s="1060" t="s">
        <v>3599</v>
      </c>
      <c r="W401" s="1060" t="s">
        <v>1889</v>
      </c>
      <c r="X401" s="1061" t="s">
        <v>3604</v>
      </c>
      <c r="Y401" s="1062" t="s">
        <v>669</v>
      </c>
      <c r="Z401" s="1063" t="s">
        <v>3605</v>
      </c>
      <c r="AA401" s="1064" t="s">
        <v>1942</v>
      </c>
      <c r="AB401" s="1065">
        <v>1</v>
      </c>
      <c r="AC401" s="1065" t="s">
        <v>1942</v>
      </c>
      <c r="AD401" s="1065" t="s">
        <v>1942</v>
      </c>
      <c r="AE401" s="1065" t="s">
        <v>1942</v>
      </c>
      <c r="AF401" s="1065" t="s">
        <v>1942</v>
      </c>
      <c r="AG401" s="1065" t="s">
        <v>1942</v>
      </c>
      <c r="AH401" s="1065" t="s">
        <v>1942</v>
      </c>
      <c r="AI401" s="1066">
        <f t="shared" si="6"/>
        <v>1</v>
      </c>
      <c r="AJ401" s="1067" t="s">
        <v>1030</v>
      </c>
      <c r="AK401" s="1067" t="s">
        <v>1008</v>
      </c>
      <c r="AL401" s="1067" t="s">
        <v>1009</v>
      </c>
      <c r="AM401" s="1068" t="s">
        <v>669</v>
      </c>
      <c r="AN401" s="1062" t="s">
        <v>278</v>
      </c>
      <c r="AO401" s="1062" t="s">
        <v>4791</v>
      </c>
      <c r="AP401" s="1306">
        <v>1</v>
      </c>
      <c r="AQ401" s="1080" t="s">
        <v>1010</v>
      </c>
      <c r="AR401" s="1071" t="s">
        <v>669</v>
      </c>
      <c r="AS401" s="1072"/>
      <c r="AT401" s="1061"/>
      <c r="AU401" s="1061"/>
      <c r="AV401" s="1061"/>
      <c r="AW401" s="1073"/>
      <c r="AX401" s="1074"/>
      <c r="AY401" s="1079"/>
      <c r="AZ401" s="1080"/>
      <c r="BA401" s="1080"/>
      <c r="BB401" s="1080"/>
      <c r="BC401" s="1080"/>
      <c r="BD401" s="1080"/>
      <c r="BE401" s="1080"/>
      <c r="BF401" s="1080"/>
      <c r="BG401" s="1077"/>
      <c r="BH401" s="1077"/>
      <c r="BI401" s="1078">
        <v>3</v>
      </c>
      <c r="BJ401" s="1077">
        <v>6</v>
      </c>
      <c r="BK401" s="1077">
        <v>9</v>
      </c>
      <c r="BL401" s="1077">
        <v>12</v>
      </c>
      <c r="BM401" s="1077">
        <v>15</v>
      </c>
      <c r="BN401" s="1079"/>
      <c r="BO401" s="1080"/>
      <c r="BP401" s="1080"/>
      <c r="BQ401" s="1080"/>
      <c r="BR401" s="1080"/>
      <c r="BS401" s="1081"/>
      <c r="BT401" s="1080"/>
      <c r="BU401" s="1080"/>
      <c r="BV401" s="1080"/>
      <c r="BW401" s="1082"/>
      <c r="BX401" s="1081"/>
      <c r="BY401" s="1080"/>
      <c r="BZ401" s="1080"/>
      <c r="CA401" s="1080"/>
      <c r="CB401" s="1082"/>
      <c r="CC401" s="1083"/>
      <c r="CD401" s="1084" t="s">
        <v>168</v>
      </c>
      <c r="CE401" s="1085" t="s">
        <v>168</v>
      </c>
      <c r="CF401" s="1085" t="s">
        <v>168</v>
      </c>
      <c r="CG401" s="1085" t="s">
        <v>168</v>
      </c>
      <c r="CH401" s="1086" t="s">
        <v>168</v>
      </c>
      <c r="CI401" s="1089">
        <v>-59.4</v>
      </c>
      <c r="CJ401" s="1087">
        <v>-59.4</v>
      </c>
      <c r="CK401" s="1087">
        <v>-59.4</v>
      </c>
      <c r="CL401" s="1087">
        <v>-59.4</v>
      </c>
      <c r="CM401" s="1088">
        <v>-59.4</v>
      </c>
      <c r="CN401" s="1089">
        <v>-30.6</v>
      </c>
      <c r="CO401" s="1087">
        <v>-30.6</v>
      </c>
      <c r="CP401" s="1087">
        <v>-30.6</v>
      </c>
      <c r="CQ401" s="1087">
        <v>-30.6</v>
      </c>
      <c r="CR401" s="1088">
        <v>-30.6</v>
      </c>
      <c r="CS401" s="1079" t="s">
        <v>1942</v>
      </c>
      <c r="CT401" s="1080" t="s">
        <v>1942</v>
      </c>
      <c r="CU401" s="1080" t="s">
        <v>1942</v>
      </c>
      <c r="CV401" s="1080" t="s">
        <v>1942</v>
      </c>
      <c r="CW401" s="1083" t="s">
        <v>1942</v>
      </c>
      <c r="CX401" s="1996">
        <v>3</v>
      </c>
      <c r="CY401" s="1997">
        <v>6</v>
      </c>
      <c r="CZ401" s="1997">
        <v>9.1</v>
      </c>
      <c r="DA401" s="1997">
        <v>12.3</v>
      </c>
      <c r="DB401" s="1998">
        <v>15.6</v>
      </c>
      <c r="DC401" s="1087">
        <v>32.6</v>
      </c>
      <c r="DD401" s="1087">
        <v>33.299999999999997</v>
      </c>
      <c r="DE401" s="1087">
        <v>36.1</v>
      </c>
      <c r="DF401" s="1087">
        <v>39.200000000000003</v>
      </c>
      <c r="DG401" s="1088">
        <v>42.3</v>
      </c>
      <c r="DH401" s="1152">
        <v>0</v>
      </c>
      <c r="DI401" s="1080">
        <v>0</v>
      </c>
      <c r="DJ401" s="1080">
        <v>0</v>
      </c>
      <c r="DK401" s="1080">
        <v>0</v>
      </c>
      <c r="DL401" s="1083">
        <v>0</v>
      </c>
      <c r="DM401" s="1091">
        <v>-0.61499999999999999</v>
      </c>
      <c r="DN401" s="1092" t="s">
        <v>1942</v>
      </c>
      <c r="DO401" s="1092" t="s">
        <v>1942</v>
      </c>
      <c r="DP401" s="1093">
        <v>-1.2310000000000001</v>
      </c>
      <c r="DQ401" s="1092">
        <v>0.37</v>
      </c>
      <c r="DR401" s="1092" t="s">
        <v>1942</v>
      </c>
      <c r="DS401" s="1092" t="s">
        <v>1942</v>
      </c>
      <c r="DT401" s="1093">
        <v>0.74</v>
      </c>
      <c r="DU401" s="1085" t="s">
        <v>131</v>
      </c>
      <c r="DV401" s="1094">
        <v>1</v>
      </c>
      <c r="DW401" s="1095" t="s">
        <v>1942</v>
      </c>
    </row>
    <row r="402" spans="1:127" s="397" customFormat="1" ht="15.75" hidden="1" customHeight="1">
      <c r="A402" s="1054" t="s">
        <v>1041</v>
      </c>
      <c r="B402" s="1055">
        <v>393</v>
      </c>
      <c r="C402" s="1143"/>
      <c r="D402" s="1143"/>
      <c r="E402" s="1143"/>
      <c r="F402" s="1143"/>
      <c r="G402" s="1143"/>
      <c r="H402" s="1143"/>
      <c r="I402" s="1143"/>
      <c r="J402" s="1143"/>
      <c r="K402" s="1143"/>
      <c r="L402" s="1143"/>
      <c r="M402" s="1055"/>
      <c r="N402" s="1143"/>
      <c r="O402" s="1143"/>
      <c r="P402" s="1143"/>
      <c r="Q402" s="1143"/>
      <c r="R402" s="1143"/>
      <c r="S402" s="1143"/>
      <c r="T402" s="1058"/>
      <c r="U402" s="1059" t="s">
        <v>3607</v>
      </c>
      <c r="V402" s="1060" t="s">
        <v>3599</v>
      </c>
      <c r="W402" s="1060" t="s">
        <v>1907</v>
      </c>
      <c r="X402" s="1061" t="s">
        <v>3608</v>
      </c>
      <c r="Y402" s="1062" t="s">
        <v>1902</v>
      </c>
      <c r="Z402" s="1063" t="s">
        <v>3609</v>
      </c>
      <c r="AA402" s="1064" t="s">
        <v>1942</v>
      </c>
      <c r="AB402" s="1065">
        <v>1</v>
      </c>
      <c r="AC402" s="1065" t="s">
        <v>1942</v>
      </c>
      <c r="AD402" s="1065" t="s">
        <v>1942</v>
      </c>
      <c r="AE402" s="1065" t="s">
        <v>1942</v>
      </c>
      <c r="AF402" s="1065" t="s">
        <v>1942</v>
      </c>
      <c r="AG402" s="1065" t="s">
        <v>1942</v>
      </c>
      <c r="AH402" s="1065" t="s">
        <v>1942</v>
      </c>
      <c r="AI402" s="1066">
        <f t="shared" si="6"/>
        <v>1</v>
      </c>
      <c r="AJ402" s="1067" t="s">
        <v>1030</v>
      </c>
      <c r="AK402" s="1067" t="s">
        <v>1018</v>
      </c>
      <c r="AL402" s="1067" t="s">
        <v>1019</v>
      </c>
      <c r="AM402" s="1068" t="s">
        <v>2054</v>
      </c>
      <c r="AN402" s="1062" t="s">
        <v>2118</v>
      </c>
      <c r="AO402" s="1062" t="s">
        <v>4791</v>
      </c>
      <c r="AP402" s="1306">
        <v>1</v>
      </c>
      <c r="AQ402" s="833" t="s">
        <v>1010</v>
      </c>
      <c r="AR402" s="1071" t="s">
        <v>1902</v>
      </c>
      <c r="AS402" s="1072"/>
      <c r="AT402" s="1061"/>
      <c r="AU402" s="1061"/>
      <c r="AV402" s="1061"/>
      <c r="AW402" s="1073"/>
      <c r="AX402" s="1074"/>
      <c r="AY402" s="1079"/>
      <c r="AZ402" s="1080"/>
      <c r="BA402" s="1080"/>
      <c r="BB402" s="1080"/>
      <c r="BC402" s="1080"/>
      <c r="BD402" s="1080"/>
      <c r="BE402" s="1080"/>
      <c r="BF402" s="1080"/>
      <c r="BG402" s="1077"/>
      <c r="BH402" s="1077"/>
      <c r="BI402" s="1078">
        <v>1.1000000000000001</v>
      </c>
      <c r="BJ402" s="1077">
        <v>2.2999999999999998</v>
      </c>
      <c r="BK402" s="1077">
        <v>3.6</v>
      </c>
      <c r="BL402" s="1077">
        <v>5</v>
      </c>
      <c r="BM402" s="1077">
        <v>6.2</v>
      </c>
      <c r="BN402" s="1079"/>
      <c r="BO402" s="1080"/>
      <c r="BP402" s="1080"/>
      <c r="BQ402" s="1080"/>
      <c r="BR402" s="1080"/>
      <c r="BS402" s="1081"/>
      <c r="BT402" s="1080"/>
      <c r="BU402" s="1080"/>
      <c r="BV402" s="1080"/>
      <c r="BW402" s="1082"/>
      <c r="BX402" s="1081"/>
      <c r="BY402" s="1080"/>
      <c r="BZ402" s="1080"/>
      <c r="CA402" s="1080"/>
      <c r="CB402" s="1082"/>
      <c r="CC402" s="1083"/>
      <c r="CD402" s="1084" t="s">
        <v>168</v>
      </c>
      <c r="CE402" s="1085" t="s">
        <v>168</v>
      </c>
      <c r="CF402" s="1085" t="s">
        <v>168</v>
      </c>
      <c r="CG402" s="1085" t="s">
        <v>168</v>
      </c>
      <c r="CH402" s="1086" t="s">
        <v>168</v>
      </c>
      <c r="CI402" s="1089" t="s">
        <v>1942</v>
      </c>
      <c r="CJ402" s="1087" t="s">
        <v>1942</v>
      </c>
      <c r="CK402" s="1087" t="s">
        <v>1942</v>
      </c>
      <c r="CL402" s="1087" t="s">
        <v>1942</v>
      </c>
      <c r="CM402" s="1088" t="s">
        <v>1942</v>
      </c>
      <c r="CN402" s="1152">
        <v>-5</v>
      </c>
      <c r="CO402" s="1087">
        <v>-3.5</v>
      </c>
      <c r="CP402" s="1087">
        <v>-2.8</v>
      </c>
      <c r="CQ402" s="1087">
        <v>-1.3</v>
      </c>
      <c r="CR402" s="1088">
        <v>0.1</v>
      </c>
      <c r="CS402" s="1079" t="s">
        <v>1942</v>
      </c>
      <c r="CT402" s="1080" t="s">
        <v>1942</v>
      </c>
      <c r="CU402" s="1080" t="s">
        <v>1942</v>
      </c>
      <c r="CV402" s="1080" t="s">
        <v>1942</v>
      </c>
      <c r="CW402" s="1083" t="s">
        <v>1942</v>
      </c>
      <c r="CX402" s="1079" t="s">
        <v>1942</v>
      </c>
      <c r="CY402" s="1080" t="s">
        <v>1942</v>
      </c>
      <c r="CZ402" s="1080" t="s">
        <v>1942</v>
      </c>
      <c r="DA402" s="1080" t="s">
        <v>1942</v>
      </c>
      <c r="DB402" s="1083" t="s">
        <v>1942</v>
      </c>
      <c r="DC402" s="1090">
        <v>7.4</v>
      </c>
      <c r="DD402" s="1087">
        <v>8.6</v>
      </c>
      <c r="DE402" s="1087">
        <v>9.9</v>
      </c>
      <c r="DF402" s="1087">
        <v>11.3</v>
      </c>
      <c r="DG402" s="1088">
        <v>12.5</v>
      </c>
      <c r="DH402" s="1089" t="s">
        <v>1942</v>
      </c>
      <c r="DI402" s="1080" t="s">
        <v>1942</v>
      </c>
      <c r="DJ402" s="1080" t="s">
        <v>1942</v>
      </c>
      <c r="DK402" s="1080" t="s">
        <v>1942</v>
      </c>
      <c r="DL402" s="1083" t="s">
        <v>1942</v>
      </c>
      <c r="DM402" s="1091">
        <v>-0.27900000000000003</v>
      </c>
      <c r="DN402" s="1092" t="s">
        <v>1942</v>
      </c>
      <c r="DO402" s="1092" t="s">
        <v>1942</v>
      </c>
      <c r="DP402" s="1093" t="s">
        <v>1942</v>
      </c>
      <c r="DQ402" s="1092">
        <v>0.25600000000000001</v>
      </c>
      <c r="DR402" s="1092" t="s">
        <v>1942</v>
      </c>
      <c r="DS402" s="1092" t="s">
        <v>1942</v>
      </c>
      <c r="DT402" s="1093" t="s">
        <v>1942</v>
      </c>
      <c r="DU402" s="1085" t="s">
        <v>1942</v>
      </c>
      <c r="DV402" s="1094">
        <v>1</v>
      </c>
      <c r="DW402" s="1095" t="s">
        <v>1942</v>
      </c>
    </row>
    <row r="403" spans="1:127" s="397" customFormat="1" ht="15.75" hidden="1" customHeight="1">
      <c r="A403" s="1097" t="s">
        <v>1041</v>
      </c>
      <c r="B403" s="1057">
        <v>394</v>
      </c>
      <c r="C403" s="1018"/>
      <c r="D403" s="1018"/>
      <c r="E403" s="1018"/>
      <c r="F403" s="1018"/>
      <c r="G403" s="1018"/>
      <c r="H403" s="1018"/>
      <c r="I403" s="1018"/>
      <c r="J403" s="1018"/>
      <c r="K403" s="1018"/>
      <c r="L403" s="1018"/>
      <c r="M403" s="1057"/>
      <c r="N403" s="1018"/>
      <c r="O403" s="1018"/>
      <c r="P403" s="1018"/>
      <c r="Q403" s="1018"/>
      <c r="R403" s="1018"/>
      <c r="S403" s="1018"/>
      <c r="T403" s="1019"/>
      <c r="U403" s="1098" t="s">
        <v>3611</v>
      </c>
      <c r="V403" s="1099" t="s">
        <v>3612</v>
      </c>
      <c r="W403" s="1099" t="s">
        <v>1889</v>
      </c>
      <c r="X403" s="1100" t="s">
        <v>3613</v>
      </c>
      <c r="Y403" s="1101" t="s">
        <v>732</v>
      </c>
      <c r="Z403" s="1102" t="s">
        <v>3614</v>
      </c>
      <c r="AA403" s="1103" t="s">
        <v>1942</v>
      </c>
      <c r="AB403" s="1104" t="s">
        <v>1942</v>
      </c>
      <c r="AC403" s="1104">
        <v>1</v>
      </c>
      <c r="AD403" s="1104" t="s">
        <v>1942</v>
      </c>
      <c r="AE403" s="1104" t="s">
        <v>1942</v>
      </c>
      <c r="AF403" s="1104" t="s">
        <v>1942</v>
      </c>
      <c r="AG403" s="1104" t="s">
        <v>1942</v>
      </c>
      <c r="AH403" s="1104" t="s">
        <v>1942</v>
      </c>
      <c r="AI403" s="1105">
        <f t="shared" si="6"/>
        <v>1</v>
      </c>
      <c r="AJ403" s="1106" t="s">
        <v>1030</v>
      </c>
      <c r="AK403" s="1106" t="s">
        <v>1008</v>
      </c>
      <c r="AL403" s="1106" t="s">
        <v>1009</v>
      </c>
      <c r="AM403" s="1107" t="s">
        <v>2058</v>
      </c>
      <c r="AN403" s="1018" t="s">
        <v>2177</v>
      </c>
      <c r="AO403" s="1018" t="s">
        <v>4492</v>
      </c>
      <c r="AP403" s="1307">
        <v>2</v>
      </c>
      <c r="AQ403" s="1076" t="s">
        <v>1020</v>
      </c>
      <c r="AR403" s="1109" t="s">
        <v>732</v>
      </c>
      <c r="AS403" s="1110"/>
      <c r="AT403" s="1100"/>
      <c r="AU403" s="1100"/>
      <c r="AV403" s="1100"/>
      <c r="AW403" s="1111"/>
      <c r="AX403" s="1112"/>
      <c r="AY403" s="1075"/>
      <c r="AZ403" s="1076"/>
      <c r="BA403" s="1076"/>
      <c r="BB403" s="1076"/>
      <c r="BC403" s="1076"/>
      <c r="BD403" s="1076"/>
      <c r="BE403" s="1076"/>
      <c r="BF403" s="1076"/>
      <c r="BG403" s="1126"/>
      <c r="BH403" s="1126"/>
      <c r="BI403" s="1127">
        <v>1.68</v>
      </c>
      <c r="BJ403" s="1126">
        <v>1.63</v>
      </c>
      <c r="BK403" s="1126">
        <v>1.58</v>
      </c>
      <c r="BL403" s="1126">
        <v>1.44</v>
      </c>
      <c r="BM403" s="1126">
        <v>1.34</v>
      </c>
      <c r="BN403" s="1075"/>
      <c r="BO403" s="1076"/>
      <c r="BP403" s="1076"/>
      <c r="BQ403" s="1076"/>
      <c r="BR403" s="1076"/>
      <c r="BS403" s="1115"/>
      <c r="BT403" s="1076"/>
      <c r="BU403" s="1076"/>
      <c r="BV403" s="1076"/>
      <c r="BW403" s="1116"/>
      <c r="BX403" s="1115"/>
      <c r="BY403" s="1076"/>
      <c r="BZ403" s="1076"/>
      <c r="CA403" s="1076"/>
      <c r="CB403" s="1116"/>
      <c r="CC403" s="1117"/>
      <c r="CD403" s="1118" t="s">
        <v>168</v>
      </c>
      <c r="CE403" s="1119" t="s">
        <v>168</v>
      </c>
      <c r="CF403" s="1119" t="s">
        <v>168</v>
      </c>
      <c r="CG403" s="1119" t="s">
        <v>168</v>
      </c>
      <c r="CH403" s="1120" t="s">
        <v>168</v>
      </c>
      <c r="CI403" s="1075">
        <v>8.4700000000000006</v>
      </c>
      <c r="CJ403" s="1076">
        <v>8.4700000000000006</v>
      </c>
      <c r="CK403" s="1076">
        <v>8.4700000000000006</v>
      </c>
      <c r="CL403" s="1076">
        <v>8.4700000000000006</v>
      </c>
      <c r="CM403" s="1117">
        <v>8.4700000000000006</v>
      </c>
      <c r="CN403" s="1075">
        <v>2.56</v>
      </c>
      <c r="CO403" s="1076">
        <v>2.56</v>
      </c>
      <c r="CP403" s="1076">
        <v>2.56</v>
      </c>
      <c r="CQ403" s="1076">
        <v>2.56</v>
      </c>
      <c r="CR403" s="1117">
        <v>2.56</v>
      </c>
      <c r="CS403" s="1075" t="s">
        <v>1942</v>
      </c>
      <c r="CT403" s="1076" t="s">
        <v>1942</v>
      </c>
      <c r="CU403" s="1076" t="s">
        <v>1942</v>
      </c>
      <c r="CV403" s="1076" t="s">
        <v>1942</v>
      </c>
      <c r="CW403" s="1117" t="s">
        <v>1942</v>
      </c>
      <c r="CX403" s="1075" t="s">
        <v>1942</v>
      </c>
      <c r="CY403" s="1076" t="s">
        <v>1942</v>
      </c>
      <c r="CZ403" s="1076" t="s">
        <v>1942</v>
      </c>
      <c r="DA403" s="1076" t="s">
        <v>1942</v>
      </c>
      <c r="DB403" s="1117" t="s">
        <v>1942</v>
      </c>
      <c r="DC403" s="1076">
        <v>0.93</v>
      </c>
      <c r="DD403" s="1076">
        <v>0.9</v>
      </c>
      <c r="DE403" s="1076">
        <v>0.87</v>
      </c>
      <c r="DF403" s="1076">
        <v>0.8</v>
      </c>
      <c r="DG403" s="1117">
        <v>0.74</v>
      </c>
      <c r="DH403" s="1075">
        <v>0</v>
      </c>
      <c r="DI403" s="1076">
        <v>0</v>
      </c>
      <c r="DJ403" s="1076">
        <v>0</v>
      </c>
      <c r="DK403" s="1076">
        <v>0</v>
      </c>
      <c r="DL403" s="1117">
        <v>0</v>
      </c>
      <c r="DM403" s="1121">
        <v>-9.5120000000000005</v>
      </c>
      <c r="DN403" s="1122" t="s">
        <v>1942</v>
      </c>
      <c r="DO403" s="1122" t="s">
        <v>1942</v>
      </c>
      <c r="DP403" s="1123">
        <v>-19.024000000000001</v>
      </c>
      <c r="DQ403" s="1122">
        <v>3.52</v>
      </c>
      <c r="DR403" s="1122" t="s">
        <v>1942</v>
      </c>
      <c r="DS403" s="1122" t="s">
        <v>1942</v>
      </c>
      <c r="DT403" s="1123">
        <v>7.04</v>
      </c>
      <c r="DU403" s="1119" t="s">
        <v>1942</v>
      </c>
      <c r="DV403" s="1124">
        <v>1</v>
      </c>
      <c r="DW403" s="1125" t="s">
        <v>1942</v>
      </c>
    </row>
    <row r="404" spans="1:127" s="397" customFormat="1" ht="15.75" hidden="1" customHeight="1">
      <c r="A404" s="1097" t="s">
        <v>1041</v>
      </c>
      <c r="B404" s="1057">
        <v>395</v>
      </c>
      <c r="C404" s="1018"/>
      <c r="D404" s="1018"/>
      <c r="E404" s="1018"/>
      <c r="F404" s="1018"/>
      <c r="G404" s="1018"/>
      <c r="H404" s="1018"/>
      <c r="I404" s="1018"/>
      <c r="J404" s="1018"/>
      <c r="K404" s="1018"/>
      <c r="L404" s="1018"/>
      <c r="M404" s="1057"/>
      <c r="N404" s="1018"/>
      <c r="O404" s="1018"/>
      <c r="P404" s="1018"/>
      <c r="Q404" s="1018"/>
      <c r="R404" s="1018"/>
      <c r="S404" s="1018"/>
      <c r="T404" s="1019"/>
      <c r="U404" s="1098" t="s">
        <v>3616</v>
      </c>
      <c r="V404" s="1099" t="s">
        <v>3612</v>
      </c>
      <c r="W404" s="1099" t="s">
        <v>1889</v>
      </c>
      <c r="X404" s="1100" t="s">
        <v>3617</v>
      </c>
      <c r="Y404" s="1101" t="s">
        <v>3618</v>
      </c>
      <c r="Z404" s="1102" t="s">
        <v>3619</v>
      </c>
      <c r="AA404" s="1103" t="s">
        <v>1942</v>
      </c>
      <c r="AB404" s="1104" t="s">
        <v>1942</v>
      </c>
      <c r="AC404" s="1104">
        <v>1</v>
      </c>
      <c r="AD404" s="1104" t="s">
        <v>1942</v>
      </c>
      <c r="AE404" s="1104" t="s">
        <v>1942</v>
      </c>
      <c r="AF404" s="1104" t="s">
        <v>1942</v>
      </c>
      <c r="AG404" s="1104" t="s">
        <v>1942</v>
      </c>
      <c r="AH404" s="1104" t="s">
        <v>1942</v>
      </c>
      <c r="AI404" s="1105">
        <f t="shared" si="6"/>
        <v>1</v>
      </c>
      <c r="AJ404" s="1106" t="s">
        <v>1030</v>
      </c>
      <c r="AK404" s="1106" t="s">
        <v>1008</v>
      </c>
      <c r="AL404" s="1106" t="s">
        <v>1009</v>
      </c>
      <c r="AM404" s="1107" t="s">
        <v>2058</v>
      </c>
      <c r="AN404" s="1018" t="s">
        <v>2177</v>
      </c>
      <c r="AO404" s="1018" t="s">
        <v>4492</v>
      </c>
      <c r="AP404" s="1274">
        <v>0</v>
      </c>
      <c r="AQ404" s="1076" t="s">
        <v>1020</v>
      </c>
      <c r="AR404" s="1109"/>
      <c r="AS404" s="1110"/>
      <c r="AT404" s="1100"/>
      <c r="AU404" s="1100"/>
      <c r="AV404" s="1100"/>
      <c r="AW404" s="1111"/>
      <c r="AX404" s="1112"/>
      <c r="AY404" s="1075"/>
      <c r="AZ404" s="1076"/>
      <c r="BA404" s="1076"/>
      <c r="BB404" s="1076"/>
      <c r="BC404" s="1076"/>
      <c r="BD404" s="1076"/>
      <c r="BE404" s="1076"/>
      <c r="BF404" s="1076"/>
      <c r="BG404" s="1126"/>
      <c r="BH404" s="1126"/>
      <c r="BI404" s="1725"/>
      <c r="BJ404" s="1726"/>
      <c r="BK404" s="1726"/>
      <c r="BL404" s="1726"/>
      <c r="BM404" s="1726"/>
      <c r="BN404" s="1075"/>
      <c r="BO404" s="1076"/>
      <c r="BP404" s="1076"/>
      <c r="BQ404" s="1076"/>
      <c r="BR404" s="1076"/>
      <c r="BS404" s="1115"/>
      <c r="BT404" s="1076"/>
      <c r="BU404" s="1076"/>
      <c r="BV404" s="1076"/>
      <c r="BW404" s="1116"/>
      <c r="BX404" s="1115"/>
      <c r="BY404" s="1076"/>
      <c r="BZ404" s="1076"/>
      <c r="CA404" s="1076"/>
      <c r="CB404" s="1116"/>
      <c r="CC404" s="1117"/>
      <c r="CD404" s="1376"/>
      <c r="CE404" s="1377"/>
      <c r="CF404" s="1377"/>
      <c r="CG404" s="1377"/>
      <c r="CH404" s="1440"/>
      <c r="CI404" s="1420"/>
      <c r="CJ404" s="1368"/>
      <c r="CK404" s="1368"/>
      <c r="CL404" s="1368"/>
      <c r="CM404" s="1369"/>
      <c r="CN404" s="1420"/>
      <c r="CO404" s="1368"/>
      <c r="CP404" s="1368"/>
      <c r="CQ404" s="1368"/>
      <c r="CR404" s="1369"/>
      <c r="CS404" s="1420"/>
      <c r="CT404" s="1368"/>
      <c r="CU404" s="1368"/>
      <c r="CV404" s="1368"/>
      <c r="CW404" s="1369"/>
      <c r="CX404" s="1420"/>
      <c r="CY404" s="1368"/>
      <c r="CZ404" s="1368"/>
      <c r="DA404" s="1368"/>
      <c r="DB404" s="1369"/>
      <c r="DC404" s="1368"/>
      <c r="DD404" s="1368"/>
      <c r="DE404" s="1368"/>
      <c r="DF404" s="1368"/>
      <c r="DG404" s="1369"/>
      <c r="DH404" s="1420"/>
      <c r="DI404" s="1368"/>
      <c r="DJ404" s="1368"/>
      <c r="DK404" s="1368"/>
      <c r="DL404" s="1369"/>
      <c r="DM404" s="1808"/>
      <c r="DN404" s="1809"/>
      <c r="DO404" s="1809"/>
      <c r="DP404" s="1810"/>
      <c r="DQ404" s="1809"/>
      <c r="DR404" s="1809"/>
      <c r="DS404" s="1809"/>
      <c r="DT404" s="1810"/>
      <c r="DU404" s="1377"/>
      <c r="DV404" s="1729"/>
      <c r="DW404" s="1811"/>
    </row>
    <row r="405" spans="1:127" s="397" customFormat="1" ht="15.75" hidden="1" customHeight="1">
      <c r="A405" s="1097" t="s">
        <v>1041</v>
      </c>
      <c r="B405" s="1057">
        <v>396</v>
      </c>
      <c r="C405" s="1018"/>
      <c r="D405" s="1018"/>
      <c r="E405" s="1018"/>
      <c r="F405" s="1018"/>
      <c r="G405" s="1018"/>
      <c r="H405" s="1018"/>
      <c r="I405" s="1018"/>
      <c r="J405" s="1018"/>
      <c r="K405" s="1018"/>
      <c r="L405" s="1018"/>
      <c r="M405" s="1057"/>
      <c r="N405" s="1018"/>
      <c r="O405" s="1018"/>
      <c r="P405" s="1018"/>
      <c r="Q405" s="1018"/>
      <c r="R405" s="1018"/>
      <c r="S405" s="1018"/>
      <c r="T405" s="1019"/>
      <c r="U405" s="1098" t="s">
        <v>3620</v>
      </c>
      <c r="V405" s="1099" t="s">
        <v>3612</v>
      </c>
      <c r="W405" s="1099" t="s">
        <v>1889</v>
      </c>
      <c r="X405" s="1100" t="s">
        <v>3621</v>
      </c>
      <c r="Y405" s="1101" t="s">
        <v>743</v>
      </c>
      <c r="Z405" s="1102" t="s">
        <v>3622</v>
      </c>
      <c r="AA405" s="1103" t="s">
        <v>1942</v>
      </c>
      <c r="AB405" s="1104" t="s">
        <v>1942</v>
      </c>
      <c r="AC405" s="1104">
        <v>1</v>
      </c>
      <c r="AD405" s="1104" t="s">
        <v>1942</v>
      </c>
      <c r="AE405" s="1104" t="s">
        <v>1942</v>
      </c>
      <c r="AF405" s="1104" t="s">
        <v>1942</v>
      </c>
      <c r="AG405" s="1104" t="s">
        <v>1942</v>
      </c>
      <c r="AH405" s="1104" t="s">
        <v>1942</v>
      </c>
      <c r="AI405" s="1105">
        <f t="shared" si="6"/>
        <v>1</v>
      </c>
      <c r="AJ405" s="1106" t="s">
        <v>1030</v>
      </c>
      <c r="AK405" s="1106" t="s">
        <v>1008</v>
      </c>
      <c r="AL405" s="1106" t="s">
        <v>1009</v>
      </c>
      <c r="AM405" s="1107" t="s">
        <v>2237</v>
      </c>
      <c r="AN405" s="1018" t="s">
        <v>2177</v>
      </c>
      <c r="AO405" s="1018" t="s">
        <v>4807</v>
      </c>
      <c r="AP405" s="1307">
        <v>2</v>
      </c>
      <c r="AQ405" s="1076" t="s">
        <v>1020</v>
      </c>
      <c r="AR405" s="1109" t="s">
        <v>743</v>
      </c>
      <c r="AS405" s="1110"/>
      <c r="AT405" s="1100"/>
      <c r="AU405" s="1100"/>
      <c r="AV405" s="1100"/>
      <c r="AW405" s="1111"/>
      <c r="AX405" s="1112"/>
      <c r="AY405" s="1075"/>
      <c r="AZ405" s="1076"/>
      <c r="BA405" s="1076"/>
      <c r="BB405" s="1076"/>
      <c r="BC405" s="1076"/>
      <c r="BD405" s="1076"/>
      <c r="BE405" s="1076"/>
      <c r="BF405" s="1076"/>
      <c r="BG405" s="1126"/>
      <c r="BH405" s="1126"/>
      <c r="BI405" s="1127">
        <v>17.059999999999999</v>
      </c>
      <c r="BJ405" s="1126">
        <v>16.27</v>
      </c>
      <c r="BK405" s="1126">
        <v>15.54</v>
      </c>
      <c r="BL405" s="1126">
        <v>14.76</v>
      </c>
      <c r="BM405" s="1126">
        <v>13.99</v>
      </c>
      <c r="BN405" s="1075"/>
      <c r="BO405" s="1076"/>
      <c r="BP405" s="1076"/>
      <c r="BQ405" s="1076"/>
      <c r="BR405" s="1076"/>
      <c r="BS405" s="1115"/>
      <c r="BT405" s="1076"/>
      <c r="BU405" s="1076"/>
      <c r="BV405" s="1076"/>
      <c r="BW405" s="1116"/>
      <c r="BX405" s="1115"/>
      <c r="BY405" s="1076"/>
      <c r="BZ405" s="1076"/>
      <c r="CA405" s="1076"/>
      <c r="CB405" s="1116"/>
      <c r="CC405" s="1117"/>
      <c r="CD405" s="1118" t="s">
        <v>168</v>
      </c>
      <c r="CE405" s="1119" t="s">
        <v>168</v>
      </c>
      <c r="CF405" s="1119" t="s">
        <v>168</v>
      </c>
      <c r="CG405" s="1119" t="s">
        <v>168</v>
      </c>
      <c r="CH405" s="1120" t="s">
        <v>168</v>
      </c>
      <c r="CI405" s="1075" t="s">
        <v>1942</v>
      </c>
      <c r="CJ405" s="1076" t="s">
        <v>1942</v>
      </c>
      <c r="CK405" s="1076" t="s">
        <v>1942</v>
      </c>
      <c r="CL405" s="1076" t="s">
        <v>1942</v>
      </c>
      <c r="CM405" s="1117" t="s">
        <v>1942</v>
      </c>
      <c r="CN405" s="1075" t="s">
        <v>1942</v>
      </c>
      <c r="CO405" s="1076" t="s">
        <v>1942</v>
      </c>
      <c r="CP405" s="1076" t="s">
        <v>1942</v>
      </c>
      <c r="CQ405" s="1076" t="s">
        <v>1942</v>
      </c>
      <c r="CR405" s="1117" t="s">
        <v>1942</v>
      </c>
      <c r="CS405" s="1075" t="s">
        <v>1942</v>
      </c>
      <c r="CT405" s="1076" t="s">
        <v>1942</v>
      </c>
      <c r="CU405" s="1076" t="s">
        <v>1942</v>
      </c>
      <c r="CV405" s="1076" t="s">
        <v>1942</v>
      </c>
      <c r="CW405" s="1117" t="s">
        <v>1942</v>
      </c>
      <c r="CX405" s="1075" t="s">
        <v>1942</v>
      </c>
      <c r="CY405" s="1076" t="s">
        <v>1942</v>
      </c>
      <c r="CZ405" s="1076" t="s">
        <v>1942</v>
      </c>
      <c r="DA405" s="1076" t="s">
        <v>1942</v>
      </c>
      <c r="DB405" s="1117" t="s">
        <v>1942</v>
      </c>
      <c r="DC405" s="1076" t="s">
        <v>1942</v>
      </c>
      <c r="DD405" s="1076" t="s">
        <v>1942</v>
      </c>
      <c r="DE405" s="1076" t="s">
        <v>1942</v>
      </c>
      <c r="DF405" s="1076" t="s">
        <v>1942</v>
      </c>
      <c r="DG405" s="1117" t="s">
        <v>1942</v>
      </c>
      <c r="DH405" s="1075" t="s">
        <v>1942</v>
      </c>
      <c r="DI405" s="1076" t="s">
        <v>1942</v>
      </c>
      <c r="DJ405" s="1076" t="s">
        <v>1942</v>
      </c>
      <c r="DK405" s="1076" t="s">
        <v>1942</v>
      </c>
      <c r="DL405" s="1117" t="s">
        <v>1942</v>
      </c>
      <c r="DM405" s="1121">
        <v>-0.19500000000000001</v>
      </c>
      <c r="DN405" s="1122" t="s">
        <v>1942</v>
      </c>
      <c r="DO405" s="1122" t="s">
        <v>1942</v>
      </c>
      <c r="DP405" s="1123" t="s">
        <v>1942</v>
      </c>
      <c r="DQ405" s="1122">
        <v>0.04</v>
      </c>
      <c r="DR405" s="1122" t="s">
        <v>1942</v>
      </c>
      <c r="DS405" s="1122" t="s">
        <v>1942</v>
      </c>
      <c r="DT405" s="1123" t="s">
        <v>1942</v>
      </c>
      <c r="DU405" s="1119" t="s">
        <v>1942</v>
      </c>
      <c r="DV405" s="1124">
        <v>1</v>
      </c>
      <c r="DW405" s="1125" t="s">
        <v>1942</v>
      </c>
    </row>
    <row r="406" spans="1:127" s="397" customFormat="1" ht="15.75" hidden="1" customHeight="1">
      <c r="A406" s="1097" t="s">
        <v>1041</v>
      </c>
      <c r="B406" s="1057">
        <v>397</v>
      </c>
      <c r="C406" s="1018"/>
      <c r="D406" s="1018"/>
      <c r="E406" s="1018"/>
      <c r="F406" s="1018"/>
      <c r="G406" s="1018"/>
      <c r="H406" s="1018"/>
      <c r="I406" s="1018"/>
      <c r="J406" s="1018"/>
      <c r="K406" s="1018"/>
      <c r="L406" s="1018"/>
      <c r="M406" s="1057"/>
      <c r="N406" s="1018"/>
      <c r="O406" s="1018"/>
      <c r="P406" s="1018"/>
      <c r="Q406" s="1018"/>
      <c r="R406" s="1018"/>
      <c r="S406" s="1018"/>
      <c r="T406" s="1019"/>
      <c r="U406" s="1098" t="s">
        <v>3624</v>
      </c>
      <c r="V406" s="1099" t="s">
        <v>3612</v>
      </c>
      <c r="W406" s="1099" t="s">
        <v>1889</v>
      </c>
      <c r="X406" s="1100" t="s">
        <v>3625</v>
      </c>
      <c r="Y406" s="1101" t="s">
        <v>2416</v>
      </c>
      <c r="Z406" s="1102" t="s">
        <v>3626</v>
      </c>
      <c r="AA406" s="1103" t="s">
        <v>1942</v>
      </c>
      <c r="AB406" s="1104" t="s">
        <v>1942</v>
      </c>
      <c r="AC406" s="1104">
        <v>1</v>
      </c>
      <c r="AD406" s="1104" t="s">
        <v>1942</v>
      </c>
      <c r="AE406" s="1104" t="s">
        <v>1942</v>
      </c>
      <c r="AF406" s="1104" t="s">
        <v>1942</v>
      </c>
      <c r="AG406" s="1104" t="s">
        <v>1942</v>
      </c>
      <c r="AH406" s="1104" t="s">
        <v>1942</v>
      </c>
      <c r="AI406" s="1105">
        <f t="shared" si="6"/>
        <v>1</v>
      </c>
      <c r="AJ406" s="1106" t="s">
        <v>1030</v>
      </c>
      <c r="AK406" s="1106" t="s">
        <v>1008</v>
      </c>
      <c r="AL406" s="1106" t="s">
        <v>1009</v>
      </c>
      <c r="AM406" s="1107" t="s">
        <v>2237</v>
      </c>
      <c r="AN406" s="1018" t="s">
        <v>2177</v>
      </c>
      <c r="AO406" s="1018" t="s">
        <v>4823</v>
      </c>
      <c r="AP406" s="1274">
        <v>0</v>
      </c>
      <c r="AQ406" s="1076" t="s">
        <v>1020</v>
      </c>
      <c r="AR406" s="1109"/>
      <c r="AS406" s="1110"/>
      <c r="AT406" s="1100"/>
      <c r="AU406" s="1100"/>
      <c r="AV406" s="1100"/>
      <c r="AW406" s="1111"/>
      <c r="AX406" s="1112"/>
      <c r="AY406" s="1075"/>
      <c r="AZ406" s="1076"/>
      <c r="BA406" s="1076"/>
      <c r="BB406" s="1076"/>
      <c r="BC406" s="1076"/>
      <c r="BD406" s="1076"/>
      <c r="BE406" s="1076"/>
      <c r="BF406" s="1076"/>
      <c r="BG406" s="1126"/>
      <c r="BH406" s="1126"/>
      <c r="BI406" s="1725"/>
      <c r="BJ406" s="1726"/>
      <c r="BK406" s="1726"/>
      <c r="BL406" s="1726"/>
      <c r="BM406" s="1726"/>
      <c r="BN406" s="1075"/>
      <c r="BO406" s="1076"/>
      <c r="BP406" s="1076"/>
      <c r="BQ406" s="1076"/>
      <c r="BR406" s="1076"/>
      <c r="BS406" s="1115"/>
      <c r="BT406" s="1076"/>
      <c r="BU406" s="1076"/>
      <c r="BV406" s="1076"/>
      <c r="BW406" s="1116"/>
      <c r="BX406" s="1115"/>
      <c r="BY406" s="1076"/>
      <c r="BZ406" s="1076"/>
      <c r="CA406" s="1076"/>
      <c r="CB406" s="1116"/>
      <c r="CC406" s="1117"/>
      <c r="CD406" s="1376"/>
      <c r="CE406" s="1377"/>
      <c r="CF406" s="1377"/>
      <c r="CG406" s="1377"/>
      <c r="CH406" s="1440"/>
      <c r="CI406" s="1420"/>
      <c r="CJ406" s="1368"/>
      <c r="CK406" s="1368"/>
      <c r="CL406" s="1368"/>
      <c r="CM406" s="1369"/>
      <c r="CN406" s="1420"/>
      <c r="CO406" s="1368"/>
      <c r="CP406" s="1368"/>
      <c r="CQ406" s="1368"/>
      <c r="CR406" s="1369"/>
      <c r="CS406" s="1420"/>
      <c r="CT406" s="1368"/>
      <c r="CU406" s="1368"/>
      <c r="CV406" s="1368"/>
      <c r="CW406" s="1369"/>
      <c r="CX406" s="1420"/>
      <c r="CY406" s="1368"/>
      <c r="CZ406" s="1368"/>
      <c r="DA406" s="1368"/>
      <c r="DB406" s="1369"/>
      <c r="DC406" s="1368"/>
      <c r="DD406" s="1368"/>
      <c r="DE406" s="1368"/>
      <c r="DF406" s="1368"/>
      <c r="DG406" s="1369"/>
      <c r="DH406" s="1420"/>
      <c r="DI406" s="1368"/>
      <c r="DJ406" s="1368"/>
      <c r="DK406" s="1368"/>
      <c r="DL406" s="1369"/>
      <c r="DM406" s="1808"/>
      <c r="DN406" s="1809"/>
      <c r="DO406" s="1809"/>
      <c r="DP406" s="1810"/>
      <c r="DQ406" s="1809"/>
      <c r="DR406" s="1809"/>
      <c r="DS406" s="1809"/>
      <c r="DT406" s="1810"/>
      <c r="DU406" s="1377"/>
      <c r="DV406" s="1729"/>
      <c r="DW406" s="1811"/>
    </row>
    <row r="407" spans="1:127" s="397" customFormat="1" ht="15.75" hidden="1" customHeight="1">
      <c r="A407" s="1097" t="s">
        <v>1041</v>
      </c>
      <c r="B407" s="1057">
        <v>398</v>
      </c>
      <c r="C407" s="1018"/>
      <c r="D407" s="1018"/>
      <c r="E407" s="1018"/>
      <c r="F407" s="1018"/>
      <c r="G407" s="1018"/>
      <c r="H407" s="1018"/>
      <c r="I407" s="1018"/>
      <c r="J407" s="1018"/>
      <c r="K407" s="1018"/>
      <c r="L407" s="1018"/>
      <c r="M407" s="1057"/>
      <c r="N407" s="1018"/>
      <c r="O407" s="1018"/>
      <c r="P407" s="1018"/>
      <c r="Q407" s="1018"/>
      <c r="R407" s="1018"/>
      <c r="S407" s="1018"/>
      <c r="T407" s="1019"/>
      <c r="U407" s="1098" t="s">
        <v>3627</v>
      </c>
      <c r="V407" s="1099" t="s">
        <v>3612</v>
      </c>
      <c r="W407" s="1099" t="s">
        <v>1896</v>
      </c>
      <c r="X407" s="1100" t="s">
        <v>3628</v>
      </c>
      <c r="Y407" s="1101" t="s">
        <v>3629</v>
      </c>
      <c r="Z407" s="1102" t="s">
        <v>3630</v>
      </c>
      <c r="AA407" s="1103" t="s">
        <v>1942</v>
      </c>
      <c r="AB407" s="1104" t="s">
        <v>1942</v>
      </c>
      <c r="AC407" s="1104">
        <v>1</v>
      </c>
      <c r="AD407" s="1104" t="s">
        <v>1942</v>
      </c>
      <c r="AE407" s="1104" t="s">
        <v>1942</v>
      </c>
      <c r="AF407" s="1104" t="s">
        <v>1942</v>
      </c>
      <c r="AG407" s="1104" t="s">
        <v>1942</v>
      </c>
      <c r="AH407" s="1104" t="s">
        <v>1942</v>
      </c>
      <c r="AI407" s="1105">
        <f t="shared" si="6"/>
        <v>1</v>
      </c>
      <c r="AJ407" s="1106" t="s">
        <v>1030</v>
      </c>
      <c r="AK407" s="1106" t="s">
        <v>1008</v>
      </c>
      <c r="AL407" s="1106" t="s">
        <v>1009</v>
      </c>
      <c r="AM407" s="1107" t="s">
        <v>3631</v>
      </c>
      <c r="AN407" s="1018" t="s">
        <v>4865</v>
      </c>
      <c r="AO407" s="1018" t="s">
        <v>396</v>
      </c>
      <c r="AP407" s="1274">
        <v>0</v>
      </c>
      <c r="AQ407" s="1076" t="s">
        <v>1020</v>
      </c>
      <c r="AR407" s="1109" t="s">
        <v>1942</v>
      </c>
      <c r="AS407" s="1110"/>
      <c r="AT407" s="1100"/>
      <c r="AU407" s="1100"/>
      <c r="AV407" s="1100"/>
      <c r="AW407" s="1111"/>
      <c r="AX407" s="1112"/>
      <c r="AY407" s="1075"/>
      <c r="AZ407" s="1076"/>
      <c r="BA407" s="1076"/>
      <c r="BB407" s="1076"/>
      <c r="BC407" s="1076"/>
      <c r="BD407" s="1076"/>
      <c r="BE407" s="1076"/>
      <c r="BF407" s="1076"/>
      <c r="BG407" s="1076"/>
      <c r="BH407" s="1076"/>
      <c r="BI407" s="1420"/>
      <c r="BJ407" s="1368"/>
      <c r="BK407" s="1368"/>
      <c r="BL407" s="1368"/>
      <c r="BM407" s="1368"/>
      <c r="BN407" s="1075"/>
      <c r="BO407" s="1076"/>
      <c r="BP407" s="1076"/>
      <c r="BQ407" s="1076"/>
      <c r="BR407" s="1076"/>
      <c r="BS407" s="1115"/>
      <c r="BT407" s="1076"/>
      <c r="BU407" s="1076"/>
      <c r="BV407" s="1076"/>
      <c r="BW407" s="1116"/>
      <c r="BX407" s="1115"/>
      <c r="BY407" s="1076"/>
      <c r="BZ407" s="1076"/>
      <c r="CA407" s="1076"/>
      <c r="CB407" s="1116"/>
      <c r="CC407" s="1117"/>
      <c r="CD407" s="1376"/>
      <c r="CE407" s="1377"/>
      <c r="CF407" s="1377"/>
      <c r="CG407" s="1377"/>
      <c r="CH407" s="1440"/>
      <c r="CI407" s="1420"/>
      <c r="CJ407" s="1368"/>
      <c r="CK407" s="1368"/>
      <c r="CL407" s="1368"/>
      <c r="CM407" s="1369"/>
      <c r="CN407" s="1420"/>
      <c r="CO407" s="1368"/>
      <c r="CP407" s="1368"/>
      <c r="CQ407" s="1368"/>
      <c r="CR407" s="1369"/>
      <c r="CS407" s="1420"/>
      <c r="CT407" s="1368"/>
      <c r="CU407" s="1368"/>
      <c r="CV407" s="1368"/>
      <c r="CW407" s="1369"/>
      <c r="CX407" s="1420"/>
      <c r="CY407" s="1368"/>
      <c r="CZ407" s="1368"/>
      <c r="DA407" s="1368"/>
      <c r="DB407" s="1369"/>
      <c r="DC407" s="1368"/>
      <c r="DD407" s="1368"/>
      <c r="DE407" s="1368"/>
      <c r="DF407" s="1368"/>
      <c r="DG407" s="1369"/>
      <c r="DH407" s="1420"/>
      <c r="DI407" s="1368"/>
      <c r="DJ407" s="1368"/>
      <c r="DK407" s="1368"/>
      <c r="DL407" s="1369"/>
      <c r="DM407" s="1808"/>
      <c r="DN407" s="1809"/>
      <c r="DO407" s="1809"/>
      <c r="DP407" s="1810"/>
      <c r="DQ407" s="1809"/>
      <c r="DR407" s="1809"/>
      <c r="DS407" s="1809"/>
      <c r="DT407" s="1810"/>
      <c r="DU407" s="1377"/>
      <c r="DV407" s="1729"/>
      <c r="DW407" s="1811"/>
    </row>
    <row r="408" spans="1:127" s="397" customFormat="1" ht="15.75" hidden="1" customHeight="1">
      <c r="A408" s="1097" t="s">
        <v>1041</v>
      </c>
      <c r="B408" s="1057">
        <v>399</v>
      </c>
      <c r="C408" s="1018"/>
      <c r="D408" s="1018"/>
      <c r="E408" s="1018"/>
      <c r="F408" s="1018"/>
      <c r="G408" s="1018"/>
      <c r="H408" s="1018"/>
      <c r="I408" s="1018"/>
      <c r="J408" s="1018"/>
      <c r="K408" s="1018"/>
      <c r="L408" s="1018"/>
      <c r="M408" s="1057"/>
      <c r="N408" s="1018"/>
      <c r="O408" s="1018"/>
      <c r="P408" s="1018"/>
      <c r="Q408" s="1018"/>
      <c r="R408" s="1018"/>
      <c r="S408" s="1018"/>
      <c r="T408" s="1019"/>
      <c r="U408" s="1098" t="s">
        <v>3632</v>
      </c>
      <c r="V408" s="1099" t="s">
        <v>3612</v>
      </c>
      <c r="W408" s="1099" t="s">
        <v>1896</v>
      </c>
      <c r="X408" s="1100" t="s">
        <v>3633</v>
      </c>
      <c r="Y408" s="1101" t="s">
        <v>1058</v>
      </c>
      <c r="Z408" s="1102" t="s">
        <v>3634</v>
      </c>
      <c r="AA408" s="1103" t="s">
        <v>1942</v>
      </c>
      <c r="AB408" s="1104" t="s">
        <v>1942</v>
      </c>
      <c r="AC408" s="1104">
        <v>1</v>
      </c>
      <c r="AD408" s="1104" t="s">
        <v>1942</v>
      </c>
      <c r="AE408" s="1104" t="s">
        <v>1942</v>
      </c>
      <c r="AF408" s="1104" t="s">
        <v>1942</v>
      </c>
      <c r="AG408" s="1104" t="s">
        <v>1942</v>
      </c>
      <c r="AH408" s="1104" t="s">
        <v>1942</v>
      </c>
      <c r="AI408" s="1105">
        <f t="shared" si="6"/>
        <v>1</v>
      </c>
      <c r="AJ408" s="1106" t="s">
        <v>1026</v>
      </c>
      <c r="AK408" s="1106" t="s">
        <v>1008</v>
      </c>
      <c r="AL408" s="1106" t="s">
        <v>1009</v>
      </c>
      <c r="AM408" s="1107" t="s">
        <v>3635</v>
      </c>
      <c r="AN408" s="1018" t="s">
        <v>278</v>
      </c>
      <c r="AO408" s="1018" t="s">
        <v>2449</v>
      </c>
      <c r="AP408" s="1307">
        <v>2</v>
      </c>
      <c r="AQ408" s="1076" t="s">
        <v>1010</v>
      </c>
      <c r="AR408" s="1109" t="s">
        <v>1058</v>
      </c>
      <c r="AS408" s="1110"/>
      <c r="AT408" s="1100"/>
      <c r="AU408" s="1100"/>
      <c r="AV408" s="1100"/>
      <c r="AW408" s="1111"/>
      <c r="AX408" s="1112"/>
      <c r="AY408" s="1075"/>
      <c r="AZ408" s="1076"/>
      <c r="BA408" s="1076"/>
      <c r="BB408" s="1076"/>
      <c r="BC408" s="1076"/>
      <c r="BD408" s="1076"/>
      <c r="BE408" s="1076"/>
      <c r="BF408" s="1076"/>
      <c r="BG408" s="1126"/>
      <c r="BH408" s="1126"/>
      <c r="BI408" s="1127">
        <v>100</v>
      </c>
      <c r="BJ408" s="1126">
        <v>100</v>
      </c>
      <c r="BK408" s="1126">
        <v>100</v>
      </c>
      <c r="BL408" s="1126">
        <v>100</v>
      </c>
      <c r="BM408" s="1126">
        <v>100</v>
      </c>
      <c r="BN408" s="1075"/>
      <c r="BO408" s="1076"/>
      <c r="BP408" s="1076"/>
      <c r="BQ408" s="1076"/>
      <c r="BR408" s="1076"/>
      <c r="BS408" s="1115"/>
      <c r="BT408" s="1076"/>
      <c r="BU408" s="1076"/>
      <c r="BV408" s="1076"/>
      <c r="BW408" s="1116"/>
      <c r="BX408" s="1115"/>
      <c r="BY408" s="1076"/>
      <c r="BZ408" s="1076"/>
      <c r="CA408" s="1076"/>
      <c r="CB408" s="1116"/>
      <c r="CC408" s="1117"/>
      <c r="CD408" s="1118" t="s">
        <v>168</v>
      </c>
      <c r="CE408" s="1119" t="s">
        <v>168</v>
      </c>
      <c r="CF408" s="1119" t="s">
        <v>168</v>
      </c>
      <c r="CG408" s="1119" t="s">
        <v>168</v>
      </c>
      <c r="CH408" s="1120" t="s">
        <v>168</v>
      </c>
      <c r="CI408" s="1075" t="s">
        <v>1942</v>
      </c>
      <c r="CJ408" s="1076" t="s">
        <v>1942</v>
      </c>
      <c r="CK408" s="1076" t="s">
        <v>1942</v>
      </c>
      <c r="CL408" s="1076" t="s">
        <v>1942</v>
      </c>
      <c r="CM408" s="1117" t="s">
        <v>1942</v>
      </c>
      <c r="CN408" s="1075" t="s">
        <v>1942</v>
      </c>
      <c r="CO408" s="1076" t="s">
        <v>1942</v>
      </c>
      <c r="CP408" s="1076" t="s">
        <v>1942</v>
      </c>
      <c r="CQ408" s="1076" t="s">
        <v>1942</v>
      </c>
      <c r="CR408" s="1117" t="s">
        <v>1942</v>
      </c>
      <c r="CS408" s="1075">
        <v>99</v>
      </c>
      <c r="CT408" s="1076">
        <v>99</v>
      </c>
      <c r="CU408" s="1076">
        <v>99</v>
      </c>
      <c r="CV408" s="1076">
        <v>99</v>
      </c>
      <c r="CW408" s="1117">
        <v>99</v>
      </c>
      <c r="CX408" s="1075" t="s">
        <v>1942</v>
      </c>
      <c r="CY408" s="1076" t="s">
        <v>1942</v>
      </c>
      <c r="CZ408" s="1076" t="s">
        <v>1942</v>
      </c>
      <c r="DA408" s="1076" t="s">
        <v>1942</v>
      </c>
      <c r="DB408" s="1117" t="s">
        <v>1942</v>
      </c>
      <c r="DC408" s="1076" t="s">
        <v>1942</v>
      </c>
      <c r="DD408" s="1076" t="s">
        <v>1942</v>
      </c>
      <c r="DE408" s="1076" t="s">
        <v>1942</v>
      </c>
      <c r="DF408" s="1076" t="s">
        <v>1942</v>
      </c>
      <c r="DG408" s="1117" t="s">
        <v>1942</v>
      </c>
      <c r="DH408" s="1075" t="s">
        <v>1942</v>
      </c>
      <c r="DI408" s="1076" t="s">
        <v>1942</v>
      </c>
      <c r="DJ408" s="1076" t="s">
        <v>1942</v>
      </c>
      <c r="DK408" s="1076" t="s">
        <v>1942</v>
      </c>
      <c r="DL408" s="1117" t="s">
        <v>1942</v>
      </c>
      <c r="DM408" s="1121">
        <v>-0.36499999999999999</v>
      </c>
      <c r="DN408" s="1122" t="s">
        <v>1942</v>
      </c>
      <c r="DO408" s="1122" t="s">
        <v>1942</v>
      </c>
      <c r="DP408" s="1123" t="s">
        <v>1942</v>
      </c>
      <c r="DQ408" s="1122" t="s">
        <v>1942</v>
      </c>
      <c r="DR408" s="1122" t="s">
        <v>1942</v>
      </c>
      <c r="DS408" s="1122" t="s">
        <v>1942</v>
      </c>
      <c r="DT408" s="1123" t="s">
        <v>1942</v>
      </c>
      <c r="DU408" s="1119" t="s">
        <v>1942</v>
      </c>
      <c r="DV408" s="1124">
        <v>1</v>
      </c>
      <c r="DW408" s="1125" t="s">
        <v>1942</v>
      </c>
    </row>
    <row r="409" spans="1:127" s="397" customFormat="1" ht="15.75" hidden="1" customHeight="1">
      <c r="A409" s="1097" t="s">
        <v>1041</v>
      </c>
      <c r="B409" s="1057">
        <v>400</v>
      </c>
      <c r="C409" s="1018"/>
      <c r="D409" s="1018"/>
      <c r="E409" s="1018"/>
      <c r="F409" s="1018"/>
      <c r="G409" s="1018"/>
      <c r="H409" s="1018"/>
      <c r="I409" s="1018"/>
      <c r="J409" s="1018"/>
      <c r="K409" s="1018"/>
      <c r="L409" s="1018"/>
      <c r="M409" s="1057"/>
      <c r="N409" s="1018"/>
      <c r="O409" s="1018"/>
      <c r="P409" s="1018"/>
      <c r="Q409" s="1018"/>
      <c r="R409" s="1018"/>
      <c r="S409" s="1018"/>
      <c r="T409" s="1019"/>
      <c r="U409" s="1098" t="s">
        <v>3636</v>
      </c>
      <c r="V409" s="1099" t="s">
        <v>3612</v>
      </c>
      <c r="W409" s="1099" t="s">
        <v>1896</v>
      </c>
      <c r="X409" s="1100" t="s">
        <v>3637</v>
      </c>
      <c r="Y409" s="1101" t="s">
        <v>3638</v>
      </c>
      <c r="Z409" s="1102" t="s">
        <v>3639</v>
      </c>
      <c r="AA409" s="1103" t="s">
        <v>1942</v>
      </c>
      <c r="AB409" s="1104" t="s">
        <v>1942</v>
      </c>
      <c r="AC409" s="1104">
        <v>1</v>
      </c>
      <c r="AD409" s="1104" t="s">
        <v>1942</v>
      </c>
      <c r="AE409" s="1104" t="s">
        <v>1942</v>
      </c>
      <c r="AF409" s="1104" t="s">
        <v>1942</v>
      </c>
      <c r="AG409" s="1104" t="s">
        <v>1942</v>
      </c>
      <c r="AH409" s="1104" t="s">
        <v>1942</v>
      </c>
      <c r="AI409" s="1105">
        <f t="shared" si="6"/>
        <v>1</v>
      </c>
      <c r="AJ409" s="1106" t="s">
        <v>1026</v>
      </c>
      <c r="AK409" s="1106" t="s">
        <v>1008</v>
      </c>
      <c r="AL409" s="1106" t="s">
        <v>1009</v>
      </c>
      <c r="AM409" s="1107" t="s">
        <v>3640</v>
      </c>
      <c r="AN409" s="1018" t="s">
        <v>278</v>
      </c>
      <c r="AO409" s="1018" t="s">
        <v>1146</v>
      </c>
      <c r="AP409" s="1274">
        <v>1</v>
      </c>
      <c r="AQ409" s="1076" t="s">
        <v>1010</v>
      </c>
      <c r="AR409" s="1109" t="s">
        <v>1942</v>
      </c>
      <c r="AS409" s="1110"/>
      <c r="AT409" s="1100"/>
      <c r="AU409" s="1100"/>
      <c r="AV409" s="1100"/>
      <c r="AW409" s="1111"/>
      <c r="AX409" s="1112"/>
      <c r="AY409" s="1075"/>
      <c r="AZ409" s="1076"/>
      <c r="BA409" s="1076"/>
      <c r="BB409" s="1076"/>
      <c r="BC409" s="1076"/>
      <c r="BD409" s="1076"/>
      <c r="BE409" s="1076"/>
      <c r="BF409" s="1076"/>
      <c r="BG409" s="1076"/>
      <c r="BH409" s="1076"/>
      <c r="BI409" s="1420"/>
      <c r="BJ409" s="1368"/>
      <c r="BK409" s="1368"/>
      <c r="BL409" s="1368"/>
      <c r="BM409" s="1368"/>
      <c r="BN409" s="1075"/>
      <c r="BO409" s="1076"/>
      <c r="BP409" s="1076"/>
      <c r="BQ409" s="1076"/>
      <c r="BR409" s="1076"/>
      <c r="BS409" s="1115"/>
      <c r="BT409" s="1076"/>
      <c r="BU409" s="1076"/>
      <c r="BV409" s="1076"/>
      <c r="BW409" s="1116"/>
      <c r="BX409" s="1115"/>
      <c r="BY409" s="1076"/>
      <c r="BZ409" s="1076"/>
      <c r="CA409" s="1076"/>
      <c r="CB409" s="1116"/>
      <c r="CC409" s="1117"/>
      <c r="CD409" s="1376"/>
      <c r="CE409" s="1377"/>
      <c r="CF409" s="1377"/>
      <c r="CG409" s="1377"/>
      <c r="CH409" s="1440"/>
      <c r="CI409" s="1420"/>
      <c r="CJ409" s="1368"/>
      <c r="CK409" s="1368"/>
      <c r="CL409" s="1368"/>
      <c r="CM409" s="1369"/>
      <c r="CN409" s="1420"/>
      <c r="CO409" s="1368"/>
      <c r="CP409" s="1368"/>
      <c r="CQ409" s="1368"/>
      <c r="CR409" s="1369"/>
      <c r="CS409" s="1420"/>
      <c r="CT409" s="1368"/>
      <c r="CU409" s="1368"/>
      <c r="CV409" s="1368"/>
      <c r="CW409" s="1369"/>
      <c r="CX409" s="1420"/>
      <c r="CY409" s="1368"/>
      <c r="CZ409" s="1368"/>
      <c r="DA409" s="1368"/>
      <c r="DB409" s="1369"/>
      <c r="DC409" s="1368"/>
      <c r="DD409" s="1368"/>
      <c r="DE409" s="1368"/>
      <c r="DF409" s="1368"/>
      <c r="DG409" s="1369"/>
      <c r="DH409" s="1420"/>
      <c r="DI409" s="1368"/>
      <c r="DJ409" s="1368"/>
      <c r="DK409" s="1368"/>
      <c r="DL409" s="1369"/>
      <c r="DM409" s="1808"/>
      <c r="DN409" s="1809"/>
      <c r="DO409" s="1809"/>
      <c r="DP409" s="1810"/>
      <c r="DQ409" s="1809"/>
      <c r="DR409" s="1809"/>
      <c r="DS409" s="1809"/>
      <c r="DT409" s="1810"/>
      <c r="DU409" s="1377"/>
      <c r="DV409" s="1729"/>
      <c r="DW409" s="1811"/>
    </row>
    <row r="410" spans="1:127" s="397" customFormat="1" ht="15.75" hidden="1" customHeight="1">
      <c r="A410" s="1097" t="s">
        <v>1041</v>
      </c>
      <c r="B410" s="1057">
        <v>401</v>
      </c>
      <c r="C410" s="1018"/>
      <c r="D410" s="1018"/>
      <c r="E410" s="1018"/>
      <c r="F410" s="1018"/>
      <c r="G410" s="1018"/>
      <c r="H410" s="1018"/>
      <c r="I410" s="1018"/>
      <c r="J410" s="1018"/>
      <c r="K410" s="1018"/>
      <c r="L410" s="1018"/>
      <c r="M410" s="1057"/>
      <c r="N410" s="1018"/>
      <c r="O410" s="1018"/>
      <c r="P410" s="1018"/>
      <c r="Q410" s="1018"/>
      <c r="R410" s="1018"/>
      <c r="S410" s="1018"/>
      <c r="T410" s="1019"/>
      <c r="U410" s="1098" t="s">
        <v>3641</v>
      </c>
      <c r="V410" s="1099" t="s">
        <v>3612</v>
      </c>
      <c r="W410" s="1099" t="s">
        <v>1907</v>
      </c>
      <c r="X410" s="1100" t="s">
        <v>3642</v>
      </c>
      <c r="Y410" s="1101" t="s">
        <v>3643</v>
      </c>
      <c r="Z410" s="1102" t="s">
        <v>3644</v>
      </c>
      <c r="AA410" s="1103" t="s">
        <v>1942</v>
      </c>
      <c r="AB410" s="1104" t="s">
        <v>1942</v>
      </c>
      <c r="AC410" s="1104">
        <v>1</v>
      </c>
      <c r="AD410" s="1104" t="s">
        <v>1942</v>
      </c>
      <c r="AE410" s="1104" t="s">
        <v>1942</v>
      </c>
      <c r="AF410" s="1104" t="s">
        <v>1942</v>
      </c>
      <c r="AG410" s="1104" t="s">
        <v>1942</v>
      </c>
      <c r="AH410" s="1104" t="s">
        <v>1942</v>
      </c>
      <c r="AI410" s="1105">
        <f t="shared" si="6"/>
        <v>1</v>
      </c>
      <c r="AJ410" s="1106" t="s">
        <v>1007</v>
      </c>
      <c r="AK410" s="1106" t="s">
        <v>1942</v>
      </c>
      <c r="AL410" s="1106" t="s">
        <v>1942</v>
      </c>
      <c r="AM410" s="1107" t="s">
        <v>2106</v>
      </c>
      <c r="AN410" s="1018" t="s">
        <v>278</v>
      </c>
      <c r="AO410" s="1018" t="s">
        <v>1146</v>
      </c>
      <c r="AP410" s="1274">
        <v>1</v>
      </c>
      <c r="AQ410" s="1076" t="s">
        <v>1010</v>
      </c>
      <c r="AR410" s="1109" t="s">
        <v>1942</v>
      </c>
      <c r="AS410" s="1110"/>
      <c r="AT410" s="1100"/>
      <c r="AU410" s="1100"/>
      <c r="AV410" s="1100"/>
      <c r="AW410" s="1111"/>
      <c r="AX410" s="1112"/>
      <c r="AY410" s="1075"/>
      <c r="AZ410" s="1076"/>
      <c r="BA410" s="1076"/>
      <c r="BB410" s="1076"/>
      <c r="BC410" s="1076"/>
      <c r="BD410" s="1076"/>
      <c r="BE410" s="1076"/>
      <c r="BF410" s="1076"/>
      <c r="BG410" s="1076"/>
      <c r="BH410" s="1076"/>
      <c r="BI410" s="1420"/>
      <c r="BJ410" s="1368"/>
      <c r="BK410" s="1368"/>
      <c r="BL410" s="1368"/>
      <c r="BM410" s="1368"/>
      <c r="BN410" s="1075"/>
      <c r="BO410" s="1076"/>
      <c r="BP410" s="1076"/>
      <c r="BQ410" s="1076"/>
      <c r="BR410" s="1076"/>
      <c r="BS410" s="1115"/>
      <c r="BT410" s="1076"/>
      <c r="BU410" s="1076"/>
      <c r="BV410" s="1076"/>
      <c r="BW410" s="1116"/>
      <c r="BX410" s="1115"/>
      <c r="BY410" s="1076"/>
      <c r="BZ410" s="1076"/>
      <c r="CA410" s="1076"/>
      <c r="CB410" s="1116"/>
      <c r="CC410" s="1117"/>
      <c r="CD410" s="1376"/>
      <c r="CE410" s="1377"/>
      <c r="CF410" s="1377"/>
      <c r="CG410" s="1377"/>
      <c r="CH410" s="1440"/>
      <c r="CI410" s="1420"/>
      <c r="CJ410" s="1368"/>
      <c r="CK410" s="1368"/>
      <c r="CL410" s="1368"/>
      <c r="CM410" s="1369"/>
      <c r="CN410" s="1420"/>
      <c r="CO410" s="1368"/>
      <c r="CP410" s="1368"/>
      <c r="CQ410" s="1368"/>
      <c r="CR410" s="1369"/>
      <c r="CS410" s="1420"/>
      <c r="CT410" s="1368"/>
      <c r="CU410" s="1368"/>
      <c r="CV410" s="1368"/>
      <c r="CW410" s="1369"/>
      <c r="CX410" s="1420"/>
      <c r="CY410" s="1368"/>
      <c r="CZ410" s="1368"/>
      <c r="DA410" s="1368"/>
      <c r="DB410" s="1369"/>
      <c r="DC410" s="1368"/>
      <c r="DD410" s="1368"/>
      <c r="DE410" s="1368"/>
      <c r="DF410" s="1368"/>
      <c r="DG410" s="1369"/>
      <c r="DH410" s="1420"/>
      <c r="DI410" s="1368"/>
      <c r="DJ410" s="1368"/>
      <c r="DK410" s="1368"/>
      <c r="DL410" s="1369"/>
      <c r="DM410" s="1808"/>
      <c r="DN410" s="1809"/>
      <c r="DO410" s="1809"/>
      <c r="DP410" s="1810"/>
      <c r="DQ410" s="1809"/>
      <c r="DR410" s="1809"/>
      <c r="DS410" s="1809"/>
      <c r="DT410" s="1810"/>
      <c r="DU410" s="1377"/>
      <c r="DV410" s="1729"/>
      <c r="DW410" s="1811"/>
    </row>
    <row r="411" spans="1:127" s="397" customFormat="1" ht="15.75" hidden="1" customHeight="1">
      <c r="A411" s="1097" t="s">
        <v>1041</v>
      </c>
      <c r="B411" s="1057">
        <v>402</v>
      </c>
      <c r="C411" s="1018"/>
      <c r="D411" s="1018"/>
      <c r="E411" s="1018"/>
      <c r="F411" s="1018"/>
      <c r="G411" s="1018"/>
      <c r="H411" s="1018"/>
      <c r="I411" s="1018"/>
      <c r="J411" s="1018"/>
      <c r="K411" s="1018"/>
      <c r="L411" s="1018"/>
      <c r="M411" s="1057"/>
      <c r="N411" s="1018"/>
      <c r="O411" s="1018"/>
      <c r="P411" s="1018"/>
      <c r="Q411" s="1018"/>
      <c r="R411" s="1018"/>
      <c r="S411" s="1018"/>
      <c r="T411" s="1019"/>
      <c r="U411" s="1098" t="s">
        <v>3645</v>
      </c>
      <c r="V411" s="1099" t="s">
        <v>3612</v>
      </c>
      <c r="W411" s="1099" t="s">
        <v>1896</v>
      </c>
      <c r="X411" s="1100" t="s">
        <v>3646</v>
      </c>
      <c r="Y411" s="1101" t="s">
        <v>3647</v>
      </c>
      <c r="Z411" s="1102" t="s">
        <v>3648</v>
      </c>
      <c r="AA411" s="1103" t="s">
        <v>1942</v>
      </c>
      <c r="AB411" s="1104" t="s">
        <v>1942</v>
      </c>
      <c r="AC411" s="1104" t="s">
        <v>1942</v>
      </c>
      <c r="AD411" s="1104">
        <v>1</v>
      </c>
      <c r="AE411" s="1104" t="s">
        <v>1942</v>
      </c>
      <c r="AF411" s="1104" t="s">
        <v>1942</v>
      </c>
      <c r="AG411" s="1104" t="s">
        <v>1942</v>
      </c>
      <c r="AH411" s="1104" t="s">
        <v>1942</v>
      </c>
      <c r="AI411" s="1105">
        <f t="shared" si="6"/>
        <v>1</v>
      </c>
      <c r="AJ411" s="1106" t="s">
        <v>1026</v>
      </c>
      <c r="AK411" s="1106" t="s">
        <v>1008</v>
      </c>
      <c r="AL411" s="1106" t="s">
        <v>1009</v>
      </c>
      <c r="AM411" s="1107" t="s">
        <v>763</v>
      </c>
      <c r="AN411" s="1018" t="s">
        <v>278</v>
      </c>
      <c r="AO411" s="1018" t="s">
        <v>1146</v>
      </c>
      <c r="AP411" s="1274">
        <v>2</v>
      </c>
      <c r="AQ411" s="1076" t="s">
        <v>1010</v>
      </c>
      <c r="AR411" s="1109" t="s">
        <v>1942</v>
      </c>
      <c r="AS411" s="1110"/>
      <c r="AT411" s="1100"/>
      <c r="AU411" s="1100"/>
      <c r="AV411" s="1100"/>
      <c r="AW411" s="1111"/>
      <c r="AX411" s="1112"/>
      <c r="AY411" s="1075"/>
      <c r="AZ411" s="1076"/>
      <c r="BA411" s="1076"/>
      <c r="BB411" s="1076"/>
      <c r="BC411" s="1076"/>
      <c r="BD411" s="1076"/>
      <c r="BE411" s="1076"/>
      <c r="BF411" s="1076"/>
      <c r="BG411" s="1076"/>
      <c r="BH411" s="1076"/>
      <c r="BI411" s="1420"/>
      <c r="BJ411" s="1368"/>
      <c r="BK411" s="1368"/>
      <c r="BL411" s="1368"/>
      <c r="BM411" s="1368"/>
      <c r="BN411" s="1075"/>
      <c r="BO411" s="1076"/>
      <c r="BP411" s="1076"/>
      <c r="BQ411" s="1076"/>
      <c r="BR411" s="1076"/>
      <c r="BS411" s="1115"/>
      <c r="BT411" s="1076"/>
      <c r="BU411" s="1076"/>
      <c r="BV411" s="1076"/>
      <c r="BW411" s="1116"/>
      <c r="BX411" s="1115"/>
      <c r="BY411" s="1076"/>
      <c r="BZ411" s="1076"/>
      <c r="CA411" s="1076"/>
      <c r="CB411" s="1116"/>
      <c r="CC411" s="1117"/>
      <c r="CD411" s="1376"/>
      <c r="CE411" s="1377"/>
      <c r="CF411" s="1377"/>
      <c r="CG411" s="1377"/>
      <c r="CH411" s="1440"/>
      <c r="CI411" s="1420"/>
      <c r="CJ411" s="1368"/>
      <c r="CK411" s="1368"/>
      <c r="CL411" s="1368"/>
      <c r="CM411" s="1369"/>
      <c r="CN411" s="1420"/>
      <c r="CO411" s="1368"/>
      <c r="CP411" s="1368"/>
      <c r="CQ411" s="1368"/>
      <c r="CR411" s="1369"/>
      <c r="CS411" s="1420"/>
      <c r="CT411" s="1368"/>
      <c r="CU411" s="1368"/>
      <c r="CV411" s="1368"/>
      <c r="CW411" s="1369"/>
      <c r="CX411" s="1420"/>
      <c r="CY411" s="1368"/>
      <c r="CZ411" s="1368"/>
      <c r="DA411" s="1368"/>
      <c r="DB411" s="1369"/>
      <c r="DC411" s="1368"/>
      <c r="DD411" s="1368"/>
      <c r="DE411" s="1368"/>
      <c r="DF411" s="1368"/>
      <c r="DG411" s="1369"/>
      <c r="DH411" s="1420"/>
      <c r="DI411" s="1368"/>
      <c r="DJ411" s="1368"/>
      <c r="DK411" s="1368"/>
      <c r="DL411" s="1369"/>
      <c r="DM411" s="1808"/>
      <c r="DN411" s="1809"/>
      <c r="DO411" s="1809"/>
      <c r="DP411" s="1810"/>
      <c r="DQ411" s="1809"/>
      <c r="DR411" s="1809"/>
      <c r="DS411" s="1809"/>
      <c r="DT411" s="1810"/>
      <c r="DU411" s="1377"/>
      <c r="DV411" s="1729"/>
      <c r="DW411" s="1811"/>
    </row>
    <row r="412" spans="1:127" s="397" customFormat="1" ht="15.75" hidden="1" customHeight="1">
      <c r="A412" s="1097" t="s">
        <v>1041</v>
      </c>
      <c r="B412" s="1057">
        <v>403</v>
      </c>
      <c r="C412" s="1018"/>
      <c r="D412" s="1018"/>
      <c r="E412" s="1018"/>
      <c r="F412" s="1018"/>
      <c r="G412" s="1018"/>
      <c r="H412" s="1018"/>
      <c r="I412" s="1018"/>
      <c r="J412" s="1018"/>
      <c r="K412" s="1018"/>
      <c r="L412" s="1018"/>
      <c r="M412" s="1057"/>
      <c r="N412" s="1018"/>
      <c r="O412" s="1018"/>
      <c r="P412" s="1018"/>
      <c r="Q412" s="1018"/>
      <c r="R412" s="1018"/>
      <c r="S412" s="1018"/>
      <c r="T412" s="1019"/>
      <c r="U412" s="1098" t="s">
        <v>3649</v>
      </c>
      <c r="V412" s="1099" t="s">
        <v>1910</v>
      </c>
      <c r="W412" s="1099" t="s">
        <v>1907</v>
      </c>
      <c r="X412" s="1100" t="s">
        <v>3650</v>
      </c>
      <c r="Y412" s="1101" t="s">
        <v>535</v>
      </c>
      <c r="Z412" s="1102" t="s">
        <v>3651</v>
      </c>
      <c r="AA412" s="1103">
        <v>1</v>
      </c>
      <c r="AB412" s="1104" t="s">
        <v>1942</v>
      </c>
      <c r="AC412" s="1104" t="s">
        <v>1942</v>
      </c>
      <c r="AD412" s="1104" t="s">
        <v>1942</v>
      </c>
      <c r="AE412" s="1104" t="s">
        <v>1942</v>
      </c>
      <c r="AF412" s="1104" t="s">
        <v>1942</v>
      </c>
      <c r="AG412" s="1104" t="s">
        <v>1942</v>
      </c>
      <c r="AH412" s="1104" t="s">
        <v>1942</v>
      </c>
      <c r="AI412" s="1105">
        <f t="shared" si="6"/>
        <v>1</v>
      </c>
      <c r="AJ412" s="1106" t="s">
        <v>1007</v>
      </c>
      <c r="AK412" s="1106" t="s">
        <v>1942</v>
      </c>
      <c r="AL412" s="1106" t="s">
        <v>1942</v>
      </c>
      <c r="AM412" s="1107" t="s">
        <v>1910</v>
      </c>
      <c r="AN412" s="1018" t="s">
        <v>278</v>
      </c>
      <c r="AO412" s="1018" t="s">
        <v>4792</v>
      </c>
      <c r="AP412" s="1307">
        <v>1</v>
      </c>
      <c r="AQ412" s="1076" t="s">
        <v>1020</v>
      </c>
      <c r="AR412" s="1109" t="s">
        <v>535</v>
      </c>
      <c r="AS412" s="1110"/>
      <c r="AT412" s="1100"/>
      <c r="AU412" s="1100"/>
      <c r="AV412" s="1100"/>
      <c r="AW412" s="1111"/>
      <c r="AX412" s="1112"/>
      <c r="AY412" s="1075"/>
      <c r="AZ412" s="1076"/>
      <c r="BA412" s="1076"/>
      <c r="BB412" s="1076"/>
      <c r="BC412" s="1076"/>
      <c r="BD412" s="1076"/>
      <c r="BE412" s="1076"/>
      <c r="BF412" s="1076"/>
      <c r="BG412" s="1113"/>
      <c r="BH412" s="1113"/>
      <c r="BI412" s="1114">
        <v>0</v>
      </c>
      <c r="BJ412" s="1113">
        <v>0</v>
      </c>
      <c r="BK412" s="1113">
        <v>0</v>
      </c>
      <c r="BL412" s="1113">
        <v>0</v>
      </c>
      <c r="BM412" s="1113">
        <v>0</v>
      </c>
      <c r="BN412" s="1075"/>
      <c r="BO412" s="1076"/>
      <c r="BP412" s="1076"/>
      <c r="BQ412" s="1076"/>
      <c r="BR412" s="1076"/>
      <c r="BS412" s="1115"/>
      <c r="BT412" s="1076"/>
      <c r="BU412" s="1076"/>
      <c r="BV412" s="1076"/>
      <c r="BW412" s="1116"/>
      <c r="BX412" s="1115"/>
      <c r="BY412" s="1076"/>
      <c r="BZ412" s="1076"/>
      <c r="CA412" s="1076"/>
      <c r="CB412" s="1116"/>
      <c r="CC412" s="1117"/>
      <c r="CD412" s="1118" t="s">
        <v>1942</v>
      </c>
      <c r="CE412" s="1119" t="s">
        <v>1942</v>
      </c>
      <c r="CF412" s="1119" t="s">
        <v>1942</v>
      </c>
      <c r="CG412" s="1119" t="s">
        <v>1942</v>
      </c>
      <c r="CH412" s="1120" t="s">
        <v>1942</v>
      </c>
      <c r="CI412" s="1075" t="s">
        <v>1942</v>
      </c>
      <c r="CJ412" s="1076" t="s">
        <v>1942</v>
      </c>
      <c r="CK412" s="1076" t="s">
        <v>1942</v>
      </c>
      <c r="CL412" s="1076" t="s">
        <v>1942</v>
      </c>
      <c r="CM412" s="1117" t="s">
        <v>1942</v>
      </c>
      <c r="CN412" s="1075" t="s">
        <v>1942</v>
      </c>
      <c r="CO412" s="1076" t="s">
        <v>1942</v>
      </c>
      <c r="CP412" s="1076" t="s">
        <v>1942</v>
      </c>
      <c r="CQ412" s="1076" t="s">
        <v>1942</v>
      </c>
      <c r="CR412" s="1117" t="s">
        <v>1942</v>
      </c>
      <c r="CS412" s="1075" t="s">
        <v>1942</v>
      </c>
      <c r="CT412" s="1076" t="s">
        <v>1942</v>
      </c>
      <c r="CU412" s="1076" t="s">
        <v>1942</v>
      </c>
      <c r="CV412" s="1076" t="s">
        <v>1942</v>
      </c>
      <c r="CW412" s="1117" t="s">
        <v>1942</v>
      </c>
      <c r="CX412" s="1075" t="s">
        <v>1942</v>
      </c>
      <c r="CY412" s="1076" t="s">
        <v>1942</v>
      </c>
      <c r="CZ412" s="1076" t="s">
        <v>1942</v>
      </c>
      <c r="DA412" s="1076" t="s">
        <v>1942</v>
      </c>
      <c r="DB412" s="1117" t="s">
        <v>1942</v>
      </c>
      <c r="DC412" s="1076" t="s">
        <v>1942</v>
      </c>
      <c r="DD412" s="1076" t="s">
        <v>1942</v>
      </c>
      <c r="DE412" s="1076" t="s">
        <v>1942</v>
      </c>
      <c r="DF412" s="1076" t="s">
        <v>1942</v>
      </c>
      <c r="DG412" s="1117" t="s">
        <v>1942</v>
      </c>
      <c r="DH412" s="1075" t="s">
        <v>1942</v>
      </c>
      <c r="DI412" s="1076" t="s">
        <v>1942</v>
      </c>
      <c r="DJ412" s="1076" t="s">
        <v>1942</v>
      </c>
      <c r="DK412" s="1076" t="s">
        <v>1942</v>
      </c>
      <c r="DL412" s="1117" t="s">
        <v>1942</v>
      </c>
      <c r="DM412" s="1121" t="s">
        <v>1942</v>
      </c>
      <c r="DN412" s="1122" t="s">
        <v>1942</v>
      </c>
      <c r="DO412" s="1122" t="s">
        <v>1942</v>
      </c>
      <c r="DP412" s="1123" t="s">
        <v>1942</v>
      </c>
      <c r="DQ412" s="1122" t="s">
        <v>1942</v>
      </c>
      <c r="DR412" s="1122" t="s">
        <v>1942</v>
      </c>
      <c r="DS412" s="1122" t="s">
        <v>1942</v>
      </c>
      <c r="DT412" s="1123" t="s">
        <v>1942</v>
      </c>
      <c r="DU412" s="1119" t="s">
        <v>1942</v>
      </c>
      <c r="DV412" s="1124">
        <v>1</v>
      </c>
      <c r="DW412" s="1125" t="s">
        <v>1942</v>
      </c>
    </row>
    <row r="413" spans="1:127" s="397" customFormat="1" ht="15.75" hidden="1" customHeight="1">
      <c r="A413" s="1097" t="s">
        <v>1041</v>
      </c>
      <c r="B413" s="1057">
        <v>404</v>
      </c>
      <c r="C413" s="1018"/>
      <c r="D413" s="1018"/>
      <c r="E413" s="1018"/>
      <c r="F413" s="1018"/>
      <c r="G413" s="1018"/>
      <c r="H413" s="1018"/>
      <c r="I413" s="1018"/>
      <c r="J413" s="1018"/>
      <c r="K413" s="1018"/>
      <c r="L413" s="1018"/>
      <c r="M413" s="1057"/>
      <c r="N413" s="1018"/>
      <c r="O413" s="1018"/>
      <c r="P413" s="1018"/>
      <c r="Q413" s="1018"/>
      <c r="R413" s="1018"/>
      <c r="S413" s="1018"/>
      <c r="T413" s="1019"/>
      <c r="U413" s="1098" t="s">
        <v>3653</v>
      </c>
      <c r="V413" s="1099" t="s">
        <v>1910</v>
      </c>
      <c r="W413" s="1099" t="s">
        <v>1907</v>
      </c>
      <c r="X413" s="1100" t="s">
        <v>3654</v>
      </c>
      <c r="Y413" s="1101" t="s">
        <v>839</v>
      </c>
      <c r="Z413" s="1102" t="s">
        <v>3655</v>
      </c>
      <c r="AA413" s="1103" t="s">
        <v>1942</v>
      </c>
      <c r="AB413" s="1104" t="s">
        <v>1942</v>
      </c>
      <c r="AC413" s="1104">
        <v>1</v>
      </c>
      <c r="AD413" s="1104" t="s">
        <v>1942</v>
      </c>
      <c r="AE413" s="1104" t="s">
        <v>1942</v>
      </c>
      <c r="AF413" s="1104" t="s">
        <v>1942</v>
      </c>
      <c r="AG413" s="1104" t="s">
        <v>1942</v>
      </c>
      <c r="AH413" s="1104" t="s">
        <v>1942</v>
      </c>
      <c r="AI413" s="1105">
        <f t="shared" si="6"/>
        <v>1</v>
      </c>
      <c r="AJ413" s="1106" t="s">
        <v>1007</v>
      </c>
      <c r="AK413" s="1106" t="s">
        <v>1942</v>
      </c>
      <c r="AL413" s="1106" t="s">
        <v>1942</v>
      </c>
      <c r="AM413" s="1107" t="s">
        <v>1910</v>
      </c>
      <c r="AN413" s="1018" t="s">
        <v>278</v>
      </c>
      <c r="AO413" s="1018" t="s">
        <v>4792</v>
      </c>
      <c r="AP413" s="1307">
        <v>2</v>
      </c>
      <c r="AQ413" s="1076" t="s">
        <v>1020</v>
      </c>
      <c r="AR413" s="1109" t="s">
        <v>839</v>
      </c>
      <c r="AS413" s="1110"/>
      <c r="AT413" s="1100"/>
      <c r="AU413" s="1100"/>
      <c r="AV413" s="1100"/>
      <c r="AW413" s="1111"/>
      <c r="AX413" s="1112"/>
      <c r="AY413" s="1075"/>
      <c r="AZ413" s="1076"/>
      <c r="BA413" s="1076"/>
      <c r="BB413" s="1076"/>
      <c r="BC413" s="1076"/>
      <c r="BD413" s="1076"/>
      <c r="BE413" s="1076"/>
      <c r="BF413" s="1076"/>
      <c r="BG413" s="1126"/>
      <c r="BH413" s="1126"/>
      <c r="BI413" s="1127">
        <v>30.54</v>
      </c>
      <c r="BJ413" s="1126">
        <v>29.39</v>
      </c>
      <c r="BK413" s="1126">
        <v>28.23</v>
      </c>
      <c r="BL413" s="1126">
        <v>27.08</v>
      </c>
      <c r="BM413" s="1126">
        <v>25.92</v>
      </c>
      <c r="BN413" s="1075"/>
      <c r="BO413" s="1076"/>
      <c r="BP413" s="1076"/>
      <c r="BQ413" s="1076"/>
      <c r="BR413" s="1076"/>
      <c r="BS413" s="1115"/>
      <c r="BT413" s="1076"/>
      <c r="BU413" s="1076"/>
      <c r="BV413" s="1076"/>
      <c r="BW413" s="1116"/>
      <c r="BX413" s="1115"/>
      <c r="BY413" s="1076"/>
      <c r="BZ413" s="1076"/>
      <c r="CA413" s="1076"/>
      <c r="CB413" s="1116"/>
      <c r="CC413" s="1117"/>
      <c r="CD413" s="1118" t="s">
        <v>1942</v>
      </c>
      <c r="CE413" s="1119" t="s">
        <v>1942</v>
      </c>
      <c r="CF413" s="1119" t="s">
        <v>1942</v>
      </c>
      <c r="CG413" s="1119" t="s">
        <v>1942</v>
      </c>
      <c r="CH413" s="1120" t="s">
        <v>1942</v>
      </c>
      <c r="CI413" s="1075" t="s">
        <v>1942</v>
      </c>
      <c r="CJ413" s="1076" t="s">
        <v>1942</v>
      </c>
      <c r="CK413" s="1076" t="s">
        <v>1942</v>
      </c>
      <c r="CL413" s="1076" t="s">
        <v>1942</v>
      </c>
      <c r="CM413" s="1117" t="s">
        <v>1942</v>
      </c>
      <c r="CN413" s="1075" t="s">
        <v>1942</v>
      </c>
      <c r="CO413" s="1076" t="s">
        <v>1942</v>
      </c>
      <c r="CP413" s="1076" t="s">
        <v>1942</v>
      </c>
      <c r="CQ413" s="1076" t="s">
        <v>1942</v>
      </c>
      <c r="CR413" s="1117" t="s">
        <v>1942</v>
      </c>
      <c r="CS413" s="1075" t="s">
        <v>1942</v>
      </c>
      <c r="CT413" s="1076" t="s">
        <v>1942</v>
      </c>
      <c r="CU413" s="1076" t="s">
        <v>1942</v>
      </c>
      <c r="CV413" s="1076" t="s">
        <v>1942</v>
      </c>
      <c r="CW413" s="1117" t="s">
        <v>1942</v>
      </c>
      <c r="CX413" s="1075" t="s">
        <v>1942</v>
      </c>
      <c r="CY413" s="1076" t="s">
        <v>1942</v>
      </c>
      <c r="CZ413" s="1076" t="s">
        <v>1942</v>
      </c>
      <c r="DA413" s="1076" t="s">
        <v>1942</v>
      </c>
      <c r="DB413" s="1117" t="s">
        <v>1942</v>
      </c>
      <c r="DC413" s="1076" t="s">
        <v>1942</v>
      </c>
      <c r="DD413" s="1076" t="s">
        <v>1942</v>
      </c>
      <c r="DE413" s="1076" t="s">
        <v>1942</v>
      </c>
      <c r="DF413" s="1076" t="s">
        <v>1942</v>
      </c>
      <c r="DG413" s="1117" t="s">
        <v>1942</v>
      </c>
      <c r="DH413" s="1075" t="s">
        <v>1942</v>
      </c>
      <c r="DI413" s="1076" t="s">
        <v>1942</v>
      </c>
      <c r="DJ413" s="1076" t="s">
        <v>1942</v>
      </c>
      <c r="DK413" s="1076" t="s">
        <v>1942</v>
      </c>
      <c r="DL413" s="1117" t="s">
        <v>1942</v>
      </c>
      <c r="DM413" s="1121" t="s">
        <v>1942</v>
      </c>
      <c r="DN413" s="1122" t="s">
        <v>1942</v>
      </c>
      <c r="DO413" s="1122" t="s">
        <v>1942</v>
      </c>
      <c r="DP413" s="1123" t="s">
        <v>1942</v>
      </c>
      <c r="DQ413" s="1122" t="s">
        <v>1942</v>
      </c>
      <c r="DR413" s="1122" t="s">
        <v>1942</v>
      </c>
      <c r="DS413" s="1122" t="s">
        <v>1942</v>
      </c>
      <c r="DT413" s="1123" t="s">
        <v>1942</v>
      </c>
      <c r="DU413" s="1119" t="s">
        <v>1942</v>
      </c>
      <c r="DV413" s="1124">
        <v>1</v>
      </c>
      <c r="DW413" s="1125" t="s">
        <v>1942</v>
      </c>
    </row>
    <row r="414" spans="1:127" s="397" customFormat="1" ht="15.75" hidden="1" customHeight="1">
      <c r="A414" s="1097" t="s">
        <v>1041</v>
      </c>
      <c r="B414" s="1057">
        <v>405</v>
      </c>
      <c r="C414" s="1018"/>
      <c r="D414" s="1018"/>
      <c r="E414" s="1018"/>
      <c r="F414" s="1018"/>
      <c r="G414" s="1018"/>
      <c r="H414" s="1018"/>
      <c r="I414" s="1018"/>
      <c r="J414" s="1018"/>
      <c r="K414" s="1018"/>
      <c r="L414" s="1018"/>
      <c r="M414" s="1057"/>
      <c r="N414" s="1018"/>
      <c r="O414" s="1018"/>
      <c r="P414" s="1018"/>
      <c r="Q414" s="1018"/>
      <c r="R414" s="1018"/>
      <c r="S414" s="1018"/>
      <c r="T414" s="1019"/>
      <c r="U414" s="1098" t="s">
        <v>3657</v>
      </c>
      <c r="V414" s="1099" t="s">
        <v>1910</v>
      </c>
      <c r="W414" s="1099" t="s">
        <v>1907</v>
      </c>
      <c r="X414" s="1100" t="s">
        <v>3658</v>
      </c>
      <c r="Y414" s="1101" t="s">
        <v>3659</v>
      </c>
      <c r="Z414" s="1102" t="s">
        <v>3660</v>
      </c>
      <c r="AA414" s="1103" t="s">
        <v>1942</v>
      </c>
      <c r="AB414" s="1104" t="s">
        <v>1942</v>
      </c>
      <c r="AC414" s="1104">
        <v>1</v>
      </c>
      <c r="AD414" s="1104" t="s">
        <v>1942</v>
      </c>
      <c r="AE414" s="1104" t="s">
        <v>1942</v>
      </c>
      <c r="AF414" s="1104" t="s">
        <v>1942</v>
      </c>
      <c r="AG414" s="1104" t="s">
        <v>1942</v>
      </c>
      <c r="AH414" s="1104" t="s">
        <v>1942</v>
      </c>
      <c r="AI414" s="1105">
        <f t="shared" si="6"/>
        <v>1</v>
      </c>
      <c r="AJ414" s="1106" t="s">
        <v>1030</v>
      </c>
      <c r="AK414" s="1106" t="s">
        <v>1008</v>
      </c>
      <c r="AL414" s="1106" t="s">
        <v>1009</v>
      </c>
      <c r="AM414" s="1107" t="s">
        <v>1910</v>
      </c>
      <c r="AN414" s="1018" t="s">
        <v>4865</v>
      </c>
      <c r="AO414" s="1018" t="s">
        <v>396</v>
      </c>
      <c r="AP414" s="1274">
        <v>0</v>
      </c>
      <c r="AQ414" s="1076" t="s">
        <v>1010</v>
      </c>
      <c r="AR414" s="1109" t="s">
        <v>1942</v>
      </c>
      <c r="AS414" s="1110"/>
      <c r="AT414" s="1100"/>
      <c r="AU414" s="1100"/>
      <c r="AV414" s="1100"/>
      <c r="AW414" s="1111"/>
      <c r="AX414" s="1112"/>
      <c r="AY414" s="1075"/>
      <c r="AZ414" s="1076"/>
      <c r="BA414" s="1076"/>
      <c r="BB414" s="1076"/>
      <c r="BC414" s="1076"/>
      <c r="BD414" s="1076"/>
      <c r="BE414" s="1076"/>
      <c r="BF414" s="1076"/>
      <c r="BG414" s="1076"/>
      <c r="BH414" s="1076"/>
      <c r="BI414" s="1420"/>
      <c r="BJ414" s="1368"/>
      <c r="BK414" s="1368"/>
      <c r="BL414" s="1368"/>
      <c r="BM414" s="1368"/>
      <c r="BN414" s="1075"/>
      <c r="BO414" s="1076"/>
      <c r="BP414" s="1076"/>
      <c r="BQ414" s="1076"/>
      <c r="BR414" s="1076"/>
      <c r="BS414" s="1115"/>
      <c r="BT414" s="1076"/>
      <c r="BU414" s="1076"/>
      <c r="BV414" s="1076"/>
      <c r="BW414" s="1116"/>
      <c r="BX414" s="1115"/>
      <c r="BY414" s="1076"/>
      <c r="BZ414" s="1076"/>
      <c r="CA414" s="1076"/>
      <c r="CB414" s="1116"/>
      <c r="CC414" s="1117"/>
      <c r="CD414" s="1376"/>
      <c r="CE414" s="1377"/>
      <c r="CF414" s="1377"/>
      <c r="CG414" s="1377"/>
      <c r="CH414" s="1440"/>
      <c r="CI414" s="1420"/>
      <c r="CJ414" s="1368"/>
      <c r="CK414" s="1368"/>
      <c r="CL414" s="1368"/>
      <c r="CM414" s="1369"/>
      <c r="CN414" s="1420"/>
      <c r="CO414" s="1368"/>
      <c r="CP414" s="1368"/>
      <c r="CQ414" s="1368"/>
      <c r="CR414" s="1369"/>
      <c r="CS414" s="1420"/>
      <c r="CT414" s="1368"/>
      <c r="CU414" s="1368"/>
      <c r="CV414" s="1368"/>
      <c r="CW414" s="1369"/>
      <c r="CX414" s="1420"/>
      <c r="CY414" s="1368"/>
      <c r="CZ414" s="1368"/>
      <c r="DA414" s="1368"/>
      <c r="DB414" s="1369"/>
      <c r="DC414" s="1368"/>
      <c r="DD414" s="1368"/>
      <c r="DE414" s="1368"/>
      <c r="DF414" s="1368"/>
      <c r="DG414" s="1369"/>
      <c r="DH414" s="1420"/>
      <c r="DI414" s="1368"/>
      <c r="DJ414" s="1368"/>
      <c r="DK414" s="1368"/>
      <c r="DL414" s="1369"/>
      <c r="DM414" s="1808"/>
      <c r="DN414" s="1809"/>
      <c r="DO414" s="1809"/>
      <c r="DP414" s="1810"/>
      <c r="DQ414" s="1809"/>
      <c r="DR414" s="1809"/>
      <c r="DS414" s="1809"/>
      <c r="DT414" s="1810"/>
      <c r="DU414" s="1377"/>
      <c r="DV414" s="1729"/>
      <c r="DW414" s="1811"/>
    </row>
    <row r="415" spans="1:127" s="397" customFormat="1" ht="15.75" hidden="1" customHeight="1">
      <c r="A415" s="1097" t="s">
        <v>1041</v>
      </c>
      <c r="B415" s="1057">
        <v>406</v>
      </c>
      <c r="C415" s="1018"/>
      <c r="D415" s="1018"/>
      <c r="E415" s="1018"/>
      <c r="F415" s="1018"/>
      <c r="G415" s="1018"/>
      <c r="H415" s="1018"/>
      <c r="I415" s="1018"/>
      <c r="J415" s="1018"/>
      <c r="K415" s="1018"/>
      <c r="L415" s="1018"/>
      <c r="M415" s="1057"/>
      <c r="N415" s="1018"/>
      <c r="O415" s="1018"/>
      <c r="P415" s="1018"/>
      <c r="Q415" s="1018"/>
      <c r="R415" s="1018"/>
      <c r="S415" s="1018"/>
      <c r="T415" s="1019"/>
      <c r="U415" s="1098" t="s">
        <v>3661</v>
      </c>
      <c r="V415" s="1099" t="s">
        <v>1910</v>
      </c>
      <c r="W415" s="1099" t="s">
        <v>1907</v>
      </c>
      <c r="X415" s="1100" t="s">
        <v>3662</v>
      </c>
      <c r="Y415" s="1101" t="s">
        <v>3663</v>
      </c>
      <c r="Z415" s="1102" t="s">
        <v>3664</v>
      </c>
      <c r="AA415" s="1103" t="s">
        <v>1942</v>
      </c>
      <c r="AB415" s="1104">
        <v>1</v>
      </c>
      <c r="AC415" s="1104" t="s">
        <v>1942</v>
      </c>
      <c r="AD415" s="1104" t="s">
        <v>1942</v>
      </c>
      <c r="AE415" s="1104" t="s">
        <v>1942</v>
      </c>
      <c r="AF415" s="1104" t="s">
        <v>1942</v>
      </c>
      <c r="AG415" s="1104" t="s">
        <v>1942</v>
      </c>
      <c r="AH415" s="1104" t="s">
        <v>1942</v>
      </c>
      <c r="AI415" s="1105">
        <f t="shared" si="6"/>
        <v>1</v>
      </c>
      <c r="AJ415" s="1106" t="s">
        <v>1030</v>
      </c>
      <c r="AK415" s="1106" t="s">
        <v>1008</v>
      </c>
      <c r="AL415" s="1106" t="s">
        <v>1009</v>
      </c>
      <c r="AM415" s="1107" t="s">
        <v>1910</v>
      </c>
      <c r="AN415" s="1018" t="s">
        <v>4865</v>
      </c>
      <c r="AO415" s="1018" t="s">
        <v>396</v>
      </c>
      <c r="AP415" s="1274">
        <v>0</v>
      </c>
      <c r="AQ415" s="1076" t="s">
        <v>1020</v>
      </c>
      <c r="AR415" s="1109" t="s">
        <v>1942</v>
      </c>
      <c r="AS415" s="1110"/>
      <c r="AT415" s="1100"/>
      <c r="AU415" s="1100"/>
      <c r="AV415" s="1100"/>
      <c r="AW415" s="1111"/>
      <c r="AX415" s="1112"/>
      <c r="AY415" s="1075"/>
      <c r="AZ415" s="1076"/>
      <c r="BA415" s="1076"/>
      <c r="BB415" s="1076"/>
      <c r="BC415" s="1076"/>
      <c r="BD415" s="1076"/>
      <c r="BE415" s="1076"/>
      <c r="BF415" s="1076"/>
      <c r="BG415" s="1076"/>
      <c r="BH415" s="1076"/>
      <c r="BI415" s="1420"/>
      <c r="BJ415" s="1368"/>
      <c r="BK415" s="1368"/>
      <c r="BL415" s="1368"/>
      <c r="BM415" s="1368"/>
      <c r="BN415" s="1075"/>
      <c r="BO415" s="1076"/>
      <c r="BP415" s="1076"/>
      <c r="BQ415" s="1076"/>
      <c r="BR415" s="1076"/>
      <c r="BS415" s="1115"/>
      <c r="BT415" s="1076"/>
      <c r="BU415" s="1076"/>
      <c r="BV415" s="1076"/>
      <c r="BW415" s="1116"/>
      <c r="BX415" s="1115"/>
      <c r="BY415" s="1076"/>
      <c r="BZ415" s="1076"/>
      <c r="CA415" s="1076"/>
      <c r="CB415" s="1116"/>
      <c r="CC415" s="1117"/>
      <c r="CD415" s="1376"/>
      <c r="CE415" s="1377"/>
      <c r="CF415" s="1377"/>
      <c r="CG415" s="1377"/>
      <c r="CH415" s="1440"/>
      <c r="CI415" s="1420"/>
      <c r="CJ415" s="1368"/>
      <c r="CK415" s="1368"/>
      <c r="CL415" s="1368"/>
      <c r="CM415" s="1369"/>
      <c r="CN415" s="1420"/>
      <c r="CO415" s="1368"/>
      <c r="CP415" s="1368"/>
      <c r="CQ415" s="1368"/>
      <c r="CR415" s="1369"/>
      <c r="CS415" s="1420"/>
      <c r="CT415" s="1368"/>
      <c r="CU415" s="1368"/>
      <c r="CV415" s="1368"/>
      <c r="CW415" s="1369"/>
      <c r="CX415" s="1420"/>
      <c r="CY415" s="1368"/>
      <c r="CZ415" s="1368"/>
      <c r="DA415" s="1368"/>
      <c r="DB415" s="1369"/>
      <c r="DC415" s="1368"/>
      <c r="DD415" s="1368"/>
      <c r="DE415" s="1368"/>
      <c r="DF415" s="1368"/>
      <c r="DG415" s="1369"/>
      <c r="DH415" s="1420"/>
      <c r="DI415" s="1368"/>
      <c r="DJ415" s="1368"/>
      <c r="DK415" s="1368"/>
      <c r="DL415" s="1369"/>
      <c r="DM415" s="1808"/>
      <c r="DN415" s="1809"/>
      <c r="DO415" s="1809"/>
      <c r="DP415" s="1810"/>
      <c r="DQ415" s="1809"/>
      <c r="DR415" s="1809"/>
      <c r="DS415" s="1809"/>
      <c r="DT415" s="1810"/>
      <c r="DU415" s="1377"/>
      <c r="DV415" s="1729"/>
      <c r="DW415" s="1811"/>
    </row>
    <row r="416" spans="1:127" s="397" customFormat="1" ht="15.75" hidden="1" customHeight="1">
      <c r="A416" s="1097" t="s">
        <v>1041</v>
      </c>
      <c r="B416" s="1057">
        <v>407</v>
      </c>
      <c r="C416" s="1018"/>
      <c r="D416" s="1018"/>
      <c r="E416" s="1018"/>
      <c r="F416" s="1018"/>
      <c r="G416" s="1018"/>
      <c r="H416" s="1018"/>
      <c r="I416" s="1018"/>
      <c r="J416" s="1018"/>
      <c r="K416" s="1018"/>
      <c r="L416" s="1018"/>
      <c r="M416" s="1057"/>
      <c r="N416" s="1018"/>
      <c r="O416" s="1018"/>
      <c r="P416" s="1018"/>
      <c r="Q416" s="1018"/>
      <c r="R416" s="1018"/>
      <c r="S416" s="1018"/>
      <c r="T416" s="1019"/>
      <c r="U416" s="1098" t="s">
        <v>3665</v>
      </c>
      <c r="V416" s="1099" t="s">
        <v>3666</v>
      </c>
      <c r="W416" s="1099" t="s">
        <v>1907</v>
      </c>
      <c r="X416" s="1100" t="s">
        <v>3667</v>
      </c>
      <c r="Y416" s="1101" t="s">
        <v>1931</v>
      </c>
      <c r="Z416" s="1102" t="s">
        <v>3668</v>
      </c>
      <c r="AA416" s="1103" t="s">
        <v>1942</v>
      </c>
      <c r="AB416" s="1104" t="s">
        <v>1942</v>
      </c>
      <c r="AC416" s="1104" t="s">
        <v>1942</v>
      </c>
      <c r="AD416" s="1104" t="s">
        <v>1942</v>
      </c>
      <c r="AE416" s="1104">
        <v>1</v>
      </c>
      <c r="AF416" s="1104" t="s">
        <v>1942</v>
      </c>
      <c r="AG416" s="1104" t="s">
        <v>1942</v>
      </c>
      <c r="AH416" s="1104" t="s">
        <v>1942</v>
      </c>
      <c r="AI416" s="1105">
        <f t="shared" si="6"/>
        <v>1</v>
      </c>
      <c r="AJ416" s="1106" t="s">
        <v>1030</v>
      </c>
      <c r="AK416" s="1106" t="s">
        <v>1008</v>
      </c>
      <c r="AL416" s="1106" t="s">
        <v>1009</v>
      </c>
      <c r="AM416" s="1107" t="s">
        <v>1069</v>
      </c>
      <c r="AN416" s="1018" t="s">
        <v>1081</v>
      </c>
      <c r="AO416" s="1018" t="s">
        <v>3669</v>
      </c>
      <c r="AP416" s="1274">
        <v>2</v>
      </c>
      <c r="AQ416" s="1076" t="s">
        <v>1010</v>
      </c>
      <c r="AR416" s="1109" t="s">
        <v>1931</v>
      </c>
      <c r="AS416" s="1110"/>
      <c r="AT416" s="1100"/>
      <c r="AU416" s="1100"/>
      <c r="AV416" s="1100"/>
      <c r="AW416" s="1111"/>
      <c r="AX416" s="1112"/>
      <c r="AY416" s="1075"/>
      <c r="AZ416" s="1076"/>
      <c r="BA416" s="1076"/>
      <c r="BB416" s="1076"/>
      <c r="BC416" s="1076"/>
      <c r="BD416" s="1076"/>
      <c r="BE416" s="1076"/>
      <c r="BF416" s="1076"/>
      <c r="BG416" s="1076"/>
      <c r="BH416" s="1076"/>
      <c r="BI416" s="1075" t="s">
        <v>1942</v>
      </c>
      <c r="BJ416" s="1076" t="s">
        <v>1942</v>
      </c>
      <c r="BK416" s="1076" t="s">
        <v>1942</v>
      </c>
      <c r="BL416" s="1076" t="s">
        <v>1942</v>
      </c>
      <c r="BM416" s="1076" t="s">
        <v>1942</v>
      </c>
      <c r="BN416" s="1075"/>
      <c r="BO416" s="1076"/>
      <c r="BP416" s="1076"/>
      <c r="BQ416" s="1076"/>
      <c r="BR416" s="1076"/>
      <c r="BS416" s="1115"/>
      <c r="BT416" s="1076"/>
      <c r="BU416" s="1076"/>
      <c r="BV416" s="1076"/>
      <c r="BW416" s="1116"/>
      <c r="BX416" s="1115"/>
      <c r="BY416" s="1076"/>
      <c r="BZ416" s="1076"/>
      <c r="CA416" s="1076"/>
      <c r="CB416" s="1116"/>
      <c r="CC416" s="1117"/>
      <c r="CD416" s="1118" t="s">
        <v>168</v>
      </c>
      <c r="CE416" s="1119" t="s">
        <v>168</v>
      </c>
      <c r="CF416" s="1119" t="s">
        <v>168</v>
      </c>
      <c r="CG416" s="1119" t="s">
        <v>168</v>
      </c>
      <c r="CH416" s="1120" t="s">
        <v>168</v>
      </c>
      <c r="CI416" s="1075" t="s">
        <v>1942</v>
      </c>
      <c r="CJ416" s="1076" t="s">
        <v>1942</v>
      </c>
      <c r="CK416" s="1076" t="s">
        <v>1942</v>
      </c>
      <c r="CL416" s="1076" t="s">
        <v>1942</v>
      </c>
      <c r="CM416" s="1117" t="s">
        <v>1942</v>
      </c>
      <c r="CN416" s="1075" t="s">
        <v>1942</v>
      </c>
      <c r="CO416" s="1076" t="s">
        <v>1942</v>
      </c>
      <c r="CP416" s="1076" t="s">
        <v>1942</v>
      </c>
      <c r="CQ416" s="1076" t="s">
        <v>1942</v>
      </c>
      <c r="CR416" s="1117" t="s">
        <v>1942</v>
      </c>
      <c r="CS416" s="1075" t="s">
        <v>1942</v>
      </c>
      <c r="CT416" s="1076" t="s">
        <v>1942</v>
      </c>
      <c r="CU416" s="1076" t="s">
        <v>1942</v>
      </c>
      <c r="CV416" s="1076" t="s">
        <v>1942</v>
      </c>
      <c r="CW416" s="1117" t="s">
        <v>1942</v>
      </c>
      <c r="CX416" s="1075" t="s">
        <v>1942</v>
      </c>
      <c r="CY416" s="1076" t="s">
        <v>1942</v>
      </c>
      <c r="CZ416" s="1076" t="s">
        <v>1942</v>
      </c>
      <c r="DA416" s="1076" t="s">
        <v>1942</v>
      </c>
      <c r="DB416" s="1117" t="s">
        <v>1942</v>
      </c>
      <c r="DC416" s="1076" t="s">
        <v>1942</v>
      </c>
      <c r="DD416" s="1076" t="s">
        <v>1942</v>
      </c>
      <c r="DE416" s="1076" t="s">
        <v>1942</v>
      </c>
      <c r="DF416" s="1076" t="s">
        <v>1942</v>
      </c>
      <c r="DG416" s="1117" t="s">
        <v>1942</v>
      </c>
      <c r="DH416" s="1075" t="s">
        <v>1942</v>
      </c>
      <c r="DI416" s="1076" t="s">
        <v>1942</v>
      </c>
      <c r="DJ416" s="1076" t="s">
        <v>1942</v>
      </c>
      <c r="DK416" s="1076" t="s">
        <v>1942</v>
      </c>
      <c r="DL416" s="1117" t="s">
        <v>1942</v>
      </c>
      <c r="DM416" s="1121" t="s">
        <v>1942</v>
      </c>
      <c r="DN416" s="1122" t="s">
        <v>1942</v>
      </c>
      <c r="DO416" s="1122" t="s">
        <v>1942</v>
      </c>
      <c r="DP416" s="1123" t="s">
        <v>1942</v>
      </c>
      <c r="DQ416" s="1122" t="s">
        <v>1942</v>
      </c>
      <c r="DR416" s="1122" t="s">
        <v>1942</v>
      </c>
      <c r="DS416" s="1122" t="s">
        <v>1942</v>
      </c>
      <c r="DT416" s="1123" t="s">
        <v>1942</v>
      </c>
      <c r="DU416" s="1119" t="s">
        <v>1942</v>
      </c>
      <c r="DV416" s="1124">
        <v>1</v>
      </c>
      <c r="DW416" s="1125" t="s">
        <v>1942</v>
      </c>
    </row>
    <row r="417" spans="1:127" s="397" customFormat="1" ht="15.75" hidden="1" customHeight="1">
      <c r="A417" s="1097" t="s">
        <v>1041</v>
      </c>
      <c r="B417" s="1057">
        <v>408</v>
      </c>
      <c r="C417" s="1018"/>
      <c r="D417" s="1018"/>
      <c r="E417" s="1018"/>
      <c r="F417" s="1018"/>
      <c r="G417" s="1018"/>
      <c r="H417" s="1018"/>
      <c r="I417" s="1018"/>
      <c r="J417" s="1018"/>
      <c r="K417" s="1018"/>
      <c r="L417" s="1018"/>
      <c r="M417" s="1057"/>
      <c r="N417" s="1018"/>
      <c r="O417" s="1018"/>
      <c r="P417" s="1018"/>
      <c r="Q417" s="1018"/>
      <c r="R417" s="1018"/>
      <c r="S417" s="1018"/>
      <c r="T417" s="1019"/>
      <c r="U417" s="1098" t="s">
        <v>3670</v>
      </c>
      <c r="V417" s="1099" t="s">
        <v>3666</v>
      </c>
      <c r="W417" s="1099" t="s">
        <v>1896</v>
      </c>
      <c r="X417" s="1100" t="s">
        <v>3671</v>
      </c>
      <c r="Y417" s="1101" t="s">
        <v>3672</v>
      </c>
      <c r="Z417" s="1102" t="s">
        <v>3673</v>
      </c>
      <c r="AA417" s="1103" t="s">
        <v>1942</v>
      </c>
      <c r="AB417" s="1104">
        <v>1</v>
      </c>
      <c r="AC417" s="1104" t="s">
        <v>1942</v>
      </c>
      <c r="AD417" s="1104" t="s">
        <v>1942</v>
      </c>
      <c r="AE417" s="1104" t="s">
        <v>1942</v>
      </c>
      <c r="AF417" s="1104" t="s">
        <v>1942</v>
      </c>
      <c r="AG417" s="1104" t="s">
        <v>1942</v>
      </c>
      <c r="AH417" s="1104" t="s">
        <v>1942</v>
      </c>
      <c r="AI417" s="1105">
        <f t="shared" si="6"/>
        <v>1</v>
      </c>
      <c r="AJ417" s="1106" t="s">
        <v>1030</v>
      </c>
      <c r="AK417" s="1106" t="s">
        <v>1008</v>
      </c>
      <c r="AL417" s="1106" t="s">
        <v>1009</v>
      </c>
      <c r="AM417" s="1107" t="s">
        <v>3674</v>
      </c>
      <c r="AN417" s="1018" t="s">
        <v>278</v>
      </c>
      <c r="AO417" s="1018" t="s">
        <v>1146</v>
      </c>
      <c r="AP417" s="1274">
        <v>1</v>
      </c>
      <c r="AQ417" s="1076" t="s">
        <v>1010</v>
      </c>
      <c r="AR417" s="1109" t="s">
        <v>1942</v>
      </c>
      <c r="AS417" s="1110"/>
      <c r="AT417" s="1100"/>
      <c r="AU417" s="1100"/>
      <c r="AV417" s="1100"/>
      <c r="AW417" s="1111"/>
      <c r="AX417" s="1112"/>
      <c r="AY417" s="1075"/>
      <c r="AZ417" s="1076"/>
      <c r="BA417" s="1076"/>
      <c r="BB417" s="1076"/>
      <c r="BC417" s="1076"/>
      <c r="BD417" s="1076"/>
      <c r="BE417" s="1076"/>
      <c r="BF417" s="1076"/>
      <c r="BG417" s="1076"/>
      <c r="BH417" s="1076"/>
      <c r="BI417" s="1420"/>
      <c r="BJ417" s="1368"/>
      <c r="BK417" s="1368"/>
      <c r="BL417" s="1368"/>
      <c r="BM417" s="1368"/>
      <c r="BN417" s="1075"/>
      <c r="BO417" s="1076"/>
      <c r="BP417" s="1076"/>
      <c r="BQ417" s="1076"/>
      <c r="BR417" s="1076"/>
      <c r="BS417" s="1115"/>
      <c r="BT417" s="1076"/>
      <c r="BU417" s="1076"/>
      <c r="BV417" s="1076"/>
      <c r="BW417" s="1116"/>
      <c r="BX417" s="1115"/>
      <c r="BY417" s="1076"/>
      <c r="BZ417" s="1076"/>
      <c r="CA417" s="1076"/>
      <c r="CB417" s="1116"/>
      <c r="CC417" s="1117"/>
      <c r="CD417" s="1376"/>
      <c r="CE417" s="1377"/>
      <c r="CF417" s="1377"/>
      <c r="CG417" s="1377"/>
      <c r="CH417" s="1440"/>
      <c r="CI417" s="1420"/>
      <c r="CJ417" s="1368"/>
      <c r="CK417" s="1368"/>
      <c r="CL417" s="1368"/>
      <c r="CM417" s="1369"/>
      <c r="CN417" s="1420"/>
      <c r="CO417" s="1368"/>
      <c r="CP417" s="1368"/>
      <c r="CQ417" s="1368"/>
      <c r="CR417" s="1369"/>
      <c r="CS417" s="1420"/>
      <c r="CT417" s="1368"/>
      <c r="CU417" s="1368"/>
      <c r="CV417" s="1368"/>
      <c r="CW417" s="1369"/>
      <c r="CX417" s="1420"/>
      <c r="CY417" s="1368"/>
      <c r="CZ417" s="1368"/>
      <c r="DA417" s="1368"/>
      <c r="DB417" s="1369"/>
      <c r="DC417" s="1368"/>
      <c r="DD417" s="1368"/>
      <c r="DE417" s="1368"/>
      <c r="DF417" s="1368"/>
      <c r="DG417" s="1369"/>
      <c r="DH417" s="1420"/>
      <c r="DI417" s="1368"/>
      <c r="DJ417" s="1368"/>
      <c r="DK417" s="1368"/>
      <c r="DL417" s="1369"/>
      <c r="DM417" s="1808"/>
      <c r="DN417" s="1809"/>
      <c r="DO417" s="1809"/>
      <c r="DP417" s="1810"/>
      <c r="DQ417" s="1809"/>
      <c r="DR417" s="1809"/>
      <c r="DS417" s="1809"/>
      <c r="DT417" s="1810"/>
      <c r="DU417" s="1377"/>
      <c r="DV417" s="1729"/>
      <c r="DW417" s="1811"/>
    </row>
    <row r="418" spans="1:127" s="397" customFormat="1" ht="15.75" hidden="1" customHeight="1">
      <c r="A418" s="1097" t="s">
        <v>1041</v>
      </c>
      <c r="B418" s="1057">
        <v>409</v>
      </c>
      <c r="C418" s="1018"/>
      <c r="D418" s="1018"/>
      <c r="E418" s="1018"/>
      <c r="F418" s="1018"/>
      <c r="G418" s="1018"/>
      <c r="H418" s="1018"/>
      <c r="I418" s="1018"/>
      <c r="J418" s="1018"/>
      <c r="K418" s="1018"/>
      <c r="L418" s="1018"/>
      <c r="M418" s="1057"/>
      <c r="N418" s="1018"/>
      <c r="O418" s="1018"/>
      <c r="P418" s="1018"/>
      <c r="Q418" s="1018"/>
      <c r="R418" s="1018"/>
      <c r="S418" s="1018"/>
      <c r="T418" s="1019"/>
      <c r="U418" s="1098" t="s">
        <v>3675</v>
      </c>
      <c r="V418" s="1099" t="s">
        <v>3666</v>
      </c>
      <c r="W418" s="1099" t="s">
        <v>1896</v>
      </c>
      <c r="X418" s="1100" t="s">
        <v>3676</v>
      </c>
      <c r="Y418" s="1101" t="s">
        <v>3677</v>
      </c>
      <c r="Z418" s="1102" t="s">
        <v>3678</v>
      </c>
      <c r="AA418" s="1103" t="s">
        <v>1942</v>
      </c>
      <c r="AB418" s="1104" t="s">
        <v>1942</v>
      </c>
      <c r="AC418" s="1104">
        <v>1</v>
      </c>
      <c r="AD418" s="1104" t="s">
        <v>1942</v>
      </c>
      <c r="AE418" s="1104" t="s">
        <v>1942</v>
      </c>
      <c r="AF418" s="1104" t="s">
        <v>1942</v>
      </c>
      <c r="AG418" s="1104" t="s">
        <v>1942</v>
      </c>
      <c r="AH418" s="1104" t="s">
        <v>1942</v>
      </c>
      <c r="AI418" s="1105">
        <f t="shared" si="6"/>
        <v>1</v>
      </c>
      <c r="AJ418" s="1106" t="s">
        <v>1030</v>
      </c>
      <c r="AK418" s="1106" t="s">
        <v>1008</v>
      </c>
      <c r="AL418" s="1106" t="s">
        <v>1009</v>
      </c>
      <c r="AM418" s="1107" t="s">
        <v>3674</v>
      </c>
      <c r="AN418" s="1018" t="s">
        <v>278</v>
      </c>
      <c r="AO418" s="1018" t="s">
        <v>1146</v>
      </c>
      <c r="AP418" s="1274">
        <v>1</v>
      </c>
      <c r="AQ418" s="1076" t="s">
        <v>1010</v>
      </c>
      <c r="AR418" s="1109" t="s">
        <v>1942</v>
      </c>
      <c r="AS418" s="1110"/>
      <c r="AT418" s="1100"/>
      <c r="AU418" s="1100"/>
      <c r="AV418" s="1100"/>
      <c r="AW418" s="1111"/>
      <c r="AX418" s="1112"/>
      <c r="AY418" s="1075"/>
      <c r="AZ418" s="1076"/>
      <c r="BA418" s="1076"/>
      <c r="BB418" s="1076"/>
      <c r="BC418" s="1076"/>
      <c r="BD418" s="1076"/>
      <c r="BE418" s="1076"/>
      <c r="BF418" s="1076"/>
      <c r="BG418" s="1076"/>
      <c r="BH418" s="1076"/>
      <c r="BI418" s="1420"/>
      <c r="BJ418" s="1368"/>
      <c r="BK418" s="1368"/>
      <c r="BL418" s="1368"/>
      <c r="BM418" s="1368"/>
      <c r="BN418" s="1075"/>
      <c r="BO418" s="1076"/>
      <c r="BP418" s="1076"/>
      <c r="BQ418" s="1076"/>
      <c r="BR418" s="1076"/>
      <c r="BS418" s="1115"/>
      <c r="BT418" s="1076"/>
      <c r="BU418" s="1076"/>
      <c r="BV418" s="1076"/>
      <c r="BW418" s="1116"/>
      <c r="BX418" s="1115"/>
      <c r="BY418" s="1076"/>
      <c r="BZ418" s="1076"/>
      <c r="CA418" s="1076"/>
      <c r="CB418" s="1116"/>
      <c r="CC418" s="1117"/>
      <c r="CD418" s="1376"/>
      <c r="CE418" s="1377"/>
      <c r="CF418" s="1377"/>
      <c r="CG418" s="1377"/>
      <c r="CH418" s="1440"/>
      <c r="CI418" s="1420"/>
      <c r="CJ418" s="1368"/>
      <c r="CK418" s="1368"/>
      <c r="CL418" s="1368"/>
      <c r="CM418" s="1369"/>
      <c r="CN418" s="1420"/>
      <c r="CO418" s="1368"/>
      <c r="CP418" s="1368"/>
      <c r="CQ418" s="1368"/>
      <c r="CR418" s="1369"/>
      <c r="CS418" s="1420"/>
      <c r="CT418" s="1368"/>
      <c r="CU418" s="1368"/>
      <c r="CV418" s="1368"/>
      <c r="CW418" s="1369"/>
      <c r="CX418" s="1420"/>
      <c r="CY418" s="1368"/>
      <c r="CZ418" s="1368"/>
      <c r="DA418" s="1368"/>
      <c r="DB418" s="1369"/>
      <c r="DC418" s="1368"/>
      <c r="DD418" s="1368"/>
      <c r="DE418" s="1368"/>
      <c r="DF418" s="1368"/>
      <c r="DG418" s="1369"/>
      <c r="DH418" s="1420"/>
      <c r="DI418" s="1368"/>
      <c r="DJ418" s="1368"/>
      <c r="DK418" s="1368"/>
      <c r="DL418" s="1369"/>
      <c r="DM418" s="1808"/>
      <c r="DN418" s="1809"/>
      <c r="DO418" s="1809"/>
      <c r="DP418" s="1810"/>
      <c r="DQ418" s="1809"/>
      <c r="DR418" s="1809"/>
      <c r="DS418" s="1809"/>
      <c r="DT418" s="1810"/>
      <c r="DU418" s="1377"/>
      <c r="DV418" s="1729"/>
      <c r="DW418" s="1811"/>
    </row>
    <row r="419" spans="1:127" s="397" customFormat="1" ht="15.75" hidden="1" customHeight="1">
      <c r="A419" s="1097" t="s">
        <v>1041</v>
      </c>
      <c r="B419" s="1057">
        <v>410</v>
      </c>
      <c r="C419" s="1018"/>
      <c r="D419" s="1018"/>
      <c r="E419" s="1018"/>
      <c r="F419" s="1018"/>
      <c r="G419" s="1018"/>
      <c r="H419" s="1018"/>
      <c r="I419" s="1018"/>
      <c r="J419" s="1018"/>
      <c r="K419" s="1018"/>
      <c r="L419" s="1018"/>
      <c r="M419" s="1057"/>
      <c r="N419" s="1018"/>
      <c r="O419" s="1018"/>
      <c r="P419" s="1018"/>
      <c r="Q419" s="1018"/>
      <c r="R419" s="1018"/>
      <c r="S419" s="1018"/>
      <c r="T419" s="1019"/>
      <c r="U419" s="1098" t="s">
        <v>3679</v>
      </c>
      <c r="V419" s="1099" t="s">
        <v>3666</v>
      </c>
      <c r="W419" s="1099" t="s">
        <v>1907</v>
      </c>
      <c r="X419" s="1100" t="s">
        <v>3680</v>
      </c>
      <c r="Y419" s="1101" t="s">
        <v>1935</v>
      </c>
      <c r="Z419" s="1102" t="s">
        <v>3681</v>
      </c>
      <c r="AA419" s="1103" t="s">
        <v>1942</v>
      </c>
      <c r="AB419" s="1104">
        <v>0.49</v>
      </c>
      <c r="AC419" s="1104">
        <v>0.51</v>
      </c>
      <c r="AD419" s="1104" t="s">
        <v>1942</v>
      </c>
      <c r="AE419" s="1104" t="s">
        <v>1942</v>
      </c>
      <c r="AF419" s="1104" t="s">
        <v>1942</v>
      </c>
      <c r="AG419" s="1104" t="s">
        <v>1942</v>
      </c>
      <c r="AH419" s="1104" t="s">
        <v>1942</v>
      </c>
      <c r="AI419" s="1105">
        <f t="shared" si="6"/>
        <v>1</v>
      </c>
      <c r="AJ419" s="1106" t="s">
        <v>1030</v>
      </c>
      <c r="AK419" s="1106" t="s">
        <v>1008</v>
      </c>
      <c r="AL419" s="1106" t="s">
        <v>1009</v>
      </c>
      <c r="AM419" s="1107" t="s">
        <v>1073</v>
      </c>
      <c r="AN419" s="1018" t="s">
        <v>1081</v>
      </c>
      <c r="AO419" s="1018" t="s">
        <v>3682</v>
      </c>
      <c r="AP419" s="1274">
        <v>2</v>
      </c>
      <c r="AQ419" s="1076" t="s">
        <v>1010</v>
      </c>
      <c r="AR419" s="1109" t="s">
        <v>1935</v>
      </c>
      <c r="AS419" s="1110"/>
      <c r="AT419" s="1100"/>
      <c r="AU419" s="1100"/>
      <c r="AV419" s="1100"/>
      <c r="AW419" s="1111"/>
      <c r="AX419" s="1112"/>
      <c r="AY419" s="1075"/>
      <c r="AZ419" s="1076"/>
      <c r="BA419" s="1076"/>
      <c r="BB419" s="1076"/>
      <c r="BC419" s="1076"/>
      <c r="BD419" s="1076"/>
      <c r="BE419" s="1076"/>
      <c r="BF419" s="1076"/>
      <c r="BG419" s="1076"/>
      <c r="BH419" s="1076"/>
      <c r="BI419" s="1075" t="s">
        <v>1942</v>
      </c>
      <c r="BJ419" s="1076" t="s">
        <v>1942</v>
      </c>
      <c r="BK419" s="1076" t="s">
        <v>1942</v>
      </c>
      <c r="BL419" s="1076" t="s">
        <v>1942</v>
      </c>
      <c r="BM419" s="1076" t="s">
        <v>1942</v>
      </c>
      <c r="BN419" s="1075"/>
      <c r="BO419" s="1076"/>
      <c r="BP419" s="1076"/>
      <c r="BQ419" s="1076"/>
      <c r="BR419" s="1076"/>
      <c r="BS419" s="1115"/>
      <c r="BT419" s="1076"/>
      <c r="BU419" s="1076"/>
      <c r="BV419" s="1076"/>
      <c r="BW419" s="1116"/>
      <c r="BX419" s="1115"/>
      <c r="BY419" s="1076"/>
      <c r="BZ419" s="1076"/>
      <c r="CA419" s="1076"/>
      <c r="CB419" s="1116"/>
      <c r="CC419" s="1117"/>
      <c r="CD419" s="1118" t="s">
        <v>168</v>
      </c>
      <c r="CE419" s="1119" t="s">
        <v>168</v>
      </c>
      <c r="CF419" s="1119" t="s">
        <v>168</v>
      </c>
      <c r="CG419" s="1119" t="s">
        <v>168</v>
      </c>
      <c r="CH419" s="1120" t="s">
        <v>168</v>
      </c>
      <c r="CI419" s="1075" t="s">
        <v>1942</v>
      </c>
      <c r="CJ419" s="1076" t="s">
        <v>1942</v>
      </c>
      <c r="CK419" s="1076" t="s">
        <v>1942</v>
      </c>
      <c r="CL419" s="1076" t="s">
        <v>1942</v>
      </c>
      <c r="CM419" s="1117" t="s">
        <v>1942</v>
      </c>
      <c r="CN419" s="1075" t="s">
        <v>1942</v>
      </c>
      <c r="CO419" s="1076" t="s">
        <v>1942</v>
      </c>
      <c r="CP419" s="1076" t="s">
        <v>1942</v>
      </c>
      <c r="CQ419" s="1076" t="s">
        <v>1942</v>
      </c>
      <c r="CR419" s="1117" t="s">
        <v>1942</v>
      </c>
      <c r="CS419" s="1075" t="s">
        <v>1942</v>
      </c>
      <c r="CT419" s="1076" t="s">
        <v>1942</v>
      </c>
      <c r="CU419" s="1076" t="s">
        <v>1942</v>
      </c>
      <c r="CV419" s="1076" t="s">
        <v>1942</v>
      </c>
      <c r="CW419" s="1117" t="s">
        <v>1942</v>
      </c>
      <c r="CX419" s="1075" t="s">
        <v>1942</v>
      </c>
      <c r="CY419" s="1076" t="s">
        <v>1942</v>
      </c>
      <c r="CZ419" s="1076" t="s">
        <v>1942</v>
      </c>
      <c r="DA419" s="1076" t="s">
        <v>1942</v>
      </c>
      <c r="DB419" s="1117" t="s">
        <v>1942</v>
      </c>
      <c r="DC419" s="1076" t="s">
        <v>1942</v>
      </c>
      <c r="DD419" s="1076" t="s">
        <v>1942</v>
      </c>
      <c r="DE419" s="1076" t="s">
        <v>1942</v>
      </c>
      <c r="DF419" s="1076" t="s">
        <v>1942</v>
      </c>
      <c r="DG419" s="1117" t="s">
        <v>1942</v>
      </c>
      <c r="DH419" s="1075" t="s">
        <v>1942</v>
      </c>
      <c r="DI419" s="1076" t="s">
        <v>1942</v>
      </c>
      <c r="DJ419" s="1076" t="s">
        <v>1942</v>
      </c>
      <c r="DK419" s="1076" t="s">
        <v>1942</v>
      </c>
      <c r="DL419" s="1117" t="s">
        <v>1942</v>
      </c>
      <c r="DM419" s="1121" t="s">
        <v>1942</v>
      </c>
      <c r="DN419" s="1122" t="s">
        <v>1942</v>
      </c>
      <c r="DO419" s="1122" t="s">
        <v>1942</v>
      </c>
      <c r="DP419" s="1123" t="s">
        <v>1942</v>
      </c>
      <c r="DQ419" s="1122" t="s">
        <v>1942</v>
      </c>
      <c r="DR419" s="1122" t="s">
        <v>1942</v>
      </c>
      <c r="DS419" s="1122" t="s">
        <v>1942</v>
      </c>
      <c r="DT419" s="1123" t="s">
        <v>1942</v>
      </c>
      <c r="DU419" s="1119" t="s">
        <v>1942</v>
      </c>
      <c r="DV419" s="1124">
        <v>1</v>
      </c>
      <c r="DW419" s="1125" t="s">
        <v>1942</v>
      </c>
    </row>
    <row r="420" spans="1:127" s="397" customFormat="1" ht="15.75" hidden="1" customHeight="1">
      <c r="A420" s="1097" t="s">
        <v>1041</v>
      </c>
      <c r="B420" s="1057">
        <v>411</v>
      </c>
      <c r="C420" s="1018"/>
      <c r="D420" s="1018"/>
      <c r="E420" s="1018"/>
      <c r="F420" s="1018"/>
      <c r="G420" s="1018"/>
      <c r="H420" s="1018"/>
      <c r="I420" s="1018"/>
      <c r="J420" s="1018"/>
      <c r="K420" s="1018"/>
      <c r="L420" s="1018"/>
      <c r="M420" s="1057"/>
      <c r="N420" s="1018"/>
      <c r="O420" s="1018"/>
      <c r="P420" s="1018"/>
      <c r="Q420" s="1018"/>
      <c r="R420" s="1018"/>
      <c r="S420" s="1018"/>
      <c r="T420" s="1019"/>
      <c r="U420" s="1098" t="s">
        <v>3683</v>
      </c>
      <c r="V420" s="1099" t="s">
        <v>3666</v>
      </c>
      <c r="W420" s="1099" t="s">
        <v>1896</v>
      </c>
      <c r="X420" s="1100" t="s">
        <v>3684</v>
      </c>
      <c r="Y420" s="1101" t="s">
        <v>3685</v>
      </c>
      <c r="Z420" s="1102" t="s">
        <v>3686</v>
      </c>
      <c r="AA420" s="1103" t="s">
        <v>1942</v>
      </c>
      <c r="AB420" s="1104" t="s">
        <v>1942</v>
      </c>
      <c r="AC420" s="1104" t="s">
        <v>1942</v>
      </c>
      <c r="AD420" s="1104" t="s">
        <v>1942</v>
      </c>
      <c r="AE420" s="1104">
        <v>1</v>
      </c>
      <c r="AF420" s="1104" t="s">
        <v>1942</v>
      </c>
      <c r="AG420" s="1104" t="s">
        <v>1942</v>
      </c>
      <c r="AH420" s="1104" t="s">
        <v>1942</v>
      </c>
      <c r="AI420" s="1105">
        <f t="shared" si="6"/>
        <v>1</v>
      </c>
      <c r="AJ420" s="1106" t="s">
        <v>1007</v>
      </c>
      <c r="AK420" s="1106" t="s">
        <v>1942</v>
      </c>
      <c r="AL420" s="1106" t="s">
        <v>1942</v>
      </c>
      <c r="AM420" s="1107" t="s">
        <v>2117</v>
      </c>
      <c r="AN420" s="1018" t="s">
        <v>278</v>
      </c>
      <c r="AO420" s="1018" t="s">
        <v>1146</v>
      </c>
      <c r="AP420" s="1307">
        <v>0</v>
      </c>
      <c r="AQ420" s="1076" t="s">
        <v>1010</v>
      </c>
      <c r="AR420" s="1109" t="s">
        <v>1942</v>
      </c>
      <c r="AS420" s="1110"/>
      <c r="AT420" s="1100"/>
      <c r="AU420" s="1100"/>
      <c r="AV420" s="1100"/>
      <c r="AW420" s="1111"/>
      <c r="AX420" s="1112"/>
      <c r="AY420" s="1075"/>
      <c r="AZ420" s="1076"/>
      <c r="BA420" s="1076"/>
      <c r="BB420" s="1076"/>
      <c r="BC420" s="1076"/>
      <c r="BD420" s="1076"/>
      <c r="BE420" s="1076"/>
      <c r="BF420" s="1076"/>
      <c r="BG420" s="1076"/>
      <c r="BH420" s="1076"/>
      <c r="BI420" s="1420"/>
      <c r="BJ420" s="1368"/>
      <c r="BK420" s="1368"/>
      <c r="BL420" s="1368"/>
      <c r="BM420" s="1368"/>
      <c r="BN420" s="1075"/>
      <c r="BO420" s="1076"/>
      <c r="BP420" s="1076"/>
      <c r="BQ420" s="1076"/>
      <c r="BR420" s="1076"/>
      <c r="BS420" s="1115"/>
      <c r="BT420" s="1076"/>
      <c r="BU420" s="1076"/>
      <c r="BV420" s="1076"/>
      <c r="BW420" s="1116"/>
      <c r="BX420" s="1115"/>
      <c r="BY420" s="1076"/>
      <c r="BZ420" s="1076"/>
      <c r="CA420" s="1076"/>
      <c r="CB420" s="1116"/>
      <c r="CC420" s="1117"/>
      <c r="CD420" s="1376"/>
      <c r="CE420" s="1377"/>
      <c r="CF420" s="1377"/>
      <c r="CG420" s="1377"/>
      <c r="CH420" s="1440"/>
      <c r="CI420" s="1420"/>
      <c r="CJ420" s="1368"/>
      <c r="CK420" s="1368"/>
      <c r="CL420" s="1368"/>
      <c r="CM420" s="1369"/>
      <c r="CN420" s="1420"/>
      <c r="CO420" s="1368"/>
      <c r="CP420" s="1368"/>
      <c r="CQ420" s="1368"/>
      <c r="CR420" s="1369"/>
      <c r="CS420" s="1420"/>
      <c r="CT420" s="1368"/>
      <c r="CU420" s="1368"/>
      <c r="CV420" s="1368"/>
      <c r="CW420" s="1369"/>
      <c r="CX420" s="1420"/>
      <c r="CY420" s="1368"/>
      <c r="CZ420" s="1368"/>
      <c r="DA420" s="1368"/>
      <c r="DB420" s="1369"/>
      <c r="DC420" s="1368"/>
      <c r="DD420" s="1368"/>
      <c r="DE420" s="1368"/>
      <c r="DF420" s="1368"/>
      <c r="DG420" s="1369"/>
      <c r="DH420" s="1420"/>
      <c r="DI420" s="1368"/>
      <c r="DJ420" s="1368"/>
      <c r="DK420" s="1368"/>
      <c r="DL420" s="1369"/>
      <c r="DM420" s="1808"/>
      <c r="DN420" s="1809"/>
      <c r="DO420" s="1809"/>
      <c r="DP420" s="1810"/>
      <c r="DQ420" s="1809"/>
      <c r="DR420" s="1809"/>
      <c r="DS420" s="1809"/>
      <c r="DT420" s="1810"/>
      <c r="DU420" s="1377"/>
      <c r="DV420" s="1729"/>
      <c r="DW420" s="1811"/>
    </row>
    <row r="421" spans="1:127" s="397" customFormat="1" ht="15.75" hidden="1" customHeight="1">
      <c r="A421" s="1097" t="s">
        <v>1041</v>
      </c>
      <c r="B421" s="1057">
        <v>412</v>
      </c>
      <c r="C421" s="1018"/>
      <c r="D421" s="1018"/>
      <c r="E421" s="1018"/>
      <c r="F421" s="1018"/>
      <c r="G421" s="1018"/>
      <c r="H421" s="1018"/>
      <c r="I421" s="1018"/>
      <c r="J421" s="1018"/>
      <c r="K421" s="1018"/>
      <c r="L421" s="1018"/>
      <c r="M421" s="1057"/>
      <c r="N421" s="1018"/>
      <c r="O421" s="1018"/>
      <c r="P421" s="1018"/>
      <c r="Q421" s="1018"/>
      <c r="R421" s="1018"/>
      <c r="S421" s="1018"/>
      <c r="T421" s="1019"/>
      <c r="U421" s="1098" t="s">
        <v>3687</v>
      </c>
      <c r="V421" s="1099" t="s">
        <v>3666</v>
      </c>
      <c r="W421" s="1099" t="s">
        <v>1907</v>
      </c>
      <c r="X421" s="1100" t="s">
        <v>3688</v>
      </c>
      <c r="Y421" s="1101" t="s">
        <v>703</v>
      </c>
      <c r="Z421" s="1102" t="s">
        <v>3689</v>
      </c>
      <c r="AA421" s="1103" t="s">
        <v>1942</v>
      </c>
      <c r="AB421" s="1104" t="s">
        <v>1942</v>
      </c>
      <c r="AC421" s="1104" t="s">
        <v>1942</v>
      </c>
      <c r="AD421" s="1104" t="s">
        <v>1942</v>
      </c>
      <c r="AE421" s="1104">
        <v>1</v>
      </c>
      <c r="AF421" s="1104" t="s">
        <v>1942</v>
      </c>
      <c r="AG421" s="1104" t="s">
        <v>1942</v>
      </c>
      <c r="AH421" s="1104" t="s">
        <v>1942</v>
      </c>
      <c r="AI421" s="1105">
        <f t="shared" si="6"/>
        <v>1</v>
      </c>
      <c r="AJ421" s="1106" t="s">
        <v>1007</v>
      </c>
      <c r="AK421" s="1106" t="s">
        <v>1942</v>
      </c>
      <c r="AL421" s="1106" t="s">
        <v>1942</v>
      </c>
      <c r="AM421" s="1107" t="s">
        <v>2117</v>
      </c>
      <c r="AN421" s="1018" t="s">
        <v>278</v>
      </c>
      <c r="AO421" s="1018" t="s">
        <v>4799</v>
      </c>
      <c r="AP421" s="1318">
        <v>1</v>
      </c>
      <c r="AQ421" s="1076" t="s">
        <v>1010</v>
      </c>
      <c r="AR421" s="1109" t="s">
        <v>703</v>
      </c>
      <c r="AS421" s="1110"/>
      <c r="AT421" s="1100"/>
      <c r="AU421" s="1100"/>
      <c r="AV421" s="1100"/>
      <c r="AW421" s="1111"/>
      <c r="AX421" s="1112"/>
      <c r="AY421" s="1075"/>
      <c r="AZ421" s="1076"/>
      <c r="BA421" s="1076"/>
      <c r="BB421" s="1076"/>
      <c r="BC421" s="1076"/>
      <c r="BD421" s="1076"/>
      <c r="BE421" s="1076"/>
      <c r="BF421" s="1076"/>
      <c r="BG421" s="1076"/>
      <c r="BH421" s="1076"/>
      <c r="BI421" s="1075" t="s">
        <v>4866</v>
      </c>
      <c r="BJ421" s="1076" t="s">
        <v>4854</v>
      </c>
      <c r="BK421" s="1076" t="s">
        <v>4867</v>
      </c>
      <c r="BL421" s="1076" t="s">
        <v>4845</v>
      </c>
      <c r="BM421" s="1076" t="s">
        <v>4822</v>
      </c>
      <c r="BN421" s="1075"/>
      <c r="BO421" s="1076"/>
      <c r="BP421" s="1076"/>
      <c r="BQ421" s="1076"/>
      <c r="BR421" s="1076"/>
      <c r="BS421" s="1115"/>
      <c r="BT421" s="1076"/>
      <c r="BU421" s="1076"/>
      <c r="BV421" s="1076"/>
      <c r="BW421" s="1116"/>
      <c r="BX421" s="1115"/>
      <c r="BY421" s="1076"/>
      <c r="BZ421" s="1076"/>
      <c r="CA421" s="1076"/>
      <c r="CB421" s="1116"/>
      <c r="CC421" s="1117"/>
      <c r="CD421" s="1118" t="s">
        <v>1942</v>
      </c>
      <c r="CE421" s="1119" t="s">
        <v>1942</v>
      </c>
      <c r="CF421" s="1119" t="s">
        <v>1942</v>
      </c>
      <c r="CG421" s="1119" t="s">
        <v>1942</v>
      </c>
      <c r="CH421" s="1120" t="s">
        <v>1942</v>
      </c>
      <c r="CI421" s="1075" t="s">
        <v>1942</v>
      </c>
      <c r="CJ421" s="1076" t="s">
        <v>1942</v>
      </c>
      <c r="CK421" s="1076" t="s">
        <v>1942</v>
      </c>
      <c r="CL421" s="1076" t="s">
        <v>1942</v>
      </c>
      <c r="CM421" s="1117" t="s">
        <v>1942</v>
      </c>
      <c r="CN421" s="1075" t="s">
        <v>1942</v>
      </c>
      <c r="CO421" s="1076" t="s">
        <v>1942</v>
      </c>
      <c r="CP421" s="1076" t="s">
        <v>1942</v>
      </c>
      <c r="CQ421" s="1076" t="s">
        <v>1942</v>
      </c>
      <c r="CR421" s="1117" t="s">
        <v>1942</v>
      </c>
      <c r="CS421" s="1075" t="s">
        <v>1942</v>
      </c>
      <c r="CT421" s="1076" t="s">
        <v>1942</v>
      </c>
      <c r="CU421" s="1076" t="s">
        <v>1942</v>
      </c>
      <c r="CV421" s="1076" t="s">
        <v>1942</v>
      </c>
      <c r="CW421" s="1117" t="s">
        <v>1942</v>
      </c>
      <c r="CX421" s="1075" t="s">
        <v>1942</v>
      </c>
      <c r="CY421" s="1076" t="s">
        <v>1942</v>
      </c>
      <c r="CZ421" s="1076" t="s">
        <v>1942</v>
      </c>
      <c r="DA421" s="1076" t="s">
        <v>1942</v>
      </c>
      <c r="DB421" s="1117" t="s">
        <v>1942</v>
      </c>
      <c r="DC421" s="1076" t="s">
        <v>1942</v>
      </c>
      <c r="DD421" s="1076" t="s">
        <v>1942</v>
      </c>
      <c r="DE421" s="1076" t="s">
        <v>1942</v>
      </c>
      <c r="DF421" s="1076" t="s">
        <v>1942</v>
      </c>
      <c r="DG421" s="1117" t="s">
        <v>1942</v>
      </c>
      <c r="DH421" s="1075" t="s">
        <v>1942</v>
      </c>
      <c r="DI421" s="1076" t="s">
        <v>1942</v>
      </c>
      <c r="DJ421" s="1076" t="s">
        <v>1942</v>
      </c>
      <c r="DK421" s="1076" t="s">
        <v>1942</v>
      </c>
      <c r="DL421" s="1117" t="s">
        <v>1942</v>
      </c>
      <c r="DM421" s="1121" t="s">
        <v>1942</v>
      </c>
      <c r="DN421" s="1122" t="s">
        <v>1942</v>
      </c>
      <c r="DO421" s="1122" t="s">
        <v>1942</v>
      </c>
      <c r="DP421" s="1123" t="s">
        <v>1942</v>
      </c>
      <c r="DQ421" s="1122" t="s">
        <v>1942</v>
      </c>
      <c r="DR421" s="1122" t="s">
        <v>1942</v>
      </c>
      <c r="DS421" s="1122" t="s">
        <v>1942</v>
      </c>
      <c r="DT421" s="1123" t="s">
        <v>1942</v>
      </c>
      <c r="DU421" s="1119" t="s">
        <v>1942</v>
      </c>
      <c r="DV421" s="1124">
        <v>1</v>
      </c>
      <c r="DW421" s="1125" t="s">
        <v>1942</v>
      </c>
    </row>
    <row r="422" spans="1:127" s="397" customFormat="1" ht="15.75" hidden="1" customHeight="1">
      <c r="A422" s="1097" t="s">
        <v>1041</v>
      </c>
      <c r="B422" s="1057">
        <v>413</v>
      </c>
      <c r="C422" s="1018"/>
      <c r="D422" s="1018"/>
      <c r="E422" s="1018"/>
      <c r="F422" s="1018"/>
      <c r="G422" s="1018"/>
      <c r="H422" s="1018"/>
      <c r="I422" s="1018"/>
      <c r="J422" s="1018"/>
      <c r="K422" s="1018"/>
      <c r="L422" s="1018"/>
      <c r="M422" s="1057"/>
      <c r="N422" s="1018"/>
      <c r="O422" s="1018"/>
      <c r="P422" s="1018"/>
      <c r="Q422" s="1018"/>
      <c r="R422" s="1018"/>
      <c r="S422" s="1018"/>
      <c r="T422" s="1019"/>
      <c r="U422" s="1098" t="s">
        <v>3690</v>
      </c>
      <c r="V422" s="1099" t="s">
        <v>3666</v>
      </c>
      <c r="W422" s="1099" t="s">
        <v>1907</v>
      </c>
      <c r="X422" s="1100" t="s">
        <v>3691</v>
      </c>
      <c r="Y422" s="1101" t="s">
        <v>3692</v>
      </c>
      <c r="Z422" s="1102" t="s">
        <v>3693</v>
      </c>
      <c r="AA422" s="1103" t="s">
        <v>1942</v>
      </c>
      <c r="AB422" s="1104" t="s">
        <v>1942</v>
      </c>
      <c r="AC422" s="1104" t="s">
        <v>1942</v>
      </c>
      <c r="AD422" s="1104" t="s">
        <v>1942</v>
      </c>
      <c r="AE422" s="1104">
        <v>1</v>
      </c>
      <c r="AF422" s="1104" t="s">
        <v>1942</v>
      </c>
      <c r="AG422" s="1104" t="s">
        <v>1942</v>
      </c>
      <c r="AH422" s="1104" t="s">
        <v>1942</v>
      </c>
      <c r="AI422" s="1105">
        <f t="shared" si="6"/>
        <v>1</v>
      </c>
      <c r="AJ422" s="1106" t="s">
        <v>1007</v>
      </c>
      <c r="AK422" s="1106" t="s">
        <v>1942</v>
      </c>
      <c r="AL422" s="1106" t="s">
        <v>1942</v>
      </c>
      <c r="AM422" s="1107" t="s">
        <v>2117</v>
      </c>
      <c r="AN422" s="1018" t="s">
        <v>1081</v>
      </c>
      <c r="AO422" s="1018" t="s">
        <v>1927</v>
      </c>
      <c r="AP422" s="1274">
        <v>0</v>
      </c>
      <c r="AQ422" s="1076" t="s">
        <v>1081</v>
      </c>
      <c r="AR422" s="1109" t="s">
        <v>1942</v>
      </c>
      <c r="AS422" s="1110"/>
      <c r="AT422" s="1100"/>
      <c r="AU422" s="1100"/>
      <c r="AV422" s="1100"/>
      <c r="AW422" s="1111"/>
      <c r="AX422" s="1112"/>
      <c r="AY422" s="1075"/>
      <c r="AZ422" s="1076"/>
      <c r="BA422" s="1076"/>
      <c r="BB422" s="1076"/>
      <c r="BC422" s="1076"/>
      <c r="BD422" s="1076"/>
      <c r="BE422" s="1076"/>
      <c r="BF422" s="1076"/>
      <c r="BG422" s="1076"/>
      <c r="BH422" s="1076"/>
      <c r="BI422" s="1420"/>
      <c r="BJ422" s="1368"/>
      <c r="BK422" s="1368"/>
      <c r="BL422" s="1368"/>
      <c r="BM422" s="1368"/>
      <c r="BN422" s="1075"/>
      <c r="BO422" s="1076"/>
      <c r="BP422" s="1076"/>
      <c r="BQ422" s="1076"/>
      <c r="BR422" s="1076"/>
      <c r="BS422" s="1115"/>
      <c r="BT422" s="1076"/>
      <c r="BU422" s="1076"/>
      <c r="BV422" s="1076"/>
      <c r="BW422" s="1116"/>
      <c r="BX422" s="1115"/>
      <c r="BY422" s="1076"/>
      <c r="BZ422" s="1076"/>
      <c r="CA422" s="1076"/>
      <c r="CB422" s="1116"/>
      <c r="CC422" s="1117"/>
      <c r="CD422" s="1376"/>
      <c r="CE422" s="1377"/>
      <c r="CF422" s="1377"/>
      <c r="CG422" s="1377"/>
      <c r="CH422" s="1440"/>
      <c r="CI422" s="1420"/>
      <c r="CJ422" s="1368"/>
      <c r="CK422" s="1368"/>
      <c r="CL422" s="1368"/>
      <c r="CM422" s="1369"/>
      <c r="CN422" s="1420"/>
      <c r="CO422" s="1368"/>
      <c r="CP422" s="1368"/>
      <c r="CQ422" s="1368"/>
      <c r="CR422" s="1369"/>
      <c r="CS422" s="1420"/>
      <c r="CT422" s="1368"/>
      <c r="CU422" s="1368"/>
      <c r="CV422" s="1368"/>
      <c r="CW422" s="1369"/>
      <c r="CX422" s="1420"/>
      <c r="CY422" s="1368"/>
      <c r="CZ422" s="1368"/>
      <c r="DA422" s="1368"/>
      <c r="DB422" s="1369"/>
      <c r="DC422" s="1368"/>
      <c r="DD422" s="1368"/>
      <c r="DE422" s="1368"/>
      <c r="DF422" s="1368"/>
      <c r="DG422" s="1369"/>
      <c r="DH422" s="1420"/>
      <c r="DI422" s="1368"/>
      <c r="DJ422" s="1368"/>
      <c r="DK422" s="1368"/>
      <c r="DL422" s="1369"/>
      <c r="DM422" s="1808"/>
      <c r="DN422" s="1809"/>
      <c r="DO422" s="1809"/>
      <c r="DP422" s="1810"/>
      <c r="DQ422" s="1809"/>
      <c r="DR422" s="1809"/>
      <c r="DS422" s="1809"/>
      <c r="DT422" s="1810"/>
      <c r="DU422" s="1377"/>
      <c r="DV422" s="1729"/>
      <c r="DW422" s="1811"/>
    </row>
    <row r="423" spans="1:127" s="397" customFormat="1" ht="15.75" hidden="1" customHeight="1">
      <c r="A423" s="1097" t="s">
        <v>1041</v>
      </c>
      <c r="B423" s="1057">
        <v>414</v>
      </c>
      <c r="C423" s="1018"/>
      <c r="D423" s="1018"/>
      <c r="E423" s="1018"/>
      <c r="F423" s="1018"/>
      <c r="G423" s="1018"/>
      <c r="H423" s="1018"/>
      <c r="I423" s="1018"/>
      <c r="J423" s="1018"/>
      <c r="K423" s="1018"/>
      <c r="L423" s="1018"/>
      <c r="M423" s="1057"/>
      <c r="N423" s="1018"/>
      <c r="O423" s="1018"/>
      <c r="P423" s="1018"/>
      <c r="Q423" s="1018"/>
      <c r="R423" s="1018"/>
      <c r="S423" s="1018"/>
      <c r="T423" s="1019"/>
      <c r="U423" s="1098" t="s">
        <v>3696</v>
      </c>
      <c r="V423" s="1099" t="s">
        <v>3666</v>
      </c>
      <c r="W423" s="1099" t="s">
        <v>1907</v>
      </c>
      <c r="X423" s="1100" t="s">
        <v>3697</v>
      </c>
      <c r="Y423" s="1101" t="s">
        <v>3698</v>
      </c>
      <c r="Z423" s="1102" t="s">
        <v>3699</v>
      </c>
      <c r="AA423" s="1103" t="s">
        <v>1942</v>
      </c>
      <c r="AB423" s="1104" t="s">
        <v>1942</v>
      </c>
      <c r="AC423" s="1104" t="s">
        <v>1942</v>
      </c>
      <c r="AD423" s="1104" t="s">
        <v>1942</v>
      </c>
      <c r="AE423" s="1104">
        <v>1</v>
      </c>
      <c r="AF423" s="1104" t="s">
        <v>1942</v>
      </c>
      <c r="AG423" s="1104" t="s">
        <v>1942</v>
      </c>
      <c r="AH423" s="1104" t="s">
        <v>1942</v>
      </c>
      <c r="AI423" s="1105">
        <f t="shared" si="6"/>
        <v>1</v>
      </c>
      <c r="AJ423" s="1106" t="s">
        <v>1007</v>
      </c>
      <c r="AK423" s="1106" t="s">
        <v>1942</v>
      </c>
      <c r="AL423" s="1106" t="s">
        <v>1942</v>
      </c>
      <c r="AM423" s="1107" t="s">
        <v>2117</v>
      </c>
      <c r="AN423" s="1018" t="s">
        <v>278</v>
      </c>
      <c r="AO423" s="1018" t="s">
        <v>1146</v>
      </c>
      <c r="AP423" s="1274">
        <v>0</v>
      </c>
      <c r="AQ423" s="1076" t="s">
        <v>1010</v>
      </c>
      <c r="AR423" s="1109" t="s">
        <v>1942</v>
      </c>
      <c r="AS423" s="1110"/>
      <c r="AT423" s="1100"/>
      <c r="AU423" s="1100"/>
      <c r="AV423" s="1100"/>
      <c r="AW423" s="1111"/>
      <c r="AX423" s="1112"/>
      <c r="AY423" s="1075"/>
      <c r="AZ423" s="1076"/>
      <c r="BA423" s="1076"/>
      <c r="BB423" s="1076"/>
      <c r="BC423" s="1076"/>
      <c r="BD423" s="1076"/>
      <c r="BE423" s="1076"/>
      <c r="BF423" s="1076"/>
      <c r="BG423" s="1076"/>
      <c r="BH423" s="1076"/>
      <c r="BI423" s="1420"/>
      <c r="BJ423" s="1368"/>
      <c r="BK423" s="1368"/>
      <c r="BL423" s="1368"/>
      <c r="BM423" s="1368"/>
      <c r="BN423" s="1075"/>
      <c r="BO423" s="1076"/>
      <c r="BP423" s="1076"/>
      <c r="BQ423" s="1076"/>
      <c r="BR423" s="1076"/>
      <c r="BS423" s="1115"/>
      <c r="BT423" s="1076"/>
      <c r="BU423" s="1076"/>
      <c r="BV423" s="1076"/>
      <c r="BW423" s="1116"/>
      <c r="BX423" s="1115"/>
      <c r="BY423" s="1076"/>
      <c r="BZ423" s="1076"/>
      <c r="CA423" s="1076"/>
      <c r="CB423" s="1116"/>
      <c r="CC423" s="1117"/>
      <c r="CD423" s="1376"/>
      <c r="CE423" s="1377"/>
      <c r="CF423" s="1377"/>
      <c r="CG423" s="1377"/>
      <c r="CH423" s="1440"/>
      <c r="CI423" s="1420"/>
      <c r="CJ423" s="1368"/>
      <c r="CK423" s="1368"/>
      <c r="CL423" s="1368"/>
      <c r="CM423" s="1369"/>
      <c r="CN423" s="1420"/>
      <c r="CO423" s="1368"/>
      <c r="CP423" s="1368"/>
      <c r="CQ423" s="1368"/>
      <c r="CR423" s="1369"/>
      <c r="CS423" s="1420"/>
      <c r="CT423" s="1368"/>
      <c r="CU423" s="1368"/>
      <c r="CV423" s="1368"/>
      <c r="CW423" s="1369"/>
      <c r="CX423" s="1420"/>
      <c r="CY423" s="1368"/>
      <c r="CZ423" s="1368"/>
      <c r="DA423" s="1368"/>
      <c r="DB423" s="1369"/>
      <c r="DC423" s="1368"/>
      <c r="DD423" s="1368"/>
      <c r="DE423" s="1368"/>
      <c r="DF423" s="1368"/>
      <c r="DG423" s="1369"/>
      <c r="DH423" s="1420"/>
      <c r="DI423" s="1368"/>
      <c r="DJ423" s="1368"/>
      <c r="DK423" s="1368"/>
      <c r="DL423" s="1369"/>
      <c r="DM423" s="1808"/>
      <c r="DN423" s="1809"/>
      <c r="DO423" s="1809"/>
      <c r="DP423" s="1810"/>
      <c r="DQ423" s="1809"/>
      <c r="DR423" s="1809"/>
      <c r="DS423" s="1809"/>
      <c r="DT423" s="1810"/>
      <c r="DU423" s="1377"/>
      <c r="DV423" s="1729"/>
      <c r="DW423" s="1811"/>
    </row>
    <row r="424" spans="1:127" s="397" customFormat="1" ht="15.75" hidden="1" customHeight="1">
      <c r="A424" s="1097" t="s">
        <v>1041</v>
      </c>
      <c r="B424" s="1057">
        <v>415</v>
      </c>
      <c r="C424" s="1018"/>
      <c r="D424" s="1018"/>
      <c r="E424" s="1018"/>
      <c r="F424" s="1018"/>
      <c r="G424" s="1018"/>
      <c r="H424" s="1018"/>
      <c r="I424" s="1018"/>
      <c r="J424" s="1018"/>
      <c r="K424" s="1018"/>
      <c r="L424" s="1018"/>
      <c r="M424" s="1057"/>
      <c r="N424" s="1018"/>
      <c r="O424" s="1018"/>
      <c r="P424" s="1018"/>
      <c r="Q424" s="1018"/>
      <c r="R424" s="1018"/>
      <c r="S424" s="1018"/>
      <c r="T424" s="1019"/>
      <c r="U424" s="1098" t="s">
        <v>3700</v>
      </c>
      <c r="V424" s="1099" t="s">
        <v>3701</v>
      </c>
      <c r="W424" s="1099" t="s">
        <v>1889</v>
      </c>
      <c r="X424" s="1100" t="s">
        <v>3702</v>
      </c>
      <c r="Y424" s="1101" t="s">
        <v>736</v>
      </c>
      <c r="Z424" s="1102" t="s">
        <v>3703</v>
      </c>
      <c r="AA424" s="1103" t="s">
        <v>1942</v>
      </c>
      <c r="AB424" s="1104" t="s">
        <v>1942</v>
      </c>
      <c r="AC424" s="1104">
        <v>1</v>
      </c>
      <c r="AD424" s="1104" t="s">
        <v>1942</v>
      </c>
      <c r="AE424" s="1104" t="s">
        <v>1942</v>
      </c>
      <c r="AF424" s="1104" t="s">
        <v>1942</v>
      </c>
      <c r="AG424" s="1104" t="s">
        <v>1942</v>
      </c>
      <c r="AH424" s="1104" t="s">
        <v>1942</v>
      </c>
      <c r="AI424" s="1105">
        <f t="shared" si="6"/>
        <v>1</v>
      </c>
      <c r="AJ424" s="1106" t="s">
        <v>1026</v>
      </c>
      <c r="AK424" s="1106" t="s">
        <v>1008</v>
      </c>
      <c r="AL424" s="1106" t="s">
        <v>1009</v>
      </c>
      <c r="AM424" s="1107" t="s">
        <v>736</v>
      </c>
      <c r="AN424" s="1018" t="s">
        <v>2177</v>
      </c>
      <c r="AO424" s="1018" t="s">
        <v>4806</v>
      </c>
      <c r="AP424" s="1307">
        <v>2</v>
      </c>
      <c r="AQ424" s="1076" t="s">
        <v>1020</v>
      </c>
      <c r="AR424" s="1109" t="s">
        <v>736</v>
      </c>
      <c r="AS424" s="1110"/>
      <c r="AT424" s="1100"/>
      <c r="AU424" s="1100"/>
      <c r="AV424" s="1100"/>
      <c r="AW424" s="1111"/>
      <c r="AX424" s="1112"/>
      <c r="AY424" s="1075"/>
      <c r="AZ424" s="1076"/>
      <c r="BA424" s="1076"/>
      <c r="BB424" s="1076"/>
      <c r="BC424" s="1076"/>
      <c r="BD424" s="1076"/>
      <c r="BE424" s="1076"/>
      <c r="BF424" s="1076"/>
      <c r="BG424" s="1126"/>
      <c r="BH424" s="1126"/>
      <c r="BI424" s="1127">
        <v>24.51</v>
      </c>
      <c r="BJ424" s="1126">
        <v>23.74</v>
      </c>
      <c r="BK424" s="1126">
        <v>23</v>
      </c>
      <c r="BL424" s="1126">
        <v>22.4</v>
      </c>
      <c r="BM424" s="1126">
        <v>19.5</v>
      </c>
      <c r="BN424" s="1075"/>
      <c r="BO424" s="1076"/>
      <c r="BP424" s="1076"/>
      <c r="BQ424" s="1076"/>
      <c r="BR424" s="1076"/>
      <c r="BS424" s="1115"/>
      <c r="BT424" s="1076"/>
      <c r="BU424" s="1076"/>
      <c r="BV424" s="1076"/>
      <c r="BW424" s="1116"/>
      <c r="BX424" s="1115"/>
      <c r="BY424" s="1076"/>
      <c r="BZ424" s="1076"/>
      <c r="CA424" s="1076"/>
      <c r="CB424" s="1116"/>
      <c r="CC424" s="1117"/>
      <c r="CD424" s="1118" t="s">
        <v>168</v>
      </c>
      <c r="CE424" s="1119" t="s">
        <v>168</v>
      </c>
      <c r="CF424" s="1119" t="s">
        <v>168</v>
      </c>
      <c r="CG424" s="1119" t="s">
        <v>168</v>
      </c>
      <c r="CH424" s="1120" t="s">
        <v>168</v>
      </c>
      <c r="CI424" s="1075" t="s">
        <v>1942</v>
      </c>
      <c r="CJ424" s="1076" t="s">
        <v>1942</v>
      </c>
      <c r="CK424" s="1076" t="s">
        <v>1942</v>
      </c>
      <c r="CL424" s="1076" t="s">
        <v>1942</v>
      </c>
      <c r="CM424" s="1117" t="s">
        <v>1942</v>
      </c>
      <c r="CN424" s="1075" t="s">
        <v>1942</v>
      </c>
      <c r="CO424" s="1076" t="s">
        <v>1942</v>
      </c>
      <c r="CP424" s="1076" t="s">
        <v>1942</v>
      </c>
      <c r="CQ424" s="1076" t="s">
        <v>1942</v>
      </c>
      <c r="CR424" s="1117" t="s">
        <v>1942</v>
      </c>
      <c r="CS424" s="1075" t="s">
        <v>1942</v>
      </c>
      <c r="CT424" s="1076" t="s">
        <v>1942</v>
      </c>
      <c r="CU424" s="1076" t="s">
        <v>1942</v>
      </c>
      <c r="CV424" s="1076" t="s">
        <v>1942</v>
      </c>
      <c r="CW424" s="1117" t="s">
        <v>1942</v>
      </c>
      <c r="CX424" s="1075" t="s">
        <v>1942</v>
      </c>
      <c r="CY424" s="1076" t="s">
        <v>1942</v>
      </c>
      <c r="CZ424" s="1076" t="s">
        <v>1942</v>
      </c>
      <c r="DA424" s="1076" t="s">
        <v>1942</v>
      </c>
      <c r="DB424" s="1117" t="s">
        <v>1942</v>
      </c>
      <c r="DC424" s="1076" t="s">
        <v>1942</v>
      </c>
      <c r="DD424" s="1076" t="s">
        <v>1942</v>
      </c>
      <c r="DE424" s="1076" t="s">
        <v>1942</v>
      </c>
      <c r="DF424" s="1076" t="s">
        <v>1942</v>
      </c>
      <c r="DG424" s="1117" t="s">
        <v>1942</v>
      </c>
      <c r="DH424" s="1075" t="s">
        <v>1942</v>
      </c>
      <c r="DI424" s="1076" t="s">
        <v>1942</v>
      </c>
      <c r="DJ424" s="1076" t="s">
        <v>1942</v>
      </c>
      <c r="DK424" s="1076" t="s">
        <v>1942</v>
      </c>
      <c r="DL424" s="1117" t="s">
        <v>1942</v>
      </c>
      <c r="DM424" s="1121">
        <v>-0.115</v>
      </c>
      <c r="DN424" s="1122" t="s">
        <v>1942</v>
      </c>
      <c r="DO424" s="1122" t="s">
        <v>1942</v>
      </c>
      <c r="DP424" s="1123" t="s">
        <v>1942</v>
      </c>
      <c r="DQ424" s="1122" t="s">
        <v>1942</v>
      </c>
      <c r="DR424" s="1122" t="s">
        <v>1942</v>
      </c>
      <c r="DS424" s="1122" t="s">
        <v>1942</v>
      </c>
      <c r="DT424" s="1123" t="s">
        <v>1942</v>
      </c>
      <c r="DU424" s="1119" t="s">
        <v>1942</v>
      </c>
      <c r="DV424" s="1124">
        <v>1</v>
      </c>
      <c r="DW424" s="1125" t="s">
        <v>1942</v>
      </c>
    </row>
    <row r="425" spans="1:127" s="397" customFormat="1" ht="15.75" hidden="1" customHeight="1">
      <c r="A425" s="1097" t="s">
        <v>1041</v>
      </c>
      <c r="B425" s="1057">
        <v>416</v>
      </c>
      <c r="C425" s="1018"/>
      <c r="D425" s="1018"/>
      <c r="E425" s="1018"/>
      <c r="F425" s="1018"/>
      <c r="G425" s="1018"/>
      <c r="H425" s="1018"/>
      <c r="I425" s="1018"/>
      <c r="J425" s="1018"/>
      <c r="K425" s="1018"/>
      <c r="L425" s="1018"/>
      <c r="M425" s="1057"/>
      <c r="N425" s="1018"/>
      <c r="O425" s="1018"/>
      <c r="P425" s="1018"/>
      <c r="Q425" s="1018"/>
      <c r="R425" s="1018"/>
      <c r="S425" s="1018"/>
      <c r="T425" s="1019"/>
      <c r="U425" s="1098" t="s">
        <v>3705</v>
      </c>
      <c r="V425" s="1099" t="s">
        <v>3701</v>
      </c>
      <c r="W425" s="1099" t="s">
        <v>1889</v>
      </c>
      <c r="X425" s="1100" t="s">
        <v>3706</v>
      </c>
      <c r="Y425" s="1101" t="s">
        <v>3707</v>
      </c>
      <c r="Z425" s="1102" t="s">
        <v>3708</v>
      </c>
      <c r="AA425" s="1103" t="s">
        <v>1942</v>
      </c>
      <c r="AB425" s="1104">
        <v>1</v>
      </c>
      <c r="AC425" s="1104" t="s">
        <v>1942</v>
      </c>
      <c r="AD425" s="1104" t="s">
        <v>1942</v>
      </c>
      <c r="AE425" s="1104" t="s">
        <v>1942</v>
      </c>
      <c r="AF425" s="1104" t="s">
        <v>1942</v>
      </c>
      <c r="AG425" s="1104" t="s">
        <v>1942</v>
      </c>
      <c r="AH425" s="1104" t="s">
        <v>1942</v>
      </c>
      <c r="AI425" s="1105">
        <f t="shared" si="6"/>
        <v>1</v>
      </c>
      <c r="AJ425" s="1106" t="s">
        <v>1026</v>
      </c>
      <c r="AK425" s="1106" t="s">
        <v>1008</v>
      </c>
      <c r="AL425" s="1106" t="s">
        <v>1009</v>
      </c>
      <c r="AM425" s="1107" t="s">
        <v>736</v>
      </c>
      <c r="AN425" s="1018" t="s">
        <v>4865</v>
      </c>
      <c r="AO425" s="1018" t="s">
        <v>396</v>
      </c>
      <c r="AP425" s="1274">
        <v>0</v>
      </c>
      <c r="AQ425" s="1076" t="s">
        <v>1020</v>
      </c>
      <c r="AR425" s="1109" t="s">
        <v>1942</v>
      </c>
      <c r="AS425" s="1110"/>
      <c r="AT425" s="1100"/>
      <c r="AU425" s="1100"/>
      <c r="AV425" s="1100"/>
      <c r="AW425" s="1111"/>
      <c r="AX425" s="1112"/>
      <c r="AY425" s="1075"/>
      <c r="AZ425" s="1076"/>
      <c r="BA425" s="1076"/>
      <c r="BB425" s="1076"/>
      <c r="BC425" s="1076"/>
      <c r="BD425" s="1076"/>
      <c r="BE425" s="1076"/>
      <c r="BF425" s="1076"/>
      <c r="BG425" s="1076"/>
      <c r="BH425" s="1076"/>
      <c r="BI425" s="1420"/>
      <c r="BJ425" s="1368"/>
      <c r="BK425" s="1368"/>
      <c r="BL425" s="1368"/>
      <c r="BM425" s="1368"/>
      <c r="BN425" s="1075"/>
      <c r="BO425" s="1076"/>
      <c r="BP425" s="1076"/>
      <c r="BQ425" s="1076"/>
      <c r="BR425" s="1076"/>
      <c r="BS425" s="1115"/>
      <c r="BT425" s="1076"/>
      <c r="BU425" s="1076"/>
      <c r="BV425" s="1076"/>
      <c r="BW425" s="1116"/>
      <c r="BX425" s="1115"/>
      <c r="BY425" s="1076"/>
      <c r="BZ425" s="1076"/>
      <c r="CA425" s="1076"/>
      <c r="CB425" s="1116"/>
      <c r="CC425" s="1117"/>
      <c r="CD425" s="1376"/>
      <c r="CE425" s="1377"/>
      <c r="CF425" s="1377"/>
      <c r="CG425" s="1377"/>
      <c r="CH425" s="1440"/>
      <c r="CI425" s="1420"/>
      <c r="CJ425" s="1368"/>
      <c r="CK425" s="1368"/>
      <c r="CL425" s="1368"/>
      <c r="CM425" s="1369"/>
      <c r="CN425" s="1420"/>
      <c r="CO425" s="1368"/>
      <c r="CP425" s="1368"/>
      <c r="CQ425" s="1368"/>
      <c r="CR425" s="1369"/>
      <c r="CS425" s="1420"/>
      <c r="CT425" s="1368"/>
      <c r="CU425" s="1368"/>
      <c r="CV425" s="1368"/>
      <c r="CW425" s="1369"/>
      <c r="CX425" s="1420"/>
      <c r="CY425" s="1368"/>
      <c r="CZ425" s="1368"/>
      <c r="DA425" s="1368"/>
      <c r="DB425" s="1369"/>
      <c r="DC425" s="1368"/>
      <c r="DD425" s="1368"/>
      <c r="DE425" s="1368"/>
      <c r="DF425" s="1368"/>
      <c r="DG425" s="1369"/>
      <c r="DH425" s="1420"/>
      <c r="DI425" s="1368"/>
      <c r="DJ425" s="1368"/>
      <c r="DK425" s="1368"/>
      <c r="DL425" s="1369"/>
      <c r="DM425" s="1808"/>
      <c r="DN425" s="1809"/>
      <c r="DO425" s="1809"/>
      <c r="DP425" s="1810"/>
      <c r="DQ425" s="1809"/>
      <c r="DR425" s="1809"/>
      <c r="DS425" s="1809"/>
      <c r="DT425" s="1810"/>
      <c r="DU425" s="1377"/>
      <c r="DV425" s="1729"/>
      <c r="DW425" s="1811"/>
    </row>
    <row r="426" spans="1:127" s="397" customFormat="1" ht="15.75" hidden="1" customHeight="1">
      <c r="A426" s="1097" t="s">
        <v>1041</v>
      </c>
      <c r="B426" s="1057">
        <v>417</v>
      </c>
      <c r="C426" s="1018"/>
      <c r="D426" s="1018"/>
      <c r="E426" s="1018"/>
      <c r="F426" s="1018"/>
      <c r="G426" s="1018"/>
      <c r="H426" s="1018"/>
      <c r="I426" s="1018"/>
      <c r="J426" s="1018"/>
      <c r="K426" s="1018"/>
      <c r="L426" s="1018"/>
      <c r="M426" s="1057"/>
      <c r="N426" s="1018"/>
      <c r="O426" s="1018"/>
      <c r="P426" s="1018"/>
      <c r="Q426" s="1018"/>
      <c r="R426" s="1018"/>
      <c r="S426" s="1018"/>
      <c r="T426" s="1019"/>
      <c r="U426" s="1098" t="s">
        <v>3709</v>
      </c>
      <c r="V426" s="1099" t="s">
        <v>3701</v>
      </c>
      <c r="W426" s="1099" t="s">
        <v>1907</v>
      </c>
      <c r="X426" s="1100" t="s">
        <v>3710</v>
      </c>
      <c r="Y426" s="1101" t="s">
        <v>3711</v>
      </c>
      <c r="Z426" s="1102" t="s">
        <v>3712</v>
      </c>
      <c r="AA426" s="1103" t="s">
        <v>1942</v>
      </c>
      <c r="AB426" s="1104" t="s">
        <v>1942</v>
      </c>
      <c r="AC426" s="1104">
        <v>1</v>
      </c>
      <c r="AD426" s="1104" t="s">
        <v>1942</v>
      </c>
      <c r="AE426" s="1104" t="s">
        <v>1942</v>
      </c>
      <c r="AF426" s="1104" t="s">
        <v>1942</v>
      </c>
      <c r="AG426" s="1104" t="s">
        <v>1942</v>
      </c>
      <c r="AH426" s="1104" t="s">
        <v>1942</v>
      </c>
      <c r="AI426" s="1105">
        <f t="shared" si="6"/>
        <v>1</v>
      </c>
      <c r="AJ426" s="1106" t="s">
        <v>1007</v>
      </c>
      <c r="AK426" s="1106" t="s">
        <v>1942</v>
      </c>
      <c r="AL426" s="1106" t="s">
        <v>1942</v>
      </c>
      <c r="AM426" s="1107" t="s">
        <v>2289</v>
      </c>
      <c r="AN426" s="1018" t="s">
        <v>4865</v>
      </c>
      <c r="AO426" s="1018" t="s">
        <v>396</v>
      </c>
      <c r="AP426" s="1274">
        <v>0</v>
      </c>
      <c r="AQ426" s="1076" t="s">
        <v>1020</v>
      </c>
      <c r="AR426" s="1109" t="s">
        <v>1942</v>
      </c>
      <c r="AS426" s="1110"/>
      <c r="AT426" s="1100"/>
      <c r="AU426" s="1100"/>
      <c r="AV426" s="1100"/>
      <c r="AW426" s="1111"/>
      <c r="AX426" s="1112"/>
      <c r="AY426" s="1075"/>
      <c r="AZ426" s="1076"/>
      <c r="BA426" s="1076"/>
      <c r="BB426" s="1076"/>
      <c r="BC426" s="1076"/>
      <c r="BD426" s="1076"/>
      <c r="BE426" s="1076"/>
      <c r="BF426" s="1076"/>
      <c r="BG426" s="1076"/>
      <c r="BH426" s="1076"/>
      <c r="BI426" s="1420"/>
      <c r="BJ426" s="1368"/>
      <c r="BK426" s="1368"/>
      <c r="BL426" s="1368"/>
      <c r="BM426" s="1368"/>
      <c r="BN426" s="1075"/>
      <c r="BO426" s="1076"/>
      <c r="BP426" s="1076"/>
      <c r="BQ426" s="1076"/>
      <c r="BR426" s="1076"/>
      <c r="BS426" s="1115"/>
      <c r="BT426" s="1076"/>
      <c r="BU426" s="1076"/>
      <c r="BV426" s="1076"/>
      <c r="BW426" s="1116"/>
      <c r="BX426" s="1115"/>
      <c r="BY426" s="1076"/>
      <c r="BZ426" s="1076"/>
      <c r="CA426" s="1076"/>
      <c r="CB426" s="1116"/>
      <c r="CC426" s="1117"/>
      <c r="CD426" s="1376"/>
      <c r="CE426" s="1377"/>
      <c r="CF426" s="1377"/>
      <c r="CG426" s="1377"/>
      <c r="CH426" s="1440"/>
      <c r="CI426" s="1420"/>
      <c r="CJ426" s="1368"/>
      <c r="CK426" s="1368"/>
      <c r="CL426" s="1368"/>
      <c r="CM426" s="1369"/>
      <c r="CN426" s="1420"/>
      <c r="CO426" s="1368"/>
      <c r="CP426" s="1368"/>
      <c r="CQ426" s="1368"/>
      <c r="CR426" s="1369"/>
      <c r="CS426" s="1420"/>
      <c r="CT426" s="1368"/>
      <c r="CU426" s="1368"/>
      <c r="CV426" s="1368"/>
      <c r="CW426" s="1369"/>
      <c r="CX426" s="1420"/>
      <c r="CY426" s="1368"/>
      <c r="CZ426" s="1368"/>
      <c r="DA426" s="1368"/>
      <c r="DB426" s="1369"/>
      <c r="DC426" s="1368"/>
      <c r="DD426" s="1368"/>
      <c r="DE426" s="1368"/>
      <c r="DF426" s="1368"/>
      <c r="DG426" s="1369"/>
      <c r="DH426" s="1420"/>
      <c r="DI426" s="1368"/>
      <c r="DJ426" s="1368"/>
      <c r="DK426" s="1368"/>
      <c r="DL426" s="1369"/>
      <c r="DM426" s="1808"/>
      <c r="DN426" s="1809"/>
      <c r="DO426" s="1809"/>
      <c r="DP426" s="1810"/>
      <c r="DQ426" s="1809"/>
      <c r="DR426" s="1809"/>
      <c r="DS426" s="1809"/>
      <c r="DT426" s="1810"/>
      <c r="DU426" s="1377"/>
      <c r="DV426" s="1729"/>
      <c r="DW426" s="1811"/>
    </row>
    <row r="427" spans="1:127" s="397" customFormat="1" ht="15.75" hidden="1" customHeight="1">
      <c r="A427" s="1097" t="s">
        <v>1041</v>
      </c>
      <c r="B427" s="1057">
        <v>418</v>
      </c>
      <c r="C427" s="1018"/>
      <c r="D427" s="1018"/>
      <c r="E427" s="1018"/>
      <c r="F427" s="1018"/>
      <c r="G427" s="1018"/>
      <c r="H427" s="1018"/>
      <c r="I427" s="1018"/>
      <c r="J427" s="1018"/>
      <c r="K427" s="1018"/>
      <c r="L427" s="1018"/>
      <c r="M427" s="1057"/>
      <c r="N427" s="1018"/>
      <c r="O427" s="1018"/>
      <c r="P427" s="1018"/>
      <c r="Q427" s="1018"/>
      <c r="R427" s="1018"/>
      <c r="S427" s="1018"/>
      <c r="T427" s="1019"/>
      <c r="U427" s="1098" t="s">
        <v>3713</v>
      </c>
      <c r="V427" s="1099" t="s">
        <v>3701</v>
      </c>
      <c r="W427" s="1099" t="s">
        <v>1907</v>
      </c>
      <c r="X427" s="1100" t="s">
        <v>3714</v>
      </c>
      <c r="Y427" s="1101" t="s">
        <v>3715</v>
      </c>
      <c r="Z427" s="1102" t="s">
        <v>3716</v>
      </c>
      <c r="AA427" s="1103">
        <v>0.65</v>
      </c>
      <c r="AB427" s="1104">
        <v>0.35</v>
      </c>
      <c r="AC427" s="1104" t="s">
        <v>1942</v>
      </c>
      <c r="AD427" s="1104" t="s">
        <v>1942</v>
      </c>
      <c r="AE427" s="1104" t="s">
        <v>1942</v>
      </c>
      <c r="AF427" s="1104" t="s">
        <v>1942</v>
      </c>
      <c r="AG427" s="1104" t="s">
        <v>1942</v>
      </c>
      <c r="AH427" s="1104" t="s">
        <v>1942</v>
      </c>
      <c r="AI427" s="1105">
        <f t="shared" si="6"/>
        <v>1</v>
      </c>
      <c r="AJ427" s="1106" t="s">
        <v>1007</v>
      </c>
      <c r="AK427" s="1106" t="s">
        <v>1942</v>
      </c>
      <c r="AL427" s="1106" t="s">
        <v>1942</v>
      </c>
      <c r="AM427" s="1107" t="s">
        <v>2289</v>
      </c>
      <c r="AN427" s="1018" t="s">
        <v>4865</v>
      </c>
      <c r="AO427" s="1018" t="s">
        <v>396</v>
      </c>
      <c r="AP427" s="1274">
        <v>0</v>
      </c>
      <c r="AQ427" s="1076" t="s">
        <v>1010</v>
      </c>
      <c r="AR427" s="1109" t="s">
        <v>1942</v>
      </c>
      <c r="AS427" s="1110"/>
      <c r="AT427" s="1100"/>
      <c r="AU427" s="1100"/>
      <c r="AV427" s="1100"/>
      <c r="AW427" s="1111"/>
      <c r="AX427" s="1112"/>
      <c r="AY427" s="1075"/>
      <c r="AZ427" s="1076"/>
      <c r="BA427" s="1076"/>
      <c r="BB427" s="1076"/>
      <c r="BC427" s="1076"/>
      <c r="BD427" s="1076"/>
      <c r="BE427" s="1076"/>
      <c r="BF427" s="1076"/>
      <c r="BG427" s="1076"/>
      <c r="BH427" s="1076"/>
      <c r="BI427" s="1420"/>
      <c r="BJ427" s="1368"/>
      <c r="BK427" s="1368"/>
      <c r="BL427" s="1368"/>
      <c r="BM427" s="1368"/>
      <c r="BN427" s="1075"/>
      <c r="BO427" s="1076"/>
      <c r="BP427" s="1076"/>
      <c r="BQ427" s="1076"/>
      <c r="BR427" s="1076"/>
      <c r="BS427" s="1115"/>
      <c r="BT427" s="1076"/>
      <c r="BU427" s="1076"/>
      <c r="BV427" s="1076"/>
      <c r="BW427" s="1116"/>
      <c r="BX427" s="1115"/>
      <c r="BY427" s="1076"/>
      <c r="BZ427" s="1076"/>
      <c r="CA427" s="1076"/>
      <c r="CB427" s="1116"/>
      <c r="CC427" s="1117"/>
      <c r="CD427" s="1376"/>
      <c r="CE427" s="1377"/>
      <c r="CF427" s="1377"/>
      <c r="CG427" s="1377"/>
      <c r="CH427" s="1440"/>
      <c r="CI427" s="1420"/>
      <c r="CJ427" s="1368"/>
      <c r="CK427" s="1368"/>
      <c r="CL427" s="1368"/>
      <c r="CM427" s="1369"/>
      <c r="CN427" s="1420"/>
      <c r="CO427" s="1368"/>
      <c r="CP427" s="1368"/>
      <c r="CQ427" s="1368"/>
      <c r="CR427" s="1369"/>
      <c r="CS427" s="1420"/>
      <c r="CT427" s="1368"/>
      <c r="CU427" s="1368"/>
      <c r="CV427" s="1368"/>
      <c r="CW427" s="1369"/>
      <c r="CX427" s="1420"/>
      <c r="CY427" s="1368"/>
      <c r="CZ427" s="1368"/>
      <c r="DA427" s="1368"/>
      <c r="DB427" s="1369"/>
      <c r="DC427" s="1368"/>
      <c r="DD427" s="1368"/>
      <c r="DE427" s="1368"/>
      <c r="DF427" s="1368"/>
      <c r="DG427" s="1369"/>
      <c r="DH427" s="1420"/>
      <c r="DI427" s="1368"/>
      <c r="DJ427" s="1368"/>
      <c r="DK427" s="1368"/>
      <c r="DL427" s="1369"/>
      <c r="DM427" s="1808"/>
      <c r="DN427" s="1809"/>
      <c r="DO427" s="1809"/>
      <c r="DP427" s="1810"/>
      <c r="DQ427" s="1809"/>
      <c r="DR427" s="1809"/>
      <c r="DS427" s="1809"/>
      <c r="DT427" s="1810"/>
      <c r="DU427" s="1377"/>
      <c r="DV427" s="1729"/>
      <c r="DW427" s="1811"/>
    </row>
    <row r="428" spans="1:127" s="397" customFormat="1" ht="15.75" hidden="1" customHeight="1">
      <c r="A428" s="1097" t="s">
        <v>1041</v>
      </c>
      <c r="B428" s="1057">
        <v>419</v>
      </c>
      <c r="C428" s="1018"/>
      <c r="D428" s="1018"/>
      <c r="E428" s="1018"/>
      <c r="F428" s="1018"/>
      <c r="G428" s="1018"/>
      <c r="H428" s="1018"/>
      <c r="I428" s="1018"/>
      <c r="J428" s="1018"/>
      <c r="K428" s="1018"/>
      <c r="L428" s="1018"/>
      <c r="M428" s="1057"/>
      <c r="N428" s="1018"/>
      <c r="O428" s="1018"/>
      <c r="P428" s="1018"/>
      <c r="Q428" s="1018"/>
      <c r="R428" s="1018"/>
      <c r="S428" s="1018"/>
      <c r="T428" s="1019"/>
      <c r="U428" s="1098" t="s">
        <v>3717</v>
      </c>
      <c r="V428" s="1099" t="s">
        <v>3701</v>
      </c>
      <c r="W428" s="1099" t="s">
        <v>1907</v>
      </c>
      <c r="X428" s="1100" t="s">
        <v>3718</v>
      </c>
      <c r="Y428" s="1101" t="s">
        <v>3719</v>
      </c>
      <c r="Z428" s="1102" t="s">
        <v>3720</v>
      </c>
      <c r="AA428" s="1103">
        <v>0.45</v>
      </c>
      <c r="AB428" s="1104">
        <v>0.55000000000000004</v>
      </c>
      <c r="AC428" s="1104" t="s">
        <v>1942</v>
      </c>
      <c r="AD428" s="1104" t="s">
        <v>1942</v>
      </c>
      <c r="AE428" s="1104" t="s">
        <v>1942</v>
      </c>
      <c r="AF428" s="1104" t="s">
        <v>1942</v>
      </c>
      <c r="AG428" s="1104" t="s">
        <v>1942</v>
      </c>
      <c r="AH428" s="1104" t="s">
        <v>1942</v>
      </c>
      <c r="AI428" s="1105">
        <f t="shared" si="6"/>
        <v>1</v>
      </c>
      <c r="AJ428" s="1106" t="s">
        <v>1030</v>
      </c>
      <c r="AK428" s="1106" t="s">
        <v>1018</v>
      </c>
      <c r="AL428" s="1106" t="s">
        <v>1019</v>
      </c>
      <c r="AM428" s="1107" t="s">
        <v>1967</v>
      </c>
      <c r="AN428" s="1018" t="s">
        <v>1062</v>
      </c>
      <c r="AO428" s="1018" t="s">
        <v>3365</v>
      </c>
      <c r="AP428" s="1274">
        <v>0</v>
      </c>
      <c r="AQ428" s="1076" t="s">
        <v>1010</v>
      </c>
      <c r="AR428" s="1109" t="s">
        <v>1942</v>
      </c>
      <c r="AS428" s="1110"/>
      <c r="AT428" s="1100"/>
      <c r="AU428" s="1100"/>
      <c r="AV428" s="1100"/>
      <c r="AW428" s="1111"/>
      <c r="AX428" s="1112"/>
      <c r="AY428" s="1075"/>
      <c r="AZ428" s="1076"/>
      <c r="BA428" s="1076"/>
      <c r="BB428" s="1076"/>
      <c r="BC428" s="1076"/>
      <c r="BD428" s="1076"/>
      <c r="BE428" s="1076"/>
      <c r="BF428" s="1076"/>
      <c r="BG428" s="1076"/>
      <c r="BH428" s="1076"/>
      <c r="BI428" s="1420"/>
      <c r="BJ428" s="1368"/>
      <c r="BK428" s="1368"/>
      <c r="BL428" s="1368"/>
      <c r="BM428" s="1368"/>
      <c r="BN428" s="1075"/>
      <c r="BO428" s="1076"/>
      <c r="BP428" s="1076"/>
      <c r="BQ428" s="1076"/>
      <c r="BR428" s="1076"/>
      <c r="BS428" s="1115"/>
      <c r="BT428" s="1076"/>
      <c r="BU428" s="1076"/>
      <c r="BV428" s="1076"/>
      <c r="BW428" s="1116"/>
      <c r="BX428" s="1115"/>
      <c r="BY428" s="1076"/>
      <c r="BZ428" s="1076"/>
      <c r="CA428" s="1076"/>
      <c r="CB428" s="1116"/>
      <c r="CC428" s="1117"/>
      <c r="CD428" s="1376"/>
      <c r="CE428" s="1377"/>
      <c r="CF428" s="1377"/>
      <c r="CG428" s="1377"/>
      <c r="CH428" s="1440"/>
      <c r="CI428" s="1420"/>
      <c r="CJ428" s="1368"/>
      <c r="CK428" s="1368"/>
      <c r="CL428" s="1368"/>
      <c r="CM428" s="1369"/>
      <c r="CN428" s="1420"/>
      <c r="CO428" s="1368"/>
      <c r="CP428" s="1368"/>
      <c r="CQ428" s="1368"/>
      <c r="CR428" s="1369"/>
      <c r="CS428" s="1420"/>
      <c r="CT428" s="1368"/>
      <c r="CU428" s="1368"/>
      <c r="CV428" s="1368"/>
      <c r="CW428" s="1369"/>
      <c r="CX428" s="1420"/>
      <c r="CY428" s="1368"/>
      <c r="CZ428" s="1368"/>
      <c r="DA428" s="1368"/>
      <c r="DB428" s="1369"/>
      <c r="DC428" s="1368"/>
      <c r="DD428" s="1368"/>
      <c r="DE428" s="1368"/>
      <c r="DF428" s="1368"/>
      <c r="DG428" s="1369"/>
      <c r="DH428" s="1420"/>
      <c r="DI428" s="1368"/>
      <c r="DJ428" s="1368"/>
      <c r="DK428" s="1368"/>
      <c r="DL428" s="1369"/>
      <c r="DM428" s="1808"/>
      <c r="DN428" s="1809"/>
      <c r="DO428" s="1809"/>
      <c r="DP428" s="1810"/>
      <c r="DQ428" s="1809"/>
      <c r="DR428" s="1809"/>
      <c r="DS428" s="1809"/>
      <c r="DT428" s="1810"/>
      <c r="DU428" s="1377"/>
      <c r="DV428" s="1729"/>
      <c r="DW428" s="1811"/>
    </row>
    <row r="429" spans="1:127" s="397" customFormat="1" ht="15.75" hidden="1" customHeight="1">
      <c r="A429" s="1097" t="s">
        <v>1041</v>
      </c>
      <c r="B429" s="1057">
        <v>420</v>
      </c>
      <c r="C429" s="1018"/>
      <c r="D429" s="1018"/>
      <c r="E429" s="1018"/>
      <c r="F429" s="1018"/>
      <c r="G429" s="1018"/>
      <c r="H429" s="1018"/>
      <c r="I429" s="1018"/>
      <c r="J429" s="1018"/>
      <c r="K429" s="1018"/>
      <c r="L429" s="1018"/>
      <c r="M429" s="1057"/>
      <c r="N429" s="1018"/>
      <c r="O429" s="1018"/>
      <c r="P429" s="1018"/>
      <c r="Q429" s="1018"/>
      <c r="R429" s="1018"/>
      <c r="S429" s="1018"/>
      <c r="T429" s="1019"/>
      <c r="U429" s="1098" t="s">
        <v>3721</v>
      </c>
      <c r="V429" s="1099" t="s">
        <v>3701</v>
      </c>
      <c r="W429" s="1099" t="s">
        <v>1907</v>
      </c>
      <c r="X429" s="1100" t="s">
        <v>3722</v>
      </c>
      <c r="Y429" s="1101" t="s">
        <v>3723</v>
      </c>
      <c r="Z429" s="1102" t="s">
        <v>3724</v>
      </c>
      <c r="AA429" s="1103">
        <v>0.15</v>
      </c>
      <c r="AB429" s="1104" t="s">
        <v>1942</v>
      </c>
      <c r="AC429" s="1104">
        <v>0.85</v>
      </c>
      <c r="AD429" s="1104" t="s">
        <v>1942</v>
      </c>
      <c r="AE429" s="1104" t="s">
        <v>1942</v>
      </c>
      <c r="AF429" s="1104" t="s">
        <v>1942</v>
      </c>
      <c r="AG429" s="1104" t="s">
        <v>1942</v>
      </c>
      <c r="AH429" s="1104" t="s">
        <v>1942</v>
      </c>
      <c r="AI429" s="1105">
        <f t="shared" si="6"/>
        <v>1</v>
      </c>
      <c r="AJ429" s="1106" t="s">
        <v>1026</v>
      </c>
      <c r="AK429" s="1106" t="s">
        <v>1008</v>
      </c>
      <c r="AL429" s="1106" t="s">
        <v>1009</v>
      </c>
      <c r="AM429" s="1107" t="s">
        <v>2106</v>
      </c>
      <c r="AN429" s="1018" t="s">
        <v>4865</v>
      </c>
      <c r="AO429" s="1018" t="s">
        <v>396</v>
      </c>
      <c r="AP429" s="1274">
        <v>0</v>
      </c>
      <c r="AQ429" s="1076" t="s">
        <v>1010</v>
      </c>
      <c r="AR429" s="1109" t="s">
        <v>1942</v>
      </c>
      <c r="AS429" s="1110"/>
      <c r="AT429" s="1100"/>
      <c r="AU429" s="1100"/>
      <c r="AV429" s="1100"/>
      <c r="AW429" s="1111"/>
      <c r="AX429" s="1112"/>
      <c r="AY429" s="1075"/>
      <c r="AZ429" s="1076"/>
      <c r="BA429" s="1076"/>
      <c r="BB429" s="1076"/>
      <c r="BC429" s="1076"/>
      <c r="BD429" s="1076"/>
      <c r="BE429" s="1076"/>
      <c r="BF429" s="1076"/>
      <c r="BG429" s="1076"/>
      <c r="BH429" s="1076"/>
      <c r="BI429" s="1420"/>
      <c r="BJ429" s="1368"/>
      <c r="BK429" s="1368"/>
      <c r="BL429" s="1368"/>
      <c r="BM429" s="1368"/>
      <c r="BN429" s="1075"/>
      <c r="BO429" s="1076"/>
      <c r="BP429" s="1076"/>
      <c r="BQ429" s="1076"/>
      <c r="BR429" s="1076"/>
      <c r="BS429" s="1115"/>
      <c r="BT429" s="1076"/>
      <c r="BU429" s="1076"/>
      <c r="BV429" s="1076"/>
      <c r="BW429" s="1116"/>
      <c r="BX429" s="1115"/>
      <c r="BY429" s="1076"/>
      <c r="BZ429" s="1076"/>
      <c r="CA429" s="1076"/>
      <c r="CB429" s="1116"/>
      <c r="CC429" s="1117"/>
      <c r="CD429" s="1376"/>
      <c r="CE429" s="1377"/>
      <c r="CF429" s="1377"/>
      <c r="CG429" s="1377"/>
      <c r="CH429" s="1440"/>
      <c r="CI429" s="1420"/>
      <c r="CJ429" s="1368"/>
      <c r="CK429" s="1368"/>
      <c r="CL429" s="1368"/>
      <c r="CM429" s="1369"/>
      <c r="CN429" s="1420"/>
      <c r="CO429" s="1368"/>
      <c r="CP429" s="1368"/>
      <c r="CQ429" s="1368"/>
      <c r="CR429" s="1369"/>
      <c r="CS429" s="1420"/>
      <c r="CT429" s="1368"/>
      <c r="CU429" s="1368"/>
      <c r="CV429" s="1368"/>
      <c r="CW429" s="1369"/>
      <c r="CX429" s="1420"/>
      <c r="CY429" s="1368"/>
      <c r="CZ429" s="1368"/>
      <c r="DA429" s="1368"/>
      <c r="DB429" s="1369"/>
      <c r="DC429" s="1368"/>
      <c r="DD429" s="1368"/>
      <c r="DE429" s="1368"/>
      <c r="DF429" s="1368"/>
      <c r="DG429" s="1369"/>
      <c r="DH429" s="1420"/>
      <c r="DI429" s="1368"/>
      <c r="DJ429" s="1368"/>
      <c r="DK429" s="1368"/>
      <c r="DL429" s="1369"/>
      <c r="DM429" s="1808"/>
      <c r="DN429" s="1809"/>
      <c r="DO429" s="1809"/>
      <c r="DP429" s="1810"/>
      <c r="DQ429" s="1809"/>
      <c r="DR429" s="1809"/>
      <c r="DS429" s="1809"/>
      <c r="DT429" s="1810"/>
      <c r="DU429" s="1377"/>
      <c r="DV429" s="1729"/>
      <c r="DW429" s="1811"/>
    </row>
    <row r="430" spans="1:127" s="397" customFormat="1" ht="15.75" hidden="1" customHeight="1">
      <c r="A430" s="1097" t="s">
        <v>1041</v>
      </c>
      <c r="B430" s="1057">
        <v>421</v>
      </c>
      <c r="C430" s="1018"/>
      <c r="D430" s="1018"/>
      <c r="E430" s="1018"/>
      <c r="F430" s="1018"/>
      <c r="G430" s="1018"/>
      <c r="H430" s="1018"/>
      <c r="I430" s="1018"/>
      <c r="J430" s="1018"/>
      <c r="K430" s="1018"/>
      <c r="L430" s="1018"/>
      <c r="M430" s="1057"/>
      <c r="N430" s="1018"/>
      <c r="O430" s="1018"/>
      <c r="P430" s="1018"/>
      <c r="Q430" s="1018"/>
      <c r="R430" s="1018"/>
      <c r="S430" s="1018"/>
      <c r="T430" s="1019"/>
      <c r="U430" s="1098" t="s">
        <v>3725</v>
      </c>
      <c r="V430" s="1099" t="s">
        <v>3726</v>
      </c>
      <c r="W430" s="1099" t="s">
        <v>1896</v>
      </c>
      <c r="X430" s="1100" t="s">
        <v>3727</v>
      </c>
      <c r="Y430" s="1101" t="s">
        <v>3728</v>
      </c>
      <c r="Z430" s="1102" t="s">
        <v>3729</v>
      </c>
      <c r="AA430" s="1103" t="s">
        <v>1942</v>
      </c>
      <c r="AB430" s="1104" t="s">
        <v>1942</v>
      </c>
      <c r="AC430" s="1104">
        <v>1</v>
      </c>
      <c r="AD430" s="1104" t="s">
        <v>1942</v>
      </c>
      <c r="AE430" s="1104" t="s">
        <v>1942</v>
      </c>
      <c r="AF430" s="1104" t="s">
        <v>1942</v>
      </c>
      <c r="AG430" s="1104" t="s">
        <v>1942</v>
      </c>
      <c r="AH430" s="1104" t="s">
        <v>1942</v>
      </c>
      <c r="AI430" s="1105">
        <f t="shared" si="6"/>
        <v>1</v>
      </c>
      <c r="AJ430" s="1106" t="s">
        <v>1030</v>
      </c>
      <c r="AK430" s="1106" t="s">
        <v>1018</v>
      </c>
      <c r="AL430" s="1106" t="s">
        <v>1019</v>
      </c>
      <c r="AM430" s="1107" t="s">
        <v>2106</v>
      </c>
      <c r="AN430" s="1018" t="s">
        <v>4865</v>
      </c>
      <c r="AO430" s="1018" t="s">
        <v>396</v>
      </c>
      <c r="AP430" s="1274">
        <v>0</v>
      </c>
      <c r="AQ430" s="1076" t="s">
        <v>1010</v>
      </c>
      <c r="AR430" s="1109" t="s">
        <v>1942</v>
      </c>
      <c r="AS430" s="1110"/>
      <c r="AT430" s="1100"/>
      <c r="AU430" s="1100"/>
      <c r="AV430" s="1100"/>
      <c r="AW430" s="1111"/>
      <c r="AX430" s="1112"/>
      <c r="AY430" s="1075"/>
      <c r="AZ430" s="1076"/>
      <c r="BA430" s="1076"/>
      <c r="BB430" s="1076"/>
      <c r="BC430" s="1076"/>
      <c r="BD430" s="1076"/>
      <c r="BE430" s="1076"/>
      <c r="BF430" s="1076"/>
      <c r="BG430" s="1076"/>
      <c r="BH430" s="1076"/>
      <c r="BI430" s="1420"/>
      <c r="BJ430" s="1368"/>
      <c r="BK430" s="1368"/>
      <c r="BL430" s="1368"/>
      <c r="BM430" s="1368"/>
      <c r="BN430" s="1075"/>
      <c r="BO430" s="1076"/>
      <c r="BP430" s="1076"/>
      <c r="BQ430" s="1076"/>
      <c r="BR430" s="1076"/>
      <c r="BS430" s="1115"/>
      <c r="BT430" s="1076"/>
      <c r="BU430" s="1076"/>
      <c r="BV430" s="1076"/>
      <c r="BW430" s="1116"/>
      <c r="BX430" s="1115"/>
      <c r="BY430" s="1076"/>
      <c r="BZ430" s="1076"/>
      <c r="CA430" s="1076"/>
      <c r="CB430" s="1116"/>
      <c r="CC430" s="1117"/>
      <c r="CD430" s="1376"/>
      <c r="CE430" s="1377"/>
      <c r="CF430" s="1377"/>
      <c r="CG430" s="1377"/>
      <c r="CH430" s="1440"/>
      <c r="CI430" s="1420"/>
      <c r="CJ430" s="1368"/>
      <c r="CK430" s="1368"/>
      <c r="CL430" s="1368"/>
      <c r="CM430" s="1369"/>
      <c r="CN430" s="1420"/>
      <c r="CO430" s="1368"/>
      <c r="CP430" s="1368"/>
      <c r="CQ430" s="1368"/>
      <c r="CR430" s="1369"/>
      <c r="CS430" s="1420"/>
      <c r="CT430" s="1368"/>
      <c r="CU430" s="1368"/>
      <c r="CV430" s="1368"/>
      <c r="CW430" s="1369"/>
      <c r="CX430" s="1420"/>
      <c r="CY430" s="1368"/>
      <c r="CZ430" s="1368"/>
      <c r="DA430" s="1368"/>
      <c r="DB430" s="1369"/>
      <c r="DC430" s="1368"/>
      <c r="DD430" s="1368"/>
      <c r="DE430" s="1368"/>
      <c r="DF430" s="1368"/>
      <c r="DG430" s="1369"/>
      <c r="DH430" s="1420"/>
      <c r="DI430" s="1368"/>
      <c r="DJ430" s="1368"/>
      <c r="DK430" s="1368"/>
      <c r="DL430" s="1369"/>
      <c r="DM430" s="1808"/>
      <c r="DN430" s="1809"/>
      <c r="DO430" s="1809"/>
      <c r="DP430" s="1810"/>
      <c r="DQ430" s="1809"/>
      <c r="DR430" s="1809"/>
      <c r="DS430" s="1809"/>
      <c r="DT430" s="1810"/>
      <c r="DU430" s="1377"/>
      <c r="DV430" s="1729"/>
      <c r="DW430" s="1811"/>
    </row>
    <row r="431" spans="1:127" s="397" customFormat="1" ht="15.75" hidden="1" customHeight="1">
      <c r="A431" s="1097" t="s">
        <v>1041</v>
      </c>
      <c r="B431" s="1057">
        <v>422</v>
      </c>
      <c r="C431" s="1018"/>
      <c r="D431" s="1018"/>
      <c r="E431" s="1018"/>
      <c r="F431" s="1018"/>
      <c r="G431" s="1018"/>
      <c r="H431" s="1018"/>
      <c r="I431" s="1018"/>
      <c r="J431" s="1018"/>
      <c r="K431" s="1018"/>
      <c r="L431" s="1018"/>
      <c r="M431" s="1057"/>
      <c r="N431" s="1018"/>
      <c r="O431" s="1018"/>
      <c r="P431" s="1018"/>
      <c r="Q431" s="1018"/>
      <c r="R431" s="1018"/>
      <c r="S431" s="1018"/>
      <c r="T431" s="1019"/>
      <c r="U431" s="1098" t="s">
        <v>3730</v>
      </c>
      <c r="V431" s="1099" t="s">
        <v>3726</v>
      </c>
      <c r="W431" s="1099" t="s">
        <v>1907</v>
      </c>
      <c r="X431" s="1100" t="s">
        <v>3731</v>
      </c>
      <c r="Y431" s="1101" t="s">
        <v>2891</v>
      </c>
      <c r="Z431" s="1102" t="s">
        <v>3732</v>
      </c>
      <c r="AA431" s="1103">
        <v>1</v>
      </c>
      <c r="AB431" s="1104" t="s">
        <v>1942</v>
      </c>
      <c r="AC431" s="1104" t="s">
        <v>1942</v>
      </c>
      <c r="AD431" s="1104" t="s">
        <v>1942</v>
      </c>
      <c r="AE431" s="1104" t="s">
        <v>1942</v>
      </c>
      <c r="AF431" s="1104" t="s">
        <v>1942</v>
      </c>
      <c r="AG431" s="1104" t="s">
        <v>1942</v>
      </c>
      <c r="AH431" s="1104" t="s">
        <v>1942</v>
      </c>
      <c r="AI431" s="1105">
        <f t="shared" si="6"/>
        <v>1</v>
      </c>
      <c r="AJ431" s="1106" t="s">
        <v>1030</v>
      </c>
      <c r="AK431" s="1106" t="s">
        <v>1008</v>
      </c>
      <c r="AL431" s="1106" t="s">
        <v>1009</v>
      </c>
      <c r="AM431" s="1107" t="s">
        <v>1979</v>
      </c>
      <c r="AN431" s="1018" t="s">
        <v>4865</v>
      </c>
      <c r="AO431" s="1018" t="s">
        <v>3733</v>
      </c>
      <c r="AP431" s="1274">
        <v>0</v>
      </c>
      <c r="AQ431" s="1076" t="s">
        <v>1010</v>
      </c>
      <c r="AR431" s="1109" t="s">
        <v>1942</v>
      </c>
      <c r="AS431" s="1110"/>
      <c r="AT431" s="1100"/>
      <c r="AU431" s="1100"/>
      <c r="AV431" s="1100"/>
      <c r="AW431" s="1111"/>
      <c r="AX431" s="1112"/>
      <c r="AY431" s="1075"/>
      <c r="AZ431" s="1076"/>
      <c r="BA431" s="1076"/>
      <c r="BB431" s="1076"/>
      <c r="BC431" s="1076"/>
      <c r="BD431" s="1076"/>
      <c r="BE431" s="1076"/>
      <c r="BF431" s="1076"/>
      <c r="BG431" s="1076"/>
      <c r="BH431" s="1076"/>
      <c r="BI431" s="1420"/>
      <c r="BJ431" s="1368"/>
      <c r="BK431" s="1368"/>
      <c r="BL431" s="1368"/>
      <c r="BM431" s="1368"/>
      <c r="BN431" s="1075"/>
      <c r="BO431" s="1076"/>
      <c r="BP431" s="1076"/>
      <c r="BQ431" s="1076"/>
      <c r="BR431" s="1076"/>
      <c r="BS431" s="1115"/>
      <c r="BT431" s="1076"/>
      <c r="BU431" s="1076"/>
      <c r="BV431" s="1076"/>
      <c r="BW431" s="1116"/>
      <c r="BX431" s="1115"/>
      <c r="BY431" s="1076"/>
      <c r="BZ431" s="1076"/>
      <c r="CA431" s="1076"/>
      <c r="CB431" s="1116"/>
      <c r="CC431" s="1117"/>
      <c r="CD431" s="1376"/>
      <c r="CE431" s="1377"/>
      <c r="CF431" s="1377"/>
      <c r="CG431" s="1377"/>
      <c r="CH431" s="1440"/>
      <c r="CI431" s="1420"/>
      <c r="CJ431" s="1368"/>
      <c r="CK431" s="1368"/>
      <c r="CL431" s="1368"/>
      <c r="CM431" s="1369"/>
      <c r="CN431" s="1420"/>
      <c r="CO431" s="1368"/>
      <c r="CP431" s="1368"/>
      <c r="CQ431" s="1368"/>
      <c r="CR431" s="1369"/>
      <c r="CS431" s="1420"/>
      <c r="CT431" s="1368"/>
      <c r="CU431" s="1368"/>
      <c r="CV431" s="1368"/>
      <c r="CW431" s="1369"/>
      <c r="CX431" s="1420"/>
      <c r="CY431" s="1368"/>
      <c r="CZ431" s="1368"/>
      <c r="DA431" s="1368"/>
      <c r="DB431" s="1369"/>
      <c r="DC431" s="1368"/>
      <c r="DD431" s="1368"/>
      <c r="DE431" s="1368"/>
      <c r="DF431" s="1368"/>
      <c r="DG431" s="1369"/>
      <c r="DH431" s="1420"/>
      <c r="DI431" s="1368"/>
      <c r="DJ431" s="1368"/>
      <c r="DK431" s="1368"/>
      <c r="DL431" s="1369"/>
      <c r="DM431" s="1808"/>
      <c r="DN431" s="1809"/>
      <c r="DO431" s="1809"/>
      <c r="DP431" s="1810"/>
      <c r="DQ431" s="1809"/>
      <c r="DR431" s="1809"/>
      <c r="DS431" s="1809"/>
      <c r="DT431" s="1810"/>
      <c r="DU431" s="1377"/>
      <c r="DV431" s="1729"/>
      <c r="DW431" s="1811"/>
    </row>
    <row r="432" spans="1:127" s="397" customFormat="1" ht="15.75" hidden="1" customHeight="1">
      <c r="A432" s="1097" t="s">
        <v>1041</v>
      </c>
      <c r="B432" s="1057">
        <v>423</v>
      </c>
      <c r="C432" s="1018"/>
      <c r="D432" s="1018"/>
      <c r="E432" s="1018"/>
      <c r="F432" s="1018"/>
      <c r="G432" s="1018"/>
      <c r="H432" s="1018"/>
      <c r="I432" s="1018"/>
      <c r="J432" s="1018"/>
      <c r="K432" s="1018"/>
      <c r="L432" s="1018"/>
      <c r="M432" s="1057"/>
      <c r="N432" s="1018"/>
      <c r="O432" s="1018"/>
      <c r="P432" s="1018"/>
      <c r="Q432" s="1018"/>
      <c r="R432" s="1018"/>
      <c r="S432" s="1018"/>
      <c r="T432" s="1019"/>
      <c r="U432" s="1098" t="s">
        <v>3734</v>
      </c>
      <c r="V432" s="1099" t="s">
        <v>3735</v>
      </c>
      <c r="W432" s="1099" t="s">
        <v>1907</v>
      </c>
      <c r="X432" s="1100" t="s">
        <v>3736</v>
      </c>
      <c r="Y432" s="1101" t="s">
        <v>4868</v>
      </c>
      <c r="Z432" s="1102" t="s">
        <v>3738</v>
      </c>
      <c r="AA432" s="1103" t="s">
        <v>1942</v>
      </c>
      <c r="AB432" s="1104" t="s">
        <v>1942</v>
      </c>
      <c r="AC432" s="1104" t="s">
        <v>1942</v>
      </c>
      <c r="AD432" s="1104" t="s">
        <v>1942</v>
      </c>
      <c r="AE432" s="1104">
        <v>1</v>
      </c>
      <c r="AF432" s="1104" t="s">
        <v>1942</v>
      </c>
      <c r="AG432" s="1104" t="s">
        <v>1942</v>
      </c>
      <c r="AH432" s="1104" t="s">
        <v>1942</v>
      </c>
      <c r="AI432" s="1105">
        <f t="shared" si="6"/>
        <v>1</v>
      </c>
      <c r="AJ432" s="1106" t="s">
        <v>1007</v>
      </c>
      <c r="AK432" s="1106" t="s">
        <v>1942</v>
      </c>
      <c r="AL432" s="1106" t="s">
        <v>1942</v>
      </c>
      <c r="AM432" s="1107" t="s">
        <v>1961</v>
      </c>
      <c r="AN432" s="1018" t="s">
        <v>4865</v>
      </c>
      <c r="AO432" s="1018" t="s">
        <v>396</v>
      </c>
      <c r="AP432" s="1307">
        <v>0</v>
      </c>
      <c r="AQ432" s="1076" t="s">
        <v>1010</v>
      </c>
      <c r="AR432" s="1109" t="s">
        <v>1942</v>
      </c>
      <c r="AS432" s="1110"/>
      <c r="AT432" s="1100"/>
      <c r="AU432" s="1100"/>
      <c r="AV432" s="1100"/>
      <c r="AW432" s="1111"/>
      <c r="AX432" s="1112"/>
      <c r="AY432" s="1075"/>
      <c r="AZ432" s="1076"/>
      <c r="BA432" s="1076"/>
      <c r="BB432" s="1076"/>
      <c r="BC432" s="1076"/>
      <c r="BD432" s="1076"/>
      <c r="BE432" s="1076"/>
      <c r="BF432" s="1076"/>
      <c r="BG432" s="1076"/>
      <c r="BH432" s="1076"/>
      <c r="BI432" s="1420"/>
      <c r="BJ432" s="1368"/>
      <c r="BK432" s="1368"/>
      <c r="BL432" s="1368"/>
      <c r="BM432" s="1368"/>
      <c r="BN432" s="1075"/>
      <c r="BO432" s="1076"/>
      <c r="BP432" s="1076"/>
      <c r="BQ432" s="1076"/>
      <c r="BR432" s="1076"/>
      <c r="BS432" s="1115"/>
      <c r="BT432" s="1076"/>
      <c r="BU432" s="1076"/>
      <c r="BV432" s="1076"/>
      <c r="BW432" s="1116"/>
      <c r="BX432" s="1115"/>
      <c r="BY432" s="1076"/>
      <c r="BZ432" s="1076"/>
      <c r="CA432" s="1076"/>
      <c r="CB432" s="1116"/>
      <c r="CC432" s="1117"/>
      <c r="CD432" s="1376"/>
      <c r="CE432" s="1377"/>
      <c r="CF432" s="1377"/>
      <c r="CG432" s="1377"/>
      <c r="CH432" s="1440"/>
      <c r="CI432" s="1420"/>
      <c r="CJ432" s="1368"/>
      <c r="CK432" s="1368"/>
      <c r="CL432" s="1368"/>
      <c r="CM432" s="1369"/>
      <c r="CN432" s="1420"/>
      <c r="CO432" s="1368"/>
      <c r="CP432" s="1368"/>
      <c r="CQ432" s="1368"/>
      <c r="CR432" s="1369"/>
      <c r="CS432" s="1420"/>
      <c r="CT432" s="1368"/>
      <c r="CU432" s="1368"/>
      <c r="CV432" s="1368"/>
      <c r="CW432" s="1369"/>
      <c r="CX432" s="1420"/>
      <c r="CY432" s="1368"/>
      <c r="CZ432" s="1368"/>
      <c r="DA432" s="1368"/>
      <c r="DB432" s="1369"/>
      <c r="DC432" s="1368"/>
      <c r="DD432" s="1368"/>
      <c r="DE432" s="1368"/>
      <c r="DF432" s="1368"/>
      <c r="DG432" s="1369"/>
      <c r="DH432" s="1420"/>
      <c r="DI432" s="1368"/>
      <c r="DJ432" s="1368"/>
      <c r="DK432" s="1368"/>
      <c r="DL432" s="1369"/>
      <c r="DM432" s="1808"/>
      <c r="DN432" s="1809"/>
      <c r="DO432" s="1809"/>
      <c r="DP432" s="1810"/>
      <c r="DQ432" s="1809"/>
      <c r="DR432" s="1809"/>
      <c r="DS432" s="1809"/>
      <c r="DT432" s="1810"/>
      <c r="DU432" s="1377"/>
      <c r="DV432" s="1729"/>
      <c r="DW432" s="1811"/>
    </row>
    <row r="433" spans="1:127" s="397" customFormat="1" ht="15.75" hidden="1" customHeight="1">
      <c r="A433" s="1097" t="s">
        <v>1041</v>
      </c>
      <c r="B433" s="1057">
        <v>424</v>
      </c>
      <c r="C433" s="1018"/>
      <c r="D433" s="1018"/>
      <c r="E433" s="1018"/>
      <c r="F433" s="1018"/>
      <c r="G433" s="1018"/>
      <c r="H433" s="1018"/>
      <c r="I433" s="1018"/>
      <c r="J433" s="1018"/>
      <c r="K433" s="1018"/>
      <c r="L433" s="1018"/>
      <c r="M433" s="1057"/>
      <c r="N433" s="1018"/>
      <c r="O433" s="1018"/>
      <c r="P433" s="1018"/>
      <c r="Q433" s="1018"/>
      <c r="R433" s="1018"/>
      <c r="S433" s="1018"/>
      <c r="T433" s="1019"/>
      <c r="U433" s="1098" t="s">
        <v>3739</v>
      </c>
      <c r="V433" s="1099" t="s">
        <v>3735</v>
      </c>
      <c r="W433" s="1099" t="s">
        <v>1889</v>
      </c>
      <c r="X433" s="1100" t="s">
        <v>3740</v>
      </c>
      <c r="Y433" s="1101" t="s">
        <v>3741</v>
      </c>
      <c r="Z433" s="1102" t="s">
        <v>3742</v>
      </c>
      <c r="AA433" s="1103" t="s">
        <v>1942</v>
      </c>
      <c r="AB433" s="1104" t="s">
        <v>1942</v>
      </c>
      <c r="AC433" s="1104" t="s">
        <v>1942</v>
      </c>
      <c r="AD433" s="1104" t="s">
        <v>1942</v>
      </c>
      <c r="AE433" s="1104">
        <v>1</v>
      </c>
      <c r="AF433" s="1104" t="s">
        <v>1942</v>
      </c>
      <c r="AG433" s="1104" t="s">
        <v>1942</v>
      </c>
      <c r="AH433" s="1104" t="s">
        <v>1942</v>
      </c>
      <c r="AI433" s="1105">
        <f t="shared" si="6"/>
        <v>1</v>
      </c>
      <c r="AJ433" s="1106" t="s">
        <v>1007</v>
      </c>
      <c r="AK433" s="1106" t="s">
        <v>1942</v>
      </c>
      <c r="AL433" s="1106" t="s">
        <v>1942</v>
      </c>
      <c r="AM433" s="1107" t="s">
        <v>2117</v>
      </c>
      <c r="AN433" s="1018" t="s">
        <v>4865</v>
      </c>
      <c r="AO433" s="1018" t="s">
        <v>396</v>
      </c>
      <c r="AP433" s="1274">
        <v>0</v>
      </c>
      <c r="AQ433" s="1076" t="s">
        <v>1010</v>
      </c>
      <c r="AR433" s="1109" t="s">
        <v>1942</v>
      </c>
      <c r="AS433" s="1110"/>
      <c r="AT433" s="1100"/>
      <c r="AU433" s="1100"/>
      <c r="AV433" s="1100"/>
      <c r="AW433" s="1111"/>
      <c r="AX433" s="1112"/>
      <c r="AY433" s="1075"/>
      <c r="AZ433" s="1076"/>
      <c r="BA433" s="1076"/>
      <c r="BB433" s="1076"/>
      <c r="BC433" s="1076"/>
      <c r="BD433" s="1076"/>
      <c r="BE433" s="1076"/>
      <c r="BF433" s="1076"/>
      <c r="BG433" s="1076"/>
      <c r="BH433" s="1076"/>
      <c r="BI433" s="1420"/>
      <c r="BJ433" s="1368"/>
      <c r="BK433" s="1368"/>
      <c r="BL433" s="1368"/>
      <c r="BM433" s="1368"/>
      <c r="BN433" s="1075"/>
      <c r="BO433" s="1076"/>
      <c r="BP433" s="1076"/>
      <c r="BQ433" s="1076"/>
      <c r="BR433" s="1076"/>
      <c r="BS433" s="1115"/>
      <c r="BT433" s="1076"/>
      <c r="BU433" s="1076"/>
      <c r="BV433" s="1076"/>
      <c r="BW433" s="1116"/>
      <c r="BX433" s="1115"/>
      <c r="BY433" s="1076"/>
      <c r="BZ433" s="1076"/>
      <c r="CA433" s="1076"/>
      <c r="CB433" s="1116"/>
      <c r="CC433" s="1117"/>
      <c r="CD433" s="1376"/>
      <c r="CE433" s="1377"/>
      <c r="CF433" s="1377"/>
      <c r="CG433" s="1377"/>
      <c r="CH433" s="1440"/>
      <c r="CI433" s="1420"/>
      <c r="CJ433" s="1368"/>
      <c r="CK433" s="1368"/>
      <c r="CL433" s="1368"/>
      <c r="CM433" s="1369"/>
      <c r="CN433" s="1420"/>
      <c r="CO433" s="1368"/>
      <c r="CP433" s="1368"/>
      <c r="CQ433" s="1368"/>
      <c r="CR433" s="1369"/>
      <c r="CS433" s="1420"/>
      <c r="CT433" s="1368"/>
      <c r="CU433" s="1368"/>
      <c r="CV433" s="1368"/>
      <c r="CW433" s="1369"/>
      <c r="CX433" s="1420"/>
      <c r="CY433" s="1368"/>
      <c r="CZ433" s="1368"/>
      <c r="DA433" s="1368"/>
      <c r="DB433" s="1369"/>
      <c r="DC433" s="1368"/>
      <c r="DD433" s="1368"/>
      <c r="DE433" s="1368"/>
      <c r="DF433" s="1368"/>
      <c r="DG433" s="1369"/>
      <c r="DH433" s="1420"/>
      <c r="DI433" s="1368"/>
      <c r="DJ433" s="1368"/>
      <c r="DK433" s="1368"/>
      <c r="DL433" s="1369"/>
      <c r="DM433" s="1808"/>
      <c r="DN433" s="1809"/>
      <c r="DO433" s="1809"/>
      <c r="DP433" s="1810"/>
      <c r="DQ433" s="1809"/>
      <c r="DR433" s="1809"/>
      <c r="DS433" s="1809"/>
      <c r="DT433" s="1810"/>
      <c r="DU433" s="1377"/>
      <c r="DV433" s="1729"/>
      <c r="DW433" s="1811"/>
    </row>
    <row r="434" spans="1:127" s="397" customFormat="1" ht="15.75" hidden="1" customHeight="1">
      <c r="A434" s="1097" t="s">
        <v>1041</v>
      </c>
      <c r="B434" s="1057">
        <v>425</v>
      </c>
      <c r="C434" s="1018"/>
      <c r="D434" s="1018"/>
      <c r="E434" s="1018"/>
      <c r="F434" s="1018"/>
      <c r="G434" s="1018"/>
      <c r="H434" s="1018"/>
      <c r="I434" s="1018"/>
      <c r="J434" s="1018"/>
      <c r="K434" s="1018"/>
      <c r="L434" s="1018"/>
      <c r="M434" s="1057"/>
      <c r="N434" s="1018"/>
      <c r="O434" s="1018"/>
      <c r="P434" s="1018"/>
      <c r="Q434" s="1018"/>
      <c r="R434" s="1018"/>
      <c r="S434" s="1018"/>
      <c r="T434" s="1019"/>
      <c r="U434" s="1098" t="s">
        <v>3743</v>
      </c>
      <c r="V434" s="1099" t="s">
        <v>3735</v>
      </c>
      <c r="W434" s="1099" t="s">
        <v>1907</v>
      </c>
      <c r="X434" s="1100" t="s">
        <v>3744</v>
      </c>
      <c r="Y434" s="1101" t="s">
        <v>3745</v>
      </c>
      <c r="Z434" s="1102" t="s">
        <v>3746</v>
      </c>
      <c r="AA434" s="1103" t="s">
        <v>1942</v>
      </c>
      <c r="AB434" s="1104" t="s">
        <v>1942</v>
      </c>
      <c r="AC434" s="1104" t="s">
        <v>1942</v>
      </c>
      <c r="AD434" s="1104" t="s">
        <v>1942</v>
      </c>
      <c r="AE434" s="1104">
        <v>1</v>
      </c>
      <c r="AF434" s="1104" t="s">
        <v>1942</v>
      </c>
      <c r="AG434" s="1104" t="s">
        <v>1942</v>
      </c>
      <c r="AH434" s="1104" t="s">
        <v>1942</v>
      </c>
      <c r="AI434" s="1105">
        <f t="shared" si="6"/>
        <v>1</v>
      </c>
      <c r="AJ434" s="1106" t="s">
        <v>1007</v>
      </c>
      <c r="AK434" s="1106" t="s">
        <v>1942</v>
      </c>
      <c r="AL434" s="1106" t="s">
        <v>1942</v>
      </c>
      <c r="AM434" s="1107" t="s">
        <v>2117</v>
      </c>
      <c r="AN434" s="1018" t="s">
        <v>278</v>
      </c>
      <c r="AO434" s="1018" t="s">
        <v>1146</v>
      </c>
      <c r="AP434" s="1274">
        <v>2</v>
      </c>
      <c r="AQ434" s="1076" t="s">
        <v>1020</v>
      </c>
      <c r="AR434" s="1109" t="s">
        <v>1942</v>
      </c>
      <c r="AS434" s="1110"/>
      <c r="AT434" s="1100"/>
      <c r="AU434" s="1100"/>
      <c r="AV434" s="1100"/>
      <c r="AW434" s="1111"/>
      <c r="AX434" s="1112"/>
      <c r="AY434" s="1075"/>
      <c r="AZ434" s="1076"/>
      <c r="BA434" s="1076"/>
      <c r="BB434" s="1076"/>
      <c r="BC434" s="1076"/>
      <c r="BD434" s="1076"/>
      <c r="BE434" s="1076"/>
      <c r="BF434" s="1076"/>
      <c r="BG434" s="1076"/>
      <c r="BH434" s="1076"/>
      <c r="BI434" s="1420"/>
      <c r="BJ434" s="1368"/>
      <c r="BK434" s="1368"/>
      <c r="BL434" s="1368"/>
      <c r="BM434" s="1368"/>
      <c r="BN434" s="1075"/>
      <c r="BO434" s="1076"/>
      <c r="BP434" s="1076"/>
      <c r="BQ434" s="1076"/>
      <c r="BR434" s="1076"/>
      <c r="BS434" s="1115"/>
      <c r="BT434" s="1076"/>
      <c r="BU434" s="1076"/>
      <c r="BV434" s="1076"/>
      <c r="BW434" s="1116"/>
      <c r="BX434" s="1115"/>
      <c r="BY434" s="1076"/>
      <c r="BZ434" s="1076"/>
      <c r="CA434" s="1076"/>
      <c r="CB434" s="1116"/>
      <c r="CC434" s="1117"/>
      <c r="CD434" s="1376"/>
      <c r="CE434" s="1377"/>
      <c r="CF434" s="1377"/>
      <c r="CG434" s="1377"/>
      <c r="CH434" s="1440"/>
      <c r="CI434" s="1420"/>
      <c r="CJ434" s="1368"/>
      <c r="CK434" s="1368"/>
      <c r="CL434" s="1368"/>
      <c r="CM434" s="1369"/>
      <c r="CN434" s="1420"/>
      <c r="CO434" s="1368"/>
      <c r="CP434" s="1368"/>
      <c r="CQ434" s="1368"/>
      <c r="CR434" s="1369"/>
      <c r="CS434" s="1420"/>
      <c r="CT434" s="1368"/>
      <c r="CU434" s="1368"/>
      <c r="CV434" s="1368"/>
      <c r="CW434" s="1369"/>
      <c r="CX434" s="1420"/>
      <c r="CY434" s="1368"/>
      <c r="CZ434" s="1368"/>
      <c r="DA434" s="1368"/>
      <c r="DB434" s="1369"/>
      <c r="DC434" s="1368"/>
      <c r="DD434" s="1368"/>
      <c r="DE434" s="1368"/>
      <c r="DF434" s="1368"/>
      <c r="DG434" s="1369"/>
      <c r="DH434" s="1420"/>
      <c r="DI434" s="1368"/>
      <c r="DJ434" s="1368"/>
      <c r="DK434" s="1368"/>
      <c r="DL434" s="1369"/>
      <c r="DM434" s="1808"/>
      <c r="DN434" s="1809"/>
      <c r="DO434" s="1809"/>
      <c r="DP434" s="1810"/>
      <c r="DQ434" s="1809"/>
      <c r="DR434" s="1809"/>
      <c r="DS434" s="1809"/>
      <c r="DT434" s="1810"/>
      <c r="DU434" s="1377"/>
      <c r="DV434" s="1729"/>
      <c r="DW434" s="1811"/>
    </row>
    <row r="435" spans="1:127" s="397" customFormat="1" ht="15.75" hidden="1" customHeight="1">
      <c r="A435" s="1097" t="s">
        <v>1041</v>
      </c>
      <c r="B435" s="1057">
        <v>426</v>
      </c>
      <c r="C435" s="1018"/>
      <c r="D435" s="1018"/>
      <c r="E435" s="1018"/>
      <c r="F435" s="1018"/>
      <c r="G435" s="1018"/>
      <c r="H435" s="1018"/>
      <c r="I435" s="1018"/>
      <c r="J435" s="1018"/>
      <c r="K435" s="1018"/>
      <c r="L435" s="1018"/>
      <c r="M435" s="1057"/>
      <c r="N435" s="1018"/>
      <c r="O435" s="1018"/>
      <c r="P435" s="1018"/>
      <c r="Q435" s="1018"/>
      <c r="R435" s="1018"/>
      <c r="S435" s="1018"/>
      <c r="T435" s="1019"/>
      <c r="U435" s="1098" t="s">
        <v>3747</v>
      </c>
      <c r="V435" s="1099" t="s">
        <v>3735</v>
      </c>
      <c r="W435" s="1099" t="s">
        <v>1907</v>
      </c>
      <c r="X435" s="1100" t="s">
        <v>3748</v>
      </c>
      <c r="Y435" s="1101" t="s">
        <v>3749</v>
      </c>
      <c r="Z435" s="1102" t="s">
        <v>3750</v>
      </c>
      <c r="AA435" s="1103" t="s">
        <v>1942</v>
      </c>
      <c r="AB435" s="1104" t="s">
        <v>1942</v>
      </c>
      <c r="AC435" s="1104" t="s">
        <v>1942</v>
      </c>
      <c r="AD435" s="1104" t="s">
        <v>1942</v>
      </c>
      <c r="AE435" s="1104">
        <v>1</v>
      </c>
      <c r="AF435" s="1104" t="s">
        <v>1942</v>
      </c>
      <c r="AG435" s="1104" t="s">
        <v>1942</v>
      </c>
      <c r="AH435" s="1104" t="s">
        <v>1942</v>
      </c>
      <c r="AI435" s="1105">
        <f t="shared" si="6"/>
        <v>1</v>
      </c>
      <c r="AJ435" s="1106" t="s">
        <v>1007</v>
      </c>
      <c r="AK435" s="1106" t="s">
        <v>1942</v>
      </c>
      <c r="AL435" s="1106" t="s">
        <v>1942</v>
      </c>
      <c r="AM435" s="1107" t="s">
        <v>2117</v>
      </c>
      <c r="AN435" s="1018" t="s">
        <v>278</v>
      </c>
      <c r="AO435" s="1018" t="s">
        <v>1146</v>
      </c>
      <c r="AP435" s="1274">
        <v>1</v>
      </c>
      <c r="AQ435" s="1076" t="s">
        <v>1010</v>
      </c>
      <c r="AR435" s="1109" t="s">
        <v>1942</v>
      </c>
      <c r="AS435" s="1110"/>
      <c r="AT435" s="1100"/>
      <c r="AU435" s="1100"/>
      <c r="AV435" s="1100"/>
      <c r="AW435" s="1111"/>
      <c r="AX435" s="1112"/>
      <c r="AY435" s="1075"/>
      <c r="AZ435" s="1076"/>
      <c r="BA435" s="1076"/>
      <c r="BB435" s="1076"/>
      <c r="BC435" s="1076"/>
      <c r="BD435" s="1076"/>
      <c r="BE435" s="1076"/>
      <c r="BF435" s="1076"/>
      <c r="BG435" s="1076"/>
      <c r="BH435" s="1076"/>
      <c r="BI435" s="1420"/>
      <c r="BJ435" s="1368"/>
      <c r="BK435" s="1368"/>
      <c r="BL435" s="1368"/>
      <c r="BM435" s="1368"/>
      <c r="BN435" s="1075"/>
      <c r="BO435" s="1076"/>
      <c r="BP435" s="1076"/>
      <c r="BQ435" s="1076"/>
      <c r="BR435" s="1076"/>
      <c r="BS435" s="1115"/>
      <c r="BT435" s="1076"/>
      <c r="BU435" s="1076"/>
      <c r="BV435" s="1076"/>
      <c r="BW435" s="1116"/>
      <c r="BX435" s="1115"/>
      <c r="BY435" s="1076"/>
      <c r="BZ435" s="1076"/>
      <c r="CA435" s="1076"/>
      <c r="CB435" s="1116"/>
      <c r="CC435" s="1117"/>
      <c r="CD435" s="1376"/>
      <c r="CE435" s="1377"/>
      <c r="CF435" s="1377"/>
      <c r="CG435" s="1377"/>
      <c r="CH435" s="1440"/>
      <c r="CI435" s="1420"/>
      <c r="CJ435" s="1368"/>
      <c r="CK435" s="1368"/>
      <c r="CL435" s="1368"/>
      <c r="CM435" s="1369"/>
      <c r="CN435" s="1420"/>
      <c r="CO435" s="1368"/>
      <c r="CP435" s="1368"/>
      <c r="CQ435" s="1368"/>
      <c r="CR435" s="1369"/>
      <c r="CS435" s="1420"/>
      <c r="CT435" s="1368"/>
      <c r="CU435" s="1368"/>
      <c r="CV435" s="1368"/>
      <c r="CW435" s="1369"/>
      <c r="CX435" s="1420"/>
      <c r="CY435" s="1368"/>
      <c r="CZ435" s="1368"/>
      <c r="DA435" s="1368"/>
      <c r="DB435" s="1369"/>
      <c r="DC435" s="1368"/>
      <c r="DD435" s="1368"/>
      <c r="DE435" s="1368"/>
      <c r="DF435" s="1368"/>
      <c r="DG435" s="1369"/>
      <c r="DH435" s="1420"/>
      <c r="DI435" s="1368"/>
      <c r="DJ435" s="1368"/>
      <c r="DK435" s="1368"/>
      <c r="DL435" s="1369"/>
      <c r="DM435" s="1808"/>
      <c r="DN435" s="1809"/>
      <c r="DO435" s="1809"/>
      <c r="DP435" s="1810"/>
      <c r="DQ435" s="1809"/>
      <c r="DR435" s="1809"/>
      <c r="DS435" s="1809"/>
      <c r="DT435" s="1810"/>
      <c r="DU435" s="1377"/>
      <c r="DV435" s="1729"/>
      <c r="DW435" s="1811"/>
    </row>
    <row r="436" spans="1:127" s="397" customFormat="1" ht="15.75" hidden="1" customHeight="1">
      <c r="A436" s="1097" t="s">
        <v>1041</v>
      </c>
      <c r="B436" s="1057">
        <v>427</v>
      </c>
      <c r="C436" s="1018"/>
      <c r="D436" s="1018"/>
      <c r="E436" s="1018"/>
      <c r="F436" s="1018"/>
      <c r="G436" s="1018"/>
      <c r="H436" s="1018"/>
      <c r="I436" s="1018"/>
      <c r="J436" s="1018"/>
      <c r="K436" s="1018"/>
      <c r="L436" s="1018"/>
      <c r="M436" s="1057"/>
      <c r="N436" s="1018"/>
      <c r="O436" s="1018"/>
      <c r="P436" s="1018"/>
      <c r="Q436" s="1018"/>
      <c r="R436" s="1018"/>
      <c r="S436" s="1018"/>
      <c r="T436" s="1019"/>
      <c r="U436" s="1098" t="s">
        <v>3751</v>
      </c>
      <c r="V436" s="1099" t="s">
        <v>3579</v>
      </c>
      <c r="W436" s="1099" t="s">
        <v>1907</v>
      </c>
      <c r="X436" s="1100" t="s">
        <v>3752</v>
      </c>
      <c r="Y436" s="1101" t="s">
        <v>3753</v>
      </c>
      <c r="Z436" s="1102" t="s">
        <v>3754</v>
      </c>
      <c r="AA436" s="1103" t="s">
        <v>1942</v>
      </c>
      <c r="AB436" s="1104">
        <v>1</v>
      </c>
      <c r="AC436" s="1104" t="s">
        <v>1942</v>
      </c>
      <c r="AD436" s="1104" t="s">
        <v>1942</v>
      </c>
      <c r="AE436" s="1104" t="s">
        <v>1942</v>
      </c>
      <c r="AF436" s="1104" t="s">
        <v>1942</v>
      </c>
      <c r="AG436" s="1104" t="s">
        <v>1942</v>
      </c>
      <c r="AH436" s="1104" t="s">
        <v>1942</v>
      </c>
      <c r="AI436" s="1105">
        <f t="shared" si="6"/>
        <v>1</v>
      </c>
      <c r="AJ436" s="1106" t="s">
        <v>1026</v>
      </c>
      <c r="AK436" s="1106" t="s">
        <v>1008</v>
      </c>
      <c r="AL436" s="1106" t="s">
        <v>4861</v>
      </c>
      <c r="AM436" s="1107" t="s">
        <v>1926</v>
      </c>
      <c r="AN436" s="1018" t="s">
        <v>1072</v>
      </c>
      <c r="AO436" s="1018" t="s">
        <v>3754</v>
      </c>
      <c r="AP436" s="1274">
        <v>0</v>
      </c>
      <c r="AQ436" s="1076" t="s">
        <v>1072</v>
      </c>
      <c r="AR436" s="1109" t="s">
        <v>1942</v>
      </c>
      <c r="AS436" s="1110"/>
      <c r="AT436" s="1100"/>
      <c r="AU436" s="1100"/>
      <c r="AV436" s="1100"/>
      <c r="AW436" s="1111"/>
      <c r="AX436" s="1112"/>
      <c r="AY436" s="1075"/>
      <c r="AZ436" s="1076"/>
      <c r="BA436" s="1076"/>
      <c r="BB436" s="1076"/>
      <c r="BC436" s="1076"/>
      <c r="BD436" s="1076"/>
      <c r="BE436" s="1076"/>
      <c r="BF436" s="1076"/>
      <c r="BG436" s="1076"/>
      <c r="BH436" s="1076"/>
      <c r="BI436" s="1420"/>
      <c r="BJ436" s="1368"/>
      <c r="BK436" s="1368"/>
      <c r="BL436" s="1368"/>
      <c r="BM436" s="1368"/>
      <c r="BN436" s="1075"/>
      <c r="BO436" s="1076"/>
      <c r="BP436" s="1076"/>
      <c r="BQ436" s="1076"/>
      <c r="BR436" s="1076"/>
      <c r="BS436" s="1115"/>
      <c r="BT436" s="1076"/>
      <c r="BU436" s="1076"/>
      <c r="BV436" s="1076"/>
      <c r="BW436" s="1116"/>
      <c r="BX436" s="1115"/>
      <c r="BY436" s="1076"/>
      <c r="BZ436" s="1076"/>
      <c r="CA436" s="1076"/>
      <c r="CB436" s="1116"/>
      <c r="CC436" s="1117"/>
      <c r="CD436" s="1376"/>
      <c r="CE436" s="1377"/>
      <c r="CF436" s="1377"/>
      <c r="CG436" s="1377"/>
      <c r="CH436" s="1440"/>
      <c r="CI436" s="1420"/>
      <c r="CJ436" s="1368"/>
      <c r="CK436" s="1368"/>
      <c r="CL436" s="1368"/>
      <c r="CM436" s="1369"/>
      <c r="CN436" s="1420"/>
      <c r="CO436" s="1368"/>
      <c r="CP436" s="1368"/>
      <c r="CQ436" s="1368"/>
      <c r="CR436" s="1369"/>
      <c r="CS436" s="1420"/>
      <c r="CT436" s="1368"/>
      <c r="CU436" s="1368"/>
      <c r="CV436" s="1368"/>
      <c r="CW436" s="1369"/>
      <c r="CX436" s="1420"/>
      <c r="CY436" s="1368"/>
      <c r="CZ436" s="1368"/>
      <c r="DA436" s="1368"/>
      <c r="DB436" s="1369"/>
      <c r="DC436" s="1368"/>
      <c r="DD436" s="1368"/>
      <c r="DE436" s="1368"/>
      <c r="DF436" s="1368"/>
      <c r="DG436" s="1369"/>
      <c r="DH436" s="1420"/>
      <c r="DI436" s="1368"/>
      <c r="DJ436" s="1368"/>
      <c r="DK436" s="1368"/>
      <c r="DL436" s="1369"/>
      <c r="DM436" s="1808"/>
      <c r="DN436" s="1809"/>
      <c r="DO436" s="1809"/>
      <c r="DP436" s="1810"/>
      <c r="DQ436" s="1809"/>
      <c r="DR436" s="1809"/>
      <c r="DS436" s="1809"/>
      <c r="DT436" s="1810"/>
      <c r="DU436" s="1377"/>
      <c r="DV436" s="1729"/>
      <c r="DW436" s="1811"/>
    </row>
    <row r="437" spans="1:127" s="397" customFormat="1" ht="15.75" hidden="1" customHeight="1">
      <c r="A437" s="1097" t="s">
        <v>1041</v>
      </c>
      <c r="B437" s="1057">
        <v>428</v>
      </c>
      <c r="C437" s="1018"/>
      <c r="D437" s="1018"/>
      <c r="E437" s="1018"/>
      <c r="F437" s="1018"/>
      <c r="G437" s="1018"/>
      <c r="H437" s="1018"/>
      <c r="I437" s="1018"/>
      <c r="J437" s="1018"/>
      <c r="K437" s="1018"/>
      <c r="L437" s="1018"/>
      <c r="M437" s="1057"/>
      <c r="N437" s="1018"/>
      <c r="O437" s="1018"/>
      <c r="P437" s="1018"/>
      <c r="Q437" s="1018"/>
      <c r="R437" s="1018"/>
      <c r="S437" s="1018"/>
      <c r="T437" s="1019"/>
      <c r="U437" s="1098" t="s">
        <v>3755</v>
      </c>
      <c r="V437" s="1099" t="s">
        <v>3579</v>
      </c>
      <c r="W437" s="1099" t="s">
        <v>1907</v>
      </c>
      <c r="X437" s="1100" t="s">
        <v>3756</v>
      </c>
      <c r="Y437" s="1101" t="s">
        <v>3757</v>
      </c>
      <c r="Z437" s="1102" t="s">
        <v>3758</v>
      </c>
      <c r="AA437" s="1103" t="s">
        <v>1942</v>
      </c>
      <c r="AB437" s="1104">
        <v>1</v>
      </c>
      <c r="AC437" s="1104" t="s">
        <v>1942</v>
      </c>
      <c r="AD437" s="1104" t="s">
        <v>1942</v>
      </c>
      <c r="AE437" s="1104" t="s">
        <v>1942</v>
      </c>
      <c r="AF437" s="1104" t="s">
        <v>1942</v>
      </c>
      <c r="AG437" s="1104" t="s">
        <v>1942</v>
      </c>
      <c r="AH437" s="1104" t="s">
        <v>1942</v>
      </c>
      <c r="AI437" s="1105">
        <f t="shared" si="6"/>
        <v>1</v>
      </c>
      <c r="AJ437" s="1106" t="s">
        <v>1026</v>
      </c>
      <c r="AK437" s="1106" t="s">
        <v>1008</v>
      </c>
      <c r="AL437" s="1106" t="s">
        <v>4861</v>
      </c>
      <c r="AM437" s="1107" t="s">
        <v>1926</v>
      </c>
      <c r="AN437" s="1018" t="s">
        <v>1072</v>
      </c>
      <c r="AO437" s="1018" t="s">
        <v>3758</v>
      </c>
      <c r="AP437" s="1274">
        <v>0</v>
      </c>
      <c r="AQ437" s="1076" t="s">
        <v>1072</v>
      </c>
      <c r="AR437" s="1109" t="s">
        <v>1942</v>
      </c>
      <c r="AS437" s="1110"/>
      <c r="AT437" s="1100"/>
      <c r="AU437" s="1100"/>
      <c r="AV437" s="1100"/>
      <c r="AW437" s="1111"/>
      <c r="AX437" s="1112"/>
      <c r="AY437" s="1075"/>
      <c r="AZ437" s="1076"/>
      <c r="BA437" s="1076"/>
      <c r="BB437" s="1076"/>
      <c r="BC437" s="1076"/>
      <c r="BD437" s="1076"/>
      <c r="BE437" s="1076"/>
      <c r="BF437" s="1076"/>
      <c r="BG437" s="1076"/>
      <c r="BH437" s="1076"/>
      <c r="BI437" s="1420"/>
      <c r="BJ437" s="1368"/>
      <c r="BK437" s="1368"/>
      <c r="BL437" s="1368"/>
      <c r="BM437" s="1368"/>
      <c r="BN437" s="1075"/>
      <c r="BO437" s="1076"/>
      <c r="BP437" s="1076"/>
      <c r="BQ437" s="1076"/>
      <c r="BR437" s="1076"/>
      <c r="BS437" s="1115"/>
      <c r="BT437" s="1076"/>
      <c r="BU437" s="1076"/>
      <c r="BV437" s="1076"/>
      <c r="BW437" s="1116"/>
      <c r="BX437" s="1115"/>
      <c r="BY437" s="1076"/>
      <c r="BZ437" s="1076"/>
      <c r="CA437" s="1076"/>
      <c r="CB437" s="1116"/>
      <c r="CC437" s="1117"/>
      <c r="CD437" s="1376"/>
      <c r="CE437" s="1377"/>
      <c r="CF437" s="1377"/>
      <c r="CG437" s="1377"/>
      <c r="CH437" s="1440"/>
      <c r="CI437" s="1420"/>
      <c r="CJ437" s="1368"/>
      <c r="CK437" s="1368"/>
      <c r="CL437" s="1368"/>
      <c r="CM437" s="1369"/>
      <c r="CN437" s="1420"/>
      <c r="CO437" s="1368"/>
      <c r="CP437" s="1368"/>
      <c r="CQ437" s="1368"/>
      <c r="CR437" s="1369"/>
      <c r="CS437" s="1420"/>
      <c r="CT437" s="1368"/>
      <c r="CU437" s="1368"/>
      <c r="CV437" s="1368"/>
      <c r="CW437" s="1369"/>
      <c r="CX437" s="1420"/>
      <c r="CY437" s="1368"/>
      <c r="CZ437" s="1368"/>
      <c r="DA437" s="1368"/>
      <c r="DB437" s="1369"/>
      <c r="DC437" s="1368"/>
      <c r="DD437" s="1368"/>
      <c r="DE437" s="1368"/>
      <c r="DF437" s="1368"/>
      <c r="DG437" s="1369"/>
      <c r="DH437" s="1420"/>
      <c r="DI437" s="1368"/>
      <c r="DJ437" s="1368"/>
      <c r="DK437" s="1368"/>
      <c r="DL437" s="1369"/>
      <c r="DM437" s="1808"/>
      <c r="DN437" s="1809"/>
      <c r="DO437" s="1809"/>
      <c r="DP437" s="1810"/>
      <c r="DQ437" s="1809"/>
      <c r="DR437" s="1809"/>
      <c r="DS437" s="1809"/>
      <c r="DT437" s="1810"/>
      <c r="DU437" s="1377"/>
      <c r="DV437" s="1729"/>
      <c r="DW437" s="1811"/>
    </row>
    <row r="438" spans="1:127" s="397" customFormat="1" ht="15.75" hidden="1" customHeight="1">
      <c r="A438" s="1097" t="s">
        <v>1041</v>
      </c>
      <c r="B438" s="1057">
        <v>429</v>
      </c>
      <c r="C438" s="1018"/>
      <c r="D438" s="1018"/>
      <c r="E438" s="1018"/>
      <c r="F438" s="1018"/>
      <c r="G438" s="1018"/>
      <c r="H438" s="1018"/>
      <c r="I438" s="1018"/>
      <c r="J438" s="1018"/>
      <c r="K438" s="1018"/>
      <c r="L438" s="1018"/>
      <c r="M438" s="1057"/>
      <c r="N438" s="1018"/>
      <c r="O438" s="1018"/>
      <c r="P438" s="1018"/>
      <c r="Q438" s="1018"/>
      <c r="R438" s="1018"/>
      <c r="S438" s="1018"/>
      <c r="T438" s="1019"/>
      <c r="U438" s="1098" t="s">
        <v>3759</v>
      </c>
      <c r="V438" s="1099" t="s">
        <v>1910</v>
      </c>
      <c r="W438" s="1099" t="s">
        <v>1907</v>
      </c>
      <c r="X438" s="1100" t="s">
        <v>3760</v>
      </c>
      <c r="Y438" s="1101" t="s">
        <v>3761</v>
      </c>
      <c r="Z438" s="1102" t="s">
        <v>3762</v>
      </c>
      <c r="AA438" s="1103" t="s">
        <v>1942</v>
      </c>
      <c r="AB438" s="1104">
        <v>0.7</v>
      </c>
      <c r="AC438" s="1104">
        <v>0.3</v>
      </c>
      <c r="AD438" s="1104" t="s">
        <v>1942</v>
      </c>
      <c r="AE438" s="1104" t="s">
        <v>1942</v>
      </c>
      <c r="AF438" s="1104" t="s">
        <v>1942</v>
      </c>
      <c r="AG438" s="1104" t="s">
        <v>1942</v>
      </c>
      <c r="AH438" s="1104" t="s">
        <v>1942</v>
      </c>
      <c r="AI438" s="1105">
        <f t="shared" si="6"/>
        <v>1</v>
      </c>
      <c r="AJ438" s="1106" t="s">
        <v>1026</v>
      </c>
      <c r="AK438" s="1106" t="s">
        <v>1008</v>
      </c>
      <c r="AL438" s="1106" t="s">
        <v>1009</v>
      </c>
      <c r="AM438" s="1107" t="s">
        <v>1910</v>
      </c>
      <c r="AN438" s="1018" t="s">
        <v>1072</v>
      </c>
      <c r="AO438" s="1018" t="s">
        <v>3762</v>
      </c>
      <c r="AP438" s="1274">
        <v>0</v>
      </c>
      <c r="AQ438" s="1076" t="s">
        <v>1072</v>
      </c>
      <c r="AR438" s="1109" t="s">
        <v>1942</v>
      </c>
      <c r="AS438" s="1110"/>
      <c r="AT438" s="1100"/>
      <c r="AU438" s="1100"/>
      <c r="AV438" s="1100"/>
      <c r="AW438" s="1111"/>
      <c r="AX438" s="1112"/>
      <c r="AY438" s="1075"/>
      <c r="AZ438" s="1076"/>
      <c r="BA438" s="1076"/>
      <c r="BB438" s="1076"/>
      <c r="BC438" s="1076"/>
      <c r="BD438" s="1076"/>
      <c r="BE438" s="1076"/>
      <c r="BF438" s="1076"/>
      <c r="BG438" s="1076"/>
      <c r="BH438" s="1076"/>
      <c r="BI438" s="1420"/>
      <c r="BJ438" s="1368"/>
      <c r="BK438" s="1368"/>
      <c r="BL438" s="1368"/>
      <c r="BM438" s="1368"/>
      <c r="BN438" s="1075"/>
      <c r="BO438" s="1076"/>
      <c r="BP438" s="1076"/>
      <c r="BQ438" s="1076"/>
      <c r="BR438" s="1076"/>
      <c r="BS438" s="1115"/>
      <c r="BT438" s="1076"/>
      <c r="BU438" s="1076"/>
      <c r="BV438" s="1076"/>
      <c r="BW438" s="1116"/>
      <c r="BX438" s="1115"/>
      <c r="BY438" s="1076"/>
      <c r="BZ438" s="1076"/>
      <c r="CA438" s="1076"/>
      <c r="CB438" s="1116"/>
      <c r="CC438" s="1117"/>
      <c r="CD438" s="1376"/>
      <c r="CE438" s="1377"/>
      <c r="CF438" s="1377"/>
      <c r="CG438" s="1377"/>
      <c r="CH438" s="1440"/>
      <c r="CI438" s="1420"/>
      <c r="CJ438" s="1368"/>
      <c r="CK438" s="1368"/>
      <c r="CL438" s="1368"/>
      <c r="CM438" s="1369"/>
      <c r="CN438" s="1420"/>
      <c r="CO438" s="1368"/>
      <c r="CP438" s="1368"/>
      <c r="CQ438" s="1368"/>
      <c r="CR438" s="1369"/>
      <c r="CS438" s="1420"/>
      <c r="CT438" s="1368"/>
      <c r="CU438" s="1368"/>
      <c r="CV438" s="1368"/>
      <c r="CW438" s="1369"/>
      <c r="CX438" s="1420"/>
      <c r="CY438" s="1368"/>
      <c r="CZ438" s="1368"/>
      <c r="DA438" s="1368"/>
      <c r="DB438" s="1369"/>
      <c r="DC438" s="1368"/>
      <c r="DD438" s="1368"/>
      <c r="DE438" s="1368"/>
      <c r="DF438" s="1368"/>
      <c r="DG438" s="1369"/>
      <c r="DH438" s="1420"/>
      <c r="DI438" s="1368"/>
      <c r="DJ438" s="1368"/>
      <c r="DK438" s="1368"/>
      <c r="DL438" s="1369"/>
      <c r="DM438" s="1808"/>
      <c r="DN438" s="1809"/>
      <c r="DO438" s="1809"/>
      <c r="DP438" s="1810"/>
      <c r="DQ438" s="1809"/>
      <c r="DR438" s="1809"/>
      <c r="DS438" s="1809"/>
      <c r="DT438" s="1810"/>
      <c r="DU438" s="1377"/>
      <c r="DV438" s="1729"/>
      <c r="DW438" s="1811"/>
    </row>
    <row r="439" spans="1:127" s="397" customFormat="1" ht="15.75" hidden="1" customHeight="1">
      <c r="A439" s="1097" t="s">
        <v>1045</v>
      </c>
      <c r="B439" s="1057">
        <v>430</v>
      </c>
      <c r="C439" s="1018"/>
      <c r="D439" s="1018"/>
      <c r="E439" s="1018"/>
      <c r="F439" s="1018"/>
      <c r="G439" s="1018"/>
      <c r="H439" s="1018"/>
      <c r="I439" s="1018"/>
      <c r="J439" s="1018"/>
      <c r="K439" s="1018"/>
      <c r="L439" s="1018"/>
      <c r="M439" s="1057"/>
      <c r="N439" s="1018"/>
      <c r="O439" s="1018"/>
      <c r="P439" s="1018"/>
      <c r="Q439" s="1018"/>
      <c r="R439" s="1018"/>
      <c r="S439" s="1018"/>
      <c r="T439" s="1019"/>
      <c r="U439" s="1098" t="s">
        <v>3764</v>
      </c>
      <c r="V439" s="1099" t="s">
        <v>3765</v>
      </c>
      <c r="W439" s="1099" t="s">
        <v>1907</v>
      </c>
      <c r="X439" s="1100" t="s">
        <v>3766</v>
      </c>
      <c r="Y439" s="1101" t="s">
        <v>1931</v>
      </c>
      <c r="Z439" s="1102" t="s">
        <v>3767</v>
      </c>
      <c r="AA439" s="1103" t="s">
        <v>1942</v>
      </c>
      <c r="AB439" s="1104" t="s">
        <v>1942</v>
      </c>
      <c r="AC439" s="1104" t="s">
        <v>1942</v>
      </c>
      <c r="AD439" s="1104" t="s">
        <v>1942</v>
      </c>
      <c r="AE439" s="1104">
        <v>1</v>
      </c>
      <c r="AF439" s="1104" t="s">
        <v>1942</v>
      </c>
      <c r="AG439" s="1104" t="s">
        <v>1942</v>
      </c>
      <c r="AH439" s="1104" t="s">
        <v>1942</v>
      </c>
      <c r="AI439" s="1105">
        <f t="shared" si="6"/>
        <v>1</v>
      </c>
      <c r="AJ439" s="1106" t="s">
        <v>1030</v>
      </c>
      <c r="AK439" s="1106" t="s">
        <v>1008</v>
      </c>
      <c r="AL439" s="1106" t="s">
        <v>1009</v>
      </c>
      <c r="AM439" s="1107" t="s">
        <v>1069</v>
      </c>
      <c r="AN439" s="1018" t="s">
        <v>1081</v>
      </c>
      <c r="AO439" s="1018" t="s">
        <v>2038</v>
      </c>
      <c r="AP439" s="1333">
        <v>2</v>
      </c>
      <c r="AQ439" s="1076" t="s">
        <v>1010</v>
      </c>
      <c r="AR439" s="1109" t="s">
        <v>1931</v>
      </c>
      <c r="AS439" s="1110"/>
      <c r="AT439" s="1100"/>
      <c r="AU439" s="1100"/>
      <c r="AV439" s="1100"/>
      <c r="AW439" s="1111"/>
      <c r="AX439" s="1112"/>
      <c r="AY439" s="1075"/>
      <c r="AZ439" s="1076"/>
      <c r="BA439" s="1076"/>
      <c r="BB439" s="1076"/>
      <c r="BC439" s="1076"/>
      <c r="BD439" s="1076"/>
      <c r="BE439" s="1076"/>
      <c r="BF439" s="1076"/>
      <c r="BG439" s="1076"/>
      <c r="BH439" s="1076"/>
      <c r="BI439" s="1075" t="s">
        <v>1942</v>
      </c>
      <c r="BJ439" s="1076" t="s">
        <v>1942</v>
      </c>
      <c r="BK439" s="1076" t="s">
        <v>1942</v>
      </c>
      <c r="BL439" s="1076" t="s">
        <v>1942</v>
      </c>
      <c r="BM439" s="1076" t="s">
        <v>1942</v>
      </c>
      <c r="BN439" s="1075"/>
      <c r="BO439" s="1076"/>
      <c r="BP439" s="1076"/>
      <c r="BQ439" s="1076"/>
      <c r="BR439" s="1076"/>
      <c r="BS439" s="1115"/>
      <c r="BT439" s="1076"/>
      <c r="BU439" s="1076"/>
      <c r="BV439" s="1076"/>
      <c r="BW439" s="1116"/>
      <c r="BX439" s="1115"/>
      <c r="BY439" s="1076"/>
      <c r="BZ439" s="1076"/>
      <c r="CA439" s="1076"/>
      <c r="CB439" s="1116"/>
      <c r="CC439" s="1117"/>
      <c r="CD439" s="1118" t="s">
        <v>168</v>
      </c>
      <c r="CE439" s="1119" t="s">
        <v>168</v>
      </c>
      <c r="CF439" s="1119" t="s">
        <v>168</v>
      </c>
      <c r="CG439" s="1119" t="s">
        <v>168</v>
      </c>
      <c r="CH439" s="1120" t="s">
        <v>168</v>
      </c>
      <c r="CI439" s="1075" t="s">
        <v>1942</v>
      </c>
      <c r="CJ439" s="1076" t="s">
        <v>1942</v>
      </c>
      <c r="CK439" s="1076" t="s">
        <v>1942</v>
      </c>
      <c r="CL439" s="1076" t="s">
        <v>1942</v>
      </c>
      <c r="CM439" s="1117" t="s">
        <v>1942</v>
      </c>
      <c r="CN439" s="1075" t="s">
        <v>1942</v>
      </c>
      <c r="CO439" s="1076" t="s">
        <v>1942</v>
      </c>
      <c r="CP439" s="1076" t="s">
        <v>1942</v>
      </c>
      <c r="CQ439" s="1076" t="s">
        <v>1942</v>
      </c>
      <c r="CR439" s="1117" t="s">
        <v>1942</v>
      </c>
      <c r="CS439" s="1075" t="s">
        <v>1942</v>
      </c>
      <c r="CT439" s="1076" t="s">
        <v>1942</v>
      </c>
      <c r="CU439" s="1076" t="s">
        <v>1942</v>
      </c>
      <c r="CV439" s="1076" t="s">
        <v>1942</v>
      </c>
      <c r="CW439" s="1117" t="s">
        <v>1942</v>
      </c>
      <c r="CX439" s="1075" t="s">
        <v>1942</v>
      </c>
      <c r="CY439" s="1076" t="s">
        <v>1942</v>
      </c>
      <c r="CZ439" s="1076" t="s">
        <v>1942</v>
      </c>
      <c r="DA439" s="1076" t="s">
        <v>1942</v>
      </c>
      <c r="DB439" s="1117" t="s">
        <v>1942</v>
      </c>
      <c r="DC439" s="1076" t="s">
        <v>1942</v>
      </c>
      <c r="DD439" s="1076" t="s">
        <v>1942</v>
      </c>
      <c r="DE439" s="1076" t="s">
        <v>1942</v>
      </c>
      <c r="DF439" s="1076" t="s">
        <v>1942</v>
      </c>
      <c r="DG439" s="1117" t="s">
        <v>1942</v>
      </c>
      <c r="DH439" s="1075" t="s">
        <v>1942</v>
      </c>
      <c r="DI439" s="1076" t="s">
        <v>1942</v>
      </c>
      <c r="DJ439" s="1076" t="s">
        <v>1942</v>
      </c>
      <c r="DK439" s="1076" t="s">
        <v>1942</v>
      </c>
      <c r="DL439" s="1117" t="s">
        <v>1942</v>
      </c>
      <c r="DM439" s="1121" t="s">
        <v>1942</v>
      </c>
      <c r="DN439" s="1122" t="s">
        <v>1942</v>
      </c>
      <c r="DO439" s="1122" t="s">
        <v>1942</v>
      </c>
      <c r="DP439" s="1123" t="s">
        <v>1942</v>
      </c>
      <c r="DQ439" s="1122" t="s">
        <v>1942</v>
      </c>
      <c r="DR439" s="1122" t="s">
        <v>1942</v>
      </c>
      <c r="DS439" s="1122" t="s">
        <v>1942</v>
      </c>
      <c r="DT439" s="1123" t="s">
        <v>1942</v>
      </c>
      <c r="DU439" s="1119" t="s">
        <v>131</v>
      </c>
      <c r="DV439" s="1124">
        <v>1</v>
      </c>
      <c r="DW439" s="1125" t="s">
        <v>1942</v>
      </c>
    </row>
    <row r="440" spans="1:127" s="397" customFormat="1" ht="15.75" hidden="1" customHeight="1">
      <c r="A440" s="1097" t="s">
        <v>1045</v>
      </c>
      <c r="B440" s="1057">
        <v>431</v>
      </c>
      <c r="C440" s="1018"/>
      <c r="D440" s="1018"/>
      <c r="E440" s="1018"/>
      <c r="F440" s="1018"/>
      <c r="G440" s="1018"/>
      <c r="H440" s="1018"/>
      <c r="I440" s="1018"/>
      <c r="J440" s="1018"/>
      <c r="K440" s="1018"/>
      <c r="L440" s="1018"/>
      <c r="M440" s="1057"/>
      <c r="N440" s="1018"/>
      <c r="O440" s="1018"/>
      <c r="P440" s="1018"/>
      <c r="Q440" s="1018"/>
      <c r="R440" s="1018"/>
      <c r="S440" s="1018"/>
      <c r="T440" s="1019"/>
      <c r="U440" s="1098" t="s">
        <v>3769</v>
      </c>
      <c r="V440" s="1099" t="s">
        <v>3765</v>
      </c>
      <c r="W440" s="1099" t="s">
        <v>1907</v>
      </c>
      <c r="X440" s="1100" t="s">
        <v>3770</v>
      </c>
      <c r="Y440" s="1101" t="s">
        <v>2258</v>
      </c>
      <c r="Z440" s="1102" t="s">
        <v>2259</v>
      </c>
      <c r="AA440" s="1103" t="s">
        <v>1942</v>
      </c>
      <c r="AB440" s="1104" t="s">
        <v>1942</v>
      </c>
      <c r="AC440" s="1104" t="s">
        <v>1942</v>
      </c>
      <c r="AD440" s="1104" t="s">
        <v>1942</v>
      </c>
      <c r="AE440" s="1104" t="s">
        <v>1942</v>
      </c>
      <c r="AF440" s="1104" t="s">
        <v>1942</v>
      </c>
      <c r="AG440" s="1104" t="s">
        <v>1942</v>
      </c>
      <c r="AH440" s="1104" t="s">
        <v>1942</v>
      </c>
      <c r="AI440" s="1105">
        <f t="shared" si="6"/>
        <v>0</v>
      </c>
      <c r="AJ440" s="1106" t="s">
        <v>1007</v>
      </c>
      <c r="AK440" s="1106" t="s">
        <v>1942</v>
      </c>
      <c r="AL440" s="1106" t="s">
        <v>1942</v>
      </c>
      <c r="AM440" s="1107" t="s">
        <v>1942</v>
      </c>
      <c r="AN440" s="1018" t="s">
        <v>278</v>
      </c>
      <c r="AO440" s="1018" t="s">
        <v>1942</v>
      </c>
      <c r="AP440" s="1333">
        <v>0</v>
      </c>
      <c r="AQ440" s="1076" t="s">
        <v>1010</v>
      </c>
      <c r="AR440" s="1109" t="s">
        <v>1942</v>
      </c>
      <c r="AS440" s="1110"/>
      <c r="AT440" s="1100"/>
      <c r="AU440" s="1100"/>
      <c r="AV440" s="1100"/>
      <c r="AW440" s="1111"/>
      <c r="AX440" s="1112"/>
      <c r="AY440" s="1075"/>
      <c r="AZ440" s="1076"/>
      <c r="BA440" s="1076"/>
      <c r="BB440" s="1076"/>
      <c r="BC440" s="1076"/>
      <c r="BD440" s="1076"/>
      <c r="BE440" s="1076"/>
      <c r="BF440" s="1076"/>
      <c r="BG440" s="1076"/>
      <c r="BH440" s="1076"/>
      <c r="BI440" s="1420"/>
      <c r="BJ440" s="1368"/>
      <c r="BK440" s="1368"/>
      <c r="BL440" s="1368"/>
      <c r="BM440" s="1368"/>
      <c r="BN440" s="1075"/>
      <c r="BO440" s="1076"/>
      <c r="BP440" s="1076"/>
      <c r="BQ440" s="1076"/>
      <c r="BR440" s="1076"/>
      <c r="BS440" s="1115"/>
      <c r="BT440" s="1076"/>
      <c r="BU440" s="1076"/>
      <c r="BV440" s="1076"/>
      <c r="BW440" s="1116"/>
      <c r="BX440" s="1115"/>
      <c r="BY440" s="1076"/>
      <c r="BZ440" s="1076"/>
      <c r="CA440" s="1076"/>
      <c r="CB440" s="1116"/>
      <c r="CC440" s="1117"/>
      <c r="CD440" s="1376"/>
      <c r="CE440" s="1377"/>
      <c r="CF440" s="1377"/>
      <c r="CG440" s="1377"/>
      <c r="CH440" s="1440"/>
      <c r="CI440" s="1420"/>
      <c r="CJ440" s="1368"/>
      <c r="CK440" s="1368"/>
      <c r="CL440" s="1368"/>
      <c r="CM440" s="1369"/>
      <c r="CN440" s="1420"/>
      <c r="CO440" s="1368"/>
      <c r="CP440" s="1368"/>
      <c r="CQ440" s="1368"/>
      <c r="CR440" s="1369"/>
      <c r="CS440" s="1420"/>
      <c r="CT440" s="1368"/>
      <c r="CU440" s="1368"/>
      <c r="CV440" s="1368"/>
      <c r="CW440" s="1369"/>
      <c r="CX440" s="1420"/>
      <c r="CY440" s="1368"/>
      <c r="CZ440" s="1368"/>
      <c r="DA440" s="1368"/>
      <c r="DB440" s="1369"/>
      <c r="DC440" s="1368"/>
      <c r="DD440" s="1368"/>
      <c r="DE440" s="1368"/>
      <c r="DF440" s="1368"/>
      <c r="DG440" s="1369"/>
      <c r="DH440" s="1420"/>
      <c r="DI440" s="1368"/>
      <c r="DJ440" s="1368"/>
      <c r="DK440" s="1368"/>
      <c r="DL440" s="1369"/>
      <c r="DM440" s="1808"/>
      <c r="DN440" s="1809"/>
      <c r="DO440" s="1809"/>
      <c r="DP440" s="1810"/>
      <c r="DQ440" s="1809"/>
      <c r="DR440" s="1809"/>
      <c r="DS440" s="1809"/>
      <c r="DT440" s="1810"/>
      <c r="DU440" s="1377"/>
      <c r="DV440" s="1729"/>
      <c r="DW440" s="1811"/>
    </row>
    <row r="441" spans="1:127" s="397" customFormat="1" ht="15.75" hidden="1" customHeight="1">
      <c r="A441" s="1097" t="s">
        <v>1045</v>
      </c>
      <c r="B441" s="1057">
        <v>432</v>
      </c>
      <c r="C441" s="1018"/>
      <c r="D441" s="1018"/>
      <c r="E441" s="1018"/>
      <c r="F441" s="1018"/>
      <c r="G441" s="1018"/>
      <c r="H441" s="1018"/>
      <c r="I441" s="1018"/>
      <c r="J441" s="1018"/>
      <c r="K441" s="1018"/>
      <c r="L441" s="1018"/>
      <c r="M441" s="1057"/>
      <c r="N441" s="1018"/>
      <c r="O441" s="1018"/>
      <c r="P441" s="1018"/>
      <c r="Q441" s="1018"/>
      <c r="R441" s="1018"/>
      <c r="S441" s="1018"/>
      <c r="T441" s="1019"/>
      <c r="U441" s="1098" t="s">
        <v>3771</v>
      </c>
      <c r="V441" s="1099" t="s">
        <v>3765</v>
      </c>
      <c r="W441" s="1099" t="s">
        <v>1907</v>
      </c>
      <c r="X441" s="1100" t="s">
        <v>3772</v>
      </c>
      <c r="Y441" s="1101" t="s">
        <v>1935</v>
      </c>
      <c r="Z441" s="1102" t="s">
        <v>3773</v>
      </c>
      <c r="AA441" s="1103" t="s">
        <v>1942</v>
      </c>
      <c r="AB441" s="1104">
        <v>0.56000000000000005</v>
      </c>
      <c r="AC441" s="1104">
        <v>0.44</v>
      </c>
      <c r="AD441" s="1104" t="s">
        <v>1942</v>
      </c>
      <c r="AE441" s="1104" t="s">
        <v>1942</v>
      </c>
      <c r="AF441" s="1104" t="s">
        <v>1942</v>
      </c>
      <c r="AG441" s="1104" t="s">
        <v>1942</v>
      </c>
      <c r="AH441" s="1104" t="s">
        <v>1942</v>
      </c>
      <c r="AI441" s="1105">
        <f t="shared" si="6"/>
        <v>1</v>
      </c>
      <c r="AJ441" s="1106" t="s">
        <v>1030</v>
      </c>
      <c r="AK441" s="1106" t="s">
        <v>1008</v>
      </c>
      <c r="AL441" s="1106" t="s">
        <v>1009</v>
      </c>
      <c r="AM441" s="1107" t="s">
        <v>1073</v>
      </c>
      <c r="AN441" s="1018" t="s">
        <v>1081</v>
      </c>
      <c r="AO441" s="1018" t="s">
        <v>427</v>
      </c>
      <c r="AP441" s="1333">
        <v>2</v>
      </c>
      <c r="AQ441" s="1076" t="s">
        <v>1010</v>
      </c>
      <c r="AR441" s="1109" t="s">
        <v>1935</v>
      </c>
      <c r="AS441" s="1110"/>
      <c r="AT441" s="1100"/>
      <c r="AU441" s="1100"/>
      <c r="AV441" s="1100"/>
      <c r="AW441" s="1111"/>
      <c r="AX441" s="1112"/>
      <c r="AY441" s="1075"/>
      <c r="AZ441" s="1076"/>
      <c r="BA441" s="1076"/>
      <c r="BB441" s="1076"/>
      <c r="BC441" s="1076"/>
      <c r="BD441" s="1076"/>
      <c r="BE441" s="1076"/>
      <c r="BF441" s="1076"/>
      <c r="BG441" s="1076"/>
      <c r="BH441" s="1076"/>
      <c r="BI441" s="1075" t="s">
        <v>1942</v>
      </c>
      <c r="BJ441" s="1076" t="s">
        <v>1942</v>
      </c>
      <c r="BK441" s="1076" t="s">
        <v>1942</v>
      </c>
      <c r="BL441" s="1076" t="s">
        <v>1942</v>
      </c>
      <c r="BM441" s="1076" t="s">
        <v>1942</v>
      </c>
      <c r="BN441" s="1075"/>
      <c r="BO441" s="1076"/>
      <c r="BP441" s="1076"/>
      <c r="BQ441" s="1076"/>
      <c r="BR441" s="1076"/>
      <c r="BS441" s="1115"/>
      <c r="BT441" s="1076"/>
      <c r="BU441" s="1076"/>
      <c r="BV441" s="1076"/>
      <c r="BW441" s="1116"/>
      <c r="BX441" s="1115"/>
      <c r="BY441" s="1076"/>
      <c r="BZ441" s="1076"/>
      <c r="CA441" s="1076"/>
      <c r="CB441" s="1116"/>
      <c r="CC441" s="1117"/>
      <c r="CD441" s="1118" t="s">
        <v>168</v>
      </c>
      <c r="CE441" s="1119" t="s">
        <v>168</v>
      </c>
      <c r="CF441" s="1119" t="s">
        <v>168</v>
      </c>
      <c r="CG441" s="1119" t="s">
        <v>168</v>
      </c>
      <c r="CH441" s="1120" t="s">
        <v>168</v>
      </c>
      <c r="CI441" s="1075" t="s">
        <v>1942</v>
      </c>
      <c r="CJ441" s="1076" t="s">
        <v>1942</v>
      </c>
      <c r="CK441" s="1076" t="s">
        <v>1942</v>
      </c>
      <c r="CL441" s="1076" t="s">
        <v>1942</v>
      </c>
      <c r="CM441" s="1117" t="s">
        <v>1942</v>
      </c>
      <c r="CN441" s="1075" t="s">
        <v>1942</v>
      </c>
      <c r="CO441" s="1076" t="s">
        <v>1942</v>
      </c>
      <c r="CP441" s="1076" t="s">
        <v>1942</v>
      </c>
      <c r="CQ441" s="1076" t="s">
        <v>1942</v>
      </c>
      <c r="CR441" s="1117" t="s">
        <v>1942</v>
      </c>
      <c r="CS441" s="1075" t="s">
        <v>1942</v>
      </c>
      <c r="CT441" s="1076" t="s">
        <v>1942</v>
      </c>
      <c r="CU441" s="1076" t="s">
        <v>1942</v>
      </c>
      <c r="CV441" s="1076" t="s">
        <v>1942</v>
      </c>
      <c r="CW441" s="1117" t="s">
        <v>1942</v>
      </c>
      <c r="CX441" s="1075" t="s">
        <v>1942</v>
      </c>
      <c r="CY441" s="1076" t="s">
        <v>1942</v>
      </c>
      <c r="CZ441" s="1076" t="s">
        <v>1942</v>
      </c>
      <c r="DA441" s="1076" t="s">
        <v>1942</v>
      </c>
      <c r="DB441" s="1117" t="s">
        <v>1942</v>
      </c>
      <c r="DC441" s="1076" t="s">
        <v>1942</v>
      </c>
      <c r="DD441" s="1076" t="s">
        <v>1942</v>
      </c>
      <c r="DE441" s="1076" t="s">
        <v>1942</v>
      </c>
      <c r="DF441" s="1076" t="s">
        <v>1942</v>
      </c>
      <c r="DG441" s="1117" t="s">
        <v>1942</v>
      </c>
      <c r="DH441" s="1075" t="s">
        <v>1942</v>
      </c>
      <c r="DI441" s="1076" t="s">
        <v>1942</v>
      </c>
      <c r="DJ441" s="1076" t="s">
        <v>1942</v>
      </c>
      <c r="DK441" s="1076" t="s">
        <v>1942</v>
      </c>
      <c r="DL441" s="1117" t="s">
        <v>1942</v>
      </c>
      <c r="DM441" s="1121" t="s">
        <v>1942</v>
      </c>
      <c r="DN441" s="1122" t="s">
        <v>1942</v>
      </c>
      <c r="DO441" s="1122" t="s">
        <v>1942</v>
      </c>
      <c r="DP441" s="1123" t="s">
        <v>1942</v>
      </c>
      <c r="DQ441" s="1122" t="s">
        <v>1942</v>
      </c>
      <c r="DR441" s="1122" t="s">
        <v>1942</v>
      </c>
      <c r="DS441" s="1122" t="s">
        <v>1942</v>
      </c>
      <c r="DT441" s="1123" t="s">
        <v>1942</v>
      </c>
      <c r="DU441" s="1119" t="s">
        <v>131</v>
      </c>
      <c r="DV441" s="1124">
        <v>1</v>
      </c>
      <c r="DW441" s="1125" t="s">
        <v>1942</v>
      </c>
    </row>
    <row r="442" spans="1:127" s="397" customFormat="1" ht="15.75" hidden="1" customHeight="1">
      <c r="A442" s="1097" t="s">
        <v>1045</v>
      </c>
      <c r="B442" s="1057">
        <v>433</v>
      </c>
      <c r="C442" s="1018"/>
      <c r="D442" s="1018"/>
      <c r="E442" s="1018"/>
      <c r="F442" s="1018"/>
      <c r="G442" s="1018"/>
      <c r="H442" s="1018"/>
      <c r="I442" s="1018"/>
      <c r="J442" s="1018"/>
      <c r="K442" s="1018"/>
      <c r="L442" s="1018"/>
      <c r="M442" s="1057"/>
      <c r="N442" s="1018"/>
      <c r="O442" s="1018"/>
      <c r="P442" s="1018"/>
      <c r="Q442" s="1018"/>
      <c r="R442" s="1018"/>
      <c r="S442" s="1018"/>
      <c r="T442" s="1019"/>
      <c r="U442" s="1098" t="s">
        <v>3775</v>
      </c>
      <c r="V442" s="1099" t="s">
        <v>3765</v>
      </c>
      <c r="W442" s="1099" t="s">
        <v>1907</v>
      </c>
      <c r="X442" s="1100" t="s">
        <v>3776</v>
      </c>
      <c r="Y442" s="1101" t="s">
        <v>3777</v>
      </c>
      <c r="Z442" s="1102" t="s">
        <v>3778</v>
      </c>
      <c r="AA442" s="1103">
        <v>0.11</v>
      </c>
      <c r="AB442" s="1104">
        <v>0.89</v>
      </c>
      <c r="AC442" s="1104" t="s">
        <v>1942</v>
      </c>
      <c r="AD442" s="1104" t="s">
        <v>1942</v>
      </c>
      <c r="AE442" s="1104" t="s">
        <v>1942</v>
      </c>
      <c r="AF442" s="1104" t="s">
        <v>1942</v>
      </c>
      <c r="AG442" s="1104" t="s">
        <v>1942</v>
      </c>
      <c r="AH442" s="1104" t="s">
        <v>1942</v>
      </c>
      <c r="AI442" s="1105">
        <f t="shared" si="6"/>
        <v>1</v>
      </c>
      <c r="AJ442" s="1106" t="s">
        <v>1007</v>
      </c>
      <c r="AK442" s="1106" t="s">
        <v>1942</v>
      </c>
      <c r="AL442" s="1106" t="s">
        <v>1942</v>
      </c>
      <c r="AM442" s="1107" t="s">
        <v>2400</v>
      </c>
      <c r="AN442" s="1018" t="s">
        <v>1033</v>
      </c>
      <c r="AO442" s="1018" t="s">
        <v>3779</v>
      </c>
      <c r="AP442" s="1333">
        <v>0</v>
      </c>
      <c r="AQ442" s="1076" t="s">
        <v>1010</v>
      </c>
      <c r="AR442" s="1109" t="s">
        <v>1942</v>
      </c>
      <c r="AS442" s="1110"/>
      <c r="AT442" s="1100"/>
      <c r="AU442" s="1100"/>
      <c r="AV442" s="1100"/>
      <c r="AW442" s="1111"/>
      <c r="AX442" s="1112"/>
      <c r="AY442" s="1075"/>
      <c r="AZ442" s="1076"/>
      <c r="BA442" s="1076"/>
      <c r="BB442" s="1076"/>
      <c r="BC442" s="1076"/>
      <c r="BD442" s="1076"/>
      <c r="BE442" s="1076"/>
      <c r="BF442" s="1076"/>
      <c r="BG442" s="1076"/>
      <c r="BH442" s="1076"/>
      <c r="BI442" s="1420"/>
      <c r="BJ442" s="1368"/>
      <c r="BK442" s="1368"/>
      <c r="BL442" s="1368"/>
      <c r="BM442" s="1368"/>
      <c r="BN442" s="1075"/>
      <c r="BO442" s="1076"/>
      <c r="BP442" s="1076"/>
      <c r="BQ442" s="1076"/>
      <c r="BR442" s="1076"/>
      <c r="BS442" s="1115"/>
      <c r="BT442" s="1076"/>
      <c r="BU442" s="1076"/>
      <c r="BV442" s="1076"/>
      <c r="BW442" s="1116"/>
      <c r="BX442" s="1115"/>
      <c r="BY442" s="1076"/>
      <c r="BZ442" s="1076"/>
      <c r="CA442" s="1076"/>
      <c r="CB442" s="1116"/>
      <c r="CC442" s="1117"/>
      <c r="CD442" s="1376"/>
      <c r="CE442" s="1377"/>
      <c r="CF442" s="1377"/>
      <c r="CG442" s="1377"/>
      <c r="CH442" s="1440"/>
      <c r="CI442" s="1420"/>
      <c r="CJ442" s="1368"/>
      <c r="CK442" s="1368"/>
      <c r="CL442" s="1368"/>
      <c r="CM442" s="1369"/>
      <c r="CN442" s="1420"/>
      <c r="CO442" s="1368"/>
      <c r="CP442" s="1368"/>
      <c r="CQ442" s="1368"/>
      <c r="CR442" s="1369"/>
      <c r="CS442" s="1420"/>
      <c r="CT442" s="1368"/>
      <c r="CU442" s="1368"/>
      <c r="CV442" s="1368"/>
      <c r="CW442" s="1369"/>
      <c r="CX442" s="1420"/>
      <c r="CY442" s="1368"/>
      <c r="CZ442" s="1368"/>
      <c r="DA442" s="1368"/>
      <c r="DB442" s="1369"/>
      <c r="DC442" s="1368"/>
      <c r="DD442" s="1368"/>
      <c r="DE442" s="1368"/>
      <c r="DF442" s="1368"/>
      <c r="DG442" s="1369"/>
      <c r="DH442" s="1420"/>
      <c r="DI442" s="1368"/>
      <c r="DJ442" s="1368"/>
      <c r="DK442" s="1368"/>
      <c r="DL442" s="1369"/>
      <c r="DM442" s="1808"/>
      <c r="DN442" s="1809"/>
      <c r="DO442" s="1809"/>
      <c r="DP442" s="1810"/>
      <c r="DQ442" s="1809"/>
      <c r="DR442" s="1809"/>
      <c r="DS442" s="1809"/>
      <c r="DT442" s="1810"/>
      <c r="DU442" s="1377"/>
      <c r="DV442" s="1729"/>
      <c r="DW442" s="1811"/>
    </row>
    <row r="443" spans="1:127" s="397" customFormat="1" ht="15.75" hidden="1" customHeight="1">
      <c r="A443" s="1097" t="s">
        <v>1045</v>
      </c>
      <c r="B443" s="1057">
        <v>434</v>
      </c>
      <c r="C443" s="1018"/>
      <c r="D443" s="1018"/>
      <c r="E443" s="1018"/>
      <c r="F443" s="1018"/>
      <c r="G443" s="1018"/>
      <c r="H443" s="1018"/>
      <c r="I443" s="1018"/>
      <c r="J443" s="1018"/>
      <c r="K443" s="1018"/>
      <c r="L443" s="1018"/>
      <c r="M443" s="1057"/>
      <c r="N443" s="1018"/>
      <c r="O443" s="1018"/>
      <c r="P443" s="1018"/>
      <c r="Q443" s="1018"/>
      <c r="R443" s="1018"/>
      <c r="S443" s="1018"/>
      <c r="T443" s="1019"/>
      <c r="U443" s="1098" t="s">
        <v>3780</v>
      </c>
      <c r="V443" s="1099" t="s">
        <v>3781</v>
      </c>
      <c r="W443" s="1099" t="s">
        <v>1889</v>
      </c>
      <c r="X443" s="1100" t="s">
        <v>3782</v>
      </c>
      <c r="Y443" s="1101" t="s">
        <v>161</v>
      </c>
      <c r="Z443" s="1102" t="s">
        <v>3783</v>
      </c>
      <c r="AA443" s="1103" t="s">
        <v>1942</v>
      </c>
      <c r="AB443" s="1104">
        <v>1</v>
      </c>
      <c r="AC443" s="1104" t="s">
        <v>1942</v>
      </c>
      <c r="AD443" s="1104" t="s">
        <v>1942</v>
      </c>
      <c r="AE443" s="1104" t="s">
        <v>1942</v>
      </c>
      <c r="AF443" s="1104" t="s">
        <v>1942</v>
      </c>
      <c r="AG443" s="1104" t="s">
        <v>1942</v>
      </c>
      <c r="AH443" s="1104" t="s">
        <v>1942</v>
      </c>
      <c r="AI443" s="1105">
        <f t="shared" si="6"/>
        <v>1</v>
      </c>
      <c r="AJ443" s="1106" t="s">
        <v>1030</v>
      </c>
      <c r="AK443" s="1106" t="s">
        <v>1008</v>
      </c>
      <c r="AL443" s="1106" t="s">
        <v>1009</v>
      </c>
      <c r="AM443" s="1107" t="s">
        <v>2074</v>
      </c>
      <c r="AN443" s="1018" t="s">
        <v>2177</v>
      </c>
      <c r="AO443" s="1018" t="s">
        <v>4794</v>
      </c>
      <c r="AP443" s="1307">
        <v>1</v>
      </c>
      <c r="AQ443" s="1076" t="s">
        <v>1020</v>
      </c>
      <c r="AR443" s="1109" t="s">
        <v>161</v>
      </c>
      <c r="AS443" s="1110"/>
      <c r="AT443" s="1100"/>
      <c r="AU443" s="1100"/>
      <c r="AV443" s="1100"/>
      <c r="AW443" s="1111"/>
      <c r="AX443" s="1112"/>
      <c r="AY443" s="1075"/>
      <c r="AZ443" s="1076"/>
      <c r="BA443" s="1076"/>
      <c r="BB443" s="1076"/>
      <c r="BC443" s="1076"/>
      <c r="BD443" s="1076"/>
      <c r="BE443" s="1076"/>
      <c r="BF443" s="1076"/>
      <c r="BG443" s="1113"/>
      <c r="BH443" s="1113"/>
      <c r="BI443" s="1114">
        <v>265.89999999999998</v>
      </c>
      <c r="BJ443" s="1113">
        <v>262.2</v>
      </c>
      <c r="BK443" s="1113">
        <v>258.5</v>
      </c>
      <c r="BL443" s="2022">
        <v>254.7</v>
      </c>
      <c r="BM443" s="2022">
        <v>249.3</v>
      </c>
      <c r="BN443" s="1075"/>
      <c r="BO443" s="1076"/>
      <c r="BP443" s="1076"/>
      <c r="BQ443" s="1076"/>
      <c r="BR443" s="1076"/>
      <c r="BS443" s="1115"/>
      <c r="BT443" s="1076"/>
      <c r="BU443" s="1076"/>
      <c r="BV443" s="1076"/>
      <c r="BW443" s="1116"/>
      <c r="BX443" s="1115"/>
      <c r="BY443" s="1076"/>
      <c r="BZ443" s="1076"/>
      <c r="CA443" s="1076"/>
      <c r="CB443" s="1116"/>
      <c r="CC443" s="1117"/>
      <c r="CD443" s="1118" t="s">
        <v>168</v>
      </c>
      <c r="CE443" s="1119" t="s">
        <v>168</v>
      </c>
      <c r="CF443" s="1119" t="s">
        <v>168</v>
      </c>
      <c r="CG443" s="1119" t="s">
        <v>168</v>
      </c>
      <c r="CH443" s="1120" t="s">
        <v>168</v>
      </c>
      <c r="CI443" s="1075" t="s">
        <v>1942</v>
      </c>
      <c r="CJ443" s="1076" t="s">
        <v>1942</v>
      </c>
      <c r="CK443" s="1076" t="s">
        <v>1942</v>
      </c>
      <c r="CL443" s="1076" t="s">
        <v>1942</v>
      </c>
      <c r="CM443" s="1117" t="s">
        <v>1942</v>
      </c>
      <c r="CN443" s="1075">
        <v>372.3</v>
      </c>
      <c r="CO443" s="1076">
        <v>372.3</v>
      </c>
      <c r="CP443" s="1076">
        <v>372.3</v>
      </c>
      <c r="CQ443" s="1076">
        <v>372.3</v>
      </c>
      <c r="CR443" s="1117">
        <v>372.3</v>
      </c>
      <c r="CS443" s="1075" t="s">
        <v>1942</v>
      </c>
      <c r="CT443" s="1076" t="s">
        <v>1942</v>
      </c>
      <c r="CU443" s="1076" t="s">
        <v>1942</v>
      </c>
      <c r="CV443" s="1076" t="s">
        <v>1942</v>
      </c>
      <c r="CW443" s="1117" t="s">
        <v>1942</v>
      </c>
      <c r="CX443" s="1075" t="s">
        <v>1942</v>
      </c>
      <c r="CY443" s="1076" t="s">
        <v>1942</v>
      </c>
      <c r="CZ443" s="1076" t="s">
        <v>1942</v>
      </c>
      <c r="DA443" s="1076" t="s">
        <v>1942</v>
      </c>
      <c r="DB443" s="1117" t="s">
        <v>1942</v>
      </c>
      <c r="DC443" s="1076">
        <v>212.9</v>
      </c>
      <c r="DD443" s="1076">
        <v>209.2</v>
      </c>
      <c r="DE443" s="1076">
        <v>205.5</v>
      </c>
      <c r="DF443" s="1076">
        <v>201.8</v>
      </c>
      <c r="DG443" s="1117">
        <v>198.1</v>
      </c>
      <c r="DH443" s="1075" t="s">
        <v>1942</v>
      </c>
      <c r="DI443" s="1076" t="s">
        <v>1942</v>
      </c>
      <c r="DJ443" s="1076" t="s">
        <v>1942</v>
      </c>
      <c r="DK443" s="1076" t="s">
        <v>1942</v>
      </c>
      <c r="DL443" s="1117" t="s">
        <v>1942</v>
      </c>
      <c r="DM443" s="1121">
        <v>-0.28599999999999998</v>
      </c>
      <c r="DN443" s="1122" t="s">
        <v>1942</v>
      </c>
      <c r="DO443" s="1122" t="s">
        <v>1942</v>
      </c>
      <c r="DP443" s="1123" t="s">
        <v>1942</v>
      </c>
      <c r="DQ443" s="1122">
        <v>0.224</v>
      </c>
      <c r="DR443" s="1122" t="s">
        <v>1942</v>
      </c>
      <c r="DS443" s="1122" t="s">
        <v>1942</v>
      </c>
      <c r="DT443" s="1123" t="s">
        <v>1942</v>
      </c>
      <c r="DU443" s="1119" t="s">
        <v>1942</v>
      </c>
      <c r="DV443" s="1124">
        <v>1</v>
      </c>
      <c r="DW443" s="1125" t="s">
        <v>1942</v>
      </c>
    </row>
    <row r="444" spans="1:127" s="397" customFormat="1" ht="15.75" hidden="1" customHeight="1">
      <c r="A444" s="1097" t="s">
        <v>1045</v>
      </c>
      <c r="B444" s="1057">
        <v>435</v>
      </c>
      <c r="C444" s="1018"/>
      <c r="D444" s="1018"/>
      <c r="E444" s="1018"/>
      <c r="F444" s="1018"/>
      <c r="G444" s="1018"/>
      <c r="H444" s="1018"/>
      <c r="I444" s="1018"/>
      <c r="J444" s="1018"/>
      <c r="K444" s="1018"/>
      <c r="L444" s="1018"/>
      <c r="M444" s="1057"/>
      <c r="N444" s="1018"/>
      <c r="O444" s="1018"/>
      <c r="P444" s="1018"/>
      <c r="Q444" s="1018"/>
      <c r="R444" s="1018"/>
      <c r="S444" s="1018"/>
      <c r="T444" s="1019"/>
      <c r="U444" s="1098" t="s">
        <v>3785</v>
      </c>
      <c r="V444" s="1099" t="s">
        <v>3781</v>
      </c>
      <c r="W444" s="1099" t="s">
        <v>1907</v>
      </c>
      <c r="X444" s="1100" t="s">
        <v>3786</v>
      </c>
      <c r="Y444" s="1101" t="s">
        <v>167</v>
      </c>
      <c r="Z444" s="1102" t="s">
        <v>3787</v>
      </c>
      <c r="AA444" s="1103">
        <v>0.11</v>
      </c>
      <c r="AB444" s="1104">
        <v>0.89</v>
      </c>
      <c r="AC444" s="1104" t="s">
        <v>1942</v>
      </c>
      <c r="AD444" s="1104" t="s">
        <v>1942</v>
      </c>
      <c r="AE444" s="1104" t="s">
        <v>1942</v>
      </c>
      <c r="AF444" s="1104" t="s">
        <v>1942</v>
      </c>
      <c r="AG444" s="1104" t="s">
        <v>1942</v>
      </c>
      <c r="AH444" s="1104" t="s">
        <v>1942</v>
      </c>
      <c r="AI444" s="1105">
        <f t="shared" si="6"/>
        <v>1</v>
      </c>
      <c r="AJ444" s="1106" t="s">
        <v>1026</v>
      </c>
      <c r="AK444" s="1106" t="s">
        <v>1008</v>
      </c>
      <c r="AL444" s="1106" t="s">
        <v>1009</v>
      </c>
      <c r="AM444" s="1107" t="s">
        <v>1915</v>
      </c>
      <c r="AN444" s="1018" t="s">
        <v>278</v>
      </c>
      <c r="AO444" s="1018" t="s">
        <v>4793</v>
      </c>
      <c r="AP444" s="1307">
        <v>2</v>
      </c>
      <c r="AQ444" s="1076" t="s">
        <v>1020</v>
      </c>
      <c r="AR444" s="1109" t="s">
        <v>167</v>
      </c>
      <c r="AS444" s="1110"/>
      <c r="AT444" s="1100"/>
      <c r="AU444" s="1100"/>
      <c r="AV444" s="1100"/>
      <c r="AW444" s="1111"/>
      <c r="AX444" s="1112"/>
      <c r="AY444" s="1075"/>
      <c r="AZ444" s="1076"/>
      <c r="BA444" s="1076"/>
      <c r="BB444" s="1076"/>
      <c r="BC444" s="1076"/>
      <c r="BD444" s="1076"/>
      <c r="BE444" s="1076"/>
      <c r="BF444" s="1076"/>
      <c r="BG444" s="1126"/>
      <c r="BH444" s="1126"/>
      <c r="BI444" s="1127">
        <v>6</v>
      </c>
      <c r="BJ444" s="1126">
        <v>5.09</v>
      </c>
      <c r="BK444" s="1126">
        <v>4.17</v>
      </c>
      <c r="BL444" s="1126">
        <v>3.26</v>
      </c>
      <c r="BM444" s="1126">
        <v>2.34</v>
      </c>
      <c r="BN444" s="1075"/>
      <c r="BO444" s="1076"/>
      <c r="BP444" s="1076"/>
      <c r="BQ444" s="1076"/>
      <c r="BR444" s="1076"/>
      <c r="BS444" s="1115"/>
      <c r="BT444" s="1076"/>
      <c r="BU444" s="1076"/>
      <c r="BV444" s="1076"/>
      <c r="BW444" s="1116"/>
      <c r="BX444" s="1115"/>
      <c r="BY444" s="1076"/>
      <c r="BZ444" s="1076"/>
      <c r="CA444" s="1076"/>
      <c r="CB444" s="1116"/>
      <c r="CC444" s="1117"/>
      <c r="CD444" s="1118" t="s">
        <v>168</v>
      </c>
      <c r="CE444" s="1119" t="s">
        <v>168</v>
      </c>
      <c r="CF444" s="1119" t="s">
        <v>168</v>
      </c>
      <c r="CG444" s="1119" t="s">
        <v>168</v>
      </c>
      <c r="CH444" s="1120" t="s">
        <v>168</v>
      </c>
      <c r="CI444" s="1075" t="s">
        <v>1942</v>
      </c>
      <c r="CJ444" s="1076" t="s">
        <v>1942</v>
      </c>
      <c r="CK444" s="1076" t="s">
        <v>1942</v>
      </c>
      <c r="CL444" s="1076" t="s">
        <v>1942</v>
      </c>
      <c r="CM444" s="1117" t="s">
        <v>1942</v>
      </c>
      <c r="CN444" s="1075">
        <v>24</v>
      </c>
      <c r="CO444" s="1076">
        <v>24</v>
      </c>
      <c r="CP444" s="1076">
        <v>24</v>
      </c>
      <c r="CQ444" s="1076">
        <v>24</v>
      </c>
      <c r="CR444" s="1117">
        <v>24</v>
      </c>
      <c r="CS444" s="1075" t="s">
        <v>1942</v>
      </c>
      <c r="CT444" s="1076" t="s">
        <v>1942</v>
      </c>
      <c r="CU444" s="1076" t="s">
        <v>1942</v>
      </c>
      <c r="CV444" s="1076" t="s">
        <v>1942</v>
      </c>
      <c r="CW444" s="1117" t="s">
        <v>1942</v>
      </c>
      <c r="CX444" s="1075" t="s">
        <v>1942</v>
      </c>
      <c r="CY444" s="1076" t="s">
        <v>1942</v>
      </c>
      <c r="CZ444" s="1076" t="s">
        <v>1942</v>
      </c>
      <c r="DA444" s="1076" t="s">
        <v>1942</v>
      </c>
      <c r="DB444" s="1117" t="s">
        <v>1942</v>
      </c>
      <c r="DC444" s="1076" t="s">
        <v>1942</v>
      </c>
      <c r="DD444" s="1076" t="s">
        <v>1942</v>
      </c>
      <c r="DE444" s="1076" t="s">
        <v>1942</v>
      </c>
      <c r="DF444" s="1076" t="s">
        <v>1942</v>
      </c>
      <c r="DG444" s="1117" t="s">
        <v>1942</v>
      </c>
      <c r="DH444" s="1075" t="s">
        <v>1942</v>
      </c>
      <c r="DI444" s="1076" t="s">
        <v>1942</v>
      </c>
      <c r="DJ444" s="1076" t="s">
        <v>1942</v>
      </c>
      <c r="DK444" s="1076" t="s">
        <v>1942</v>
      </c>
      <c r="DL444" s="1117" t="s">
        <v>1942</v>
      </c>
      <c r="DM444" s="1121">
        <v>-3.08</v>
      </c>
      <c r="DN444" s="1122">
        <v>-2.7189999999999999</v>
      </c>
      <c r="DO444" s="1122" t="s">
        <v>1942</v>
      </c>
      <c r="DP444" s="1123" t="s">
        <v>1942</v>
      </c>
      <c r="DQ444" s="1122">
        <v>0</v>
      </c>
      <c r="DR444" s="1122" t="s">
        <v>1942</v>
      </c>
      <c r="DS444" s="1122" t="s">
        <v>1942</v>
      </c>
      <c r="DT444" s="1123" t="s">
        <v>1942</v>
      </c>
      <c r="DU444" s="1119" t="s">
        <v>1942</v>
      </c>
      <c r="DV444" s="1124">
        <v>1</v>
      </c>
      <c r="DW444" s="1125" t="s">
        <v>1942</v>
      </c>
    </row>
    <row r="445" spans="1:127" s="397" customFormat="1" ht="15.75" hidden="1" customHeight="1">
      <c r="A445" s="1097" t="s">
        <v>1045</v>
      </c>
      <c r="B445" s="1057">
        <v>436</v>
      </c>
      <c r="C445" s="1018"/>
      <c r="D445" s="1018"/>
      <c r="E445" s="1018"/>
      <c r="F445" s="1018"/>
      <c r="G445" s="1018"/>
      <c r="H445" s="1018"/>
      <c r="I445" s="1018"/>
      <c r="J445" s="1018"/>
      <c r="K445" s="1018"/>
      <c r="L445" s="1018"/>
      <c r="M445" s="1057"/>
      <c r="N445" s="1018"/>
      <c r="O445" s="1018"/>
      <c r="P445" s="1018"/>
      <c r="Q445" s="1018"/>
      <c r="R445" s="1018"/>
      <c r="S445" s="1018"/>
      <c r="T445" s="1019"/>
      <c r="U445" s="1098" t="s">
        <v>3788</v>
      </c>
      <c r="V445" s="1099" t="s">
        <v>3781</v>
      </c>
      <c r="W445" s="1099" t="s">
        <v>1889</v>
      </c>
      <c r="X445" s="1100" t="s">
        <v>3789</v>
      </c>
      <c r="Y445" s="1101" t="s">
        <v>137</v>
      </c>
      <c r="Z445" s="1102" t="s">
        <v>3790</v>
      </c>
      <c r="AA445" s="1103" t="s">
        <v>1942</v>
      </c>
      <c r="AB445" s="1104">
        <v>1</v>
      </c>
      <c r="AC445" s="1104" t="s">
        <v>1942</v>
      </c>
      <c r="AD445" s="1104" t="s">
        <v>1942</v>
      </c>
      <c r="AE445" s="1104" t="s">
        <v>1942</v>
      </c>
      <c r="AF445" s="1104" t="s">
        <v>1942</v>
      </c>
      <c r="AG445" s="1104" t="s">
        <v>1942</v>
      </c>
      <c r="AH445" s="1104" t="s">
        <v>1942</v>
      </c>
      <c r="AI445" s="1105">
        <f t="shared" si="6"/>
        <v>1</v>
      </c>
      <c r="AJ445" s="1106" t="s">
        <v>1030</v>
      </c>
      <c r="AK445" s="1106" t="s">
        <v>1008</v>
      </c>
      <c r="AL445" s="1106" t="s">
        <v>1009</v>
      </c>
      <c r="AM445" s="1107" t="s">
        <v>1892</v>
      </c>
      <c r="AN445" s="1018" t="s">
        <v>4789</v>
      </c>
      <c r="AO445" s="1018" t="s">
        <v>4790</v>
      </c>
      <c r="AP445" s="1307">
        <v>0</v>
      </c>
      <c r="AQ445" s="1076" t="s">
        <v>1020</v>
      </c>
      <c r="AR445" s="1109" t="s">
        <v>137</v>
      </c>
      <c r="AS445" s="1110"/>
      <c r="AT445" s="1100"/>
      <c r="AU445" s="1100"/>
      <c r="AV445" s="1100"/>
      <c r="AW445" s="1111"/>
      <c r="AX445" s="1112"/>
      <c r="AY445" s="1075"/>
      <c r="AZ445" s="1076"/>
      <c r="BA445" s="1076"/>
      <c r="BB445" s="1076"/>
      <c r="BC445" s="1076"/>
      <c r="BD445" s="1076"/>
      <c r="BE445" s="1076"/>
      <c r="BF445" s="1076"/>
      <c r="BG445" s="1150"/>
      <c r="BH445" s="1150"/>
      <c r="BI445" s="1149">
        <v>4.5138888888888893E-3</v>
      </c>
      <c r="BJ445" s="1150">
        <v>4.2592592592592595E-3</v>
      </c>
      <c r="BK445" s="1150">
        <v>3.9930555555555561E-3</v>
      </c>
      <c r="BL445" s="1150">
        <v>3.7384259259259263E-3</v>
      </c>
      <c r="BM445" s="1150">
        <v>3.472222222222222E-3</v>
      </c>
      <c r="BN445" s="1075"/>
      <c r="BO445" s="1076"/>
      <c r="BP445" s="1076"/>
      <c r="BQ445" s="1076"/>
      <c r="BR445" s="1076"/>
      <c r="BS445" s="1115"/>
      <c r="BT445" s="1076"/>
      <c r="BU445" s="1076"/>
      <c r="BV445" s="1076"/>
      <c r="BW445" s="1116"/>
      <c r="BX445" s="1115"/>
      <c r="BY445" s="1076"/>
      <c r="BZ445" s="1076"/>
      <c r="CA445" s="1076"/>
      <c r="CB445" s="1116"/>
      <c r="CC445" s="1117"/>
      <c r="CD445" s="1118" t="s">
        <v>168</v>
      </c>
      <c r="CE445" s="1119" t="s">
        <v>168</v>
      </c>
      <c r="CF445" s="1119" t="s">
        <v>168</v>
      </c>
      <c r="CG445" s="1119" t="s">
        <v>168</v>
      </c>
      <c r="CH445" s="1120" t="s">
        <v>168</v>
      </c>
      <c r="CI445" s="1075" t="s">
        <v>1942</v>
      </c>
      <c r="CJ445" s="1076" t="s">
        <v>1942</v>
      </c>
      <c r="CK445" s="1076" t="s">
        <v>1942</v>
      </c>
      <c r="CL445" s="1076" t="s">
        <v>1942</v>
      </c>
      <c r="CM445" s="1117" t="s">
        <v>1942</v>
      </c>
      <c r="CN445" s="1149">
        <v>1.5798611111111114E-2</v>
      </c>
      <c r="CO445" s="1150">
        <v>1.5798611111111114E-2</v>
      </c>
      <c r="CP445" s="1150">
        <v>1.5798611111111114E-2</v>
      </c>
      <c r="CQ445" s="1150">
        <v>1.5798611111111114E-2</v>
      </c>
      <c r="CR445" s="1153">
        <v>1.5798611111111114E-2</v>
      </c>
      <c r="CS445" s="1075" t="s">
        <v>1942</v>
      </c>
      <c r="CT445" s="1076" t="s">
        <v>1942</v>
      </c>
      <c r="CU445" s="1076" t="s">
        <v>1942</v>
      </c>
      <c r="CV445" s="1076" t="s">
        <v>1942</v>
      </c>
      <c r="CW445" s="1117" t="s">
        <v>1942</v>
      </c>
      <c r="CX445" s="1075" t="s">
        <v>1942</v>
      </c>
      <c r="CY445" s="1076" t="s">
        <v>1942</v>
      </c>
      <c r="CZ445" s="1076" t="s">
        <v>1942</v>
      </c>
      <c r="DA445" s="1076" t="s">
        <v>1942</v>
      </c>
      <c r="DB445" s="1117" t="s">
        <v>1942</v>
      </c>
      <c r="DC445" s="1150">
        <v>2.6736111111111118E-3</v>
      </c>
      <c r="DD445" s="1150">
        <v>2.4768518518518525E-3</v>
      </c>
      <c r="DE445" s="1150">
        <v>2.2685185185185195E-3</v>
      </c>
      <c r="DF445" s="1150">
        <v>2.0717592592592593E-3</v>
      </c>
      <c r="DG445" s="1153">
        <v>1.8634259259259255E-3</v>
      </c>
      <c r="DH445" s="1075" t="s">
        <v>1942</v>
      </c>
      <c r="DI445" s="1076" t="s">
        <v>1942</v>
      </c>
      <c r="DJ445" s="1076" t="s">
        <v>1942</v>
      </c>
      <c r="DK445" s="1076" t="s">
        <v>1942</v>
      </c>
      <c r="DL445" s="1117" t="s">
        <v>1942</v>
      </c>
      <c r="DM445" s="1121">
        <v>-1.415</v>
      </c>
      <c r="DN445" s="1122" t="s">
        <v>1942</v>
      </c>
      <c r="DO445" s="1122" t="s">
        <v>1942</v>
      </c>
      <c r="DP445" s="1123" t="s">
        <v>1942</v>
      </c>
      <c r="DQ445" s="1122">
        <v>1.415</v>
      </c>
      <c r="DR445" s="1122" t="s">
        <v>1942</v>
      </c>
      <c r="DS445" s="1122" t="s">
        <v>1942</v>
      </c>
      <c r="DT445" s="1123" t="s">
        <v>1942</v>
      </c>
      <c r="DU445" s="1119" t="s">
        <v>1942</v>
      </c>
      <c r="DV445" s="1124">
        <v>1</v>
      </c>
      <c r="DW445" s="1125" t="s">
        <v>1942</v>
      </c>
    </row>
    <row r="446" spans="1:127" s="397" customFormat="1" ht="15.75" hidden="1" customHeight="1">
      <c r="A446" s="1054" t="s">
        <v>1045</v>
      </c>
      <c r="B446" s="1055">
        <v>437</v>
      </c>
      <c r="C446" s="1143"/>
      <c r="D446" s="1143"/>
      <c r="E446" s="1143"/>
      <c r="F446" s="1143"/>
      <c r="G446" s="1143"/>
      <c r="H446" s="1143"/>
      <c r="I446" s="1143"/>
      <c r="J446" s="1143"/>
      <c r="K446" s="1143"/>
      <c r="L446" s="1143"/>
      <c r="M446" s="1055"/>
      <c r="N446" s="1143"/>
      <c r="O446" s="1143"/>
      <c r="P446" s="1143"/>
      <c r="Q446" s="1143"/>
      <c r="R446" s="1143"/>
      <c r="S446" s="1143"/>
      <c r="T446" s="1058"/>
      <c r="U446" s="1059" t="s">
        <v>3792</v>
      </c>
      <c r="V446" s="1060" t="s">
        <v>3781</v>
      </c>
      <c r="W446" s="1060" t="s">
        <v>1889</v>
      </c>
      <c r="X446" s="1061" t="s">
        <v>3793</v>
      </c>
      <c r="Y446" s="1062" t="s">
        <v>669</v>
      </c>
      <c r="Z446" s="1063" t="s">
        <v>3794</v>
      </c>
      <c r="AA446" s="1064" t="s">
        <v>1942</v>
      </c>
      <c r="AB446" s="1065">
        <v>1</v>
      </c>
      <c r="AC446" s="1065" t="s">
        <v>1942</v>
      </c>
      <c r="AD446" s="1065" t="s">
        <v>1942</v>
      </c>
      <c r="AE446" s="1065" t="s">
        <v>1942</v>
      </c>
      <c r="AF446" s="1065" t="s">
        <v>1942</v>
      </c>
      <c r="AG446" s="1065" t="s">
        <v>1942</v>
      </c>
      <c r="AH446" s="1065" t="s">
        <v>1942</v>
      </c>
      <c r="AI446" s="1066">
        <f t="shared" si="6"/>
        <v>1</v>
      </c>
      <c r="AJ446" s="1067" t="s">
        <v>1030</v>
      </c>
      <c r="AK446" s="1067" t="s">
        <v>1008</v>
      </c>
      <c r="AL446" s="1067" t="s">
        <v>1009</v>
      </c>
      <c r="AM446" s="1068" t="s">
        <v>669</v>
      </c>
      <c r="AN446" s="1062" t="s">
        <v>278</v>
      </c>
      <c r="AO446" s="1062" t="s">
        <v>4791</v>
      </c>
      <c r="AP446" s="1307">
        <v>1</v>
      </c>
      <c r="AQ446" s="833" t="s">
        <v>1010</v>
      </c>
      <c r="AR446" s="1071" t="s">
        <v>669</v>
      </c>
      <c r="AS446" s="1072"/>
      <c r="AT446" s="1061"/>
      <c r="AU446" s="1061"/>
      <c r="AV446" s="1061"/>
      <c r="AW446" s="1073"/>
      <c r="AX446" s="1074"/>
      <c r="AY446" s="1079"/>
      <c r="AZ446" s="1080"/>
      <c r="BA446" s="1080"/>
      <c r="BB446" s="1080"/>
      <c r="BC446" s="1080"/>
      <c r="BD446" s="1080"/>
      <c r="BE446" s="1080"/>
      <c r="BF446" s="1080"/>
      <c r="BG446" s="1077"/>
      <c r="BH446" s="1077"/>
      <c r="BI446" s="1078">
        <v>4.0999999999999996</v>
      </c>
      <c r="BJ446" s="1077">
        <v>10.199999999999999</v>
      </c>
      <c r="BK446" s="1077">
        <v>14.1</v>
      </c>
      <c r="BL446" s="1077">
        <v>17.399999999999999</v>
      </c>
      <c r="BM446" s="2022">
        <v>20.5</v>
      </c>
      <c r="BN446" s="1079"/>
      <c r="BO446" s="1080"/>
      <c r="BP446" s="1080"/>
      <c r="BQ446" s="1080"/>
      <c r="BR446" s="1080"/>
      <c r="BS446" s="1081"/>
      <c r="BT446" s="1080"/>
      <c r="BU446" s="1080"/>
      <c r="BV446" s="1080"/>
      <c r="BW446" s="1082"/>
      <c r="BX446" s="1081"/>
      <c r="BY446" s="1080"/>
      <c r="BZ446" s="1080"/>
      <c r="CA446" s="1080"/>
      <c r="CB446" s="1082"/>
      <c r="CC446" s="1083"/>
      <c r="CD446" s="1084" t="s">
        <v>168</v>
      </c>
      <c r="CE446" s="1085" t="s">
        <v>168</v>
      </c>
      <c r="CF446" s="1085" t="s">
        <v>168</v>
      </c>
      <c r="CG446" s="1085" t="s">
        <v>168</v>
      </c>
      <c r="CH446" s="1086" t="s">
        <v>168</v>
      </c>
      <c r="CI446" s="1089" t="s">
        <v>1942</v>
      </c>
      <c r="CJ446" s="1087" t="s">
        <v>1942</v>
      </c>
      <c r="CK446" s="1087" t="s">
        <v>1942</v>
      </c>
      <c r="CL446" s="1087" t="s">
        <v>1942</v>
      </c>
      <c r="CM446" s="1088" t="s">
        <v>1942</v>
      </c>
      <c r="CN446" s="1089">
        <v>-10</v>
      </c>
      <c r="CO446" s="1087">
        <v>-10</v>
      </c>
      <c r="CP446" s="1087">
        <v>-10</v>
      </c>
      <c r="CQ446" s="1087">
        <v>-10</v>
      </c>
      <c r="CR446" s="1088">
        <v>-10</v>
      </c>
      <c r="CS446" s="1079" t="s">
        <v>1942</v>
      </c>
      <c r="CT446" s="1080" t="s">
        <v>1942</v>
      </c>
      <c r="CU446" s="1080" t="s">
        <v>1942</v>
      </c>
      <c r="CV446" s="1080" t="s">
        <v>1942</v>
      </c>
      <c r="CW446" s="1083" t="s">
        <v>1942</v>
      </c>
      <c r="CX446" s="1079" t="s">
        <v>1942</v>
      </c>
      <c r="CY446" s="1080" t="s">
        <v>1942</v>
      </c>
      <c r="CZ446" s="1080" t="s">
        <v>1942</v>
      </c>
      <c r="DA446" s="1080" t="s">
        <v>1942</v>
      </c>
      <c r="DB446" s="1083" t="s">
        <v>1942</v>
      </c>
      <c r="DC446" s="1087">
        <v>7.4</v>
      </c>
      <c r="DD446" s="1087">
        <v>14.9</v>
      </c>
      <c r="DE446" s="1087">
        <v>18.8</v>
      </c>
      <c r="DF446" s="1087">
        <v>22.1</v>
      </c>
      <c r="DG446" s="1088">
        <v>25.1</v>
      </c>
      <c r="DH446" s="1089" t="s">
        <v>1942</v>
      </c>
      <c r="DI446" s="1080" t="s">
        <v>1942</v>
      </c>
      <c r="DJ446" s="1080" t="s">
        <v>1942</v>
      </c>
      <c r="DK446" s="1080" t="s">
        <v>1942</v>
      </c>
      <c r="DL446" s="1083" t="s">
        <v>1942</v>
      </c>
      <c r="DM446" s="1091">
        <v>-0.38900000000000001</v>
      </c>
      <c r="DN446" s="1092" t="s">
        <v>1942</v>
      </c>
      <c r="DO446" s="1092" t="s">
        <v>1942</v>
      </c>
      <c r="DP446" s="1093" t="s">
        <v>1942</v>
      </c>
      <c r="DQ446" s="1092">
        <v>0.307</v>
      </c>
      <c r="DR446" s="1092" t="s">
        <v>1942</v>
      </c>
      <c r="DS446" s="1092" t="s">
        <v>1942</v>
      </c>
      <c r="DT446" s="1093" t="s">
        <v>1942</v>
      </c>
      <c r="DU446" s="1085" t="s">
        <v>131</v>
      </c>
      <c r="DV446" s="1094">
        <v>1</v>
      </c>
      <c r="DW446" s="1095" t="s">
        <v>1942</v>
      </c>
    </row>
    <row r="447" spans="1:127" s="397" customFormat="1" ht="15.75" hidden="1" customHeight="1">
      <c r="A447" s="1054" t="s">
        <v>1045</v>
      </c>
      <c r="B447" s="1055">
        <v>438</v>
      </c>
      <c r="C447" s="1143"/>
      <c r="D447" s="1143"/>
      <c r="E447" s="1143"/>
      <c r="F447" s="1143"/>
      <c r="G447" s="1143"/>
      <c r="H447" s="1143"/>
      <c r="I447" s="1143"/>
      <c r="J447" s="1143"/>
      <c r="K447" s="1143"/>
      <c r="L447" s="1143"/>
      <c r="M447" s="1055"/>
      <c r="N447" s="1143"/>
      <c r="O447" s="1143"/>
      <c r="P447" s="1143"/>
      <c r="Q447" s="1143"/>
      <c r="R447" s="1143"/>
      <c r="S447" s="1143"/>
      <c r="T447" s="1058"/>
      <c r="U447" s="1059" t="s">
        <v>3796</v>
      </c>
      <c r="V447" s="1060" t="s">
        <v>3781</v>
      </c>
      <c r="W447" s="1060" t="s">
        <v>1907</v>
      </c>
      <c r="X447" s="1061" t="s">
        <v>3797</v>
      </c>
      <c r="Y447" s="1062" t="s">
        <v>1902</v>
      </c>
      <c r="Z447" s="1063" t="s">
        <v>3798</v>
      </c>
      <c r="AA447" s="1064" t="s">
        <v>1942</v>
      </c>
      <c r="AB447" s="1065">
        <v>1</v>
      </c>
      <c r="AC447" s="1065" t="s">
        <v>1942</v>
      </c>
      <c r="AD447" s="1065" t="s">
        <v>1942</v>
      </c>
      <c r="AE447" s="1065" t="s">
        <v>1942</v>
      </c>
      <c r="AF447" s="1065" t="s">
        <v>1942</v>
      </c>
      <c r="AG447" s="1065" t="s">
        <v>1942</v>
      </c>
      <c r="AH447" s="1065" t="s">
        <v>1942</v>
      </c>
      <c r="AI447" s="1066">
        <f t="shared" si="6"/>
        <v>1</v>
      </c>
      <c r="AJ447" s="1067" t="s">
        <v>1030</v>
      </c>
      <c r="AK447" s="1067" t="s">
        <v>1008</v>
      </c>
      <c r="AL447" s="1440" t="s">
        <v>1019</v>
      </c>
      <c r="AM447" s="1068" t="s">
        <v>2054</v>
      </c>
      <c r="AN447" s="1062" t="s">
        <v>2118</v>
      </c>
      <c r="AO447" s="1062" t="s">
        <v>4791</v>
      </c>
      <c r="AP447" s="1307">
        <v>1</v>
      </c>
      <c r="AQ447" s="833" t="s">
        <v>1010</v>
      </c>
      <c r="AR447" s="1071" t="s">
        <v>1902</v>
      </c>
      <c r="AS447" s="1072"/>
      <c r="AT447" s="1061"/>
      <c r="AU447" s="1061"/>
      <c r="AV447" s="1061"/>
      <c r="AW447" s="1073"/>
      <c r="AX447" s="1074"/>
      <c r="AY447" s="1079"/>
      <c r="AZ447" s="1080"/>
      <c r="BA447" s="1080"/>
      <c r="BB447" s="1080"/>
      <c r="BC447" s="1080"/>
      <c r="BD447" s="1080"/>
      <c r="BE447" s="1080"/>
      <c r="BF447" s="1080"/>
      <c r="BG447" s="1077"/>
      <c r="BH447" s="1077"/>
      <c r="BI447" s="1078">
        <v>1.1000000000000001</v>
      </c>
      <c r="BJ447" s="1077">
        <v>2.2999999999999998</v>
      </c>
      <c r="BK447" s="1077">
        <v>3.4</v>
      </c>
      <c r="BL447" s="1077">
        <v>4.4000000000000004</v>
      </c>
      <c r="BM447" s="1077">
        <v>6.3</v>
      </c>
      <c r="BN447" s="1079"/>
      <c r="BO447" s="1080"/>
      <c r="BP447" s="1080"/>
      <c r="BQ447" s="1080"/>
      <c r="BR447" s="1080"/>
      <c r="BS447" s="1081"/>
      <c r="BT447" s="1080"/>
      <c r="BU447" s="1080"/>
      <c r="BV447" s="1080"/>
      <c r="BW447" s="1082"/>
      <c r="BX447" s="1081"/>
      <c r="BY447" s="1080"/>
      <c r="BZ447" s="1080"/>
      <c r="CA447" s="1080"/>
      <c r="CB447" s="1082"/>
      <c r="CC447" s="1083"/>
      <c r="CD447" s="1084" t="s">
        <v>168</v>
      </c>
      <c r="CE447" s="1085" t="s">
        <v>168</v>
      </c>
      <c r="CF447" s="1085" t="s">
        <v>168</v>
      </c>
      <c r="CG447" s="1085" t="s">
        <v>168</v>
      </c>
      <c r="CH447" s="1086" t="s">
        <v>168</v>
      </c>
      <c r="CI447" s="1089" t="s">
        <v>1942</v>
      </c>
      <c r="CJ447" s="1087" t="s">
        <v>1942</v>
      </c>
      <c r="CK447" s="1087" t="s">
        <v>1942</v>
      </c>
      <c r="CL447" s="1087" t="s">
        <v>1942</v>
      </c>
      <c r="CM447" s="1088" t="s">
        <v>1942</v>
      </c>
      <c r="CN447" s="1089">
        <v>-8.8000000000000007</v>
      </c>
      <c r="CO447" s="1087">
        <v>-8.8000000000000007</v>
      </c>
      <c r="CP447" s="1087">
        <v>-8.8000000000000007</v>
      </c>
      <c r="CQ447" s="1087">
        <v>-8.8000000000000007</v>
      </c>
      <c r="CR447" s="1088">
        <v>-8.8000000000000007</v>
      </c>
      <c r="CS447" s="1079" t="s">
        <v>1942</v>
      </c>
      <c r="CT447" s="1080" t="s">
        <v>1942</v>
      </c>
      <c r="CU447" s="1080" t="s">
        <v>1942</v>
      </c>
      <c r="CV447" s="1080" t="s">
        <v>1942</v>
      </c>
      <c r="CW447" s="1083" t="s">
        <v>1942</v>
      </c>
      <c r="CX447" s="1079" t="s">
        <v>1942</v>
      </c>
      <c r="CY447" s="1080" t="s">
        <v>1942</v>
      </c>
      <c r="CZ447" s="1080" t="s">
        <v>1942</v>
      </c>
      <c r="DA447" s="1080" t="s">
        <v>1942</v>
      </c>
      <c r="DB447" s="1083" t="s">
        <v>1942</v>
      </c>
      <c r="DC447" s="1087">
        <v>4.5999999999999996</v>
      </c>
      <c r="DD447" s="1087">
        <v>5.8</v>
      </c>
      <c r="DE447" s="1087">
        <v>6.9</v>
      </c>
      <c r="DF447" s="1087">
        <v>7.9</v>
      </c>
      <c r="DG447" s="1088">
        <v>9.8000000000000007</v>
      </c>
      <c r="DH447" s="1089" t="s">
        <v>1942</v>
      </c>
      <c r="DI447" s="1080" t="s">
        <v>1942</v>
      </c>
      <c r="DJ447" s="1080" t="s">
        <v>1942</v>
      </c>
      <c r="DK447" s="1080" t="s">
        <v>1942</v>
      </c>
      <c r="DL447" s="1083" t="s">
        <v>1942</v>
      </c>
      <c r="DM447" s="1091">
        <v>-0.69599999999999995</v>
      </c>
      <c r="DN447" s="1092" t="s">
        <v>1942</v>
      </c>
      <c r="DO447" s="1092" t="s">
        <v>1942</v>
      </c>
      <c r="DP447" s="1093" t="s">
        <v>1942</v>
      </c>
      <c r="DQ447" s="1092">
        <v>0.76</v>
      </c>
      <c r="DR447" s="1092" t="s">
        <v>1942</v>
      </c>
      <c r="DS447" s="1092" t="s">
        <v>1942</v>
      </c>
      <c r="DT447" s="1093" t="s">
        <v>1942</v>
      </c>
      <c r="DU447" s="1085" t="s">
        <v>131</v>
      </c>
      <c r="DV447" s="1094">
        <v>1</v>
      </c>
      <c r="DW447" s="1095" t="s">
        <v>1942</v>
      </c>
    </row>
    <row r="448" spans="1:127" s="397" customFormat="1" ht="15.75" hidden="1" customHeight="1">
      <c r="A448" s="1097" t="s">
        <v>1045</v>
      </c>
      <c r="B448" s="1057">
        <v>439</v>
      </c>
      <c r="C448" s="1018"/>
      <c r="D448" s="1018"/>
      <c r="E448" s="1018"/>
      <c r="F448" s="1018"/>
      <c r="G448" s="1018"/>
      <c r="H448" s="1018"/>
      <c r="I448" s="1018"/>
      <c r="J448" s="1018"/>
      <c r="K448" s="1018"/>
      <c r="L448" s="1018"/>
      <c r="M448" s="1057"/>
      <c r="N448" s="1018"/>
      <c r="O448" s="1018"/>
      <c r="P448" s="1018"/>
      <c r="Q448" s="1018"/>
      <c r="R448" s="1018"/>
      <c r="S448" s="1018"/>
      <c r="T448" s="1019"/>
      <c r="U448" s="1098" t="s">
        <v>3800</v>
      </c>
      <c r="V448" s="1099" t="s">
        <v>3781</v>
      </c>
      <c r="W448" s="1099" t="s">
        <v>1907</v>
      </c>
      <c r="X448" s="1100" t="s">
        <v>3801</v>
      </c>
      <c r="Y448" s="1101" t="s">
        <v>130</v>
      </c>
      <c r="Z448" s="1102" t="s">
        <v>3802</v>
      </c>
      <c r="AA448" s="1103">
        <v>0.02</v>
      </c>
      <c r="AB448" s="1104">
        <v>0.98</v>
      </c>
      <c r="AC448" s="1104" t="s">
        <v>1942</v>
      </c>
      <c r="AD448" s="1104" t="s">
        <v>1942</v>
      </c>
      <c r="AE448" s="1104" t="s">
        <v>1942</v>
      </c>
      <c r="AF448" s="1104" t="s">
        <v>1942</v>
      </c>
      <c r="AG448" s="1104" t="s">
        <v>1942</v>
      </c>
      <c r="AH448" s="1104" t="s">
        <v>1942</v>
      </c>
      <c r="AI448" s="1105">
        <f t="shared" si="6"/>
        <v>1</v>
      </c>
      <c r="AJ448" s="1106" t="s">
        <v>1026</v>
      </c>
      <c r="AK448" s="1106" t="s">
        <v>1008</v>
      </c>
      <c r="AL448" s="1106" t="s">
        <v>1009</v>
      </c>
      <c r="AM448" s="1107" t="s">
        <v>1926</v>
      </c>
      <c r="AN448" s="1018" t="s">
        <v>2177</v>
      </c>
      <c r="AO448" s="1018" t="s">
        <v>4795</v>
      </c>
      <c r="AP448" s="1307">
        <v>2</v>
      </c>
      <c r="AQ448" s="1076" t="s">
        <v>1020</v>
      </c>
      <c r="AR448" s="1109" t="s">
        <v>130</v>
      </c>
      <c r="AS448" s="1110"/>
      <c r="AT448" s="1100"/>
      <c r="AU448" s="1100"/>
      <c r="AV448" s="1100"/>
      <c r="AW448" s="1111"/>
      <c r="AX448" s="1112"/>
      <c r="AY448" s="1075"/>
      <c r="AZ448" s="1076"/>
      <c r="BA448" s="1076"/>
      <c r="BB448" s="1076"/>
      <c r="BC448" s="1076"/>
      <c r="BD448" s="1076"/>
      <c r="BE448" s="1076"/>
      <c r="BF448" s="1076"/>
      <c r="BG448" s="1076"/>
      <c r="BH448" s="1076"/>
      <c r="BI448" s="1075">
        <v>0</v>
      </c>
      <c r="BJ448" s="1076">
        <v>0</v>
      </c>
      <c r="BK448" s="1076">
        <v>0</v>
      </c>
      <c r="BL448" s="1076">
        <v>0</v>
      </c>
      <c r="BM448" s="1076">
        <v>0</v>
      </c>
      <c r="BN448" s="1075"/>
      <c r="BO448" s="1076"/>
      <c r="BP448" s="1076"/>
      <c r="BQ448" s="1076"/>
      <c r="BR448" s="1076"/>
      <c r="BS448" s="1115"/>
      <c r="BT448" s="1076"/>
      <c r="BU448" s="1076"/>
      <c r="BV448" s="1076"/>
      <c r="BW448" s="1116"/>
      <c r="BX448" s="1115"/>
      <c r="BY448" s="1076"/>
      <c r="BZ448" s="1076"/>
      <c r="CA448" s="1076"/>
      <c r="CB448" s="1116"/>
      <c r="CC448" s="1117"/>
      <c r="CD448" s="1118" t="s">
        <v>168</v>
      </c>
      <c r="CE448" s="1119" t="s">
        <v>168</v>
      </c>
      <c r="CF448" s="1119" t="s">
        <v>168</v>
      </c>
      <c r="CG448" s="1119" t="s">
        <v>168</v>
      </c>
      <c r="CH448" s="1120" t="s">
        <v>168</v>
      </c>
      <c r="CI448" s="1075" t="s">
        <v>1942</v>
      </c>
      <c r="CJ448" s="1076" t="s">
        <v>1942</v>
      </c>
      <c r="CK448" s="1076" t="s">
        <v>1942</v>
      </c>
      <c r="CL448" s="1076" t="s">
        <v>1942</v>
      </c>
      <c r="CM448" s="1117" t="s">
        <v>1942</v>
      </c>
      <c r="CN448" s="1075">
        <v>9.5</v>
      </c>
      <c r="CO448" s="1076">
        <v>9.5</v>
      </c>
      <c r="CP448" s="1076">
        <v>9.5</v>
      </c>
      <c r="CQ448" s="1076">
        <v>9.5</v>
      </c>
      <c r="CR448" s="1117">
        <v>9.5</v>
      </c>
      <c r="CS448" s="1075">
        <v>2</v>
      </c>
      <c r="CT448" s="1076">
        <v>2</v>
      </c>
      <c r="CU448" s="1076">
        <v>2</v>
      </c>
      <c r="CV448" s="1076">
        <v>2</v>
      </c>
      <c r="CW448" s="1117">
        <v>2</v>
      </c>
      <c r="CX448" s="1075" t="s">
        <v>1942</v>
      </c>
      <c r="CY448" s="1076" t="s">
        <v>1942</v>
      </c>
      <c r="CZ448" s="1076" t="s">
        <v>1942</v>
      </c>
      <c r="DA448" s="1076" t="s">
        <v>1942</v>
      </c>
      <c r="DB448" s="1117" t="s">
        <v>1942</v>
      </c>
      <c r="DC448" s="1076" t="s">
        <v>1942</v>
      </c>
      <c r="DD448" s="1076" t="s">
        <v>1942</v>
      </c>
      <c r="DE448" s="1076" t="s">
        <v>1942</v>
      </c>
      <c r="DF448" s="1076" t="s">
        <v>1942</v>
      </c>
      <c r="DG448" s="1117" t="s">
        <v>1942</v>
      </c>
      <c r="DH448" s="1075" t="s">
        <v>1942</v>
      </c>
      <c r="DI448" s="1076" t="s">
        <v>1942</v>
      </c>
      <c r="DJ448" s="1076" t="s">
        <v>1942</v>
      </c>
      <c r="DK448" s="1076" t="s">
        <v>1942</v>
      </c>
      <c r="DL448" s="1117" t="s">
        <v>1942</v>
      </c>
      <c r="DM448" s="1121">
        <v>-2.1389999999999998</v>
      </c>
      <c r="DN448" s="1122" t="s">
        <v>1942</v>
      </c>
      <c r="DO448" s="1122" t="s">
        <v>1942</v>
      </c>
      <c r="DP448" s="1123" t="s">
        <v>1942</v>
      </c>
      <c r="DQ448" s="1122">
        <v>0</v>
      </c>
      <c r="DR448" s="1122" t="s">
        <v>1942</v>
      </c>
      <c r="DS448" s="1122" t="s">
        <v>1942</v>
      </c>
      <c r="DT448" s="1123" t="s">
        <v>1942</v>
      </c>
      <c r="DU448" s="1119" t="s">
        <v>131</v>
      </c>
      <c r="DV448" s="1124">
        <v>1</v>
      </c>
      <c r="DW448" s="1125" t="s">
        <v>1942</v>
      </c>
    </row>
    <row r="449" spans="1:127" s="397" customFormat="1" ht="15.75" hidden="1" customHeight="1">
      <c r="A449" s="1097" t="s">
        <v>1045</v>
      </c>
      <c r="B449" s="1057">
        <v>440</v>
      </c>
      <c r="C449" s="1018"/>
      <c r="D449" s="1018"/>
      <c r="E449" s="1018"/>
      <c r="F449" s="1018"/>
      <c r="G449" s="1018"/>
      <c r="H449" s="1018"/>
      <c r="I449" s="1018"/>
      <c r="J449" s="1018"/>
      <c r="K449" s="1018"/>
      <c r="L449" s="1018"/>
      <c r="M449" s="1057"/>
      <c r="N449" s="1018"/>
      <c r="O449" s="1018"/>
      <c r="P449" s="1018"/>
      <c r="Q449" s="1018"/>
      <c r="R449" s="1018"/>
      <c r="S449" s="1018"/>
      <c r="T449" s="1019"/>
      <c r="U449" s="1098" t="s">
        <v>3803</v>
      </c>
      <c r="V449" s="1099" t="s">
        <v>3781</v>
      </c>
      <c r="W449" s="1099" t="s">
        <v>1896</v>
      </c>
      <c r="X449" s="1100" t="s">
        <v>3804</v>
      </c>
      <c r="Y449" s="1101" t="s">
        <v>1983</v>
      </c>
      <c r="Z449" s="1102" t="s">
        <v>3805</v>
      </c>
      <c r="AA449" s="1103">
        <v>0.02</v>
      </c>
      <c r="AB449" s="1104">
        <v>0.98</v>
      </c>
      <c r="AC449" s="1104" t="s">
        <v>1942</v>
      </c>
      <c r="AD449" s="1104" t="s">
        <v>1942</v>
      </c>
      <c r="AE449" s="1104" t="s">
        <v>1942</v>
      </c>
      <c r="AF449" s="1104" t="s">
        <v>1942</v>
      </c>
      <c r="AG449" s="1104" t="s">
        <v>1942</v>
      </c>
      <c r="AH449" s="1104" t="s">
        <v>1942</v>
      </c>
      <c r="AI449" s="1105">
        <f t="shared" si="6"/>
        <v>1</v>
      </c>
      <c r="AJ449" s="1106" t="s">
        <v>1026</v>
      </c>
      <c r="AK449" s="1106" t="s">
        <v>1008</v>
      </c>
      <c r="AL449" s="1106" t="s">
        <v>1009</v>
      </c>
      <c r="AM449" s="1107" t="s">
        <v>1985</v>
      </c>
      <c r="AN449" s="1018" t="s">
        <v>2177</v>
      </c>
      <c r="AO449" s="1018" t="s">
        <v>4796</v>
      </c>
      <c r="AP449" s="1333">
        <v>0</v>
      </c>
      <c r="AQ449" s="1076" t="s">
        <v>1020</v>
      </c>
      <c r="AR449" s="1109"/>
      <c r="AS449" s="1110"/>
      <c r="AT449" s="1100"/>
      <c r="AU449" s="1100"/>
      <c r="AV449" s="1100"/>
      <c r="AW449" s="1111"/>
      <c r="AX449" s="1112"/>
      <c r="AY449" s="1075"/>
      <c r="AZ449" s="1076"/>
      <c r="BA449" s="1076"/>
      <c r="BB449" s="1076"/>
      <c r="BC449" s="1076"/>
      <c r="BD449" s="1076"/>
      <c r="BE449" s="1076"/>
      <c r="BF449" s="1076"/>
      <c r="BG449" s="1076"/>
      <c r="BH449" s="1076"/>
      <c r="BI449" s="1420"/>
      <c r="BJ449" s="1368"/>
      <c r="BK449" s="1368"/>
      <c r="BL449" s="1368"/>
      <c r="BM449" s="1368"/>
      <c r="BN449" s="1075"/>
      <c r="BO449" s="1076"/>
      <c r="BP449" s="1076"/>
      <c r="BQ449" s="1076"/>
      <c r="BR449" s="1076"/>
      <c r="BS449" s="1115"/>
      <c r="BT449" s="1076"/>
      <c r="BU449" s="1076"/>
      <c r="BV449" s="1076"/>
      <c r="BW449" s="1116"/>
      <c r="BX449" s="1115"/>
      <c r="BY449" s="1076"/>
      <c r="BZ449" s="1076"/>
      <c r="CA449" s="1076"/>
      <c r="CB449" s="1116"/>
      <c r="CC449" s="1117"/>
      <c r="CD449" s="1376"/>
      <c r="CE449" s="1377"/>
      <c r="CF449" s="1377"/>
      <c r="CG449" s="1377"/>
      <c r="CH449" s="1440"/>
      <c r="CI449" s="1420"/>
      <c r="CJ449" s="1368"/>
      <c r="CK449" s="1368"/>
      <c r="CL449" s="1368"/>
      <c r="CM449" s="1369"/>
      <c r="CN449" s="1420"/>
      <c r="CO449" s="1368"/>
      <c r="CP449" s="1368"/>
      <c r="CQ449" s="1368"/>
      <c r="CR449" s="1369"/>
      <c r="CS449" s="1420"/>
      <c r="CT449" s="1368"/>
      <c r="CU449" s="1368"/>
      <c r="CV449" s="1368"/>
      <c r="CW449" s="1369"/>
      <c r="CX449" s="1420"/>
      <c r="CY449" s="1368"/>
      <c r="CZ449" s="1368"/>
      <c r="DA449" s="1368"/>
      <c r="DB449" s="1369"/>
      <c r="DC449" s="1368"/>
      <c r="DD449" s="1368"/>
      <c r="DE449" s="1368"/>
      <c r="DF449" s="1368"/>
      <c r="DG449" s="1369"/>
      <c r="DH449" s="1420"/>
      <c r="DI449" s="1368"/>
      <c r="DJ449" s="1368"/>
      <c r="DK449" s="1368"/>
      <c r="DL449" s="1369"/>
      <c r="DM449" s="1808"/>
      <c r="DN449" s="1809"/>
      <c r="DO449" s="1809"/>
      <c r="DP449" s="1810"/>
      <c r="DQ449" s="1809"/>
      <c r="DR449" s="1809"/>
      <c r="DS449" s="1809"/>
      <c r="DT449" s="1810"/>
      <c r="DU449" s="1377"/>
      <c r="DV449" s="1729"/>
      <c r="DW449" s="1811"/>
    </row>
    <row r="450" spans="1:127" s="397" customFormat="1" ht="15.75" hidden="1" customHeight="1">
      <c r="A450" s="1097" t="s">
        <v>1045</v>
      </c>
      <c r="B450" s="1057">
        <v>441</v>
      </c>
      <c r="C450" s="1018"/>
      <c r="D450" s="1018"/>
      <c r="E450" s="1018"/>
      <c r="F450" s="1018"/>
      <c r="G450" s="1018"/>
      <c r="H450" s="1018"/>
      <c r="I450" s="1018"/>
      <c r="J450" s="1018"/>
      <c r="K450" s="1018"/>
      <c r="L450" s="1018"/>
      <c r="M450" s="1057"/>
      <c r="N450" s="1018"/>
      <c r="O450" s="1018"/>
      <c r="P450" s="1018"/>
      <c r="Q450" s="1018"/>
      <c r="R450" s="1018"/>
      <c r="S450" s="1018"/>
      <c r="T450" s="1019"/>
      <c r="U450" s="1098" t="s">
        <v>3807</v>
      </c>
      <c r="V450" s="1099" t="s">
        <v>3781</v>
      </c>
      <c r="W450" s="1099" t="s">
        <v>1907</v>
      </c>
      <c r="X450" s="1100" t="s">
        <v>3808</v>
      </c>
      <c r="Y450" s="1101" t="s">
        <v>3809</v>
      </c>
      <c r="Z450" s="1102" t="s">
        <v>3810</v>
      </c>
      <c r="AA450" s="1103">
        <v>0.01</v>
      </c>
      <c r="AB450" s="1104">
        <v>0.99</v>
      </c>
      <c r="AC450" s="1104" t="s">
        <v>1942</v>
      </c>
      <c r="AD450" s="1104" t="s">
        <v>1942</v>
      </c>
      <c r="AE450" s="1104" t="s">
        <v>1942</v>
      </c>
      <c r="AF450" s="1104" t="s">
        <v>1942</v>
      </c>
      <c r="AG450" s="1104" t="s">
        <v>1942</v>
      </c>
      <c r="AH450" s="1104" t="s">
        <v>1942</v>
      </c>
      <c r="AI450" s="1105">
        <f t="shared" si="6"/>
        <v>1</v>
      </c>
      <c r="AJ450" s="1106" t="s">
        <v>1026</v>
      </c>
      <c r="AK450" s="1106" t="s">
        <v>1008</v>
      </c>
      <c r="AL450" s="1106" t="s">
        <v>1009</v>
      </c>
      <c r="AM450" s="1107" t="s">
        <v>2149</v>
      </c>
      <c r="AN450" s="1018" t="s">
        <v>396</v>
      </c>
      <c r="AO450" s="1018" t="s">
        <v>4798</v>
      </c>
      <c r="AP450" s="1307">
        <v>2</v>
      </c>
      <c r="AQ450" s="1076" t="s">
        <v>1020</v>
      </c>
      <c r="AR450" s="1109"/>
      <c r="AS450" s="1110"/>
      <c r="AT450" s="1100"/>
      <c r="AU450" s="1100"/>
      <c r="AV450" s="1100"/>
      <c r="AW450" s="1111"/>
      <c r="AX450" s="1112"/>
      <c r="AY450" s="1075"/>
      <c r="AZ450" s="1076"/>
      <c r="BA450" s="1076"/>
      <c r="BB450" s="1076"/>
      <c r="BC450" s="1076"/>
      <c r="BD450" s="1076"/>
      <c r="BE450" s="1076"/>
      <c r="BF450" s="1076"/>
      <c r="BG450" s="1076"/>
      <c r="BH450" s="1076"/>
      <c r="BI450" s="1420"/>
      <c r="BJ450" s="1368"/>
      <c r="BK450" s="1368"/>
      <c r="BL450" s="1368"/>
      <c r="BM450" s="1368"/>
      <c r="BN450" s="1075"/>
      <c r="BO450" s="1076"/>
      <c r="BP450" s="1076"/>
      <c r="BQ450" s="1076"/>
      <c r="BR450" s="1076"/>
      <c r="BS450" s="1115"/>
      <c r="BT450" s="1076"/>
      <c r="BU450" s="1076"/>
      <c r="BV450" s="1076"/>
      <c r="BW450" s="1116"/>
      <c r="BX450" s="1115"/>
      <c r="BY450" s="1076"/>
      <c r="BZ450" s="1076"/>
      <c r="CA450" s="1076"/>
      <c r="CB450" s="1116"/>
      <c r="CC450" s="1117"/>
      <c r="CD450" s="1376"/>
      <c r="CE450" s="1377"/>
      <c r="CF450" s="1377"/>
      <c r="CG450" s="1377"/>
      <c r="CH450" s="1440"/>
      <c r="CI450" s="1420"/>
      <c r="CJ450" s="1368"/>
      <c r="CK450" s="1368"/>
      <c r="CL450" s="1368"/>
      <c r="CM450" s="1369"/>
      <c r="CN450" s="1420"/>
      <c r="CO450" s="1368"/>
      <c r="CP450" s="1368"/>
      <c r="CQ450" s="1368"/>
      <c r="CR450" s="1369"/>
      <c r="CS450" s="1420"/>
      <c r="CT450" s="1368"/>
      <c r="CU450" s="1368"/>
      <c r="CV450" s="1368"/>
      <c r="CW450" s="1369"/>
      <c r="CX450" s="1420"/>
      <c r="CY450" s="1368"/>
      <c r="CZ450" s="1368"/>
      <c r="DA450" s="1368"/>
      <c r="DB450" s="1369"/>
      <c r="DC450" s="1368"/>
      <c r="DD450" s="1368"/>
      <c r="DE450" s="1368"/>
      <c r="DF450" s="1368"/>
      <c r="DG450" s="1369"/>
      <c r="DH450" s="1420"/>
      <c r="DI450" s="1368"/>
      <c r="DJ450" s="1368"/>
      <c r="DK450" s="1368"/>
      <c r="DL450" s="1369"/>
      <c r="DM450" s="1808"/>
      <c r="DN450" s="1809"/>
      <c r="DO450" s="1809"/>
      <c r="DP450" s="1810"/>
      <c r="DQ450" s="1809"/>
      <c r="DR450" s="1809"/>
      <c r="DS450" s="1809"/>
      <c r="DT450" s="1810"/>
      <c r="DU450" s="1377"/>
      <c r="DV450" s="1729"/>
      <c r="DW450" s="1811"/>
    </row>
    <row r="451" spans="1:127" s="397" customFormat="1" ht="15.75" hidden="1" customHeight="1">
      <c r="A451" s="1097" t="s">
        <v>1045</v>
      </c>
      <c r="B451" s="1057">
        <v>442</v>
      </c>
      <c r="C451" s="1018"/>
      <c r="D451" s="1018"/>
      <c r="E451" s="1018"/>
      <c r="F451" s="1018"/>
      <c r="G451" s="1018"/>
      <c r="H451" s="1018"/>
      <c r="I451" s="1018"/>
      <c r="J451" s="1018"/>
      <c r="K451" s="1018"/>
      <c r="L451" s="1018"/>
      <c r="M451" s="1057"/>
      <c r="N451" s="1018"/>
      <c r="O451" s="1018"/>
      <c r="P451" s="1018"/>
      <c r="Q451" s="1018"/>
      <c r="R451" s="1018"/>
      <c r="S451" s="1018"/>
      <c r="T451" s="1019"/>
      <c r="U451" s="1098" t="s">
        <v>3812</v>
      </c>
      <c r="V451" s="1099" t="s">
        <v>3781</v>
      </c>
      <c r="W451" s="1099" t="s">
        <v>1907</v>
      </c>
      <c r="X451" s="1100" t="s">
        <v>3813</v>
      </c>
      <c r="Y451" s="1101" t="s">
        <v>3814</v>
      </c>
      <c r="Z451" s="1102" t="s">
        <v>3815</v>
      </c>
      <c r="AA451" s="1103" t="s">
        <v>1942</v>
      </c>
      <c r="AB451" s="1104">
        <v>1</v>
      </c>
      <c r="AC451" s="1104" t="s">
        <v>1942</v>
      </c>
      <c r="AD451" s="1104" t="s">
        <v>1942</v>
      </c>
      <c r="AE451" s="1104" t="s">
        <v>1942</v>
      </c>
      <c r="AF451" s="1104" t="s">
        <v>1942</v>
      </c>
      <c r="AG451" s="1104" t="s">
        <v>1942</v>
      </c>
      <c r="AH451" s="1104" t="s">
        <v>1942</v>
      </c>
      <c r="AI451" s="1105">
        <f t="shared" si="6"/>
        <v>1</v>
      </c>
      <c r="AJ451" s="1106" t="s">
        <v>1026</v>
      </c>
      <c r="AK451" s="1106" t="s">
        <v>1008</v>
      </c>
      <c r="AL451" s="1106" t="s">
        <v>1009</v>
      </c>
      <c r="AM451" s="1107" t="s">
        <v>1926</v>
      </c>
      <c r="AN451" s="1018" t="s">
        <v>1033</v>
      </c>
      <c r="AO451" s="1018" t="s">
        <v>3816</v>
      </c>
      <c r="AP451" s="1333">
        <v>0</v>
      </c>
      <c r="AQ451" s="1076" t="s">
        <v>1020</v>
      </c>
      <c r="AR451" s="1109" t="s">
        <v>1942</v>
      </c>
      <c r="AS451" s="1110"/>
      <c r="AT451" s="1100"/>
      <c r="AU451" s="1100"/>
      <c r="AV451" s="1100"/>
      <c r="AW451" s="1111"/>
      <c r="AX451" s="1112"/>
      <c r="AY451" s="1075"/>
      <c r="AZ451" s="1076"/>
      <c r="BA451" s="1076"/>
      <c r="BB451" s="1076"/>
      <c r="BC451" s="1076"/>
      <c r="BD451" s="1076"/>
      <c r="BE451" s="1076"/>
      <c r="BF451" s="1076"/>
      <c r="BG451" s="1076"/>
      <c r="BH451" s="1076"/>
      <c r="BI451" s="1420"/>
      <c r="BJ451" s="1368"/>
      <c r="BK451" s="1368"/>
      <c r="BL451" s="1368"/>
      <c r="BM451" s="1368"/>
      <c r="BN451" s="1075"/>
      <c r="BO451" s="1076"/>
      <c r="BP451" s="1076"/>
      <c r="BQ451" s="1076"/>
      <c r="BR451" s="1076"/>
      <c r="BS451" s="1115"/>
      <c r="BT451" s="1076"/>
      <c r="BU451" s="1076"/>
      <c r="BV451" s="1076"/>
      <c r="BW451" s="1116"/>
      <c r="BX451" s="1115"/>
      <c r="BY451" s="1076"/>
      <c r="BZ451" s="1076"/>
      <c r="CA451" s="1076"/>
      <c r="CB451" s="1116"/>
      <c r="CC451" s="1117"/>
      <c r="CD451" s="1376"/>
      <c r="CE451" s="1377"/>
      <c r="CF451" s="1377"/>
      <c r="CG451" s="1377"/>
      <c r="CH451" s="1440"/>
      <c r="CI451" s="1420"/>
      <c r="CJ451" s="1368"/>
      <c r="CK451" s="1368"/>
      <c r="CL451" s="1368"/>
      <c r="CM451" s="1369"/>
      <c r="CN451" s="1420"/>
      <c r="CO451" s="1368"/>
      <c r="CP451" s="1368"/>
      <c r="CQ451" s="1368"/>
      <c r="CR451" s="1369"/>
      <c r="CS451" s="1420"/>
      <c r="CT451" s="1368"/>
      <c r="CU451" s="1368"/>
      <c r="CV451" s="1368"/>
      <c r="CW451" s="1369"/>
      <c r="CX451" s="1420"/>
      <c r="CY451" s="1368"/>
      <c r="CZ451" s="1368"/>
      <c r="DA451" s="1368"/>
      <c r="DB451" s="1369"/>
      <c r="DC451" s="1368"/>
      <c r="DD451" s="1368"/>
      <c r="DE451" s="1368"/>
      <c r="DF451" s="1368"/>
      <c r="DG451" s="1369"/>
      <c r="DH451" s="1420"/>
      <c r="DI451" s="1368"/>
      <c r="DJ451" s="1368"/>
      <c r="DK451" s="1368"/>
      <c r="DL451" s="1369"/>
      <c r="DM451" s="1808"/>
      <c r="DN451" s="1809"/>
      <c r="DO451" s="1809"/>
      <c r="DP451" s="1810"/>
      <c r="DQ451" s="1809"/>
      <c r="DR451" s="1809"/>
      <c r="DS451" s="1809"/>
      <c r="DT451" s="1810"/>
      <c r="DU451" s="1377"/>
      <c r="DV451" s="1729"/>
      <c r="DW451" s="1811"/>
    </row>
    <row r="452" spans="1:127" s="397" customFormat="1" ht="15.75" hidden="1" customHeight="1">
      <c r="A452" s="1097" t="s">
        <v>1045</v>
      </c>
      <c r="B452" s="1057">
        <v>443</v>
      </c>
      <c r="C452" s="1018"/>
      <c r="D452" s="1018"/>
      <c r="E452" s="1018"/>
      <c r="F452" s="1018"/>
      <c r="G452" s="1018"/>
      <c r="H452" s="1018"/>
      <c r="I452" s="1018"/>
      <c r="J452" s="1018"/>
      <c r="K452" s="1018"/>
      <c r="L452" s="1018"/>
      <c r="M452" s="1057"/>
      <c r="N452" s="1018"/>
      <c r="O452" s="1018"/>
      <c r="P452" s="1018"/>
      <c r="Q452" s="1018"/>
      <c r="R452" s="1018"/>
      <c r="S452" s="1018"/>
      <c r="T452" s="1019"/>
      <c r="U452" s="1098" t="s">
        <v>3817</v>
      </c>
      <c r="V452" s="1099" t="s">
        <v>3781</v>
      </c>
      <c r="W452" s="1099" t="s">
        <v>1907</v>
      </c>
      <c r="X452" s="1100" t="s">
        <v>3818</v>
      </c>
      <c r="Y452" s="1101" t="s">
        <v>3819</v>
      </c>
      <c r="Z452" s="1102" t="s">
        <v>3820</v>
      </c>
      <c r="AA452" s="1103" t="s">
        <v>1942</v>
      </c>
      <c r="AB452" s="1104">
        <v>1</v>
      </c>
      <c r="AC452" s="1104" t="s">
        <v>1942</v>
      </c>
      <c r="AD452" s="1104" t="s">
        <v>1942</v>
      </c>
      <c r="AE452" s="1104" t="s">
        <v>1942</v>
      </c>
      <c r="AF452" s="1104" t="s">
        <v>1942</v>
      </c>
      <c r="AG452" s="1104" t="s">
        <v>1942</v>
      </c>
      <c r="AH452" s="1104" t="s">
        <v>1942</v>
      </c>
      <c r="AI452" s="1105">
        <f t="shared" si="6"/>
        <v>1</v>
      </c>
      <c r="AJ452" s="1106" t="s">
        <v>1030</v>
      </c>
      <c r="AK452" s="1106" t="s">
        <v>1008</v>
      </c>
      <c r="AL452" s="1106" t="s">
        <v>1009</v>
      </c>
      <c r="AM452" s="1107" t="s">
        <v>1926</v>
      </c>
      <c r="AN452" s="1018" t="s">
        <v>1033</v>
      </c>
      <c r="AO452" s="1018" t="s">
        <v>3821</v>
      </c>
      <c r="AP452" s="1333">
        <v>0</v>
      </c>
      <c r="AQ452" s="1076" t="s">
        <v>1010</v>
      </c>
      <c r="AR452" s="1109" t="s">
        <v>1942</v>
      </c>
      <c r="AS452" s="1110"/>
      <c r="AT452" s="1100"/>
      <c r="AU452" s="1100"/>
      <c r="AV452" s="1100"/>
      <c r="AW452" s="1111"/>
      <c r="AX452" s="1112"/>
      <c r="AY452" s="1075"/>
      <c r="AZ452" s="1076"/>
      <c r="BA452" s="1076"/>
      <c r="BB452" s="1076"/>
      <c r="BC452" s="1076"/>
      <c r="BD452" s="1076"/>
      <c r="BE452" s="1076"/>
      <c r="BF452" s="1076"/>
      <c r="BG452" s="1076"/>
      <c r="BH452" s="1076"/>
      <c r="BI452" s="1420"/>
      <c r="BJ452" s="1368"/>
      <c r="BK452" s="1368"/>
      <c r="BL452" s="1368"/>
      <c r="BM452" s="1368"/>
      <c r="BN452" s="1075"/>
      <c r="BO452" s="1076"/>
      <c r="BP452" s="1076"/>
      <c r="BQ452" s="1076"/>
      <c r="BR452" s="1076"/>
      <c r="BS452" s="1115"/>
      <c r="BT452" s="1076"/>
      <c r="BU452" s="1076"/>
      <c r="BV452" s="1076"/>
      <c r="BW452" s="1116"/>
      <c r="BX452" s="1115"/>
      <c r="BY452" s="1076"/>
      <c r="BZ452" s="1076"/>
      <c r="CA452" s="1076"/>
      <c r="CB452" s="1116"/>
      <c r="CC452" s="1117"/>
      <c r="CD452" s="1376"/>
      <c r="CE452" s="1377"/>
      <c r="CF452" s="1377"/>
      <c r="CG452" s="1377"/>
      <c r="CH452" s="1440"/>
      <c r="CI452" s="1420"/>
      <c r="CJ452" s="1368"/>
      <c r="CK452" s="1368"/>
      <c r="CL452" s="1368"/>
      <c r="CM452" s="1369"/>
      <c r="CN452" s="1420"/>
      <c r="CO452" s="1368"/>
      <c r="CP452" s="1368"/>
      <c r="CQ452" s="1368"/>
      <c r="CR452" s="1369"/>
      <c r="CS452" s="1420"/>
      <c r="CT452" s="1368"/>
      <c r="CU452" s="1368"/>
      <c r="CV452" s="1368"/>
      <c r="CW452" s="1369"/>
      <c r="CX452" s="1420"/>
      <c r="CY452" s="1368"/>
      <c r="CZ452" s="1368"/>
      <c r="DA452" s="1368"/>
      <c r="DB452" s="1369"/>
      <c r="DC452" s="1368"/>
      <c r="DD452" s="1368"/>
      <c r="DE452" s="1368"/>
      <c r="DF452" s="1368"/>
      <c r="DG452" s="1369"/>
      <c r="DH452" s="1420"/>
      <c r="DI452" s="1368"/>
      <c r="DJ452" s="1368"/>
      <c r="DK452" s="1368"/>
      <c r="DL452" s="1369"/>
      <c r="DM452" s="1808"/>
      <c r="DN452" s="1809"/>
      <c r="DO452" s="1809"/>
      <c r="DP452" s="1810"/>
      <c r="DQ452" s="1809"/>
      <c r="DR452" s="1809"/>
      <c r="DS452" s="1809"/>
      <c r="DT452" s="1810"/>
      <c r="DU452" s="1377"/>
      <c r="DV452" s="1729"/>
      <c r="DW452" s="1811"/>
    </row>
    <row r="453" spans="1:127" s="397" customFormat="1" ht="15.75" hidden="1" customHeight="1">
      <c r="A453" s="1097" t="s">
        <v>1045</v>
      </c>
      <c r="B453" s="1057">
        <v>444</v>
      </c>
      <c r="C453" s="1018"/>
      <c r="D453" s="1018"/>
      <c r="E453" s="1018"/>
      <c r="F453" s="1018"/>
      <c r="G453" s="1018"/>
      <c r="H453" s="1018"/>
      <c r="I453" s="1018"/>
      <c r="J453" s="1018"/>
      <c r="K453" s="1018"/>
      <c r="L453" s="1018"/>
      <c r="M453" s="1057"/>
      <c r="N453" s="1018"/>
      <c r="O453" s="1018"/>
      <c r="P453" s="1018"/>
      <c r="Q453" s="1018"/>
      <c r="R453" s="1018"/>
      <c r="S453" s="1018"/>
      <c r="T453" s="1019"/>
      <c r="U453" s="1098" t="s">
        <v>3822</v>
      </c>
      <c r="V453" s="1099" t="s">
        <v>3781</v>
      </c>
      <c r="W453" s="1099" t="s">
        <v>1907</v>
      </c>
      <c r="X453" s="1100" t="s">
        <v>3823</v>
      </c>
      <c r="Y453" s="1101" t="s">
        <v>3824</v>
      </c>
      <c r="Z453" s="1102" t="s">
        <v>3825</v>
      </c>
      <c r="AA453" s="1103" t="s">
        <v>1942</v>
      </c>
      <c r="AB453" s="1104">
        <v>1</v>
      </c>
      <c r="AC453" s="1104" t="s">
        <v>1942</v>
      </c>
      <c r="AD453" s="1104" t="s">
        <v>1942</v>
      </c>
      <c r="AE453" s="1104" t="s">
        <v>1942</v>
      </c>
      <c r="AF453" s="1104" t="s">
        <v>1942</v>
      </c>
      <c r="AG453" s="1104" t="s">
        <v>1942</v>
      </c>
      <c r="AH453" s="1104" t="s">
        <v>1942</v>
      </c>
      <c r="AI453" s="1105">
        <f t="shared" si="6"/>
        <v>1</v>
      </c>
      <c r="AJ453" s="1106" t="s">
        <v>1007</v>
      </c>
      <c r="AK453" s="1106" t="s">
        <v>1942</v>
      </c>
      <c r="AL453" s="1106" t="s">
        <v>1942</v>
      </c>
      <c r="AM453" s="1107" t="s">
        <v>1892</v>
      </c>
      <c r="AN453" s="1018" t="s">
        <v>1029</v>
      </c>
      <c r="AO453" s="1018" t="s">
        <v>3826</v>
      </c>
      <c r="AP453" s="1333">
        <v>0</v>
      </c>
      <c r="AQ453" s="1076" t="s">
        <v>1020</v>
      </c>
      <c r="AR453" s="1109" t="s">
        <v>1942</v>
      </c>
      <c r="AS453" s="1110"/>
      <c r="AT453" s="1100"/>
      <c r="AU453" s="1100"/>
      <c r="AV453" s="1100"/>
      <c r="AW453" s="1111"/>
      <c r="AX453" s="1112"/>
      <c r="AY453" s="1075"/>
      <c r="AZ453" s="1076"/>
      <c r="BA453" s="1076"/>
      <c r="BB453" s="1076"/>
      <c r="BC453" s="1076"/>
      <c r="BD453" s="1076"/>
      <c r="BE453" s="1076"/>
      <c r="BF453" s="1076"/>
      <c r="BG453" s="1076"/>
      <c r="BH453" s="1076"/>
      <c r="BI453" s="1420"/>
      <c r="BJ453" s="1368"/>
      <c r="BK453" s="1368"/>
      <c r="BL453" s="1368"/>
      <c r="BM453" s="1368"/>
      <c r="BN453" s="1075"/>
      <c r="BO453" s="1076"/>
      <c r="BP453" s="1076"/>
      <c r="BQ453" s="1076"/>
      <c r="BR453" s="1076"/>
      <c r="BS453" s="1115"/>
      <c r="BT453" s="1076"/>
      <c r="BU453" s="1076"/>
      <c r="BV453" s="1076"/>
      <c r="BW453" s="1116"/>
      <c r="BX453" s="1115"/>
      <c r="BY453" s="1076"/>
      <c r="BZ453" s="1076"/>
      <c r="CA453" s="1076"/>
      <c r="CB453" s="1116"/>
      <c r="CC453" s="1117"/>
      <c r="CD453" s="1376"/>
      <c r="CE453" s="1377"/>
      <c r="CF453" s="1377"/>
      <c r="CG453" s="1377"/>
      <c r="CH453" s="1440"/>
      <c r="CI453" s="1420"/>
      <c r="CJ453" s="1368"/>
      <c r="CK453" s="1368"/>
      <c r="CL453" s="1368"/>
      <c r="CM453" s="1369"/>
      <c r="CN453" s="1420"/>
      <c r="CO453" s="1368"/>
      <c r="CP453" s="1368"/>
      <c r="CQ453" s="1368"/>
      <c r="CR453" s="1369"/>
      <c r="CS453" s="1420"/>
      <c r="CT453" s="1368"/>
      <c r="CU453" s="1368"/>
      <c r="CV453" s="1368"/>
      <c r="CW453" s="1369"/>
      <c r="CX453" s="1420"/>
      <c r="CY453" s="1368"/>
      <c r="CZ453" s="1368"/>
      <c r="DA453" s="1368"/>
      <c r="DB453" s="1369"/>
      <c r="DC453" s="1368"/>
      <c r="DD453" s="1368"/>
      <c r="DE453" s="1368"/>
      <c r="DF453" s="1368"/>
      <c r="DG453" s="1369"/>
      <c r="DH453" s="1420"/>
      <c r="DI453" s="1368"/>
      <c r="DJ453" s="1368"/>
      <c r="DK453" s="1368"/>
      <c r="DL453" s="1369"/>
      <c r="DM453" s="1808"/>
      <c r="DN453" s="1809"/>
      <c r="DO453" s="1809"/>
      <c r="DP453" s="1810"/>
      <c r="DQ453" s="1809"/>
      <c r="DR453" s="1809"/>
      <c r="DS453" s="1809"/>
      <c r="DT453" s="1810"/>
      <c r="DU453" s="1377"/>
      <c r="DV453" s="1729"/>
      <c r="DW453" s="1811"/>
    </row>
    <row r="454" spans="1:127" s="397" customFormat="1" ht="15.75" hidden="1" customHeight="1">
      <c r="A454" s="1097"/>
      <c r="B454" s="1057">
        <v>445</v>
      </c>
      <c r="C454" s="1018"/>
      <c r="D454" s="1018"/>
      <c r="E454" s="1018"/>
      <c r="F454" s="1018"/>
      <c r="G454" s="1018"/>
      <c r="H454" s="1018"/>
      <c r="I454" s="1018"/>
      <c r="J454" s="1018"/>
      <c r="K454" s="1018"/>
      <c r="L454" s="1018"/>
      <c r="M454" s="1057"/>
      <c r="N454" s="1018"/>
      <c r="O454" s="1018"/>
      <c r="P454" s="1018"/>
      <c r="Q454" s="1018"/>
      <c r="R454" s="1018"/>
      <c r="S454" s="1018"/>
      <c r="T454" s="1019"/>
      <c r="U454" s="1098"/>
      <c r="V454" s="1099"/>
      <c r="W454" s="1099"/>
      <c r="X454" s="1100"/>
      <c r="Y454" s="1101"/>
      <c r="Z454" s="1102" t="e">
        <v>#REF!</v>
      </c>
      <c r="AA454" s="1103"/>
      <c r="AB454" s="1104"/>
      <c r="AC454" s="1104"/>
      <c r="AD454" s="1104"/>
      <c r="AE454" s="1104"/>
      <c r="AF454" s="1104"/>
      <c r="AG454" s="1104"/>
      <c r="AH454" s="1104"/>
      <c r="AI454" s="1105">
        <f t="shared" si="6"/>
        <v>0</v>
      </c>
      <c r="AJ454" s="1106"/>
      <c r="AK454" s="1106"/>
      <c r="AL454" s="1106"/>
      <c r="AM454" s="1107"/>
      <c r="AN454" s="1018"/>
      <c r="AO454" s="1018"/>
      <c r="AP454" s="1307"/>
      <c r="AQ454" s="1076"/>
      <c r="AR454" s="1109"/>
      <c r="AS454" s="1110"/>
      <c r="AT454" s="1100"/>
      <c r="AU454" s="1100"/>
      <c r="AV454" s="1100"/>
      <c r="AW454" s="1111"/>
      <c r="AX454" s="1112"/>
      <c r="AY454" s="1075"/>
      <c r="AZ454" s="1076"/>
      <c r="BA454" s="1076"/>
      <c r="BB454" s="1076"/>
      <c r="BC454" s="1076"/>
      <c r="BD454" s="1076"/>
      <c r="BE454" s="1076"/>
      <c r="BF454" s="1076"/>
      <c r="BG454" s="1076"/>
      <c r="BH454" s="1076"/>
      <c r="BI454" s="1420"/>
      <c r="BJ454" s="1368"/>
      <c r="BK454" s="1368"/>
      <c r="BL454" s="1368"/>
      <c r="BM454" s="1368"/>
      <c r="BN454" s="1075"/>
      <c r="BO454" s="1076"/>
      <c r="BP454" s="1076"/>
      <c r="BQ454" s="1076"/>
      <c r="BR454" s="1076"/>
      <c r="BS454" s="1115"/>
      <c r="BT454" s="1076"/>
      <c r="BU454" s="1076"/>
      <c r="BV454" s="1076"/>
      <c r="BW454" s="1116"/>
      <c r="BX454" s="1115"/>
      <c r="BY454" s="1076"/>
      <c r="BZ454" s="1076"/>
      <c r="CA454" s="1076"/>
      <c r="CB454" s="1116"/>
      <c r="CC454" s="1117"/>
      <c r="CD454" s="1376"/>
      <c r="CE454" s="1377"/>
      <c r="CF454" s="1377"/>
      <c r="CG454" s="1377"/>
      <c r="CH454" s="1440"/>
      <c r="CI454" s="1420"/>
      <c r="CJ454" s="1368"/>
      <c r="CK454" s="1368"/>
      <c r="CL454" s="1368"/>
      <c r="CM454" s="1369"/>
      <c r="CN454" s="1420"/>
      <c r="CO454" s="1368"/>
      <c r="CP454" s="1368"/>
      <c r="CQ454" s="1368"/>
      <c r="CR454" s="1369"/>
      <c r="CS454" s="1420"/>
      <c r="CT454" s="1368"/>
      <c r="CU454" s="1368"/>
      <c r="CV454" s="1368"/>
      <c r="CW454" s="1369"/>
      <c r="CX454" s="1420"/>
      <c r="CY454" s="1368"/>
      <c r="CZ454" s="1368"/>
      <c r="DA454" s="1368"/>
      <c r="DB454" s="1369"/>
      <c r="DC454" s="1368"/>
      <c r="DD454" s="1368"/>
      <c r="DE454" s="1368"/>
      <c r="DF454" s="1368"/>
      <c r="DG454" s="1369"/>
      <c r="DH454" s="1420"/>
      <c r="DI454" s="1368"/>
      <c r="DJ454" s="1368"/>
      <c r="DK454" s="1368"/>
      <c r="DL454" s="1369"/>
      <c r="DM454" s="1808"/>
      <c r="DN454" s="1809"/>
      <c r="DO454" s="1809"/>
      <c r="DP454" s="1810"/>
      <c r="DQ454" s="1809"/>
      <c r="DR454" s="1809"/>
      <c r="DS454" s="1809"/>
      <c r="DT454" s="1810"/>
      <c r="DU454" s="1377"/>
      <c r="DV454" s="1729"/>
      <c r="DW454" s="1811"/>
    </row>
    <row r="455" spans="1:127" s="397" customFormat="1" ht="15.75" hidden="1" customHeight="1">
      <c r="A455" s="1097" t="s">
        <v>1045</v>
      </c>
      <c r="B455" s="1057">
        <v>446</v>
      </c>
      <c r="C455" s="1018"/>
      <c r="D455" s="1018"/>
      <c r="E455" s="1018"/>
      <c r="F455" s="1018"/>
      <c r="G455" s="1018"/>
      <c r="H455" s="1018"/>
      <c r="I455" s="1018"/>
      <c r="J455" s="1018"/>
      <c r="K455" s="1018"/>
      <c r="L455" s="1018"/>
      <c r="M455" s="1057"/>
      <c r="N455" s="1018"/>
      <c r="O455" s="1018"/>
      <c r="P455" s="1018"/>
      <c r="Q455" s="1018"/>
      <c r="R455" s="1018"/>
      <c r="S455" s="1018"/>
      <c r="T455" s="1019"/>
      <c r="U455" s="1098" t="s">
        <v>3832</v>
      </c>
      <c r="V455" s="1099" t="s">
        <v>3833</v>
      </c>
      <c r="W455" s="1099" t="s">
        <v>1907</v>
      </c>
      <c r="X455" s="1100" t="s">
        <v>3834</v>
      </c>
      <c r="Y455" s="1101" t="s">
        <v>1058</v>
      </c>
      <c r="Z455" s="1102" t="s">
        <v>3835</v>
      </c>
      <c r="AA455" s="1103" t="s">
        <v>1942</v>
      </c>
      <c r="AB455" s="1104" t="s">
        <v>1942</v>
      </c>
      <c r="AC455" s="1104">
        <v>1</v>
      </c>
      <c r="AD455" s="1104" t="s">
        <v>1942</v>
      </c>
      <c r="AE455" s="1104" t="s">
        <v>1942</v>
      </c>
      <c r="AF455" s="1104" t="s">
        <v>1942</v>
      </c>
      <c r="AG455" s="1104" t="s">
        <v>1942</v>
      </c>
      <c r="AH455" s="1104" t="s">
        <v>1942</v>
      </c>
      <c r="AI455" s="1105">
        <f t="shared" si="6"/>
        <v>1</v>
      </c>
      <c r="AJ455" s="1106" t="s">
        <v>1026</v>
      </c>
      <c r="AK455" s="1106" t="s">
        <v>1008</v>
      </c>
      <c r="AL455" s="1106" t="s">
        <v>1009</v>
      </c>
      <c r="AM455" s="1107" t="s">
        <v>2085</v>
      </c>
      <c r="AN455" s="1018" t="s">
        <v>278</v>
      </c>
      <c r="AO455" s="1018" t="s">
        <v>2449</v>
      </c>
      <c r="AP455" s="1307">
        <v>2</v>
      </c>
      <c r="AQ455" s="1076" t="s">
        <v>1010</v>
      </c>
      <c r="AR455" s="1109" t="s">
        <v>1058</v>
      </c>
      <c r="AS455" s="1110"/>
      <c r="AT455" s="1100"/>
      <c r="AU455" s="1100"/>
      <c r="AV455" s="1100"/>
      <c r="AW455" s="1111"/>
      <c r="AX455" s="1112"/>
      <c r="AY455" s="1075"/>
      <c r="AZ455" s="1076"/>
      <c r="BA455" s="1076"/>
      <c r="BB455" s="1076"/>
      <c r="BC455" s="1076"/>
      <c r="BD455" s="1076"/>
      <c r="BE455" s="1076"/>
      <c r="BF455" s="1076"/>
      <c r="BG455" s="1126"/>
      <c r="BH455" s="1126"/>
      <c r="BI455" s="1140">
        <v>100</v>
      </c>
      <c r="BJ455" s="1141">
        <v>100</v>
      </c>
      <c r="BK455" s="1141">
        <v>100</v>
      </c>
      <c r="BL455" s="1141">
        <v>100</v>
      </c>
      <c r="BM455" s="1141">
        <v>100</v>
      </c>
      <c r="BN455" s="1075"/>
      <c r="BO455" s="1076"/>
      <c r="BP455" s="1076"/>
      <c r="BQ455" s="1076"/>
      <c r="BR455" s="1076"/>
      <c r="BS455" s="1115"/>
      <c r="BT455" s="1076"/>
      <c r="BU455" s="1076"/>
      <c r="BV455" s="1076"/>
      <c r="BW455" s="1116"/>
      <c r="BX455" s="1115"/>
      <c r="BY455" s="1076"/>
      <c r="BZ455" s="1076"/>
      <c r="CA455" s="1076"/>
      <c r="CB455" s="1116"/>
      <c r="CC455" s="1117"/>
      <c r="CD455" s="1118" t="s">
        <v>168</v>
      </c>
      <c r="CE455" s="1119" t="s">
        <v>168</v>
      </c>
      <c r="CF455" s="1119" t="s">
        <v>168</v>
      </c>
      <c r="CG455" s="1119" t="s">
        <v>168</v>
      </c>
      <c r="CH455" s="1120" t="s">
        <v>168</v>
      </c>
      <c r="CI455" s="1075" t="s">
        <v>1942</v>
      </c>
      <c r="CJ455" s="1076" t="s">
        <v>1942</v>
      </c>
      <c r="CK455" s="1076" t="s">
        <v>1942</v>
      </c>
      <c r="CL455" s="1076" t="s">
        <v>1942</v>
      </c>
      <c r="CM455" s="1117" t="s">
        <v>1942</v>
      </c>
      <c r="CN455" s="1075" t="s">
        <v>1942</v>
      </c>
      <c r="CO455" s="1076" t="s">
        <v>1942</v>
      </c>
      <c r="CP455" s="1076" t="s">
        <v>1942</v>
      </c>
      <c r="CQ455" s="1076" t="s">
        <v>1942</v>
      </c>
      <c r="CR455" s="1117" t="s">
        <v>1942</v>
      </c>
      <c r="CS455" s="1075">
        <v>99</v>
      </c>
      <c r="CT455" s="1076">
        <v>99</v>
      </c>
      <c r="CU455" s="1076">
        <v>99</v>
      </c>
      <c r="CV455" s="1076">
        <v>99</v>
      </c>
      <c r="CW455" s="1117">
        <v>99</v>
      </c>
      <c r="CX455" s="1075" t="s">
        <v>1942</v>
      </c>
      <c r="CY455" s="1076" t="s">
        <v>1942</v>
      </c>
      <c r="CZ455" s="1076" t="s">
        <v>1942</v>
      </c>
      <c r="DA455" s="1076" t="s">
        <v>1942</v>
      </c>
      <c r="DB455" s="1117" t="s">
        <v>1942</v>
      </c>
      <c r="DC455" s="1076" t="s">
        <v>1942</v>
      </c>
      <c r="DD455" s="1076" t="s">
        <v>1942</v>
      </c>
      <c r="DE455" s="1076" t="s">
        <v>1942</v>
      </c>
      <c r="DF455" s="1076" t="s">
        <v>1942</v>
      </c>
      <c r="DG455" s="1117" t="s">
        <v>1942</v>
      </c>
      <c r="DH455" s="1075" t="s">
        <v>1942</v>
      </c>
      <c r="DI455" s="1076" t="s">
        <v>1942</v>
      </c>
      <c r="DJ455" s="1076" t="s">
        <v>1942</v>
      </c>
      <c r="DK455" s="1076" t="s">
        <v>1942</v>
      </c>
      <c r="DL455" s="1117" t="s">
        <v>1942</v>
      </c>
      <c r="DM455" s="1121">
        <v>-3.0630000000000002</v>
      </c>
      <c r="DN455" s="1122" t="s">
        <v>1942</v>
      </c>
      <c r="DO455" s="1122" t="s">
        <v>1942</v>
      </c>
      <c r="DP455" s="1123" t="s">
        <v>1942</v>
      </c>
      <c r="DQ455" s="1122" t="s">
        <v>1942</v>
      </c>
      <c r="DR455" s="1122" t="s">
        <v>1942</v>
      </c>
      <c r="DS455" s="1122" t="s">
        <v>1942</v>
      </c>
      <c r="DT455" s="1123" t="s">
        <v>1942</v>
      </c>
      <c r="DU455" s="1119" t="s">
        <v>1942</v>
      </c>
      <c r="DV455" s="1124">
        <v>1</v>
      </c>
      <c r="DW455" s="1125" t="s">
        <v>1942</v>
      </c>
    </row>
    <row r="456" spans="1:127" s="397" customFormat="1" ht="15.75" hidden="1" customHeight="1">
      <c r="A456" s="1097" t="s">
        <v>1045</v>
      </c>
      <c r="B456" s="1057">
        <v>447</v>
      </c>
      <c r="C456" s="1018"/>
      <c r="D456" s="1018"/>
      <c r="E456" s="1018"/>
      <c r="F456" s="1018"/>
      <c r="G456" s="1018"/>
      <c r="H456" s="1018"/>
      <c r="I456" s="1018"/>
      <c r="J456" s="1018"/>
      <c r="K456" s="1018"/>
      <c r="L456" s="1018"/>
      <c r="M456" s="1057"/>
      <c r="N456" s="1018"/>
      <c r="O456" s="1018"/>
      <c r="P456" s="1018"/>
      <c r="Q456" s="1018"/>
      <c r="R456" s="1018"/>
      <c r="S456" s="1018"/>
      <c r="T456" s="1019"/>
      <c r="U456" s="1098" t="s">
        <v>3837</v>
      </c>
      <c r="V456" s="1099" t="s">
        <v>3833</v>
      </c>
      <c r="W456" s="1099" t="s">
        <v>1889</v>
      </c>
      <c r="X456" s="1100" t="s">
        <v>3838</v>
      </c>
      <c r="Y456" s="1101" t="s">
        <v>743</v>
      </c>
      <c r="Z456" s="1102" t="s">
        <v>3839</v>
      </c>
      <c r="AA456" s="1103" t="s">
        <v>1942</v>
      </c>
      <c r="AB456" s="1104" t="s">
        <v>1942</v>
      </c>
      <c r="AC456" s="1104">
        <v>1</v>
      </c>
      <c r="AD456" s="1104" t="s">
        <v>1942</v>
      </c>
      <c r="AE456" s="1104" t="s">
        <v>1942</v>
      </c>
      <c r="AF456" s="1104" t="s">
        <v>1942</v>
      </c>
      <c r="AG456" s="1104" t="s">
        <v>1942</v>
      </c>
      <c r="AH456" s="1104" t="s">
        <v>1942</v>
      </c>
      <c r="AI456" s="1105">
        <f t="shared" si="6"/>
        <v>1</v>
      </c>
      <c r="AJ456" s="1106" t="s">
        <v>1030</v>
      </c>
      <c r="AK456" s="1106" t="s">
        <v>1008</v>
      </c>
      <c r="AL456" s="1106" t="s">
        <v>1009</v>
      </c>
      <c r="AM456" s="1107" t="s">
        <v>1920</v>
      </c>
      <c r="AN456" s="1018" t="s">
        <v>2177</v>
      </c>
      <c r="AO456" s="1018" t="s">
        <v>4807</v>
      </c>
      <c r="AP456" s="1307">
        <v>2</v>
      </c>
      <c r="AQ456" s="1076" t="s">
        <v>1020</v>
      </c>
      <c r="AR456" s="1109" t="s">
        <v>743</v>
      </c>
      <c r="AS456" s="1110"/>
      <c r="AT456" s="1100"/>
      <c r="AU456" s="1100"/>
      <c r="AV456" s="1100"/>
      <c r="AW456" s="1111"/>
      <c r="AX456" s="1112"/>
      <c r="AY456" s="1075"/>
      <c r="AZ456" s="1076"/>
      <c r="BA456" s="1076"/>
      <c r="BB456" s="1076"/>
      <c r="BC456" s="1076"/>
      <c r="BD456" s="1076"/>
      <c r="BE456" s="1076"/>
      <c r="BF456" s="1076"/>
      <c r="BG456" s="1126"/>
      <c r="BH456" s="1126"/>
      <c r="BI456" s="1127">
        <v>4</v>
      </c>
      <c r="BJ456" s="1126">
        <v>4</v>
      </c>
      <c r="BK456" s="1126">
        <v>4</v>
      </c>
      <c r="BL456" s="1126">
        <v>4</v>
      </c>
      <c r="BM456" s="1126">
        <v>4</v>
      </c>
      <c r="BN456" s="1075"/>
      <c r="BO456" s="1076"/>
      <c r="BP456" s="1076"/>
      <c r="BQ456" s="1076"/>
      <c r="BR456" s="1076"/>
      <c r="BS456" s="1115"/>
      <c r="BT456" s="1076"/>
      <c r="BU456" s="1076"/>
      <c r="BV456" s="1076"/>
      <c r="BW456" s="1116"/>
      <c r="BX456" s="1115"/>
      <c r="BY456" s="1076"/>
      <c r="BZ456" s="1076"/>
      <c r="CA456" s="1076"/>
      <c r="CB456" s="1116"/>
      <c r="CC456" s="1117"/>
      <c r="CD456" s="1118" t="s">
        <v>168</v>
      </c>
      <c r="CE456" s="1119" t="s">
        <v>168</v>
      </c>
      <c r="CF456" s="1119" t="s">
        <v>168</v>
      </c>
      <c r="CG456" s="1119" t="s">
        <v>168</v>
      </c>
      <c r="CH456" s="1120" t="s">
        <v>168</v>
      </c>
      <c r="CI456" s="1075" t="s">
        <v>1942</v>
      </c>
      <c r="CJ456" s="1076" t="s">
        <v>1942</v>
      </c>
      <c r="CK456" s="1076" t="s">
        <v>1942</v>
      </c>
      <c r="CL456" s="1076" t="s">
        <v>1942</v>
      </c>
      <c r="CM456" s="1117" t="s">
        <v>1942</v>
      </c>
      <c r="CN456" s="1075" t="s">
        <v>1942</v>
      </c>
      <c r="CO456" s="1076" t="s">
        <v>1942</v>
      </c>
      <c r="CP456" s="1076" t="s">
        <v>1942</v>
      </c>
      <c r="CQ456" s="1076" t="s">
        <v>1942</v>
      </c>
      <c r="CR456" s="1117" t="s">
        <v>1942</v>
      </c>
      <c r="CS456" s="1075" t="s">
        <v>1942</v>
      </c>
      <c r="CT456" s="1076" t="s">
        <v>1942</v>
      </c>
      <c r="CU456" s="1076" t="s">
        <v>1942</v>
      </c>
      <c r="CV456" s="1076" t="s">
        <v>1942</v>
      </c>
      <c r="CW456" s="1117" t="s">
        <v>1942</v>
      </c>
      <c r="CX456" s="1075" t="s">
        <v>1942</v>
      </c>
      <c r="CY456" s="1076" t="s">
        <v>1942</v>
      </c>
      <c r="CZ456" s="1076" t="s">
        <v>1942</v>
      </c>
      <c r="DA456" s="1076" t="s">
        <v>1942</v>
      </c>
      <c r="DB456" s="1117" t="s">
        <v>1942</v>
      </c>
      <c r="DC456" s="1076" t="s">
        <v>1942</v>
      </c>
      <c r="DD456" s="1076" t="s">
        <v>1942</v>
      </c>
      <c r="DE456" s="1076" t="s">
        <v>1942</v>
      </c>
      <c r="DF456" s="1076" t="s">
        <v>1942</v>
      </c>
      <c r="DG456" s="1117" t="s">
        <v>1942</v>
      </c>
      <c r="DH456" s="1075" t="s">
        <v>1942</v>
      </c>
      <c r="DI456" s="1076" t="s">
        <v>1942</v>
      </c>
      <c r="DJ456" s="1076" t="s">
        <v>1942</v>
      </c>
      <c r="DK456" s="1076" t="s">
        <v>1942</v>
      </c>
      <c r="DL456" s="1117" t="s">
        <v>1942</v>
      </c>
      <c r="DM456" s="1121">
        <v>-0.96699999999999997</v>
      </c>
      <c r="DN456" s="1122" t="s">
        <v>1942</v>
      </c>
      <c r="DO456" s="1122" t="s">
        <v>1942</v>
      </c>
      <c r="DP456" s="1123" t="s">
        <v>1942</v>
      </c>
      <c r="DQ456" s="1122">
        <v>0.755</v>
      </c>
      <c r="DR456" s="1122" t="s">
        <v>1942</v>
      </c>
      <c r="DS456" s="1122" t="s">
        <v>1942</v>
      </c>
      <c r="DT456" s="1123" t="s">
        <v>1942</v>
      </c>
      <c r="DU456" s="1119" t="s">
        <v>1942</v>
      </c>
      <c r="DV456" s="1124">
        <v>1</v>
      </c>
      <c r="DW456" s="1125" t="s">
        <v>1942</v>
      </c>
    </row>
    <row r="457" spans="1:127" s="397" customFormat="1" ht="15.75" hidden="1" customHeight="1">
      <c r="A457" s="1054" t="s">
        <v>1045</v>
      </c>
      <c r="B457" s="1055">
        <v>448</v>
      </c>
      <c r="C457" s="1143"/>
      <c r="D457" s="1143"/>
      <c r="E457" s="1143"/>
      <c r="F457" s="1143"/>
      <c r="G457" s="1143"/>
      <c r="H457" s="1143"/>
      <c r="I457" s="1143"/>
      <c r="J457" s="1143"/>
      <c r="K457" s="1143"/>
      <c r="L457" s="1143"/>
      <c r="M457" s="1055"/>
      <c r="N457" s="1143"/>
      <c r="O457" s="1143"/>
      <c r="P457" s="1143"/>
      <c r="Q457" s="1143"/>
      <c r="R457" s="1143"/>
      <c r="S457" s="1143"/>
      <c r="T457" s="1058"/>
      <c r="U457" s="1059" t="s">
        <v>3840</v>
      </c>
      <c r="V457" s="1060" t="s">
        <v>3833</v>
      </c>
      <c r="W457" s="1060" t="s">
        <v>1907</v>
      </c>
      <c r="X457" s="1061" t="s">
        <v>3841</v>
      </c>
      <c r="Y457" s="1062" t="s">
        <v>732</v>
      </c>
      <c r="Z457" s="1063" t="s">
        <v>3842</v>
      </c>
      <c r="AA457" s="1064" t="s">
        <v>1942</v>
      </c>
      <c r="AB457" s="1065" t="s">
        <v>1942</v>
      </c>
      <c r="AC457" s="1065">
        <v>1</v>
      </c>
      <c r="AD457" s="1065" t="s">
        <v>1942</v>
      </c>
      <c r="AE457" s="1065" t="s">
        <v>1942</v>
      </c>
      <c r="AF457" s="1065" t="s">
        <v>1942</v>
      </c>
      <c r="AG457" s="1065" t="s">
        <v>1942</v>
      </c>
      <c r="AH457" s="1065" t="s">
        <v>1942</v>
      </c>
      <c r="AI457" s="1066">
        <f t="shared" si="6"/>
        <v>1</v>
      </c>
      <c r="AJ457" s="1067" t="s">
        <v>1030</v>
      </c>
      <c r="AK457" s="1067" t="s">
        <v>1008</v>
      </c>
      <c r="AL457" s="1067" t="s">
        <v>1009</v>
      </c>
      <c r="AM457" s="1068" t="s">
        <v>2058</v>
      </c>
      <c r="AN457" s="1062" t="s">
        <v>2177</v>
      </c>
      <c r="AO457" s="1062" t="s">
        <v>4492</v>
      </c>
      <c r="AP457" s="1307">
        <v>2</v>
      </c>
      <c r="AQ457" s="1080" t="s">
        <v>1020</v>
      </c>
      <c r="AR457" s="1071" t="s">
        <v>732</v>
      </c>
      <c r="AS457" s="1072"/>
      <c r="AT457" s="1061"/>
      <c r="AU457" s="1061"/>
      <c r="AV457" s="1061"/>
      <c r="AW457" s="1073"/>
      <c r="AX457" s="1074"/>
      <c r="AY457" s="1079"/>
      <c r="AZ457" s="1080"/>
      <c r="BA457" s="1080"/>
      <c r="BB457" s="1080"/>
      <c r="BC457" s="1080"/>
      <c r="BD457" s="1080"/>
      <c r="BE457" s="1080"/>
      <c r="BF457" s="1080"/>
      <c r="BG457" s="1154"/>
      <c r="BH457" s="1154"/>
      <c r="BI457" s="1155">
        <v>1.68</v>
      </c>
      <c r="BJ457" s="1154">
        <v>1.63</v>
      </c>
      <c r="BK457" s="1154">
        <v>1.58</v>
      </c>
      <c r="BL457" s="1154">
        <v>1.44</v>
      </c>
      <c r="BM457" s="1154">
        <v>1.34</v>
      </c>
      <c r="BN457" s="1079"/>
      <c r="BO457" s="1080"/>
      <c r="BP457" s="1080"/>
      <c r="BQ457" s="1080"/>
      <c r="BR457" s="1080"/>
      <c r="BS457" s="1081"/>
      <c r="BT457" s="1080"/>
      <c r="BU457" s="1080"/>
      <c r="BV457" s="1080"/>
      <c r="BW457" s="1082"/>
      <c r="BX457" s="1081"/>
      <c r="BY457" s="1080"/>
      <c r="BZ457" s="1080"/>
      <c r="CA457" s="1080"/>
      <c r="CB457" s="1082"/>
      <c r="CC457" s="1083"/>
      <c r="CD457" s="1084" t="s">
        <v>168</v>
      </c>
      <c r="CE457" s="1085" t="s">
        <v>168</v>
      </c>
      <c r="CF457" s="1085" t="s">
        <v>168</v>
      </c>
      <c r="CG457" s="1085" t="s">
        <v>168</v>
      </c>
      <c r="CH457" s="1086" t="s">
        <v>168</v>
      </c>
      <c r="CI457" s="1089" t="s">
        <v>1942</v>
      </c>
      <c r="CJ457" s="1087" t="s">
        <v>1942</v>
      </c>
      <c r="CK457" s="1087" t="s">
        <v>1942</v>
      </c>
      <c r="CL457" s="1087" t="s">
        <v>1942</v>
      </c>
      <c r="CM457" s="1088" t="s">
        <v>1942</v>
      </c>
      <c r="CN457" s="1089">
        <v>3.35</v>
      </c>
      <c r="CO457" s="1087">
        <v>3.35</v>
      </c>
      <c r="CP457" s="1087">
        <v>3.35</v>
      </c>
      <c r="CQ457" s="1087">
        <v>3.35</v>
      </c>
      <c r="CR457" s="1088">
        <v>3.35</v>
      </c>
      <c r="CS457" s="1079" t="s">
        <v>1942</v>
      </c>
      <c r="CT457" s="1080" t="s">
        <v>1942</v>
      </c>
      <c r="CU457" s="1080" t="s">
        <v>1942</v>
      </c>
      <c r="CV457" s="1080" t="s">
        <v>1942</v>
      </c>
      <c r="CW457" s="1083" t="s">
        <v>1942</v>
      </c>
      <c r="CX457" s="1079" t="s">
        <v>1942</v>
      </c>
      <c r="CY457" s="1080" t="s">
        <v>1942</v>
      </c>
      <c r="CZ457" s="1080" t="s">
        <v>1942</v>
      </c>
      <c r="DA457" s="1080" t="s">
        <v>1942</v>
      </c>
      <c r="DB457" s="1083" t="s">
        <v>1942</v>
      </c>
      <c r="DC457" s="1087">
        <v>1.22</v>
      </c>
      <c r="DD457" s="1087">
        <v>1.17</v>
      </c>
      <c r="DE457" s="1087">
        <v>1.1299999999999999</v>
      </c>
      <c r="DF457" s="1087">
        <v>0.99</v>
      </c>
      <c r="DG457" s="1088">
        <v>0.9</v>
      </c>
      <c r="DH457" s="1089" t="s">
        <v>1942</v>
      </c>
      <c r="DI457" s="1080" t="s">
        <v>1942</v>
      </c>
      <c r="DJ457" s="1080" t="s">
        <v>1942</v>
      </c>
      <c r="DK457" s="1080" t="s">
        <v>1942</v>
      </c>
      <c r="DL457" s="1083" t="s">
        <v>1942</v>
      </c>
      <c r="DM457" s="1091">
        <v>-16.762</v>
      </c>
      <c r="DN457" s="1092" t="s">
        <v>1942</v>
      </c>
      <c r="DO457" s="1092" t="s">
        <v>1942</v>
      </c>
      <c r="DP457" s="1093" t="s">
        <v>1942</v>
      </c>
      <c r="DQ457" s="1092">
        <v>16.762</v>
      </c>
      <c r="DR457" s="1092" t="s">
        <v>1942</v>
      </c>
      <c r="DS457" s="1092" t="s">
        <v>1942</v>
      </c>
      <c r="DT457" s="1093" t="s">
        <v>1942</v>
      </c>
      <c r="DU457" s="1085" t="s">
        <v>1942</v>
      </c>
      <c r="DV457" s="1094">
        <v>1</v>
      </c>
      <c r="DW457" s="1095" t="s">
        <v>1942</v>
      </c>
    </row>
    <row r="458" spans="1:127" s="397" customFormat="1" ht="15.75" hidden="1" customHeight="1">
      <c r="A458" s="1097" t="s">
        <v>1045</v>
      </c>
      <c r="B458" s="1057">
        <v>449</v>
      </c>
      <c r="C458" s="1018"/>
      <c r="D458" s="1018"/>
      <c r="E458" s="1018"/>
      <c r="F458" s="1018"/>
      <c r="G458" s="1018"/>
      <c r="H458" s="1018"/>
      <c r="I458" s="1018"/>
      <c r="J458" s="1018"/>
      <c r="K458" s="1018"/>
      <c r="L458" s="1018"/>
      <c r="M458" s="1057"/>
      <c r="N458" s="1018"/>
      <c r="O458" s="1018"/>
      <c r="P458" s="1018"/>
      <c r="Q458" s="1018"/>
      <c r="R458" s="1018"/>
      <c r="S458" s="1018"/>
      <c r="T458" s="1019"/>
      <c r="U458" s="1098" t="s">
        <v>3843</v>
      </c>
      <c r="V458" s="1099" t="s">
        <v>3833</v>
      </c>
      <c r="W458" s="1099" t="s">
        <v>1889</v>
      </c>
      <c r="X458" s="1100" t="s">
        <v>3844</v>
      </c>
      <c r="Y458" s="1101" t="s">
        <v>3845</v>
      </c>
      <c r="Z458" s="1102" t="s">
        <v>3846</v>
      </c>
      <c r="AA458" s="1103" t="s">
        <v>1942</v>
      </c>
      <c r="AB458" s="1104" t="s">
        <v>1942</v>
      </c>
      <c r="AC458" s="1104">
        <v>1</v>
      </c>
      <c r="AD458" s="1104" t="s">
        <v>1942</v>
      </c>
      <c r="AE458" s="1104" t="s">
        <v>1942</v>
      </c>
      <c r="AF458" s="1104" t="s">
        <v>1942</v>
      </c>
      <c r="AG458" s="1104" t="s">
        <v>1942</v>
      </c>
      <c r="AH458" s="1104" t="s">
        <v>1942</v>
      </c>
      <c r="AI458" s="1105">
        <f t="shared" ref="AI458:AI521" si="7">SUM(AA458:AH458)</f>
        <v>1</v>
      </c>
      <c r="AJ458" s="1106" t="s">
        <v>1030</v>
      </c>
      <c r="AK458" s="1106" t="s">
        <v>1008</v>
      </c>
      <c r="AL458" s="1106" t="s">
        <v>1009</v>
      </c>
      <c r="AM458" s="1107" t="s">
        <v>2058</v>
      </c>
      <c r="AN458" s="1018" t="s">
        <v>2177</v>
      </c>
      <c r="AO458" s="1018" t="s">
        <v>4823</v>
      </c>
      <c r="AP458" s="1333">
        <v>0</v>
      </c>
      <c r="AQ458" s="1076" t="s">
        <v>1020</v>
      </c>
      <c r="AR458" s="1109"/>
      <c r="AS458" s="1110"/>
      <c r="AT458" s="1100"/>
      <c r="AU458" s="1100"/>
      <c r="AV458" s="1100"/>
      <c r="AW458" s="1111"/>
      <c r="AX458" s="1112"/>
      <c r="AY458" s="1075"/>
      <c r="AZ458" s="1076"/>
      <c r="BA458" s="1076"/>
      <c r="BB458" s="1076"/>
      <c r="BC458" s="1076"/>
      <c r="BD458" s="1076"/>
      <c r="BE458" s="1076"/>
      <c r="BF458" s="1076"/>
      <c r="BG458" s="1126"/>
      <c r="BH458" s="1126"/>
      <c r="BI458" s="1725"/>
      <c r="BJ458" s="1726"/>
      <c r="BK458" s="1726"/>
      <c r="BL458" s="1726"/>
      <c r="BM458" s="1726"/>
      <c r="BN458" s="1075"/>
      <c r="BO458" s="1076"/>
      <c r="BP458" s="1076"/>
      <c r="BQ458" s="1076"/>
      <c r="BR458" s="1076"/>
      <c r="BS458" s="1115"/>
      <c r="BT458" s="1076"/>
      <c r="BU458" s="1076"/>
      <c r="BV458" s="1076"/>
      <c r="BW458" s="1116"/>
      <c r="BX458" s="1115"/>
      <c r="BY458" s="1076"/>
      <c r="BZ458" s="1076"/>
      <c r="CA458" s="1076"/>
      <c r="CB458" s="1116"/>
      <c r="CC458" s="1117"/>
      <c r="CD458" s="1376"/>
      <c r="CE458" s="1377"/>
      <c r="CF458" s="1377"/>
      <c r="CG458" s="1377"/>
      <c r="CH458" s="1440"/>
      <c r="CI458" s="1420"/>
      <c r="CJ458" s="1368"/>
      <c r="CK458" s="1368"/>
      <c r="CL458" s="1368"/>
      <c r="CM458" s="1369"/>
      <c r="CN458" s="1420"/>
      <c r="CO458" s="1368"/>
      <c r="CP458" s="1368"/>
      <c r="CQ458" s="1368"/>
      <c r="CR458" s="1369"/>
      <c r="CS458" s="1420"/>
      <c r="CT458" s="1368"/>
      <c r="CU458" s="1368"/>
      <c r="CV458" s="1368"/>
      <c r="CW458" s="1369"/>
      <c r="CX458" s="1420"/>
      <c r="CY458" s="1368"/>
      <c r="CZ458" s="1368"/>
      <c r="DA458" s="1368"/>
      <c r="DB458" s="1369"/>
      <c r="DC458" s="1368"/>
      <c r="DD458" s="1368"/>
      <c r="DE458" s="1368"/>
      <c r="DF458" s="1368"/>
      <c r="DG458" s="1369"/>
      <c r="DH458" s="1420"/>
      <c r="DI458" s="1368"/>
      <c r="DJ458" s="1368"/>
      <c r="DK458" s="1368"/>
      <c r="DL458" s="1369"/>
      <c r="DM458" s="1808"/>
      <c r="DN458" s="1809"/>
      <c r="DO458" s="1809"/>
      <c r="DP458" s="1810"/>
      <c r="DQ458" s="1809"/>
      <c r="DR458" s="1809"/>
      <c r="DS458" s="1809"/>
      <c r="DT458" s="1810"/>
      <c r="DU458" s="1377"/>
      <c r="DV458" s="1729"/>
      <c r="DW458" s="1811"/>
    </row>
    <row r="459" spans="1:127" s="397" customFormat="1" ht="15.75" hidden="1" customHeight="1">
      <c r="A459" s="1097" t="s">
        <v>1045</v>
      </c>
      <c r="B459" s="1057">
        <v>450</v>
      </c>
      <c r="C459" s="1018"/>
      <c r="D459" s="1018"/>
      <c r="E459" s="1018"/>
      <c r="F459" s="1018"/>
      <c r="G459" s="1018"/>
      <c r="H459" s="1018"/>
      <c r="I459" s="1018"/>
      <c r="J459" s="1018"/>
      <c r="K459" s="1018"/>
      <c r="L459" s="1018"/>
      <c r="M459" s="1057"/>
      <c r="N459" s="1018"/>
      <c r="O459" s="1018"/>
      <c r="P459" s="1018"/>
      <c r="Q459" s="1018"/>
      <c r="R459" s="1018"/>
      <c r="S459" s="1018"/>
      <c r="T459" s="1019"/>
      <c r="U459" s="1098" t="s">
        <v>3847</v>
      </c>
      <c r="V459" s="1099" t="s">
        <v>3833</v>
      </c>
      <c r="W459" s="1099" t="s">
        <v>1907</v>
      </c>
      <c r="X459" s="1100" t="s">
        <v>3848</v>
      </c>
      <c r="Y459" s="1101" t="s">
        <v>3849</v>
      </c>
      <c r="Z459" s="1102" t="s">
        <v>3850</v>
      </c>
      <c r="AA459" s="1103" t="s">
        <v>1942</v>
      </c>
      <c r="AB459" s="1104" t="s">
        <v>1942</v>
      </c>
      <c r="AC459" s="1104">
        <v>1</v>
      </c>
      <c r="AD459" s="1104" t="s">
        <v>1942</v>
      </c>
      <c r="AE459" s="1104" t="s">
        <v>1942</v>
      </c>
      <c r="AF459" s="1104" t="s">
        <v>1942</v>
      </c>
      <c r="AG459" s="1104" t="s">
        <v>1942</v>
      </c>
      <c r="AH459" s="1104" t="s">
        <v>1942</v>
      </c>
      <c r="AI459" s="1105">
        <f t="shared" si="7"/>
        <v>1</v>
      </c>
      <c r="AJ459" s="1106" t="s">
        <v>1026</v>
      </c>
      <c r="AK459" s="1106" t="s">
        <v>1008</v>
      </c>
      <c r="AL459" s="1106" t="s">
        <v>1009</v>
      </c>
      <c r="AM459" s="1107" t="s">
        <v>2295</v>
      </c>
      <c r="AN459" s="1018" t="s">
        <v>278</v>
      </c>
      <c r="AO459" s="1018" t="s">
        <v>3851</v>
      </c>
      <c r="AP459" s="1333">
        <v>1</v>
      </c>
      <c r="AQ459" s="1076" t="s">
        <v>1010</v>
      </c>
      <c r="AR459" s="1109" t="s">
        <v>1942</v>
      </c>
      <c r="AS459" s="1110"/>
      <c r="AT459" s="1100"/>
      <c r="AU459" s="1100"/>
      <c r="AV459" s="1100"/>
      <c r="AW459" s="1111"/>
      <c r="AX459" s="1112"/>
      <c r="AY459" s="1075"/>
      <c r="AZ459" s="1076"/>
      <c r="BA459" s="1076"/>
      <c r="BB459" s="1076"/>
      <c r="BC459" s="1076"/>
      <c r="BD459" s="1076"/>
      <c r="BE459" s="1076"/>
      <c r="BF459" s="1076"/>
      <c r="BG459" s="1076"/>
      <c r="BH459" s="1076"/>
      <c r="BI459" s="1420"/>
      <c r="BJ459" s="1368"/>
      <c r="BK459" s="1368"/>
      <c r="BL459" s="1368"/>
      <c r="BM459" s="1368"/>
      <c r="BN459" s="1075"/>
      <c r="BO459" s="1076"/>
      <c r="BP459" s="1076"/>
      <c r="BQ459" s="1076"/>
      <c r="BR459" s="1076"/>
      <c r="BS459" s="1115"/>
      <c r="BT459" s="1076"/>
      <c r="BU459" s="1076"/>
      <c r="BV459" s="1076"/>
      <c r="BW459" s="1116"/>
      <c r="BX459" s="1115"/>
      <c r="BY459" s="1076"/>
      <c r="BZ459" s="1076"/>
      <c r="CA459" s="1076"/>
      <c r="CB459" s="1116"/>
      <c r="CC459" s="1117"/>
      <c r="CD459" s="1376"/>
      <c r="CE459" s="1377"/>
      <c r="CF459" s="1377"/>
      <c r="CG459" s="1377"/>
      <c r="CH459" s="1440"/>
      <c r="CI459" s="1420"/>
      <c r="CJ459" s="1368"/>
      <c r="CK459" s="1368"/>
      <c r="CL459" s="1368"/>
      <c r="CM459" s="1369"/>
      <c r="CN459" s="1420"/>
      <c r="CO459" s="1368"/>
      <c r="CP459" s="1368"/>
      <c r="CQ459" s="1368"/>
      <c r="CR459" s="1369"/>
      <c r="CS459" s="1420"/>
      <c r="CT459" s="1368"/>
      <c r="CU459" s="1368"/>
      <c r="CV459" s="1368"/>
      <c r="CW459" s="1369"/>
      <c r="CX459" s="1420"/>
      <c r="CY459" s="1368"/>
      <c r="CZ459" s="1368"/>
      <c r="DA459" s="1368"/>
      <c r="DB459" s="1369"/>
      <c r="DC459" s="1368"/>
      <c r="DD459" s="1368"/>
      <c r="DE459" s="1368"/>
      <c r="DF459" s="1368"/>
      <c r="DG459" s="1369"/>
      <c r="DH459" s="1420"/>
      <c r="DI459" s="1368"/>
      <c r="DJ459" s="1368"/>
      <c r="DK459" s="1368"/>
      <c r="DL459" s="1369"/>
      <c r="DM459" s="1808"/>
      <c r="DN459" s="1809"/>
      <c r="DO459" s="1809"/>
      <c r="DP459" s="1810"/>
      <c r="DQ459" s="1809"/>
      <c r="DR459" s="1809"/>
      <c r="DS459" s="1809"/>
      <c r="DT459" s="1810"/>
      <c r="DU459" s="1377"/>
      <c r="DV459" s="1729"/>
      <c r="DW459" s="1811"/>
    </row>
    <row r="460" spans="1:127" s="397" customFormat="1" ht="15.75" hidden="1" customHeight="1">
      <c r="A460" s="1097" t="s">
        <v>1045</v>
      </c>
      <c r="B460" s="1057">
        <v>451</v>
      </c>
      <c r="C460" s="1018"/>
      <c r="D460" s="1018"/>
      <c r="E460" s="1018"/>
      <c r="F460" s="1018"/>
      <c r="G460" s="1018"/>
      <c r="H460" s="1018"/>
      <c r="I460" s="1018"/>
      <c r="J460" s="1018"/>
      <c r="K460" s="1018"/>
      <c r="L460" s="1018"/>
      <c r="M460" s="1057"/>
      <c r="N460" s="1018"/>
      <c r="O460" s="1018"/>
      <c r="P460" s="1018"/>
      <c r="Q460" s="1018"/>
      <c r="R460" s="1018"/>
      <c r="S460" s="1018"/>
      <c r="T460" s="1019"/>
      <c r="U460" s="1098" t="s">
        <v>3852</v>
      </c>
      <c r="V460" s="1099" t="s">
        <v>3853</v>
      </c>
      <c r="W460" s="1099" t="s">
        <v>1907</v>
      </c>
      <c r="X460" s="1100" t="s">
        <v>3854</v>
      </c>
      <c r="Y460" s="1101" t="s">
        <v>839</v>
      </c>
      <c r="Z460" s="1102" t="s">
        <v>3855</v>
      </c>
      <c r="AA460" s="1103" t="s">
        <v>1942</v>
      </c>
      <c r="AB460" s="1104" t="s">
        <v>1942</v>
      </c>
      <c r="AC460" s="1104">
        <v>1</v>
      </c>
      <c r="AD460" s="1104" t="s">
        <v>1942</v>
      </c>
      <c r="AE460" s="1104" t="s">
        <v>1942</v>
      </c>
      <c r="AF460" s="1104" t="s">
        <v>1942</v>
      </c>
      <c r="AG460" s="1104" t="s">
        <v>1942</v>
      </c>
      <c r="AH460" s="1104" t="s">
        <v>1942</v>
      </c>
      <c r="AI460" s="1105">
        <f t="shared" si="7"/>
        <v>1</v>
      </c>
      <c r="AJ460" s="1106" t="s">
        <v>1007</v>
      </c>
      <c r="AK460" s="1106" t="s">
        <v>1942</v>
      </c>
      <c r="AL460" s="1106" t="s">
        <v>1942</v>
      </c>
      <c r="AM460" s="1107" t="s">
        <v>2058</v>
      </c>
      <c r="AN460" s="1018" t="s">
        <v>278</v>
      </c>
      <c r="AO460" s="1018" t="s">
        <v>4792</v>
      </c>
      <c r="AP460" s="1307">
        <v>2</v>
      </c>
      <c r="AQ460" s="1076" t="s">
        <v>1020</v>
      </c>
      <c r="AR460" s="1109" t="s">
        <v>839</v>
      </c>
      <c r="AS460" s="1110"/>
      <c r="AT460" s="1100"/>
      <c r="AU460" s="1100"/>
      <c r="AV460" s="1100"/>
      <c r="AW460" s="1111"/>
      <c r="AX460" s="1112"/>
      <c r="AY460" s="1075"/>
      <c r="AZ460" s="1076"/>
      <c r="BA460" s="1076"/>
      <c r="BB460" s="1076"/>
      <c r="BC460" s="1076"/>
      <c r="BD460" s="1076"/>
      <c r="BE460" s="1076"/>
      <c r="BF460" s="1076"/>
      <c r="BG460" s="1076"/>
      <c r="BH460" s="1076"/>
      <c r="BI460" s="1075">
        <v>10.25</v>
      </c>
      <c r="BJ460" s="1076">
        <v>10.25</v>
      </c>
      <c r="BK460" s="1076">
        <v>10.25</v>
      </c>
      <c r="BL460" s="1076">
        <v>10.25</v>
      </c>
      <c r="BM460" s="1076">
        <v>9.9</v>
      </c>
      <c r="BN460" s="1075"/>
      <c r="BO460" s="1076"/>
      <c r="BP460" s="1076"/>
      <c r="BQ460" s="1076"/>
      <c r="BR460" s="1076"/>
      <c r="BS460" s="1115"/>
      <c r="BT460" s="1076"/>
      <c r="BU460" s="1076"/>
      <c r="BV460" s="1076"/>
      <c r="BW460" s="1116"/>
      <c r="BX460" s="1115"/>
      <c r="BY460" s="1076"/>
      <c r="BZ460" s="1076"/>
      <c r="CA460" s="1076"/>
      <c r="CB460" s="1116"/>
      <c r="CC460" s="1117"/>
      <c r="CD460" s="1118" t="s">
        <v>1942</v>
      </c>
      <c r="CE460" s="1119" t="s">
        <v>1942</v>
      </c>
      <c r="CF460" s="1119" t="s">
        <v>1942</v>
      </c>
      <c r="CG460" s="1119" t="s">
        <v>1942</v>
      </c>
      <c r="CH460" s="1120" t="s">
        <v>1942</v>
      </c>
      <c r="CI460" s="1075" t="s">
        <v>1942</v>
      </c>
      <c r="CJ460" s="1076" t="s">
        <v>1942</v>
      </c>
      <c r="CK460" s="1076" t="s">
        <v>1942</v>
      </c>
      <c r="CL460" s="1076" t="s">
        <v>1942</v>
      </c>
      <c r="CM460" s="1117" t="s">
        <v>1942</v>
      </c>
      <c r="CN460" s="1075" t="s">
        <v>1942</v>
      </c>
      <c r="CO460" s="1076" t="s">
        <v>1942</v>
      </c>
      <c r="CP460" s="1076" t="s">
        <v>1942</v>
      </c>
      <c r="CQ460" s="1076" t="s">
        <v>1942</v>
      </c>
      <c r="CR460" s="1117" t="s">
        <v>1942</v>
      </c>
      <c r="CS460" s="1075" t="s">
        <v>1942</v>
      </c>
      <c r="CT460" s="1076" t="s">
        <v>1942</v>
      </c>
      <c r="CU460" s="1076" t="s">
        <v>1942</v>
      </c>
      <c r="CV460" s="1076" t="s">
        <v>1942</v>
      </c>
      <c r="CW460" s="1117" t="s">
        <v>1942</v>
      </c>
      <c r="CX460" s="1075" t="s">
        <v>1942</v>
      </c>
      <c r="CY460" s="1076" t="s">
        <v>1942</v>
      </c>
      <c r="CZ460" s="1076" t="s">
        <v>1942</v>
      </c>
      <c r="DA460" s="1076" t="s">
        <v>1942</v>
      </c>
      <c r="DB460" s="1117" t="s">
        <v>1942</v>
      </c>
      <c r="DC460" s="1076" t="s">
        <v>1942</v>
      </c>
      <c r="DD460" s="1076" t="s">
        <v>1942</v>
      </c>
      <c r="DE460" s="1076" t="s">
        <v>1942</v>
      </c>
      <c r="DF460" s="1076" t="s">
        <v>1942</v>
      </c>
      <c r="DG460" s="1117" t="s">
        <v>1942</v>
      </c>
      <c r="DH460" s="1075" t="s">
        <v>1942</v>
      </c>
      <c r="DI460" s="1076" t="s">
        <v>1942</v>
      </c>
      <c r="DJ460" s="1076" t="s">
        <v>1942</v>
      </c>
      <c r="DK460" s="1076" t="s">
        <v>1942</v>
      </c>
      <c r="DL460" s="1117" t="s">
        <v>1942</v>
      </c>
      <c r="DM460" s="1121" t="s">
        <v>1942</v>
      </c>
      <c r="DN460" s="1122" t="s">
        <v>1942</v>
      </c>
      <c r="DO460" s="1122" t="s">
        <v>1942</v>
      </c>
      <c r="DP460" s="1123" t="s">
        <v>1942</v>
      </c>
      <c r="DQ460" s="1122" t="s">
        <v>1942</v>
      </c>
      <c r="DR460" s="1122" t="s">
        <v>1942</v>
      </c>
      <c r="DS460" s="1122" t="s">
        <v>1942</v>
      </c>
      <c r="DT460" s="1123" t="s">
        <v>1942</v>
      </c>
      <c r="DU460" s="1119" t="s">
        <v>1942</v>
      </c>
      <c r="DV460" s="1124">
        <v>1</v>
      </c>
      <c r="DW460" s="1125" t="s">
        <v>1942</v>
      </c>
    </row>
    <row r="461" spans="1:127" s="397" customFormat="1" ht="15.75" hidden="1" customHeight="1">
      <c r="A461" s="1097" t="s">
        <v>1045</v>
      </c>
      <c r="B461" s="1057">
        <v>452</v>
      </c>
      <c r="C461" s="1018"/>
      <c r="D461" s="1018"/>
      <c r="E461" s="1018"/>
      <c r="F461" s="1018"/>
      <c r="G461" s="1018"/>
      <c r="H461" s="1018"/>
      <c r="I461" s="1018"/>
      <c r="J461" s="1018"/>
      <c r="K461" s="1018"/>
      <c r="L461" s="1018"/>
      <c r="M461" s="1057"/>
      <c r="N461" s="1018"/>
      <c r="O461" s="1018"/>
      <c r="P461" s="1018"/>
      <c r="Q461" s="1018"/>
      <c r="R461" s="1018"/>
      <c r="S461" s="1018"/>
      <c r="T461" s="1019"/>
      <c r="U461" s="1098" t="s">
        <v>3856</v>
      </c>
      <c r="V461" s="1099" t="s">
        <v>3853</v>
      </c>
      <c r="W461" s="1099" t="s">
        <v>1889</v>
      </c>
      <c r="X461" s="1100" t="s">
        <v>3857</v>
      </c>
      <c r="Y461" s="1101" t="s">
        <v>3198</v>
      </c>
      <c r="Z461" s="1102" t="s">
        <v>3858</v>
      </c>
      <c r="AA461" s="1103" t="s">
        <v>1942</v>
      </c>
      <c r="AB461" s="1104" t="s">
        <v>1942</v>
      </c>
      <c r="AC461" s="1104">
        <v>1</v>
      </c>
      <c r="AD461" s="1104" t="s">
        <v>1942</v>
      </c>
      <c r="AE461" s="1104" t="s">
        <v>1942</v>
      </c>
      <c r="AF461" s="1104" t="s">
        <v>1942</v>
      </c>
      <c r="AG461" s="1104" t="s">
        <v>1942</v>
      </c>
      <c r="AH461" s="1104" t="s">
        <v>1942</v>
      </c>
      <c r="AI461" s="1105">
        <f t="shared" si="7"/>
        <v>1</v>
      </c>
      <c r="AJ461" s="1106" t="s">
        <v>1030</v>
      </c>
      <c r="AK461" s="1106" t="s">
        <v>1008</v>
      </c>
      <c r="AL461" s="1106" t="s">
        <v>1019</v>
      </c>
      <c r="AM461" s="1107" t="s">
        <v>1910</v>
      </c>
      <c r="AN461" s="1018" t="s">
        <v>2177</v>
      </c>
      <c r="AO461" s="1018" t="s">
        <v>3859</v>
      </c>
      <c r="AP461" s="1333">
        <v>2</v>
      </c>
      <c r="AQ461" s="1076" t="s">
        <v>1010</v>
      </c>
      <c r="AR461" s="1109" t="s">
        <v>1942</v>
      </c>
      <c r="AS461" s="1110"/>
      <c r="AT461" s="1100"/>
      <c r="AU461" s="1100"/>
      <c r="AV461" s="1100"/>
      <c r="AW461" s="1111"/>
      <c r="AX461" s="1112"/>
      <c r="AY461" s="1075"/>
      <c r="AZ461" s="1076"/>
      <c r="BA461" s="1076"/>
      <c r="BB461" s="1076"/>
      <c r="BC461" s="1076"/>
      <c r="BD461" s="1076"/>
      <c r="BE461" s="1076"/>
      <c r="BF461" s="1076"/>
      <c r="BG461" s="1076"/>
      <c r="BH461" s="1076"/>
      <c r="BI461" s="1420"/>
      <c r="BJ461" s="1368"/>
      <c r="BK461" s="1368"/>
      <c r="BL461" s="1368"/>
      <c r="BM461" s="1368"/>
      <c r="BN461" s="1075"/>
      <c r="BO461" s="1076"/>
      <c r="BP461" s="1076"/>
      <c r="BQ461" s="1076"/>
      <c r="BR461" s="1076"/>
      <c r="BS461" s="1115"/>
      <c r="BT461" s="1076"/>
      <c r="BU461" s="1076"/>
      <c r="BV461" s="1076"/>
      <c r="BW461" s="1116"/>
      <c r="BX461" s="1115"/>
      <c r="BY461" s="1076"/>
      <c r="BZ461" s="1076"/>
      <c r="CA461" s="1076"/>
      <c r="CB461" s="1116"/>
      <c r="CC461" s="1117"/>
      <c r="CD461" s="1376"/>
      <c r="CE461" s="1377"/>
      <c r="CF461" s="1377"/>
      <c r="CG461" s="1377"/>
      <c r="CH461" s="1440"/>
      <c r="CI461" s="1420"/>
      <c r="CJ461" s="1368"/>
      <c r="CK461" s="1368"/>
      <c r="CL461" s="1368"/>
      <c r="CM461" s="1369"/>
      <c r="CN461" s="1420"/>
      <c r="CO461" s="1368"/>
      <c r="CP461" s="1368"/>
      <c r="CQ461" s="1368"/>
      <c r="CR461" s="1369"/>
      <c r="CS461" s="1420"/>
      <c r="CT461" s="1368"/>
      <c r="CU461" s="1368"/>
      <c r="CV461" s="1368"/>
      <c r="CW461" s="1369"/>
      <c r="CX461" s="1420"/>
      <c r="CY461" s="1368"/>
      <c r="CZ461" s="1368"/>
      <c r="DA461" s="1368"/>
      <c r="DB461" s="1369"/>
      <c r="DC461" s="1368"/>
      <c r="DD461" s="1368"/>
      <c r="DE461" s="1368"/>
      <c r="DF461" s="1368"/>
      <c r="DG461" s="1369"/>
      <c r="DH461" s="1420"/>
      <c r="DI461" s="1368"/>
      <c r="DJ461" s="1368"/>
      <c r="DK461" s="1368"/>
      <c r="DL461" s="1369"/>
      <c r="DM461" s="1808"/>
      <c r="DN461" s="1809"/>
      <c r="DO461" s="1809"/>
      <c r="DP461" s="1810"/>
      <c r="DQ461" s="1809"/>
      <c r="DR461" s="1809"/>
      <c r="DS461" s="1809"/>
      <c r="DT461" s="1810"/>
      <c r="DU461" s="1377"/>
      <c r="DV461" s="1729"/>
      <c r="DW461" s="1811"/>
    </row>
    <row r="462" spans="1:127" s="397" customFormat="1" ht="15.75" hidden="1" customHeight="1">
      <c r="A462" s="1097" t="s">
        <v>1045</v>
      </c>
      <c r="B462" s="1057">
        <v>453</v>
      </c>
      <c r="C462" s="1018"/>
      <c r="D462" s="1018"/>
      <c r="E462" s="1018"/>
      <c r="F462" s="1018"/>
      <c r="G462" s="1018"/>
      <c r="H462" s="1018"/>
      <c r="I462" s="1018"/>
      <c r="J462" s="1018"/>
      <c r="K462" s="1018"/>
      <c r="L462" s="1018"/>
      <c r="M462" s="1057"/>
      <c r="N462" s="1018"/>
      <c r="O462" s="1018"/>
      <c r="P462" s="1018"/>
      <c r="Q462" s="1018"/>
      <c r="R462" s="1018"/>
      <c r="S462" s="1018"/>
      <c r="T462" s="1019"/>
      <c r="U462" s="1098" t="s">
        <v>3860</v>
      </c>
      <c r="V462" s="1099" t="s">
        <v>3853</v>
      </c>
      <c r="W462" s="1099" t="s">
        <v>1907</v>
      </c>
      <c r="X462" s="1100" t="s">
        <v>3861</v>
      </c>
      <c r="Y462" s="1101" t="s">
        <v>535</v>
      </c>
      <c r="Z462" s="1102" t="s">
        <v>3862</v>
      </c>
      <c r="AA462" s="1103">
        <v>0.01</v>
      </c>
      <c r="AB462" s="1104">
        <v>0.99</v>
      </c>
      <c r="AC462" s="1104" t="s">
        <v>1942</v>
      </c>
      <c r="AD462" s="1104" t="s">
        <v>1942</v>
      </c>
      <c r="AE462" s="1104" t="s">
        <v>1942</v>
      </c>
      <c r="AF462" s="1104" t="s">
        <v>1942</v>
      </c>
      <c r="AG462" s="1104" t="s">
        <v>1942</v>
      </c>
      <c r="AH462" s="1104" t="s">
        <v>1942</v>
      </c>
      <c r="AI462" s="1105">
        <f t="shared" si="7"/>
        <v>1</v>
      </c>
      <c r="AJ462" s="1106" t="s">
        <v>1007</v>
      </c>
      <c r="AK462" s="1106" t="s">
        <v>1942</v>
      </c>
      <c r="AL462" s="1106" t="s">
        <v>1942</v>
      </c>
      <c r="AM462" s="1107" t="s">
        <v>1910</v>
      </c>
      <c r="AN462" s="1018" t="s">
        <v>278</v>
      </c>
      <c r="AO462" s="1018" t="s">
        <v>4792</v>
      </c>
      <c r="AP462" s="1307">
        <v>1</v>
      </c>
      <c r="AQ462" s="1076" t="s">
        <v>1020</v>
      </c>
      <c r="AR462" s="1109" t="s">
        <v>535</v>
      </c>
      <c r="AS462" s="1110"/>
      <c r="AT462" s="1100"/>
      <c r="AU462" s="1100"/>
      <c r="AV462" s="1100"/>
      <c r="AW462" s="1111"/>
      <c r="AX462" s="1112"/>
      <c r="AY462" s="1075"/>
      <c r="AZ462" s="1076"/>
      <c r="BA462" s="1076"/>
      <c r="BB462" s="1076"/>
      <c r="BC462" s="1076"/>
      <c r="BD462" s="1076"/>
      <c r="BE462" s="1076"/>
      <c r="BF462" s="1076"/>
      <c r="BG462" s="1076"/>
      <c r="BH462" s="1076"/>
      <c r="BI462" s="1140">
        <v>77</v>
      </c>
      <c r="BJ462" s="1141">
        <v>77</v>
      </c>
      <c r="BK462" s="1141">
        <v>77</v>
      </c>
      <c r="BL462" s="1141">
        <v>76.900000000000006</v>
      </c>
      <c r="BM462" s="1141">
        <v>76.900000000000006</v>
      </c>
      <c r="BN462" s="1075"/>
      <c r="BO462" s="1076"/>
      <c r="BP462" s="1076"/>
      <c r="BQ462" s="1076"/>
      <c r="BR462" s="1076"/>
      <c r="BS462" s="1115"/>
      <c r="BT462" s="1076"/>
      <c r="BU462" s="1076"/>
      <c r="BV462" s="1076"/>
      <c r="BW462" s="1116"/>
      <c r="BX462" s="1115"/>
      <c r="BY462" s="1076"/>
      <c r="BZ462" s="1076"/>
      <c r="CA462" s="1076"/>
      <c r="CB462" s="1116"/>
      <c r="CC462" s="1117"/>
      <c r="CD462" s="1118" t="s">
        <v>1942</v>
      </c>
      <c r="CE462" s="1119" t="s">
        <v>1942</v>
      </c>
      <c r="CF462" s="1119" t="s">
        <v>1942</v>
      </c>
      <c r="CG462" s="1119" t="s">
        <v>1942</v>
      </c>
      <c r="CH462" s="1120" t="s">
        <v>1942</v>
      </c>
      <c r="CI462" s="1075" t="s">
        <v>1942</v>
      </c>
      <c r="CJ462" s="1076" t="s">
        <v>1942</v>
      </c>
      <c r="CK462" s="1076" t="s">
        <v>1942</v>
      </c>
      <c r="CL462" s="1076" t="s">
        <v>1942</v>
      </c>
      <c r="CM462" s="1117" t="s">
        <v>1942</v>
      </c>
      <c r="CN462" s="1075" t="s">
        <v>1942</v>
      </c>
      <c r="CO462" s="1076" t="s">
        <v>1942</v>
      </c>
      <c r="CP462" s="1076" t="s">
        <v>1942</v>
      </c>
      <c r="CQ462" s="1076" t="s">
        <v>1942</v>
      </c>
      <c r="CR462" s="1117" t="s">
        <v>1942</v>
      </c>
      <c r="CS462" s="1075" t="s">
        <v>1942</v>
      </c>
      <c r="CT462" s="1076" t="s">
        <v>1942</v>
      </c>
      <c r="CU462" s="1076" t="s">
        <v>1942</v>
      </c>
      <c r="CV462" s="1076" t="s">
        <v>1942</v>
      </c>
      <c r="CW462" s="1117" t="s">
        <v>1942</v>
      </c>
      <c r="CX462" s="1075" t="s">
        <v>1942</v>
      </c>
      <c r="CY462" s="1076" t="s">
        <v>1942</v>
      </c>
      <c r="CZ462" s="1076" t="s">
        <v>1942</v>
      </c>
      <c r="DA462" s="1076" t="s">
        <v>1942</v>
      </c>
      <c r="DB462" s="1117" t="s">
        <v>1942</v>
      </c>
      <c r="DC462" s="1076" t="s">
        <v>1942</v>
      </c>
      <c r="DD462" s="1076" t="s">
        <v>1942</v>
      </c>
      <c r="DE462" s="1076" t="s">
        <v>1942</v>
      </c>
      <c r="DF462" s="1076" t="s">
        <v>1942</v>
      </c>
      <c r="DG462" s="1117" t="s">
        <v>1942</v>
      </c>
      <c r="DH462" s="1075" t="s">
        <v>1942</v>
      </c>
      <c r="DI462" s="1076" t="s">
        <v>1942</v>
      </c>
      <c r="DJ462" s="1076" t="s">
        <v>1942</v>
      </c>
      <c r="DK462" s="1076" t="s">
        <v>1942</v>
      </c>
      <c r="DL462" s="1117" t="s">
        <v>1942</v>
      </c>
      <c r="DM462" s="1121" t="s">
        <v>1942</v>
      </c>
      <c r="DN462" s="1122" t="s">
        <v>1942</v>
      </c>
      <c r="DO462" s="1122" t="s">
        <v>1942</v>
      </c>
      <c r="DP462" s="1123" t="s">
        <v>1942</v>
      </c>
      <c r="DQ462" s="1122" t="s">
        <v>1942</v>
      </c>
      <c r="DR462" s="1122" t="s">
        <v>1942</v>
      </c>
      <c r="DS462" s="1122" t="s">
        <v>1942</v>
      </c>
      <c r="DT462" s="1123" t="s">
        <v>1942</v>
      </c>
      <c r="DU462" s="1119" t="s">
        <v>131</v>
      </c>
      <c r="DV462" s="1124">
        <v>1</v>
      </c>
      <c r="DW462" s="1125" t="s">
        <v>1942</v>
      </c>
    </row>
    <row r="463" spans="1:127" s="397" customFormat="1" ht="15.75" hidden="1" customHeight="1">
      <c r="A463" s="1097" t="s">
        <v>1045</v>
      </c>
      <c r="B463" s="1057">
        <v>454</v>
      </c>
      <c r="C463" s="1018"/>
      <c r="D463" s="1018"/>
      <c r="E463" s="1018"/>
      <c r="F463" s="1018"/>
      <c r="G463" s="1018"/>
      <c r="H463" s="1018"/>
      <c r="I463" s="1018"/>
      <c r="J463" s="1018"/>
      <c r="K463" s="1018"/>
      <c r="L463" s="1018"/>
      <c r="M463" s="1057"/>
      <c r="N463" s="1018"/>
      <c r="O463" s="1018"/>
      <c r="P463" s="1018"/>
      <c r="Q463" s="1018"/>
      <c r="R463" s="1018"/>
      <c r="S463" s="1018"/>
      <c r="T463" s="1019"/>
      <c r="U463" s="1098" t="s">
        <v>3863</v>
      </c>
      <c r="V463" s="1099" t="s">
        <v>3853</v>
      </c>
      <c r="W463" s="1099" t="s">
        <v>1896</v>
      </c>
      <c r="X463" s="1100" t="s">
        <v>3864</v>
      </c>
      <c r="Y463" s="1101" t="s">
        <v>3865</v>
      </c>
      <c r="Z463" s="1102" t="s">
        <v>3866</v>
      </c>
      <c r="AA463" s="1103">
        <v>0.67</v>
      </c>
      <c r="AB463" s="1104">
        <v>0.33</v>
      </c>
      <c r="AC463" s="1104" t="s">
        <v>1942</v>
      </c>
      <c r="AD463" s="1104" t="s">
        <v>1942</v>
      </c>
      <c r="AE463" s="1104" t="s">
        <v>1942</v>
      </c>
      <c r="AF463" s="1104" t="s">
        <v>1942</v>
      </c>
      <c r="AG463" s="1104" t="s">
        <v>1942</v>
      </c>
      <c r="AH463" s="1104" t="s">
        <v>1942</v>
      </c>
      <c r="AI463" s="1105">
        <f t="shared" si="7"/>
        <v>1</v>
      </c>
      <c r="AJ463" s="1106" t="s">
        <v>1026</v>
      </c>
      <c r="AK463" s="1106" t="s">
        <v>1008</v>
      </c>
      <c r="AL463" s="1106" t="s">
        <v>1009</v>
      </c>
      <c r="AM463" s="1107" t="s">
        <v>2515</v>
      </c>
      <c r="AN463" s="1018" t="s">
        <v>1081</v>
      </c>
      <c r="AO463" s="1018" t="s">
        <v>3867</v>
      </c>
      <c r="AP463" s="1333">
        <v>0</v>
      </c>
      <c r="AQ463" s="1076" t="s">
        <v>1010</v>
      </c>
      <c r="AR463" s="1109" t="s">
        <v>1942</v>
      </c>
      <c r="AS463" s="1110"/>
      <c r="AT463" s="1100"/>
      <c r="AU463" s="1100"/>
      <c r="AV463" s="1100"/>
      <c r="AW463" s="1111"/>
      <c r="AX463" s="1112"/>
      <c r="AY463" s="1075"/>
      <c r="AZ463" s="1076"/>
      <c r="BA463" s="1076"/>
      <c r="BB463" s="1076"/>
      <c r="BC463" s="1076"/>
      <c r="BD463" s="1076"/>
      <c r="BE463" s="1076"/>
      <c r="BF463" s="1076"/>
      <c r="BG463" s="1076"/>
      <c r="BH463" s="1076"/>
      <c r="BI463" s="1420"/>
      <c r="BJ463" s="1368"/>
      <c r="BK463" s="1368"/>
      <c r="BL463" s="1368"/>
      <c r="BM463" s="1368"/>
      <c r="BN463" s="1075"/>
      <c r="BO463" s="1076"/>
      <c r="BP463" s="1076"/>
      <c r="BQ463" s="1076"/>
      <c r="BR463" s="1076"/>
      <c r="BS463" s="1115"/>
      <c r="BT463" s="1076"/>
      <c r="BU463" s="1076"/>
      <c r="BV463" s="1076"/>
      <c r="BW463" s="1116"/>
      <c r="BX463" s="1115"/>
      <c r="BY463" s="1076"/>
      <c r="BZ463" s="1076"/>
      <c r="CA463" s="1076"/>
      <c r="CB463" s="1116"/>
      <c r="CC463" s="1117"/>
      <c r="CD463" s="1376"/>
      <c r="CE463" s="1377"/>
      <c r="CF463" s="1377"/>
      <c r="CG463" s="1377"/>
      <c r="CH463" s="1440"/>
      <c r="CI463" s="1420"/>
      <c r="CJ463" s="1368"/>
      <c r="CK463" s="1368"/>
      <c r="CL463" s="1368"/>
      <c r="CM463" s="1369"/>
      <c r="CN463" s="1420"/>
      <c r="CO463" s="1368"/>
      <c r="CP463" s="1368"/>
      <c r="CQ463" s="1368"/>
      <c r="CR463" s="1369"/>
      <c r="CS463" s="1420"/>
      <c r="CT463" s="1368"/>
      <c r="CU463" s="1368"/>
      <c r="CV463" s="1368"/>
      <c r="CW463" s="1369"/>
      <c r="CX463" s="1420"/>
      <c r="CY463" s="1368"/>
      <c r="CZ463" s="1368"/>
      <c r="DA463" s="1368"/>
      <c r="DB463" s="1369"/>
      <c r="DC463" s="1368"/>
      <c r="DD463" s="1368"/>
      <c r="DE463" s="1368"/>
      <c r="DF463" s="1368"/>
      <c r="DG463" s="1369"/>
      <c r="DH463" s="1420"/>
      <c r="DI463" s="1368"/>
      <c r="DJ463" s="1368"/>
      <c r="DK463" s="1368"/>
      <c r="DL463" s="1369"/>
      <c r="DM463" s="1808"/>
      <c r="DN463" s="1809"/>
      <c r="DO463" s="1809"/>
      <c r="DP463" s="1810"/>
      <c r="DQ463" s="1809"/>
      <c r="DR463" s="1809"/>
      <c r="DS463" s="1809"/>
      <c r="DT463" s="1810"/>
      <c r="DU463" s="1377"/>
      <c r="DV463" s="1729"/>
      <c r="DW463" s="1811"/>
    </row>
    <row r="464" spans="1:127" s="397" customFormat="1" ht="15.75" hidden="1" customHeight="1">
      <c r="A464" s="1097" t="s">
        <v>1045</v>
      </c>
      <c r="B464" s="1057">
        <v>455</v>
      </c>
      <c r="C464" s="1018"/>
      <c r="D464" s="1018"/>
      <c r="E464" s="1018"/>
      <c r="F464" s="1018"/>
      <c r="G464" s="1018"/>
      <c r="H464" s="1018"/>
      <c r="I464" s="1018"/>
      <c r="J464" s="1018"/>
      <c r="K464" s="1018"/>
      <c r="L464" s="1018"/>
      <c r="M464" s="1057"/>
      <c r="N464" s="1018"/>
      <c r="O464" s="1018"/>
      <c r="P464" s="1018"/>
      <c r="Q464" s="1018"/>
      <c r="R464" s="1018"/>
      <c r="S464" s="1018"/>
      <c r="T464" s="1019"/>
      <c r="U464" s="1098" t="s">
        <v>3868</v>
      </c>
      <c r="V464" s="1099" t="s">
        <v>3853</v>
      </c>
      <c r="W464" s="1099" t="s">
        <v>1907</v>
      </c>
      <c r="X464" s="1100" t="s">
        <v>3869</v>
      </c>
      <c r="Y464" s="1101" t="s">
        <v>3870</v>
      </c>
      <c r="Z464" s="1102" t="s">
        <v>3871</v>
      </c>
      <c r="AA464" s="1103" t="s">
        <v>1942</v>
      </c>
      <c r="AB464" s="1104">
        <v>0.67</v>
      </c>
      <c r="AC464" s="1104">
        <v>0.33</v>
      </c>
      <c r="AD464" s="1104" t="s">
        <v>1942</v>
      </c>
      <c r="AE464" s="1104" t="s">
        <v>1942</v>
      </c>
      <c r="AF464" s="1104" t="s">
        <v>1942</v>
      </c>
      <c r="AG464" s="1104" t="s">
        <v>1942</v>
      </c>
      <c r="AH464" s="1104" t="s">
        <v>1942</v>
      </c>
      <c r="AI464" s="1105">
        <f t="shared" si="7"/>
        <v>1</v>
      </c>
      <c r="AJ464" s="1106" t="s">
        <v>1026</v>
      </c>
      <c r="AK464" s="1106" t="s">
        <v>1008</v>
      </c>
      <c r="AL464" s="1106" t="s">
        <v>1019</v>
      </c>
      <c r="AM464" s="1107" t="s">
        <v>1910</v>
      </c>
      <c r="AN464" s="1018" t="s">
        <v>1033</v>
      </c>
      <c r="AO464" s="1018" t="s">
        <v>2682</v>
      </c>
      <c r="AP464" s="1333">
        <v>0</v>
      </c>
      <c r="AQ464" s="1076" t="s">
        <v>1010</v>
      </c>
      <c r="AR464" s="1109" t="s">
        <v>1942</v>
      </c>
      <c r="AS464" s="1110"/>
      <c r="AT464" s="1100"/>
      <c r="AU464" s="1100"/>
      <c r="AV464" s="1100"/>
      <c r="AW464" s="1111"/>
      <c r="AX464" s="1112"/>
      <c r="AY464" s="1075"/>
      <c r="AZ464" s="1076"/>
      <c r="BA464" s="1076"/>
      <c r="BB464" s="1076"/>
      <c r="BC464" s="1076"/>
      <c r="BD464" s="1076"/>
      <c r="BE464" s="1076"/>
      <c r="BF464" s="1076"/>
      <c r="BG464" s="1076"/>
      <c r="BH464" s="1076"/>
      <c r="BI464" s="1420"/>
      <c r="BJ464" s="1368"/>
      <c r="BK464" s="1368"/>
      <c r="BL464" s="1368"/>
      <c r="BM464" s="1368"/>
      <c r="BN464" s="1075"/>
      <c r="BO464" s="1076"/>
      <c r="BP464" s="1076"/>
      <c r="BQ464" s="1076"/>
      <c r="BR464" s="1076"/>
      <c r="BS464" s="1115"/>
      <c r="BT464" s="1076"/>
      <c r="BU464" s="1076"/>
      <c r="BV464" s="1076"/>
      <c r="BW464" s="1116"/>
      <c r="BX464" s="1115"/>
      <c r="BY464" s="1076"/>
      <c r="BZ464" s="1076"/>
      <c r="CA464" s="1076"/>
      <c r="CB464" s="1116"/>
      <c r="CC464" s="1117"/>
      <c r="CD464" s="1376"/>
      <c r="CE464" s="1377"/>
      <c r="CF464" s="1377"/>
      <c r="CG464" s="1377"/>
      <c r="CH464" s="1440"/>
      <c r="CI464" s="1420"/>
      <c r="CJ464" s="1368"/>
      <c r="CK464" s="1368"/>
      <c r="CL464" s="1368"/>
      <c r="CM464" s="1369"/>
      <c r="CN464" s="1420"/>
      <c r="CO464" s="1368"/>
      <c r="CP464" s="1368"/>
      <c r="CQ464" s="1368"/>
      <c r="CR464" s="1369"/>
      <c r="CS464" s="1420"/>
      <c r="CT464" s="1368"/>
      <c r="CU464" s="1368"/>
      <c r="CV464" s="1368"/>
      <c r="CW464" s="1369"/>
      <c r="CX464" s="1420"/>
      <c r="CY464" s="1368"/>
      <c r="CZ464" s="1368"/>
      <c r="DA464" s="1368"/>
      <c r="DB464" s="1369"/>
      <c r="DC464" s="1368"/>
      <c r="DD464" s="1368"/>
      <c r="DE464" s="1368"/>
      <c r="DF464" s="1368"/>
      <c r="DG464" s="1369"/>
      <c r="DH464" s="1420"/>
      <c r="DI464" s="1368"/>
      <c r="DJ464" s="1368"/>
      <c r="DK464" s="1368"/>
      <c r="DL464" s="1369"/>
      <c r="DM464" s="1808"/>
      <c r="DN464" s="1809"/>
      <c r="DO464" s="1809"/>
      <c r="DP464" s="1810"/>
      <c r="DQ464" s="1809"/>
      <c r="DR464" s="1809"/>
      <c r="DS464" s="1809"/>
      <c r="DT464" s="1810"/>
      <c r="DU464" s="1377"/>
      <c r="DV464" s="1729"/>
      <c r="DW464" s="1811"/>
    </row>
    <row r="465" spans="1:127" s="397" customFormat="1" ht="15.75" hidden="1" customHeight="1">
      <c r="A465" s="1097" t="s">
        <v>1045</v>
      </c>
      <c r="B465" s="1057">
        <v>456</v>
      </c>
      <c r="C465" s="1018"/>
      <c r="D465" s="1018"/>
      <c r="E465" s="1018"/>
      <c r="F465" s="1018"/>
      <c r="G465" s="1018"/>
      <c r="H465" s="1018"/>
      <c r="I465" s="1018"/>
      <c r="J465" s="1018"/>
      <c r="K465" s="1018"/>
      <c r="L465" s="1018"/>
      <c r="M465" s="1057"/>
      <c r="N465" s="1018"/>
      <c r="O465" s="1018"/>
      <c r="P465" s="1018"/>
      <c r="Q465" s="1018"/>
      <c r="R465" s="1018"/>
      <c r="S465" s="1018"/>
      <c r="T465" s="1019"/>
      <c r="U465" s="1098" t="s">
        <v>3872</v>
      </c>
      <c r="V465" s="1099" t="s">
        <v>3853</v>
      </c>
      <c r="W465" s="1099" t="s">
        <v>1896</v>
      </c>
      <c r="X465" s="1100" t="s">
        <v>3873</v>
      </c>
      <c r="Y465" s="1101" t="s">
        <v>3874</v>
      </c>
      <c r="Z465" s="1102" t="s">
        <v>3875</v>
      </c>
      <c r="AA465" s="1103" t="s">
        <v>1942</v>
      </c>
      <c r="AB465" s="1104">
        <v>0.72</v>
      </c>
      <c r="AC465" s="1104">
        <v>0.28000000000000003</v>
      </c>
      <c r="AD465" s="1104" t="s">
        <v>1942</v>
      </c>
      <c r="AE465" s="1104" t="s">
        <v>1942</v>
      </c>
      <c r="AF465" s="1104" t="s">
        <v>1942</v>
      </c>
      <c r="AG465" s="1104" t="s">
        <v>1942</v>
      </c>
      <c r="AH465" s="1104" t="s">
        <v>1942</v>
      </c>
      <c r="AI465" s="1105">
        <f t="shared" si="7"/>
        <v>1</v>
      </c>
      <c r="AJ465" s="1106" t="s">
        <v>1026</v>
      </c>
      <c r="AK465" s="1106" t="s">
        <v>1008</v>
      </c>
      <c r="AL465" s="1106" t="s">
        <v>1019</v>
      </c>
      <c r="AM465" s="1107" t="s">
        <v>3876</v>
      </c>
      <c r="AN465" s="1018" t="s">
        <v>278</v>
      </c>
      <c r="AO465" s="1018" t="s">
        <v>3877</v>
      </c>
      <c r="AP465" s="1333">
        <v>1</v>
      </c>
      <c r="AQ465" s="1076" t="s">
        <v>1010</v>
      </c>
      <c r="AR465" s="1109" t="s">
        <v>1942</v>
      </c>
      <c r="AS465" s="1110"/>
      <c r="AT465" s="1100"/>
      <c r="AU465" s="1100"/>
      <c r="AV465" s="1100"/>
      <c r="AW465" s="1111"/>
      <c r="AX465" s="1112"/>
      <c r="AY465" s="1075"/>
      <c r="AZ465" s="1076"/>
      <c r="BA465" s="1076"/>
      <c r="BB465" s="1076"/>
      <c r="BC465" s="1076"/>
      <c r="BD465" s="1076"/>
      <c r="BE465" s="1076"/>
      <c r="BF465" s="1076"/>
      <c r="BG465" s="1076"/>
      <c r="BH465" s="1076"/>
      <c r="BI465" s="1420"/>
      <c r="BJ465" s="1368"/>
      <c r="BK465" s="1368"/>
      <c r="BL465" s="1368"/>
      <c r="BM465" s="1368"/>
      <c r="BN465" s="1075"/>
      <c r="BO465" s="1076"/>
      <c r="BP465" s="1076"/>
      <c r="BQ465" s="1076"/>
      <c r="BR465" s="1076"/>
      <c r="BS465" s="1115"/>
      <c r="BT465" s="1076"/>
      <c r="BU465" s="1076"/>
      <c r="BV465" s="1076"/>
      <c r="BW465" s="1116"/>
      <c r="BX465" s="1115"/>
      <c r="BY465" s="1076"/>
      <c r="BZ465" s="1076"/>
      <c r="CA465" s="1076"/>
      <c r="CB465" s="1116"/>
      <c r="CC465" s="1117"/>
      <c r="CD465" s="1376"/>
      <c r="CE465" s="1377"/>
      <c r="CF465" s="1377"/>
      <c r="CG465" s="1377"/>
      <c r="CH465" s="1440"/>
      <c r="CI465" s="1420"/>
      <c r="CJ465" s="1368"/>
      <c r="CK465" s="1368"/>
      <c r="CL465" s="1368"/>
      <c r="CM465" s="1369"/>
      <c r="CN465" s="1420"/>
      <c r="CO465" s="1368"/>
      <c r="CP465" s="1368"/>
      <c r="CQ465" s="1368"/>
      <c r="CR465" s="1369"/>
      <c r="CS465" s="1420"/>
      <c r="CT465" s="1368"/>
      <c r="CU465" s="1368"/>
      <c r="CV465" s="1368"/>
      <c r="CW465" s="1369"/>
      <c r="CX465" s="1420"/>
      <c r="CY465" s="1368"/>
      <c r="CZ465" s="1368"/>
      <c r="DA465" s="1368"/>
      <c r="DB465" s="1369"/>
      <c r="DC465" s="1368"/>
      <c r="DD465" s="1368"/>
      <c r="DE465" s="1368"/>
      <c r="DF465" s="1368"/>
      <c r="DG465" s="1369"/>
      <c r="DH465" s="1420"/>
      <c r="DI465" s="1368"/>
      <c r="DJ465" s="1368"/>
      <c r="DK465" s="1368"/>
      <c r="DL465" s="1369"/>
      <c r="DM465" s="1808"/>
      <c r="DN465" s="1809"/>
      <c r="DO465" s="1809"/>
      <c r="DP465" s="1810"/>
      <c r="DQ465" s="1809"/>
      <c r="DR465" s="1809"/>
      <c r="DS465" s="1809"/>
      <c r="DT465" s="1810"/>
      <c r="DU465" s="1377"/>
      <c r="DV465" s="1729"/>
      <c r="DW465" s="1811"/>
    </row>
    <row r="466" spans="1:127" s="397" customFormat="1" ht="15.75" hidden="1" customHeight="1">
      <c r="A466" s="1097" t="s">
        <v>1045</v>
      </c>
      <c r="B466" s="1057">
        <v>457</v>
      </c>
      <c r="C466" s="1018"/>
      <c r="D466" s="1018"/>
      <c r="E466" s="1018"/>
      <c r="F466" s="1018"/>
      <c r="G466" s="1018"/>
      <c r="H466" s="1018"/>
      <c r="I466" s="1018"/>
      <c r="J466" s="1018"/>
      <c r="K466" s="1018"/>
      <c r="L466" s="1018"/>
      <c r="M466" s="1057"/>
      <c r="N466" s="1018"/>
      <c r="O466" s="1018"/>
      <c r="P466" s="1018"/>
      <c r="Q466" s="1018"/>
      <c r="R466" s="1018"/>
      <c r="S466" s="1018"/>
      <c r="T466" s="1019"/>
      <c r="U466" s="1098" t="s">
        <v>3878</v>
      </c>
      <c r="V466" s="1099" t="s">
        <v>1942</v>
      </c>
      <c r="W466" s="1099" t="s">
        <v>1942</v>
      </c>
      <c r="X466" s="1100" t="s">
        <v>3879</v>
      </c>
      <c r="Y466" s="1101" t="s">
        <v>3880</v>
      </c>
      <c r="Z466" s="1102" t="s">
        <v>1942</v>
      </c>
      <c r="AA466" s="1103" t="s">
        <v>1942</v>
      </c>
      <c r="AB466" s="1104">
        <v>0.754</v>
      </c>
      <c r="AC466" s="1104">
        <v>0.246</v>
      </c>
      <c r="AD466" s="1104" t="s">
        <v>1942</v>
      </c>
      <c r="AE466" s="1104" t="s">
        <v>1942</v>
      </c>
      <c r="AF466" s="1104" t="s">
        <v>1942</v>
      </c>
      <c r="AG466" s="1104" t="s">
        <v>1942</v>
      </c>
      <c r="AH466" s="1104" t="s">
        <v>1942</v>
      </c>
      <c r="AI466" s="1105">
        <f t="shared" si="7"/>
        <v>1</v>
      </c>
      <c r="AJ466" s="1106" t="s">
        <v>1026</v>
      </c>
      <c r="AK466" s="1106" t="s">
        <v>1008</v>
      </c>
      <c r="AL466" s="1106" t="s">
        <v>4853</v>
      </c>
      <c r="AM466" s="1107" t="s">
        <v>3876</v>
      </c>
      <c r="AN466" s="1018" t="s">
        <v>2118</v>
      </c>
      <c r="AO466" s="1018" t="s">
        <v>1942</v>
      </c>
      <c r="AP466" s="1333">
        <v>1</v>
      </c>
      <c r="AQ466" s="1076" t="s">
        <v>1010</v>
      </c>
      <c r="AR466" s="1109" t="s">
        <v>1942</v>
      </c>
      <c r="AS466" s="1110"/>
      <c r="AT466" s="1100"/>
      <c r="AU466" s="1100"/>
      <c r="AV466" s="1100"/>
      <c r="AW466" s="1111"/>
      <c r="AX466" s="1112"/>
      <c r="AY466" s="1075"/>
      <c r="AZ466" s="1076"/>
      <c r="BA466" s="1076"/>
      <c r="BB466" s="1076"/>
      <c r="BC466" s="1076"/>
      <c r="BD466" s="1076"/>
      <c r="BE466" s="1076"/>
      <c r="BF466" s="1076"/>
      <c r="BG466" s="1076"/>
      <c r="BH466" s="1076"/>
      <c r="BI466" s="1420"/>
      <c r="BJ466" s="1368"/>
      <c r="BK466" s="1368"/>
      <c r="BL466" s="1368"/>
      <c r="BM466" s="1368"/>
      <c r="BN466" s="1075"/>
      <c r="BO466" s="1076"/>
      <c r="BP466" s="1076"/>
      <c r="BQ466" s="1076"/>
      <c r="BR466" s="1076"/>
      <c r="BS466" s="1115"/>
      <c r="BT466" s="1076"/>
      <c r="BU466" s="1076"/>
      <c r="BV466" s="1076"/>
      <c r="BW466" s="1116"/>
      <c r="BX466" s="1115"/>
      <c r="BY466" s="1076"/>
      <c r="BZ466" s="1076"/>
      <c r="CA466" s="1076"/>
      <c r="CB466" s="1116"/>
      <c r="CC466" s="1117"/>
      <c r="CD466" s="1376"/>
      <c r="CE466" s="1377"/>
      <c r="CF466" s="1377"/>
      <c r="CG466" s="1377"/>
      <c r="CH466" s="1440"/>
      <c r="CI466" s="1420"/>
      <c r="CJ466" s="1368"/>
      <c r="CK466" s="1368"/>
      <c r="CL466" s="1368"/>
      <c r="CM466" s="1369"/>
      <c r="CN466" s="1420"/>
      <c r="CO466" s="1368"/>
      <c r="CP466" s="1368"/>
      <c r="CQ466" s="1368"/>
      <c r="CR466" s="1369"/>
      <c r="CS466" s="1420"/>
      <c r="CT466" s="1368"/>
      <c r="CU466" s="1368"/>
      <c r="CV466" s="1368"/>
      <c r="CW466" s="1369"/>
      <c r="CX466" s="1420"/>
      <c r="CY466" s="1368"/>
      <c r="CZ466" s="1368"/>
      <c r="DA466" s="1368"/>
      <c r="DB466" s="1369"/>
      <c r="DC466" s="1368"/>
      <c r="DD466" s="1368"/>
      <c r="DE466" s="1368"/>
      <c r="DF466" s="1368"/>
      <c r="DG466" s="1369"/>
      <c r="DH466" s="1420"/>
      <c r="DI466" s="1368"/>
      <c r="DJ466" s="1368"/>
      <c r="DK466" s="1368"/>
      <c r="DL466" s="1369"/>
      <c r="DM466" s="1808"/>
      <c r="DN466" s="1809"/>
      <c r="DO466" s="1809"/>
      <c r="DP466" s="1810"/>
      <c r="DQ466" s="1809"/>
      <c r="DR466" s="1809"/>
      <c r="DS466" s="1809"/>
      <c r="DT466" s="1810"/>
      <c r="DU466" s="1377"/>
      <c r="DV466" s="1729"/>
      <c r="DW466" s="1811"/>
    </row>
    <row r="467" spans="1:127" s="397" customFormat="1" ht="15.75" hidden="1" customHeight="1">
      <c r="A467" s="1097" t="s">
        <v>1045</v>
      </c>
      <c r="B467" s="1057">
        <v>458</v>
      </c>
      <c r="C467" s="1018"/>
      <c r="D467" s="1018"/>
      <c r="E467" s="1018"/>
      <c r="F467" s="1018"/>
      <c r="G467" s="1018"/>
      <c r="H467" s="1018"/>
      <c r="I467" s="1018"/>
      <c r="J467" s="1018"/>
      <c r="K467" s="1018"/>
      <c r="L467" s="1018"/>
      <c r="M467" s="1057"/>
      <c r="N467" s="1018"/>
      <c r="O467" s="1018"/>
      <c r="P467" s="1018"/>
      <c r="Q467" s="1018"/>
      <c r="R467" s="1018"/>
      <c r="S467" s="1018"/>
      <c r="T467" s="1019"/>
      <c r="U467" s="1098" t="s">
        <v>3881</v>
      </c>
      <c r="V467" s="1099" t="s">
        <v>3882</v>
      </c>
      <c r="W467" s="1099" t="s">
        <v>1907</v>
      </c>
      <c r="X467" s="1100" t="s">
        <v>3883</v>
      </c>
      <c r="Y467" s="1101" t="s">
        <v>3884</v>
      </c>
      <c r="Z467" s="1102" t="s">
        <v>3885</v>
      </c>
      <c r="AA467" s="1103" t="s">
        <v>1942</v>
      </c>
      <c r="AB467" s="1104" t="s">
        <v>1942</v>
      </c>
      <c r="AC467" s="1104" t="s">
        <v>1942</v>
      </c>
      <c r="AD467" s="1104" t="s">
        <v>1942</v>
      </c>
      <c r="AE467" s="1104">
        <v>1</v>
      </c>
      <c r="AF467" s="1104" t="s">
        <v>1942</v>
      </c>
      <c r="AG467" s="1104" t="s">
        <v>1942</v>
      </c>
      <c r="AH467" s="1104" t="s">
        <v>1942</v>
      </c>
      <c r="AI467" s="1105">
        <f t="shared" si="7"/>
        <v>1</v>
      </c>
      <c r="AJ467" s="1106" t="s">
        <v>1026</v>
      </c>
      <c r="AK467" s="1106" t="s">
        <v>1008</v>
      </c>
      <c r="AL467" s="1106" t="s">
        <v>1009</v>
      </c>
      <c r="AM467" s="1107" t="s">
        <v>2763</v>
      </c>
      <c r="AN467" s="1018" t="s">
        <v>1072</v>
      </c>
      <c r="AO467" s="1018" t="s">
        <v>3886</v>
      </c>
      <c r="AP467" s="1333">
        <v>0</v>
      </c>
      <c r="AQ467" s="1076" t="s">
        <v>1020</v>
      </c>
      <c r="AR467" s="1109" t="s">
        <v>1942</v>
      </c>
      <c r="AS467" s="1110"/>
      <c r="AT467" s="1100"/>
      <c r="AU467" s="1100"/>
      <c r="AV467" s="1100"/>
      <c r="AW467" s="1111"/>
      <c r="AX467" s="1112"/>
      <c r="AY467" s="1075"/>
      <c r="AZ467" s="1076"/>
      <c r="BA467" s="1076"/>
      <c r="BB467" s="1076"/>
      <c r="BC467" s="1076"/>
      <c r="BD467" s="1076"/>
      <c r="BE467" s="1076"/>
      <c r="BF467" s="1076"/>
      <c r="BG467" s="1076"/>
      <c r="BH467" s="1076"/>
      <c r="BI467" s="1420"/>
      <c r="BJ467" s="1368"/>
      <c r="BK467" s="1368"/>
      <c r="BL467" s="1368"/>
      <c r="BM467" s="1368"/>
      <c r="BN467" s="1075"/>
      <c r="BO467" s="1076"/>
      <c r="BP467" s="1076"/>
      <c r="BQ467" s="1076"/>
      <c r="BR467" s="1076"/>
      <c r="BS467" s="1115"/>
      <c r="BT467" s="1076"/>
      <c r="BU467" s="1076"/>
      <c r="BV467" s="1076"/>
      <c r="BW467" s="1116"/>
      <c r="BX467" s="1115"/>
      <c r="BY467" s="1076"/>
      <c r="BZ467" s="1076"/>
      <c r="CA467" s="1076"/>
      <c r="CB467" s="1116"/>
      <c r="CC467" s="1117"/>
      <c r="CD467" s="1376"/>
      <c r="CE467" s="1377"/>
      <c r="CF467" s="1377"/>
      <c r="CG467" s="1377"/>
      <c r="CH467" s="1440"/>
      <c r="CI467" s="1420"/>
      <c r="CJ467" s="1368"/>
      <c r="CK467" s="1368"/>
      <c r="CL467" s="1368"/>
      <c r="CM467" s="1369"/>
      <c r="CN467" s="1420"/>
      <c r="CO467" s="1368"/>
      <c r="CP467" s="1368"/>
      <c r="CQ467" s="1368"/>
      <c r="CR467" s="1369"/>
      <c r="CS467" s="1420"/>
      <c r="CT467" s="1368"/>
      <c r="CU467" s="1368"/>
      <c r="CV467" s="1368"/>
      <c r="CW467" s="1369"/>
      <c r="CX467" s="1420"/>
      <c r="CY467" s="1368"/>
      <c r="CZ467" s="1368"/>
      <c r="DA467" s="1368"/>
      <c r="DB467" s="1369"/>
      <c r="DC467" s="1368"/>
      <c r="DD467" s="1368"/>
      <c r="DE467" s="1368"/>
      <c r="DF467" s="1368"/>
      <c r="DG467" s="1369"/>
      <c r="DH467" s="1420"/>
      <c r="DI467" s="1368"/>
      <c r="DJ467" s="1368"/>
      <c r="DK467" s="1368"/>
      <c r="DL467" s="1369"/>
      <c r="DM467" s="1808"/>
      <c r="DN467" s="1809"/>
      <c r="DO467" s="1809"/>
      <c r="DP467" s="1810"/>
      <c r="DQ467" s="1809"/>
      <c r="DR467" s="1809"/>
      <c r="DS467" s="1809"/>
      <c r="DT467" s="1810"/>
      <c r="DU467" s="1377"/>
      <c r="DV467" s="1729"/>
      <c r="DW467" s="1811"/>
    </row>
    <row r="468" spans="1:127" s="397" customFormat="1" ht="15.75" hidden="1" customHeight="1">
      <c r="A468" s="1097" t="s">
        <v>1045</v>
      </c>
      <c r="B468" s="1057">
        <v>459</v>
      </c>
      <c r="C468" s="1018"/>
      <c r="D468" s="1018"/>
      <c r="E468" s="1018"/>
      <c r="F468" s="1018"/>
      <c r="G468" s="1018"/>
      <c r="H468" s="1018"/>
      <c r="I468" s="1018"/>
      <c r="J468" s="1018"/>
      <c r="K468" s="1018"/>
      <c r="L468" s="1018"/>
      <c r="M468" s="1057"/>
      <c r="N468" s="1018"/>
      <c r="O468" s="1018"/>
      <c r="P468" s="1018"/>
      <c r="Q468" s="1018"/>
      <c r="R468" s="1018"/>
      <c r="S468" s="1018"/>
      <c r="T468" s="1019"/>
      <c r="U468" s="1098" t="s">
        <v>3887</v>
      </c>
      <c r="V468" s="1099" t="s">
        <v>3882</v>
      </c>
      <c r="W468" s="1099" t="s">
        <v>1907</v>
      </c>
      <c r="X468" s="1100" t="s">
        <v>3888</v>
      </c>
      <c r="Y468" s="1101" t="s">
        <v>3889</v>
      </c>
      <c r="Z468" s="1102" t="s">
        <v>3890</v>
      </c>
      <c r="AA468" s="1103" t="s">
        <v>1942</v>
      </c>
      <c r="AB468" s="1104" t="s">
        <v>1942</v>
      </c>
      <c r="AC468" s="1104" t="s">
        <v>1942</v>
      </c>
      <c r="AD468" s="1104" t="s">
        <v>1942</v>
      </c>
      <c r="AE468" s="1104">
        <v>1</v>
      </c>
      <c r="AF468" s="1104" t="s">
        <v>1942</v>
      </c>
      <c r="AG468" s="1104" t="s">
        <v>1942</v>
      </c>
      <c r="AH468" s="1104" t="s">
        <v>1942</v>
      </c>
      <c r="AI468" s="1105">
        <f t="shared" si="7"/>
        <v>1</v>
      </c>
      <c r="AJ468" s="1106" t="s">
        <v>2751</v>
      </c>
      <c r="AK468" s="1106" t="s">
        <v>1008</v>
      </c>
      <c r="AL468" s="1106" t="s">
        <v>1009</v>
      </c>
      <c r="AM468" s="1107" t="s">
        <v>2763</v>
      </c>
      <c r="AN468" s="1018" t="s">
        <v>278</v>
      </c>
      <c r="AO468" s="1018" t="s">
        <v>3891</v>
      </c>
      <c r="AP468" s="1333">
        <v>2</v>
      </c>
      <c r="AQ468" s="1076" t="s">
        <v>1020</v>
      </c>
      <c r="AR468" s="1109" t="s">
        <v>1942</v>
      </c>
      <c r="AS468" s="1110"/>
      <c r="AT468" s="1100"/>
      <c r="AU468" s="1100"/>
      <c r="AV468" s="1100"/>
      <c r="AW468" s="1111"/>
      <c r="AX468" s="1112"/>
      <c r="AY468" s="1075"/>
      <c r="AZ468" s="1076"/>
      <c r="BA468" s="1076"/>
      <c r="BB468" s="1076"/>
      <c r="BC468" s="1076"/>
      <c r="BD468" s="1076"/>
      <c r="BE468" s="1076"/>
      <c r="BF468" s="1076"/>
      <c r="BG468" s="1076"/>
      <c r="BH468" s="1076"/>
      <c r="BI468" s="1420"/>
      <c r="BJ468" s="1368"/>
      <c r="BK468" s="1368"/>
      <c r="BL468" s="1368"/>
      <c r="BM468" s="1368"/>
      <c r="BN468" s="1075"/>
      <c r="BO468" s="1076"/>
      <c r="BP468" s="1076"/>
      <c r="BQ468" s="1076"/>
      <c r="BR468" s="1076"/>
      <c r="BS468" s="1115"/>
      <c r="BT468" s="1076"/>
      <c r="BU468" s="1076"/>
      <c r="BV468" s="1076"/>
      <c r="BW468" s="1116"/>
      <c r="BX468" s="1115"/>
      <c r="BY468" s="1076"/>
      <c r="BZ468" s="1076"/>
      <c r="CA468" s="1076"/>
      <c r="CB468" s="1116"/>
      <c r="CC468" s="1117"/>
      <c r="CD468" s="1376"/>
      <c r="CE468" s="1377"/>
      <c r="CF468" s="1377"/>
      <c r="CG468" s="1377"/>
      <c r="CH468" s="1440"/>
      <c r="CI468" s="1420"/>
      <c r="CJ468" s="1368"/>
      <c r="CK468" s="1368"/>
      <c r="CL468" s="1368"/>
      <c r="CM468" s="1369"/>
      <c r="CN468" s="1420"/>
      <c r="CO468" s="1368"/>
      <c r="CP468" s="1368"/>
      <c r="CQ468" s="1368"/>
      <c r="CR468" s="1369"/>
      <c r="CS468" s="1420"/>
      <c r="CT468" s="1368"/>
      <c r="CU468" s="1368"/>
      <c r="CV468" s="1368"/>
      <c r="CW468" s="1369"/>
      <c r="CX468" s="1420"/>
      <c r="CY468" s="1368"/>
      <c r="CZ468" s="1368"/>
      <c r="DA468" s="1368"/>
      <c r="DB468" s="1369"/>
      <c r="DC468" s="1368"/>
      <c r="DD468" s="1368"/>
      <c r="DE468" s="1368"/>
      <c r="DF468" s="1368"/>
      <c r="DG468" s="1369"/>
      <c r="DH468" s="1420"/>
      <c r="DI468" s="1368"/>
      <c r="DJ468" s="1368"/>
      <c r="DK468" s="1368"/>
      <c r="DL468" s="1369"/>
      <c r="DM468" s="1808"/>
      <c r="DN468" s="1809"/>
      <c r="DO468" s="1809"/>
      <c r="DP468" s="1810"/>
      <c r="DQ468" s="1809"/>
      <c r="DR468" s="1809"/>
      <c r="DS468" s="1809"/>
      <c r="DT468" s="1810"/>
      <c r="DU468" s="1377"/>
      <c r="DV468" s="1729"/>
      <c r="DW468" s="1811"/>
    </row>
    <row r="469" spans="1:127" s="397" customFormat="1" ht="15.75" hidden="1" customHeight="1">
      <c r="A469" s="1097" t="s">
        <v>1045</v>
      </c>
      <c r="B469" s="1057">
        <v>460</v>
      </c>
      <c r="C469" s="1018"/>
      <c r="D469" s="1018"/>
      <c r="E469" s="1018"/>
      <c r="F469" s="1018"/>
      <c r="G469" s="1018"/>
      <c r="H469" s="1018"/>
      <c r="I469" s="1018"/>
      <c r="J469" s="1018"/>
      <c r="K469" s="1018"/>
      <c r="L469" s="1018"/>
      <c r="M469" s="1057"/>
      <c r="N469" s="1018"/>
      <c r="O469" s="1018"/>
      <c r="P469" s="1018"/>
      <c r="Q469" s="1018"/>
      <c r="R469" s="1018"/>
      <c r="S469" s="1018"/>
      <c r="T469" s="1019"/>
      <c r="U469" s="1098" t="s">
        <v>3892</v>
      </c>
      <c r="V469" s="1099" t="s">
        <v>3882</v>
      </c>
      <c r="W469" s="1099" t="s">
        <v>1907</v>
      </c>
      <c r="X469" s="1100" t="s">
        <v>3893</v>
      </c>
      <c r="Y469" s="1101" t="s">
        <v>3894</v>
      </c>
      <c r="Z469" s="1102" t="s">
        <v>3895</v>
      </c>
      <c r="AA469" s="1103" t="s">
        <v>1942</v>
      </c>
      <c r="AB469" s="1104" t="s">
        <v>1942</v>
      </c>
      <c r="AC469" s="1104" t="s">
        <v>1942</v>
      </c>
      <c r="AD469" s="1104" t="s">
        <v>1942</v>
      </c>
      <c r="AE469" s="1104">
        <v>1</v>
      </c>
      <c r="AF469" s="1104" t="s">
        <v>1942</v>
      </c>
      <c r="AG469" s="1104" t="s">
        <v>1942</v>
      </c>
      <c r="AH469" s="1104" t="s">
        <v>1942</v>
      </c>
      <c r="AI469" s="1105">
        <f t="shared" si="7"/>
        <v>1</v>
      </c>
      <c r="AJ469" s="1106" t="s">
        <v>1007</v>
      </c>
      <c r="AK469" s="1106" t="s">
        <v>1942</v>
      </c>
      <c r="AL469" s="1106" t="s">
        <v>1942</v>
      </c>
      <c r="AM469" s="1107" t="s">
        <v>2029</v>
      </c>
      <c r="AN469" s="1018" t="s">
        <v>1033</v>
      </c>
      <c r="AO469" s="1018" t="s">
        <v>3896</v>
      </c>
      <c r="AP469" s="1333">
        <v>0</v>
      </c>
      <c r="AQ469" s="1076" t="s">
        <v>1010</v>
      </c>
      <c r="AR469" s="1109" t="s">
        <v>1942</v>
      </c>
      <c r="AS469" s="1110"/>
      <c r="AT469" s="1100"/>
      <c r="AU469" s="1100"/>
      <c r="AV469" s="1100"/>
      <c r="AW469" s="1111"/>
      <c r="AX469" s="1112"/>
      <c r="AY469" s="1075"/>
      <c r="AZ469" s="1076"/>
      <c r="BA469" s="1076"/>
      <c r="BB469" s="1076"/>
      <c r="BC469" s="1076"/>
      <c r="BD469" s="1076"/>
      <c r="BE469" s="1076"/>
      <c r="BF469" s="1076"/>
      <c r="BG469" s="1076"/>
      <c r="BH469" s="1076"/>
      <c r="BI469" s="1420"/>
      <c r="BJ469" s="1368"/>
      <c r="BK469" s="1368"/>
      <c r="BL469" s="1368"/>
      <c r="BM469" s="1368"/>
      <c r="BN469" s="1075"/>
      <c r="BO469" s="1076"/>
      <c r="BP469" s="1076"/>
      <c r="BQ469" s="1076"/>
      <c r="BR469" s="1076"/>
      <c r="BS469" s="1115"/>
      <c r="BT469" s="1076"/>
      <c r="BU469" s="1076"/>
      <c r="BV469" s="1076"/>
      <c r="BW469" s="1116"/>
      <c r="BX469" s="1115"/>
      <c r="BY469" s="1076"/>
      <c r="BZ469" s="1076"/>
      <c r="CA469" s="1076"/>
      <c r="CB469" s="1116"/>
      <c r="CC469" s="1117"/>
      <c r="CD469" s="1376"/>
      <c r="CE469" s="1377"/>
      <c r="CF469" s="1377"/>
      <c r="CG469" s="1377"/>
      <c r="CH469" s="1440"/>
      <c r="CI469" s="1420"/>
      <c r="CJ469" s="1368"/>
      <c r="CK469" s="1368"/>
      <c r="CL469" s="1368"/>
      <c r="CM469" s="1369"/>
      <c r="CN469" s="1420"/>
      <c r="CO469" s="1368"/>
      <c r="CP469" s="1368"/>
      <c r="CQ469" s="1368"/>
      <c r="CR469" s="1369"/>
      <c r="CS469" s="1420"/>
      <c r="CT469" s="1368"/>
      <c r="CU469" s="1368"/>
      <c r="CV469" s="1368"/>
      <c r="CW469" s="1369"/>
      <c r="CX469" s="1420"/>
      <c r="CY469" s="1368"/>
      <c r="CZ469" s="1368"/>
      <c r="DA469" s="1368"/>
      <c r="DB469" s="1369"/>
      <c r="DC469" s="1368"/>
      <c r="DD469" s="1368"/>
      <c r="DE469" s="1368"/>
      <c r="DF469" s="1368"/>
      <c r="DG469" s="1369"/>
      <c r="DH469" s="1420"/>
      <c r="DI469" s="1368"/>
      <c r="DJ469" s="1368"/>
      <c r="DK469" s="1368"/>
      <c r="DL469" s="1369"/>
      <c r="DM469" s="1808"/>
      <c r="DN469" s="1809"/>
      <c r="DO469" s="1809"/>
      <c r="DP469" s="1810"/>
      <c r="DQ469" s="1809"/>
      <c r="DR469" s="1809"/>
      <c r="DS469" s="1809"/>
      <c r="DT469" s="1810"/>
      <c r="DU469" s="1377"/>
      <c r="DV469" s="1729"/>
      <c r="DW469" s="1811"/>
    </row>
    <row r="470" spans="1:127" s="397" customFormat="1" ht="15.75" hidden="1" customHeight="1">
      <c r="A470" s="1097" t="s">
        <v>1045</v>
      </c>
      <c r="B470" s="1057">
        <v>461</v>
      </c>
      <c r="C470" s="1018"/>
      <c r="D470" s="1018"/>
      <c r="E470" s="1018"/>
      <c r="F470" s="1018"/>
      <c r="G470" s="1018"/>
      <c r="H470" s="1018"/>
      <c r="I470" s="1018"/>
      <c r="J470" s="1018"/>
      <c r="K470" s="1018"/>
      <c r="L470" s="1018"/>
      <c r="M470" s="1057"/>
      <c r="N470" s="1018"/>
      <c r="O470" s="1018"/>
      <c r="P470" s="1018"/>
      <c r="Q470" s="1018"/>
      <c r="R470" s="1018"/>
      <c r="S470" s="1018"/>
      <c r="T470" s="1019"/>
      <c r="U470" s="1098" t="s">
        <v>3897</v>
      </c>
      <c r="V470" s="1099" t="s">
        <v>3882</v>
      </c>
      <c r="W470" s="1099" t="s">
        <v>1889</v>
      </c>
      <c r="X470" s="1100" t="s">
        <v>3898</v>
      </c>
      <c r="Y470" s="1101" t="s">
        <v>736</v>
      </c>
      <c r="Z470" s="1102" t="s">
        <v>3899</v>
      </c>
      <c r="AA470" s="1103" t="s">
        <v>1942</v>
      </c>
      <c r="AB470" s="1104" t="s">
        <v>1942</v>
      </c>
      <c r="AC470" s="1104">
        <v>1</v>
      </c>
      <c r="AD470" s="1104" t="s">
        <v>1942</v>
      </c>
      <c r="AE470" s="1104" t="s">
        <v>1942</v>
      </c>
      <c r="AF470" s="1104" t="s">
        <v>1942</v>
      </c>
      <c r="AG470" s="1104" t="s">
        <v>1942</v>
      </c>
      <c r="AH470" s="1104" t="s">
        <v>1942</v>
      </c>
      <c r="AI470" s="1105">
        <f t="shared" si="7"/>
        <v>1</v>
      </c>
      <c r="AJ470" s="1106" t="s">
        <v>1026</v>
      </c>
      <c r="AK470" s="1106" t="s">
        <v>1008</v>
      </c>
      <c r="AL470" s="1106" t="s">
        <v>1009</v>
      </c>
      <c r="AM470" s="1107" t="s">
        <v>736</v>
      </c>
      <c r="AN470" s="1018" t="s">
        <v>2177</v>
      </c>
      <c r="AO470" s="1018" t="s">
        <v>4806</v>
      </c>
      <c r="AP470" s="1334">
        <v>2</v>
      </c>
      <c r="AQ470" s="1076" t="s">
        <v>1020</v>
      </c>
      <c r="AR470" s="1109" t="s">
        <v>736</v>
      </c>
      <c r="AS470" s="1110"/>
      <c r="AT470" s="1100"/>
      <c r="AU470" s="1100"/>
      <c r="AV470" s="1100"/>
      <c r="AW470" s="1111"/>
      <c r="AX470" s="1112"/>
      <c r="AY470" s="1075"/>
      <c r="AZ470" s="1076"/>
      <c r="BA470" s="1076"/>
      <c r="BB470" s="1076"/>
      <c r="BC470" s="1076"/>
      <c r="BD470" s="1076"/>
      <c r="BE470" s="1076"/>
      <c r="BF470" s="1076"/>
      <c r="BG470" s="1126"/>
      <c r="BH470" s="1126"/>
      <c r="BI470" s="1127">
        <v>24.51</v>
      </c>
      <c r="BJ470" s="1126">
        <v>23.74</v>
      </c>
      <c r="BK470" s="1126">
        <v>23</v>
      </c>
      <c r="BL470" s="1126">
        <v>22.4</v>
      </c>
      <c r="BM470" s="1126">
        <v>19.5</v>
      </c>
      <c r="BN470" s="1075"/>
      <c r="BO470" s="1076"/>
      <c r="BP470" s="1076"/>
      <c r="BQ470" s="1076"/>
      <c r="BR470" s="1076"/>
      <c r="BS470" s="1115"/>
      <c r="BT470" s="1076"/>
      <c r="BU470" s="1076"/>
      <c r="BV470" s="1076"/>
      <c r="BW470" s="1116"/>
      <c r="BX470" s="1115"/>
      <c r="BY470" s="1076"/>
      <c r="BZ470" s="1076"/>
      <c r="CA470" s="1076"/>
      <c r="CB470" s="1116"/>
      <c r="CC470" s="1117"/>
      <c r="CD470" s="1118" t="s">
        <v>168</v>
      </c>
      <c r="CE470" s="1119" t="s">
        <v>168</v>
      </c>
      <c r="CF470" s="1119" t="s">
        <v>168</v>
      </c>
      <c r="CG470" s="1119" t="s">
        <v>168</v>
      </c>
      <c r="CH470" s="1120" t="s">
        <v>168</v>
      </c>
      <c r="CI470" s="1075" t="s">
        <v>1942</v>
      </c>
      <c r="CJ470" s="1076" t="s">
        <v>1942</v>
      </c>
      <c r="CK470" s="1076" t="s">
        <v>1942</v>
      </c>
      <c r="CL470" s="1076" t="s">
        <v>1942</v>
      </c>
      <c r="CM470" s="1117" t="s">
        <v>1942</v>
      </c>
      <c r="CN470" s="1075">
        <v>36.76</v>
      </c>
      <c r="CO470" s="1076">
        <v>36.76</v>
      </c>
      <c r="CP470" s="1076">
        <v>36.76</v>
      </c>
      <c r="CQ470" s="1076">
        <v>36.76</v>
      </c>
      <c r="CR470" s="1117">
        <v>36.76</v>
      </c>
      <c r="CS470" s="1075" t="s">
        <v>1942</v>
      </c>
      <c r="CT470" s="1076" t="s">
        <v>1942</v>
      </c>
      <c r="CU470" s="1076" t="s">
        <v>1942</v>
      </c>
      <c r="CV470" s="1076" t="s">
        <v>1942</v>
      </c>
      <c r="CW470" s="1117" t="s">
        <v>1942</v>
      </c>
      <c r="CX470" s="1075" t="s">
        <v>1942</v>
      </c>
      <c r="CY470" s="1076" t="s">
        <v>1942</v>
      </c>
      <c r="CZ470" s="1076" t="s">
        <v>1942</v>
      </c>
      <c r="DA470" s="1076" t="s">
        <v>1942</v>
      </c>
      <c r="DB470" s="1117" t="s">
        <v>1942</v>
      </c>
      <c r="DC470" s="1076" t="s">
        <v>1942</v>
      </c>
      <c r="DD470" s="1076" t="s">
        <v>1942</v>
      </c>
      <c r="DE470" s="1076" t="s">
        <v>1942</v>
      </c>
      <c r="DF470" s="1076" t="s">
        <v>1942</v>
      </c>
      <c r="DG470" s="1117" t="s">
        <v>1942</v>
      </c>
      <c r="DH470" s="1075" t="s">
        <v>1942</v>
      </c>
      <c r="DI470" s="1076" t="s">
        <v>1942</v>
      </c>
      <c r="DJ470" s="1076" t="s">
        <v>1942</v>
      </c>
      <c r="DK470" s="1076" t="s">
        <v>1942</v>
      </c>
      <c r="DL470" s="1117" t="s">
        <v>1942</v>
      </c>
      <c r="DM470" s="1121">
        <v>-1.268</v>
      </c>
      <c r="DN470" s="1122" t="s">
        <v>1942</v>
      </c>
      <c r="DO470" s="1122" t="s">
        <v>1942</v>
      </c>
      <c r="DP470" s="1123" t="s">
        <v>1942</v>
      </c>
      <c r="DQ470" s="1122" t="s">
        <v>1942</v>
      </c>
      <c r="DR470" s="1122" t="s">
        <v>1942</v>
      </c>
      <c r="DS470" s="1122" t="s">
        <v>1942</v>
      </c>
      <c r="DT470" s="1123" t="s">
        <v>1942</v>
      </c>
      <c r="DU470" s="1119" t="s">
        <v>131</v>
      </c>
      <c r="DV470" s="1124">
        <v>1</v>
      </c>
      <c r="DW470" s="1125" t="s">
        <v>1942</v>
      </c>
    </row>
    <row r="471" spans="1:127" s="397" customFormat="1" ht="15.75" hidden="1" customHeight="1">
      <c r="A471" s="1097" t="s">
        <v>1045</v>
      </c>
      <c r="B471" s="1057">
        <v>462</v>
      </c>
      <c r="C471" s="1018"/>
      <c r="D471" s="1018"/>
      <c r="E471" s="1018"/>
      <c r="F471" s="1018"/>
      <c r="G471" s="1018"/>
      <c r="H471" s="1018"/>
      <c r="I471" s="1018"/>
      <c r="J471" s="1018"/>
      <c r="K471" s="1018"/>
      <c r="L471" s="1018"/>
      <c r="M471" s="1057"/>
      <c r="N471" s="1018"/>
      <c r="O471" s="1018"/>
      <c r="P471" s="1018"/>
      <c r="Q471" s="1018"/>
      <c r="R471" s="1018"/>
      <c r="S471" s="1018"/>
      <c r="T471" s="1019"/>
      <c r="U471" s="1098" t="s">
        <v>3901</v>
      </c>
      <c r="V471" s="1099" t="s">
        <v>3882</v>
      </c>
      <c r="W471" s="1099" t="s">
        <v>1942</v>
      </c>
      <c r="X471" s="1100" t="s">
        <v>3902</v>
      </c>
      <c r="Y471" s="1101" t="s">
        <v>3903</v>
      </c>
      <c r="Z471" s="1102" t="s">
        <v>3904</v>
      </c>
      <c r="AA471" s="1103">
        <v>0.123</v>
      </c>
      <c r="AB471" s="1104">
        <v>2.4E-2</v>
      </c>
      <c r="AC471" s="1104">
        <v>0.85299999999999998</v>
      </c>
      <c r="AD471" s="1104" t="s">
        <v>1942</v>
      </c>
      <c r="AE471" s="1104" t="s">
        <v>1942</v>
      </c>
      <c r="AF471" s="1104" t="s">
        <v>1942</v>
      </c>
      <c r="AG471" s="1104" t="s">
        <v>1942</v>
      </c>
      <c r="AH471" s="1104" t="s">
        <v>1942</v>
      </c>
      <c r="AI471" s="1105">
        <f t="shared" si="7"/>
        <v>1</v>
      </c>
      <c r="AJ471" s="1106" t="s">
        <v>1026</v>
      </c>
      <c r="AK471" s="1106" t="s">
        <v>1008</v>
      </c>
      <c r="AL471" s="1106" t="s">
        <v>1009</v>
      </c>
      <c r="AM471" s="1107" t="s">
        <v>1942</v>
      </c>
      <c r="AN471" s="1018" t="s">
        <v>1942</v>
      </c>
      <c r="AO471" s="1018" t="s">
        <v>1942</v>
      </c>
      <c r="AP471" s="1333">
        <v>0</v>
      </c>
      <c r="AQ471" s="1076" t="s">
        <v>1010</v>
      </c>
      <c r="AR471" s="1109" t="s">
        <v>1942</v>
      </c>
      <c r="AS471" s="1110"/>
      <c r="AT471" s="1100"/>
      <c r="AU471" s="1100"/>
      <c r="AV471" s="1100"/>
      <c r="AW471" s="1111"/>
      <c r="AX471" s="1112"/>
      <c r="AY471" s="1075"/>
      <c r="AZ471" s="1076"/>
      <c r="BA471" s="1076"/>
      <c r="BB471" s="1076"/>
      <c r="BC471" s="1076"/>
      <c r="BD471" s="1076"/>
      <c r="BE471" s="1076"/>
      <c r="BF471" s="1076"/>
      <c r="BG471" s="1076"/>
      <c r="BH471" s="1076"/>
      <c r="BI471" s="1420"/>
      <c r="BJ471" s="1368"/>
      <c r="BK471" s="1368"/>
      <c r="BL471" s="1368"/>
      <c r="BM471" s="1368"/>
      <c r="BN471" s="1075"/>
      <c r="BO471" s="1076"/>
      <c r="BP471" s="1076"/>
      <c r="BQ471" s="1076"/>
      <c r="BR471" s="1076"/>
      <c r="BS471" s="1115"/>
      <c r="BT471" s="1076"/>
      <c r="BU471" s="1076"/>
      <c r="BV471" s="1076"/>
      <c r="BW471" s="1116"/>
      <c r="BX471" s="1115"/>
      <c r="BY471" s="1076"/>
      <c r="BZ471" s="1076"/>
      <c r="CA471" s="1076"/>
      <c r="CB471" s="1116"/>
      <c r="CC471" s="1117"/>
      <c r="CD471" s="1376"/>
      <c r="CE471" s="1377"/>
      <c r="CF471" s="1377"/>
      <c r="CG471" s="1377"/>
      <c r="CH471" s="1440"/>
      <c r="CI471" s="1420"/>
      <c r="CJ471" s="1368"/>
      <c r="CK471" s="1368"/>
      <c r="CL471" s="1368"/>
      <c r="CM471" s="1369"/>
      <c r="CN471" s="1420"/>
      <c r="CO471" s="1368"/>
      <c r="CP471" s="1368"/>
      <c r="CQ471" s="1368"/>
      <c r="CR471" s="1369"/>
      <c r="CS471" s="1420"/>
      <c r="CT471" s="1368"/>
      <c r="CU471" s="1368"/>
      <c r="CV471" s="1368"/>
      <c r="CW471" s="1369"/>
      <c r="CX471" s="1420"/>
      <c r="CY471" s="1368"/>
      <c r="CZ471" s="1368"/>
      <c r="DA471" s="1368"/>
      <c r="DB471" s="1369"/>
      <c r="DC471" s="1368"/>
      <c r="DD471" s="1368"/>
      <c r="DE471" s="1368"/>
      <c r="DF471" s="1368"/>
      <c r="DG471" s="1369"/>
      <c r="DH471" s="1420"/>
      <c r="DI471" s="1368"/>
      <c r="DJ471" s="1368"/>
      <c r="DK471" s="1368"/>
      <c r="DL471" s="1369"/>
      <c r="DM471" s="1808"/>
      <c r="DN471" s="1809"/>
      <c r="DO471" s="1809"/>
      <c r="DP471" s="1810"/>
      <c r="DQ471" s="1809"/>
      <c r="DR471" s="1809"/>
      <c r="DS471" s="1809"/>
      <c r="DT471" s="1810"/>
      <c r="DU471" s="1377"/>
      <c r="DV471" s="1729"/>
      <c r="DW471" s="1811"/>
    </row>
    <row r="472" spans="1:127" s="397" customFormat="1" ht="15.75" hidden="1" customHeight="1">
      <c r="A472" s="1097" t="s">
        <v>1045</v>
      </c>
      <c r="B472" s="1057">
        <v>463</v>
      </c>
      <c r="C472" s="1018"/>
      <c r="D472" s="1018"/>
      <c r="E472" s="1018"/>
      <c r="F472" s="1018"/>
      <c r="G472" s="1018"/>
      <c r="H472" s="1018"/>
      <c r="I472" s="1018"/>
      <c r="J472" s="1018"/>
      <c r="K472" s="1018"/>
      <c r="L472" s="1018"/>
      <c r="M472" s="1057"/>
      <c r="N472" s="1018"/>
      <c r="O472" s="1018"/>
      <c r="P472" s="1018"/>
      <c r="Q472" s="1018"/>
      <c r="R472" s="1018"/>
      <c r="S472" s="1018"/>
      <c r="T472" s="1019"/>
      <c r="U472" s="1098" t="s">
        <v>3905</v>
      </c>
      <c r="V472" s="1099" t="s">
        <v>3882</v>
      </c>
      <c r="W472" s="1099" t="s">
        <v>1907</v>
      </c>
      <c r="X472" s="1100" t="s">
        <v>3906</v>
      </c>
      <c r="Y472" s="1101" t="s">
        <v>3907</v>
      </c>
      <c r="Z472" s="1102" t="s">
        <v>3908</v>
      </c>
      <c r="AA472" s="1103" t="s">
        <v>1942</v>
      </c>
      <c r="AB472" s="1104" t="s">
        <v>1942</v>
      </c>
      <c r="AC472" s="1104" t="s">
        <v>1942</v>
      </c>
      <c r="AD472" s="1104">
        <v>1</v>
      </c>
      <c r="AE472" s="1104" t="s">
        <v>1942</v>
      </c>
      <c r="AF472" s="1104" t="s">
        <v>1942</v>
      </c>
      <c r="AG472" s="1104" t="s">
        <v>1942</v>
      </c>
      <c r="AH472" s="1104" t="s">
        <v>1942</v>
      </c>
      <c r="AI472" s="1105">
        <f t="shared" si="7"/>
        <v>1</v>
      </c>
      <c r="AJ472" s="1106" t="s">
        <v>1026</v>
      </c>
      <c r="AK472" s="1106" t="s">
        <v>1008</v>
      </c>
      <c r="AL472" s="1106" t="s">
        <v>1009</v>
      </c>
      <c r="AM472" s="1107" t="s">
        <v>763</v>
      </c>
      <c r="AN472" s="1018" t="s">
        <v>278</v>
      </c>
      <c r="AO472" s="1018" t="s">
        <v>1146</v>
      </c>
      <c r="AP472" s="1333">
        <v>1</v>
      </c>
      <c r="AQ472" s="1076" t="s">
        <v>1010</v>
      </c>
      <c r="AR472" s="1109" t="s">
        <v>1942</v>
      </c>
      <c r="AS472" s="1110"/>
      <c r="AT472" s="1100"/>
      <c r="AU472" s="1100"/>
      <c r="AV472" s="1100"/>
      <c r="AW472" s="1111"/>
      <c r="AX472" s="1112"/>
      <c r="AY472" s="1075"/>
      <c r="AZ472" s="1076"/>
      <c r="BA472" s="1076"/>
      <c r="BB472" s="1076"/>
      <c r="BC472" s="1076"/>
      <c r="BD472" s="1076"/>
      <c r="BE472" s="1076"/>
      <c r="BF472" s="1076"/>
      <c r="BG472" s="1076"/>
      <c r="BH472" s="1076"/>
      <c r="BI472" s="1420"/>
      <c r="BJ472" s="1368"/>
      <c r="BK472" s="1368"/>
      <c r="BL472" s="1368"/>
      <c r="BM472" s="1368"/>
      <c r="BN472" s="1075"/>
      <c r="BO472" s="1076"/>
      <c r="BP472" s="1076"/>
      <c r="BQ472" s="1076"/>
      <c r="BR472" s="1076"/>
      <c r="BS472" s="1115"/>
      <c r="BT472" s="1076"/>
      <c r="BU472" s="1076"/>
      <c r="BV472" s="1076"/>
      <c r="BW472" s="1116"/>
      <c r="BX472" s="1115"/>
      <c r="BY472" s="1076"/>
      <c r="BZ472" s="1076"/>
      <c r="CA472" s="1076"/>
      <c r="CB472" s="1116"/>
      <c r="CC472" s="1117"/>
      <c r="CD472" s="1376"/>
      <c r="CE472" s="1377"/>
      <c r="CF472" s="1377"/>
      <c r="CG472" s="1377"/>
      <c r="CH472" s="1440"/>
      <c r="CI472" s="1420"/>
      <c r="CJ472" s="1368"/>
      <c r="CK472" s="1368"/>
      <c r="CL472" s="1368"/>
      <c r="CM472" s="1369"/>
      <c r="CN472" s="1420"/>
      <c r="CO472" s="1368"/>
      <c r="CP472" s="1368"/>
      <c r="CQ472" s="1368"/>
      <c r="CR472" s="1369"/>
      <c r="CS472" s="1420"/>
      <c r="CT472" s="1368"/>
      <c r="CU472" s="1368"/>
      <c r="CV472" s="1368"/>
      <c r="CW472" s="1369"/>
      <c r="CX472" s="1420"/>
      <c r="CY472" s="1368"/>
      <c r="CZ472" s="1368"/>
      <c r="DA472" s="1368"/>
      <c r="DB472" s="1369"/>
      <c r="DC472" s="1368"/>
      <c r="DD472" s="1368"/>
      <c r="DE472" s="1368"/>
      <c r="DF472" s="1368"/>
      <c r="DG472" s="1369"/>
      <c r="DH472" s="1420"/>
      <c r="DI472" s="1368"/>
      <c r="DJ472" s="1368"/>
      <c r="DK472" s="1368"/>
      <c r="DL472" s="1369"/>
      <c r="DM472" s="1808"/>
      <c r="DN472" s="1809"/>
      <c r="DO472" s="1809"/>
      <c r="DP472" s="1810"/>
      <c r="DQ472" s="1809"/>
      <c r="DR472" s="1809"/>
      <c r="DS472" s="1809"/>
      <c r="DT472" s="1810"/>
      <c r="DU472" s="1377"/>
      <c r="DV472" s="1729"/>
      <c r="DW472" s="1811"/>
    </row>
    <row r="473" spans="1:127" s="397" customFormat="1" ht="15.75" hidden="1" customHeight="1">
      <c r="A473" s="1097" t="s">
        <v>1045</v>
      </c>
      <c r="B473" s="1057">
        <v>464</v>
      </c>
      <c r="C473" s="1018"/>
      <c r="D473" s="1018"/>
      <c r="E473" s="1018"/>
      <c r="F473" s="1018"/>
      <c r="G473" s="1018"/>
      <c r="H473" s="1018"/>
      <c r="I473" s="1018"/>
      <c r="J473" s="1018"/>
      <c r="K473" s="1018"/>
      <c r="L473" s="1018"/>
      <c r="M473" s="1057"/>
      <c r="N473" s="1018"/>
      <c r="O473" s="1018"/>
      <c r="P473" s="1018"/>
      <c r="Q473" s="1018"/>
      <c r="R473" s="1018"/>
      <c r="S473" s="1018"/>
      <c r="T473" s="1019"/>
      <c r="U473" s="1098" t="s">
        <v>3909</v>
      </c>
      <c r="V473" s="1099" t="s">
        <v>3882</v>
      </c>
      <c r="W473" s="1099" t="s">
        <v>1907</v>
      </c>
      <c r="X473" s="1100" t="s">
        <v>3910</v>
      </c>
      <c r="Y473" s="1101" t="s">
        <v>3911</v>
      </c>
      <c r="Z473" s="1102" t="s">
        <v>3912</v>
      </c>
      <c r="AA473" s="1103" t="s">
        <v>1942</v>
      </c>
      <c r="AB473" s="1104" t="s">
        <v>1942</v>
      </c>
      <c r="AC473" s="1104" t="s">
        <v>1942</v>
      </c>
      <c r="AD473" s="1104" t="s">
        <v>1942</v>
      </c>
      <c r="AE473" s="1104" t="s">
        <v>1942</v>
      </c>
      <c r="AF473" s="1104" t="s">
        <v>1942</v>
      </c>
      <c r="AG473" s="1104" t="s">
        <v>1942</v>
      </c>
      <c r="AH473" s="1104">
        <v>1</v>
      </c>
      <c r="AI473" s="1105">
        <f t="shared" si="7"/>
        <v>1</v>
      </c>
      <c r="AJ473" s="1106" t="s">
        <v>1026</v>
      </c>
      <c r="AK473" s="1106" t="s">
        <v>1008</v>
      </c>
      <c r="AL473" s="1106" t="s">
        <v>1009</v>
      </c>
      <c r="AM473" s="1107" t="s">
        <v>1910</v>
      </c>
      <c r="AN473" s="1018" t="s">
        <v>1072</v>
      </c>
      <c r="AO473" s="1018" t="s">
        <v>3913</v>
      </c>
      <c r="AP473" s="1333">
        <v>0</v>
      </c>
      <c r="AQ473" s="1076" t="s">
        <v>1020</v>
      </c>
      <c r="AR473" s="1109" t="s">
        <v>1942</v>
      </c>
      <c r="AS473" s="1110"/>
      <c r="AT473" s="1100"/>
      <c r="AU473" s="1100"/>
      <c r="AV473" s="1100"/>
      <c r="AW473" s="1111"/>
      <c r="AX473" s="1112"/>
      <c r="AY473" s="1075"/>
      <c r="AZ473" s="1076"/>
      <c r="BA473" s="1076"/>
      <c r="BB473" s="1076"/>
      <c r="BC473" s="1076"/>
      <c r="BD473" s="1076"/>
      <c r="BE473" s="1076"/>
      <c r="BF473" s="1076"/>
      <c r="BG473" s="1076"/>
      <c r="BH473" s="1076"/>
      <c r="BI473" s="1420"/>
      <c r="BJ473" s="1368"/>
      <c r="BK473" s="1368"/>
      <c r="BL473" s="1368"/>
      <c r="BM473" s="1368"/>
      <c r="BN473" s="1075"/>
      <c r="BO473" s="1076"/>
      <c r="BP473" s="1076"/>
      <c r="BQ473" s="1076"/>
      <c r="BR473" s="1076"/>
      <c r="BS473" s="1115"/>
      <c r="BT473" s="1076"/>
      <c r="BU473" s="1076"/>
      <c r="BV473" s="1076"/>
      <c r="BW473" s="1116"/>
      <c r="BX473" s="1115"/>
      <c r="BY473" s="1076"/>
      <c r="BZ473" s="1076"/>
      <c r="CA473" s="1076"/>
      <c r="CB473" s="1116"/>
      <c r="CC473" s="1117"/>
      <c r="CD473" s="1376"/>
      <c r="CE473" s="1377"/>
      <c r="CF473" s="1377"/>
      <c r="CG473" s="1377"/>
      <c r="CH473" s="1440"/>
      <c r="CI473" s="1420"/>
      <c r="CJ473" s="1368"/>
      <c r="CK473" s="1368"/>
      <c r="CL473" s="1368"/>
      <c r="CM473" s="1369"/>
      <c r="CN473" s="1420"/>
      <c r="CO473" s="1368"/>
      <c r="CP473" s="1368"/>
      <c r="CQ473" s="1368"/>
      <c r="CR473" s="1369"/>
      <c r="CS473" s="1420"/>
      <c r="CT473" s="1368"/>
      <c r="CU473" s="1368"/>
      <c r="CV473" s="1368"/>
      <c r="CW473" s="1369"/>
      <c r="CX473" s="1420"/>
      <c r="CY473" s="1368"/>
      <c r="CZ473" s="1368"/>
      <c r="DA473" s="1368"/>
      <c r="DB473" s="1369"/>
      <c r="DC473" s="1368"/>
      <c r="DD473" s="1368"/>
      <c r="DE473" s="1368"/>
      <c r="DF473" s="1368"/>
      <c r="DG473" s="1369"/>
      <c r="DH473" s="1420"/>
      <c r="DI473" s="1368"/>
      <c r="DJ473" s="1368"/>
      <c r="DK473" s="1368"/>
      <c r="DL473" s="1369"/>
      <c r="DM473" s="1808"/>
      <c r="DN473" s="1809"/>
      <c r="DO473" s="1809"/>
      <c r="DP473" s="1810"/>
      <c r="DQ473" s="1809"/>
      <c r="DR473" s="1809"/>
      <c r="DS473" s="1809"/>
      <c r="DT473" s="1810"/>
      <c r="DU473" s="1377"/>
      <c r="DV473" s="1729"/>
      <c r="DW473" s="1811"/>
    </row>
    <row r="474" spans="1:127" s="397" customFormat="1" ht="15.75" hidden="1" customHeight="1">
      <c r="A474" s="1097" t="s">
        <v>1045</v>
      </c>
      <c r="B474" s="1057">
        <v>465</v>
      </c>
      <c r="C474" s="1018"/>
      <c r="D474" s="1018"/>
      <c r="E474" s="1018"/>
      <c r="F474" s="1018"/>
      <c r="G474" s="1018"/>
      <c r="H474" s="1018"/>
      <c r="I474" s="1018"/>
      <c r="J474" s="1018"/>
      <c r="K474" s="1018"/>
      <c r="L474" s="1018"/>
      <c r="M474" s="1057"/>
      <c r="N474" s="1018"/>
      <c r="O474" s="1018"/>
      <c r="P474" s="1018"/>
      <c r="Q474" s="1018"/>
      <c r="R474" s="1018"/>
      <c r="S474" s="1018"/>
      <c r="T474" s="1019"/>
      <c r="U474" s="1098" t="s">
        <v>3914</v>
      </c>
      <c r="V474" s="1099" t="s">
        <v>3882</v>
      </c>
      <c r="W474" s="1099" t="s">
        <v>1896</v>
      </c>
      <c r="X474" s="1100" t="s">
        <v>3915</v>
      </c>
      <c r="Y474" s="1101" t="s">
        <v>3916</v>
      </c>
      <c r="Z474" s="1102" t="s">
        <v>3917</v>
      </c>
      <c r="AA474" s="1103" t="s">
        <v>1942</v>
      </c>
      <c r="AB474" s="1104" t="s">
        <v>1942</v>
      </c>
      <c r="AC474" s="1104" t="s">
        <v>1942</v>
      </c>
      <c r="AD474" s="1104" t="s">
        <v>1942</v>
      </c>
      <c r="AE474" s="1104" t="s">
        <v>1942</v>
      </c>
      <c r="AF474" s="1104" t="s">
        <v>1942</v>
      </c>
      <c r="AG474" s="1104" t="s">
        <v>1942</v>
      </c>
      <c r="AH474" s="1104">
        <v>1</v>
      </c>
      <c r="AI474" s="1105">
        <f t="shared" si="7"/>
        <v>1</v>
      </c>
      <c r="AJ474" s="1106" t="s">
        <v>1007</v>
      </c>
      <c r="AK474" s="1106" t="s">
        <v>1942</v>
      </c>
      <c r="AL474" s="1106" t="s">
        <v>1942</v>
      </c>
      <c r="AM474" s="1107" t="s">
        <v>2400</v>
      </c>
      <c r="AN474" s="1018" t="s">
        <v>1081</v>
      </c>
      <c r="AO474" s="1018" t="s">
        <v>3918</v>
      </c>
      <c r="AP474" s="1333">
        <v>1</v>
      </c>
      <c r="AQ474" s="1076" t="s">
        <v>1010</v>
      </c>
      <c r="AR474" s="1109" t="s">
        <v>1942</v>
      </c>
      <c r="AS474" s="1110"/>
      <c r="AT474" s="1100"/>
      <c r="AU474" s="1100"/>
      <c r="AV474" s="1100"/>
      <c r="AW474" s="1111"/>
      <c r="AX474" s="1112"/>
      <c r="AY474" s="1075"/>
      <c r="AZ474" s="1076"/>
      <c r="BA474" s="1076"/>
      <c r="BB474" s="1076"/>
      <c r="BC474" s="1076"/>
      <c r="BD474" s="1076"/>
      <c r="BE474" s="1076"/>
      <c r="BF474" s="1076"/>
      <c r="BG474" s="1076"/>
      <c r="BH474" s="1076"/>
      <c r="BI474" s="1420"/>
      <c r="BJ474" s="1368"/>
      <c r="BK474" s="1368"/>
      <c r="BL474" s="1368"/>
      <c r="BM474" s="1368"/>
      <c r="BN474" s="1075"/>
      <c r="BO474" s="1076"/>
      <c r="BP474" s="1076"/>
      <c r="BQ474" s="1076"/>
      <c r="BR474" s="1076"/>
      <c r="BS474" s="1115"/>
      <c r="BT474" s="1076"/>
      <c r="BU474" s="1076"/>
      <c r="BV474" s="1076"/>
      <c r="BW474" s="1116"/>
      <c r="BX474" s="1115"/>
      <c r="BY474" s="1076"/>
      <c r="BZ474" s="1076"/>
      <c r="CA474" s="1076"/>
      <c r="CB474" s="1116"/>
      <c r="CC474" s="1117"/>
      <c r="CD474" s="1376"/>
      <c r="CE474" s="1377"/>
      <c r="CF474" s="1377"/>
      <c r="CG474" s="1377"/>
      <c r="CH474" s="1440"/>
      <c r="CI474" s="1420"/>
      <c r="CJ474" s="1368"/>
      <c r="CK474" s="1368"/>
      <c r="CL474" s="1368"/>
      <c r="CM474" s="1369"/>
      <c r="CN474" s="1420"/>
      <c r="CO474" s="1368"/>
      <c r="CP474" s="1368"/>
      <c r="CQ474" s="1368"/>
      <c r="CR474" s="1369"/>
      <c r="CS474" s="1420"/>
      <c r="CT474" s="1368"/>
      <c r="CU474" s="1368"/>
      <c r="CV474" s="1368"/>
      <c r="CW474" s="1369"/>
      <c r="CX474" s="1420"/>
      <c r="CY474" s="1368"/>
      <c r="CZ474" s="1368"/>
      <c r="DA474" s="1368"/>
      <c r="DB474" s="1369"/>
      <c r="DC474" s="1368"/>
      <c r="DD474" s="1368"/>
      <c r="DE474" s="1368"/>
      <c r="DF474" s="1368"/>
      <c r="DG474" s="1369"/>
      <c r="DH474" s="1420"/>
      <c r="DI474" s="1368"/>
      <c r="DJ474" s="1368"/>
      <c r="DK474" s="1368"/>
      <c r="DL474" s="1369"/>
      <c r="DM474" s="1808"/>
      <c r="DN474" s="1809"/>
      <c r="DO474" s="1809"/>
      <c r="DP474" s="1810"/>
      <c r="DQ474" s="1809"/>
      <c r="DR474" s="1809"/>
      <c r="DS474" s="1809"/>
      <c r="DT474" s="1810"/>
      <c r="DU474" s="1377"/>
      <c r="DV474" s="1729"/>
      <c r="DW474" s="1811"/>
    </row>
    <row r="475" spans="1:127" s="397" customFormat="1" ht="15.75" hidden="1" customHeight="1">
      <c r="A475" s="1097" t="s">
        <v>1045</v>
      </c>
      <c r="B475" s="1057">
        <v>466</v>
      </c>
      <c r="C475" s="1018"/>
      <c r="D475" s="1018"/>
      <c r="E475" s="1018"/>
      <c r="F475" s="1018"/>
      <c r="G475" s="1018"/>
      <c r="H475" s="1018"/>
      <c r="I475" s="1018"/>
      <c r="J475" s="1018"/>
      <c r="K475" s="1018"/>
      <c r="L475" s="1018"/>
      <c r="M475" s="1057"/>
      <c r="N475" s="1018"/>
      <c r="O475" s="1018"/>
      <c r="P475" s="1018"/>
      <c r="Q475" s="1018"/>
      <c r="R475" s="1018"/>
      <c r="S475" s="1018"/>
      <c r="T475" s="1019"/>
      <c r="U475" s="1098" t="s">
        <v>3919</v>
      </c>
      <c r="V475" s="1099" t="s">
        <v>3882</v>
      </c>
      <c r="W475" s="1099" t="s">
        <v>1907</v>
      </c>
      <c r="X475" s="1100" t="s">
        <v>3920</v>
      </c>
      <c r="Y475" s="1101" t="s">
        <v>3921</v>
      </c>
      <c r="Z475" s="1102" t="s">
        <v>3922</v>
      </c>
      <c r="AA475" s="1103" t="s">
        <v>1942</v>
      </c>
      <c r="AB475" s="1104" t="s">
        <v>1942</v>
      </c>
      <c r="AC475" s="1104">
        <v>0.5</v>
      </c>
      <c r="AD475" s="1104" t="s">
        <v>1942</v>
      </c>
      <c r="AE475" s="1104" t="s">
        <v>1942</v>
      </c>
      <c r="AF475" s="1104" t="s">
        <v>1942</v>
      </c>
      <c r="AG475" s="1104" t="s">
        <v>1942</v>
      </c>
      <c r="AH475" s="1104">
        <v>0.5</v>
      </c>
      <c r="AI475" s="1105">
        <f t="shared" si="7"/>
        <v>1</v>
      </c>
      <c r="AJ475" s="1106" t="s">
        <v>1026</v>
      </c>
      <c r="AK475" s="1106" t="s">
        <v>1008</v>
      </c>
      <c r="AL475" s="1106" t="s">
        <v>1009</v>
      </c>
      <c r="AM475" s="1107" t="s">
        <v>2237</v>
      </c>
      <c r="AN475" s="1018" t="s">
        <v>1072</v>
      </c>
      <c r="AO475" s="1018" t="s">
        <v>3923</v>
      </c>
      <c r="AP475" s="1333">
        <v>0</v>
      </c>
      <c r="AQ475" s="1076" t="s">
        <v>1020</v>
      </c>
      <c r="AR475" s="1109" t="s">
        <v>1942</v>
      </c>
      <c r="AS475" s="1110"/>
      <c r="AT475" s="1100"/>
      <c r="AU475" s="1100"/>
      <c r="AV475" s="1100"/>
      <c r="AW475" s="1111"/>
      <c r="AX475" s="1112"/>
      <c r="AY475" s="1075"/>
      <c r="AZ475" s="1076"/>
      <c r="BA475" s="1076"/>
      <c r="BB475" s="1076"/>
      <c r="BC475" s="1076"/>
      <c r="BD475" s="1076"/>
      <c r="BE475" s="1076"/>
      <c r="BF475" s="1076"/>
      <c r="BG475" s="1076"/>
      <c r="BH475" s="1076"/>
      <c r="BI475" s="1420"/>
      <c r="BJ475" s="1368"/>
      <c r="BK475" s="1368"/>
      <c r="BL475" s="1368"/>
      <c r="BM475" s="1368"/>
      <c r="BN475" s="1075"/>
      <c r="BO475" s="1076"/>
      <c r="BP475" s="1076"/>
      <c r="BQ475" s="1076"/>
      <c r="BR475" s="1076"/>
      <c r="BS475" s="1115"/>
      <c r="BT475" s="1076"/>
      <c r="BU475" s="1076"/>
      <c r="BV475" s="1076"/>
      <c r="BW475" s="1116"/>
      <c r="BX475" s="1115"/>
      <c r="BY475" s="1076"/>
      <c r="BZ475" s="1076"/>
      <c r="CA475" s="1076"/>
      <c r="CB475" s="1116"/>
      <c r="CC475" s="1117"/>
      <c r="CD475" s="1376"/>
      <c r="CE475" s="1377"/>
      <c r="CF475" s="1377"/>
      <c r="CG475" s="1377"/>
      <c r="CH475" s="1440"/>
      <c r="CI475" s="1420"/>
      <c r="CJ475" s="1368"/>
      <c r="CK475" s="1368"/>
      <c r="CL475" s="1368"/>
      <c r="CM475" s="1369"/>
      <c r="CN475" s="1420"/>
      <c r="CO475" s="1368"/>
      <c r="CP475" s="1368"/>
      <c r="CQ475" s="1368"/>
      <c r="CR475" s="1369"/>
      <c r="CS475" s="1420"/>
      <c r="CT475" s="1368"/>
      <c r="CU475" s="1368"/>
      <c r="CV475" s="1368"/>
      <c r="CW475" s="1369"/>
      <c r="CX475" s="1420"/>
      <c r="CY475" s="1368"/>
      <c r="CZ475" s="1368"/>
      <c r="DA475" s="1368"/>
      <c r="DB475" s="1369"/>
      <c r="DC475" s="1368"/>
      <c r="DD475" s="1368"/>
      <c r="DE475" s="1368"/>
      <c r="DF475" s="1368"/>
      <c r="DG475" s="1369"/>
      <c r="DH475" s="1420"/>
      <c r="DI475" s="1368"/>
      <c r="DJ475" s="1368"/>
      <c r="DK475" s="1368"/>
      <c r="DL475" s="1369"/>
      <c r="DM475" s="1808"/>
      <c r="DN475" s="1809"/>
      <c r="DO475" s="1809"/>
      <c r="DP475" s="1810"/>
      <c r="DQ475" s="1809"/>
      <c r="DR475" s="1809"/>
      <c r="DS475" s="1809"/>
      <c r="DT475" s="1810"/>
      <c r="DU475" s="1377"/>
      <c r="DV475" s="1729"/>
      <c r="DW475" s="1811"/>
    </row>
    <row r="476" spans="1:127" s="397" customFormat="1" ht="15.75" hidden="1" customHeight="1">
      <c r="A476" s="1097" t="s">
        <v>1045</v>
      </c>
      <c r="B476" s="1057">
        <v>467</v>
      </c>
      <c r="C476" s="1018"/>
      <c r="D476" s="1018"/>
      <c r="E476" s="1018"/>
      <c r="F476" s="1018"/>
      <c r="G476" s="1018"/>
      <c r="H476" s="1018"/>
      <c r="I476" s="1018"/>
      <c r="J476" s="1018"/>
      <c r="K476" s="1018"/>
      <c r="L476" s="1018"/>
      <c r="M476" s="1057"/>
      <c r="N476" s="1018"/>
      <c r="O476" s="1018"/>
      <c r="P476" s="1018"/>
      <c r="Q476" s="1018"/>
      <c r="R476" s="1018"/>
      <c r="S476" s="1018"/>
      <c r="T476" s="1019"/>
      <c r="U476" s="1098" t="s">
        <v>3924</v>
      </c>
      <c r="V476" s="1099" t="s">
        <v>3882</v>
      </c>
      <c r="W476" s="1099" t="s">
        <v>1907</v>
      </c>
      <c r="X476" s="1100" t="s">
        <v>3925</v>
      </c>
      <c r="Y476" s="1101" t="s">
        <v>3926</v>
      </c>
      <c r="Z476" s="1102" t="s">
        <v>1942</v>
      </c>
      <c r="AA476" s="1103" t="s">
        <v>1942</v>
      </c>
      <c r="AB476" s="1104" t="s">
        <v>1942</v>
      </c>
      <c r="AC476" s="1104" t="s">
        <v>1942</v>
      </c>
      <c r="AD476" s="1104" t="s">
        <v>1942</v>
      </c>
      <c r="AE476" s="1104" t="s">
        <v>1942</v>
      </c>
      <c r="AF476" s="1104" t="s">
        <v>1942</v>
      </c>
      <c r="AG476" s="1104" t="s">
        <v>1942</v>
      </c>
      <c r="AH476" s="1104" t="s">
        <v>1942</v>
      </c>
      <c r="AI476" s="1105">
        <f t="shared" si="7"/>
        <v>0</v>
      </c>
      <c r="AJ476" s="1106" t="s">
        <v>1007</v>
      </c>
      <c r="AK476" s="1106" t="s">
        <v>1942</v>
      </c>
      <c r="AL476" s="1106" t="s">
        <v>1942</v>
      </c>
      <c r="AM476" s="1107" t="s">
        <v>1942</v>
      </c>
      <c r="AN476" s="1018" t="s">
        <v>1942</v>
      </c>
      <c r="AO476" s="1018" t="s">
        <v>3927</v>
      </c>
      <c r="AP476" s="1333">
        <v>0</v>
      </c>
      <c r="AQ476" s="1076" t="s">
        <v>1942</v>
      </c>
      <c r="AR476" s="1109" t="s">
        <v>1942</v>
      </c>
      <c r="AS476" s="1110"/>
      <c r="AT476" s="1100"/>
      <c r="AU476" s="1100"/>
      <c r="AV476" s="1100"/>
      <c r="AW476" s="1111"/>
      <c r="AX476" s="1112"/>
      <c r="AY476" s="1075"/>
      <c r="AZ476" s="1076"/>
      <c r="BA476" s="1076"/>
      <c r="BB476" s="1076"/>
      <c r="BC476" s="1076"/>
      <c r="BD476" s="1076"/>
      <c r="BE476" s="1076"/>
      <c r="BF476" s="1076"/>
      <c r="BG476" s="1076"/>
      <c r="BH476" s="1076"/>
      <c r="BI476" s="1420"/>
      <c r="BJ476" s="1368"/>
      <c r="BK476" s="1368"/>
      <c r="BL476" s="1368"/>
      <c r="BM476" s="1368"/>
      <c r="BN476" s="1075"/>
      <c r="BO476" s="1076"/>
      <c r="BP476" s="1076"/>
      <c r="BQ476" s="1076"/>
      <c r="BR476" s="1076"/>
      <c r="BS476" s="1115"/>
      <c r="BT476" s="1076"/>
      <c r="BU476" s="1076"/>
      <c r="BV476" s="1076"/>
      <c r="BW476" s="1116"/>
      <c r="BX476" s="1115"/>
      <c r="BY476" s="1076"/>
      <c r="BZ476" s="1076"/>
      <c r="CA476" s="1076"/>
      <c r="CB476" s="1116"/>
      <c r="CC476" s="1117"/>
      <c r="CD476" s="1376"/>
      <c r="CE476" s="1377"/>
      <c r="CF476" s="1377"/>
      <c r="CG476" s="1377"/>
      <c r="CH476" s="1440"/>
      <c r="CI476" s="1420"/>
      <c r="CJ476" s="1368"/>
      <c r="CK476" s="1368"/>
      <c r="CL476" s="1368"/>
      <c r="CM476" s="1369"/>
      <c r="CN476" s="1420"/>
      <c r="CO476" s="1368"/>
      <c r="CP476" s="1368"/>
      <c r="CQ476" s="1368"/>
      <c r="CR476" s="1369"/>
      <c r="CS476" s="1420"/>
      <c r="CT476" s="1368"/>
      <c r="CU476" s="1368"/>
      <c r="CV476" s="1368"/>
      <c r="CW476" s="1369"/>
      <c r="CX476" s="1420"/>
      <c r="CY476" s="1368"/>
      <c r="CZ476" s="1368"/>
      <c r="DA476" s="1368"/>
      <c r="DB476" s="1369"/>
      <c r="DC476" s="1368"/>
      <c r="DD476" s="1368"/>
      <c r="DE476" s="1368"/>
      <c r="DF476" s="1368"/>
      <c r="DG476" s="1369"/>
      <c r="DH476" s="1420"/>
      <c r="DI476" s="1368"/>
      <c r="DJ476" s="1368"/>
      <c r="DK476" s="1368"/>
      <c r="DL476" s="1369"/>
      <c r="DM476" s="1808"/>
      <c r="DN476" s="1809"/>
      <c r="DO476" s="1809"/>
      <c r="DP476" s="1810"/>
      <c r="DQ476" s="1809"/>
      <c r="DR476" s="1809"/>
      <c r="DS476" s="1809"/>
      <c r="DT476" s="1810"/>
      <c r="DU476" s="1377"/>
      <c r="DV476" s="1729"/>
      <c r="DW476" s="1811"/>
    </row>
    <row r="477" spans="1:127" s="397" customFormat="1" ht="15.75" hidden="1" customHeight="1">
      <c r="A477" s="1097" t="s">
        <v>1045</v>
      </c>
      <c r="B477" s="1057">
        <v>468</v>
      </c>
      <c r="C477" s="1018"/>
      <c r="D477" s="1018"/>
      <c r="E477" s="1018"/>
      <c r="F477" s="1018"/>
      <c r="G477" s="1018"/>
      <c r="H477" s="1018"/>
      <c r="I477" s="1018"/>
      <c r="J477" s="1018"/>
      <c r="K477" s="1018"/>
      <c r="L477" s="1018"/>
      <c r="M477" s="1057"/>
      <c r="N477" s="1018"/>
      <c r="O477" s="1018"/>
      <c r="P477" s="1018"/>
      <c r="Q477" s="1018"/>
      <c r="R477" s="1018"/>
      <c r="S477" s="1018"/>
      <c r="T477" s="1019"/>
      <c r="U477" s="1098" t="s">
        <v>3928</v>
      </c>
      <c r="V477" s="1099" t="s">
        <v>3882</v>
      </c>
      <c r="W477" s="1099" t="s">
        <v>1907</v>
      </c>
      <c r="X477" s="1100" t="s">
        <v>3929</v>
      </c>
      <c r="Y477" s="1101" t="s">
        <v>3930</v>
      </c>
      <c r="Z477" s="1102" t="s">
        <v>1942</v>
      </c>
      <c r="AA477" s="1103" t="s">
        <v>1942</v>
      </c>
      <c r="AB477" s="1104" t="s">
        <v>1942</v>
      </c>
      <c r="AC477" s="1104" t="s">
        <v>1942</v>
      </c>
      <c r="AD477" s="1104" t="s">
        <v>1942</v>
      </c>
      <c r="AE477" s="1104" t="s">
        <v>1942</v>
      </c>
      <c r="AF477" s="1104" t="s">
        <v>1942</v>
      </c>
      <c r="AG477" s="1104" t="s">
        <v>1942</v>
      </c>
      <c r="AH477" s="1104">
        <v>1</v>
      </c>
      <c r="AI477" s="1105">
        <f t="shared" si="7"/>
        <v>1</v>
      </c>
      <c r="AJ477" s="1106" t="s">
        <v>1030</v>
      </c>
      <c r="AK477" s="1106" t="s">
        <v>1008</v>
      </c>
      <c r="AL477" s="1106" t="s">
        <v>1019</v>
      </c>
      <c r="AM477" s="1107" t="s">
        <v>1942</v>
      </c>
      <c r="AN477" s="1018" t="s">
        <v>1942</v>
      </c>
      <c r="AO477" s="1018" t="s">
        <v>1942</v>
      </c>
      <c r="AP477" s="1333">
        <v>1</v>
      </c>
      <c r="AQ477" s="1076" t="s">
        <v>1010</v>
      </c>
      <c r="AR477" s="1109" t="s">
        <v>1942</v>
      </c>
      <c r="AS477" s="1110"/>
      <c r="AT477" s="1100"/>
      <c r="AU477" s="1100"/>
      <c r="AV477" s="1100"/>
      <c r="AW477" s="1111"/>
      <c r="AX477" s="1112"/>
      <c r="AY477" s="1075"/>
      <c r="AZ477" s="1076"/>
      <c r="BA477" s="1076"/>
      <c r="BB477" s="1076"/>
      <c r="BC477" s="1076"/>
      <c r="BD477" s="1076"/>
      <c r="BE477" s="1076"/>
      <c r="BF477" s="1076"/>
      <c r="BG477" s="1076"/>
      <c r="BH477" s="1076"/>
      <c r="BI477" s="1420"/>
      <c r="BJ477" s="1368"/>
      <c r="BK477" s="1368"/>
      <c r="BL477" s="1368"/>
      <c r="BM477" s="1368"/>
      <c r="BN477" s="1075"/>
      <c r="BO477" s="1076"/>
      <c r="BP477" s="1076"/>
      <c r="BQ477" s="1076"/>
      <c r="BR477" s="1076"/>
      <c r="BS477" s="1115"/>
      <c r="BT477" s="1076"/>
      <c r="BU477" s="1076"/>
      <c r="BV477" s="1076"/>
      <c r="BW477" s="1116"/>
      <c r="BX477" s="1115"/>
      <c r="BY477" s="1076"/>
      <c r="BZ477" s="1076"/>
      <c r="CA477" s="1076"/>
      <c r="CB477" s="1116"/>
      <c r="CC477" s="1117"/>
      <c r="CD477" s="1376"/>
      <c r="CE477" s="1377"/>
      <c r="CF477" s="1377"/>
      <c r="CG477" s="1377"/>
      <c r="CH477" s="1440"/>
      <c r="CI477" s="1420"/>
      <c r="CJ477" s="1368"/>
      <c r="CK477" s="1368"/>
      <c r="CL477" s="1368"/>
      <c r="CM477" s="1369"/>
      <c r="CN477" s="1420"/>
      <c r="CO477" s="1368"/>
      <c r="CP477" s="1368"/>
      <c r="CQ477" s="1368"/>
      <c r="CR477" s="1369"/>
      <c r="CS477" s="1420"/>
      <c r="CT477" s="1368"/>
      <c r="CU477" s="1368"/>
      <c r="CV477" s="1368"/>
      <c r="CW477" s="1369"/>
      <c r="CX477" s="1420"/>
      <c r="CY477" s="1368"/>
      <c r="CZ477" s="1368"/>
      <c r="DA477" s="1368"/>
      <c r="DB477" s="1369"/>
      <c r="DC477" s="1368"/>
      <c r="DD477" s="1368"/>
      <c r="DE477" s="1368"/>
      <c r="DF477" s="1368"/>
      <c r="DG477" s="1369"/>
      <c r="DH477" s="1420"/>
      <c r="DI477" s="1368"/>
      <c r="DJ477" s="1368"/>
      <c r="DK477" s="1368"/>
      <c r="DL477" s="1369"/>
      <c r="DM477" s="1808"/>
      <c r="DN477" s="1809"/>
      <c r="DO477" s="1809"/>
      <c r="DP477" s="1810"/>
      <c r="DQ477" s="1809"/>
      <c r="DR477" s="1809"/>
      <c r="DS477" s="1809"/>
      <c r="DT477" s="1810"/>
      <c r="DU477" s="1377"/>
      <c r="DV477" s="1729"/>
      <c r="DW477" s="1811"/>
    </row>
    <row r="478" spans="1:127" s="397" customFormat="1" ht="15.75" hidden="1" customHeight="1">
      <c r="A478" s="1097" t="s">
        <v>1045</v>
      </c>
      <c r="B478" s="1057">
        <v>469</v>
      </c>
      <c r="C478" s="1018"/>
      <c r="D478" s="1018"/>
      <c r="E478" s="1018"/>
      <c r="F478" s="1018"/>
      <c r="G478" s="1018"/>
      <c r="H478" s="1018"/>
      <c r="I478" s="1018"/>
      <c r="J478" s="1018"/>
      <c r="K478" s="1018"/>
      <c r="L478" s="1018"/>
      <c r="M478" s="1057"/>
      <c r="N478" s="1018"/>
      <c r="O478" s="1018"/>
      <c r="P478" s="1018"/>
      <c r="Q478" s="1018"/>
      <c r="R478" s="1018"/>
      <c r="S478" s="1018"/>
      <c r="T478" s="1019"/>
      <c r="U478" s="1098" t="s">
        <v>3931</v>
      </c>
      <c r="V478" s="1099" t="s">
        <v>3882</v>
      </c>
      <c r="W478" s="1099" t="s">
        <v>1896</v>
      </c>
      <c r="X478" s="1100" t="s">
        <v>3932</v>
      </c>
      <c r="Y478" s="1101" t="s">
        <v>2310</v>
      </c>
      <c r="Z478" s="1102" t="s">
        <v>3933</v>
      </c>
      <c r="AA478" s="1103">
        <v>1</v>
      </c>
      <c r="AB478" s="1104" t="s">
        <v>1942</v>
      </c>
      <c r="AC478" s="1104" t="s">
        <v>1942</v>
      </c>
      <c r="AD478" s="1104" t="s">
        <v>1942</v>
      </c>
      <c r="AE478" s="1104" t="s">
        <v>1942</v>
      </c>
      <c r="AF478" s="1104" t="s">
        <v>1942</v>
      </c>
      <c r="AG478" s="1104" t="s">
        <v>1942</v>
      </c>
      <c r="AH478" s="1104" t="s">
        <v>1942</v>
      </c>
      <c r="AI478" s="1105">
        <f t="shared" si="7"/>
        <v>1</v>
      </c>
      <c r="AJ478" s="1106" t="s">
        <v>1030</v>
      </c>
      <c r="AK478" s="1106" t="s">
        <v>1008</v>
      </c>
      <c r="AL478" s="1106" t="s">
        <v>1009</v>
      </c>
      <c r="AM478" s="1107" t="s">
        <v>1979</v>
      </c>
      <c r="AN478" s="1018" t="s">
        <v>1033</v>
      </c>
      <c r="AO478" s="1018" t="s">
        <v>2312</v>
      </c>
      <c r="AP478" s="1333">
        <v>1</v>
      </c>
      <c r="AQ478" s="1076" t="s">
        <v>1020</v>
      </c>
      <c r="AR478" s="1109" t="s">
        <v>1942</v>
      </c>
      <c r="AS478" s="1110"/>
      <c r="AT478" s="1100"/>
      <c r="AU478" s="1100"/>
      <c r="AV478" s="1100"/>
      <c r="AW478" s="1111"/>
      <c r="AX478" s="1112"/>
      <c r="AY478" s="1075"/>
      <c r="AZ478" s="1076"/>
      <c r="BA478" s="1076"/>
      <c r="BB478" s="1076"/>
      <c r="BC478" s="1076"/>
      <c r="BD478" s="1076"/>
      <c r="BE478" s="1076"/>
      <c r="BF478" s="1076"/>
      <c r="BG478" s="1076"/>
      <c r="BH478" s="1076"/>
      <c r="BI478" s="1420"/>
      <c r="BJ478" s="1368"/>
      <c r="BK478" s="1368"/>
      <c r="BL478" s="1368"/>
      <c r="BM478" s="1368"/>
      <c r="BN478" s="1075"/>
      <c r="BO478" s="1076"/>
      <c r="BP478" s="1076"/>
      <c r="BQ478" s="1076"/>
      <c r="BR478" s="1076"/>
      <c r="BS478" s="1115"/>
      <c r="BT478" s="1076"/>
      <c r="BU478" s="1076"/>
      <c r="BV478" s="1076"/>
      <c r="BW478" s="1116"/>
      <c r="BX478" s="1115"/>
      <c r="BY478" s="1076"/>
      <c r="BZ478" s="1076"/>
      <c r="CA478" s="1076"/>
      <c r="CB478" s="1116"/>
      <c r="CC478" s="1117"/>
      <c r="CD478" s="1376"/>
      <c r="CE478" s="1377"/>
      <c r="CF478" s="1377"/>
      <c r="CG478" s="1377"/>
      <c r="CH478" s="1440"/>
      <c r="CI478" s="1420"/>
      <c r="CJ478" s="1368"/>
      <c r="CK478" s="1368"/>
      <c r="CL478" s="1368"/>
      <c r="CM478" s="1369"/>
      <c r="CN478" s="1420"/>
      <c r="CO478" s="1368"/>
      <c r="CP478" s="1368"/>
      <c r="CQ478" s="1368"/>
      <c r="CR478" s="1369"/>
      <c r="CS478" s="1420"/>
      <c r="CT478" s="1368"/>
      <c r="CU478" s="1368"/>
      <c r="CV478" s="1368"/>
      <c r="CW478" s="1369"/>
      <c r="CX478" s="1420"/>
      <c r="CY478" s="1368"/>
      <c r="CZ478" s="1368"/>
      <c r="DA478" s="1368"/>
      <c r="DB478" s="1369"/>
      <c r="DC478" s="1368"/>
      <c r="DD478" s="1368"/>
      <c r="DE478" s="1368"/>
      <c r="DF478" s="1368"/>
      <c r="DG478" s="1369"/>
      <c r="DH478" s="1420"/>
      <c r="DI478" s="1368"/>
      <c r="DJ478" s="1368"/>
      <c r="DK478" s="1368"/>
      <c r="DL478" s="1369"/>
      <c r="DM478" s="1808"/>
      <c r="DN478" s="1809"/>
      <c r="DO478" s="1809"/>
      <c r="DP478" s="1810"/>
      <c r="DQ478" s="1809"/>
      <c r="DR478" s="1809"/>
      <c r="DS478" s="1809"/>
      <c r="DT478" s="1810"/>
      <c r="DU478" s="1377"/>
      <c r="DV478" s="1729"/>
      <c r="DW478" s="1811"/>
    </row>
    <row r="479" spans="1:127" s="397" customFormat="1" ht="15.75" hidden="1" customHeight="1">
      <c r="A479" s="1097" t="s">
        <v>1045</v>
      </c>
      <c r="B479" s="1057">
        <v>470</v>
      </c>
      <c r="C479" s="1018"/>
      <c r="D479" s="1018"/>
      <c r="E479" s="1018"/>
      <c r="F479" s="1018"/>
      <c r="G479" s="1018"/>
      <c r="H479" s="1018"/>
      <c r="I479" s="1018"/>
      <c r="J479" s="1018"/>
      <c r="K479" s="1018"/>
      <c r="L479" s="1018"/>
      <c r="M479" s="1057"/>
      <c r="N479" s="1018"/>
      <c r="O479" s="1018"/>
      <c r="P479" s="1018"/>
      <c r="Q479" s="1018"/>
      <c r="R479" s="1018"/>
      <c r="S479" s="1018"/>
      <c r="T479" s="1019"/>
      <c r="U479" s="1098" t="s">
        <v>3934</v>
      </c>
      <c r="V479" s="1099" t="s">
        <v>3882</v>
      </c>
      <c r="W479" s="1099" t="s">
        <v>1907</v>
      </c>
      <c r="X479" s="1100" t="s">
        <v>3935</v>
      </c>
      <c r="Y479" s="1101" t="s">
        <v>3936</v>
      </c>
      <c r="Z479" s="1102" t="s">
        <v>3937</v>
      </c>
      <c r="AA479" s="1103">
        <v>0.08</v>
      </c>
      <c r="AB479" s="1104">
        <v>0.3</v>
      </c>
      <c r="AC479" s="1104">
        <v>0.57999999999999996</v>
      </c>
      <c r="AD479" s="1104">
        <v>0.04</v>
      </c>
      <c r="AE479" s="1104" t="s">
        <v>1942</v>
      </c>
      <c r="AF479" s="1104" t="s">
        <v>1942</v>
      </c>
      <c r="AG479" s="1104" t="s">
        <v>1942</v>
      </c>
      <c r="AH479" s="1104" t="s">
        <v>1942</v>
      </c>
      <c r="AI479" s="1105">
        <f t="shared" si="7"/>
        <v>1</v>
      </c>
      <c r="AJ479" s="1106" t="s">
        <v>1030</v>
      </c>
      <c r="AK479" s="1106" t="s">
        <v>1008</v>
      </c>
      <c r="AL479" s="1106" t="s">
        <v>1019</v>
      </c>
      <c r="AM479" s="1107" t="s">
        <v>2289</v>
      </c>
      <c r="AN479" s="1018" t="s">
        <v>1033</v>
      </c>
      <c r="AO479" s="1018" t="s">
        <v>3938</v>
      </c>
      <c r="AP479" s="1333">
        <v>0</v>
      </c>
      <c r="AQ479" s="1076" t="s">
        <v>1010</v>
      </c>
      <c r="AR479" s="1109" t="s">
        <v>1942</v>
      </c>
      <c r="AS479" s="1110"/>
      <c r="AT479" s="1100"/>
      <c r="AU479" s="1100"/>
      <c r="AV479" s="1100"/>
      <c r="AW479" s="1111"/>
      <c r="AX479" s="1112"/>
      <c r="AY479" s="1075"/>
      <c r="AZ479" s="1076"/>
      <c r="BA479" s="1076"/>
      <c r="BB479" s="1076"/>
      <c r="BC479" s="1076"/>
      <c r="BD479" s="1076"/>
      <c r="BE479" s="1076"/>
      <c r="BF479" s="1076"/>
      <c r="BG479" s="1076"/>
      <c r="BH479" s="1076"/>
      <c r="BI479" s="1420"/>
      <c r="BJ479" s="1368"/>
      <c r="BK479" s="1368"/>
      <c r="BL479" s="1368"/>
      <c r="BM479" s="1368"/>
      <c r="BN479" s="1075"/>
      <c r="BO479" s="1076"/>
      <c r="BP479" s="1076"/>
      <c r="BQ479" s="1076"/>
      <c r="BR479" s="1076"/>
      <c r="BS479" s="1115"/>
      <c r="BT479" s="1076"/>
      <c r="BU479" s="1076"/>
      <c r="BV479" s="1076"/>
      <c r="BW479" s="1116"/>
      <c r="BX479" s="1115"/>
      <c r="BY479" s="1076"/>
      <c r="BZ479" s="1076"/>
      <c r="CA479" s="1076"/>
      <c r="CB479" s="1116"/>
      <c r="CC479" s="1117"/>
      <c r="CD479" s="1376"/>
      <c r="CE479" s="1377"/>
      <c r="CF479" s="1377"/>
      <c r="CG479" s="1377"/>
      <c r="CH479" s="1440"/>
      <c r="CI479" s="1420"/>
      <c r="CJ479" s="1368"/>
      <c r="CK479" s="1368"/>
      <c r="CL479" s="1368"/>
      <c r="CM479" s="1369"/>
      <c r="CN479" s="1420"/>
      <c r="CO479" s="1368"/>
      <c r="CP479" s="1368"/>
      <c r="CQ479" s="1368"/>
      <c r="CR479" s="1369"/>
      <c r="CS479" s="1420"/>
      <c r="CT479" s="1368"/>
      <c r="CU479" s="1368"/>
      <c r="CV479" s="1368"/>
      <c r="CW479" s="1369"/>
      <c r="CX479" s="1420"/>
      <c r="CY479" s="1368"/>
      <c r="CZ479" s="1368"/>
      <c r="DA479" s="1368"/>
      <c r="DB479" s="1369"/>
      <c r="DC479" s="1368"/>
      <c r="DD479" s="1368"/>
      <c r="DE479" s="1368"/>
      <c r="DF479" s="1368"/>
      <c r="DG479" s="1369"/>
      <c r="DH479" s="1420"/>
      <c r="DI479" s="1368"/>
      <c r="DJ479" s="1368"/>
      <c r="DK479" s="1368"/>
      <c r="DL479" s="1369"/>
      <c r="DM479" s="1808"/>
      <c r="DN479" s="1809"/>
      <c r="DO479" s="1809"/>
      <c r="DP479" s="1810"/>
      <c r="DQ479" s="1809"/>
      <c r="DR479" s="1809"/>
      <c r="DS479" s="1809"/>
      <c r="DT479" s="1810"/>
      <c r="DU479" s="1377"/>
      <c r="DV479" s="1729"/>
      <c r="DW479" s="1811"/>
    </row>
    <row r="480" spans="1:127" s="397" customFormat="1" ht="15.75" hidden="1" customHeight="1">
      <c r="A480" s="1097" t="s">
        <v>1045</v>
      </c>
      <c r="B480" s="1057">
        <v>471</v>
      </c>
      <c r="C480" s="1018"/>
      <c r="D480" s="1018"/>
      <c r="E480" s="1018"/>
      <c r="F480" s="1018"/>
      <c r="G480" s="1018"/>
      <c r="H480" s="1018"/>
      <c r="I480" s="1018"/>
      <c r="J480" s="1018"/>
      <c r="K480" s="1018"/>
      <c r="L480" s="1018"/>
      <c r="M480" s="1057"/>
      <c r="N480" s="1018"/>
      <c r="O480" s="1018"/>
      <c r="P480" s="1018"/>
      <c r="Q480" s="1018"/>
      <c r="R480" s="1018"/>
      <c r="S480" s="1018"/>
      <c r="T480" s="1019"/>
      <c r="U480" s="1098" t="s">
        <v>3939</v>
      </c>
      <c r="V480" s="1099" t="s">
        <v>3882</v>
      </c>
      <c r="W480" s="1099" t="s">
        <v>1907</v>
      </c>
      <c r="X480" s="1100" t="s">
        <v>3940</v>
      </c>
      <c r="Y480" s="1101" t="s">
        <v>3941</v>
      </c>
      <c r="Z480" s="1102" t="s">
        <v>3942</v>
      </c>
      <c r="AA480" s="1103" t="s">
        <v>1942</v>
      </c>
      <c r="AB480" s="1104" t="s">
        <v>1942</v>
      </c>
      <c r="AC480" s="1104">
        <v>1</v>
      </c>
      <c r="AD480" s="1104" t="s">
        <v>1942</v>
      </c>
      <c r="AE480" s="1104" t="s">
        <v>1942</v>
      </c>
      <c r="AF480" s="1104" t="s">
        <v>1942</v>
      </c>
      <c r="AG480" s="1104" t="s">
        <v>1942</v>
      </c>
      <c r="AH480" s="1104" t="s">
        <v>1942</v>
      </c>
      <c r="AI480" s="1105">
        <f t="shared" si="7"/>
        <v>1</v>
      </c>
      <c r="AJ480" s="1106" t="s">
        <v>1026</v>
      </c>
      <c r="AK480" s="1106" t="s">
        <v>1008</v>
      </c>
      <c r="AL480" s="1106" t="s">
        <v>1009</v>
      </c>
      <c r="AM480" s="1107" t="s">
        <v>1967</v>
      </c>
      <c r="AN480" s="1018" t="s">
        <v>1033</v>
      </c>
      <c r="AO480" s="1018" t="s">
        <v>3943</v>
      </c>
      <c r="AP480" s="1333">
        <v>0</v>
      </c>
      <c r="AQ480" s="1076" t="s">
        <v>1010</v>
      </c>
      <c r="AR480" s="1109" t="s">
        <v>1942</v>
      </c>
      <c r="AS480" s="1110"/>
      <c r="AT480" s="1100"/>
      <c r="AU480" s="1100"/>
      <c r="AV480" s="1100"/>
      <c r="AW480" s="1111"/>
      <c r="AX480" s="1112"/>
      <c r="AY480" s="1075"/>
      <c r="AZ480" s="1076"/>
      <c r="BA480" s="1076"/>
      <c r="BB480" s="1076"/>
      <c r="BC480" s="1076"/>
      <c r="BD480" s="1076"/>
      <c r="BE480" s="1076"/>
      <c r="BF480" s="1076"/>
      <c r="BG480" s="1076"/>
      <c r="BH480" s="1076"/>
      <c r="BI480" s="1420"/>
      <c r="BJ480" s="1368"/>
      <c r="BK480" s="1368"/>
      <c r="BL480" s="1368"/>
      <c r="BM480" s="1368"/>
      <c r="BN480" s="1075"/>
      <c r="BO480" s="1076"/>
      <c r="BP480" s="1076"/>
      <c r="BQ480" s="1076"/>
      <c r="BR480" s="1076"/>
      <c r="BS480" s="1115"/>
      <c r="BT480" s="1076"/>
      <c r="BU480" s="1076"/>
      <c r="BV480" s="1076"/>
      <c r="BW480" s="1116"/>
      <c r="BX480" s="1115"/>
      <c r="BY480" s="1076"/>
      <c r="BZ480" s="1076"/>
      <c r="CA480" s="1076"/>
      <c r="CB480" s="1116"/>
      <c r="CC480" s="1117"/>
      <c r="CD480" s="1376"/>
      <c r="CE480" s="1377"/>
      <c r="CF480" s="1377"/>
      <c r="CG480" s="1377"/>
      <c r="CH480" s="1440"/>
      <c r="CI480" s="1420"/>
      <c r="CJ480" s="1368"/>
      <c r="CK480" s="1368"/>
      <c r="CL480" s="1368"/>
      <c r="CM480" s="1369"/>
      <c r="CN480" s="1420"/>
      <c r="CO480" s="1368"/>
      <c r="CP480" s="1368"/>
      <c r="CQ480" s="1368"/>
      <c r="CR480" s="1369"/>
      <c r="CS480" s="1420"/>
      <c r="CT480" s="1368"/>
      <c r="CU480" s="1368"/>
      <c r="CV480" s="1368"/>
      <c r="CW480" s="1369"/>
      <c r="CX480" s="1420"/>
      <c r="CY480" s="1368"/>
      <c r="CZ480" s="1368"/>
      <c r="DA480" s="1368"/>
      <c r="DB480" s="1369"/>
      <c r="DC480" s="1368"/>
      <c r="DD480" s="1368"/>
      <c r="DE480" s="1368"/>
      <c r="DF480" s="1368"/>
      <c r="DG480" s="1369"/>
      <c r="DH480" s="1420"/>
      <c r="DI480" s="1368"/>
      <c r="DJ480" s="1368"/>
      <c r="DK480" s="1368"/>
      <c r="DL480" s="1369"/>
      <c r="DM480" s="1808"/>
      <c r="DN480" s="1809"/>
      <c r="DO480" s="1809"/>
      <c r="DP480" s="1810"/>
      <c r="DQ480" s="1809"/>
      <c r="DR480" s="1809"/>
      <c r="DS480" s="1809"/>
      <c r="DT480" s="1810"/>
      <c r="DU480" s="1377"/>
      <c r="DV480" s="1729"/>
      <c r="DW480" s="1811"/>
    </row>
    <row r="481" spans="1:127" s="397" customFormat="1" ht="15.75" hidden="1" customHeight="1">
      <c r="A481" s="1097" t="s">
        <v>1045</v>
      </c>
      <c r="B481" s="1057">
        <v>472</v>
      </c>
      <c r="C481" s="1018"/>
      <c r="D481" s="1018"/>
      <c r="E481" s="1018"/>
      <c r="F481" s="1018"/>
      <c r="G481" s="1018"/>
      <c r="H481" s="1018"/>
      <c r="I481" s="1018"/>
      <c r="J481" s="1018"/>
      <c r="K481" s="1018"/>
      <c r="L481" s="1018"/>
      <c r="M481" s="1057"/>
      <c r="N481" s="1018"/>
      <c r="O481" s="1018"/>
      <c r="P481" s="1018"/>
      <c r="Q481" s="1018"/>
      <c r="R481" s="1018"/>
      <c r="S481" s="1018"/>
      <c r="T481" s="1019"/>
      <c r="U481" s="1098" t="s">
        <v>3944</v>
      </c>
      <c r="V481" s="1099" t="s">
        <v>3882</v>
      </c>
      <c r="W481" s="1099" t="s">
        <v>1907</v>
      </c>
      <c r="X481" s="1100" t="s">
        <v>3945</v>
      </c>
      <c r="Y481" s="1101" t="s">
        <v>3946</v>
      </c>
      <c r="Z481" s="1102" t="s">
        <v>3947</v>
      </c>
      <c r="AA481" s="1103" t="s">
        <v>1942</v>
      </c>
      <c r="AB481" s="1104" t="s">
        <v>1942</v>
      </c>
      <c r="AC481" s="1104">
        <v>0.1</v>
      </c>
      <c r="AD481" s="1104">
        <v>0.9</v>
      </c>
      <c r="AE481" s="1104" t="s">
        <v>1942</v>
      </c>
      <c r="AF481" s="1104" t="s">
        <v>1942</v>
      </c>
      <c r="AG481" s="1104" t="s">
        <v>1942</v>
      </c>
      <c r="AH481" s="1104" t="s">
        <v>1942</v>
      </c>
      <c r="AI481" s="1105">
        <f t="shared" si="7"/>
        <v>1</v>
      </c>
      <c r="AJ481" s="1106" t="s">
        <v>1030</v>
      </c>
      <c r="AK481" s="1106" t="s">
        <v>1008</v>
      </c>
      <c r="AL481" s="1106" t="s">
        <v>1009</v>
      </c>
      <c r="AM481" s="1107" t="s">
        <v>2132</v>
      </c>
      <c r="AN481" s="1018" t="s">
        <v>1033</v>
      </c>
      <c r="AO481" s="1018" t="s">
        <v>3948</v>
      </c>
      <c r="AP481" s="1333">
        <v>0</v>
      </c>
      <c r="AQ481" s="1076" t="s">
        <v>1010</v>
      </c>
      <c r="AR481" s="1109" t="s">
        <v>1942</v>
      </c>
      <c r="AS481" s="1110"/>
      <c r="AT481" s="1100"/>
      <c r="AU481" s="1100"/>
      <c r="AV481" s="1100"/>
      <c r="AW481" s="1111"/>
      <c r="AX481" s="1112"/>
      <c r="AY481" s="1075"/>
      <c r="AZ481" s="1076"/>
      <c r="BA481" s="1076"/>
      <c r="BB481" s="1076"/>
      <c r="BC481" s="1076"/>
      <c r="BD481" s="1076"/>
      <c r="BE481" s="1076"/>
      <c r="BF481" s="1076"/>
      <c r="BG481" s="1076"/>
      <c r="BH481" s="1076"/>
      <c r="BI481" s="1420"/>
      <c r="BJ481" s="1368"/>
      <c r="BK481" s="1368"/>
      <c r="BL481" s="1368"/>
      <c r="BM481" s="1368"/>
      <c r="BN481" s="1075"/>
      <c r="BO481" s="1076"/>
      <c r="BP481" s="1076"/>
      <c r="BQ481" s="1076"/>
      <c r="BR481" s="1076"/>
      <c r="BS481" s="1115"/>
      <c r="BT481" s="1076"/>
      <c r="BU481" s="1076"/>
      <c r="BV481" s="1076"/>
      <c r="BW481" s="1116"/>
      <c r="BX481" s="1115"/>
      <c r="BY481" s="1076"/>
      <c r="BZ481" s="1076"/>
      <c r="CA481" s="1076"/>
      <c r="CB481" s="1116"/>
      <c r="CC481" s="1117"/>
      <c r="CD481" s="1376"/>
      <c r="CE481" s="1377"/>
      <c r="CF481" s="1377"/>
      <c r="CG481" s="1377"/>
      <c r="CH481" s="1440"/>
      <c r="CI481" s="1420"/>
      <c r="CJ481" s="1368"/>
      <c r="CK481" s="1368"/>
      <c r="CL481" s="1368"/>
      <c r="CM481" s="1369"/>
      <c r="CN481" s="1420"/>
      <c r="CO481" s="1368"/>
      <c r="CP481" s="1368"/>
      <c r="CQ481" s="1368"/>
      <c r="CR481" s="1369"/>
      <c r="CS481" s="1420"/>
      <c r="CT481" s="1368"/>
      <c r="CU481" s="1368"/>
      <c r="CV481" s="1368"/>
      <c r="CW481" s="1369"/>
      <c r="CX481" s="1420"/>
      <c r="CY481" s="1368"/>
      <c r="CZ481" s="1368"/>
      <c r="DA481" s="1368"/>
      <c r="DB481" s="1369"/>
      <c r="DC481" s="1368"/>
      <c r="DD481" s="1368"/>
      <c r="DE481" s="1368"/>
      <c r="DF481" s="1368"/>
      <c r="DG481" s="1369"/>
      <c r="DH481" s="1420"/>
      <c r="DI481" s="1368"/>
      <c r="DJ481" s="1368"/>
      <c r="DK481" s="1368"/>
      <c r="DL481" s="1369"/>
      <c r="DM481" s="1808"/>
      <c r="DN481" s="1809"/>
      <c r="DO481" s="1809"/>
      <c r="DP481" s="1810"/>
      <c r="DQ481" s="1809"/>
      <c r="DR481" s="1809"/>
      <c r="DS481" s="1809"/>
      <c r="DT481" s="1810"/>
      <c r="DU481" s="1377"/>
      <c r="DV481" s="1729"/>
      <c r="DW481" s="1811"/>
    </row>
    <row r="482" spans="1:127" s="397" customFormat="1" ht="15.75" hidden="1" customHeight="1">
      <c r="A482" s="1097" t="s">
        <v>1045</v>
      </c>
      <c r="B482" s="1057">
        <v>473</v>
      </c>
      <c r="C482" s="1018"/>
      <c r="D482" s="1018"/>
      <c r="E482" s="1018"/>
      <c r="F482" s="1018"/>
      <c r="G482" s="1018"/>
      <c r="H482" s="1018"/>
      <c r="I482" s="1018"/>
      <c r="J482" s="1018"/>
      <c r="K482" s="1018"/>
      <c r="L482" s="1018"/>
      <c r="M482" s="1057"/>
      <c r="N482" s="1018"/>
      <c r="O482" s="1018"/>
      <c r="P482" s="1018"/>
      <c r="Q482" s="1018"/>
      <c r="R482" s="1018"/>
      <c r="S482" s="1018"/>
      <c r="T482" s="1019"/>
      <c r="U482" s="1098" t="s">
        <v>3949</v>
      </c>
      <c r="V482" s="1099" t="s">
        <v>3882</v>
      </c>
      <c r="W482" s="1099" t="s">
        <v>1907</v>
      </c>
      <c r="X482" s="1100" t="s">
        <v>3950</v>
      </c>
      <c r="Y482" s="1101" t="s">
        <v>3951</v>
      </c>
      <c r="Z482" s="1102" t="s">
        <v>3952</v>
      </c>
      <c r="AA482" s="1103">
        <v>0.25</v>
      </c>
      <c r="AB482" s="1104">
        <v>0.25</v>
      </c>
      <c r="AC482" s="1104">
        <v>0.25</v>
      </c>
      <c r="AD482" s="1104">
        <v>0.25</v>
      </c>
      <c r="AE482" s="1104" t="s">
        <v>1942</v>
      </c>
      <c r="AF482" s="1104" t="s">
        <v>1942</v>
      </c>
      <c r="AG482" s="1104" t="s">
        <v>1942</v>
      </c>
      <c r="AH482" s="1104" t="s">
        <v>1942</v>
      </c>
      <c r="AI482" s="1105">
        <f t="shared" si="7"/>
        <v>1</v>
      </c>
      <c r="AJ482" s="1106" t="s">
        <v>1007</v>
      </c>
      <c r="AK482" s="1106" t="s">
        <v>1942</v>
      </c>
      <c r="AL482" s="1106" t="s">
        <v>1942</v>
      </c>
      <c r="AM482" s="1107" t="s">
        <v>2106</v>
      </c>
      <c r="AN482" s="1018" t="s">
        <v>278</v>
      </c>
      <c r="AO482" s="1018" t="s">
        <v>3953</v>
      </c>
      <c r="AP482" s="1333">
        <v>1</v>
      </c>
      <c r="AQ482" s="1076" t="s">
        <v>278</v>
      </c>
      <c r="AR482" s="1109" t="s">
        <v>1942</v>
      </c>
      <c r="AS482" s="1110"/>
      <c r="AT482" s="1100"/>
      <c r="AU482" s="1100"/>
      <c r="AV482" s="1100"/>
      <c r="AW482" s="1111"/>
      <c r="AX482" s="1112"/>
      <c r="AY482" s="1075"/>
      <c r="AZ482" s="1076"/>
      <c r="BA482" s="1076"/>
      <c r="BB482" s="1076"/>
      <c r="BC482" s="1076"/>
      <c r="BD482" s="1076"/>
      <c r="BE482" s="1076"/>
      <c r="BF482" s="1076"/>
      <c r="BG482" s="1076"/>
      <c r="BH482" s="1076"/>
      <c r="BI482" s="1420"/>
      <c r="BJ482" s="1368"/>
      <c r="BK482" s="1368"/>
      <c r="BL482" s="1368"/>
      <c r="BM482" s="1368"/>
      <c r="BN482" s="1075"/>
      <c r="BO482" s="1076"/>
      <c r="BP482" s="1076"/>
      <c r="BQ482" s="1076"/>
      <c r="BR482" s="1076"/>
      <c r="BS482" s="1115"/>
      <c r="BT482" s="1076"/>
      <c r="BU482" s="1076"/>
      <c r="BV482" s="1076"/>
      <c r="BW482" s="1116"/>
      <c r="BX482" s="1115"/>
      <c r="BY482" s="1076"/>
      <c r="BZ482" s="1076"/>
      <c r="CA482" s="1076"/>
      <c r="CB482" s="1116"/>
      <c r="CC482" s="1117"/>
      <c r="CD482" s="1376"/>
      <c r="CE482" s="1377"/>
      <c r="CF482" s="1377"/>
      <c r="CG482" s="1377"/>
      <c r="CH482" s="1440"/>
      <c r="CI482" s="1420"/>
      <c r="CJ482" s="1368"/>
      <c r="CK482" s="1368"/>
      <c r="CL482" s="1368"/>
      <c r="CM482" s="1369"/>
      <c r="CN482" s="1420"/>
      <c r="CO482" s="1368"/>
      <c r="CP482" s="1368"/>
      <c r="CQ482" s="1368"/>
      <c r="CR482" s="1369"/>
      <c r="CS482" s="1420"/>
      <c r="CT482" s="1368"/>
      <c r="CU482" s="1368"/>
      <c r="CV482" s="1368"/>
      <c r="CW482" s="1369"/>
      <c r="CX482" s="1420"/>
      <c r="CY482" s="1368"/>
      <c r="CZ482" s="1368"/>
      <c r="DA482" s="1368"/>
      <c r="DB482" s="1369"/>
      <c r="DC482" s="1368"/>
      <c r="DD482" s="1368"/>
      <c r="DE482" s="1368"/>
      <c r="DF482" s="1368"/>
      <c r="DG482" s="1369"/>
      <c r="DH482" s="1420"/>
      <c r="DI482" s="1368"/>
      <c r="DJ482" s="1368"/>
      <c r="DK482" s="1368"/>
      <c r="DL482" s="1369"/>
      <c r="DM482" s="1808"/>
      <c r="DN482" s="1809"/>
      <c r="DO482" s="1809"/>
      <c r="DP482" s="1810"/>
      <c r="DQ482" s="1809"/>
      <c r="DR482" s="1809"/>
      <c r="DS482" s="1809"/>
      <c r="DT482" s="1810"/>
      <c r="DU482" s="1377"/>
      <c r="DV482" s="1729"/>
      <c r="DW482" s="1811"/>
    </row>
    <row r="483" spans="1:127" s="397" customFormat="1" ht="15.75" hidden="1" customHeight="1">
      <c r="A483" s="1097" t="s">
        <v>1045</v>
      </c>
      <c r="B483" s="1057">
        <v>474</v>
      </c>
      <c r="C483" s="1018"/>
      <c r="D483" s="1018"/>
      <c r="E483" s="1018"/>
      <c r="F483" s="1018"/>
      <c r="G483" s="1018"/>
      <c r="H483" s="1018"/>
      <c r="I483" s="1018"/>
      <c r="J483" s="1018"/>
      <c r="K483" s="1018"/>
      <c r="L483" s="1018"/>
      <c r="M483" s="1057"/>
      <c r="N483" s="1018"/>
      <c r="O483" s="1018"/>
      <c r="P483" s="1018"/>
      <c r="Q483" s="1018"/>
      <c r="R483" s="1018"/>
      <c r="S483" s="1018"/>
      <c r="T483" s="1019"/>
      <c r="U483" s="1098" t="s">
        <v>3954</v>
      </c>
      <c r="V483" s="1099" t="s">
        <v>3882</v>
      </c>
      <c r="W483" s="1099" t="s">
        <v>1907</v>
      </c>
      <c r="X483" s="1100" t="s">
        <v>3955</v>
      </c>
      <c r="Y483" s="1101" t="s">
        <v>3956</v>
      </c>
      <c r="Z483" s="1102" t="s">
        <v>3957</v>
      </c>
      <c r="AA483" s="1103" t="s">
        <v>1942</v>
      </c>
      <c r="AB483" s="1104">
        <v>0.5</v>
      </c>
      <c r="AC483" s="1104">
        <v>0.5</v>
      </c>
      <c r="AD483" s="1104" t="s">
        <v>1942</v>
      </c>
      <c r="AE483" s="1104" t="s">
        <v>1942</v>
      </c>
      <c r="AF483" s="1104" t="s">
        <v>1942</v>
      </c>
      <c r="AG483" s="1104" t="s">
        <v>1942</v>
      </c>
      <c r="AH483" s="1104" t="s">
        <v>1942</v>
      </c>
      <c r="AI483" s="1105">
        <f t="shared" si="7"/>
        <v>1</v>
      </c>
      <c r="AJ483" s="1106" t="s">
        <v>1017</v>
      </c>
      <c r="AK483" s="1106" t="s">
        <v>1008</v>
      </c>
      <c r="AL483" s="1106" t="s">
        <v>1009</v>
      </c>
      <c r="AM483" s="1107" t="s">
        <v>2763</v>
      </c>
      <c r="AN483" s="1018" t="s">
        <v>1033</v>
      </c>
      <c r="AO483" s="1018" t="s">
        <v>3958</v>
      </c>
      <c r="AP483" s="1333">
        <v>0</v>
      </c>
      <c r="AQ483" s="1076" t="s">
        <v>1010</v>
      </c>
      <c r="AR483" s="1109" t="s">
        <v>1942</v>
      </c>
      <c r="AS483" s="1110"/>
      <c r="AT483" s="1100"/>
      <c r="AU483" s="1100"/>
      <c r="AV483" s="1100"/>
      <c r="AW483" s="1111"/>
      <c r="AX483" s="1112"/>
      <c r="AY483" s="1075"/>
      <c r="AZ483" s="1076"/>
      <c r="BA483" s="1076"/>
      <c r="BB483" s="1076"/>
      <c r="BC483" s="1076"/>
      <c r="BD483" s="1076"/>
      <c r="BE483" s="1076"/>
      <c r="BF483" s="1076"/>
      <c r="BG483" s="1076"/>
      <c r="BH483" s="1076"/>
      <c r="BI483" s="1420"/>
      <c r="BJ483" s="1368"/>
      <c r="BK483" s="1368"/>
      <c r="BL483" s="1368"/>
      <c r="BM483" s="1368"/>
      <c r="BN483" s="1075"/>
      <c r="BO483" s="1076"/>
      <c r="BP483" s="1076"/>
      <c r="BQ483" s="1076"/>
      <c r="BR483" s="1076"/>
      <c r="BS483" s="1115"/>
      <c r="BT483" s="1076"/>
      <c r="BU483" s="1076"/>
      <c r="BV483" s="1076"/>
      <c r="BW483" s="1116"/>
      <c r="BX483" s="1115"/>
      <c r="BY483" s="1076"/>
      <c r="BZ483" s="1076"/>
      <c r="CA483" s="1076"/>
      <c r="CB483" s="1116"/>
      <c r="CC483" s="1117"/>
      <c r="CD483" s="1376"/>
      <c r="CE483" s="1377"/>
      <c r="CF483" s="1377"/>
      <c r="CG483" s="1377"/>
      <c r="CH483" s="1440"/>
      <c r="CI483" s="1420"/>
      <c r="CJ483" s="1368"/>
      <c r="CK483" s="1368"/>
      <c r="CL483" s="1368"/>
      <c r="CM483" s="1369"/>
      <c r="CN483" s="1420"/>
      <c r="CO483" s="1368"/>
      <c r="CP483" s="1368"/>
      <c r="CQ483" s="1368"/>
      <c r="CR483" s="1369"/>
      <c r="CS483" s="1420"/>
      <c r="CT483" s="1368"/>
      <c r="CU483" s="1368"/>
      <c r="CV483" s="1368"/>
      <c r="CW483" s="1369"/>
      <c r="CX483" s="1420"/>
      <c r="CY483" s="1368"/>
      <c r="CZ483" s="1368"/>
      <c r="DA483" s="1368"/>
      <c r="DB483" s="1369"/>
      <c r="DC483" s="1368"/>
      <c r="DD483" s="1368"/>
      <c r="DE483" s="1368"/>
      <c r="DF483" s="1368"/>
      <c r="DG483" s="1369"/>
      <c r="DH483" s="1420"/>
      <c r="DI483" s="1368"/>
      <c r="DJ483" s="1368"/>
      <c r="DK483" s="1368"/>
      <c r="DL483" s="1369"/>
      <c r="DM483" s="1808"/>
      <c r="DN483" s="1809"/>
      <c r="DO483" s="1809"/>
      <c r="DP483" s="1810"/>
      <c r="DQ483" s="1809"/>
      <c r="DR483" s="1809"/>
      <c r="DS483" s="1809"/>
      <c r="DT483" s="1810"/>
      <c r="DU483" s="1377"/>
      <c r="DV483" s="1729"/>
      <c r="DW483" s="1811"/>
    </row>
    <row r="484" spans="1:127" s="397" customFormat="1" ht="15.75" hidden="1" customHeight="1">
      <c r="A484" s="1097" t="s">
        <v>1045</v>
      </c>
      <c r="B484" s="1057">
        <v>475</v>
      </c>
      <c r="C484" s="1018"/>
      <c r="D484" s="1018"/>
      <c r="E484" s="1018"/>
      <c r="F484" s="1018"/>
      <c r="G484" s="1018"/>
      <c r="H484" s="1018"/>
      <c r="I484" s="1018"/>
      <c r="J484" s="1018"/>
      <c r="K484" s="1018"/>
      <c r="L484" s="1018"/>
      <c r="M484" s="1057"/>
      <c r="N484" s="1018"/>
      <c r="O484" s="1018"/>
      <c r="P484" s="1018"/>
      <c r="Q484" s="1018"/>
      <c r="R484" s="1018"/>
      <c r="S484" s="1018"/>
      <c r="T484" s="1019"/>
      <c r="U484" s="1098" t="s">
        <v>3959</v>
      </c>
      <c r="V484" s="1099" t="s">
        <v>3765</v>
      </c>
      <c r="W484" s="1099" t="s">
        <v>1907</v>
      </c>
      <c r="X484" s="1100" t="s">
        <v>3960</v>
      </c>
      <c r="Y484" s="1101" t="s">
        <v>703</v>
      </c>
      <c r="Z484" s="1102" t="s">
        <v>3961</v>
      </c>
      <c r="AA484" s="1103" t="s">
        <v>1942</v>
      </c>
      <c r="AB484" s="1104" t="s">
        <v>1942</v>
      </c>
      <c r="AC484" s="1104" t="s">
        <v>1942</v>
      </c>
      <c r="AD484" s="1104" t="s">
        <v>1942</v>
      </c>
      <c r="AE484" s="1104">
        <v>1</v>
      </c>
      <c r="AF484" s="1104" t="s">
        <v>1942</v>
      </c>
      <c r="AG484" s="1104" t="s">
        <v>1942</v>
      </c>
      <c r="AH484" s="1104" t="s">
        <v>1942</v>
      </c>
      <c r="AI484" s="1105">
        <f t="shared" si="7"/>
        <v>1</v>
      </c>
      <c r="AJ484" s="1106" t="s">
        <v>1007</v>
      </c>
      <c r="AK484" s="1106" t="s">
        <v>1942</v>
      </c>
      <c r="AL484" s="1106" t="s">
        <v>1942</v>
      </c>
      <c r="AM484" s="1107" t="s">
        <v>2029</v>
      </c>
      <c r="AN484" s="1018" t="s">
        <v>278</v>
      </c>
      <c r="AO484" s="1018" t="s">
        <v>4799</v>
      </c>
      <c r="AP484" s="1307">
        <v>1</v>
      </c>
      <c r="AQ484" s="1076" t="s">
        <v>1010</v>
      </c>
      <c r="AR484" s="1109" t="s">
        <v>703</v>
      </c>
      <c r="AS484" s="1110"/>
      <c r="AT484" s="1100"/>
      <c r="AU484" s="1100"/>
      <c r="AV484" s="1100"/>
      <c r="AW484" s="1111"/>
      <c r="AX484" s="1112"/>
      <c r="AY484" s="1075"/>
      <c r="AZ484" s="1076"/>
      <c r="BA484" s="1076"/>
      <c r="BB484" s="1076"/>
      <c r="BC484" s="1076"/>
      <c r="BD484" s="1076"/>
      <c r="BE484" s="1076"/>
      <c r="BF484" s="1076"/>
      <c r="BG484" s="1076"/>
      <c r="BH484" s="1076"/>
      <c r="BI484" s="1075" t="s">
        <v>4869</v>
      </c>
      <c r="BJ484" s="1076" t="s">
        <v>4827</v>
      </c>
      <c r="BK484" s="1076" t="s">
        <v>4845</v>
      </c>
      <c r="BL484" s="1076" t="s">
        <v>4870</v>
      </c>
      <c r="BM484" s="1076" t="s">
        <v>4822</v>
      </c>
      <c r="BN484" s="1075"/>
      <c r="BO484" s="1076"/>
      <c r="BP484" s="1076"/>
      <c r="BQ484" s="1076"/>
      <c r="BR484" s="1076"/>
      <c r="BS484" s="1115"/>
      <c r="BT484" s="1076"/>
      <c r="BU484" s="1076"/>
      <c r="BV484" s="1076"/>
      <c r="BW484" s="1116"/>
      <c r="BX484" s="1115"/>
      <c r="BY484" s="1076"/>
      <c r="BZ484" s="1076"/>
      <c r="CA484" s="1076"/>
      <c r="CB484" s="1116"/>
      <c r="CC484" s="1117"/>
      <c r="CD484" s="1118" t="s">
        <v>1942</v>
      </c>
      <c r="CE484" s="1119" t="s">
        <v>1942</v>
      </c>
      <c r="CF484" s="1119" t="s">
        <v>1942</v>
      </c>
      <c r="CG484" s="1119" t="s">
        <v>1942</v>
      </c>
      <c r="CH484" s="1120" t="s">
        <v>1942</v>
      </c>
      <c r="CI484" s="1075" t="s">
        <v>1942</v>
      </c>
      <c r="CJ484" s="1076" t="s">
        <v>1942</v>
      </c>
      <c r="CK484" s="1076" t="s">
        <v>1942</v>
      </c>
      <c r="CL484" s="1076" t="s">
        <v>1942</v>
      </c>
      <c r="CM484" s="1117" t="s">
        <v>1942</v>
      </c>
      <c r="CN484" s="1075" t="s">
        <v>1942</v>
      </c>
      <c r="CO484" s="1076" t="s">
        <v>1942</v>
      </c>
      <c r="CP484" s="1076" t="s">
        <v>1942</v>
      </c>
      <c r="CQ484" s="1076" t="s">
        <v>1942</v>
      </c>
      <c r="CR484" s="1117" t="s">
        <v>1942</v>
      </c>
      <c r="CS484" s="1075" t="s">
        <v>1942</v>
      </c>
      <c r="CT484" s="1076" t="s">
        <v>1942</v>
      </c>
      <c r="CU484" s="1076" t="s">
        <v>1942</v>
      </c>
      <c r="CV484" s="1076" t="s">
        <v>1942</v>
      </c>
      <c r="CW484" s="1117" t="s">
        <v>1942</v>
      </c>
      <c r="CX484" s="1075" t="s">
        <v>1942</v>
      </c>
      <c r="CY484" s="1076" t="s">
        <v>1942</v>
      </c>
      <c r="CZ484" s="1076" t="s">
        <v>1942</v>
      </c>
      <c r="DA484" s="1076" t="s">
        <v>1942</v>
      </c>
      <c r="DB484" s="1117" t="s">
        <v>1942</v>
      </c>
      <c r="DC484" s="1076" t="s">
        <v>1942</v>
      </c>
      <c r="DD484" s="1076" t="s">
        <v>1942</v>
      </c>
      <c r="DE484" s="1076" t="s">
        <v>1942</v>
      </c>
      <c r="DF484" s="1076" t="s">
        <v>1942</v>
      </c>
      <c r="DG484" s="1117" t="s">
        <v>1942</v>
      </c>
      <c r="DH484" s="1075" t="s">
        <v>1942</v>
      </c>
      <c r="DI484" s="1076" t="s">
        <v>1942</v>
      </c>
      <c r="DJ484" s="1076" t="s">
        <v>1942</v>
      </c>
      <c r="DK484" s="1076" t="s">
        <v>1942</v>
      </c>
      <c r="DL484" s="1117" t="s">
        <v>1942</v>
      </c>
      <c r="DM484" s="1121" t="s">
        <v>1942</v>
      </c>
      <c r="DN484" s="1122" t="s">
        <v>1942</v>
      </c>
      <c r="DO484" s="1122" t="s">
        <v>1942</v>
      </c>
      <c r="DP484" s="1123" t="s">
        <v>1942</v>
      </c>
      <c r="DQ484" s="1122" t="s">
        <v>1942</v>
      </c>
      <c r="DR484" s="1122" t="s">
        <v>1942</v>
      </c>
      <c r="DS484" s="1122" t="s">
        <v>1942</v>
      </c>
      <c r="DT484" s="1123" t="s">
        <v>1942</v>
      </c>
      <c r="DU484" s="1119" t="s">
        <v>131</v>
      </c>
      <c r="DV484" s="1124">
        <v>1</v>
      </c>
      <c r="DW484" s="1125" t="s">
        <v>4000</v>
      </c>
    </row>
    <row r="485" spans="1:127" s="397" customFormat="1" ht="15.75" hidden="1" customHeight="1">
      <c r="A485" s="1097" t="s">
        <v>1045</v>
      </c>
      <c r="B485" s="1057">
        <v>476</v>
      </c>
      <c r="C485" s="1018"/>
      <c r="D485" s="1018"/>
      <c r="E485" s="1018"/>
      <c r="F485" s="1018"/>
      <c r="G485" s="1018"/>
      <c r="H485" s="1018"/>
      <c r="I485" s="1018"/>
      <c r="J485" s="1018"/>
      <c r="K485" s="1018"/>
      <c r="L485" s="1018"/>
      <c r="M485" s="1057"/>
      <c r="N485" s="1018"/>
      <c r="O485" s="1018"/>
      <c r="P485" s="1018"/>
      <c r="Q485" s="1018"/>
      <c r="R485" s="1018"/>
      <c r="S485" s="1018"/>
      <c r="T485" s="1019"/>
      <c r="U485" s="1098" t="s">
        <v>3963</v>
      </c>
      <c r="V485" s="1099" t="s">
        <v>3765</v>
      </c>
      <c r="W485" s="1099" t="s">
        <v>1907</v>
      </c>
      <c r="X485" s="1100" t="s">
        <v>3964</v>
      </c>
      <c r="Y485" s="1101" t="s">
        <v>3965</v>
      </c>
      <c r="Z485" s="1102" t="s">
        <v>3966</v>
      </c>
      <c r="AA485" s="1103" t="s">
        <v>1942</v>
      </c>
      <c r="AB485" s="1104" t="s">
        <v>1942</v>
      </c>
      <c r="AC485" s="1104" t="s">
        <v>1942</v>
      </c>
      <c r="AD485" s="1104" t="s">
        <v>1942</v>
      </c>
      <c r="AE485" s="1104">
        <v>1</v>
      </c>
      <c r="AF485" s="1104" t="s">
        <v>1942</v>
      </c>
      <c r="AG485" s="1104" t="s">
        <v>1942</v>
      </c>
      <c r="AH485" s="1104" t="s">
        <v>1942</v>
      </c>
      <c r="AI485" s="1105">
        <f t="shared" si="7"/>
        <v>1</v>
      </c>
      <c r="AJ485" s="1106" t="s">
        <v>1007</v>
      </c>
      <c r="AK485" s="1106" t="s">
        <v>1942</v>
      </c>
      <c r="AL485" s="1106" t="s">
        <v>1942</v>
      </c>
      <c r="AM485" s="1107" t="s">
        <v>2029</v>
      </c>
      <c r="AN485" s="1018" t="s">
        <v>1072</v>
      </c>
      <c r="AO485" s="1018" t="s">
        <v>3967</v>
      </c>
      <c r="AP485" s="1333">
        <v>0</v>
      </c>
      <c r="AQ485" s="1076" t="s">
        <v>1072</v>
      </c>
      <c r="AR485" s="1109" t="s">
        <v>1942</v>
      </c>
      <c r="AS485" s="1110"/>
      <c r="AT485" s="1100"/>
      <c r="AU485" s="1100"/>
      <c r="AV485" s="1100"/>
      <c r="AW485" s="1111"/>
      <c r="AX485" s="1112"/>
      <c r="AY485" s="1075"/>
      <c r="AZ485" s="1076"/>
      <c r="BA485" s="1076"/>
      <c r="BB485" s="1076"/>
      <c r="BC485" s="1076"/>
      <c r="BD485" s="1076"/>
      <c r="BE485" s="1076"/>
      <c r="BF485" s="1076"/>
      <c r="BG485" s="1076"/>
      <c r="BH485" s="1076"/>
      <c r="BI485" s="1420"/>
      <c r="BJ485" s="1368"/>
      <c r="BK485" s="1368"/>
      <c r="BL485" s="1368"/>
      <c r="BM485" s="1368"/>
      <c r="BN485" s="1075"/>
      <c r="BO485" s="1076"/>
      <c r="BP485" s="1076"/>
      <c r="BQ485" s="1076"/>
      <c r="BR485" s="1076"/>
      <c r="BS485" s="1115"/>
      <c r="BT485" s="1076"/>
      <c r="BU485" s="1076"/>
      <c r="BV485" s="1076"/>
      <c r="BW485" s="1116"/>
      <c r="BX485" s="1115"/>
      <c r="BY485" s="1076"/>
      <c r="BZ485" s="1076"/>
      <c r="CA485" s="1076"/>
      <c r="CB485" s="1116"/>
      <c r="CC485" s="1117"/>
      <c r="CD485" s="1376"/>
      <c r="CE485" s="1377"/>
      <c r="CF485" s="1377"/>
      <c r="CG485" s="1377"/>
      <c r="CH485" s="1440"/>
      <c r="CI485" s="1420"/>
      <c r="CJ485" s="1368"/>
      <c r="CK485" s="1368"/>
      <c r="CL485" s="1368"/>
      <c r="CM485" s="1369"/>
      <c r="CN485" s="1420"/>
      <c r="CO485" s="1368"/>
      <c r="CP485" s="1368"/>
      <c r="CQ485" s="1368"/>
      <c r="CR485" s="1369"/>
      <c r="CS485" s="1420"/>
      <c r="CT485" s="1368"/>
      <c r="CU485" s="1368"/>
      <c r="CV485" s="1368"/>
      <c r="CW485" s="1369"/>
      <c r="CX485" s="1420"/>
      <c r="CY485" s="1368"/>
      <c r="CZ485" s="1368"/>
      <c r="DA485" s="1368"/>
      <c r="DB485" s="1369"/>
      <c r="DC485" s="1368"/>
      <c r="DD485" s="1368"/>
      <c r="DE485" s="1368"/>
      <c r="DF485" s="1368"/>
      <c r="DG485" s="1369"/>
      <c r="DH485" s="1420"/>
      <c r="DI485" s="1368"/>
      <c r="DJ485" s="1368"/>
      <c r="DK485" s="1368"/>
      <c r="DL485" s="1369"/>
      <c r="DM485" s="1808"/>
      <c r="DN485" s="1809"/>
      <c r="DO485" s="1809"/>
      <c r="DP485" s="1810"/>
      <c r="DQ485" s="1809"/>
      <c r="DR485" s="1809"/>
      <c r="DS485" s="1809"/>
      <c r="DT485" s="1810"/>
      <c r="DU485" s="1377"/>
      <c r="DV485" s="1729"/>
      <c r="DW485" s="1811"/>
    </row>
    <row r="486" spans="1:127" s="397" customFormat="1" ht="15.75" hidden="1" customHeight="1">
      <c r="A486" s="1097" t="s">
        <v>1045</v>
      </c>
      <c r="B486" s="1057">
        <v>477</v>
      </c>
      <c r="C486" s="1018"/>
      <c r="D486" s="1018"/>
      <c r="E486" s="1018"/>
      <c r="F486" s="1018"/>
      <c r="G486" s="1018"/>
      <c r="H486" s="1018"/>
      <c r="I486" s="1018"/>
      <c r="J486" s="1018"/>
      <c r="K486" s="1018"/>
      <c r="L486" s="1018"/>
      <c r="M486" s="1057"/>
      <c r="N486" s="1018"/>
      <c r="O486" s="1018"/>
      <c r="P486" s="1018"/>
      <c r="Q486" s="1018"/>
      <c r="R486" s="1018"/>
      <c r="S486" s="1018"/>
      <c r="T486" s="1019"/>
      <c r="U486" s="1098" t="s">
        <v>3969</v>
      </c>
      <c r="V486" s="1099" t="s">
        <v>1942</v>
      </c>
      <c r="W486" s="1099" t="s">
        <v>1942</v>
      </c>
      <c r="X486" s="1100" t="s">
        <v>3970</v>
      </c>
      <c r="Y486" s="1101" t="s">
        <v>3971</v>
      </c>
      <c r="Z486" s="1102" t="s">
        <v>1942</v>
      </c>
      <c r="AA486" s="1103" t="s">
        <v>1942</v>
      </c>
      <c r="AB486" s="1104">
        <v>1</v>
      </c>
      <c r="AC486" s="1104" t="s">
        <v>1942</v>
      </c>
      <c r="AD486" s="1104" t="s">
        <v>1942</v>
      </c>
      <c r="AE486" s="1104" t="s">
        <v>1942</v>
      </c>
      <c r="AF486" s="1104" t="s">
        <v>1942</v>
      </c>
      <c r="AG486" s="1104" t="s">
        <v>1942</v>
      </c>
      <c r="AH486" s="1104" t="s">
        <v>1942</v>
      </c>
      <c r="AI486" s="1105">
        <f t="shared" si="7"/>
        <v>1</v>
      </c>
      <c r="AJ486" s="1106" t="s">
        <v>1026</v>
      </c>
      <c r="AK486" s="1106" t="s">
        <v>1008</v>
      </c>
      <c r="AL486" s="1106" t="s">
        <v>1019</v>
      </c>
      <c r="AM486" s="1107" t="s">
        <v>1942</v>
      </c>
      <c r="AN486" s="1018" t="s">
        <v>1942</v>
      </c>
      <c r="AO486" s="1018" t="s">
        <v>1942</v>
      </c>
      <c r="AP486" s="1333">
        <v>0</v>
      </c>
      <c r="AQ486" s="1076" t="s">
        <v>1010</v>
      </c>
      <c r="AR486" s="1109" t="s">
        <v>1942</v>
      </c>
      <c r="AS486" s="1110"/>
      <c r="AT486" s="1100"/>
      <c r="AU486" s="1100"/>
      <c r="AV486" s="1100"/>
      <c r="AW486" s="1111"/>
      <c r="AX486" s="1112"/>
      <c r="AY486" s="1075"/>
      <c r="AZ486" s="1076"/>
      <c r="BA486" s="1076"/>
      <c r="BB486" s="1076"/>
      <c r="BC486" s="1076"/>
      <c r="BD486" s="1076"/>
      <c r="BE486" s="1076"/>
      <c r="BF486" s="1076"/>
      <c r="BG486" s="1076"/>
      <c r="BH486" s="1076"/>
      <c r="BI486" s="1420"/>
      <c r="BJ486" s="1368"/>
      <c r="BK486" s="1368"/>
      <c r="BL486" s="1368"/>
      <c r="BM486" s="1368"/>
      <c r="BN486" s="1075"/>
      <c r="BO486" s="1076"/>
      <c r="BP486" s="1076"/>
      <c r="BQ486" s="1076"/>
      <c r="BR486" s="1076"/>
      <c r="BS486" s="1115"/>
      <c r="BT486" s="1076"/>
      <c r="BU486" s="1076"/>
      <c r="BV486" s="1076"/>
      <c r="BW486" s="1116"/>
      <c r="BX486" s="1115"/>
      <c r="BY486" s="1076"/>
      <c r="BZ486" s="1076"/>
      <c r="CA486" s="1076"/>
      <c r="CB486" s="1116"/>
      <c r="CC486" s="1117"/>
      <c r="CD486" s="1376"/>
      <c r="CE486" s="1377"/>
      <c r="CF486" s="1377"/>
      <c r="CG486" s="1377"/>
      <c r="CH486" s="1440"/>
      <c r="CI486" s="1420"/>
      <c r="CJ486" s="1368"/>
      <c r="CK486" s="1368"/>
      <c r="CL486" s="1368"/>
      <c r="CM486" s="1369"/>
      <c r="CN486" s="1420"/>
      <c r="CO486" s="1368"/>
      <c r="CP486" s="1368"/>
      <c r="CQ486" s="1368"/>
      <c r="CR486" s="1369"/>
      <c r="CS486" s="1420"/>
      <c r="CT486" s="1368"/>
      <c r="CU486" s="1368"/>
      <c r="CV486" s="1368"/>
      <c r="CW486" s="1369"/>
      <c r="CX486" s="1420"/>
      <c r="CY486" s="1368"/>
      <c r="CZ486" s="1368"/>
      <c r="DA486" s="1368"/>
      <c r="DB486" s="1369"/>
      <c r="DC486" s="1368"/>
      <c r="DD486" s="1368"/>
      <c r="DE486" s="1368"/>
      <c r="DF486" s="1368"/>
      <c r="DG486" s="1369"/>
      <c r="DH486" s="1420"/>
      <c r="DI486" s="1368"/>
      <c r="DJ486" s="1368"/>
      <c r="DK486" s="1368"/>
      <c r="DL486" s="1369"/>
      <c r="DM486" s="1808"/>
      <c r="DN486" s="1809"/>
      <c r="DO486" s="1809"/>
      <c r="DP486" s="1810"/>
      <c r="DQ486" s="1809"/>
      <c r="DR486" s="1809"/>
      <c r="DS486" s="1809"/>
      <c r="DT486" s="1810"/>
      <c r="DU486" s="1377"/>
      <c r="DV486" s="1729"/>
      <c r="DW486" s="1811"/>
    </row>
    <row r="487" spans="1:127" s="397" customFormat="1" ht="15.75" hidden="1" customHeight="1">
      <c r="A487" s="1097" t="s">
        <v>1045</v>
      </c>
      <c r="B487" s="1057">
        <v>478</v>
      </c>
      <c r="C487" s="1018"/>
      <c r="D487" s="1018"/>
      <c r="E487" s="1018"/>
      <c r="F487" s="1018"/>
      <c r="G487" s="1018"/>
      <c r="H487" s="1018"/>
      <c r="I487" s="1018"/>
      <c r="J487" s="1018"/>
      <c r="K487" s="1018"/>
      <c r="L487" s="1018"/>
      <c r="M487" s="1057"/>
      <c r="N487" s="1018"/>
      <c r="O487" s="1018"/>
      <c r="P487" s="1018"/>
      <c r="Q487" s="1018"/>
      <c r="R487" s="1018"/>
      <c r="S487" s="1018"/>
      <c r="T487" s="1019"/>
      <c r="U487" s="1098" t="s">
        <v>3972</v>
      </c>
      <c r="V487" s="1099" t="s">
        <v>1942</v>
      </c>
      <c r="W487" s="1099" t="s">
        <v>1942</v>
      </c>
      <c r="X487" s="1100" t="s">
        <v>3973</v>
      </c>
      <c r="Y487" s="1101" t="s">
        <v>3974</v>
      </c>
      <c r="Z487" s="1102" t="s">
        <v>1942</v>
      </c>
      <c r="AA487" s="1103" t="s">
        <v>1942</v>
      </c>
      <c r="AB487" s="1104">
        <v>1</v>
      </c>
      <c r="AC487" s="1104" t="s">
        <v>1942</v>
      </c>
      <c r="AD487" s="1104" t="s">
        <v>1942</v>
      </c>
      <c r="AE487" s="1104" t="s">
        <v>1942</v>
      </c>
      <c r="AF487" s="1104" t="s">
        <v>1942</v>
      </c>
      <c r="AG487" s="1104" t="s">
        <v>1942</v>
      </c>
      <c r="AH487" s="1104" t="s">
        <v>1942</v>
      </c>
      <c r="AI487" s="1105">
        <f t="shared" si="7"/>
        <v>1</v>
      </c>
      <c r="AJ487" s="1106" t="s">
        <v>1026</v>
      </c>
      <c r="AK487" s="1106" t="s">
        <v>1008</v>
      </c>
      <c r="AL487" s="1106" t="s">
        <v>1019</v>
      </c>
      <c r="AM487" s="1107" t="s">
        <v>1942</v>
      </c>
      <c r="AN487" s="1018" t="s">
        <v>1942</v>
      </c>
      <c r="AO487" s="1018" t="s">
        <v>1942</v>
      </c>
      <c r="AP487" s="1333">
        <v>0</v>
      </c>
      <c r="AQ487" s="1076" t="s">
        <v>1010</v>
      </c>
      <c r="AR487" s="1109" t="s">
        <v>1942</v>
      </c>
      <c r="AS487" s="1110"/>
      <c r="AT487" s="1100"/>
      <c r="AU487" s="1100"/>
      <c r="AV487" s="1100"/>
      <c r="AW487" s="1111"/>
      <c r="AX487" s="1112"/>
      <c r="AY487" s="1075"/>
      <c r="AZ487" s="1076"/>
      <c r="BA487" s="1076"/>
      <c r="BB487" s="1076"/>
      <c r="BC487" s="1076"/>
      <c r="BD487" s="1076"/>
      <c r="BE487" s="1076"/>
      <c r="BF487" s="1076"/>
      <c r="BG487" s="1076"/>
      <c r="BH487" s="1076"/>
      <c r="BI487" s="1420"/>
      <c r="BJ487" s="1368"/>
      <c r="BK487" s="1368"/>
      <c r="BL487" s="1368"/>
      <c r="BM487" s="1368"/>
      <c r="BN487" s="1075"/>
      <c r="BO487" s="1076"/>
      <c r="BP487" s="1076"/>
      <c r="BQ487" s="1076"/>
      <c r="BR487" s="1076"/>
      <c r="BS487" s="1115"/>
      <c r="BT487" s="1076"/>
      <c r="BU487" s="1076"/>
      <c r="BV487" s="1076"/>
      <c r="BW487" s="1116"/>
      <c r="BX487" s="1115"/>
      <c r="BY487" s="1076"/>
      <c r="BZ487" s="1076"/>
      <c r="CA487" s="1076"/>
      <c r="CB487" s="1116"/>
      <c r="CC487" s="1117"/>
      <c r="CD487" s="1376"/>
      <c r="CE487" s="1377"/>
      <c r="CF487" s="1377"/>
      <c r="CG487" s="1377"/>
      <c r="CH487" s="1440"/>
      <c r="CI487" s="1420"/>
      <c r="CJ487" s="1368"/>
      <c r="CK487" s="1368"/>
      <c r="CL487" s="1368"/>
      <c r="CM487" s="1369"/>
      <c r="CN487" s="1420"/>
      <c r="CO487" s="1368"/>
      <c r="CP487" s="1368"/>
      <c r="CQ487" s="1368"/>
      <c r="CR487" s="1369"/>
      <c r="CS487" s="1420"/>
      <c r="CT487" s="1368"/>
      <c r="CU487" s="1368"/>
      <c r="CV487" s="1368"/>
      <c r="CW487" s="1369"/>
      <c r="CX487" s="1420"/>
      <c r="CY487" s="1368"/>
      <c r="CZ487" s="1368"/>
      <c r="DA487" s="1368"/>
      <c r="DB487" s="1369"/>
      <c r="DC487" s="1368"/>
      <c r="DD487" s="1368"/>
      <c r="DE487" s="1368"/>
      <c r="DF487" s="1368"/>
      <c r="DG487" s="1369"/>
      <c r="DH487" s="1420"/>
      <c r="DI487" s="1368"/>
      <c r="DJ487" s="1368"/>
      <c r="DK487" s="1368"/>
      <c r="DL487" s="1369"/>
      <c r="DM487" s="1808"/>
      <c r="DN487" s="1809"/>
      <c r="DO487" s="1809"/>
      <c r="DP487" s="1810"/>
      <c r="DQ487" s="1809"/>
      <c r="DR487" s="1809"/>
      <c r="DS487" s="1809"/>
      <c r="DT487" s="1810"/>
      <c r="DU487" s="1377"/>
      <c r="DV487" s="1729"/>
      <c r="DW487" s="1811"/>
    </row>
    <row r="488" spans="1:127" s="397" customFormat="1" ht="15.75" hidden="1" customHeight="1">
      <c r="A488" s="1097" t="s">
        <v>1045</v>
      </c>
      <c r="B488" s="1057">
        <v>479</v>
      </c>
      <c r="C488" s="1018"/>
      <c r="D488" s="1018"/>
      <c r="E488" s="1018"/>
      <c r="F488" s="1018"/>
      <c r="G488" s="1018"/>
      <c r="H488" s="1018"/>
      <c r="I488" s="1018"/>
      <c r="J488" s="1018"/>
      <c r="K488" s="1018"/>
      <c r="L488" s="1018"/>
      <c r="M488" s="1057"/>
      <c r="N488" s="1018"/>
      <c r="O488" s="1018"/>
      <c r="P488" s="1018"/>
      <c r="Q488" s="1018"/>
      <c r="R488" s="1018"/>
      <c r="S488" s="1018"/>
      <c r="T488" s="1019"/>
      <c r="U488" s="1098" t="s">
        <v>3975</v>
      </c>
      <c r="V488" s="1099" t="s">
        <v>1942</v>
      </c>
      <c r="W488" s="1099" t="s">
        <v>1942</v>
      </c>
      <c r="X488" s="1100" t="s">
        <v>2032</v>
      </c>
      <c r="Y488" s="1101" t="s">
        <v>2033</v>
      </c>
      <c r="Z488" s="1102" t="s">
        <v>1942</v>
      </c>
      <c r="AA488" s="1103" t="s">
        <v>1942</v>
      </c>
      <c r="AB488" s="1104" t="s">
        <v>1942</v>
      </c>
      <c r="AC488" s="1104" t="s">
        <v>1942</v>
      </c>
      <c r="AD488" s="1104" t="s">
        <v>1942</v>
      </c>
      <c r="AE488" s="1104" t="s">
        <v>1942</v>
      </c>
      <c r="AF488" s="1104" t="s">
        <v>1942</v>
      </c>
      <c r="AG488" s="1104" t="s">
        <v>1942</v>
      </c>
      <c r="AH488" s="1104" t="s">
        <v>1942</v>
      </c>
      <c r="AI488" s="1105">
        <f t="shared" si="7"/>
        <v>0</v>
      </c>
      <c r="AJ488" s="1106" t="s">
        <v>1007</v>
      </c>
      <c r="AK488" s="1106" t="s">
        <v>1942</v>
      </c>
      <c r="AL488" s="1106" t="s">
        <v>1942</v>
      </c>
      <c r="AM488" s="1107" t="s">
        <v>1942</v>
      </c>
      <c r="AN488" s="1018" t="s">
        <v>1942</v>
      </c>
      <c r="AO488" s="1018" t="s">
        <v>2034</v>
      </c>
      <c r="AP488" s="1333">
        <v>0</v>
      </c>
      <c r="AQ488" s="1076" t="s">
        <v>1942</v>
      </c>
      <c r="AR488" s="1109" t="s">
        <v>1942</v>
      </c>
      <c r="AS488" s="1110"/>
      <c r="AT488" s="1100"/>
      <c r="AU488" s="1100"/>
      <c r="AV488" s="1100"/>
      <c r="AW488" s="1111"/>
      <c r="AX488" s="1112"/>
      <c r="AY488" s="1075"/>
      <c r="AZ488" s="1076"/>
      <c r="BA488" s="1076"/>
      <c r="BB488" s="1076"/>
      <c r="BC488" s="1076"/>
      <c r="BD488" s="1076"/>
      <c r="BE488" s="1076"/>
      <c r="BF488" s="1076"/>
      <c r="BG488" s="1076"/>
      <c r="BH488" s="1076"/>
      <c r="BI488" s="1420"/>
      <c r="BJ488" s="1368"/>
      <c r="BK488" s="1368"/>
      <c r="BL488" s="1368"/>
      <c r="BM488" s="1368"/>
      <c r="BN488" s="1075"/>
      <c r="BO488" s="1076"/>
      <c r="BP488" s="1076"/>
      <c r="BQ488" s="1076"/>
      <c r="BR488" s="1076"/>
      <c r="BS488" s="1115"/>
      <c r="BT488" s="1076"/>
      <c r="BU488" s="1076"/>
      <c r="BV488" s="1076"/>
      <c r="BW488" s="1116"/>
      <c r="BX488" s="1115"/>
      <c r="BY488" s="1076"/>
      <c r="BZ488" s="1076"/>
      <c r="CA488" s="1076"/>
      <c r="CB488" s="1116"/>
      <c r="CC488" s="1117"/>
      <c r="CD488" s="1376"/>
      <c r="CE488" s="1377"/>
      <c r="CF488" s="1377"/>
      <c r="CG488" s="1377"/>
      <c r="CH488" s="1440"/>
      <c r="CI488" s="1420"/>
      <c r="CJ488" s="1368"/>
      <c r="CK488" s="1368"/>
      <c r="CL488" s="1368"/>
      <c r="CM488" s="1369"/>
      <c r="CN488" s="1420"/>
      <c r="CO488" s="1368"/>
      <c r="CP488" s="1368"/>
      <c r="CQ488" s="1368"/>
      <c r="CR488" s="1369"/>
      <c r="CS488" s="1420"/>
      <c r="CT488" s="1368"/>
      <c r="CU488" s="1368"/>
      <c r="CV488" s="1368"/>
      <c r="CW488" s="1369"/>
      <c r="CX488" s="1420"/>
      <c r="CY488" s="1368"/>
      <c r="CZ488" s="1368"/>
      <c r="DA488" s="1368"/>
      <c r="DB488" s="1369"/>
      <c r="DC488" s="1368"/>
      <c r="DD488" s="1368"/>
      <c r="DE488" s="1368"/>
      <c r="DF488" s="1368"/>
      <c r="DG488" s="1369"/>
      <c r="DH488" s="1420"/>
      <c r="DI488" s="1368"/>
      <c r="DJ488" s="1368"/>
      <c r="DK488" s="1368"/>
      <c r="DL488" s="1369"/>
      <c r="DM488" s="1808"/>
      <c r="DN488" s="1809"/>
      <c r="DO488" s="1809"/>
      <c r="DP488" s="1810"/>
      <c r="DQ488" s="1809"/>
      <c r="DR488" s="1809"/>
      <c r="DS488" s="1809"/>
      <c r="DT488" s="1810"/>
      <c r="DU488" s="1377"/>
      <c r="DV488" s="1729"/>
      <c r="DW488" s="1811"/>
    </row>
    <row r="489" spans="1:127" s="397" customFormat="1" ht="15.75" hidden="1" customHeight="1">
      <c r="A489" s="1097" t="s">
        <v>1045</v>
      </c>
      <c r="B489" s="1057">
        <v>480</v>
      </c>
      <c r="C489" s="1018"/>
      <c r="D489" s="1018"/>
      <c r="E489" s="1018"/>
      <c r="F489" s="1018"/>
      <c r="G489" s="1018"/>
      <c r="H489" s="1018"/>
      <c r="I489" s="1018"/>
      <c r="J489" s="1018"/>
      <c r="K489" s="1018"/>
      <c r="L489" s="1018"/>
      <c r="M489" s="1057"/>
      <c r="N489" s="1018"/>
      <c r="O489" s="1018"/>
      <c r="P489" s="1018"/>
      <c r="Q489" s="1018"/>
      <c r="R489" s="1018"/>
      <c r="S489" s="1018"/>
      <c r="T489" s="1019"/>
      <c r="U489" s="1098" t="s">
        <v>3976</v>
      </c>
      <c r="V489" s="1099" t="s">
        <v>1942</v>
      </c>
      <c r="W489" s="1099" t="s">
        <v>1942</v>
      </c>
      <c r="X489" s="1100" t="s">
        <v>3977</v>
      </c>
      <c r="Y489" s="1101" t="s">
        <v>2697</v>
      </c>
      <c r="Z489" s="1102" t="s">
        <v>1942</v>
      </c>
      <c r="AA489" s="1103" t="s">
        <v>1942</v>
      </c>
      <c r="AB489" s="1104" t="s">
        <v>1942</v>
      </c>
      <c r="AC489" s="1104" t="s">
        <v>1942</v>
      </c>
      <c r="AD489" s="1104" t="s">
        <v>1942</v>
      </c>
      <c r="AE489" s="1104" t="s">
        <v>1942</v>
      </c>
      <c r="AF489" s="1104" t="s">
        <v>1942</v>
      </c>
      <c r="AG489" s="1104" t="s">
        <v>1942</v>
      </c>
      <c r="AH489" s="1104" t="s">
        <v>1942</v>
      </c>
      <c r="AI489" s="1105">
        <f t="shared" si="7"/>
        <v>0</v>
      </c>
      <c r="AJ489" s="1106"/>
      <c r="AK489" s="1106"/>
      <c r="AL489" s="1106"/>
      <c r="AM489" s="1107"/>
      <c r="AN489" s="1018"/>
      <c r="AO489" s="1018"/>
      <c r="AP489" s="1333">
        <v>0</v>
      </c>
      <c r="AQ489" s="1076"/>
      <c r="AR489" s="1109"/>
      <c r="AS489" s="1110"/>
      <c r="AT489" s="1100"/>
      <c r="AU489" s="1100"/>
      <c r="AV489" s="1100"/>
      <c r="AW489" s="1111"/>
      <c r="AX489" s="1112"/>
      <c r="AY489" s="1075"/>
      <c r="AZ489" s="1076"/>
      <c r="BA489" s="1076"/>
      <c r="BB489" s="1076"/>
      <c r="BC489" s="1076"/>
      <c r="BD489" s="1076"/>
      <c r="BE489" s="1076"/>
      <c r="BF489" s="1076"/>
      <c r="BG489" s="1076"/>
      <c r="BH489" s="1076"/>
      <c r="BI489" s="1420"/>
      <c r="BJ489" s="1368"/>
      <c r="BK489" s="1368"/>
      <c r="BL489" s="1368"/>
      <c r="BM489" s="1368"/>
      <c r="BN489" s="1075"/>
      <c r="BO489" s="1076"/>
      <c r="BP489" s="1076"/>
      <c r="BQ489" s="1076"/>
      <c r="BR489" s="1076"/>
      <c r="BS489" s="1115"/>
      <c r="BT489" s="1076"/>
      <c r="BU489" s="1076"/>
      <c r="BV489" s="1076"/>
      <c r="BW489" s="1116"/>
      <c r="BX489" s="1115"/>
      <c r="BY489" s="1076"/>
      <c r="BZ489" s="1076"/>
      <c r="CA489" s="1076"/>
      <c r="CB489" s="1116"/>
      <c r="CC489" s="1117"/>
      <c r="CD489" s="1376"/>
      <c r="CE489" s="1377"/>
      <c r="CF489" s="1377"/>
      <c r="CG489" s="1377"/>
      <c r="CH489" s="1440"/>
      <c r="CI489" s="1420"/>
      <c r="CJ489" s="1368"/>
      <c r="CK489" s="1368"/>
      <c r="CL489" s="1368"/>
      <c r="CM489" s="1369"/>
      <c r="CN489" s="1420"/>
      <c r="CO489" s="1368"/>
      <c r="CP489" s="1368"/>
      <c r="CQ489" s="1368"/>
      <c r="CR489" s="1369"/>
      <c r="CS489" s="1420"/>
      <c r="CT489" s="1368"/>
      <c r="CU489" s="1368"/>
      <c r="CV489" s="1368"/>
      <c r="CW489" s="1369"/>
      <c r="CX489" s="1420"/>
      <c r="CY489" s="1368"/>
      <c r="CZ489" s="1368"/>
      <c r="DA489" s="1368"/>
      <c r="DB489" s="1369"/>
      <c r="DC489" s="1368"/>
      <c r="DD489" s="1368"/>
      <c r="DE489" s="1368"/>
      <c r="DF489" s="1368"/>
      <c r="DG489" s="1369"/>
      <c r="DH489" s="1420"/>
      <c r="DI489" s="1368"/>
      <c r="DJ489" s="1368"/>
      <c r="DK489" s="1368"/>
      <c r="DL489" s="1369"/>
      <c r="DM489" s="1808"/>
      <c r="DN489" s="1809"/>
      <c r="DO489" s="1809"/>
      <c r="DP489" s="1810"/>
      <c r="DQ489" s="1809"/>
      <c r="DR489" s="1809"/>
      <c r="DS489" s="1809"/>
      <c r="DT489" s="1810"/>
      <c r="DU489" s="1377"/>
      <c r="DV489" s="1729"/>
      <c r="DW489" s="1811"/>
    </row>
    <row r="490" spans="1:127" s="397" customFormat="1" ht="15.75" hidden="1" customHeight="1">
      <c r="A490" s="1097" t="s">
        <v>1050</v>
      </c>
      <c r="B490" s="1057">
        <v>481</v>
      </c>
      <c r="C490" s="1018"/>
      <c r="D490" s="1018"/>
      <c r="E490" s="1018"/>
      <c r="F490" s="1018"/>
      <c r="G490" s="1018"/>
      <c r="H490" s="1018"/>
      <c r="I490" s="1018"/>
      <c r="J490" s="1018"/>
      <c r="K490" s="1018"/>
      <c r="L490" s="1018"/>
      <c r="M490" s="1057"/>
      <c r="N490" s="1018"/>
      <c r="O490" s="1018"/>
      <c r="P490" s="1018"/>
      <c r="Q490" s="1018"/>
      <c r="R490" s="1018"/>
      <c r="S490" s="1018"/>
      <c r="T490" s="1019"/>
      <c r="U490" s="1098" t="s">
        <v>3985</v>
      </c>
      <c r="V490" s="1099" t="s">
        <v>3986</v>
      </c>
      <c r="W490" s="1099" t="s">
        <v>1907</v>
      </c>
      <c r="X490" s="1100" t="s">
        <v>3987</v>
      </c>
      <c r="Y490" s="1101" t="s">
        <v>130</v>
      </c>
      <c r="Z490" s="1102" t="s">
        <v>3988</v>
      </c>
      <c r="AA490" s="1103">
        <v>0.1</v>
      </c>
      <c r="AB490" s="1104">
        <v>0.9</v>
      </c>
      <c r="AC490" s="1104" t="s">
        <v>1942</v>
      </c>
      <c r="AD490" s="1104" t="s">
        <v>1942</v>
      </c>
      <c r="AE490" s="1104" t="s">
        <v>1942</v>
      </c>
      <c r="AF490" s="1104" t="s">
        <v>1942</v>
      </c>
      <c r="AG490" s="1104" t="s">
        <v>1942</v>
      </c>
      <c r="AH490" s="1104" t="s">
        <v>1942</v>
      </c>
      <c r="AI490" s="1105">
        <f t="shared" si="7"/>
        <v>1</v>
      </c>
      <c r="AJ490" s="1106" t="s">
        <v>1026</v>
      </c>
      <c r="AK490" s="1106" t="s">
        <v>1008</v>
      </c>
      <c r="AL490" s="1106" t="s">
        <v>1009</v>
      </c>
      <c r="AM490" s="1107" t="s">
        <v>1926</v>
      </c>
      <c r="AN490" s="1018" t="s">
        <v>2177</v>
      </c>
      <c r="AO490" s="1018" t="s">
        <v>4795</v>
      </c>
      <c r="AP490" s="1307">
        <v>2</v>
      </c>
      <c r="AQ490" s="1076" t="s">
        <v>1020</v>
      </c>
      <c r="AR490" s="1109" t="s">
        <v>130</v>
      </c>
      <c r="AS490" s="1110"/>
      <c r="AT490" s="1100"/>
      <c r="AU490" s="1100"/>
      <c r="AV490" s="1100"/>
      <c r="AW490" s="1111"/>
      <c r="AX490" s="1112"/>
      <c r="AY490" s="1075"/>
      <c r="AZ490" s="1076"/>
      <c r="BA490" s="1076"/>
      <c r="BB490" s="1076"/>
      <c r="BC490" s="1076"/>
      <c r="BD490" s="1076"/>
      <c r="BE490" s="1076"/>
      <c r="BF490" s="1076"/>
      <c r="BG490" s="1126"/>
      <c r="BH490" s="1126"/>
      <c r="BI490" s="1127">
        <v>0</v>
      </c>
      <c r="BJ490" s="1126">
        <v>0</v>
      </c>
      <c r="BK490" s="1126">
        <v>0</v>
      </c>
      <c r="BL490" s="1126">
        <v>0</v>
      </c>
      <c r="BM490" s="1126">
        <v>0</v>
      </c>
      <c r="BN490" s="1075"/>
      <c r="BO490" s="1076"/>
      <c r="BP490" s="1076"/>
      <c r="BQ490" s="1076"/>
      <c r="BR490" s="1076"/>
      <c r="BS490" s="1115"/>
      <c r="BT490" s="1076"/>
      <c r="BU490" s="1076"/>
      <c r="BV490" s="1076"/>
      <c r="BW490" s="1116"/>
      <c r="BX490" s="1115"/>
      <c r="BY490" s="1076"/>
      <c r="BZ490" s="1076"/>
      <c r="CA490" s="1076"/>
      <c r="CB490" s="1116"/>
      <c r="CC490" s="1117"/>
      <c r="CD490" s="1118" t="s">
        <v>168</v>
      </c>
      <c r="CE490" s="1119" t="s">
        <v>168</v>
      </c>
      <c r="CF490" s="1119" t="s">
        <v>168</v>
      </c>
      <c r="CG490" s="1119" t="s">
        <v>168</v>
      </c>
      <c r="CH490" s="1120" t="s">
        <v>168</v>
      </c>
      <c r="CI490" s="1075" t="s">
        <v>1942</v>
      </c>
      <c r="CJ490" s="1076" t="s">
        <v>1942</v>
      </c>
      <c r="CK490" s="1076" t="s">
        <v>1942</v>
      </c>
      <c r="CL490" s="1076" t="s">
        <v>1942</v>
      </c>
      <c r="CM490" s="1117" t="s">
        <v>1942</v>
      </c>
      <c r="CN490" s="1075">
        <v>9.5</v>
      </c>
      <c r="CO490" s="1076">
        <v>9.5</v>
      </c>
      <c r="CP490" s="1076">
        <v>9.5</v>
      </c>
      <c r="CQ490" s="1076">
        <v>9.5</v>
      </c>
      <c r="CR490" s="1117">
        <v>9.5</v>
      </c>
      <c r="CS490" s="1075">
        <v>2</v>
      </c>
      <c r="CT490" s="1076">
        <v>2</v>
      </c>
      <c r="CU490" s="1076">
        <v>2</v>
      </c>
      <c r="CV490" s="1076">
        <v>2</v>
      </c>
      <c r="CW490" s="1117">
        <v>2</v>
      </c>
      <c r="CX490" s="1075" t="s">
        <v>1942</v>
      </c>
      <c r="CY490" s="1076" t="s">
        <v>1942</v>
      </c>
      <c r="CZ490" s="1076" t="s">
        <v>1942</v>
      </c>
      <c r="DA490" s="1076" t="s">
        <v>1942</v>
      </c>
      <c r="DB490" s="1117" t="s">
        <v>1942</v>
      </c>
      <c r="DC490" s="1076" t="s">
        <v>1942</v>
      </c>
      <c r="DD490" s="1076" t="s">
        <v>1942</v>
      </c>
      <c r="DE490" s="1076" t="s">
        <v>1942</v>
      </c>
      <c r="DF490" s="1076" t="s">
        <v>1942</v>
      </c>
      <c r="DG490" s="1117" t="s">
        <v>1942</v>
      </c>
      <c r="DH490" s="1075" t="s">
        <v>1942</v>
      </c>
      <c r="DI490" s="1076" t="s">
        <v>1942</v>
      </c>
      <c r="DJ490" s="1076" t="s">
        <v>1942</v>
      </c>
      <c r="DK490" s="1076" t="s">
        <v>1942</v>
      </c>
      <c r="DL490" s="1117" t="s">
        <v>1942</v>
      </c>
      <c r="DM490" s="1121">
        <v>-1.125</v>
      </c>
      <c r="DN490" s="1122" t="s">
        <v>1942</v>
      </c>
      <c r="DO490" s="1122" t="s">
        <v>1942</v>
      </c>
      <c r="DP490" s="1123" t="s">
        <v>1942</v>
      </c>
      <c r="DQ490" s="1122">
        <v>0</v>
      </c>
      <c r="DR490" s="1122" t="s">
        <v>1942</v>
      </c>
      <c r="DS490" s="1122" t="s">
        <v>1942</v>
      </c>
      <c r="DT490" s="1123" t="s">
        <v>1942</v>
      </c>
      <c r="DU490" s="1119" t="s">
        <v>131</v>
      </c>
      <c r="DV490" s="1124">
        <v>1</v>
      </c>
      <c r="DW490" s="1125" t="s">
        <v>1942</v>
      </c>
    </row>
    <row r="491" spans="1:127" s="397" customFormat="1" ht="15.75" hidden="1" customHeight="1">
      <c r="A491" s="1097" t="s">
        <v>1050</v>
      </c>
      <c r="B491" s="1057">
        <v>482</v>
      </c>
      <c r="C491" s="1018"/>
      <c r="D491" s="1018"/>
      <c r="E491" s="1018"/>
      <c r="F491" s="1018"/>
      <c r="G491" s="1018"/>
      <c r="H491" s="1018"/>
      <c r="I491" s="1018"/>
      <c r="J491" s="1018"/>
      <c r="K491" s="1018"/>
      <c r="L491" s="1018"/>
      <c r="M491" s="1057"/>
      <c r="N491" s="1018"/>
      <c r="O491" s="1018"/>
      <c r="P491" s="1018"/>
      <c r="Q491" s="1018"/>
      <c r="R491" s="1018"/>
      <c r="S491" s="1018"/>
      <c r="T491" s="1019"/>
      <c r="U491" s="1098" t="s">
        <v>3990</v>
      </c>
      <c r="V491" s="1099" t="s">
        <v>3986</v>
      </c>
      <c r="W491" s="1099" t="s">
        <v>1889</v>
      </c>
      <c r="X491" s="1100" t="s">
        <v>3991</v>
      </c>
      <c r="Y491" s="1101" t="s">
        <v>3992</v>
      </c>
      <c r="Z491" s="1102" t="s">
        <v>3993</v>
      </c>
      <c r="AA491" s="1103" t="s">
        <v>1942</v>
      </c>
      <c r="AB491" s="1104">
        <v>1</v>
      </c>
      <c r="AC491" s="1104" t="s">
        <v>1942</v>
      </c>
      <c r="AD491" s="1104" t="s">
        <v>1942</v>
      </c>
      <c r="AE491" s="1104" t="s">
        <v>1942</v>
      </c>
      <c r="AF491" s="1104" t="s">
        <v>1942</v>
      </c>
      <c r="AG491" s="1104" t="s">
        <v>1942</v>
      </c>
      <c r="AH491" s="1104" t="s">
        <v>1942</v>
      </c>
      <c r="AI491" s="1105">
        <f t="shared" si="7"/>
        <v>1</v>
      </c>
      <c r="AJ491" s="1106" t="s">
        <v>1030</v>
      </c>
      <c r="AK491" s="1106" t="s">
        <v>1008</v>
      </c>
      <c r="AL491" s="1106" t="s">
        <v>1009</v>
      </c>
      <c r="AM491" s="1107" t="s">
        <v>2149</v>
      </c>
      <c r="AN491" s="1018" t="s">
        <v>396</v>
      </c>
      <c r="AO491" s="1018" t="s">
        <v>4798</v>
      </c>
      <c r="AP491" s="1274">
        <v>1</v>
      </c>
      <c r="AQ491" s="1076" t="s">
        <v>1020</v>
      </c>
      <c r="AR491" s="1109"/>
      <c r="AS491" s="1110"/>
      <c r="AT491" s="1100"/>
      <c r="AU491" s="1100"/>
      <c r="AV491" s="1100"/>
      <c r="AW491" s="1111"/>
      <c r="AX491" s="1112"/>
      <c r="AY491" s="1075"/>
      <c r="AZ491" s="1076"/>
      <c r="BA491" s="1076"/>
      <c r="BB491" s="1076"/>
      <c r="BC491" s="1076"/>
      <c r="BD491" s="1076"/>
      <c r="BE491" s="1076"/>
      <c r="BF491" s="1076"/>
      <c r="BG491" s="1076"/>
      <c r="BH491" s="1076"/>
      <c r="BI491" s="1420"/>
      <c r="BJ491" s="1368"/>
      <c r="BK491" s="1368"/>
      <c r="BL491" s="1368"/>
      <c r="BM491" s="1368"/>
      <c r="BN491" s="1075"/>
      <c r="BO491" s="1076"/>
      <c r="BP491" s="1076"/>
      <c r="BQ491" s="1076"/>
      <c r="BR491" s="1076"/>
      <c r="BS491" s="1115"/>
      <c r="BT491" s="1076"/>
      <c r="BU491" s="1076"/>
      <c r="BV491" s="1076"/>
      <c r="BW491" s="1116"/>
      <c r="BX491" s="1115"/>
      <c r="BY491" s="1076"/>
      <c r="BZ491" s="1076"/>
      <c r="CA491" s="1076"/>
      <c r="CB491" s="1116"/>
      <c r="CC491" s="1117"/>
      <c r="CD491" s="1376"/>
      <c r="CE491" s="1377"/>
      <c r="CF491" s="1377"/>
      <c r="CG491" s="1377"/>
      <c r="CH491" s="1440"/>
      <c r="CI491" s="1420"/>
      <c r="CJ491" s="1368"/>
      <c r="CK491" s="1368"/>
      <c r="CL491" s="1368"/>
      <c r="CM491" s="1369"/>
      <c r="CN491" s="1420"/>
      <c r="CO491" s="1368"/>
      <c r="CP491" s="1368"/>
      <c r="CQ491" s="1368"/>
      <c r="CR491" s="1369"/>
      <c r="CS491" s="1420"/>
      <c r="CT491" s="1368"/>
      <c r="CU491" s="1368"/>
      <c r="CV491" s="1368"/>
      <c r="CW491" s="1369"/>
      <c r="CX491" s="1420"/>
      <c r="CY491" s="1368"/>
      <c r="CZ491" s="1368"/>
      <c r="DA491" s="1368"/>
      <c r="DB491" s="1369"/>
      <c r="DC491" s="1368"/>
      <c r="DD491" s="1368"/>
      <c r="DE491" s="1368"/>
      <c r="DF491" s="1368"/>
      <c r="DG491" s="1369"/>
      <c r="DH491" s="1420"/>
      <c r="DI491" s="1368"/>
      <c r="DJ491" s="1368"/>
      <c r="DK491" s="1368"/>
      <c r="DL491" s="1369"/>
      <c r="DM491" s="1808"/>
      <c r="DN491" s="1809"/>
      <c r="DO491" s="1809"/>
      <c r="DP491" s="1810"/>
      <c r="DQ491" s="1809"/>
      <c r="DR491" s="1809"/>
      <c r="DS491" s="1809"/>
      <c r="DT491" s="1810"/>
      <c r="DU491" s="1377"/>
      <c r="DV491" s="1729"/>
      <c r="DW491" s="1811"/>
    </row>
    <row r="492" spans="1:127" s="397" customFormat="1" ht="15.75" hidden="1" customHeight="1">
      <c r="A492" s="1097" t="s">
        <v>1050</v>
      </c>
      <c r="B492" s="1057">
        <v>483</v>
      </c>
      <c r="C492" s="1018"/>
      <c r="D492" s="1018"/>
      <c r="E492" s="1018"/>
      <c r="F492" s="1018"/>
      <c r="G492" s="1018"/>
      <c r="H492" s="1018"/>
      <c r="I492" s="1018"/>
      <c r="J492" s="1018"/>
      <c r="K492" s="1018"/>
      <c r="L492" s="1018"/>
      <c r="M492" s="1057"/>
      <c r="N492" s="1018"/>
      <c r="O492" s="1018"/>
      <c r="P492" s="1018"/>
      <c r="Q492" s="1018"/>
      <c r="R492" s="1018"/>
      <c r="S492" s="1018"/>
      <c r="T492" s="1019"/>
      <c r="U492" s="1098" t="s">
        <v>3995</v>
      </c>
      <c r="V492" s="1099" t="s">
        <v>3986</v>
      </c>
      <c r="W492" s="1099" t="s">
        <v>1907</v>
      </c>
      <c r="X492" s="1100" t="s">
        <v>3996</v>
      </c>
      <c r="Y492" s="1101" t="s">
        <v>3997</v>
      </c>
      <c r="Z492" s="1102" t="s">
        <v>3998</v>
      </c>
      <c r="AA492" s="1103" t="s">
        <v>1942</v>
      </c>
      <c r="AB492" s="1104">
        <v>1</v>
      </c>
      <c r="AC492" s="1104" t="s">
        <v>1942</v>
      </c>
      <c r="AD492" s="1104" t="s">
        <v>1942</v>
      </c>
      <c r="AE492" s="1104" t="s">
        <v>1942</v>
      </c>
      <c r="AF492" s="1104" t="s">
        <v>1942</v>
      </c>
      <c r="AG492" s="1104" t="s">
        <v>1942</v>
      </c>
      <c r="AH492" s="1104" t="s">
        <v>1942</v>
      </c>
      <c r="AI492" s="1105">
        <f t="shared" si="7"/>
        <v>1</v>
      </c>
      <c r="AJ492" s="1106" t="s">
        <v>1030</v>
      </c>
      <c r="AK492" s="1106" t="s">
        <v>1008</v>
      </c>
      <c r="AL492" s="1106" t="s">
        <v>1009</v>
      </c>
      <c r="AM492" s="1107" t="s">
        <v>1926</v>
      </c>
      <c r="AN492" s="1018" t="s">
        <v>1033</v>
      </c>
      <c r="AO492" s="1018" t="s">
        <v>3999</v>
      </c>
      <c r="AP492" s="1274">
        <v>0</v>
      </c>
      <c r="AQ492" s="1076" t="s">
        <v>1010</v>
      </c>
      <c r="AR492" s="1109" t="s">
        <v>1942</v>
      </c>
      <c r="AS492" s="1110"/>
      <c r="AT492" s="1100"/>
      <c r="AU492" s="1100"/>
      <c r="AV492" s="1100"/>
      <c r="AW492" s="1111"/>
      <c r="AX492" s="1112"/>
      <c r="AY492" s="1075"/>
      <c r="AZ492" s="1076"/>
      <c r="BA492" s="1076"/>
      <c r="BB492" s="1076"/>
      <c r="BC492" s="1076"/>
      <c r="BD492" s="1076"/>
      <c r="BE492" s="1076"/>
      <c r="BF492" s="1076"/>
      <c r="BG492" s="1076"/>
      <c r="BH492" s="1076"/>
      <c r="BI492" s="1420"/>
      <c r="BJ492" s="1368"/>
      <c r="BK492" s="1368"/>
      <c r="BL492" s="1368"/>
      <c r="BM492" s="1368"/>
      <c r="BN492" s="1075"/>
      <c r="BO492" s="1076"/>
      <c r="BP492" s="1076"/>
      <c r="BQ492" s="1076"/>
      <c r="BR492" s="1076"/>
      <c r="BS492" s="1115"/>
      <c r="BT492" s="1076"/>
      <c r="BU492" s="1076"/>
      <c r="BV492" s="1076"/>
      <c r="BW492" s="1116"/>
      <c r="BX492" s="1115"/>
      <c r="BY492" s="1076"/>
      <c r="BZ492" s="1076"/>
      <c r="CA492" s="1076"/>
      <c r="CB492" s="1116"/>
      <c r="CC492" s="1117"/>
      <c r="CD492" s="1376"/>
      <c r="CE492" s="1377"/>
      <c r="CF492" s="1377"/>
      <c r="CG492" s="1377"/>
      <c r="CH492" s="1440"/>
      <c r="CI492" s="1420"/>
      <c r="CJ492" s="1368"/>
      <c r="CK492" s="1368"/>
      <c r="CL492" s="1368"/>
      <c r="CM492" s="1369"/>
      <c r="CN492" s="1420"/>
      <c r="CO492" s="1368"/>
      <c r="CP492" s="1368"/>
      <c r="CQ492" s="1368"/>
      <c r="CR492" s="1369"/>
      <c r="CS492" s="1420"/>
      <c r="CT492" s="1368"/>
      <c r="CU492" s="1368"/>
      <c r="CV492" s="1368"/>
      <c r="CW492" s="1369"/>
      <c r="CX492" s="1420"/>
      <c r="CY492" s="1368"/>
      <c r="CZ492" s="1368"/>
      <c r="DA492" s="1368"/>
      <c r="DB492" s="1369"/>
      <c r="DC492" s="1368"/>
      <c r="DD492" s="1368"/>
      <c r="DE492" s="1368"/>
      <c r="DF492" s="1368"/>
      <c r="DG492" s="1369"/>
      <c r="DH492" s="1420"/>
      <c r="DI492" s="1368"/>
      <c r="DJ492" s="1368"/>
      <c r="DK492" s="1368"/>
      <c r="DL492" s="1369"/>
      <c r="DM492" s="1808"/>
      <c r="DN492" s="1809"/>
      <c r="DO492" s="1809"/>
      <c r="DP492" s="1810"/>
      <c r="DQ492" s="1809"/>
      <c r="DR492" s="1809"/>
      <c r="DS492" s="1809"/>
      <c r="DT492" s="1810"/>
      <c r="DU492" s="1377"/>
      <c r="DV492" s="1729"/>
      <c r="DW492" s="1811"/>
    </row>
    <row r="493" spans="1:127" s="397" customFormat="1" ht="15.75" hidden="1" customHeight="1">
      <c r="A493" s="1097" t="s">
        <v>1050</v>
      </c>
      <c r="B493" s="1057">
        <v>484</v>
      </c>
      <c r="C493" s="1018"/>
      <c r="D493" s="1018"/>
      <c r="E493" s="1018"/>
      <c r="F493" s="1018"/>
      <c r="G493" s="1018"/>
      <c r="H493" s="1018"/>
      <c r="I493" s="1018"/>
      <c r="J493" s="1018"/>
      <c r="K493" s="1018"/>
      <c r="L493" s="1018"/>
      <c r="M493" s="1057"/>
      <c r="N493" s="1018"/>
      <c r="O493" s="1018"/>
      <c r="P493" s="1018"/>
      <c r="Q493" s="1018"/>
      <c r="R493" s="1018"/>
      <c r="S493" s="1018"/>
      <c r="T493" s="1019"/>
      <c r="U493" s="1098" t="s">
        <v>4001</v>
      </c>
      <c r="V493" s="1099" t="s">
        <v>3986</v>
      </c>
      <c r="W493" s="1099" t="s">
        <v>1907</v>
      </c>
      <c r="X493" s="1100" t="s">
        <v>4002</v>
      </c>
      <c r="Y493" s="1101" t="s">
        <v>4003</v>
      </c>
      <c r="Z493" s="1102" t="s">
        <v>4004</v>
      </c>
      <c r="AA493" s="1103" t="s">
        <v>1942</v>
      </c>
      <c r="AB493" s="1104">
        <v>1</v>
      </c>
      <c r="AC493" s="1104" t="s">
        <v>1942</v>
      </c>
      <c r="AD493" s="1104" t="s">
        <v>1942</v>
      </c>
      <c r="AE493" s="1104" t="s">
        <v>1942</v>
      </c>
      <c r="AF493" s="1104" t="s">
        <v>1942</v>
      </c>
      <c r="AG493" s="1104" t="s">
        <v>1942</v>
      </c>
      <c r="AH493" s="1104" t="s">
        <v>1942</v>
      </c>
      <c r="AI493" s="1105">
        <f t="shared" si="7"/>
        <v>1</v>
      </c>
      <c r="AJ493" s="1106" t="s">
        <v>1030</v>
      </c>
      <c r="AK493" s="1106" t="s">
        <v>1008</v>
      </c>
      <c r="AL493" s="1106" t="s">
        <v>1009</v>
      </c>
      <c r="AM493" s="1107" t="s">
        <v>2400</v>
      </c>
      <c r="AN493" s="1018" t="s">
        <v>278</v>
      </c>
      <c r="AO493" s="1018" t="s">
        <v>4005</v>
      </c>
      <c r="AP493" s="1274">
        <v>1</v>
      </c>
      <c r="AQ493" s="1076" t="s">
        <v>1010</v>
      </c>
      <c r="AR493" s="1109" t="s">
        <v>1942</v>
      </c>
      <c r="AS493" s="1110"/>
      <c r="AT493" s="1100"/>
      <c r="AU493" s="1100"/>
      <c r="AV493" s="1100"/>
      <c r="AW493" s="1111"/>
      <c r="AX493" s="1112"/>
      <c r="AY493" s="1075"/>
      <c r="AZ493" s="1076"/>
      <c r="BA493" s="1076"/>
      <c r="BB493" s="1076"/>
      <c r="BC493" s="1076"/>
      <c r="BD493" s="1076"/>
      <c r="BE493" s="1076"/>
      <c r="BF493" s="1076"/>
      <c r="BG493" s="1076"/>
      <c r="BH493" s="1076"/>
      <c r="BI493" s="1420"/>
      <c r="BJ493" s="1368"/>
      <c r="BK493" s="1368"/>
      <c r="BL493" s="1368"/>
      <c r="BM493" s="1368"/>
      <c r="BN493" s="1075"/>
      <c r="BO493" s="1076"/>
      <c r="BP493" s="1076"/>
      <c r="BQ493" s="1076"/>
      <c r="BR493" s="1076"/>
      <c r="BS493" s="1115"/>
      <c r="BT493" s="1076"/>
      <c r="BU493" s="1076"/>
      <c r="BV493" s="1076"/>
      <c r="BW493" s="1116"/>
      <c r="BX493" s="1115"/>
      <c r="BY493" s="1076"/>
      <c r="BZ493" s="1076"/>
      <c r="CA493" s="1076"/>
      <c r="CB493" s="1116"/>
      <c r="CC493" s="1117"/>
      <c r="CD493" s="1376"/>
      <c r="CE493" s="1377"/>
      <c r="CF493" s="1377"/>
      <c r="CG493" s="1377"/>
      <c r="CH493" s="1440"/>
      <c r="CI493" s="1420"/>
      <c r="CJ493" s="1368"/>
      <c r="CK493" s="1368"/>
      <c r="CL493" s="1368"/>
      <c r="CM493" s="1369"/>
      <c r="CN493" s="1420"/>
      <c r="CO493" s="1368"/>
      <c r="CP493" s="1368"/>
      <c r="CQ493" s="1368"/>
      <c r="CR493" s="1369"/>
      <c r="CS493" s="1420"/>
      <c r="CT493" s="1368"/>
      <c r="CU493" s="1368"/>
      <c r="CV493" s="1368"/>
      <c r="CW493" s="1369"/>
      <c r="CX493" s="1420"/>
      <c r="CY493" s="1368"/>
      <c r="CZ493" s="1368"/>
      <c r="DA493" s="1368"/>
      <c r="DB493" s="1369"/>
      <c r="DC493" s="1368"/>
      <c r="DD493" s="1368"/>
      <c r="DE493" s="1368"/>
      <c r="DF493" s="1368"/>
      <c r="DG493" s="1369"/>
      <c r="DH493" s="1420"/>
      <c r="DI493" s="1368"/>
      <c r="DJ493" s="1368"/>
      <c r="DK493" s="1368"/>
      <c r="DL493" s="1369"/>
      <c r="DM493" s="1808"/>
      <c r="DN493" s="1809"/>
      <c r="DO493" s="1809"/>
      <c r="DP493" s="1810"/>
      <c r="DQ493" s="1809"/>
      <c r="DR493" s="1809"/>
      <c r="DS493" s="1809"/>
      <c r="DT493" s="1810"/>
      <c r="DU493" s="1377"/>
      <c r="DV493" s="1729"/>
      <c r="DW493" s="1811"/>
    </row>
    <row r="494" spans="1:127" s="397" customFormat="1" ht="15.75" hidden="1" customHeight="1">
      <c r="A494" s="1097" t="s">
        <v>1050</v>
      </c>
      <c r="B494" s="1057">
        <v>485</v>
      </c>
      <c r="C494" s="1018"/>
      <c r="D494" s="1018"/>
      <c r="E494" s="1018"/>
      <c r="F494" s="1018"/>
      <c r="G494" s="1018"/>
      <c r="H494" s="1018"/>
      <c r="I494" s="1018"/>
      <c r="J494" s="1018"/>
      <c r="K494" s="1018"/>
      <c r="L494" s="1018"/>
      <c r="M494" s="1057"/>
      <c r="N494" s="1018"/>
      <c r="O494" s="1018"/>
      <c r="P494" s="1018"/>
      <c r="Q494" s="1018"/>
      <c r="R494" s="1018"/>
      <c r="S494" s="1018"/>
      <c r="T494" s="1019"/>
      <c r="U494" s="1098" t="s">
        <v>4006</v>
      </c>
      <c r="V494" s="1099" t="s">
        <v>3986</v>
      </c>
      <c r="W494" s="1099" t="s">
        <v>1907</v>
      </c>
      <c r="X494" s="1100" t="s">
        <v>4007</v>
      </c>
      <c r="Y494" s="1101" t="s">
        <v>4008</v>
      </c>
      <c r="Z494" s="1102" t="s">
        <v>4009</v>
      </c>
      <c r="AA494" s="1103" t="s">
        <v>1942</v>
      </c>
      <c r="AB494" s="1104">
        <v>1</v>
      </c>
      <c r="AC494" s="1104" t="s">
        <v>1942</v>
      </c>
      <c r="AD494" s="1104" t="s">
        <v>1942</v>
      </c>
      <c r="AE494" s="1104" t="s">
        <v>1942</v>
      </c>
      <c r="AF494" s="1104" t="s">
        <v>1942</v>
      </c>
      <c r="AG494" s="1104" t="s">
        <v>1942</v>
      </c>
      <c r="AH494" s="1104" t="s">
        <v>1942</v>
      </c>
      <c r="AI494" s="1105">
        <f t="shared" si="7"/>
        <v>1</v>
      </c>
      <c r="AJ494" s="1106" t="s">
        <v>1017</v>
      </c>
      <c r="AK494" s="1106" t="s">
        <v>1008</v>
      </c>
      <c r="AL494" s="1106" t="s">
        <v>1009</v>
      </c>
      <c r="AM494" s="1107" t="s">
        <v>2149</v>
      </c>
      <c r="AN494" s="1018" t="s">
        <v>1033</v>
      </c>
      <c r="AO494" s="1018" t="s">
        <v>4010</v>
      </c>
      <c r="AP494" s="1274">
        <v>2</v>
      </c>
      <c r="AQ494" s="1076" t="s">
        <v>1010</v>
      </c>
      <c r="AR494" s="1109" t="s">
        <v>1942</v>
      </c>
      <c r="AS494" s="1110"/>
      <c r="AT494" s="1100"/>
      <c r="AU494" s="1100"/>
      <c r="AV494" s="1100"/>
      <c r="AW494" s="1111"/>
      <c r="AX494" s="1112"/>
      <c r="AY494" s="1075"/>
      <c r="AZ494" s="1076"/>
      <c r="BA494" s="1076"/>
      <c r="BB494" s="1076"/>
      <c r="BC494" s="1076"/>
      <c r="BD494" s="1076"/>
      <c r="BE494" s="1076"/>
      <c r="BF494" s="1076"/>
      <c r="BG494" s="1076"/>
      <c r="BH494" s="1076"/>
      <c r="BI494" s="1420"/>
      <c r="BJ494" s="1368"/>
      <c r="BK494" s="1368"/>
      <c r="BL494" s="1368"/>
      <c r="BM494" s="1368"/>
      <c r="BN494" s="1075"/>
      <c r="BO494" s="1076"/>
      <c r="BP494" s="1076"/>
      <c r="BQ494" s="1076"/>
      <c r="BR494" s="1076"/>
      <c r="BS494" s="1115"/>
      <c r="BT494" s="1076"/>
      <c r="BU494" s="1076"/>
      <c r="BV494" s="1076"/>
      <c r="BW494" s="1116"/>
      <c r="BX494" s="1115"/>
      <c r="BY494" s="1076"/>
      <c r="BZ494" s="1076"/>
      <c r="CA494" s="1076"/>
      <c r="CB494" s="1116"/>
      <c r="CC494" s="1117"/>
      <c r="CD494" s="1376"/>
      <c r="CE494" s="1377"/>
      <c r="CF494" s="1377"/>
      <c r="CG494" s="1377"/>
      <c r="CH494" s="1440"/>
      <c r="CI494" s="1420"/>
      <c r="CJ494" s="1368"/>
      <c r="CK494" s="1368"/>
      <c r="CL494" s="1368"/>
      <c r="CM494" s="1369"/>
      <c r="CN494" s="1420"/>
      <c r="CO494" s="1368"/>
      <c r="CP494" s="1368"/>
      <c r="CQ494" s="1368"/>
      <c r="CR494" s="1369"/>
      <c r="CS494" s="1420"/>
      <c r="CT494" s="1368"/>
      <c r="CU494" s="1368"/>
      <c r="CV494" s="1368"/>
      <c r="CW494" s="1369"/>
      <c r="CX494" s="1420"/>
      <c r="CY494" s="1368"/>
      <c r="CZ494" s="1368"/>
      <c r="DA494" s="1368"/>
      <c r="DB494" s="1369"/>
      <c r="DC494" s="1368"/>
      <c r="DD494" s="1368"/>
      <c r="DE494" s="1368"/>
      <c r="DF494" s="1368"/>
      <c r="DG494" s="1369"/>
      <c r="DH494" s="1420"/>
      <c r="DI494" s="1368"/>
      <c r="DJ494" s="1368"/>
      <c r="DK494" s="1368"/>
      <c r="DL494" s="1369"/>
      <c r="DM494" s="1808"/>
      <c r="DN494" s="1809"/>
      <c r="DO494" s="1809"/>
      <c r="DP494" s="1810"/>
      <c r="DQ494" s="1809"/>
      <c r="DR494" s="1809"/>
      <c r="DS494" s="1809"/>
      <c r="DT494" s="1810"/>
      <c r="DU494" s="1377"/>
      <c r="DV494" s="1729"/>
      <c r="DW494" s="1811"/>
    </row>
    <row r="495" spans="1:127" s="397" customFormat="1" ht="15.75" hidden="1" customHeight="1">
      <c r="A495" s="1054" t="s">
        <v>1050</v>
      </c>
      <c r="B495" s="1055">
        <v>486</v>
      </c>
      <c r="C495" s="1143"/>
      <c r="D495" s="1143"/>
      <c r="E495" s="1143"/>
      <c r="F495" s="1143"/>
      <c r="G495" s="1143"/>
      <c r="H495" s="1143"/>
      <c r="I495" s="1143"/>
      <c r="J495" s="1143"/>
      <c r="K495" s="1143"/>
      <c r="L495" s="1143"/>
      <c r="M495" s="1055"/>
      <c r="N495" s="1143"/>
      <c r="O495" s="1143"/>
      <c r="P495" s="1143"/>
      <c r="Q495" s="1143"/>
      <c r="R495" s="1143"/>
      <c r="S495" s="1143"/>
      <c r="T495" s="1058"/>
      <c r="U495" s="1059" t="s">
        <v>4011</v>
      </c>
      <c r="V495" s="1060" t="s">
        <v>4012</v>
      </c>
      <c r="W495" s="1060" t="s">
        <v>1889</v>
      </c>
      <c r="X495" s="1061" t="s">
        <v>4013</v>
      </c>
      <c r="Y495" s="1062" t="s">
        <v>669</v>
      </c>
      <c r="Z495" s="1063" t="s">
        <v>3988</v>
      </c>
      <c r="AA495" s="1064" t="s">
        <v>1942</v>
      </c>
      <c r="AB495" s="1065">
        <v>1</v>
      </c>
      <c r="AC495" s="1065" t="s">
        <v>1942</v>
      </c>
      <c r="AD495" s="1065" t="s">
        <v>1942</v>
      </c>
      <c r="AE495" s="1065" t="s">
        <v>1942</v>
      </c>
      <c r="AF495" s="1065" t="s">
        <v>1942</v>
      </c>
      <c r="AG495" s="1065" t="s">
        <v>1942</v>
      </c>
      <c r="AH495" s="1065" t="s">
        <v>1942</v>
      </c>
      <c r="AI495" s="1066">
        <f t="shared" si="7"/>
        <v>1</v>
      </c>
      <c r="AJ495" s="1067" t="s">
        <v>1030</v>
      </c>
      <c r="AK495" s="1067" t="s">
        <v>1008</v>
      </c>
      <c r="AL495" s="1067" t="s">
        <v>1009</v>
      </c>
      <c r="AM495" s="1068" t="s">
        <v>669</v>
      </c>
      <c r="AN495" s="1062" t="s">
        <v>278</v>
      </c>
      <c r="AO495" s="1062" t="s">
        <v>4791</v>
      </c>
      <c r="AP495" s="1306">
        <v>1</v>
      </c>
      <c r="AQ495" s="833" t="s">
        <v>1010</v>
      </c>
      <c r="AR495" s="1071" t="s">
        <v>669</v>
      </c>
      <c r="AS495" s="1072"/>
      <c r="AT495" s="1061"/>
      <c r="AU495" s="1061"/>
      <c r="AV495" s="1061"/>
      <c r="AW495" s="1073"/>
      <c r="AX495" s="1074"/>
      <c r="AY495" s="1079"/>
      <c r="AZ495" s="1080"/>
      <c r="BA495" s="1080"/>
      <c r="BB495" s="1080"/>
      <c r="BC495" s="1080"/>
      <c r="BD495" s="1080"/>
      <c r="BE495" s="1080"/>
      <c r="BF495" s="1080"/>
      <c r="BG495" s="1077"/>
      <c r="BH495" s="1077"/>
      <c r="BI495" s="1078">
        <v>0.8</v>
      </c>
      <c r="BJ495" s="1077">
        <v>1.9</v>
      </c>
      <c r="BK495" s="1077">
        <v>3.7</v>
      </c>
      <c r="BL495" s="1077">
        <v>6.6</v>
      </c>
      <c r="BM495" s="1077">
        <v>10.8</v>
      </c>
      <c r="BN495" s="1079"/>
      <c r="BO495" s="1080"/>
      <c r="BP495" s="1080"/>
      <c r="BQ495" s="1080"/>
      <c r="BR495" s="1080"/>
      <c r="BS495" s="1081"/>
      <c r="BT495" s="1080"/>
      <c r="BU495" s="1080"/>
      <c r="BV495" s="1080"/>
      <c r="BW495" s="1082"/>
      <c r="BX495" s="1081"/>
      <c r="BY495" s="1080"/>
      <c r="BZ495" s="1080"/>
      <c r="CA495" s="1080"/>
      <c r="CB495" s="1082"/>
      <c r="CC495" s="1083"/>
      <c r="CD495" s="1084" t="s">
        <v>168</v>
      </c>
      <c r="CE495" s="1085" t="s">
        <v>168</v>
      </c>
      <c r="CF495" s="1085" t="s">
        <v>168</v>
      </c>
      <c r="CG495" s="1085" t="s">
        <v>168</v>
      </c>
      <c r="CH495" s="1086" t="s">
        <v>168</v>
      </c>
      <c r="CI495" s="1089" t="s">
        <v>1942</v>
      </c>
      <c r="CJ495" s="1087" t="s">
        <v>1942</v>
      </c>
      <c r="CK495" s="1087" t="s">
        <v>1942</v>
      </c>
      <c r="CL495" s="1087" t="s">
        <v>1942</v>
      </c>
      <c r="CM495" s="1088" t="s">
        <v>1942</v>
      </c>
      <c r="CN495" s="1089">
        <v>-5</v>
      </c>
      <c r="CO495" s="1087">
        <v>-5</v>
      </c>
      <c r="CP495" s="1087">
        <v>-5</v>
      </c>
      <c r="CQ495" s="1087">
        <v>-5</v>
      </c>
      <c r="CR495" s="1088">
        <v>-5</v>
      </c>
      <c r="CS495" s="1079" t="s">
        <v>1942</v>
      </c>
      <c r="CT495" s="1080" t="s">
        <v>1942</v>
      </c>
      <c r="CU495" s="1080" t="s">
        <v>1942</v>
      </c>
      <c r="CV495" s="1080" t="s">
        <v>1942</v>
      </c>
      <c r="CW495" s="1083" t="s">
        <v>1942</v>
      </c>
      <c r="CX495" s="1079" t="s">
        <v>1942</v>
      </c>
      <c r="CY495" s="1080" t="s">
        <v>1942</v>
      </c>
      <c r="CZ495" s="1080" t="s">
        <v>1942</v>
      </c>
      <c r="DA495" s="1080" t="s">
        <v>1942</v>
      </c>
      <c r="DB495" s="1083" t="s">
        <v>1942</v>
      </c>
      <c r="DC495" s="1080">
        <v>2.5</v>
      </c>
      <c r="DD495" s="1080">
        <v>5.0999999999999996</v>
      </c>
      <c r="DE495" s="1080">
        <v>8.9</v>
      </c>
      <c r="DF495" s="1080">
        <v>13.2</v>
      </c>
      <c r="DG495" s="1083">
        <v>17.2</v>
      </c>
      <c r="DH495" s="1089" t="s">
        <v>1942</v>
      </c>
      <c r="DI495" s="1080" t="s">
        <v>1942</v>
      </c>
      <c r="DJ495" s="1080" t="s">
        <v>1942</v>
      </c>
      <c r="DK495" s="1080" t="s">
        <v>1942</v>
      </c>
      <c r="DL495" s="1083" t="s">
        <v>1942</v>
      </c>
      <c r="DM495" s="1091">
        <v>-0.17499999999999999</v>
      </c>
      <c r="DN495" s="1092" t="s">
        <v>1942</v>
      </c>
      <c r="DO495" s="1092" t="s">
        <v>1942</v>
      </c>
      <c r="DP495" s="1093" t="s">
        <v>1942</v>
      </c>
      <c r="DQ495" s="1092">
        <v>0.14599999999999999</v>
      </c>
      <c r="DR495" s="1092" t="s">
        <v>1942</v>
      </c>
      <c r="DS495" s="1092" t="s">
        <v>1942</v>
      </c>
      <c r="DT495" s="1093" t="s">
        <v>1942</v>
      </c>
      <c r="DU495" s="1085" t="s">
        <v>131</v>
      </c>
      <c r="DV495" s="1094">
        <v>1</v>
      </c>
      <c r="DW495" s="1095" t="s">
        <v>1942</v>
      </c>
    </row>
    <row r="496" spans="1:127" s="397" customFormat="1" ht="15.75" hidden="1" customHeight="1">
      <c r="A496" s="1097" t="s">
        <v>1050</v>
      </c>
      <c r="B496" s="1057">
        <v>487</v>
      </c>
      <c r="C496" s="1018"/>
      <c r="D496" s="1018"/>
      <c r="E496" s="1018"/>
      <c r="F496" s="1018"/>
      <c r="G496" s="1018"/>
      <c r="H496" s="1018"/>
      <c r="I496" s="1018"/>
      <c r="J496" s="1018"/>
      <c r="K496" s="1018"/>
      <c r="L496" s="1018"/>
      <c r="M496" s="1057"/>
      <c r="N496" s="1018"/>
      <c r="O496" s="1018"/>
      <c r="P496" s="1018"/>
      <c r="Q496" s="1018"/>
      <c r="R496" s="1018"/>
      <c r="S496" s="1018"/>
      <c r="T496" s="1019"/>
      <c r="U496" s="1098" t="s">
        <v>4015</v>
      </c>
      <c r="V496" s="1099" t="s">
        <v>4012</v>
      </c>
      <c r="W496" s="1099" t="s">
        <v>1889</v>
      </c>
      <c r="X496" s="1100" t="s">
        <v>4016</v>
      </c>
      <c r="Y496" s="1101" t="s">
        <v>161</v>
      </c>
      <c r="Z496" s="1102" t="s">
        <v>3988</v>
      </c>
      <c r="AA496" s="1103" t="s">
        <v>1942</v>
      </c>
      <c r="AB496" s="1104">
        <v>1</v>
      </c>
      <c r="AC496" s="1104" t="s">
        <v>1942</v>
      </c>
      <c r="AD496" s="1104" t="s">
        <v>1942</v>
      </c>
      <c r="AE496" s="1104" t="s">
        <v>1942</v>
      </c>
      <c r="AF496" s="1104" t="s">
        <v>1942</v>
      </c>
      <c r="AG496" s="1104" t="s">
        <v>1942</v>
      </c>
      <c r="AH496" s="1104" t="s">
        <v>1942</v>
      </c>
      <c r="AI496" s="1105">
        <f t="shared" si="7"/>
        <v>1</v>
      </c>
      <c r="AJ496" s="1106" t="s">
        <v>1030</v>
      </c>
      <c r="AK496" s="1106" t="s">
        <v>1008</v>
      </c>
      <c r="AL496" s="1106" t="s">
        <v>1009</v>
      </c>
      <c r="AM496" s="1107" t="s">
        <v>2074</v>
      </c>
      <c r="AN496" s="1018" t="s">
        <v>2177</v>
      </c>
      <c r="AO496" s="1018" t="s">
        <v>4794</v>
      </c>
      <c r="AP496" s="1307">
        <v>1</v>
      </c>
      <c r="AQ496" s="1076" t="s">
        <v>1020</v>
      </c>
      <c r="AR496" s="1109" t="s">
        <v>161</v>
      </c>
      <c r="AS496" s="1110"/>
      <c r="AT496" s="1100"/>
      <c r="AU496" s="1100"/>
      <c r="AV496" s="1100"/>
      <c r="AW496" s="1111"/>
      <c r="AX496" s="1112"/>
      <c r="AY496" s="1075"/>
      <c r="AZ496" s="1076"/>
      <c r="BA496" s="1076"/>
      <c r="BB496" s="1076"/>
      <c r="BC496" s="1076"/>
      <c r="BD496" s="1076"/>
      <c r="BE496" s="1076"/>
      <c r="BF496" s="1076"/>
      <c r="BG496" s="1113"/>
      <c r="BH496" s="1113"/>
      <c r="BI496" s="1114">
        <v>119.9</v>
      </c>
      <c r="BJ496" s="1113">
        <v>118.2</v>
      </c>
      <c r="BK496" s="1113">
        <v>116.6</v>
      </c>
      <c r="BL496" s="1113">
        <v>114.9</v>
      </c>
      <c r="BM496" s="1113">
        <v>113.3</v>
      </c>
      <c r="BN496" s="1075"/>
      <c r="BO496" s="1076"/>
      <c r="BP496" s="1076"/>
      <c r="BQ496" s="1076"/>
      <c r="BR496" s="1076"/>
      <c r="BS496" s="1115"/>
      <c r="BT496" s="1076"/>
      <c r="BU496" s="1076"/>
      <c r="BV496" s="1076"/>
      <c r="BW496" s="1116"/>
      <c r="BX496" s="1115"/>
      <c r="BY496" s="1076"/>
      <c r="BZ496" s="1076"/>
      <c r="CA496" s="1076"/>
      <c r="CB496" s="1116"/>
      <c r="CC496" s="1117"/>
      <c r="CD496" s="1118" t="s">
        <v>168</v>
      </c>
      <c r="CE496" s="1119" t="s">
        <v>168</v>
      </c>
      <c r="CF496" s="1119" t="s">
        <v>168</v>
      </c>
      <c r="CG496" s="1119" t="s">
        <v>168</v>
      </c>
      <c r="CH496" s="1120" t="s">
        <v>168</v>
      </c>
      <c r="CI496" s="1075" t="s">
        <v>1942</v>
      </c>
      <c r="CJ496" s="1076" t="s">
        <v>1942</v>
      </c>
      <c r="CK496" s="1076" t="s">
        <v>1942</v>
      </c>
      <c r="CL496" s="1076" t="s">
        <v>1942</v>
      </c>
      <c r="CM496" s="1117" t="s">
        <v>1942</v>
      </c>
      <c r="CN496" s="1075">
        <v>167.9</v>
      </c>
      <c r="CO496" s="1076">
        <v>167.9</v>
      </c>
      <c r="CP496" s="1076">
        <v>167.9</v>
      </c>
      <c r="CQ496" s="1076">
        <v>167.9</v>
      </c>
      <c r="CR496" s="1117">
        <v>167.9</v>
      </c>
      <c r="CS496" s="1075" t="s">
        <v>1942</v>
      </c>
      <c r="CT496" s="1076" t="s">
        <v>1942</v>
      </c>
      <c r="CU496" s="1076" t="s">
        <v>1942</v>
      </c>
      <c r="CV496" s="1076" t="s">
        <v>1942</v>
      </c>
      <c r="CW496" s="1117" t="s">
        <v>1942</v>
      </c>
      <c r="CX496" s="1075" t="s">
        <v>1942</v>
      </c>
      <c r="CY496" s="1076" t="s">
        <v>1942</v>
      </c>
      <c r="CZ496" s="1076" t="s">
        <v>1942</v>
      </c>
      <c r="DA496" s="1076" t="s">
        <v>1942</v>
      </c>
      <c r="DB496" s="1117" t="s">
        <v>1942</v>
      </c>
      <c r="DC496" s="1076">
        <v>89.9</v>
      </c>
      <c r="DD496" s="1375">
        <v>88.3</v>
      </c>
      <c r="DE496" s="1076">
        <v>86.6</v>
      </c>
      <c r="DF496" s="1076">
        <v>84.9</v>
      </c>
      <c r="DG496" s="1117">
        <v>83.3</v>
      </c>
      <c r="DH496" s="1075" t="s">
        <v>1942</v>
      </c>
      <c r="DI496" s="1076" t="s">
        <v>1942</v>
      </c>
      <c r="DJ496" s="1076" t="s">
        <v>1942</v>
      </c>
      <c r="DK496" s="1076" t="s">
        <v>1942</v>
      </c>
      <c r="DL496" s="1117" t="s">
        <v>1942</v>
      </c>
      <c r="DM496" s="1121">
        <v>-0.23499999999999999</v>
      </c>
      <c r="DN496" s="1122" t="s">
        <v>1942</v>
      </c>
      <c r="DO496" s="1122" t="s">
        <v>1942</v>
      </c>
      <c r="DP496" s="1123" t="s">
        <v>1942</v>
      </c>
      <c r="DQ496" s="1122">
        <v>0.13200000000000001</v>
      </c>
      <c r="DR496" s="1122" t="s">
        <v>1942</v>
      </c>
      <c r="DS496" s="1122" t="s">
        <v>1942</v>
      </c>
      <c r="DT496" s="1123" t="s">
        <v>1942</v>
      </c>
      <c r="DU496" s="1119" t="s">
        <v>1942</v>
      </c>
      <c r="DV496" s="1124">
        <v>1</v>
      </c>
      <c r="DW496" s="1125" t="s">
        <v>1942</v>
      </c>
    </row>
    <row r="497" spans="1:127" s="397" customFormat="1" ht="15.75" hidden="1" customHeight="1">
      <c r="A497" s="1097" t="s">
        <v>1050</v>
      </c>
      <c r="B497" s="1057">
        <v>488</v>
      </c>
      <c r="C497" s="1018"/>
      <c r="D497" s="1018"/>
      <c r="E497" s="1018"/>
      <c r="F497" s="1018"/>
      <c r="G497" s="1018"/>
      <c r="H497" s="1018"/>
      <c r="I497" s="1018"/>
      <c r="J497" s="1018"/>
      <c r="K497" s="1018"/>
      <c r="L497" s="1018"/>
      <c r="M497" s="1057"/>
      <c r="N497" s="1018"/>
      <c r="O497" s="1018"/>
      <c r="P497" s="1018"/>
      <c r="Q497" s="1018"/>
      <c r="R497" s="1018"/>
      <c r="S497" s="1018"/>
      <c r="T497" s="1019"/>
      <c r="U497" s="1098" t="s">
        <v>4018</v>
      </c>
      <c r="V497" s="1099" t="s">
        <v>4012</v>
      </c>
      <c r="W497" s="1099" t="s">
        <v>1889</v>
      </c>
      <c r="X497" s="1100" t="s">
        <v>4019</v>
      </c>
      <c r="Y497" s="1101" t="s">
        <v>137</v>
      </c>
      <c r="Z497" s="1102" t="s">
        <v>3988</v>
      </c>
      <c r="AA497" s="1103" t="s">
        <v>1942</v>
      </c>
      <c r="AB497" s="1104">
        <v>1</v>
      </c>
      <c r="AC497" s="1104" t="s">
        <v>1942</v>
      </c>
      <c r="AD497" s="1104" t="s">
        <v>1942</v>
      </c>
      <c r="AE497" s="1104" t="s">
        <v>1942</v>
      </c>
      <c r="AF497" s="1104" t="s">
        <v>1942</v>
      </c>
      <c r="AG497" s="1104" t="s">
        <v>1942</v>
      </c>
      <c r="AH497" s="1104" t="s">
        <v>1942</v>
      </c>
      <c r="AI497" s="1105">
        <f t="shared" si="7"/>
        <v>1</v>
      </c>
      <c r="AJ497" s="1106" t="s">
        <v>1030</v>
      </c>
      <c r="AK497" s="1106" t="s">
        <v>1008</v>
      </c>
      <c r="AL497" s="1106" t="s">
        <v>1009</v>
      </c>
      <c r="AM497" s="1107" t="s">
        <v>1892</v>
      </c>
      <c r="AN497" s="1018" t="s">
        <v>4789</v>
      </c>
      <c r="AO497" s="1018" t="s">
        <v>4790</v>
      </c>
      <c r="AP497" s="1307">
        <v>0</v>
      </c>
      <c r="AQ497" s="1076" t="s">
        <v>1020</v>
      </c>
      <c r="AR497" s="1109" t="s">
        <v>137</v>
      </c>
      <c r="AS497" s="1110"/>
      <c r="AT497" s="1100"/>
      <c r="AU497" s="1100"/>
      <c r="AV497" s="1100"/>
      <c r="AW497" s="1111"/>
      <c r="AX497" s="1112"/>
      <c r="AY497" s="1075"/>
      <c r="AZ497" s="1076"/>
      <c r="BA497" s="1076"/>
      <c r="BB497" s="1076"/>
      <c r="BC497" s="1076"/>
      <c r="BD497" s="1076"/>
      <c r="BE497" s="1076"/>
      <c r="BF497" s="1076"/>
      <c r="BG497" s="1150"/>
      <c r="BH497" s="1150"/>
      <c r="BI497" s="1149">
        <v>4.5138888888888893E-3</v>
      </c>
      <c r="BJ497" s="1150">
        <v>4.2592592592592595E-3</v>
      </c>
      <c r="BK497" s="1150">
        <v>3.9930555555555561E-3</v>
      </c>
      <c r="BL497" s="1150">
        <v>3.7384259259259263E-3</v>
      </c>
      <c r="BM497" s="1150">
        <v>3.472222222222222E-3</v>
      </c>
      <c r="BN497" s="1075"/>
      <c r="BO497" s="1076"/>
      <c r="BP497" s="1076"/>
      <c r="BQ497" s="1076"/>
      <c r="BR497" s="1076"/>
      <c r="BS497" s="1115"/>
      <c r="BT497" s="1076"/>
      <c r="BU497" s="1076"/>
      <c r="BV497" s="1076"/>
      <c r="BW497" s="1116"/>
      <c r="BX497" s="1115"/>
      <c r="BY497" s="1076"/>
      <c r="BZ497" s="1076"/>
      <c r="CA497" s="1076"/>
      <c r="CB497" s="1116"/>
      <c r="CC497" s="1117"/>
      <c r="CD497" s="1118" t="s">
        <v>168</v>
      </c>
      <c r="CE497" s="1119" t="s">
        <v>168</v>
      </c>
      <c r="CF497" s="1119" t="s">
        <v>168</v>
      </c>
      <c r="CG497" s="1119" t="s">
        <v>168</v>
      </c>
      <c r="CH497" s="1120" t="s">
        <v>168</v>
      </c>
      <c r="CI497" s="1149" t="s">
        <v>1942</v>
      </c>
      <c r="CJ497" s="1150" t="s">
        <v>1942</v>
      </c>
      <c r="CK497" s="1150" t="s">
        <v>1942</v>
      </c>
      <c r="CL497" s="1150" t="s">
        <v>1942</v>
      </c>
      <c r="CM497" s="1153" t="s">
        <v>1942</v>
      </c>
      <c r="CN497" s="1149">
        <v>1.5798611111111114E-2</v>
      </c>
      <c r="CO497" s="1150">
        <v>1.5798611111111114E-2</v>
      </c>
      <c r="CP497" s="1150">
        <v>1.5798611111111114E-2</v>
      </c>
      <c r="CQ497" s="1150">
        <v>1.5798611111111114E-2</v>
      </c>
      <c r="CR497" s="1153">
        <v>1.5798611111111114E-2</v>
      </c>
      <c r="CS497" s="1149" t="s">
        <v>1942</v>
      </c>
      <c r="CT497" s="1150" t="s">
        <v>1942</v>
      </c>
      <c r="CU497" s="1150" t="s">
        <v>1942</v>
      </c>
      <c r="CV497" s="1150" t="s">
        <v>1942</v>
      </c>
      <c r="CW497" s="1153" t="s">
        <v>1942</v>
      </c>
      <c r="CX497" s="1149" t="s">
        <v>1942</v>
      </c>
      <c r="CY497" s="1150" t="s">
        <v>1942</v>
      </c>
      <c r="CZ497" s="1150" t="s">
        <v>1942</v>
      </c>
      <c r="DA497" s="1150" t="s">
        <v>1942</v>
      </c>
      <c r="DB497" s="1153" t="s">
        <v>1942</v>
      </c>
      <c r="DC497" s="1150">
        <v>2.4305555555555556E-3</v>
      </c>
      <c r="DD497" s="1150">
        <v>2.3263888888888891E-3</v>
      </c>
      <c r="DE497" s="1150">
        <v>2.2106481481481491E-3</v>
      </c>
      <c r="DF497" s="1150">
        <v>2.1064814814814817E-3</v>
      </c>
      <c r="DG497" s="1153">
        <v>2.0138888888888888E-3</v>
      </c>
      <c r="DH497" s="1149" t="s">
        <v>1942</v>
      </c>
      <c r="DI497" s="1150" t="s">
        <v>1942</v>
      </c>
      <c r="DJ497" s="1150" t="s">
        <v>1942</v>
      </c>
      <c r="DK497" s="1150" t="s">
        <v>1942</v>
      </c>
      <c r="DL497" s="1153" t="s">
        <v>1942</v>
      </c>
      <c r="DM497" s="1121">
        <v>-0.93600000000000005</v>
      </c>
      <c r="DN497" s="1122" t="s">
        <v>1942</v>
      </c>
      <c r="DO497" s="1122" t="s">
        <v>1942</v>
      </c>
      <c r="DP497" s="1123" t="s">
        <v>1942</v>
      </c>
      <c r="DQ497" s="1122">
        <v>0.93600000000000005</v>
      </c>
      <c r="DR497" s="1122" t="s">
        <v>1942</v>
      </c>
      <c r="DS497" s="1122" t="s">
        <v>1942</v>
      </c>
      <c r="DT497" s="1123" t="s">
        <v>1942</v>
      </c>
      <c r="DU497" s="1119" t="s">
        <v>131</v>
      </c>
      <c r="DV497" s="1124">
        <v>1</v>
      </c>
      <c r="DW497" s="1125" t="s">
        <v>1942</v>
      </c>
    </row>
    <row r="498" spans="1:127" s="397" customFormat="1" ht="15.75" hidden="1" customHeight="1">
      <c r="A498" s="1097" t="s">
        <v>1050</v>
      </c>
      <c r="B498" s="1057">
        <v>489</v>
      </c>
      <c r="C498" s="1018"/>
      <c r="D498" s="1018"/>
      <c r="E498" s="1018"/>
      <c r="F498" s="1018"/>
      <c r="G498" s="1018"/>
      <c r="H498" s="1018"/>
      <c r="I498" s="1018"/>
      <c r="J498" s="1018"/>
      <c r="K498" s="1018"/>
      <c r="L498" s="1018"/>
      <c r="M498" s="1057"/>
      <c r="N498" s="1018"/>
      <c r="O498" s="1018"/>
      <c r="P498" s="1018"/>
      <c r="Q498" s="1018"/>
      <c r="R498" s="1018"/>
      <c r="S498" s="1018"/>
      <c r="T498" s="1019"/>
      <c r="U498" s="1098" t="s">
        <v>4021</v>
      </c>
      <c r="V498" s="1099" t="s">
        <v>4012</v>
      </c>
      <c r="W498" s="1099" t="s">
        <v>1907</v>
      </c>
      <c r="X498" s="1100" t="s">
        <v>4022</v>
      </c>
      <c r="Y498" s="1101" t="s">
        <v>167</v>
      </c>
      <c r="Z498" s="1102" t="s">
        <v>3988</v>
      </c>
      <c r="AA498" s="1103">
        <v>0.05</v>
      </c>
      <c r="AB498" s="1104">
        <v>0.95</v>
      </c>
      <c r="AC498" s="1104" t="s">
        <v>1942</v>
      </c>
      <c r="AD498" s="1104" t="s">
        <v>1942</v>
      </c>
      <c r="AE498" s="1104" t="s">
        <v>1942</v>
      </c>
      <c r="AF498" s="1104" t="s">
        <v>1942</v>
      </c>
      <c r="AG498" s="1104" t="s">
        <v>1942</v>
      </c>
      <c r="AH498" s="1104" t="s">
        <v>1942</v>
      </c>
      <c r="AI498" s="1105">
        <f t="shared" si="7"/>
        <v>1</v>
      </c>
      <c r="AJ498" s="1106" t="s">
        <v>1026</v>
      </c>
      <c r="AK498" s="1106" t="s">
        <v>1008</v>
      </c>
      <c r="AL498" s="1106" t="s">
        <v>1009</v>
      </c>
      <c r="AM498" s="1107" t="s">
        <v>1915</v>
      </c>
      <c r="AN498" s="1018" t="s">
        <v>278</v>
      </c>
      <c r="AO498" s="1018" t="s">
        <v>4793</v>
      </c>
      <c r="AP498" s="1307">
        <v>2</v>
      </c>
      <c r="AQ498" s="1076" t="s">
        <v>1020</v>
      </c>
      <c r="AR498" s="1109" t="s">
        <v>167</v>
      </c>
      <c r="AS498" s="1110"/>
      <c r="AT498" s="1100"/>
      <c r="AU498" s="1100"/>
      <c r="AV498" s="1100"/>
      <c r="AW498" s="1111"/>
      <c r="AX498" s="1112"/>
      <c r="AY498" s="1075"/>
      <c r="AZ498" s="1076"/>
      <c r="BA498" s="1076"/>
      <c r="BB498" s="1076"/>
      <c r="BC498" s="1076"/>
      <c r="BD498" s="1076"/>
      <c r="BE498" s="1076"/>
      <c r="BF498" s="1076"/>
      <c r="BG498" s="1126"/>
      <c r="BH498" s="1126"/>
      <c r="BI498" s="1127">
        <v>3.56</v>
      </c>
      <c r="BJ498" s="1126">
        <v>3.26</v>
      </c>
      <c r="BK498" s="1126">
        <v>2.95</v>
      </c>
      <c r="BL498" s="1126">
        <v>2.65</v>
      </c>
      <c r="BM498" s="1126">
        <v>2.34</v>
      </c>
      <c r="BN498" s="1075"/>
      <c r="BO498" s="1076"/>
      <c r="BP498" s="1076"/>
      <c r="BQ498" s="1076"/>
      <c r="BR498" s="1076"/>
      <c r="BS498" s="1115"/>
      <c r="BT498" s="1076"/>
      <c r="BU498" s="1076"/>
      <c r="BV498" s="1076"/>
      <c r="BW498" s="1116"/>
      <c r="BX498" s="1115"/>
      <c r="BY498" s="1076"/>
      <c r="BZ498" s="1076"/>
      <c r="CA498" s="1076"/>
      <c r="CB498" s="1116"/>
      <c r="CC498" s="1117"/>
      <c r="CD498" s="1118" t="s">
        <v>168</v>
      </c>
      <c r="CE498" s="1119" t="s">
        <v>168</v>
      </c>
      <c r="CF498" s="1119" t="s">
        <v>168</v>
      </c>
      <c r="CG498" s="1119" t="s">
        <v>168</v>
      </c>
      <c r="CH498" s="1120" t="s">
        <v>168</v>
      </c>
      <c r="CI498" s="1075" t="s">
        <v>1942</v>
      </c>
      <c r="CJ498" s="1076" t="s">
        <v>1942</v>
      </c>
      <c r="CK498" s="1076" t="s">
        <v>1942</v>
      </c>
      <c r="CL498" s="1076" t="s">
        <v>1942</v>
      </c>
      <c r="CM498" s="1117" t="s">
        <v>1942</v>
      </c>
      <c r="CN498" s="1075">
        <v>7.13</v>
      </c>
      <c r="CO498" s="1076">
        <v>7.13</v>
      </c>
      <c r="CP498" s="1076">
        <v>7.13</v>
      </c>
      <c r="CQ498" s="1076">
        <v>7.13</v>
      </c>
      <c r="CR498" s="1117">
        <v>7.13</v>
      </c>
      <c r="CS498" s="1075" t="s">
        <v>1942</v>
      </c>
      <c r="CT498" s="1076" t="s">
        <v>1942</v>
      </c>
      <c r="CU498" s="1076" t="s">
        <v>1942</v>
      </c>
      <c r="CV498" s="1076" t="s">
        <v>1942</v>
      </c>
      <c r="CW498" s="1117" t="s">
        <v>1942</v>
      </c>
      <c r="CX498" s="1075" t="s">
        <v>1942</v>
      </c>
      <c r="CY498" s="1076" t="s">
        <v>1942</v>
      </c>
      <c r="CZ498" s="1076" t="s">
        <v>1942</v>
      </c>
      <c r="DA498" s="1076" t="s">
        <v>1942</v>
      </c>
      <c r="DB498" s="1117" t="s">
        <v>1942</v>
      </c>
      <c r="DC498" s="1076" t="s">
        <v>1942</v>
      </c>
      <c r="DD498" s="1076" t="s">
        <v>1942</v>
      </c>
      <c r="DE498" s="1076" t="s">
        <v>1942</v>
      </c>
      <c r="DF498" s="1076" t="s">
        <v>1942</v>
      </c>
      <c r="DG498" s="1117" t="s">
        <v>1942</v>
      </c>
      <c r="DH498" s="1075" t="s">
        <v>1942</v>
      </c>
      <c r="DI498" s="1076" t="s">
        <v>1942</v>
      </c>
      <c r="DJ498" s="1076" t="s">
        <v>1942</v>
      </c>
      <c r="DK498" s="1076" t="s">
        <v>1942</v>
      </c>
      <c r="DL498" s="1117" t="s">
        <v>1942</v>
      </c>
      <c r="DM498" s="1121">
        <v>-2.7029999999999998</v>
      </c>
      <c r="DN498" s="1122" t="s">
        <v>1942</v>
      </c>
      <c r="DO498" s="1122" t="s">
        <v>1942</v>
      </c>
      <c r="DP498" s="1123" t="s">
        <v>1942</v>
      </c>
      <c r="DQ498" s="1122" t="s">
        <v>1942</v>
      </c>
      <c r="DR498" s="1122" t="s">
        <v>1942</v>
      </c>
      <c r="DS498" s="1122" t="s">
        <v>1942</v>
      </c>
      <c r="DT498" s="1123" t="s">
        <v>1942</v>
      </c>
      <c r="DU498" s="1119" t="s">
        <v>1942</v>
      </c>
      <c r="DV498" s="1124">
        <v>1</v>
      </c>
      <c r="DW498" s="1125" t="s">
        <v>1942</v>
      </c>
    </row>
    <row r="499" spans="1:127" s="397" customFormat="1" ht="15.75" hidden="1" customHeight="1">
      <c r="A499" s="1054" t="s">
        <v>1050</v>
      </c>
      <c r="B499" s="1055">
        <v>490</v>
      </c>
      <c r="C499" s="1143"/>
      <c r="D499" s="1143"/>
      <c r="E499" s="1143"/>
      <c r="F499" s="1143"/>
      <c r="G499" s="1143"/>
      <c r="H499" s="1143"/>
      <c r="I499" s="1143"/>
      <c r="J499" s="1143"/>
      <c r="K499" s="1143"/>
      <c r="L499" s="1143"/>
      <c r="M499" s="1055"/>
      <c r="N499" s="1143"/>
      <c r="O499" s="1143"/>
      <c r="P499" s="1143"/>
      <c r="Q499" s="1143"/>
      <c r="R499" s="1143"/>
      <c r="S499" s="1143"/>
      <c r="T499" s="1058"/>
      <c r="U499" s="1059" t="s">
        <v>4024</v>
      </c>
      <c r="V499" s="1060" t="s">
        <v>4012</v>
      </c>
      <c r="W499" s="1060" t="s">
        <v>1907</v>
      </c>
      <c r="X499" s="1061" t="s">
        <v>4025</v>
      </c>
      <c r="Y499" s="1062" t="s">
        <v>1902</v>
      </c>
      <c r="Z499" s="1063" t="s">
        <v>3988</v>
      </c>
      <c r="AA499" s="1064" t="s">
        <v>1942</v>
      </c>
      <c r="AB499" s="1065">
        <v>1</v>
      </c>
      <c r="AC499" s="1065" t="s">
        <v>1942</v>
      </c>
      <c r="AD499" s="1065" t="s">
        <v>1942</v>
      </c>
      <c r="AE499" s="1065" t="s">
        <v>1942</v>
      </c>
      <c r="AF499" s="1065" t="s">
        <v>1942</v>
      </c>
      <c r="AG499" s="1065" t="s">
        <v>1942</v>
      </c>
      <c r="AH499" s="1065" t="s">
        <v>1942</v>
      </c>
      <c r="AI499" s="1066">
        <f t="shared" si="7"/>
        <v>1</v>
      </c>
      <c r="AJ499" s="1067" t="s">
        <v>1030</v>
      </c>
      <c r="AK499" s="1067" t="s">
        <v>1008</v>
      </c>
      <c r="AL499" s="1440" t="s">
        <v>1019</v>
      </c>
      <c r="AM499" s="1068" t="s">
        <v>2054</v>
      </c>
      <c r="AN499" s="1062" t="s">
        <v>278</v>
      </c>
      <c r="AO499" s="1062" t="s">
        <v>4791</v>
      </c>
      <c r="AP499" s="1306">
        <v>1</v>
      </c>
      <c r="AQ499" s="833" t="s">
        <v>1010</v>
      </c>
      <c r="AR499" s="1071" t="s">
        <v>1902</v>
      </c>
      <c r="AS499" s="1072"/>
      <c r="AT499" s="1061"/>
      <c r="AU499" s="1061"/>
      <c r="AV499" s="1061"/>
      <c r="AW499" s="1073"/>
      <c r="AX499" s="1074"/>
      <c r="AY499" s="1079"/>
      <c r="AZ499" s="1080"/>
      <c r="BA499" s="1080"/>
      <c r="BB499" s="1080"/>
      <c r="BC499" s="1080"/>
      <c r="BD499" s="1080"/>
      <c r="BE499" s="1080"/>
      <c r="BF499" s="1080"/>
      <c r="BG499" s="1077"/>
      <c r="BH499" s="1077"/>
      <c r="BI499" s="1078">
        <v>1.3</v>
      </c>
      <c r="BJ499" s="1077">
        <v>2.6</v>
      </c>
      <c r="BK499" s="1077">
        <v>3.9</v>
      </c>
      <c r="BL499" s="1077">
        <v>5.0999999999999996</v>
      </c>
      <c r="BM499" s="1077">
        <v>6.3</v>
      </c>
      <c r="BN499" s="1079"/>
      <c r="BO499" s="1080"/>
      <c r="BP499" s="1080"/>
      <c r="BQ499" s="1080"/>
      <c r="BR499" s="1080"/>
      <c r="BS499" s="1081"/>
      <c r="BT499" s="1080"/>
      <c r="BU499" s="1080"/>
      <c r="BV499" s="1080"/>
      <c r="BW499" s="1082"/>
      <c r="BX499" s="1081"/>
      <c r="BY499" s="1080"/>
      <c r="BZ499" s="1080"/>
      <c r="CA499" s="1080"/>
      <c r="CB499" s="1082"/>
      <c r="CC499" s="1083"/>
      <c r="CD499" s="1084" t="s">
        <v>168</v>
      </c>
      <c r="CE499" s="1085" t="s">
        <v>168</v>
      </c>
      <c r="CF499" s="1085" t="s">
        <v>168</v>
      </c>
      <c r="CG499" s="1085" t="s">
        <v>168</v>
      </c>
      <c r="CH499" s="1086" t="s">
        <v>168</v>
      </c>
      <c r="CI499" s="1089" t="s">
        <v>1942</v>
      </c>
      <c r="CJ499" s="1087" t="s">
        <v>1942</v>
      </c>
      <c r="CK499" s="1087" t="s">
        <v>1942</v>
      </c>
      <c r="CL499" s="1087" t="s">
        <v>1942</v>
      </c>
      <c r="CM499" s="1088" t="s">
        <v>1942</v>
      </c>
      <c r="CN499" s="1089" t="s">
        <v>1942</v>
      </c>
      <c r="CO499" s="1087" t="s">
        <v>1942</v>
      </c>
      <c r="CP499" s="1087" t="s">
        <v>1942</v>
      </c>
      <c r="CQ499" s="1087" t="s">
        <v>1942</v>
      </c>
      <c r="CR499" s="1088" t="s">
        <v>1942</v>
      </c>
      <c r="CS499" s="1079" t="s">
        <v>1942</v>
      </c>
      <c r="CT499" s="1080" t="s">
        <v>1942</v>
      </c>
      <c r="CU499" s="1080" t="s">
        <v>1942</v>
      </c>
      <c r="CV499" s="1080" t="s">
        <v>1942</v>
      </c>
      <c r="CW499" s="1083" t="s">
        <v>1942</v>
      </c>
      <c r="CX499" s="1079" t="s">
        <v>1942</v>
      </c>
      <c r="CY499" s="1080" t="s">
        <v>1942</v>
      </c>
      <c r="CZ499" s="1080" t="s">
        <v>1942</v>
      </c>
      <c r="DA499" s="1080" t="s">
        <v>1942</v>
      </c>
      <c r="DB499" s="1083" t="s">
        <v>1942</v>
      </c>
      <c r="DC499" s="1080" t="s">
        <v>1942</v>
      </c>
      <c r="DD499" s="1080" t="s">
        <v>1942</v>
      </c>
      <c r="DE499" s="1080" t="s">
        <v>1942</v>
      </c>
      <c r="DF499" s="1080" t="s">
        <v>1942</v>
      </c>
      <c r="DG499" s="1083" t="s">
        <v>1942</v>
      </c>
      <c r="DH499" s="1089" t="s">
        <v>1942</v>
      </c>
      <c r="DI499" s="1080" t="s">
        <v>1942</v>
      </c>
      <c r="DJ499" s="1080" t="s">
        <v>1942</v>
      </c>
      <c r="DK499" s="1080" t="s">
        <v>1942</v>
      </c>
      <c r="DL499" s="1083" t="s">
        <v>1942</v>
      </c>
      <c r="DM499" s="1091">
        <v>-0.39600000000000002</v>
      </c>
      <c r="DN499" s="1092" t="s">
        <v>1942</v>
      </c>
      <c r="DO499" s="1092" t="s">
        <v>1942</v>
      </c>
      <c r="DP499" s="1093" t="s">
        <v>1942</v>
      </c>
      <c r="DQ499" s="1092">
        <v>0.33</v>
      </c>
      <c r="DR499" s="1092" t="s">
        <v>1942</v>
      </c>
      <c r="DS499" s="1092" t="s">
        <v>1942</v>
      </c>
      <c r="DT499" s="1093" t="s">
        <v>1942</v>
      </c>
      <c r="DU499" s="1085" t="s">
        <v>1942</v>
      </c>
      <c r="DV499" s="1094">
        <v>1</v>
      </c>
      <c r="DW499" s="1095" t="s">
        <v>1942</v>
      </c>
    </row>
    <row r="500" spans="1:127" s="397" customFormat="1" ht="15.75" hidden="1" customHeight="1">
      <c r="A500" s="1097" t="s">
        <v>1050</v>
      </c>
      <c r="B500" s="1057">
        <v>491</v>
      </c>
      <c r="C500" s="1018"/>
      <c r="D500" s="1018"/>
      <c r="E500" s="1018"/>
      <c r="F500" s="1018"/>
      <c r="G500" s="1018"/>
      <c r="H500" s="1018"/>
      <c r="I500" s="1018"/>
      <c r="J500" s="1018"/>
      <c r="K500" s="1018"/>
      <c r="L500" s="1018"/>
      <c r="M500" s="1057"/>
      <c r="N500" s="1018"/>
      <c r="O500" s="1018"/>
      <c r="P500" s="1018"/>
      <c r="Q500" s="1018"/>
      <c r="R500" s="1018"/>
      <c r="S500" s="1018"/>
      <c r="T500" s="1019"/>
      <c r="U500" s="1098" t="s">
        <v>4026</v>
      </c>
      <c r="V500" s="1099" t="s">
        <v>4012</v>
      </c>
      <c r="W500" s="1099" t="s">
        <v>1907</v>
      </c>
      <c r="X500" s="1100" t="s">
        <v>4027</v>
      </c>
      <c r="Y500" s="1101" t="s">
        <v>535</v>
      </c>
      <c r="Z500" s="1102" t="s">
        <v>3988</v>
      </c>
      <c r="AA500" s="1103">
        <v>0.5</v>
      </c>
      <c r="AB500" s="1104">
        <v>0.5</v>
      </c>
      <c r="AC500" s="1104" t="s">
        <v>1942</v>
      </c>
      <c r="AD500" s="1104" t="s">
        <v>1942</v>
      </c>
      <c r="AE500" s="1104" t="s">
        <v>1942</v>
      </c>
      <c r="AF500" s="1104" t="s">
        <v>1942</v>
      </c>
      <c r="AG500" s="1104" t="s">
        <v>1942</v>
      </c>
      <c r="AH500" s="1104" t="s">
        <v>1942</v>
      </c>
      <c r="AI500" s="1105">
        <f t="shared" si="7"/>
        <v>1</v>
      </c>
      <c r="AJ500" s="1106" t="s">
        <v>1007</v>
      </c>
      <c r="AK500" s="1106" t="s">
        <v>1942</v>
      </c>
      <c r="AL500" s="1106" t="s">
        <v>1942</v>
      </c>
      <c r="AM500" s="1107" t="s">
        <v>1910</v>
      </c>
      <c r="AN500" s="1018" t="s">
        <v>278</v>
      </c>
      <c r="AO500" s="1018" t="s">
        <v>4792</v>
      </c>
      <c r="AP500" s="1307">
        <v>1</v>
      </c>
      <c r="AQ500" s="1076" t="s">
        <v>1020</v>
      </c>
      <c r="AR500" s="1109" t="s">
        <v>535</v>
      </c>
      <c r="AS500" s="1110"/>
      <c r="AT500" s="1100"/>
      <c r="AU500" s="1100"/>
      <c r="AV500" s="1100"/>
      <c r="AW500" s="1111"/>
      <c r="AX500" s="1112"/>
      <c r="AY500" s="1075"/>
      <c r="AZ500" s="1076"/>
      <c r="BA500" s="1076"/>
      <c r="BB500" s="1076"/>
      <c r="BC500" s="1076"/>
      <c r="BD500" s="1076"/>
      <c r="BE500" s="1076"/>
      <c r="BF500" s="1076"/>
      <c r="BG500" s="1113"/>
      <c r="BH500" s="1113"/>
      <c r="BI500" s="1114">
        <v>0</v>
      </c>
      <c r="BJ500" s="1113">
        <v>0</v>
      </c>
      <c r="BK500" s="1113">
        <v>0</v>
      </c>
      <c r="BL500" s="1113">
        <v>0</v>
      </c>
      <c r="BM500" s="1113">
        <v>0</v>
      </c>
      <c r="BN500" s="1075"/>
      <c r="BO500" s="1076"/>
      <c r="BP500" s="1076"/>
      <c r="BQ500" s="1076"/>
      <c r="BR500" s="1076"/>
      <c r="BS500" s="1115"/>
      <c r="BT500" s="1076"/>
      <c r="BU500" s="1076"/>
      <c r="BV500" s="1076"/>
      <c r="BW500" s="1116"/>
      <c r="BX500" s="1115"/>
      <c r="BY500" s="1076"/>
      <c r="BZ500" s="1076"/>
      <c r="CA500" s="1076"/>
      <c r="CB500" s="1116"/>
      <c r="CC500" s="1117"/>
      <c r="CD500" s="1118" t="s">
        <v>1942</v>
      </c>
      <c r="CE500" s="1119" t="s">
        <v>1942</v>
      </c>
      <c r="CF500" s="1119" t="s">
        <v>1942</v>
      </c>
      <c r="CG500" s="1119" t="s">
        <v>1942</v>
      </c>
      <c r="CH500" s="1120" t="s">
        <v>1942</v>
      </c>
      <c r="CI500" s="1075" t="s">
        <v>1942</v>
      </c>
      <c r="CJ500" s="1076" t="s">
        <v>1942</v>
      </c>
      <c r="CK500" s="1076" t="s">
        <v>1942</v>
      </c>
      <c r="CL500" s="1076" t="s">
        <v>1942</v>
      </c>
      <c r="CM500" s="1117" t="s">
        <v>1942</v>
      </c>
      <c r="CN500" s="1075" t="s">
        <v>1942</v>
      </c>
      <c r="CO500" s="1076" t="s">
        <v>1942</v>
      </c>
      <c r="CP500" s="1076" t="s">
        <v>1942</v>
      </c>
      <c r="CQ500" s="1076" t="s">
        <v>1942</v>
      </c>
      <c r="CR500" s="1117" t="s">
        <v>1942</v>
      </c>
      <c r="CS500" s="1075" t="s">
        <v>1942</v>
      </c>
      <c r="CT500" s="1076" t="s">
        <v>1942</v>
      </c>
      <c r="CU500" s="1076" t="s">
        <v>1942</v>
      </c>
      <c r="CV500" s="1076" t="s">
        <v>1942</v>
      </c>
      <c r="CW500" s="1117" t="s">
        <v>1942</v>
      </c>
      <c r="CX500" s="1075" t="s">
        <v>1942</v>
      </c>
      <c r="CY500" s="1076" t="s">
        <v>1942</v>
      </c>
      <c r="CZ500" s="1076" t="s">
        <v>1942</v>
      </c>
      <c r="DA500" s="1076" t="s">
        <v>1942</v>
      </c>
      <c r="DB500" s="1117" t="s">
        <v>1942</v>
      </c>
      <c r="DC500" s="1076" t="s">
        <v>1942</v>
      </c>
      <c r="DD500" s="1076" t="s">
        <v>1942</v>
      </c>
      <c r="DE500" s="1076" t="s">
        <v>1942</v>
      </c>
      <c r="DF500" s="1076" t="s">
        <v>1942</v>
      </c>
      <c r="DG500" s="1117" t="s">
        <v>1942</v>
      </c>
      <c r="DH500" s="1075" t="s">
        <v>1942</v>
      </c>
      <c r="DI500" s="1076" t="s">
        <v>1942</v>
      </c>
      <c r="DJ500" s="1076" t="s">
        <v>1942</v>
      </c>
      <c r="DK500" s="1076" t="s">
        <v>1942</v>
      </c>
      <c r="DL500" s="1117" t="s">
        <v>1942</v>
      </c>
      <c r="DM500" s="1121" t="s">
        <v>1942</v>
      </c>
      <c r="DN500" s="1122" t="s">
        <v>1942</v>
      </c>
      <c r="DO500" s="1122" t="s">
        <v>1942</v>
      </c>
      <c r="DP500" s="1123" t="s">
        <v>1942</v>
      </c>
      <c r="DQ500" s="1122" t="s">
        <v>1942</v>
      </c>
      <c r="DR500" s="1122" t="s">
        <v>1942</v>
      </c>
      <c r="DS500" s="1122" t="s">
        <v>1942</v>
      </c>
      <c r="DT500" s="1123" t="s">
        <v>1942</v>
      </c>
      <c r="DU500" s="1119" t="s">
        <v>1942</v>
      </c>
      <c r="DV500" s="1124" t="s">
        <v>1942</v>
      </c>
      <c r="DW500" s="1125" t="s">
        <v>1942</v>
      </c>
    </row>
    <row r="501" spans="1:127" s="397" customFormat="1" ht="15.75" hidden="1" customHeight="1">
      <c r="A501" s="1097" t="s">
        <v>1050</v>
      </c>
      <c r="B501" s="1057">
        <v>492</v>
      </c>
      <c r="C501" s="1018"/>
      <c r="D501" s="1018"/>
      <c r="E501" s="1018"/>
      <c r="F501" s="1018"/>
      <c r="G501" s="1018"/>
      <c r="H501" s="1018"/>
      <c r="I501" s="1018"/>
      <c r="J501" s="1018"/>
      <c r="K501" s="1018"/>
      <c r="L501" s="1018"/>
      <c r="M501" s="1057"/>
      <c r="N501" s="1018"/>
      <c r="O501" s="1018"/>
      <c r="P501" s="1018"/>
      <c r="Q501" s="1018"/>
      <c r="R501" s="1018"/>
      <c r="S501" s="1018"/>
      <c r="T501" s="1019"/>
      <c r="U501" s="1098" t="s">
        <v>4029</v>
      </c>
      <c r="V501" s="1099" t="s">
        <v>4012</v>
      </c>
      <c r="W501" s="1099" t="s">
        <v>1889</v>
      </c>
      <c r="X501" s="1100" t="s">
        <v>4030</v>
      </c>
      <c r="Y501" s="1101" t="s">
        <v>4031</v>
      </c>
      <c r="Z501" s="1102" t="s">
        <v>4032</v>
      </c>
      <c r="AA501" s="1103" t="s">
        <v>1942</v>
      </c>
      <c r="AB501" s="1104">
        <v>1</v>
      </c>
      <c r="AC501" s="1104" t="s">
        <v>1942</v>
      </c>
      <c r="AD501" s="1104" t="s">
        <v>1942</v>
      </c>
      <c r="AE501" s="1104" t="s">
        <v>1942</v>
      </c>
      <c r="AF501" s="1104" t="s">
        <v>1942</v>
      </c>
      <c r="AG501" s="1104" t="s">
        <v>1942</v>
      </c>
      <c r="AH501" s="1104" t="s">
        <v>1942</v>
      </c>
      <c r="AI501" s="1105">
        <f t="shared" si="7"/>
        <v>1</v>
      </c>
      <c r="AJ501" s="1106" t="s">
        <v>1030</v>
      </c>
      <c r="AK501" s="1106" t="s">
        <v>1008</v>
      </c>
      <c r="AL501" s="1106" t="s">
        <v>1009</v>
      </c>
      <c r="AM501" s="1107" t="s">
        <v>1985</v>
      </c>
      <c r="AN501" s="1018" t="s">
        <v>2177</v>
      </c>
      <c r="AO501" s="1018" t="s">
        <v>4796</v>
      </c>
      <c r="AP501" s="1274">
        <v>3</v>
      </c>
      <c r="AQ501" s="1076" t="s">
        <v>1020</v>
      </c>
      <c r="AR501" s="1109"/>
      <c r="AS501" s="1110"/>
      <c r="AT501" s="1100"/>
      <c r="AU501" s="1100"/>
      <c r="AV501" s="1100"/>
      <c r="AW501" s="1111"/>
      <c r="AX501" s="1112"/>
      <c r="AY501" s="1075"/>
      <c r="AZ501" s="1076"/>
      <c r="BA501" s="1076"/>
      <c r="BB501" s="1076"/>
      <c r="BC501" s="1076"/>
      <c r="BD501" s="1076"/>
      <c r="BE501" s="1076"/>
      <c r="BF501" s="1076"/>
      <c r="BG501" s="1076"/>
      <c r="BH501" s="1076"/>
      <c r="BI501" s="1420"/>
      <c r="BJ501" s="1368"/>
      <c r="BK501" s="1368"/>
      <c r="BL501" s="1368"/>
      <c r="BM501" s="1368"/>
      <c r="BN501" s="1075"/>
      <c r="BO501" s="1076"/>
      <c r="BP501" s="1076"/>
      <c r="BQ501" s="1076"/>
      <c r="BR501" s="1076"/>
      <c r="BS501" s="1115"/>
      <c r="BT501" s="1076"/>
      <c r="BU501" s="1076"/>
      <c r="BV501" s="1076"/>
      <c r="BW501" s="1116"/>
      <c r="BX501" s="1115"/>
      <c r="BY501" s="1076"/>
      <c r="BZ501" s="1076"/>
      <c r="CA501" s="1076"/>
      <c r="CB501" s="1116"/>
      <c r="CC501" s="1117"/>
      <c r="CD501" s="1376"/>
      <c r="CE501" s="1377"/>
      <c r="CF501" s="1377"/>
      <c r="CG501" s="1377"/>
      <c r="CH501" s="1440"/>
      <c r="CI501" s="1420"/>
      <c r="CJ501" s="1368"/>
      <c r="CK501" s="1368"/>
      <c r="CL501" s="1368"/>
      <c r="CM501" s="1369"/>
      <c r="CN501" s="1420"/>
      <c r="CO501" s="1368"/>
      <c r="CP501" s="1368"/>
      <c r="CQ501" s="1368"/>
      <c r="CR501" s="1369"/>
      <c r="CS501" s="1420"/>
      <c r="CT501" s="1368"/>
      <c r="CU501" s="1368"/>
      <c r="CV501" s="1368"/>
      <c r="CW501" s="1369"/>
      <c r="CX501" s="1420"/>
      <c r="CY501" s="1368"/>
      <c r="CZ501" s="1368"/>
      <c r="DA501" s="1368"/>
      <c r="DB501" s="1369"/>
      <c r="DC501" s="1368"/>
      <c r="DD501" s="1368"/>
      <c r="DE501" s="1368"/>
      <c r="DF501" s="1368"/>
      <c r="DG501" s="1369"/>
      <c r="DH501" s="1420"/>
      <c r="DI501" s="1368"/>
      <c r="DJ501" s="1368"/>
      <c r="DK501" s="1368"/>
      <c r="DL501" s="1369"/>
      <c r="DM501" s="1808"/>
      <c r="DN501" s="1809"/>
      <c r="DO501" s="1809"/>
      <c r="DP501" s="1810"/>
      <c r="DQ501" s="1809"/>
      <c r="DR501" s="1809"/>
      <c r="DS501" s="1809"/>
      <c r="DT501" s="1810"/>
      <c r="DU501" s="1377"/>
      <c r="DV501" s="1729"/>
      <c r="DW501" s="1811"/>
    </row>
    <row r="502" spans="1:127" s="397" customFormat="1" ht="15.75" hidden="1" customHeight="1">
      <c r="A502" s="1097" t="s">
        <v>1050</v>
      </c>
      <c r="B502" s="1057">
        <v>493</v>
      </c>
      <c r="C502" s="1018"/>
      <c r="D502" s="1018"/>
      <c r="E502" s="1018"/>
      <c r="F502" s="1018"/>
      <c r="G502" s="1018"/>
      <c r="H502" s="1018"/>
      <c r="I502" s="1018"/>
      <c r="J502" s="1018"/>
      <c r="K502" s="1018"/>
      <c r="L502" s="1018"/>
      <c r="M502" s="1057"/>
      <c r="N502" s="1018"/>
      <c r="O502" s="1018"/>
      <c r="P502" s="1018"/>
      <c r="Q502" s="1018"/>
      <c r="R502" s="1018"/>
      <c r="S502" s="1018"/>
      <c r="T502" s="1019"/>
      <c r="U502" s="1098" t="s">
        <v>4034</v>
      </c>
      <c r="V502" s="1099" t="s">
        <v>4012</v>
      </c>
      <c r="W502" s="1099" t="s">
        <v>1907</v>
      </c>
      <c r="X502" s="1100" t="s">
        <v>4035</v>
      </c>
      <c r="Y502" s="1101" t="s">
        <v>4036</v>
      </c>
      <c r="Z502" s="1102" t="s">
        <v>4037</v>
      </c>
      <c r="AA502" s="1103" t="s">
        <v>1942</v>
      </c>
      <c r="AB502" s="1104">
        <v>1</v>
      </c>
      <c r="AC502" s="1104" t="s">
        <v>1942</v>
      </c>
      <c r="AD502" s="1104" t="s">
        <v>1942</v>
      </c>
      <c r="AE502" s="1104" t="s">
        <v>1942</v>
      </c>
      <c r="AF502" s="1104" t="s">
        <v>1942</v>
      </c>
      <c r="AG502" s="1104" t="s">
        <v>1942</v>
      </c>
      <c r="AH502" s="1104" t="s">
        <v>1942</v>
      </c>
      <c r="AI502" s="1105">
        <f t="shared" si="7"/>
        <v>1</v>
      </c>
      <c r="AJ502" s="1106" t="s">
        <v>1030</v>
      </c>
      <c r="AK502" s="1106" t="s">
        <v>1008</v>
      </c>
      <c r="AL502" s="1106" t="s">
        <v>1009</v>
      </c>
      <c r="AM502" s="1107" t="s">
        <v>1920</v>
      </c>
      <c r="AN502" s="1018" t="s">
        <v>1033</v>
      </c>
      <c r="AO502" s="1018" t="s">
        <v>4038</v>
      </c>
      <c r="AP502" s="1274">
        <v>0</v>
      </c>
      <c r="AQ502" s="1076" t="s">
        <v>1020</v>
      </c>
      <c r="AR502" s="1109" t="s">
        <v>1942</v>
      </c>
      <c r="AS502" s="1110"/>
      <c r="AT502" s="1100"/>
      <c r="AU502" s="1100"/>
      <c r="AV502" s="1100"/>
      <c r="AW502" s="1111"/>
      <c r="AX502" s="1112"/>
      <c r="AY502" s="1075"/>
      <c r="AZ502" s="1076"/>
      <c r="BA502" s="1076"/>
      <c r="BB502" s="1076"/>
      <c r="BC502" s="1076"/>
      <c r="BD502" s="1076"/>
      <c r="BE502" s="1076"/>
      <c r="BF502" s="1076"/>
      <c r="BG502" s="1076"/>
      <c r="BH502" s="1076"/>
      <c r="BI502" s="1420"/>
      <c r="BJ502" s="1368"/>
      <c r="BK502" s="1368"/>
      <c r="BL502" s="1368"/>
      <c r="BM502" s="1368"/>
      <c r="BN502" s="1075"/>
      <c r="BO502" s="1076"/>
      <c r="BP502" s="1076"/>
      <c r="BQ502" s="1076"/>
      <c r="BR502" s="1076"/>
      <c r="BS502" s="1115"/>
      <c r="BT502" s="1076"/>
      <c r="BU502" s="1076"/>
      <c r="BV502" s="1076"/>
      <c r="BW502" s="1116"/>
      <c r="BX502" s="1115"/>
      <c r="BY502" s="1076"/>
      <c r="BZ502" s="1076"/>
      <c r="CA502" s="1076"/>
      <c r="CB502" s="1116"/>
      <c r="CC502" s="1117"/>
      <c r="CD502" s="1376"/>
      <c r="CE502" s="1377"/>
      <c r="CF502" s="1377"/>
      <c r="CG502" s="1377"/>
      <c r="CH502" s="1440"/>
      <c r="CI502" s="1420"/>
      <c r="CJ502" s="1368"/>
      <c r="CK502" s="1368"/>
      <c r="CL502" s="1368"/>
      <c r="CM502" s="1369"/>
      <c r="CN502" s="1420"/>
      <c r="CO502" s="1368"/>
      <c r="CP502" s="1368"/>
      <c r="CQ502" s="1368"/>
      <c r="CR502" s="1369"/>
      <c r="CS502" s="1420"/>
      <c r="CT502" s="1368"/>
      <c r="CU502" s="1368"/>
      <c r="CV502" s="1368"/>
      <c r="CW502" s="1369"/>
      <c r="CX502" s="1420"/>
      <c r="CY502" s="1368"/>
      <c r="CZ502" s="1368"/>
      <c r="DA502" s="1368"/>
      <c r="DB502" s="1369"/>
      <c r="DC502" s="1368"/>
      <c r="DD502" s="1368"/>
      <c r="DE502" s="1368"/>
      <c r="DF502" s="1368"/>
      <c r="DG502" s="1369"/>
      <c r="DH502" s="1420"/>
      <c r="DI502" s="1368"/>
      <c r="DJ502" s="1368"/>
      <c r="DK502" s="1368"/>
      <c r="DL502" s="1369"/>
      <c r="DM502" s="1808"/>
      <c r="DN502" s="1809"/>
      <c r="DO502" s="1809"/>
      <c r="DP502" s="1810"/>
      <c r="DQ502" s="1809"/>
      <c r="DR502" s="1809"/>
      <c r="DS502" s="1809"/>
      <c r="DT502" s="1810"/>
      <c r="DU502" s="1377"/>
      <c r="DV502" s="1729"/>
      <c r="DW502" s="1811"/>
    </row>
    <row r="503" spans="1:127" s="397" customFormat="1" ht="15.75" hidden="1" customHeight="1">
      <c r="A503" s="1097" t="s">
        <v>1050</v>
      </c>
      <c r="B503" s="1057">
        <v>494</v>
      </c>
      <c r="C503" s="1018"/>
      <c r="D503" s="1018"/>
      <c r="E503" s="1018"/>
      <c r="F503" s="1018"/>
      <c r="G503" s="1018"/>
      <c r="H503" s="1018"/>
      <c r="I503" s="1018"/>
      <c r="J503" s="1018"/>
      <c r="K503" s="1018"/>
      <c r="L503" s="1018"/>
      <c r="M503" s="1057"/>
      <c r="N503" s="1018"/>
      <c r="O503" s="1018"/>
      <c r="P503" s="1018"/>
      <c r="Q503" s="1018"/>
      <c r="R503" s="1018"/>
      <c r="S503" s="1018"/>
      <c r="T503" s="1019"/>
      <c r="U503" s="1098" t="s">
        <v>4039</v>
      </c>
      <c r="V503" s="1099" t="s">
        <v>4012</v>
      </c>
      <c r="W503" s="1099" t="s">
        <v>1907</v>
      </c>
      <c r="X503" s="1100" t="s">
        <v>4040</v>
      </c>
      <c r="Y503" s="1101" t="s">
        <v>4041</v>
      </c>
      <c r="Z503" s="1102" t="s">
        <v>4042</v>
      </c>
      <c r="AA503" s="1103" t="s">
        <v>1942</v>
      </c>
      <c r="AB503" s="1104">
        <v>1</v>
      </c>
      <c r="AC503" s="1104" t="s">
        <v>1942</v>
      </c>
      <c r="AD503" s="1104" t="s">
        <v>1942</v>
      </c>
      <c r="AE503" s="1104" t="s">
        <v>1942</v>
      </c>
      <c r="AF503" s="1104" t="s">
        <v>1942</v>
      </c>
      <c r="AG503" s="1104" t="s">
        <v>1942</v>
      </c>
      <c r="AH503" s="1104" t="s">
        <v>1942</v>
      </c>
      <c r="AI503" s="1105">
        <f t="shared" si="7"/>
        <v>1</v>
      </c>
      <c r="AJ503" s="1106" t="s">
        <v>1007</v>
      </c>
      <c r="AK503" s="1106" t="s">
        <v>1942</v>
      </c>
      <c r="AL503" s="1106" t="s">
        <v>1942</v>
      </c>
      <c r="AM503" s="1107" t="s">
        <v>1910</v>
      </c>
      <c r="AN503" s="1018" t="s">
        <v>1084</v>
      </c>
      <c r="AO503" s="1018" t="s">
        <v>4045</v>
      </c>
      <c r="AP503" s="1274">
        <v>0</v>
      </c>
      <c r="AQ503" s="1076" t="s">
        <v>1010</v>
      </c>
      <c r="AR503" s="1109" t="s">
        <v>1942</v>
      </c>
      <c r="AS503" s="1110"/>
      <c r="AT503" s="1100"/>
      <c r="AU503" s="1100"/>
      <c r="AV503" s="1100"/>
      <c r="AW503" s="1111"/>
      <c r="AX503" s="1112"/>
      <c r="AY503" s="1075"/>
      <c r="AZ503" s="1076"/>
      <c r="BA503" s="1076"/>
      <c r="BB503" s="1076"/>
      <c r="BC503" s="1076"/>
      <c r="BD503" s="1076"/>
      <c r="BE503" s="1076"/>
      <c r="BF503" s="1076"/>
      <c r="BG503" s="1076"/>
      <c r="BH503" s="1076"/>
      <c r="BI503" s="1420"/>
      <c r="BJ503" s="1368"/>
      <c r="BK503" s="1368"/>
      <c r="BL503" s="1368"/>
      <c r="BM503" s="1368"/>
      <c r="BN503" s="1075"/>
      <c r="BO503" s="1076"/>
      <c r="BP503" s="1076"/>
      <c r="BQ503" s="1076"/>
      <c r="BR503" s="1076"/>
      <c r="BS503" s="1115"/>
      <c r="BT503" s="1076"/>
      <c r="BU503" s="1076"/>
      <c r="BV503" s="1076"/>
      <c r="BW503" s="1116"/>
      <c r="BX503" s="1115"/>
      <c r="BY503" s="1076"/>
      <c r="BZ503" s="1076"/>
      <c r="CA503" s="1076"/>
      <c r="CB503" s="1116"/>
      <c r="CC503" s="1117"/>
      <c r="CD503" s="1376"/>
      <c r="CE503" s="1377"/>
      <c r="CF503" s="1377"/>
      <c r="CG503" s="1377"/>
      <c r="CH503" s="1440"/>
      <c r="CI503" s="1420"/>
      <c r="CJ503" s="1368"/>
      <c r="CK503" s="1368"/>
      <c r="CL503" s="1368"/>
      <c r="CM503" s="1369"/>
      <c r="CN503" s="1420"/>
      <c r="CO503" s="1368"/>
      <c r="CP503" s="1368"/>
      <c r="CQ503" s="1368"/>
      <c r="CR503" s="1369"/>
      <c r="CS503" s="1420"/>
      <c r="CT503" s="1368"/>
      <c r="CU503" s="1368"/>
      <c r="CV503" s="1368"/>
      <c r="CW503" s="1369"/>
      <c r="CX503" s="1420"/>
      <c r="CY503" s="1368"/>
      <c r="CZ503" s="1368"/>
      <c r="DA503" s="1368"/>
      <c r="DB503" s="1369"/>
      <c r="DC503" s="1368"/>
      <c r="DD503" s="1368"/>
      <c r="DE503" s="1368"/>
      <c r="DF503" s="1368"/>
      <c r="DG503" s="1369"/>
      <c r="DH503" s="1420"/>
      <c r="DI503" s="1368"/>
      <c r="DJ503" s="1368"/>
      <c r="DK503" s="1368"/>
      <c r="DL503" s="1369"/>
      <c r="DM503" s="1808"/>
      <c r="DN503" s="1809"/>
      <c r="DO503" s="1809"/>
      <c r="DP503" s="1810"/>
      <c r="DQ503" s="1809"/>
      <c r="DR503" s="1809"/>
      <c r="DS503" s="1809"/>
      <c r="DT503" s="1810"/>
      <c r="DU503" s="1377"/>
      <c r="DV503" s="1729"/>
      <c r="DW503" s="1811"/>
    </row>
    <row r="504" spans="1:127" s="397" customFormat="1" ht="15.75" hidden="1" customHeight="1">
      <c r="A504" s="1097" t="s">
        <v>1050</v>
      </c>
      <c r="B504" s="1057">
        <v>495</v>
      </c>
      <c r="C504" s="1018"/>
      <c r="D504" s="1018"/>
      <c r="E504" s="1018"/>
      <c r="F504" s="1018"/>
      <c r="G504" s="1018"/>
      <c r="H504" s="1018"/>
      <c r="I504" s="1018"/>
      <c r="J504" s="1018"/>
      <c r="K504" s="1018"/>
      <c r="L504" s="1018"/>
      <c r="M504" s="1057"/>
      <c r="N504" s="1018"/>
      <c r="O504" s="1018"/>
      <c r="P504" s="1018"/>
      <c r="Q504" s="1018"/>
      <c r="R504" s="1018"/>
      <c r="S504" s="1018"/>
      <c r="T504" s="1019"/>
      <c r="U504" s="1098" t="s">
        <v>4046</v>
      </c>
      <c r="V504" s="1099" t="s">
        <v>4012</v>
      </c>
      <c r="W504" s="1099" t="s">
        <v>1889</v>
      </c>
      <c r="X504" s="1100" t="s">
        <v>4047</v>
      </c>
      <c r="Y504" s="1101" t="s">
        <v>4048</v>
      </c>
      <c r="Z504" s="1102" t="s">
        <v>4049</v>
      </c>
      <c r="AA504" s="1103">
        <v>1</v>
      </c>
      <c r="AB504" s="1104" t="s">
        <v>1942</v>
      </c>
      <c r="AC504" s="1104" t="s">
        <v>1942</v>
      </c>
      <c r="AD504" s="1104" t="s">
        <v>1942</v>
      </c>
      <c r="AE504" s="1104" t="s">
        <v>1942</v>
      </c>
      <c r="AF504" s="1104" t="s">
        <v>1942</v>
      </c>
      <c r="AG504" s="1104" t="s">
        <v>1942</v>
      </c>
      <c r="AH504" s="1104" t="s">
        <v>1942</v>
      </c>
      <c r="AI504" s="1105">
        <f t="shared" si="7"/>
        <v>1</v>
      </c>
      <c r="AJ504" s="1106" t="s">
        <v>1942</v>
      </c>
      <c r="AK504" s="1106" t="s">
        <v>1942</v>
      </c>
      <c r="AL504" s="1106" t="s">
        <v>1942</v>
      </c>
      <c r="AM504" s="1107" t="s">
        <v>2807</v>
      </c>
      <c r="AN504" s="1018" t="s">
        <v>1080</v>
      </c>
      <c r="AO504" s="1018" t="s">
        <v>4051</v>
      </c>
      <c r="AP504" s="1274">
        <v>5</v>
      </c>
      <c r="AQ504" s="1076" t="s">
        <v>1010</v>
      </c>
      <c r="AR504" s="1109" t="s">
        <v>1942</v>
      </c>
      <c r="AS504" s="1110"/>
      <c r="AT504" s="1100"/>
      <c r="AU504" s="1100"/>
      <c r="AV504" s="1100"/>
      <c r="AW504" s="1111"/>
      <c r="AX504" s="1112"/>
      <c r="AY504" s="1075"/>
      <c r="AZ504" s="1076"/>
      <c r="BA504" s="1076"/>
      <c r="BB504" s="1076"/>
      <c r="BC504" s="1076"/>
      <c r="BD504" s="1076"/>
      <c r="BE504" s="1076"/>
      <c r="BF504" s="1076"/>
      <c r="BG504" s="1076"/>
      <c r="BH504" s="1076"/>
      <c r="BI504" s="1420"/>
      <c r="BJ504" s="1368"/>
      <c r="BK504" s="1368"/>
      <c r="BL504" s="1368"/>
      <c r="BM504" s="1368"/>
      <c r="BN504" s="1075"/>
      <c r="BO504" s="1076"/>
      <c r="BP504" s="1076"/>
      <c r="BQ504" s="1076"/>
      <c r="BR504" s="1076"/>
      <c r="BS504" s="1115"/>
      <c r="BT504" s="1076"/>
      <c r="BU504" s="1076"/>
      <c r="BV504" s="1076"/>
      <c r="BW504" s="1116"/>
      <c r="BX504" s="1115"/>
      <c r="BY504" s="1076"/>
      <c r="BZ504" s="1076"/>
      <c r="CA504" s="1076"/>
      <c r="CB504" s="1116"/>
      <c r="CC504" s="1117"/>
      <c r="CD504" s="1376"/>
      <c r="CE504" s="1377"/>
      <c r="CF504" s="1377"/>
      <c r="CG504" s="1377"/>
      <c r="CH504" s="1440"/>
      <c r="CI504" s="1420"/>
      <c r="CJ504" s="1368"/>
      <c r="CK504" s="1368"/>
      <c r="CL504" s="1368"/>
      <c r="CM504" s="1369"/>
      <c r="CN504" s="1420"/>
      <c r="CO504" s="1368"/>
      <c r="CP504" s="1368"/>
      <c r="CQ504" s="1368"/>
      <c r="CR504" s="1369"/>
      <c r="CS504" s="1420"/>
      <c r="CT504" s="1368"/>
      <c r="CU504" s="1368"/>
      <c r="CV504" s="1368"/>
      <c r="CW504" s="1369"/>
      <c r="CX504" s="1420"/>
      <c r="CY504" s="1368"/>
      <c r="CZ504" s="1368"/>
      <c r="DA504" s="1368"/>
      <c r="DB504" s="1369"/>
      <c r="DC504" s="1368"/>
      <c r="DD504" s="1368"/>
      <c r="DE504" s="1368"/>
      <c r="DF504" s="1368"/>
      <c r="DG504" s="1369"/>
      <c r="DH504" s="1420"/>
      <c r="DI504" s="1368"/>
      <c r="DJ504" s="1368"/>
      <c r="DK504" s="1368"/>
      <c r="DL504" s="1369"/>
      <c r="DM504" s="1808"/>
      <c r="DN504" s="1809"/>
      <c r="DO504" s="1809"/>
      <c r="DP504" s="1810"/>
      <c r="DQ504" s="1809"/>
      <c r="DR504" s="1809"/>
      <c r="DS504" s="1809"/>
      <c r="DT504" s="1810"/>
      <c r="DU504" s="1377"/>
      <c r="DV504" s="1729"/>
      <c r="DW504" s="1811"/>
    </row>
    <row r="505" spans="1:127" s="397" customFormat="1" ht="15.75" hidden="1" customHeight="1">
      <c r="A505" s="1097" t="s">
        <v>1050</v>
      </c>
      <c r="B505" s="1057">
        <v>496</v>
      </c>
      <c r="C505" s="1018"/>
      <c r="D505" s="1018"/>
      <c r="E505" s="1018"/>
      <c r="F505" s="1018"/>
      <c r="G505" s="1018"/>
      <c r="H505" s="1018"/>
      <c r="I505" s="1018"/>
      <c r="J505" s="1018"/>
      <c r="K505" s="1018"/>
      <c r="L505" s="1018"/>
      <c r="M505" s="1057"/>
      <c r="N505" s="1018"/>
      <c r="O505" s="1018"/>
      <c r="P505" s="1018"/>
      <c r="Q505" s="1018"/>
      <c r="R505" s="1018"/>
      <c r="S505" s="1018"/>
      <c r="T505" s="1019"/>
      <c r="U505" s="1098" t="s">
        <v>4052</v>
      </c>
      <c r="V505" s="1099" t="s">
        <v>4012</v>
      </c>
      <c r="W505" s="1099" t="s">
        <v>1896</v>
      </c>
      <c r="X505" s="1100" t="s">
        <v>4053</v>
      </c>
      <c r="Y505" s="1101" t="s">
        <v>4054</v>
      </c>
      <c r="Z505" s="1102" t="s">
        <v>4055</v>
      </c>
      <c r="AA505" s="1103" t="s">
        <v>1942</v>
      </c>
      <c r="AB505" s="1104">
        <v>1</v>
      </c>
      <c r="AC505" s="1104" t="s">
        <v>1942</v>
      </c>
      <c r="AD505" s="1104" t="s">
        <v>1942</v>
      </c>
      <c r="AE505" s="1104" t="s">
        <v>1942</v>
      </c>
      <c r="AF505" s="1104" t="s">
        <v>1942</v>
      </c>
      <c r="AG505" s="1104" t="s">
        <v>1942</v>
      </c>
      <c r="AH505" s="1104" t="s">
        <v>1942</v>
      </c>
      <c r="AI505" s="1105">
        <f t="shared" si="7"/>
        <v>1</v>
      </c>
      <c r="AJ505" s="1106" t="s">
        <v>1030</v>
      </c>
      <c r="AK505" s="1106" t="s">
        <v>1008</v>
      </c>
      <c r="AL505" s="1106" t="s">
        <v>1009</v>
      </c>
      <c r="AM505" s="1107" t="s">
        <v>2515</v>
      </c>
      <c r="AN505" s="1018" t="s">
        <v>278</v>
      </c>
      <c r="AO505" s="1018" t="s">
        <v>4056</v>
      </c>
      <c r="AP505" s="1274">
        <v>0</v>
      </c>
      <c r="AQ505" s="1076" t="s">
        <v>1010</v>
      </c>
      <c r="AR505" s="1109" t="s">
        <v>1942</v>
      </c>
      <c r="AS505" s="1110"/>
      <c r="AT505" s="1100"/>
      <c r="AU505" s="1100"/>
      <c r="AV505" s="1100"/>
      <c r="AW505" s="1111"/>
      <c r="AX505" s="1112"/>
      <c r="AY505" s="1075"/>
      <c r="AZ505" s="1076"/>
      <c r="BA505" s="1076"/>
      <c r="BB505" s="1076"/>
      <c r="BC505" s="1076"/>
      <c r="BD505" s="1076"/>
      <c r="BE505" s="1076"/>
      <c r="BF505" s="1076"/>
      <c r="BG505" s="1076"/>
      <c r="BH505" s="1076"/>
      <c r="BI505" s="1420"/>
      <c r="BJ505" s="1368"/>
      <c r="BK505" s="1368"/>
      <c r="BL505" s="1368"/>
      <c r="BM505" s="1368"/>
      <c r="BN505" s="1075"/>
      <c r="BO505" s="1076"/>
      <c r="BP505" s="1076"/>
      <c r="BQ505" s="1076"/>
      <c r="BR505" s="1076"/>
      <c r="BS505" s="1115"/>
      <c r="BT505" s="1076"/>
      <c r="BU505" s="1076"/>
      <c r="BV505" s="1076"/>
      <c r="BW505" s="1116"/>
      <c r="BX505" s="1115"/>
      <c r="BY505" s="1076"/>
      <c r="BZ505" s="1076"/>
      <c r="CA505" s="1076"/>
      <c r="CB505" s="1116"/>
      <c r="CC505" s="1117"/>
      <c r="CD505" s="1376"/>
      <c r="CE505" s="1377"/>
      <c r="CF505" s="1377"/>
      <c r="CG505" s="1377"/>
      <c r="CH505" s="1440"/>
      <c r="CI505" s="1420"/>
      <c r="CJ505" s="1368"/>
      <c r="CK505" s="1368"/>
      <c r="CL505" s="1368"/>
      <c r="CM505" s="1369"/>
      <c r="CN505" s="1420"/>
      <c r="CO505" s="1368"/>
      <c r="CP505" s="1368"/>
      <c r="CQ505" s="1368"/>
      <c r="CR505" s="1369"/>
      <c r="CS505" s="1420"/>
      <c r="CT505" s="1368"/>
      <c r="CU505" s="1368"/>
      <c r="CV505" s="1368"/>
      <c r="CW505" s="1369"/>
      <c r="CX505" s="1420"/>
      <c r="CY505" s="1368"/>
      <c r="CZ505" s="1368"/>
      <c r="DA505" s="1368"/>
      <c r="DB505" s="1369"/>
      <c r="DC505" s="1368"/>
      <c r="DD505" s="1368"/>
      <c r="DE505" s="1368"/>
      <c r="DF505" s="1368"/>
      <c r="DG505" s="1369"/>
      <c r="DH505" s="1420"/>
      <c r="DI505" s="1368"/>
      <c r="DJ505" s="1368"/>
      <c r="DK505" s="1368"/>
      <c r="DL505" s="1369"/>
      <c r="DM505" s="1808"/>
      <c r="DN505" s="1809"/>
      <c r="DO505" s="1809"/>
      <c r="DP505" s="1810"/>
      <c r="DQ505" s="1809"/>
      <c r="DR505" s="1809"/>
      <c r="DS505" s="1809"/>
      <c r="DT505" s="1810"/>
      <c r="DU505" s="1377"/>
      <c r="DV505" s="1729"/>
      <c r="DW505" s="1811"/>
    </row>
    <row r="506" spans="1:127" s="397" customFormat="1" ht="15.75" hidden="1" customHeight="1">
      <c r="A506" s="1097" t="s">
        <v>1050</v>
      </c>
      <c r="B506" s="1057">
        <v>497</v>
      </c>
      <c r="C506" s="1018"/>
      <c r="D506" s="1018"/>
      <c r="E506" s="1018"/>
      <c r="F506" s="1018"/>
      <c r="G506" s="1018"/>
      <c r="H506" s="1018"/>
      <c r="I506" s="1018"/>
      <c r="J506" s="1018"/>
      <c r="K506" s="1018"/>
      <c r="L506" s="1018"/>
      <c r="M506" s="1057"/>
      <c r="N506" s="1018"/>
      <c r="O506" s="1018"/>
      <c r="P506" s="1018"/>
      <c r="Q506" s="1018"/>
      <c r="R506" s="1018"/>
      <c r="S506" s="1018"/>
      <c r="T506" s="1019"/>
      <c r="U506" s="1098" t="s">
        <v>4057</v>
      </c>
      <c r="V506" s="1099" t="s">
        <v>4058</v>
      </c>
      <c r="W506" s="1099" t="s">
        <v>1889</v>
      </c>
      <c r="X506" s="1100" t="s">
        <v>4059</v>
      </c>
      <c r="Y506" s="1101" t="s">
        <v>736</v>
      </c>
      <c r="Z506" s="1102" t="s">
        <v>3988</v>
      </c>
      <c r="AA506" s="1103" t="s">
        <v>1942</v>
      </c>
      <c r="AB506" s="1104" t="s">
        <v>1942</v>
      </c>
      <c r="AC506" s="1104">
        <v>1</v>
      </c>
      <c r="AD506" s="1104" t="s">
        <v>1942</v>
      </c>
      <c r="AE506" s="1104" t="s">
        <v>1942</v>
      </c>
      <c r="AF506" s="1104" t="s">
        <v>1942</v>
      </c>
      <c r="AG506" s="1104" t="s">
        <v>1942</v>
      </c>
      <c r="AH506" s="1104" t="s">
        <v>1942</v>
      </c>
      <c r="AI506" s="1105">
        <f t="shared" si="7"/>
        <v>1</v>
      </c>
      <c r="AJ506" s="1106" t="s">
        <v>1030</v>
      </c>
      <c r="AK506" s="1106" t="s">
        <v>1008</v>
      </c>
      <c r="AL506" s="1106" t="s">
        <v>1009</v>
      </c>
      <c r="AM506" s="1107" t="s">
        <v>736</v>
      </c>
      <c r="AN506" s="1018" t="s">
        <v>2177</v>
      </c>
      <c r="AO506" s="1018" t="s">
        <v>4806</v>
      </c>
      <c r="AP506" s="1307">
        <v>2</v>
      </c>
      <c r="AQ506" s="1076" t="s">
        <v>1020</v>
      </c>
      <c r="AR506" s="1109" t="s">
        <v>736</v>
      </c>
      <c r="AS506" s="1110"/>
      <c r="AT506" s="1100"/>
      <c r="AU506" s="1100"/>
      <c r="AV506" s="1100"/>
      <c r="AW506" s="1111"/>
      <c r="AX506" s="1112"/>
      <c r="AY506" s="1075"/>
      <c r="AZ506" s="1076"/>
      <c r="BA506" s="1076"/>
      <c r="BB506" s="1076"/>
      <c r="BC506" s="1076"/>
      <c r="BD506" s="1076"/>
      <c r="BE506" s="1076"/>
      <c r="BF506" s="1076"/>
      <c r="BG506" s="1126"/>
      <c r="BH506" s="1126"/>
      <c r="BI506" s="1127">
        <v>24.5</v>
      </c>
      <c r="BJ506" s="1126">
        <v>23.7</v>
      </c>
      <c r="BK506" s="1126">
        <v>23</v>
      </c>
      <c r="BL506" s="1126">
        <v>22.4</v>
      </c>
      <c r="BM506" s="1126">
        <v>19.5</v>
      </c>
      <c r="BN506" s="1075"/>
      <c r="BO506" s="1076"/>
      <c r="BP506" s="1076"/>
      <c r="BQ506" s="1076"/>
      <c r="BR506" s="1076"/>
      <c r="BS506" s="1115"/>
      <c r="BT506" s="1076"/>
      <c r="BU506" s="1076"/>
      <c r="BV506" s="1076"/>
      <c r="BW506" s="1116"/>
      <c r="BX506" s="1115"/>
      <c r="BY506" s="1076"/>
      <c r="BZ506" s="1076"/>
      <c r="CA506" s="1076"/>
      <c r="CB506" s="1116"/>
      <c r="CC506" s="1117"/>
      <c r="CD506" s="1118" t="s">
        <v>168</v>
      </c>
      <c r="CE506" s="1119" t="s">
        <v>168</v>
      </c>
      <c r="CF506" s="1119" t="s">
        <v>168</v>
      </c>
      <c r="CG506" s="1119" t="s">
        <v>168</v>
      </c>
      <c r="CH506" s="1120" t="s">
        <v>168</v>
      </c>
      <c r="CI506" s="1075">
        <v>98</v>
      </c>
      <c r="CJ506" s="1076">
        <v>98</v>
      </c>
      <c r="CK506" s="1076">
        <v>98</v>
      </c>
      <c r="CL506" s="1076">
        <v>98</v>
      </c>
      <c r="CM506" s="1117">
        <v>98</v>
      </c>
      <c r="CN506" s="1075">
        <v>41.6</v>
      </c>
      <c r="CO506" s="1076">
        <v>41.6</v>
      </c>
      <c r="CP506" s="1076">
        <v>41.6</v>
      </c>
      <c r="CQ506" s="1076">
        <v>41.6</v>
      </c>
      <c r="CR506" s="1117">
        <v>41.6</v>
      </c>
      <c r="CS506" s="1075" t="s">
        <v>1942</v>
      </c>
      <c r="CT506" s="1076" t="s">
        <v>1942</v>
      </c>
      <c r="CU506" s="1076" t="s">
        <v>1942</v>
      </c>
      <c r="CV506" s="1076" t="s">
        <v>1942</v>
      </c>
      <c r="CW506" s="1117" t="s">
        <v>1942</v>
      </c>
      <c r="CX506" s="1075" t="s">
        <v>1942</v>
      </c>
      <c r="CY506" s="1076" t="s">
        <v>1942</v>
      </c>
      <c r="CZ506" s="1076" t="s">
        <v>1942</v>
      </c>
      <c r="DA506" s="1076" t="s">
        <v>1942</v>
      </c>
      <c r="DB506" s="1117" t="s">
        <v>1942</v>
      </c>
      <c r="DC506" s="1076">
        <v>11.83</v>
      </c>
      <c r="DD506" s="1076">
        <v>11.46</v>
      </c>
      <c r="DE506" s="1076">
        <v>11.11</v>
      </c>
      <c r="DF506" s="1076">
        <v>10.82</v>
      </c>
      <c r="DG506" s="1117">
        <v>9.42</v>
      </c>
      <c r="DH506" s="1075" t="s">
        <v>1942</v>
      </c>
      <c r="DI506" s="1076" t="s">
        <v>1942</v>
      </c>
      <c r="DJ506" s="1076" t="s">
        <v>1942</v>
      </c>
      <c r="DK506" s="1076" t="s">
        <v>1942</v>
      </c>
      <c r="DL506" s="1117" t="s">
        <v>1942</v>
      </c>
      <c r="DM506" s="1121">
        <v>-0.91200000000000003</v>
      </c>
      <c r="DN506" s="1122" t="s">
        <v>1942</v>
      </c>
      <c r="DO506" s="1122" t="s">
        <v>1942</v>
      </c>
      <c r="DP506" s="1123">
        <v>-1.52</v>
      </c>
      <c r="DQ506" s="1122">
        <v>0.76</v>
      </c>
      <c r="DR506" s="1122" t="s">
        <v>1942</v>
      </c>
      <c r="DS506" s="1122" t="s">
        <v>1942</v>
      </c>
      <c r="DT506" s="1123">
        <v>1.52</v>
      </c>
      <c r="DU506" s="1119" t="s">
        <v>131</v>
      </c>
      <c r="DV506" s="1124">
        <v>1</v>
      </c>
      <c r="DW506" s="1125" t="s">
        <v>1942</v>
      </c>
    </row>
    <row r="507" spans="1:127" s="397" customFormat="1" ht="15.75" hidden="1" customHeight="1">
      <c r="A507" s="1097" t="s">
        <v>1050</v>
      </c>
      <c r="B507" s="1057">
        <v>498</v>
      </c>
      <c r="C507" s="1018"/>
      <c r="D507" s="1018"/>
      <c r="E507" s="1018"/>
      <c r="F507" s="1018"/>
      <c r="G507" s="1018"/>
      <c r="H507" s="1018"/>
      <c r="I507" s="1018"/>
      <c r="J507" s="1018"/>
      <c r="K507" s="1018"/>
      <c r="L507" s="1018"/>
      <c r="M507" s="1057"/>
      <c r="N507" s="1018"/>
      <c r="O507" s="1018"/>
      <c r="P507" s="1018"/>
      <c r="Q507" s="1018"/>
      <c r="R507" s="1018"/>
      <c r="S507" s="1018"/>
      <c r="T507" s="1019"/>
      <c r="U507" s="1098" t="s">
        <v>4061</v>
      </c>
      <c r="V507" s="1099" t="s">
        <v>4058</v>
      </c>
      <c r="W507" s="1099" t="s">
        <v>1889</v>
      </c>
      <c r="X507" s="1100" t="s">
        <v>4062</v>
      </c>
      <c r="Y507" s="1101" t="s">
        <v>1058</v>
      </c>
      <c r="Z507" s="1102" t="s">
        <v>3988</v>
      </c>
      <c r="AA507" s="1103" t="s">
        <v>1942</v>
      </c>
      <c r="AB507" s="1104">
        <v>0.06</v>
      </c>
      <c r="AC507" s="1104">
        <v>0.94</v>
      </c>
      <c r="AD507" s="1104" t="s">
        <v>1942</v>
      </c>
      <c r="AE507" s="1104" t="s">
        <v>1942</v>
      </c>
      <c r="AF507" s="1104" t="s">
        <v>1942</v>
      </c>
      <c r="AG507" s="1104" t="s">
        <v>1942</v>
      </c>
      <c r="AH507" s="1104" t="s">
        <v>1942</v>
      </c>
      <c r="AI507" s="1105">
        <f t="shared" si="7"/>
        <v>1</v>
      </c>
      <c r="AJ507" s="1106" t="s">
        <v>1030</v>
      </c>
      <c r="AK507" s="1106" t="s">
        <v>1008</v>
      </c>
      <c r="AL507" s="1106" t="s">
        <v>1009</v>
      </c>
      <c r="AM507" s="1107" t="s">
        <v>2085</v>
      </c>
      <c r="AN507" s="1018" t="s">
        <v>278</v>
      </c>
      <c r="AO507" s="1018" t="s">
        <v>2449</v>
      </c>
      <c r="AP507" s="1307">
        <v>2</v>
      </c>
      <c r="AQ507" s="1076" t="s">
        <v>1010</v>
      </c>
      <c r="AR507" s="1109" t="s">
        <v>1058</v>
      </c>
      <c r="AS507" s="1110"/>
      <c r="AT507" s="1100"/>
      <c r="AU507" s="1100"/>
      <c r="AV507" s="1100"/>
      <c r="AW507" s="1111"/>
      <c r="AX507" s="1112"/>
      <c r="AY507" s="1075"/>
      <c r="AZ507" s="1076"/>
      <c r="BA507" s="1076"/>
      <c r="BB507" s="1076"/>
      <c r="BC507" s="1076"/>
      <c r="BD507" s="1076"/>
      <c r="BE507" s="1076"/>
      <c r="BF507" s="1076"/>
      <c r="BG507" s="1126"/>
      <c r="BH507" s="1126"/>
      <c r="BI507" s="1127">
        <v>100</v>
      </c>
      <c r="BJ507" s="1126">
        <v>100</v>
      </c>
      <c r="BK507" s="1126">
        <v>100</v>
      </c>
      <c r="BL507" s="1126">
        <v>100</v>
      </c>
      <c r="BM507" s="1126">
        <v>100</v>
      </c>
      <c r="BN507" s="1075"/>
      <c r="BO507" s="1076"/>
      <c r="BP507" s="1076"/>
      <c r="BQ507" s="1076"/>
      <c r="BR507" s="1076"/>
      <c r="BS507" s="1115"/>
      <c r="BT507" s="1076"/>
      <c r="BU507" s="1076"/>
      <c r="BV507" s="1076"/>
      <c r="BW507" s="1116"/>
      <c r="BX507" s="1115"/>
      <c r="BY507" s="1076"/>
      <c r="BZ507" s="1076"/>
      <c r="CA507" s="1076"/>
      <c r="CB507" s="1116"/>
      <c r="CC507" s="1117"/>
      <c r="CD507" s="1118" t="s">
        <v>168</v>
      </c>
      <c r="CE507" s="1119" t="s">
        <v>168</v>
      </c>
      <c r="CF507" s="1119" t="s">
        <v>168</v>
      </c>
      <c r="CG507" s="1119" t="s">
        <v>168</v>
      </c>
      <c r="CH507" s="1120" t="s">
        <v>168</v>
      </c>
      <c r="CI507" s="1075" t="s">
        <v>1942</v>
      </c>
      <c r="CJ507" s="1076" t="s">
        <v>1942</v>
      </c>
      <c r="CK507" s="1076" t="s">
        <v>1942</v>
      </c>
      <c r="CL507" s="1076" t="s">
        <v>1942</v>
      </c>
      <c r="CM507" s="1117" t="s">
        <v>1942</v>
      </c>
      <c r="CN507" s="1075" t="s">
        <v>1942</v>
      </c>
      <c r="CO507" s="1076" t="s">
        <v>1942</v>
      </c>
      <c r="CP507" s="1076" t="s">
        <v>1942</v>
      </c>
      <c r="CQ507" s="1076" t="s">
        <v>1942</v>
      </c>
      <c r="CR507" s="1117" t="s">
        <v>1942</v>
      </c>
      <c r="CS507" s="1075">
        <v>99</v>
      </c>
      <c r="CT507" s="1076">
        <v>99</v>
      </c>
      <c r="CU507" s="1076">
        <v>99</v>
      </c>
      <c r="CV507" s="1076">
        <v>99</v>
      </c>
      <c r="CW507" s="1117">
        <v>99</v>
      </c>
      <c r="CX507" s="1075" t="s">
        <v>1942</v>
      </c>
      <c r="CY507" s="1076" t="s">
        <v>1942</v>
      </c>
      <c r="CZ507" s="1076" t="s">
        <v>1942</v>
      </c>
      <c r="DA507" s="1076" t="s">
        <v>1942</v>
      </c>
      <c r="DB507" s="1117" t="s">
        <v>1942</v>
      </c>
      <c r="DC507" s="1076" t="s">
        <v>1942</v>
      </c>
      <c r="DD507" s="1076" t="s">
        <v>1942</v>
      </c>
      <c r="DE507" s="1076" t="s">
        <v>1942</v>
      </c>
      <c r="DF507" s="1076" t="s">
        <v>1942</v>
      </c>
      <c r="DG507" s="1117" t="s">
        <v>1942</v>
      </c>
      <c r="DH507" s="1075" t="s">
        <v>1942</v>
      </c>
      <c r="DI507" s="1076" t="s">
        <v>1942</v>
      </c>
      <c r="DJ507" s="1076" t="s">
        <v>1942</v>
      </c>
      <c r="DK507" s="1076" t="s">
        <v>1942</v>
      </c>
      <c r="DL507" s="1117" t="s">
        <v>1942</v>
      </c>
      <c r="DM507" s="1121">
        <v>-1.5249999999999999</v>
      </c>
      <c r="DN507" s="1122" t="s">
        <v>1942</v>
      </c>
      <c r="DO507" s="1122" t="s">
        <v>1942</v>
      </c>
      <c r="DP507" s="1123" t="s">
        <v>1942</v>
      </c>
      <c r="DQ507" s="1122" t="s">
        <v>1942</v>
      </c>
      <c r="DR507" s="1122" t="s">
        <v>1942</v>
      </c>
      <c r="DS507" s="1122" t="s">
        <v>1942</v>
      </c>
      <c r="DT507" s="1123" t="s">
        <v>1942</v>
      </c>
      <c r="DU507" s="1119" t="s">
        <v>1942</v>
      </c>
      <c r="DV507" s="1124">
        <v>100</v>
      </c>
      <c r="DW507" s="1125" t="s">
        <v>4097</v>
      </c>
    </row>
    <row r="508" spans="1:127" s="397" customFormat="1" ht="15.75" hidden="1" customHeight="1">
      <c r="A508" s="1097" t="s">
        <v>1050</v>
      </c>
      <c r="B508" s="1057">
        <v>499</v>
      </c>
      <c r="C508" s="1018"/>
      <c r="D508" s="1018"/>
      <c r="E508" s="1018"/>
      <c r="F508" s="1018"/>
      <c r="G508" s="1018"/>
      <c r="H508" s="1018"/>
      <c r="I508" s="1018"/>
      <c r="J508" s="1018"/>
      <c r="K508" s="1018"/>
      <c r="L508" s="1018"/>
      <c r="M508" s="1057"/>
      <c r="N508" s="1018"/>
      <c r="O508" s="1018"/>
      <c r="P508" s="1018"/>
      <c r="Q508" s="1018"/>
      <c r="R508" s="1018"/>
      <c r="S508" s="1018"/>
      <c r="T508" s="1019"/>
      <c r="U508" s="1098" t="s">
        <v>4064</v>
      </c>
      <c r="V508" s="1099" t="s">
        <v>4058</v>
      </c>
      <c r="W508" s="1099" t="s">
        <v>1889</v>
      </c>
      <c r="X508" s="1100" t="s">
        <v>4065</v>
      </c>
      <c r="Y508" s="1101" t="s">
        <v>2891</v>
      </c>
      <c r="Z508" s="1102" t="s">
        <v>4066</v>
      </c>
      <c r="AA508" s="1103">
        <v>1</v>
      </c>
      <c r="AB508" s="1104" t="s">
        <v>1942</v>
      </c>
      <c r="AC508" s="1104" t="s">
        <v>1942</v>
      </c>
      <c r="AD508" s="1104" t="s">
        <v>1942</v>
      </c>
      <c r="AE508" s="1104" t="s">
        <v>1942</v>
      </c>
      <c r="AF508" s="1104" t="s">
        <v>1942</v>
      </c>
      <c r="AG508" s="1104" t="s">
        <v>1942</v>
      </c>
      <c r="AH508" s="1104" t="s">
        <v>1942</v>
      </c>
      <c r="AI508" s="1105">
        <f t="shared" si="7"/>
        <v>1</v>
      </c>
      <c r="AJ508" s="1106" t="s">
        <v>1030</v>
      </c>
      <c r="AK508" s="1106" t="s">
        <v>1008</v>
      </c>
      <c r="AL508" s="1106" t="s">
        <v>1009</v>
      </c>
      <c r="AM508" s="1107" t="s">
        <v>1979</v>
      </c>
      <c r="AN508" s="1018" t="s">
        <v>1033</v>
      </c>
      <c r="AO508" s="1018" t="s">
        <v>2312</v>
      </c>
      <c r="AP508" s="1274">
        <v>1</v>
      </c>
      <c r="AQ508" s="1076" t="s">
        <v>1020</v>
      </c>
      <c r="AR508" s="1109" t="s">
        <v>1942</v>
      </c>
      <c r="AS508" s="1110"/>
      <c r="AT508" s="1100"/>
      <c r="AU508" s="1100"/>
      <c r="AV508" s="1100"/>
      <c r="AW508" s="1111"/>
      <c r="AX508" s="1112"/>
      <c r="AY508" s="1075"/>
      <c r="AZ508" s="1076"/>
      <c r="BA508" s="1076"/>
      <c r="BB508" s="1076"/>
      <c r="BC508" s="1076"/>
      <c r="BD508" s="1076"/>
      <c r="BE508" s="1076"/>
      <c r="BF508" s="1076"/>
      <c r="BG508" s="1076"/>
      <c r="BH508" s="1076"/>
      <c r="BI508" s="1420"/>
      <c r="BJ508" s="1368"/>
      <c r="BK508" s="1368"/>
      <c r="BL508" s="1368"/>
      <c r="BM508" s="1368"/>
      <c r="BN508" s="1075"/>
      <c r="BO508" s="1076"/>
      <c r="BP508" s="1076"/>
      <c r="BQ508" s="1076"/>
      <c r="BR508" s="1076"/>
      <c r="BS508" s="1115"/>
      <c r="BT508" s="1076"/>
      <c r="BU508" s="1076"/>
      <c r="BV508" s="1076"/>
      <c r="BW508" s="1116"/>
      <c r="BX508" s="1115"/>
      <c r="BY508" s="1076"/>
      <c r="BZ508" s="1076"/>
      <c r="CA508" s="1076"/>
      <c r="CB508" s="1116"/>
      <c r="CC508" s="1117"/>
      <c r="CD508" s="1376"/>
      <c r="CE508" s="1377"/>
      <c r="CF508" s="1377"/>
      <c r="CG508" s="1377"/>
      <c r="CH508" s="1440"/>
      <c r="CI508" s="1420"/>
      <c r="CJ508" s="1368"/>
      <c r="CK508" s="1368"/>
      <c r="CL508" s="1368"/>
      <c r="CM508" s="1369"/>
      <c r="CN508" s="1420"/>
      <c r="CO508" s="1368"/>
      <c r="CP508" s="1368"/>
      <c r="CQ508" s="1368"/>
      <c r="CR508" s="1369"/>
      <c r="CS508" s="1420"/>
      <c r="CT508" s="1368"/>
      <c r="CU508" s="1368"/>
      <c r="CV508" s="1368"/>
      <c r="CW508" s="1369"/>
      <c r="CX508" s="1420"/>
      <c r="CY508" s="1368"/>
      <c r="CZ508" s="1368"/>
      <c r="DA508" s="1368"/>
      <c r="DB508" s="1369"/>
      <c r="DC508" s="1368"/>
      <c r="DD508" s="1368"/>
      <c r="DE508" s="1368"/>
      <c r="DF508" s="1368"/>
      <c r="DG508" s="1369"/>
      <c r="DH508" s="1420"/>
      <c r="DI508" s="1368"/>
      <c r="DJ508" s="1368"/>
      <c r="DK508" s="1368"/>
      <c r="DL508" s="1369"/>
      <c r="DM508" s="1808"/>
      <c r="DN508" s="1809"/>
      <c r="DO508" s="1809"/>
      <c r="DP508" s="1810"/>
      <c r="DQ508" s="1809"/>
      <c r="DR508" s="1809"/>
      <c r="DS508" s="1809"/>
      <c r="DT508" s="1810"/>
      <c r="DU508" s="1377"/>
      <c r="DV508" s="1729"/>
      <c r="DW508" s="1811"/>
    </row>
    <row r="509" spans="1:127" s="397" customFormat="1" ht="15.75" hidden="1" customHeight="1">
      <c r="A509" s="1097" t="s">
        <v>1050</v>
      </c>
      <c r="B509" s="1057">
        <v>500</v>
      </c>
      <c r="C509" s="1018"/>
      <c r="D509" s="1018"/>
      <c r="E509" s="1018"/>
      <c r="F509" s="1018"/>
      <c r="G509" s="1018"/>
      <c r="H509" s="1018"/>
      <c r="I509" s="1018"/>
      <c r="J509" s="1018"/>
      <c r="K509" s="1018"/>
      <c r="L509" s="1018"/>
      <c r="M509" s="1057"/>
      <c r="N509" s="1018"/>
      <c r="O509" s="1018"/>
      <c r="P509" s="1018"/>
      <c r="Q509" s="1018"/>
      <c r="R509" s="1018"/>
      <c r="S509" s="1018"/>
      <c r="T509" s="1019"/>
      <c r="U509" s="1098" t="s">
        <v>4068</v>
      </c>
      <c r="V509" s="1099" t="s">
        <v>4058</v>
      </c>
      <c r="W509" s="1099" t="s">
        <v>1889</v>
      </c>
      <c r="X509" s="1100" t="s">
        <v>4069</v>
      </c>
      <c r="Y509" s="1101" t="s">
        <v>4070</v>
      </c>
      <c r="Z509" s="1102" t="s">
        <v>4071</v>
      </c>
      <c r="AA509" s="1103">
        <v>1</v>
      </c>
      <c r="AB509" s="1104" t="s">
        <v>1942</v>
      </c>
      <c r="AC509" s="1104" t="s">
        <v>1942</v>
      </c>
      <c r="AD509" s="1104" t="s">
        <v>1942</v>
      </c>
      <c r="AE509" s="1104" t="s">
        <v>1942</v>
      </c>
      <c r="AF509" s="1104" t="s">
        <v>1942</v>
      </c>
      <c r="AG509" s="1104" t="s">
        <v>1942</v>
      </c>
      <c r="AH509" s="1104" t="s">
        <v>1942</v>
      </c>
      <c r="AI509" s="1105">
        <f t="shared" si="7"/>
        <v>1</v>
      </c>
      <c r="AJ509" s="1106" t="s">
        <v>1007</v>
      </c>
      <c r="AK509" s="1106" t="s">
        <v>1942</v>
      </c>
      <c r="AL509" s="1106" t="s">
        <v>1942</v>
      </c>
      <c r="AM509" s="1107" t="s">
        <v>2106</v>
      </c>
      <c r="AN509" s="1018" t="s">
        <v>4865</v>
      </c>
      <c r="AO509" s="1018" t="s">
        <v>4072</v>
      </c>
      <c r="AP509" s="1274">
        <v>0</v>
      </c>
      <c r="AQ509" s="1076" t="s">
        <v>1010</v>
      </c>
      <c r="AR509" s="1109" t="s">
        <v>1942</v>
      </c>
      <c r="AS509" s="1110"/>
      <c r="AT509" s="1100"/>
      <c r="AU509" s="1100"/>
      <c r="AV509" s="1100"/>
      <c r="AW509" s="1111"/>
      <c r="AX509" s="1112"/>
      <c r="AY509" s="1075"/>
      <c r="AZ509" s="1076"/>
      <c r="BA509" s="1076"/>
      <c r="BB509" s="1076"/>
      <c r="BC509" s="1076"/>
      <c r="BD509" s="1076"/>
      <c r="BE509" s="1076"/>
      <c r="BF509" s="1076"/>
      <c r="BG509" s="1076"/>
      <c r="BH509" s="1076"/>
      <c r="BI509" s="1420"/>
      <c r="BJ509" s="1368"/>
      <c r="BK509" s="1368"/>
      <c r="BL509" s="1368"/>
      <c r="BM509" s="1368"/>
      <c r="BN509" s="1075"/>
      <c r="BO509" s="1076"/>
      <c r="BP509" s="1076"/>
      <c r="BQ509" s="1076"/>
      <c r="BR509" s="1076"/>
      <c r="BS509" s="1115"/>
      <c r="BT509" s="1076"/>
      <c r="BU509" s="1076"/>
      <c r="BV509" s="1076"/>
      <c r="BW509" s="1116"/>
      <c r="BX509" s="1115"/>
      <c r="BY509" s="1076"/>
      <c r="BZ509" s="1076"/>
      <c r="CA509" s="1076"/>
      <c r="CB509" s="1116"/>
      <c r="CC509" s="1117"/>
      <c r="CD509" s="1376"/>
      <c r="CE509" s="1377"/>
      <c r="CF509" s="1377"/>
      <c r="CG509" s="1377"/>
      <c r="CH509" s="1440"/>
      <c r="CI509" s="1420"/>
      <c r="CJ509" s="1368"/>
      <c r="CK509" s="1368"/>
      <c r="CL509" s="1368"/>
      <c r="CM509" s="1369"/>
      <c r="CN509" s="1420"/>
      <c r="CO509" s="1368"/>
      <c r="CP509" s="1368"/>
      <c r="CQ509" s="1368"/>
      <c r="CR509" s="1369"/>
      <c r="CS509" s="1420"/>
      <c r="CT509" s="1368"/>
      <c r="CU509" s="1368"/>
      <c r="CV509" s="1368"/>
      <c r="CW509" s="1369"/>
      <c r="CX509" s="1420"/>
      <c r="CY509" s="1368"/>
      <c r="CZ509" s="1368"/>
      <c r="DA509" s="1368"/>
      <c r="DB509" s="1369"/>
      <c r="DC509" s="1368"/>
      <c r="DD509" s="1368"/>
      <c r="DE509" s="1368"/>
      <c r="DF509" s="1368"/>
      <c r="DG509" s="1369"/>
      <c r="DH509" s="1420"/>
      <c r="DI509" s="1368"/>
      <c r="DJ509" s="1368"/>
      <c r="DK509" s="1368"/>
      <c r="DL509" s="1369"/>
      <c r="DM509" s="1808"/>
      <c r="DN509" s="1809"/>
      <c r="DO509" s="1809"/>
      <c r="DP509" s="1810"/>
      <c r="DQ509" s="1809"/>
      <c r="DR509" s="1809"/>
      <c r="DS509" s="1809"/>
      <c r="DT509" s="1810"/>
      <c r="DU509" s="1377"/>
      <c r="DV509" s="1729"/>
      <c r="DW509" s="1811"/>
    </row>
    <row r="510" spans="1:127" s="397" customFormat="1" ht="15.75" hidden="1" customHeight="1">
      <c r="A510" s="1097" t="s">
        <v>1050</v>
      </c>
      <c r="B510" s="1057">
        <v>501</v>
      </c>
      <c r="C510" s="1018"/>
      <c r="D510" s="1018"/>
      <c r="E510" s="1018"/>
      <c r="F510" s="1018"/>
      <c r="G510" s="1018"/>
      <c r="H510" s="1018"/>
      <c r="I510" s="1018"/>
      <c r="J510" s="1018"/>
      <c r="K510" s="1018"/>
      <c r="L510" s="1018"/>
      <c r="M510" s="1057"/>
      <c r="N510" s="1018"/>
      <c r="O510" s="1018"/>
      <c r="P510" s="1018"/>
      <c r="Q510" s="1018"/>
      <c r="R510" s="1018"/>
      <c r="S510" s="1018"/>
      <c r="T510" s="1019"/>
      <c r="U510" s="1098" t="s">
        <v>4073</v>
      </c>
      <c r="V510" s="1099" t="s">
        <v>4058</v>
      </c>
      <c r="W510" s="1099" t="s">
        <v>1889</v>
      </c>
      <c r="X510" s="1100" t="s">
        <v>4074</v>
      </c>
      <c r="Y510" s="1101" t="s">
        <v>4075</v>
      </c>
      <c r="Z510" s="1102" t="s">
        <v>4071</v>
      </c>
      <c r="AA510" s="1103" t="s">
        <v>1942</v>
      </c>
      <c r="AB510" s="1104" t="s">
        <v>1942</v>
      </c>
      <c r="AC510" s="1104">
        <v>1</v>
      </c>
      <c r="AD510" s="1104" t="s">
        <v>1942</v>
      </c>
      <c r="AE510" s="1104" t="s">
        <v>1942</v>
      </c>
      <c r="AF510" s="1104" t="s">
        <v>1942</v>
      </c>
      <c r="AG510" s="1104" t="s">
        <v>1942</v>
      </c>
      <c r="AH510" s="1104" t="s">
        <v>1942</v>
      </c>
      <c r="AI510" s="1105">
        <f t="shared" si="7"/>
        <v>1</v>
      </c>
      <c r="AJ510" s="1106" t="s">
        <v>1007</v>
      </c>
      <c r="AK510" s="1106" t="s">
        <v>1942</v>
      </c>
      <c r="AL510" s="1106" t="s">
        <v>1942</v>
      </c>
      <c r="AM510" s="1107" t="s">
        <v>2106</v>
      </c>
      <c r="AN510" s="1018" t="s">
        <v>4865</v>
      </c>
      <c r="AO510" s="1018" t="s">
        <v>4076</v>
      </c>
      <c r="AP510" s="1274">
        <v>0</v>
      </c>
      <c r="AQ510" s="1076" t="s">
        <v>1010</v>
      </c>
      <c r="AR510" s="1109" t="s">
        <v>1942</v>
      </c>
      <c r="AS510" s="1110"/>
      <c r="AT510" s="1100"/>
      <c r="AU510" s="1100"/>
      <c r="AV510" s="1100"/>
      <c r="AW510" s="1111"/>
      <c r="AX510" s="1112"/>
      <c r="AY510" s="1075"/>
      <c r="AZ510" s="1076"/>
      <c r="BA510" s="1076"/>
      <c r="BB510" s="1076"/>
      <c r="BC510" s="1076"/>
      <c r="BD510" s="1076"/>
      <c r="BE510" s="1076"/>
      <c r="BF510" s="1076"/>
      <c r="BG510" s="1076"/>
      <c r="BH510" s="1076"/>
      <c r="BI510" s="1420"/>
      <c r="BJ510" s="1368"/>
      <c r="BK510" s="1368"/>
      <c r="BL510" s="1368"/>
      <c r="BM510" s="1368"/>
      <c r="BN510" s="1075"/>
      <c r="BO510" s="1076"/>
      <c r="BP510" s="1076"/>
      <c r="BQ510" s="1076"/>
      <c r="BR510" s="1076"/>
      <c r="BS510" s="1115"/>
      <c r="BT510" s="1076"/>
      <c r="BU510" s="1076"/>
      <c r="BV510" s="1076"/>
      <c r="BW510" s="1116"/>
      <c r="BX510" s="1115"/>
      <c r="BY510" s="1076"/>
      <c r="BZ510" s="1076"/>
      <c r="CA510" s="1076"/>
      <c r="CB510" s="1116"/>
      <c r="CC510" s="1117"/>
      <c r="CD510" s="1376"/>
      <c r="CE510" s="1377"/>
      <c r="CF510" s="1377"/>
      <c r="CG510" s="1377"/>
      <c r="CH510" s="1440"/>
      <c r="CI510" s="1420"/>
      <c r="CJ510" s="1368"/>
      <c r="CK510" s="1368"/>
      <c r="CL510" s="1368"/>
      <c r="CM510" s="1369"/>
      <c r="CN510" s="1420"/>
      <c r="CO510" s="1368"/>
      <c r="CP510" s="1368"/>
      <c r="CQ510" s="1368"/>
      <c r="CR510" s="1369"/>
      <c r="CS510" s="1420"/>
      <c r="CT510" s="1368"/>
      <c r="CU510" s="1368"/>
      <c r="CV510" s="1368"/>
      <c r="CW510" s="1369"/>
      <c r="CX510" s="1420"/>
      <c r="CY510" s="1368"/>
      <c r="CZ510" s="1368"/>
      <c r="DA510" s="1368"/>
      <c r="DB510" s="1369"/>
      <c r="DC510" s="1368"/>
      <c r="DD510" s="1368"/>
      <c r="DE510" s="1368"/>
      <c r="DF510" s="1368"/>
      <c r="DG510" s="1369"/>
      <c r="DH510" s="1420"/>
      <c r="DI510" s="1368"/>
      <c r="DJ510" s="1368"/>
      <c r="DK510" s="1368"/>
      <c r="DL510" s="1369"/>
      <c r="DM510" s="1808"/>
      <c r="DN510" s="1809"/>
      <c r="DO510" s="1809"/>
      <c r="DP510" s="1810"/>
      <c r="DQ510" s="1809"/>
      <c r="DR510" s="1809"/>
      <c r="DS510" s="1809"/>
      <c r="DT510" s="1810"/>
      <c r="DU510" s="1377"/>
      <c r="DV510" s="1729"/>
      <c r="DW510" s="1811"/>
    </row>
    <row r="511" spans="1:127" s="397" customFormat="1" ht="15.75" hidden="1" customHeight="1">
      <c r="A511" s="1097" t="s">
        <v>1050</v>
      </c>
      <c r="B511" s="1057">
        <v>502</v>
      </c>
      <c r="C511" s="1018"/>
      <c r="D511" s="1018"/>
      <c r="E511" s="1018"/>
      <c r="F511" s="1018"/>
      <c r="G511" s="1018"/>
      <c r="H511" s="1018"/>
      <c r="I511" s="1018"/>
      <c r="J511" s="1018"/>
      <c r="K511" s="1018"/>
      <c r="L511" s="1018"/>
      <c r="M511" s="1057"/>
      <c r="N511" s="1018"/>
      <c r="O511" s="1018"/>
      <c r="P511" s="1018"/>
      <c r="Q511" s="1018"/>
      <c r="R511" s="1018"/>
      <c r="S511" s="1018"/>
      <c r="T511" s="1019"/>
      <c r="U511" s="1098" t="s">
        <v>4077</v>
      </c>
      <c r="V511" s="1099" t="s">
        <v>4058</v>
      </c>
      <c r="W511" s="1099" t="s">
        <v>1889</v>
      </c>
      <c r="X511" s="1100" t="s">
        <v>4078</v>
      </c>
      <c r="Y511" s="1101" t="s">
        <v>4079</v>
      </c>
      <c r="Z511" s="1102" t="s">
        <v>4080</v>
      </c>
      <c r="AA511" s="1103" t="s">
        <v>1942</v>
      </c>
      <c r="AB511" s="1104" t="s">
        <v>1942</v>
      </c>
      <c r="AC511" s="1104">
        <v>1</v>
      </c>
      <c r="AD511" s="1104" t="s">
        <v>1942</v>
      </c>
      <c r="AE511" s="1104" t="s">
        <v>1942</v>
      </c>
      <c r="AF511" s="1104" t="s">
        <v>1942</v>
      </c>
      <c r="AG511" s="1104" t="s">
        <v>1942</v>
      </c>
      <c r="AH511" s="1104" t="s">
        <v>1942</v>
      </c>
      <c r="AI511" s="1105">
        <f t="shared" si="7"/>
        <v>1</v>
      </c>
      <c r="AJ511" s="1106" t="s">
        <v>1030</v>
      </c>
      <c r="AK511" s="1106" t="s">
        <v>1008</v>
      </c>
      <c r="AL511" s="1106" t="s">
        <v>4861</v>
      </c>
      <c r="AM511" s="1107" t="s">
        <v>2106</v>
      </c>
      <c r="AN511" s="1018" t="s">
        <v>1033</v>
      </c>
      <c r="AO511" s="1018" t="s">
        <v>4081</v>
      </c>
      <c r="AP511" s="1274">
        <v>0</v>
      </c>
      <c r="AQ511" s="1076" t="s">
        <v>1010</v>
      </c>
      <c r="AR511" s="1109" t="s">
        <v>1942</v>
      </c>
      <c r="AS511" s="1110"/>
      <c r="AT511" s="1100"/>
      <c r="AU511" s="1100"/>
      <c r="AV511" s="1100"/>
      <c r="AW511" s="1111"/>
      <c r="AX511" s="1112"/>
      <c r="AY511" s="1075"/>
      <c r="AZ511" s="1076"/>
      <c r="BA511" s="1076"/>
      <c r="BB511" s="1076"/>
      <c r="BC511" s="1076"/>
      <c r="BD511" s="1076"/>
      <c r="BE511" s="1076"/>
      <c r="BF511" s="1076"/>
      <c r="BG511" s="1076"/>
      <c r="BH511" s="1076"/>
      <c r="BI511" s="1420"/>
      <c r="BJ511" s="1368"/>
      <c r="BK511" s="1368"/>
      <c r="BL511" s="1368"/>
      <c r="BM511" s="1368"/>
      <c r="BN511" s="1075"/>
      <c r="BO511" s="1076"/>
      <c r="BP511" s="1076"/>
      <c r="BQ511" s="1076"/>
      <c r="BR511" s="1076"/>
      <c r="BS511" s="1115"/>
      <c r="BT511" s="1076"/>
      <c r="BU511" s="1076"/>
      <c r="BV511" s="1076"/>
      <c r="BW511" s="1116"/>
      <c r="BX511" s="1115"/>
      <c r="BY511" s="1076"/>
      <c r="BZ511" s="1076"/>
      <c r="CA511" s="1076"/>
      <c r="CB511" s="1116"/>
      <c r="CC511" s="1117"/>
      <c r="CD511" s="1376"/>
      <c r="CE511" s="1377"/>
      <c r="CF511" s="1377"/>
      <c r="CG511" s="1377"/>
      <c r="CH511" s="1440"/>
      <c r="CI511" s="1420"/>
      <c r="CJ511" s="1368"/>
      <c r="CK511" s="1368"/>
      <c r="CL511" s="1368"/>
      <c r="CM511" s="1369"/>
      <c r="CN511" s="1420"/>
      <c r="CO511" s="1368"/>
      <c r="CP511" s="1368"/>
      <c r="CQ511" s="1368"/>
      <c r="CR511" s="1369"/>
      <c r="CS511" s="1420"/>
      <c r="CT511" s="1368"/>
      <c r="CU511" s="1368"/>
      <c r="CV511" s="1368"/>
      <c r="CW511" s="1369"/>
      <c r="CX511" s="1420"/>
      <c r="CY511" s="1368"/>
      <c r="CZ511" s="1368"/>
      <c r="DA511" s="1368"/>
      <c r="DB511" s="1369"/>
      <c r="DC511" s="1368"/>
      <c r="DD511" s="1368"/>
      <c r="DE511" s="1368"/>
      <c r="DF511" s="1368"/>
      <c r="DG511" s="1369"/>
      <c r="DH511" s="1420"/>
      <c r="DI511" s="1368"/>
      <c r="DJ511" s="1368"/>
      <c r="DK511" s="1368"/>
      <c r="DL511" s="1369"/>
      <c r="DM511" s="1808"/>
      <c r="DN511" s="1809"/>
      <c r="DO511" s="1809"/>
      <c r="DP511" s="1810"/>
      <c r="DQ511" s="1809"/>
      <c r="DR511" s="1809"/>
      <c r="DS511" s="1809"/>
      <c r="DT511" s="1810"/>
      <c r="DU511" s="1377"/>
      <c r="DV511" s="1729"/>
      <c r="DW511" s="1811"/>
    </row>
    <row r="512" spans="1:127" s="397" customFormat="1" ht="15.75" hidden="1" customHeight="1">
      <c r="A512" s="1097" t="s">
        <v>1050</v>
      </c>
      <c r="B512" s="1057">
        <v>503</v>
      </c>
      <c r="C512" s="1018"/>
      <c r="D512" s="1018"/>
      <c r="E512" s="1018"/>
      <c r="F512" s="1018"/>
      <c r="G512" s="1018"/>
      <c r="H512" s="1018"/>
      <c r="I512" s="1018"/>
      <c r="J512" s="1018"/>
      <c r="K512" s="1018"/>
      <c r="L512" s="1018"/>
      <c r="M512" s="1057"/>
      <c r="N512" s="1018"/>
      <c r="O512" s="1018"/>
      <c r="P512" s="1018"/>
      <c r="Q512" s="1018"/>
      <c r="R512" s="1018"/>
      <c r="S512" s="1018"/>
      <c r="T512" s="1019"/>
      <c r="U512" s="1098" t="s">
        <v>4082</v>
      </c>
      <c r="V512" s="1099" t="s">
        <v>4058</v>
      </c>
      <c r="W512" s="1099" t="s">
        <v>1907</v>
      </c>
      <c r="X512" s="1100" t="s">
        <v>4083</v>
      </c>
      <c r="Y512" s="1101" t="s">
        <v>4084</v>
      </c>
      <c r="Z512" s="1102" t="s">
        <v>4085</v>
      </c>
      <c r="AA512" s="1103">
        <v>0.1</v>
      </c>
      <c r="AB512" s="1104">
        <v>0.05</v>
      </c>
      <c r="AC512" s="1104">
        <v>0.8</v>
      </c>
      <c r="AD512" s="1104">
        <v>0.05</v>
      </c>
      <c r="AE512" s="1104" t="s">
        <v>1942</v>
      </c>
      <c r="AF512" s="1104" t="s">
        <v>1942</v>
      </c>
      <c r="AG512" s="1104" t="s">
        <v>1942</v>
      </c>
      <c r="AH512" s="1104" t="s">
        <v>1942</v>
      </c>
      <c r="AI512" s="1105">
        <f t="shared" si="7"/>
        <v>1</v>
      </c>
      <c r="AJ512" s="1106" t="s">
        <v>1030</v>
      </c>
      <c r="AK512" s="1106" t="s">
        <v>1008</v>
      </c>
      <c r="AL512" s="1106" t="s">
        <v>1009</v>
      </c>
      <c r="AM512" s="1107" t="s">
        <v>2106</v>
      </c>
      <c r="AN512" s="1018" t="s">
        <v>123</v>
      </c>
      <c r="AO512" s="1018" t="s">
        <v>4086</v>
      </c>
      <c r="AP512" s="1274">
        <v>3</v>
      </c>
      <c r="AQ512" s="1076" t="s">
        <v>1010</v>
      </c>
      <c r="AR512" s="1109" t="s">
        <v>1942</v>
      </c>
      <c r="AS512" s="1110"/>
      <c r="AT512" s="1100"/>
      <c r="AU512" s="1100"/>
      <c r="AV512" s="1100"/>
      <c r="AW512" s="1111"/>
      <c r="AX512" s="1112"/>
      <c r="AY512" s="1075"/>
      <c r="AZ512" s="1076"/>
      <c r="BA512" s="1076"/>
      <c r="BB512" s="1076"/>
      <c r="BC512" s="1076"/>
      <c r="BD512" s="1076"/>
      <c r="BE512" s="1076"/>
      <c r="BF512" s="1076"/>
      <c r="BG512" s="1076"/>
      <c r="BH512" s="1076"/>
      <c r="BI512" s="1420"/>
      <c r="BJ512" s="1368"/>
      <c r="BK512" s="1368"/>
      <c r="BL512" s="1368"/>
      <c r="BM512" s="1368"/>
      <c r="BN512" s="1075"/>
      <c r="BO512" s="1076"/>
      <c r="BP512" s="1076"/>
      <c r="BQ512" s="1076"/>
      <c r="BR512" s="1076"/>
      <c r="BS512" s="1115"/>
      <c r="BT512" s="1076"/>
      <c r="BU512" s="1076"/>
      <c r="BV512" s="1076"/>
      <c r="BW512" s="1116"/>
      <c r="BX512" s="1115"/>
      <c r="BY512" s="1076"/>
      <c r="BZ512" s="1076"/>
      <c r="CA512" s="1076"/>
      <c r="CB512" s="1116"/>
      <c r="CC512" s="1117"/>
      <c r="CD512" s="1376"/>
      <c r="CE512" s="1377"/>
      <c r="CF512" s="1377"/>
      <c r="CG512" s="1377"/>
      <c r="CH512" s="1440"/>
      <c r="CI512" s="1420"/>
      <c r="CJ512" s="1368"/>
      <c r="CK512" s="1368"/>
      <c r="CL512" s="1368"/>
      <c r="CM512" s="1369"/>
      <c r="CN512" s="1420"/>
      <c r="CO512" s="1368"/>
      <c r="CP512" s="1368"/>
      <c r="CQ512" s="1368"/>
      <c r="CR512" s="1369"/>
      <c r="CS512" s="1420"/>
      <c r="CT512" s="1368"/>
      <c r="CU512" s="1368"/>
      <c r="CV512" s="1368"/>
      <c r="CW512" s="1369"/>
      <c r="CX512" s="1420"/>
      <c r="CY512" s="1368"/>
      <c r="CZ512" s="1368"/>
      <c r="DA512" s="1368"/>
      <c r="DB512" s="1369"/>
      <c r="DC512" s="1368"/>
      <c r="DD512" s="1368"/>
      <c r="DE512" s="1368"/>
      <c r="DF512" s="1368"/>
      <c r="DG512" s="1369"/>
      <c r="DH512" s="1420"/>
      <c r="DI512" s="1368"/>
      <c r="DJ512" s="1368"/>
      <c r="DK512" s="1368"/>
      <c r="DL512" s="1369"/>
      <c r="DM512" s="1808"/>
      <c r="DN512" s="1809"/>
      <c r="DO512" s="1809"/>
      <c r="DP512" s="1810"/>
      <c r="DQ512" s="1809"/>
      <c r="DR512" s="1809"/>
      <c r="DS512" s="1809"/>
      <c r="DT512" s="1810"/>
      <c r="DU512" s="1377"/>
      <c r="DV512" s="1729"/>
      <c r="DW512" s="1811"/>
    </row>
    <row r="513" spans="1:127" s="397" customFormat="1" ht="15.75" hidden="1" customHeight="1">
      <c r="A513" s="1097" t="s">
        <v>1050</v>
      </c>
      <c r="B513" s="1057">
        <v>504</v>
      </c>
      <c r="C513" s="1018"/>
      <c r="D513" s="1018"/>
      <c r="E513" s="1018"/>
      <c r="F513" s="1018"/>
      <c r="G513" s="1018"/>
      <c r="H513" s="1018"/>
      <c r="I513" s="1018"/>
      <c r="J513" s="1018"/>
      <c r="K513" s="1018"/>
      <c r="L513" s="1018"/>
      <c r="M513" s="1057"/>
      <c r="N513" s="1018"/>
      <c r="O513" s="1018"/>
      <c r="P513" s="1018"/>
      <c r="Q513" s="1018"/>
      <c r="R513" s="1018"/>
      <c r="S513" s="1018"/>
      <c r="T513" s="1019"/>
      <c r="U513" s="1098" t="s">
        <v>4087</v>
      </c>
      <c r="V513" s="1099" t="s">
        <v>4058</v>
      </c>
      <c r="W513" s="1099" t="s">
        <v>1889</v>
      </c>
      <c r="X513" s="1100" t="s">
        <v>4088</v>
      </c>
      <c r="Y513" s="1101" t="s">
        <v>4089</v>
      </c>
      <c r="Z513" s="1102" t="s">
        <v>4090</v>
      </c>
      <c r="AA513" s="1103" t="s">
        <v>1942</v>
      </c>
      <c r="AB513" s="1104" t="s">
        <v>1942</v>
      </c>
      <c r="AC513" s="1104" t="s">
        <v>1942</v>
      </c>
      <c r="AD513" s="1104">
        <v>1</v>
      </c>
      <c r="AE513" s="1104" t="s">
        <v>1942</v>
      </c>
      <c r="AF513" s="1104" t="s">
        <v>1942</v>
      </c>
      <c r="AG513" s="1104" t="s">
        <v>1942</v>
      </c>
      <c r="AH513" s="1104" t="s">
        <v>1942</v>
      </c>
      <c r="AI513" s="1105">
        <f t="shared" si="7"/>
        <v>1</v>
      </c>
      <c r="AJ513" s="1106" t="s">
        <v>1030</v>
      </c>
      <c r="AK513" s="1106" t="s">
        <v>1008</v>
      </c>
      <c r="AL513" s="1106" t="s">
        <v>1009</v>
      </c>
      <c r="AM513" s="1107" t="s">
        <v>763</v>
      </c>
      <c r="AN513" s="1018" t="s">
        <v>278</v>
      </c>
      <c r="AO513" s="1018" t="s">
        <v>4091</v>
      </c>
      <c r="AP513" s="1274">
        <v>2</v>
      </c>
      <c r="AQ513" s="1076" t="s">
        <v>1010</v>
      </c>
      <c r="AR513" s="1109" t="s">
        <v>1942</v>
      </c>
      <c r="AS513" s="1110"/>
      <c r="AT513" s="1100"/>
      <c r="AU513" s="1100"/>
      <c r="AV513" s="1100"/>
      <c r="AW513" s="1111"/>
      <c r="AX513" s="1112"/>
      <c r="AY513" s="1075"/>
      <c r="AZ513" s="1076"/>
      <c r="BA513" s="1076"/>
      <c r="BB513" s="1076"/>
      <c r="BC513" s="1076"/>
      <c r="BD513" s="1076"/>
      <c r="BE513" s="1076"/>
      <c r="BF513" s="1076"/>
      <c r="BG513" s="1076"/>
      <c r="BH513" s="1076"/>
      <c r="BI513" s="1420"/>
      <c r="BJ513" s="1368"/>
      <c r="BK513" s="1368"/>
      <c r="BL513" s="1368"/>
      <c r="BM513" s="1368"/>
      <c r="BN513" s="1075"/>
      <c r="BO513" s="1076"/>
      <c r="BP513" s="1076"/>
      <c r="BQ513" s="1076"/>
      <c r="BR513" s="1076"/>
      <c r="BS513" s="1115"/>
      <c r="BT513" s="1076"/>
      <c r="BU513" s="1076"/>
      <c r="BV513" s="1076"/>
      <c r="BW513" s="1116"/>
      <c r="BX513" s="1115"/>
      <c r="BY513" s="1076"/>
      <c r="BZ513" s="1076"/>
      <c r="CA513" s="1076"/>
      <c r="CB513" s="1116"/>
      <c r="CC513" s="1117"/>
      <c r="CD513" s="1376"/>
      <c r="CE513" s="1377"/>
      <c r="CF513" s="1377"/>
      <c r="CG513" s="1377"/>
      <c r="CH513" s="1440"/>
      <c r="CI513" s="1420"/>
      <c r="CJ513" s="1368"/>
      <c r="CK513" s="1368"/>
      <c r="CL513" s="1368"/>
      <c r="CM513" s="1369"/>
      <c r="CN513" s="1420"/>
      <c r="CO513" s="1368"/>
      <c r="CP513" s="1368"/>
      <c r="CQ513" s="1368"/>
      <c r="CR513" s="1369"/>
      <c r="CS513" s="1420"/>
      <c r="CT513" s="1368"/>
      <c r="CU513" s="1368"/>
      <c r="CV513" s="1368"/>
      <c r="CW513" s="1369"/>
      <c r="CX513" s="1420"/>
      <c r="CY513" s="1368"/>
      <c r="CZ513" s="1368"/>
      <c r="DA513" s="1368"/>
      <c r="DB513" s="1369"/>
      <c r="DC513" s="1368"/>
      <c r="DD513" s="1368"/>
      <c r="DE513" s="1368"/>
      <c r="DF513" s="1368"/>
      <c r="DG513" s="1369"/>
      <c r="DH513" s="1420"/>
      <c r="DI513" s="1368"/>
      <c r="DJ513" s="1368"/>
      <c r="DK513" s="1368"/>
      <c r="DL513" s="1369"/>
      <c r="DM513" s="1808"/>
      <c r="DN513" s="1809"/>
      <c r="DO513" s="1809"/>
      <c r="DP513" s="1810"/>
      <c r="DQ513" s="1809"/>
      <c r="DR513" s="1809"/>
      <c r="DS513" s="1809"/>
      <c r="DT513" s="1810"/>
      <c r="DU513" s="1377"/>
      <c r="DV513" s="1729"/>
      <c r="DW513" s="1811"/>
    </row>
    <row r="514" spans="1:127" s="397" customFormat="1" ht="15.75" hidden="1" customHeight="1">
      <c r="A514" s="1097" t="s">
        <v>1050</v>
      </c>
      <c r="B514" s="1057">
        <v>505</v>
      </c>
      <c r="C514" s="1018"/>
      <c r="D514" s="1018"/>
      <c r="E514" s="1018"/>
      <c r="F514" s="1018"/>
      <c r="G514" s="1018"/>
      <c r="H514" s="1018"/>
      <c r="I514" s="1018"/>
      <c r="J514" s="1018"/>
      <c r="K514" s="1018"/>
      <c r="L514" s="1018"/>
      <c r="M514" s="1057"/>
      <c r="N514" s="1018"/>
      <c r="O514" s="1018"/>
      <c r="P514" s="1018"/>
      <c r="Q514" s="1018"/>
      <c r="R514" s="1018"/>
      <c r="S514" s="1018"/>
      <c r="T514" s="1019"/>
      <c r="U514" s="1098" t="s">
        <v>4092</v>
      </c>
      <c r="V514" s="1099" t="s">
        <v>4058</v>
      </c>
      <c r="W514" s="1099" t="s">
        <v>1907</v>
      </c>
      <c r="X514" s="1100" t="s">
        <v>4093</v>
      </c>
      <c r="Y514" s="1101" t="s">
        <v>4094</v>
      </c>
      <c r="Z514" s="1102" t="s">
        <v>4095</v>
      </c>
      <c r="AA514" s="1103" t="s">
        <v>1942</v>
      </c>
      <c r="AB514" s="1104" t="s">
        <v>1942</v>
      </c>
      <c r="AC514" s="1104" t="s">
        <v>1942</v>
      </c>
      <c r="AD514" s="1104">
        <v>1</v>
      </c>
      <c r="AE514" s="1104" t="s">
        <v>1942</v>
      </c>
      <c r="AF514" s="1104" t="s">
        <v>1942</v>
      </c>
      <c r="AG514" s="1104" t="s">
        <v>1942</v>
      </c>
      <c r="AH514" s="1104" t="s">
        <v>1942</v>
      </c>
      <c r="AI514" s="1105">
        <f t="shared" si="7"/>
        <v>1</v>
      </c>
      <c r="AJ514" s="1106" t="s">
        <v>1030</v>
      </c>
      <c r="AK514" s="1106" t="s">
        <v>1008</v>
      </c>
      <c r="AL514" s="1106" t="s">
        <v>1009</v>
      </c>
      <c r="AM514" s="1107" t="s">
        <v>2132</v>
      </c>
      <c r="AN514" s="1018" t="s">
        <v>1033</v>
      </c>
      <c r="AO514" s="1018" t="s">
        <v>4096</v>
      </c>
      <c r="AP514" s="1274">
        <v>2</v>
      </c>
      <c r="AQ514" s="1076" t="s">
        <v>1020</v>
      </c>
      <c r="AR514" s="1109" t="s">
        <v>1942</v>
      </c>
      <c r="AS514" s="1110"/>
      <c r="AT514" s="1100"/>
      <c r="AU514" s="1100"/>
      <c r="AV514" s="1100"/>
      <c r="AW514" s="1111"/>
      <c r="AX514" s="1112"/>
      <c r="AY514" s="1075"/>
      <c r="AZ514" s="1076"/>
      <c r="BA514" s="1076"/>
      <c r="BB514" s="1076"/>
      <c r="BC514" s="1076"/>
      <c r="BD514" s="1076"/>
      <c r="BE514" s="1076"/>
      <c r="BF514" s="1076"/>
      <c r="BG514" s="1076"/>
      <c r="BH514" s="1076"/>
      <c r="BI514" s="1420"/>
      <c r="BJ514" s="1368"/>
      <c r="BK514" s="1368"/>
      <c r="BL514" s="1368"/>
      <c r="BM514" s="1368"/>
      <c r="BN514" s="1075"/>
      <c r="BO514" s="1076"/>
      <c r="BP514" s="1076"/>
      <c r="BQ514" s="1076"/>
      <c r="BR514" s="1076"/>
      <c r="BS514" s="1115"/>
      <c r="BT514" s="1076"/>
      <c r="BU514" s="1076"/>
      <c r="BV514" s="1076"/>
      <c r="BW514" s="1116"/>
      <c r="BX514" s="1115"/>
      <c r="BY514" s="1076"/>
      <c r="BZ514" s="1076"/>
      <c r="CA514" s="1076"/>
      <c r="CB514" s="1116"/>
      <c r="CC514" s="1117"/>
      <c r="CD514" s="1376"/>
      <c r="CE514" s="1377"/>
      <c r="CF514" s="1377"/>
      <c r="CG514" s="1377"/>
      <c r="CH514" s="1440"/>
      <c r="CI514" s="1420"/>
      <c r="CJ514" s="1368"/>
      <c r="CK514" s="1368"/>
      <c r="CL514" s="1368"/>
      <c r="CM514" s="1369"/>
      <c r="CN514" s="1420"/>
      <c r="CO514" s="1368"/>
      <c r="CP514" s="1368"/>
      <c r="CQ514" s="1368"/>
      <c r="CR514" s="1369"/>
      <c r="CS514" s="1420"/>
      <c r="CT514" s="1368"/>
      <c r="CU514" s="1368"/>
      <c r="CV514" s="1368"/>
      <c r="CW514" s="1369"/>
      <c r="CX514" s="1420"/>
      <c r="CY514" s="1368"/>
      <c r="CZ514" s="1368"/>
      <c r="DA514" s="1368"/>
      <c r="DB514" s="1369"/>
      <c r="DC514" s="1368"/>
      <c r="DD514" s="1368"/>
      <c r="DE514" s="1368"/>
      <c r="DF514" s="1368"/>
      <c r="DG514" s="1369"/>
      <c r="DH514" s="1420"/>
      <c r="DI514" s="1368"/>
      <c r="DJ514" s="1368"/>
      <c r="DK514" s="1368"/>
      <c r="DL514" s="1369"/>
      <c r="DM514" s="1808"/>
      <c r="DN514" s="1809"/>
      <c r="DO514" s="1809"/>
      <c r="DP514" s="1810"/>
      <c r="DQ514" s="1809"/>
      <c r="DR514" s="1809"/>
      <c r="DS514" s="1809"/>
      <c r="DT514" s="1810"/>
      <c r="DU514" s="1377"/>
      <c r="DV514" s="1729"/>
      <c r="DW514" s="1811"/>
    </row>
    <row r="515" spans="1:127" s="397" customFormat="1" ht="15.75" hidden="1" customHeight="1">
      <c r="A515" s="1097" t="s">
        <v>1050</v>
      </c>
      <c r="B515" s="1057">
        <v>506</v>
      </c>
      <c r="C515" s="1018"/>
      <c r="D515" s="1018"/>
      <c r="E515" s="1018"/>
      <c r="F515" s="1018"/>
      <c r="G515" s="1018"/>
      <c r="H515" s="1018"/>
      <c r="I515" s="1018"/>
      <c r="J515" s="1018"/>
      <c r="K515" s="1018"/>
      <c r="L515" s="1018"/>
      <c r="M515" s="1057"/>
      <c r="N515" s="1018"/>
      <c r="O515" s="1018"/>
      <c r="P515" s="1018"/>
      <c r="Q515" s="1018"/>
      <c r="R515" s="1018"/>
      <c r="S515" s="1018"/>
      <c r="T515" s="1019"/>
      <c r="U515" s="1098" t="s">
        <v>4098</v>
      </c>
      <c r="V515" s="1099" t="s">
        <v>4099</v>
      </c>
      <c r="W515" s="1099" t="s">
        <v>1907</v>
      </c>
      <c r="X515" s="1100" t="s">
        <v>4100</v>
      </c>
      <c r="Y515" s="1101" t="s">
        <v>1931</v>
      </c>
      <c r="Z515" s="1102" t="s">
        <v>3988</v>
      </c>
      <c r="AA515" s="1103" t="s">
        <v>1942</v>
      </c>
      <c r="AB515" s="1104" t="s">
        <v>1942</v>
      </c>
      <c r="AC515" s="1104" t="s">
        <v>1942</v>
      </c>
      <c r="AD515" s="1104" t="s">
        <v>1942</v>
      </c>
      <c r="AE515" s="1104">
        <v>1</v>
      </c>
      <c r="AF515" s="1104" t="s">
        <v>1942</v>
      </c>
      <c r="AG515" s="1104" t="s">
        <v>1942</v>
      </c>
      <c r="AH515" s="1104" t="s">
        <v>1942</v>
      </c>
      <c r="AI515" s="1105">
        <f t="shared" si="7"/>
        <v>1</v>
      </c>
      <c r="AJ515" s="1106" t="s">
        <v>1030</v>
      </c>
      <c r="AK515" s="1106" t="s">
        <v>1008</v>
      </c>
      <c r="AL515" s="1106" t="s">
        <v>1009</v>
      </c>
      <c r="AM515" s="1107" t="s">
        <v>1069</v>
      </c>
      <c r="AN515" s="1018" t="s">
        <v>1081</v>
      </c>
      <c r="AO515" s="1018" t="s">
        <v>2038</v>
      </c>
      <c r="AP515" s="1274">
        <v>2</v>
      </c>
      <c r="AQ515" s="1076" t="s">
        <v>1010</v>
      </c>
      <c r="AR515" s="1109" t="s">
        <v>1931</v>
      </c>
      <c r="AS515" s="1110"/>
      <c r="AT515" s="1100"/>
      <c r="AU515" s="1100"/>
      <c r="AV515" s="1100"/>
      <c r="AW515" s="1111"/>
      <c r="AX515" s="1112"/>
      <c r="AY515" s="1075"/>
      <c r="AZ515" s="1076"/>
      <c r="BA515" s="1076"/>
      <c r="BB515" s="1076"/>
      <c r="BC515" s="1076"/>
      <c r="BD515" s="1076"/>
      <c r="BE515" s="1076"/>
      <c r="BF515" s="1076"/>
      <c r="BG515" s="1076"/>
      <c r="BH515" s="1076"/>
      <c r="BI515" s="1075" t="s">
        <v>1942</v>
      </c>
      <c r="BJ515" s="1076" t="s">
        <v>1942</v>
      </c>
      <c r="BK515" s="1076" t="s">
        <v>1942</v>
      </c>
      <c r="BL515" s="1076" t="s">
        <v>1942</v>
      </c>
      <c r="BM515" s="1076" t="s">
        <v>1942</v>
      </c>
      <c r="BN515" s="1075"/>
      <c r="BO515" s="1076"/>
      <c r="BP515" s="1076"/>
      <c r="BQ515" s="1076"/>
      <c r="BR515" s="1076"/>
      <c r="BS515" s="1115"/>
      <c r="BT515" s="1076"/>
      <c r="BU515" s="1076"/>
      <c r="BV515" s="1076"/>
      <c r="BW515" s="1116"/>
      <c r="BX515" s="1115"/>
      <c r="BY515" s="1076"/>
      <c r="BZ515" s="1076"/>
      <c r="CA515" s="1076"/>
      <c r="CB515" s="1116"/>
      <c r="CC515" s="1117"/>
      <c r="CD515" s="1118" t="s">
        <v>168</v>
      </c>
      <c r="CE515" s="1119" t="s">
        <v>168</v>
      </c>
      <c r="CF515" s="1119" t="s">
        <v>168</v>
      </c>
      <c r="CG515" s="1119" t="s">
        <v>168</v>
      </c>
      <c r="CH515" s="1120" t="s">
        <v>168</v>
      </c>
      <c r="CI515" s="1075" t="s">
        <v>1942</v>
      </c>
      <c r="CJ515" s="1076" t="s">
        <v>1942</v>
      </c>
      <c r="CK515" s="1076" t="s">
        <v>1942</v>
      </c>
      <c r="CL515" s="1076" t="s">
        <v>1942</v>
      </c>
      <c r="CM515" s="1117" t="s">
        <v>1942</v>
      </c>
      <c r="CN515" s="1075" t="s">
        <v>1942</v>
      </c>
      <c r="CO515" s="1076" t="s">
        <v>1942</v>
      </c>
      <c r="CP515" s="1076" t="s">
        <v>1942</v>
      </c>
      <c r="CQ515" s="1076" t="s">
        <v>1942</v>
      </c>
      <c r="CR515" s="1117" t="s">
        <v>1942</v>
      </c>
      <c r="CS515" s="1075" t="s">
        <v>1942</v>
      </c>
      <c r="CT515" s="1076" t="s">
        <v>1942</v>
      </c>
      <c r="CU515" s="1076" t="s">
        <v>1942</v>
      </c>
      <c r="CV515" s="1076" t="s">
        <v>1942</v>
      </c>
      <c r="CW515" s="1117" t="s">
        <v>1942</v>
      </c>
      <c r="CX515" s="1075" t="s">
        <v>1942</v>
      </c>
      <c r="CY515" s="1076" t="s">
        <v>1942</v>
      </c>
      <c r="CZ515" s="1076" t="s">
        <v>1942</v>
      </c>
      <c r="DA515" s="1076" t="s">
        <v>1942</v>
      </c>
      <c r="DB515" s="1117" t="s">
        <v>1942</v>
      </c>
      <c r="DC515" s="1076" t="s">
        <v>1942</v>
      </c>
      <c r="DD515" s="1076" t="s">
        <v>1942</v>
      </c>
      <c r="DE515" s="1076" t="s">
        <v>1942</v>
      </c>
      <c r="DF515" s="1076" t="s">
        <v>1942</v>
      </c>
      <c r="DG515" s="1117" t="s">
        <v>1942</v>
      </c>
      <c r="DH515" s="1075" t="s">
        <v>1942</v>
      </c>
      <c r="DI515" s="1076" t="s">
        <v>1942</v>
      </c>
      <c r="DJ515" s="1076" t="s">
        <v>1942</v>
      </c>
      <c r="DK515" s="1076" t="s">
        <v>1942</v>
      </c>
      <c r="DL515" s="1117" t="s">
        <v>1942</v>
      </c>
      <c r="DM515" s="1121" t="s">
        <v>1942</v>
      </c>
      <c r="DN515" s="1122" t="s">
        <v>1942</v>
      </c>
      <c r="DO515" s="1122" t="s">
        <v>1942</v>
      </c>
      <c r="DP515" s="1123" t="s">
        <v>1942</v>
      </c>
      <c r="DQ515" s="1122" t="s">
        <v>1942</v>
      </c>
      <c r="DR515" s="1122" t="s">
        <v>1942</v>
      </c>
      <c r="DS515" s="1122" t="s">
        <v>1942</v>
      </c>
      <c r="DT515" s="1123" t="s">
        <v>1942</v>
      </c>
      <c r="DU515" s="1119" t="s">
        <v>1942</v>
      </c>
      <c r="DV515" s="1124">
        <v>1</v>
      </c>
      <c r="DW515" s="1125" t="s">
        <v>1942</v>
      </c>
    </row>
    <row r="516" spans="1:127" s="397" customFormat="1" ht="15.75" hidden="1" customHeight="1">
      <c r="A516" s="1097" t="s">
        <v>1050</v>
      </c>
      <c r="B516" s="1057">
        <v>507</v>
      </c>
      <c r="C516" s="1018"/>
      <c r="D516" s="1018"/>
      <c r="E516" s="1018"/>
      <c r="F516" s="1018"/>
      <c r="G516" s="1018"/>
      <c r="H516" s="1018"/>
      <c r="I516" s="1018"/>
      <c r="J516" s="1018"/>
      <c r="K516" s="1018"/>
      <c r="L516" s="1018"/>
      <c r="M516" s="1057"/>
      <c r="N516" s="1018"/>
      <c r="O516" s="1018"/>
      <c r="P516" s="1018"/>
      <c r="Q516" s="1018"/>
      <c r="R516" s="1018"/>
      <c r="S516" s="1018"/>
      <c r="T516" s="1019"/>
      <c r="U516" s="1098" t="s">
        <v>4101</v>
      </c>
      <c r="V516" s="1099" t="s">
        <v>4099</v>
      </c>
      <c r="W516" s="1099" t="s">
        <v>1907</v>
      </c>
      <c r="X516" s="1100" t="s">
        <v>4102</v>
      </c>
      <c r="Y516" s="1101" t="s">
        <v>1935</v>
      </c>
      <c r="Z516" s="1102" t="s">
        <v>3988</v>
      </c>
      <c r="AA516" s="1103" t="s">
        <v>1942</v>
      </c>
      <c r="AB516" s="1104">
        <v>0.23</v>
      </c>
      <c r="AC516" s="1104">
        <v>0.77</v>
      </c>
      <c r="AD516" s="1104" t="s">
        <v>1942</v>
      </c>
      <c r="AE516" s="1104" t="s">
        <v>1942</v>
      </c>
      <c r="AF516" s="1104" t="s">
        <v>1942</v>
      </c>
      <c r="AG516" s="1104" t="s">
        <v>1942</v>
      </c>
      <c r="AH516" s="1104" t="s">
        <v>1942</v>
      </c>
      <c r="AI516" s="1105">
        <f t="shared" si="7"/>
        <v>1</v>
      </c>
      <c r="AJ516" s="1106" t="s">
        <v>1030</v>
      </c>
      <c r="AK516" s="1106" t="s">
        <v>1008</v>
      </c>
      <c r="AL516" s="1106" t="s">
        <v>1009</v>
      </c>
      <c r="AM516" s="1107" t="s">
        <v>1073</v>
      </c>
      <c r="AN516" s="1018" t="s">
        <v>1081</v>
      </c>
      <c r="AO516" s="1018" t="s">
        <v>427</v>
      </c>
      <c r="AP516" s="1274">
        <v>2</v>
      </c>
      <c r="AQ516" s="1076" t="s">
        <v>1010</v>
      </c>
      <c r="AR516" s="1109" t="s">
        <v>1935</v>
      </c>
      <c r="AS516" s="1110"/>
      <c r="AT516" s="1100"/>
      <c r="AU516" s="1100"/>
      <c r="AV516" s="1100"/>
      <c r="AW516" s="1111"/>
      <c r="AX516" s="1112"/>
      <c r="AY516" s="1075"/>
      <c r="AZ516" s="1076"/>
      <c r="BA516" s="1076"/>
      <c r="BB516" s="1076"/>
      <c r="BC516" s="1076"/>
      <c r="BD516" s="1076"/>
      <c r="BE516" s="1076"/>
      <c r="BF516" s="1076"/>
      <c r="BG516" s="1076"/>
      <c r="BH516" s="1076"/>
      <c r="BI516" s="1075" t="s">
        <v>1942</v>
      </c>
      <c r="BJ516" s="1076" t="s">
        <v>1942</v>
      </c>
      <c r="BK516" s="1076" t="s">
        <v>1942</v>
      </c>
      <c r="BL516" s="1076" t="s">
        <v>1942</v>
      </c>
      <c r="BM516" s="1076" t="s">
        <v>1942</v>
      </c>
      <c r="BN516" s="1075"/>
      <c r="BO516" s="1076"/>
      <c r="BP516" s="1076"/>
      <c r="BQ516" s="1076"/>
      <c r="BR516" s="1076"/>
      <c r="BS516" s="1115"/>
      <c r="BT516" s="1076"/>
      <c r="BU516" s="1076"/>
      <c r="BV516" s="1076"/>
      <c r="BW516" s="1116"/>
      <c r="BX516" s="1115"/>
      <c r="BY516" s="1076"/>
      <c r="BZ516" s="1076"/>
      <c r="CA516" s="1076"/>
      <c r="CB516" s="1116"/>
      <c r="CC516" s="1117"/>
      <c r="CD516" s="1118" t="s">
        <v>168</v>
      </c>
      <c r="CE516" s="1119" t="s">
        <v>168</v>
      </c>
      <c r="CF516" s="1119" t="s">
        <v>168</v>
      </c>
      <c r="CG516" s="1119" t="s">
        <v>168</v>
      </c>
      <c r="CH516" s="1120" t="s">
        <v>168</v>
      </c>
      <c r="CI516" s="1075" t="s">
        <v>1942</v>
      </c>
      <c r="CJ516" s="1076" t="s">
        <v>1942</v>
      </c>
      <c r="CK516" s="1076" t="s">
        <v>1942</v>
      </c>
      <c r="CL516" s="1076" t="s">
        <v>1942</v>
      </c>
      <c r="CM516" s="1117" t="s">
        <v>1942</v>
      </c>
      <c r="CN516" s="1075" t="s">
        <v>1942</v>
      </c>
      <c r="CO516" s="1076" t="s">
        <v>1942</v>
      </c>
      <c r="CP516" s="1076" t="s">
        <v>1942</v>
      </c>
      <c r="CQ516" s="1076" t="s">
        <v>1942</v>
      </c>
      <c r="CR516" s="1117" t="s">
        <v>1942</v>
      </c>
      <c r="CS516" s="1075" t="s">
        <v>1942</v>
      </c>
      <c r="CT516" s="1076" t="s">
        <v>1942</v>
      </c>
      <c r="CU516" s="1076" t="s">
        <v>1942</v>
      </c>
      <c r="CV516" s="1076" t="s">
        <v>1942</v>
      </c>
      <c r="CW516" s="1117" t="s">
        <v>1942</v>
      </c>
      <c r="CX516" s="1075" t="s">
        <v>1942</v>
      </c>
      <c r="CY516" s="1076" t="s">
        <v>1942</v>
      </c>
      <c r="CZ516" s="1076" t="s">
        <v>1942</v>
      </c>
      <c r="DA516" s="1076" t="s">
        <v>1942</v>
      </c>
      <c r="DB516" s="1117" t="s">
        <v>1942</v>
      </c>
      <c r="DC516" s="1076" t="s">
        <v>1942</v>
      </c>
      <c r="DD516" s="1076" t="s">
        <v>1942</v>
      </c>
      <c r="DE516" s="1076" t="s">
        <v>1942</v>
      </c>
      <c r="DF516" s="1076" t="s">
        <v>1942</v>
      </c>
      <c r="DG516" s="1117" t="s">
        <v>1942</v>
      </c>
      <c r="DH516" s="1075" t="s">
        <v>1942</v>
      </c>
      <c r="DI516" s="1076" t="s">
        <v>1942</v>
      </c>
      <c r="DJ516" s="1076" t="s">
        <v>1942</v>
      </c>
      <c r="DK516" s="1076" t="s">
        <v>1942</v>
      </c>
      <c r="DL516" s="1117" t="s">
        <v>1942</v>
      </c>
      <c r="DM516" s="1121" t="s">
        <v>1942</v>
      </c>
      <c r="DN516" s="1122" t="s">
        <v>1942</v>
      </c>
      <c r="DO516" s="1122" t="s">
        <v>1942</v>
      </c>
      <c r="DP516" s="1123" t="s">
        <v>1942</v>
      </c>
      <c r="DQ516" s="1122" t="s">
        <v>1942</v>
      </c>
      <c r="DR516" s="1122" t="s">
        <v>1942</v>
      </c>
      <c r="DS516" s="1122" t="s">
        <v>1942</v>
      </c>
      <c r="DT516" s="1123" t="s">
        <v>1942</v>
      </c>
      <c r="DU516" s="1119" t="s">
        <v>1942</v>
      </c>
      <c r="DV516" s="1124">
        <v>1</v>
      </c>
      <c r="DW516" s="1125" t="s">
        <v>1942</v>
      </c>
    </row>
    <row r="517" spans="1:127" s="397" customFormat="1" ht="15.75" hidden="1" customHeight="1">
      <c r="A517" s="1097" t="s">
        <v>1050</v>
      </c>
      <c r="B517" s="1057">
        <v>508</v>
      </c>
      <c r="C517" s="1018"/>
      <c r="D517" s="1018"/>
      <c r="E517" s="1018"/>
      <c r="F517" s="1018"/>
      <c r="G517" s="1018"/>
      <c r="H517" s="1018"/>
      <c r="I517" s="1018"/>
      <c r="J517" s="1018"/>
      <c r="K517" s="1018"/>
      <c r="L517" s="1018"/>
      <c r="M517" s="1057"/>
      <c r="N517" s="1018"/>
      <c r="O517" s="1018"/>
      <c r="P517" s="1018"/>
      <c r="Q517" s="1018"/>
      <c r="R517" s="1018"/>
      <c r="S517" s="1018"/>
      <c r="T517" s="1019"/>
      <c r="U517" s="1098" t="s">
        <v>4103</v>
      </c>
      <c r="V517" s="1099" t="s">
        <v>4099</v>
      </c>
      <c r="W517" s="1099" t="s">
        <v>1907</v>
      </c>
      <c r="X517" s="1100" t="s">
        <v>4104</v>
      </c>
      <c r="Y517" s="1101" t="s">
        <v>703</v>
      </c>
      <c r="Z517" s="1102" t="s">
        <v>4105</v>
      </c>
      <c r="AA517" s="1103" t="s">
        <v>1942</v>
      </c>
      <c r="AB517" s="1104" t="s">
        <v>1942</v>
      </c>
      <c r="AC517" s="1104" t="s">
        <v>1942</v>
      </c>
      <c r="AD517" s="1104" t="s">
        <v>1942</v>
      </c>
      <c r="AE517" s="1104">
        <v>1</v>
      </c>
      <c r="AF517" s="1104" t="s">
        <v>1942</v>
      </c>
      <c r="AG517" s="1104" t="s">
        <v>1942</v>
      </c>
      <c r="AH517" s="1104" t="s">
        <v>1942</v>
      </c>
      <c r="AI517" s="1105">
        <f t="shared" si="7"/>
        <v>1</v>
      </c>
      <c r="AJ517" s="1106" t="s">
        <v>1007</v>
      </c>
      <c r="AK517" s="1106" t="s">
        <v>1942</v>
      </c>
      <c r="AL517" s="1106" t="s">
        <v>1942</v>
      </c>
      <c r="AM517" s="1107" t="s">
        <v>2117</v>
      </c>
      <c r="AN517" s="1018" t="s">
        <v>278</v>
      </c>
      <c r="AO517" s="1018" t="s">
        <v>4799</v>
      </c>
      <c r="AP517" s="1307">
        <v>1</v>
      </c>
      <c r="AQ517" s="1076" t="s">
        <v>1010</v>
      </c>
      <c r="AR517" s="1109" t="s">
        <v>703</v>
      </c>
      <c r="AS517" s="1110"/>
      <c r="AT517" s="1100"/>
      <c r="AU517" s="1100"/>
      <c r="AV517" s="1100"/>
      <c r="AW517" s="1111"/>
      <c r="AX517" s="1112"/>
      <c r="AY517" s="1075"/>
      <c r="AZ517" s="1076"/>
      <c r="BA517" s="1076"/>
      <c r="BB517" s="1076"/>
      <c r="BC517" s="1076"/>
      <c r="BD517" s="1076"/>
      <c r="BE517" s="1076"/>
      <c r="BF517" s="1076"/>
      <c r="BG517" s="1076"/>
      <c r="BH517" s="1076"/>
      <c r="BI517" s="1075" t="s">
        <v>4871</v>
      </c>
      <c r="BJ517" s="1076" t="s">
        <v>4872</v>
      </c>
      <c r="BK517" s="1076" t="s">
        <v>4828</v>
      </c>
      <c r="BL517" s="1076" t="s">
        <v>4873</v>
      </c>
      <c r="BM517" s="1076" t="s">
        <v>4822</v>
      </c>
      <c r="BN517" s="1075"/>
      <c r="BO517" s="1076"/>
      <c r="BP517" s="1076"/>
      <c r="BQ517" s="1076"/>
      <c r="BR517" s="1076"/>
      <c r="BS517" s="1115"/>
      <c r="BT517" s="1076"/>
      <c r="BU517" s="1076"/>
      <c r="BV517" s="1076"/>
      <c r="BW517" s="1116"/>
      <c r="BX517" s="1115"/>
      <c r="BY517" s="1076"/>
      <c r="BZ517" s="1076"/>
      <c r="CA517" s="1076"/>
      <c r="CB517" s="1116"/>
      <c r="CC517" s="1117"/>
      <c r="CD517" s="1118" t="s">
        <v>1942</v>
      </c>
      <c r="CE517" s="1119" t="s">
        <v>1942</v>
      </c>
      <c r="CF517" s="1119" t="s">
        <v>1942</v>
      </c>
      <c r="CG517" s="1119" t="s">
        <v>1942</v>
      </c>
      <c r="CH517" s="1120" t="s">
        <v>1942</v>
      </c>
      <c r="CI517" s="1075" t="s">
        <v>1942</v>
      </c>
      <c r="CJ517" s="1076" t="s">
        <v>1942</v>
      </c>
      <c r="CK517" s="1076" t="s">
        <v>1942</v>
      </c>
      <c r="CL517" s="1076" t="s">
        <v>1942</v>
      </c>
      <c r="CM517" s="1117" t="s">
        <v>1942</v>
      </c>
      <c r="CN517" s="1075" t="s">
        <v>1942</v>
      </c>
      <c r="CO517" s="1076" t="s">
        <v>1942</v>
      </c>
      <c r="CP517" s="1076" t="s">
        <v>1942</v>
      </c>
      <c r="CQ517" s="1076" t="s">
        <v>1942</v>
      </c>
      <c r="CR517" s="1117" t="s">
        <v>1942</v>
      </c>
      <c r="CS517" s="1075" t="s">
        <v>1942</v>
      </c>
      <c r="CT517" s="1076" t="s">
        <v>1942</v>
      </c>
      <c r="CU517" s="1076" t="s">
        <v>1942</v>
      </c>
      <c r="CV517" s="1076" t="s">
        <v>1942</v>
      </c>
      <c r="CW517" s="1117" t="s">
        <v>1942</v>
      </c>
      <c r="CX517" s="1075" t="s">
        <v>1942</v>
      </c>
      <c r="CY517" s="1076" t="s">
        <v>1942</v>
      </c>
      <c r="CZ517" s="1076" t="s">
        <v>1942</v>
      </c>
      <c r="DA517" s="1076" t="s">
        <v>1942</v>
      </c>
      <c r="DB517" s="1117" t="s">
        <v>1942</v>
      </c>
      <c r="DC517" s="1076" t="s">
        <v>1942</v>
      </c>
      <c r="DD517" s="1076" t="s">
        <v>1942</v>
      </c>
      <c r="DE517" s="1076" t="s">
        <v>1942</v>
      </c>
      <c r="DF517" s="1076" t="s">
        <v>1942</v>
      </c>
      <c r="DG517" s="1117" t="s">
        <v>1942</v>
      </c>
      <c r="DH517" s="1075" t="s">
        <v>1942</v>
      </c>
      <c r="DI517" s="1076" t="s">
        <v>1942</v>
      </c>
      <c r="DJ517" s="1076" t="s">
        <v>1942</v>
      </c>
      <c r="DK517" s="1076" t="s">
        <v>1942</v>
      </c>
      <c r="DL517" s="1117" t="s">
        <v>1942</v>
      </c>
      <c r="DM517" s="1121" t="s">
        <v>1942</v>
      </c>
      <c r="DN517" s="1122" t="s">
        <v>1942</v>
      </c>
      <c r="DO517" s="1122" t="s">
        <v>1942</v>
      </c>
      <c r="DP517" s="1123" t="s">
        <v>1942</v>
      </c>
      <c r="DQ517" s="1122" t="s">
        <v>1942</v>
      </c>
      <c r="DR517" s="1122" t="s">
        <v>1942</v>
      </c>
      <c r="DS517" s="1122" t="s">
        <v>1942</v>
      </c>
      <c r="DT517" s="1123" t="s">
        <v>1942</v>
      </c>
      <c r="DU517" s="1119" t="s">
        <v>131</v>
      </c>
      <c r="DV517" s="1124">
        <v>1</v>
      </c>
      <c r="DW517" s="1125" t="s">
        <v>1942</v>
      </c>
    </row>
    <row r="518" spans="1:127" s="397" customFormat="1" ht="15.75" hidden="1" customHeight="1">
      <c r="A518" s="1097" t="s">
        <v>1050</v>
      </c>
      <c r="B518" s="1057">
        <v>509</v>
      </c>
      <c r="C518" s="1018"/>
      <c r="D518" s="1018" t="s">
        <v>2098</v>
      </c>
      <c r="E518" s="1018"/>
      <c r="F518" s="1018"/>
      <c r="G518" s="1018"/>
      <c r="H518" s="1018"/>
      <c r="I518" s="1018"/>
      <c r="J518" s="1018"/>
      <c r="K518" s="1018"/>
      <c r="L518" s="1018"/>
      <c r="M518" s="1057"/>
      <c r="N518" s="1018"/>
      <c r="O518" s="1018"/>
      <c r="P518" s="1018"/>
      <c r="Q518" s="1018"/>
      <c r="R518" s="1018"/>
      <c r="S518" s="1018"/>
      <c r="T518" s="1019"/>
      <c r="U518" s="1098" t="s">
        <v>4107</v>
      </c>
      <c r="V518" s="1099" t="s">
        <v>4099</v>
      </c>
      <c r="W518" s="1099" t="s">
        <v>1907</v>
      </c>
      <c r="X518" s="1100" t="s">
        <v>4108</v>
      </c>
      <c r="Y518" s="1101" t="s">
        <v>4109</v>
      </c>
      <c r="Z518" s="1102" t="s">
        <v>4110</v>
      </c>
      <c r="AA518" s="1103" t="s">
        <v>1942</v>
      </c>
      <c r="AB518" s="1104">
        <v>0.91</v>
      </c>
      <c r="AC518" s="1104">
        <v>0.09</v>
      </c>
      <c r="AD518" s="1104" t="s">
        <v>1942</v>
      </c>
      <c r="AE518" s="1104" t="s">
        <v>1942</v>
      </c>
      <c r="AF518" s="1104" t="s">
        <v>1942</v>
      </c>
      <c r="AG518" s="1104" t="s">
        <v>1942</v>
      </c>
      <c r="AH518" s="1104" t="s">
        <v>1942</v>
      </c>
      <c r="AI518" s="1105">
        <f t="shared" si="7"/>
        <v>1</v>
      </c>
      <c r="AJ518" s="1106" t="s">
        <v>1007</v>
      </c>
      <c r="AK518" s="1106" t="s">
        <v>1942</v>
      </c>
      <c r="AL518" s="1106" t="s">
        <v>1942</v>
      </c>
      <c r="AM518" s="1107" t="s">
        <v>4111</v>
      </c>
      <c r="AN518" s="1018" t="s">
        <v>278</v>
      </c>
      <c r="AO518" s="1018" t="s">
        <v>4112</v>
      </c>
      <c r="AP518" s="1274">
        <v>2</v>
      </c>
      <c r="AQ518" s="1076" t="s">
        <v>1020</v>
      </c>
      <c r="AR518" s="1109" t="s">
        <v>1942</v>
      </c>
      <c r="AS518" s="1110"/>
      <c r="AT518" s="1100"/>
      <c r="AU518" s="1100"/>
      <c r="AV518" s="1100"/>
      <c r="AW518" s="1111"/>
      <c r="AX518" s="1112"/>
      <c r="AY518" s="1075"/>
      <c r="AZ518" s="1076"/>
      <c r="BA518" s="1076"/>
      <c r="BB518" s="1076"/>
      <c r="BC518" s="1076"/>
      <c r="BD518" s="1076"/>
      <c r="BE518" s="1076"/>
      <c r="BF518" s="1076"/>
      <c r="BG518" s="1076"/>
      <c r="BH518" s="1076"/>
      <c r="BI518" s="1420"/>
      <c r="BJ518" s="1368"/>
      <c r="BK518" s="1368"/>
      <c r="BL518" s="1368"/>
      <c r="BM518" s="1368"/>
      <c r="BN518" s="1075"/>
      <c r="BO518" s="1076"/>
      <c r="BP518" s="1076"/>
      <c r="BQ518" s="1076"/>
      <c r="BR518" s="1076"/>
      <c r="BS518" s="1115"/>
      <c r="BT518" s="1076"/>
      <c r="BU518" s="1076"/>
      <c r="BV518" s="1076"/>
      <c r="BW518" s="1116"/>
      <c r="BX518" s="1115"/>
      <c r="BY518" s="1076"/>
      <c r="BZ518" s="1076"/>
      <c r="CA518" s="1076"/>
      <c r="CB518" s="1116"/>
      <c r="CC518" s="1117"/>
      <c r="CD518" s="1376"/>
      <c r="CE518" s="1377"/>
      <c r="CF518" s="1377"/>
      <c r="CG518" s="1377"/>
      <c r="CH518" s="1440"/>
      <c r="CI518" s="1420"/>
      <c r="CJ518" s="1368"/>
      <c r="CK518" s="1368"/>
      <c r="CL518" s="1368"/>
      <c r="CM518" s="1369"/>
      <c r="CN518" s="1420"/>
      <c r="CO518" s="1368"/>
      <c r="CP518" s="1368"/>
      <c r="CQ518" s="1368"/>
      <c r="CR518" s="1369"/>
      <c r="CS518" s="1420"/>
      <c r="CT518" s="1368"/>
      <c r="CU518" s="1368"/>
      <c r="CV518" s="1368"/>
      <c r="CW518" s="1369"/>
      <c r="CX518" s="1420"/>
      <c r="CY518" s="1368"/>
      <c r="CZ518" s="1368"/>
      <c r="DA518" s="1368"/>
      <c r="DB518" s="1369"/>
      <c r="DC518" s="1368"/>
      <c r="DD518" s="1368"/>
      <c r="DE518" s="1368"/>
      <c r="DF518" s="1368"/>
      <c r="DG518" s="1369"/>
      <c r="DH518" s="1420"/>
      <c r="DI518" s="1368"/>
      <c r="DJ518" s="1368"/>
      <c r="DK518" s="1368"/>
      <c r="DL518" s="1369"/>
      <c r="DM518" s="1808"/>
      <c r="DN518" s="1809"/>
      <c r="DO518" s="1809"/>
      <c r="DP518" s="1810"/>
      <c r="DQ518" s="1809"/>
      <c r="DR518" s="1809"/>
      <c r="DS518" s="1809"/>
      <c r="DT518" s="1810"/>
      <c r="DU518" s="1377"/>
      <c r="DV518" s="1729"/>
      <c r="DW518" s="1811"/>
    </row>
    <row r="519" spans="1:127" s="397" customFormat="1" ht="15.75" hidden="1" customHeight="1">
      <c r="A519" s="1097" t="s">
        <v>1050</v>
      </c>
      <c r="B519" s="1057">
        <v>510</v>
      </c>
      <c r="C519" s="1018"/>
      <c r="D519" s="1018"/>
      <c r="E519" s="1018"/>
      <c r="F519" s="1018"/>
      <c r="G519" s="1018"/>
      <c r="H519" s="1018"/>
      <c r="I519" s="1018"/>
      <c r="J519" s="1018"/>
      <c r="K519" s="1018"/>
      <c r="L519" s="1018"/>
      <c r="M519" s="1057"/>
      <c r="N519" s="1018"/>
      <c r="O519" s="1018"/>
      <c r="P519" s="1018"/>
      <c r="Q519" s="1018"/>
      <c r="R519" s="1018"/>
      <c r="S519" s="1018"/>
      <c r="T519" s="1019"/>
      <c r="U519" s="1098" t="s">
        <v>4113</v>
      </c>
      <c r="V519" s="1099" t="s">
        <v>4099</v>
      </c>
      <c r="W519" s="1099" t="s">
        <v>1907</v>
      </c>
      <c r="X519" s="1100" t="s">
        <v>4114</v>
      </c>
      <c r="Y519" s="1101" t="s">
        <v>4115</v>
      </c>
      <c r="Z519" s="1102" t="s">
        <v>4116</v>
      </c>
      <c r="AA519" s="1103" t="s">
        <v>1942</v>
      </c>
      <c r="AB519" s="1104" t="s">
        <v>1942</v>
      </c>
      <c r="AC519" s="1104" t="s">
        <v>1942</v>
      </c>
      <c r="AD519" s="1104" t="s">
        <v>1942</v>
      </c>
      <c r="AE519" s="1104">
        <v>1</v>
      </c>
      <c r="AF519" s="1104" t="s">
        <v>1942</v>
      </c>
      <c r="AG519" s="1104" t="s">
        <v>1942</v>
      </c>
      <c r="AH519" s="1104" t="s">
        <v>1942</v>
      </c>
      <c r="AI519" s="1105">
        <f t="shared" si="7"/>
        <v>1</v>
      </c>
      <c r="AJ519" s="1106" t="s">
        <v>1007</v>
      </c>
      <c r="AK519" s="1106" t="s">
        <v>1942</v>
      </c>
      <c r="AL519" s="1106" t="s">
        <v>1942</v>
      </c>
      <c r="AM519" s="1107" t="s">
        <v>2117</v>
      </c>
      <c r="AN519" s="1018" t="s">
        <v>1137</v>
      </c>
      <c r="AO519" s="1018" t="s">
        <v>2011</v>
      </c>
      <c r="AP519" s="1274">
        <v>0</v>
      </c>
      <c r="AQ519" s="1076" t="s">
        <v>1010</v>
      </c>
      <c r="AR519" s="1109" t="s">
        <v>1942</v>
      </c>
      <c r="AS519" s="1110"/>
      <c r="AT519" s="1100"/>
      <c r="AU519" s="1100"/>
      <c r="AV519" s="1100"/>
      <c r="AW519" s="1111"/>
      <c r="AX519" s="1112"/>
      <c r="AY519" s="1075"/>
      <c r="AZ519" s="1076"/>
      <c r="BA519" s="1076"/>
      <c r="BB519" s="1076"/>
      <c r="BC519" s="1076"/>
      <c r="BD519" s="1076"/>
      <c r="BE519" s="1076"/>
      <c r="BF519" s="1076"/>
      <c r="BG519" s="1076"/>
      <c r="BH519" s="1076"/>
      <c r="BI519" s="1420"/>
      <c r="BJ519" s="1368"/>
      <c r="BK519" s="1368"/>
      <c r="BL519" s="1368"/>
      <c r="BM519" s="1368"/>
      <c r="BN519" s="1075"/>
      <c r="BO519" s="1076"/>
      <c r="BP519" s="1076"/>
      <c r="BQ519" s="1076"/>
      <c r="BR519" s="1076"/>
      <c r="BS519" s="1115"/>
      <c r="BT519" s="1076"/>
      <c r="BU519" s="1076"/>
      <c r="BV519" s="1076"/>
      <c r="BW519" s="1116"/>
      <c r="BX519" s="1115"/>
      <c r="BY519" s="1076"/>
      <c r="BZ519" s="1076"/>
      <c r="CA519" s="1076"/>
      <c r="CB519" s="1116"/>
      <c r="CC519" s="1117"/>
      <c r="CD519" s="1376"/>
      <c r="CE519" s="1377"/>
      <c r="CF519" s="1377"/>
      <c r="CG519" s="1377"/>
      <c r="CH519" s="1440"/>
      <c r="CI519" s="1420"/>
      <c r="CJ519" s="1368"/>
      <c r="CK519" s="1368"/>
      <c r="CL519" s="1368"/>
      <c r="CM519" s="1369"/>
      <c r="CN519" s="1420"/>
      <c r="CO519" s="1368"/>
      <c r="CP519" s="1368"/>
      <c r="CQ519" s="1368"/>
      <c r="CR519" s="1369"/>
      <c r="CS519" s="1420"/>
      <c r="CT519" s="1368"/>
      <c r="CU519" s="1368"/>
      <c r="CV519" s="1368"/>
      <c r="CW519" s="1369"/>
      <c r="CX519" s="1420"/>
      <c r="CY519" s="1368"/>
      <c r="CZ519" s="1368"/>
      <c r="DA519" s="1368"/>
      <c r="DB519" s="1369"/>
      <c r="DC519" s="1368"/>
      <c r="DD519" s="1368"/>
      <c r="DE519" s="1368"/>
      <c r="DF519" s="1368"/>
      <c r="DG519" s="1369"/>
      <c r="DH519" s="1420"/>
      <c r="DI519" s="1368"/>
      <c r="DJ519" s="1368"/>
      <c r="DK519" s="1368"/>
      <c r="DL519" s="1369"/>
      <c r="DM519" s="1808"/>
      <c r="DN519" s="1809"/>
      <c r="DO519" s="1809"/>
      <c r="DP519" s="1810"/>
      <c r="DQ519" s="1809"/>
      <c r="DR519" s="1809"/>
      <c r="DS519" s="1809"/>
      <c r="DT519" s="1810"/>
      <c r="DU519" s="1377"/>
      <c r="DV519" s="1729"/>
      <c r="DW519" s="1811"/>
    </row>
    <row r="520" spans="1:127" s="397" customFormat="1" ht="15.75" hidden="1" customHeight="1">
      <c r="A520" s="1097" t="s">
        <v>1050</v>
      </c>
      <c r="B520" s="1057">
        <v>511</v>
      </c>
      <c r="C520" s="1018"/>
      <c r="D520" s="1018"/>
      <c r="E520" s="1018"/>
      <c r="F520" s="1018"/>
      <c r="G520" s="1018"/>
      <c r="H520" s="1018"/>
      <c r="I520" s="1018"/>
      <c r="J520" s="1018"/>
      <c r="K520" s="1018"/>
      <c r="L520" s="1018"/>
      <c r="M520" s="1057"/>
      <c r="N520" s="1018"/>
      <c r="O520" s="1018"/>
      <c r="P520" s="1018"/>
      <c r="Q520" s="1018"/>
      <c r="R520" s="1018"/>
      <c r="S520" s="1018"/>
      <c r="T520" s="1019"/>
      <c r="U520" s="1098" t="s">
        <v>4117</v>
      </c>
      <c r="V520" s="1099" t="s">
        <v>4118</v>
      </c>
      <c r="W520" s="1099" t="s">
        <v>1907</v>
      </c>
      <c r="X520" s="1100" t="s">
        <v>4119</v>
      </c>
      <c r="Y520" s="1101" t="s">
        <v>4120</v>
      </c>
      <c r="Z520" s="1102" t="s">
        <v>4121</v>
      </c>
      <c r="AA520" s="1103" t="s">
        <v>1942</v>
      </c>
      <c r="AB520" s="1104" t="s">
        <v>1942</v>
      </c>
      <c r="AC520" s="1104" t="s">
        <v>1942</v>
      </c>
      <c r="AD520" s="1104" t="s">
        <v>1942</v>
      </c>
      <c r="AE520" s="1104">
        <v>1</v>
      </c>
      <c r="AF520" s="1104" t="s">
        <v>1942</v>
      </c>
      <c r="AG520" s="1104" t="s">
        <v>1942</v>
      </c>
      <c r="AH520" s="1104" t="s">
        <v>1942</v>
      </c>
      <c r="AI520" s="1105">
        <f t="shared" si="7"/>
        <v>1</v>
      </c>
      <c r="AJ520" s="1106" t="s">
        <v>1030</v>
      </c>
      <c r="AK520" s="1106" t="s">
        <v>1008</v>
      </c>
      <c r="AL520" s="1106" t="s">
        <v>1009</v>
      </c>
      <c r="AM520" s="1107" t="s">
        <v>2117</v>
      </c>
      <c r="AN520" s="1018" t="s">
        <v>1033</v>
      </c>
      <c r="AO520" s="1018" t="s">
        <v>4122</v>
      </c>
      <c r="AP520" s="1274">
        <v>0</v>
      </c>
      <c r="AQ520" s="1076" t="s">
        <v>1010</v>
      </c>
      <c r="AR520" s="1109" t="s">
        <v>1942</v>
      </c>
      <c r="AS520" s="1110"/>
      <c r="AT520" s="1100"/>
      <c r="AU520" s="1100"/>
      <c r="AV520" s="1100"/>
      <c r="AW520" s="1111"/>
      <c r="AX520" s="1112"/>
      <c r="AY520" s="1075"/>
      <c r="AZ520" s="1076"/>
      <c r="BA520" s="1076"/>
      <c r="BB520" s="1076"/>
      <c r="BC520" s="1076"/>
      <c r="BD520" s="1076"/>
      <c r="BE520" s="1076"/>
      <c r="BF520" s="1076"/>
      <c r="BG520" s="1076"/>
      <c r="BH520" s="1076"/>
      <c r="BI520" s="1420"/>
      <c r="BJ520" s="1368"/>
      <c r="BK520" s="1368"/>
      <c r="BL520" s="1368"/>
      <c r="BM520" s="1368"/>
      <c r="BN520" s="1075"/>
      <c r="BO520" s="1076"/>
      <c r="BP520" s="1076"/>
      <c r="BQ520" s="1076"/>
      <c r="BR520" s="1076"/>
      <c r="BS520" s="1115"/>
      <c r="BT520" s="1076"/>
      <c r="BU520" s="1076"/>
      <c r="BV520" s="1076"/>
      <c r="BW520" s="1116"/>
      <c r="BX520" s="1115"/>
      <c r="BY520" s="1076"/>
      <c r="BZ520" s="1076"/>
      <c r="CA520" s="1076"/>
      <c r="CB520" s="1116"/>
      <c r="CC520" s="1117"/>
      <c r="CD520" s="1376"/>
      <c r="CE520" s="1377"/>
      <c r="CF520" s="1377"/>
      <c r="CG520" s="1377"/>
      <c r="CH520" s="1440"/>
      <c r="CI520" s="1420"/>
      <c r="CJ520" s="1368"/>
      <c r="CK520" s="1368"/>
      <c r="CL520" s="1368"/>
      <c r="CM520" s="1369"/>
      <c r="CN520" s="1420"/>
      <c r="CO520" s="1368"/>
      <c r="CP520" s="1368"/>
      <c r="CQ520" s="1368"/>
      <c r="CR520" s="1369"/>
      <c r="CS520" s="1420"/>
      <c r="CT520" s="1368"/>
      <c r="CU520" s="1368"/>
      <c r="CV520" s="1368"/>
      <c r="CW520" s="1369"/>
      <c r="CX520" s="1420"/>
      <c r="CY520" s="1368"/>
      <c r="CZ520" s="1368"/>
      <c r="DA520" s="1368"/>
      <c r="DB520" s="1369"/>
      <c r="DC520" s="1368"/>
      <c r="DD520" s="1368"/>
      <c r="DE520" s="1368"/>
      <c r="DF520" s="1368"/>
      <c r="DG520" s="1369"/>
      <c r="DH520" s="1420"/>
      <c r="DI520" s="1368"/>
      <c r="DJ520" s="1368"/>
      <c r="DK520" s="1368"/>
      <c r="DL520" s="1369"/>
      <c r="DM520" s="1808"/>
      <c r="DN520" s="1809"/>
      <c r="DO520" s="1809"/>
      <c r="DP520" s="1810"/>
      <c r="DQ520" s="1809"/>
      <c r="DR520" s="1809"/>
      <c r="DS520" s="1809"/>
      <c r="DT520" s="1810"/>
      <c r="DU520" s="1377"/>
      <c r="DV520" s="1729"/>
      <c r="DW520" s="1811"/>
    </row>
    <row r="521" spans="1:127" s="397" customFormat="1" ht="15.75" hidden="1" customHeight="1">
      <c r="A521" s="1097" t="s">
        <v>1050</v>
      </c>
      <c r="B521" s="1057">
        <v>512</v>
      </c>
      <c r="C521" s="1018"/>
      <c r="D521" s="1018"/>
      <c r="E521" s="1018"/>
      <c r="F521" s="1018"/>
      <c r="G521" s="1018"/>
      <c r="H521" s="1018"/>
      <c r="I521" s="1018"/>
      <c r="J521" s="1018"/>
      <c r="K521" s="1018"/>
      <c r="L521" s="1018"/>
      <c r="M521" s="1057"/>
      <c r="N521" s="1018"/>
      <c r="O521" s="1018"/>
      <c r="P521" s="1018"/>
      <c r="Q521" s="1018"/>
      <c r="R521" s="1018"/>
      <c r="S521" s="1018"/>
      <c r="T521" s="1019"/>
      <c r="U521" s="1098" t="s">
        <v>4123</v>
      </c>
      <c r="V521" s="1099" t="s">
        <v>1942</v>
      </c>
      <c r="W521" s="1099" t="s">
        <v>1942</v>
      </c>
      <c r="X521" s="1100" t="s">
        <v>4124</v>
      </c>
      <c r="Y521" s="1101" t="s">
        <v>2761</v>
      </c>
      <c r="Z521" s="1102" t="s">
        <v>1942</v>
      </c>
      <c r="AA521" s="1103" t="s">
        <v>1942</v>
      </c>
      <c r="AB521" s="1104" t="s">
        <v>1942</v>
      </c>
      <c r="AC521" s="1104" t="s">
        <v>1942</v>
      </c>
      <c r="AD521" s="1104" t="s">
        <v>1942</v>
      </c>
      <c r="AE521" s="1104">
        <v>1</v>
      </c>
      <c r="AF521" s="1104" t="s">
        <v>1942</v>
      </c>
      <c r="AG521" s="1104" t="s">
        <v>1942</v>
      </c>
      <c r="AH521" s="1104" t="s">
        <v>1942</v>
      </c>
      <c r="AI521" s="1105">
        <f t="shared" si="7"/>
        <v>1</v>
      </c>
      <c r="AJ521" s="1106" t="s">
        <v>1030</v>
      </c>
      <c r="AK521" s="1106" t="s">
        <v>1008</v>
      </c>
      <c r="AL521" s="1106" t="s">
        <v>1009</v>
      </c>
      <c r="AM521" s="1107" t="s">
        <v>2117</v>
      </c>
      <c r="AN521" s="1018"/>
      <c r="AO521" s="1018"/>
      <c r="AP521" s="1275">
        <v>2</v>
      </c>
      <c r="AQ521" s="1076"/>
      <c r="AR521" s="1109" t="s">
        <v>1942</v>
      </c>
      <c r="AS521" s="1110"/>
      <c r="AT521" s="1100"/>
      <c r="AU521" s="1100"/>
      <c r="AV521" s="1100"/>
      <c r="AW521" s="1111"/>
      <c r="AX521" s="1112"/>
      <c r="AY521" s="1075"/>
      <c r="AZ521" s="1076"/>
      <c r="BA521" s="1076"/>
      <c r="BB521" s="1076"/>
      <c r="BC521" s="1076"/>
      <c r="BD521" s="1076"/>
      <c r="BE521" s="1076"/>
      <c r="BF521" s="1076"/>
      <c r="BG521" s="1076"/>
      <c r="BH521" s="1076"/>
      <c r="BI521" s="1420"/>
      <c r="BJ521" s="1368"/>
      <c r="BK521" s="1368"/>
      <c r="BL521" s="1368"/>
      <c r="BM521" s="1368"/>
      <c r="BN521" s="1075"/>
      <c r="BO521" s="1076"/>
      <c r="BP521" s="1076"/>
      <c r="BQ521" s="1076"/>
      <c r="BR521" s="1076"/>
      <c r="BS521" s="1115"/>
      <c r="BT521" s="1076"/>
      <c r="BU521" s="1076"/>
      <c r="BV521" s="1076"/>
      <c r="BW521" s="1116"/>
      <c r="BX521" s="1115"/>
      <c r="BY521" s="1076"/>
      <c r="BZ521" s="1076"/>
      <c r="CA521" s="1076"/>
      <c r="CB521" s="1116"/>
      <c r="CC521" s="1117"/>
      <c r="CD521" s="1376"/>
      <c r="CE521" s="1377"/>
      <c r="CF521" s="1377"/>
      <c r="CG521" s="1377"/>
      <c r="CH521" s="1440"/>
      <c r="CI521" s="1420"/>
      <c r="CJ521" s="1368"/>
      <c r="CK521" s="1368"/>
      <c r="CL521" s="1368"/>
      <c r="CM521" s="1369"/>
      <c r="CN521" s="1420"/>
      <c r="CO521" s="1368"/>
      <c r="CP521" s="1368"/>
      <c r="CQ521" s="1368"/>
      <c r="CR521" s="1369"/>
      <c r="CS521" s="1420"/>
      <c r="CT521" s="1368"/>
      <c r="CU521" s="1368"/>
      <c r="CV521" s="1368"/>
      <c r="CW521" s="1369"/>
      <c r="CX521" s="1420"/>
      <c r="CY521" s="1368"/>
      <c r="CZ521" s="1368"/>
      <c r="DA521" s="1368"/>
      <c r="DB521" s="1369"/>
      <c r="DC521" s="1368"/>
      <c r="DD521" s="1368"/>
      <c r="DE521" s="1368"/>
      <c r="DF521" s="1368"/>
      <c r="DG521" s="1369"/>
      <c r="DH521" s="1420"/>
      <c r="DI521" s="1368"/>
      <c r="DJ521" s="1368"/>
      <c r="DK521" s="1368"/>
      <c r="DL521" s="1369"/>
      <c r="DM521" s="1808"/>
      <c r="DN521" s="1809"/>
      <c r="DO521" s="1809"/>
      <c r="DP521" s="1810"/>
      <c r="DQ521" s="1809"/>
      <c r="DR521" s="1809"/>
      <c r="DS521" s="1809"/>
      <c r="DT521" s="1810"/>
      <c r="DU521" s="1377"/>
      <c r="DV521" s="1729"/>
      <c r="DW521" s="1811"/>
    </row>
    <row r="522" spans="1:127" s="397" customFormat="1" ht="15.75" hidden="1" customHeight="1">
      <c r="A522" s="1097" t="s">
        <v>1050</v>
      </c>
      <c r="B522" s="1057">
        <v>513</v>
      </c>
      <c r="C522" s="1018"/>
      <c r="D522" s="1018"/>
      <c r="E522" s="1018"/>
      <c r="F522" s="1018"/>
      <c r="G522" s="1018"/>
      <c r="H522" s="1018"/>
      <c r="I522" s="1018"/>
      <c r="J522" s="1018"/>
      <c r="K522" s="1018"/>
      <c r="L522" s="1018"/>
      <c r="M522" s="1057"/>
      <c r="N522" s="1018"/>
      <c r="O522" s="1018"/>
      <c r="P522" s="1018"/>
      <c r="Q522" s="1018"/>
      <c r="R522" s="1018"/>
      <c r="S522" s="1018"/>
      <c r="T522" s="1019"/>
      <c r="U522" s="1098" t="s">
        <v>4126</v>
      </c>
      <c r="V522" s="1099" t="s">
        <v>4118</v>
      </c>
      <c r="W522" s="1099" t="s">
        <v>1907</v>
      </c>
      <c r="X522" s="1100" t="s">
        <v>4127</v>
      </c>
      <c r="Y522" s="1101" t="s">
        <v>4128</v>
      </c>
      <c r="Z522" s="1102" t="s">
        <v>4129</v>
      </c>
      <c r="AA522" s="1103" t="s">
        <v>1942</v>
      </c>
      <c r="AB522" s="1104">
        <v>0.5</v>
      </c>
      <c r="AC522" s="1104">
        <v>0.5</v>
      </c>
      <c r="AD522" s="1104" t="s">
        <v>1942</v>
      </c>
      <c r="AE522" s="1104" t="s">
        <v>1942</v>
      </c>
      <c r="AF522" s="1104" t="s">
        <v>1942</v>
      </c>
      <c r="AG522" s="1104" t="s">
        <v>1942</v>
      </c>
      <c r="AH522" s="1104" t="s">
        <v>1942</v>
      </c>
      <c r="AI522" s="1105">
        <f t="shared" ref="AI522:AI585" si="8">SUM(AA522:AH522)</f>
        <v>1</v>
      </c>
      <c r="AJ522" s="1106" t="s">
        <v>1017</v>
      </c>
      <c r="AK522" s="1106" t="s">
        <v>1008</v>
      </c>
      <c r="AL522" s="1106" t="s">
        <v>1009</v>
      </c>
      <c r="AM522" s="1107" t="s">
        <v>2763</v>
      </c>
      <c r="AN522" s="1018" t="s">
        <v>1033</v>
      </c>
      <c r="AO522" s="1018" t="s">
        <v>4130</v>
      </c>
      <c r="AP522" s="1274">
        <v>0</v>
      </c>
      <c r="AQ522" s="1076" t="s">
        <v>1010</v>
      </c>
      <c r="AR522" s="1109" t="s">
        <v>1942</v>
      </c>
      <c r="AS522" s="1110"/>
      <c r="AT522" s="1100"/>
      <c r="AU522" s="1100"/>
      <c r="AV522" s="1100"/>
      <c r="AW522" s="1111"/>
      <c r="AX522" s="1112"/>
      <c r="AY522" s="1075"/>
      <c r="AZ522" s="1076"/>
      <c r="BA522" s="1076"/>
      <c r="BB522" s="1076"/>
      <c r="BC522" s="1076"/>
      <c r="BD522" s="1076"/>
      <c r="BE522" s="1076"/>
      <c r="BF522" s="1076"/>
      <c r="BG522" s="1076"/>
      <c r="BH522" s="1076"/>
      <c r="BI522" s="1420"/>
      <c r="BJ522" s="1368"/>
      <c r="BK522" s="1368"/>
      <c r="BL522" s="1368"/>
      <c r="BM522" s="1368"/>
      <c r="BN522" s="1075"/>
      <c r="BO522" s="1076"/>
      <c r="BP522" s="1076"/>
      <c r="BQ522" s="1076"/>
      <c r="BR522" s="1076"/>
      <c r="BS522" s="1115"/>
      <c r="BT522" s="1076"/>
      <c r="BU522" s="1076"/>
      <c r="BV522" s="1076"/>
      <c r="BW522" s="1116"/>
      <c r="BX522" s="1115"/>
      <c r="BY522" s="1076"/>
      <c r="BZ522" s="1076"/>
      <c r="CA522" s="1076"/>
      <c r="CB522" s="1116"/>
      <c r="CC522" s="1117"/>
      <c r="CD522" s="1376"/>
      <c r="CE522" s="1377"/>
      <c r="CF522" s="1377"/>
      <c r="CG522" s="1377"/>
      <c r="CH522" s="1440"/>
      <c r="CI522" s="1420"/>
      <c r="CJ522" s="1368"/>
      <c r="CK522" s="1368"/>
      <c r="CL522" s="1368"/>
      <c r="CM522" s="1369"/>
      <c r="CN522" s="1420"/>
      <c r="CO522" s="1368"/>
      <c r="CP522" s="1368"/>
      <c r="CQ522" s="1368"/>
      <c r="CR522" s="1369"/>
      <c r="CS522" s="1420"/>
      <c r="CT522" s="1368"/>
      <c r="CU522" s="1368"/>
      <c r="CV522" s="1368"/>
      <c r="CW522" s="1369"/>
      <c r="CX522" s="1420"/>
      <c r="CY522" s="1368"/>
      <c r="CZ522" s="1368"/>
      <c r="DA522" s="1368"/>
      <c r="DB522" s="1369"/>
      <c r="DC522" s="1368"/>
      <c r="DD522" s="1368"/>
      <c r="DE522" s="1368"/>
      <c r="DF522" s="1368"/>
      <c r="DG522" s="1369"/>
      <c r="DH522" s="1420"/>
      <c r="DI522" s="1368"/>
      <c r="DJ522" s="1368"/>
      <c r="DK522" s="1368"/>
      <c r="DL522" s="1369"/>
      <c r="DM522" s="1808"/>
      <c r="DN522" s="1809"/>
      <c r="DO522" s="1809"/>
      <c r="DP522" s="1810"/>
      <c r="DQ522" s="1809"/>
      <c r="DR522" s="1809"/>
      <c r="DS522" s="1809"/>
      <c r="DT522" s="1810"/>
      <c r="DU522" s="1377"/>
      <c r="DV522" s="1729"/>
      <c r="DW522" s="1811"/>
    </row>
    <row r="523" spans="1:127" s="397" customFormat="1" ht="15.75" hidden="1" customHeight="1">
      <c r="A523" s="1097" t="s">
        <v>1050</v>
      </c>
      <c r="B523" s="1057">
        <v>514</v>
      </c>
      <c r="C523" s="1018"/>
      <c r="D523" s="1018"/>
      <c r="E523" s="1018"/>
      <c r="F523" s="1018"/>
      <c r="G523" s="1018"/>
      <c r="H523" s="1018"/>
      <c r="I523" s="1018"/>
      <c r="J523" s="1018"/>
      <c r="K523" s="1018"/>
      <c r="L523" s="1018"/>
      <c r="M523" s="1057"/>
      <c r="N523" s="1018"/>
      <c r="O523" s="1018"/>
      <c r="P523" s="1018"/>
      <c r="Q523" s="1018"/>
      <c r="R523" s="1018"/>
      <c r="S523" s="1018"/>
      <c r="T523" s="1019"/>
      <c r="U523" s="1098" t="s">
        <v>4131</v>
      </c>
      <c r="V523" s="1099" t="s">
        <v>4118</v>
      </c>
      <c r="W523" s="1099" t="s">
        <v>1907</v>
      </c>
      <c r="X523" s="1100" t="s">
        <v>4132</v>
      </c>
      <c r="Y523" s="1101" t="s">
        <v>4133</v>
      </c>
      <c r="Z523" s="1102" t="s">
        <v>4134</v>
      </c>
      <c r="AA523" s="1103" t="s">
        <v>1942</v>
      </c>
      <c r="AB523" s="1104">
        <v>0.5</v>
      </c>
      <c r="AC523" s="1104">
        <v>0.5</v>
      </c>
      <c r="AD523" s="1104" t="s">
        <v>1942</v>
      </c>
      <c r="AE523" s="1104" t="s">
        <v>1942</v>
      </c>
      <c r="AF523" s="1104" t="s">
        <v>1942</v>
      </c>
      <c r="AG523" s="1104" t="s">
        <v>1942</v>
      </c>
      <c r="AH523" s="1104" t="s">
        <v>1942</v>
      </c>
      <c r="AI523" s="1105">
        <f t="shared" si="8"/>
        <v>1</v>
      </c>
      <c r="AJ523" s="1106" t="s">
        <v>1017</v>
      </c>
      <c r="AK523" s="1106" t="s">
        <v>1008</v>
      </c>
      <c r="AL523" s="1106" t="s">
        <v>1009</v>
      </c>
      <c r="AM523" s="1107" t="s">
        <v>2117</v>
      </c>
      <c r="AN523" s="1018" t="s">
        <v>1033</v>
      </c>
      <c r="AO523" s="1018" t="s">
        <v>4135</v>
      </c>
      <c r="AP523" s="1274">
        <v>0</v>
      </c>
      <c r="AQ523" s="1076" t="s">
        <v>1010</v>
      </c>
      <c r="AR523" s="1109" t="s">
        <v>1942</v>
      </c>
      <c r="AS523" s="1110"/>
      <c r="AT523" s="1100"/>
      <c r="AU523" s="1100"/>
      <c r="AV523" s="1100"/>
      <c r="AW523" s="1111"/>
      <c r="AX523" s="1112"/>
      <c r="AY523" s="1075"/>
      <c r="AZ523" s="1076"/>
      <c r="BA523" s="1076"/>
      <c r="BB523" s="1076"/>
      <c r="BC523" s="1076"/>
      <c r="BD523" s="1076"/>
      <c r="BE523" s="1076"/>
      <c r="BF523" s="1076"/>
      <c r="BG523" s="1076"/>
      <c r="BH523" s="1076"/>
      <c r="BI523" s="1420"/>
      <c r="BJ523" s="1368"/>
      <c r="BK523" s="1368"/>
      <c r="BL523" s="1368"/>
      <c r="BM523" s="1368"/>
      <c r="BN523" s="1075"/>
      <c r="BO523" s="1076"/>
      <c r="BP523" s="1076"/>
      <c r="BQ523" s="1076"/>
      <c r="BR523" s="1076"/>
      <c r="BS523" s="1115"/>
      <c r="BT523" s="1076"/>
      <c r="BU523" s="1076"/>
      <c r="BV523" s="1076"/>
      <c r="BW523" s="1116"/>
      <c r="BX523" s="1115"/>
      <c r="BY523" s="1076"/>
      <c r="BZ523" s="1076"/>
      <c r="CA523" s="1076"/>
      <c r="CB523" s="1116"/>
      <c r="CC523" s="1117"/>
      <c r="CD523" s="1376"/>
      <c r="CE523" s="1377"/>
      <c r="CF523" s="1377"/>
      <c r="CG523" s="1377"/>
      <c r="CH523" s="1440"/>
      <c r="CI523" s="1420"/>
      <c r="CJ523" s="1368"/>
      <c r="CK523" s="1368"/>
      <c r="CL523" s="1368"/>
      <c r="CM523" s="1369"/>
      <c r="CN523" s="1420"/>
      <c r="CO523" s="1368"/>
      <c r="CP523" s="1368"/>
      <c r="CQ523" s="1368"/>
      <c r="CR523" s="1369"/>
      <c r="CS523" s="1420"/>
      <c r="CT523" s="1368"/>
      <c r="CU523" s="1368"/>
      <c r="CV523" s="1368"/>
      <c r="CW523" s="1369"/>
      <c r="CX523" s="1420"/>
      <c r="CY523" s="1368"/>
      <c r="CZ523" s="1368"/>
      <c r="DA523" s="1368"/>
      <c r="DB523" s="1369"/>
      <c r="DC523" s="1368"/>
      <c r="DD523" s="1368"/>
      <c r="DE523" s="1368"/>
      <c r="DF523" s="1368"/>
      <c r="DG523" s="1369"/>
      <c r="DH523" s="1420"/>
      <c r="DI523" s="1368"/>
      <c r="DJ523" s="1368"/>
      <c r="DK523" s="1368"/>
      <c r="DL523" s="1369"/>
      <c r="DM523" s="1808"/>
      <c r="DN523" s="1809"/>
      <c r="DO523" s="1809"/>
      <c r="DP523" s="1810"/>
      <c r="DQ523" s="1809"/>
      <c r="DR523" s="1809"/>
      <c r="DS523" s="1809"/>
      <c r="DT523" s="1810"/>
      <c r="DU523" s="1377"/>
      <c r="DV523" s="1729"/>
      <c r="DW523" s="1811"/>
    </row>
    <row r="524" spans="1:127" s="397" customFormat="1" ht="15.75" hidden="1" customHeight="1">
      <c r="A524" s="1097" t="s">
        <v>1050</v>
      </c>
      <c r="B524" s="1057">
        <v>515</v>
      </c>
      <c r="C524" s="1018"/>
      <c r="D524" s="1018"/>
      <c r="E524" s="1018"/>
      <c r="F524" s="1018"/>
      <c r="G524" s="1018"/>
      <c r="H524" s="1018"/>
      <c r="I524" s="1018"/>
      <c r="J524" s="1018"/>
      <c r="K524" s="1018"/>
      <c r="L524" s="1018"/>
      <c r="M524" s="1057"/>
      <c r="N524" s="1018"/>
      <c r="O524" s="1018"/>
      <c r="P524" s="1018"/>
      <c r="Q524" s="1018"/>
      <c r="R524" s="1018"/>
      <c r="S524" s="1018"/>
      <c r="T524" s="1019"/>
      <c r="U524" s="1098" t="s">
        <v>4136</v>
      </c>
      <c r="V524" s="1099" t="s">
        <v>4118</v>
      </c>
      <c r="W524" s="1099" t="s">
        <v>1907</v>
      </c>
      <c r="X524" s="1100" t="s">
        <v>4137</v>
      </c>
      <c r="Y524" s="1101" t="s">
        <v>4138</v>
      </c>
      <c r="Z524" s="1102" t="s">
        <v>4139</v>
      </c>
      <c r="AA524" s="1103" t="s">
        <v>1942</v>
      </c>
      <c r="AB524" s="1104" t="s">
        <v>1942</v>
      </c>
      <c r="AC524" s="1104" t="s">
        <v>1942</v>
      </c>
      <c r="AD524" s="1104" t="s">
        <v>1942</v>
      </c>
      <c r="AE524" s="1104">
        <v>1</v>
      </c>
      <c r="AF524" s="1104" t="s">
        <v>1942</v>
      </c>
      <c r="AG524" s="1104" t="s">
        <v>1942</v>
      </c>
      <c r="AH524" s="1104" t="s">
        <v>1942</v>
      </c>
      <c r="AI524" s="1105">
        <f t="shared" si="8"/>
        <v>1</v>
      </c>
      <c r="AJ524" s="1106" t="s">
        <v>1017</v>
      </c>
      <c r="AK524" s="1106" t="s">
        <v>1008</v>
      </c>
      <c r="AL524" s="1106" t="s">
        <v>1009</v>
      </c>
      <c r="AM524" s="1107" t="s">
        <v>2117</v>
      </c>
      <c r="AN524" s="1018" t="s">
        <v>1033</v>
      </c>
      <c r="AO524" s="1018" t="s">
        <v>4140</v>
      </c>
      <c r="AP524" s="1274">
        <v>0</v>
      </c>
      <c r="AQ524" s="1076" t="s">
        <v>1010</v>
      </c>
      <c r="AR524" s="1109" t="s">
        <v>1942</v>
      </c>
      <c r="AS524" s="1110"/>
      <c r="AT524" s="1100"/>
      <c r="AU524" s="1100"/>
      <c r="AV524" s="1100"/>
      <c r="AW524" s="1111"/>
      <c r="AX524" s="1112"/>
      <c r="AY524" s="1075"/>
      <c r="AZ524" s="1076"/>
      <c r="BA524" s="1076"/>
      <c r="BB524" s="1076"/>
      <c r="BC524" s="1076"/>
      <c r="BD524" s="1076"/>
      <c r="BE524" s="1076"/>
      <c r="BF524" s="1076"/>
      <c r="BG524" s="1076"/>
      <c r="BH524" s="1076"/>
      <c r="BI524" s="1420"/>
      <c r="BJ524" s="1368"/>
      <c r="BK524" s="1368"/>
      <c r="BL524" s="1368"/>
      <c r="BM524" s="1368"/>
      <c r="BN524" s="1075"/>
      <c r="BO524" s="1076"/>
      <c r="BP524" s="1076"/>
      <c r="BQ524" s="1076"/>
      <c r="BR524" s="1076"/>
      <c r="BS524" s="1115"/>
      <c r="BT524" s="1076"/>
      <c r="BU524" s="1076"/>
      <c r="BV524" s="1076"/>
      <c r="BW524" s="1116"/>
      <c r="BX524" s="1115"/>
      <c r="BY524" s="1076"/>
      <c r="BZ524" s="1076"/>
      <c r="CA524" s="1076"/>
      <c r="CB524" s="1116"/>
      <c r="CC524" s="1117"/>
      <c r="CD524" s="1376"/>
      <c r="CE524" s="1377"/>
      <c r="CF524" s="1377"/>
      <c r="CG524" s="1377"/>
      <c r="CH524" s="1440"/>
      <c r="CI524" s="1420"/>
      <c r="CJ524" s="1368"/>
      <c r="CK524" s="1368"/>
      <c r="CL524" s="1368"/>
      <c r="CM524" s="1369"/>
      <c r="CN524" s="1420"/>
      <c r="CO524" s="1368"/>
      <c r="CP524" s="1368"/>
      <c r="CQ524" s="1368"/>
      <c r="CR524" s="1369"/>
      <c r="CS524" s="1420"/>
      <c r="CT524" s="1368"/>
      <c r="CU524" s="1368"/>
      <c r="CV524" s="1368"/>
      <c r="CW524" s="1369"/>
      <c r="CX524" s="1420"/>
      <c r="CY524" s="1368"/>
      <c r="CZ524" s="1368"/>
      <c r="DA524" s="1368"/>
      <c r="DB524" s="1369"/>
      <c r="DC524" s="1368"/>
      <c r="DD524" s="1368"/>
      <c r="DE524" s="1368"/>
      <c r="DF524" s="1368"/>
      <c r="DG524" s="1369"/>
      <c r="DH524" s="1420"/>
      <c r="DI524" s="1368"/>
      <c r="DJ524" s="1368"/>
      <c r="DK524" s="1368"/>
      <c r="DL524" s="1369"/>
      <c r="DM524" s="1808"/>
      <c r="DN524" s="1809"/>
      <c r="DO524" s="1809"/>
      <c r="DP524" s="1810"/>
      <c r="DQ524" s="1809"/>
      <c r="DR524" s="1809"/>
      <c r="DS524" s="1809"/>
      <c r="DT524" s="1810"/>
      <c r="DU524" s="1377"/>
      <c r="DV524" s="1729"/>
      <c r="DW524" s="1811"/>
    </row>
    <row r="525" spans="1:127" s="397" customFormat="1" ht="15.75" hidden="1" customHeight="1">
      <c r="A525" s="1097" t="s">
        <v>1050</v>
      </c>
      <c r="B525" s="1057">
        <v>516</v>
      </c>
      <c r="C525" s="1018"/>
      <c r="D525" s="1018"/>
      <c r="E525" s="1018"/>
      <c r="F525" s="1018"/>
      <c r="G525" s="1018"/>
      <c r="H525" s="1018"/>
      <c r="I525" s="1018"/>
      <c r="J525" s="1018"/>
      <c r="K525" s="1018"/>
      <c r="L525" s="1018"/>
      <c r="M525" s="1057"/>
      <c r="N525" s="1018"/>
      <c r="O525" s="1018"/>
      <c r="P525" s="1018"/>
      <c r="Q525" s="1018"/>
      <c r="R525" s="1018"/>
      <c r="S525" s="1018"/>
      <c r="T525" s="1019"/>
      <c r="U525" s="1098" t="s">
        <v>4141</v>
      </c>
      <c r="V525" s="1099" t="s">
        <v>4118</v>
      </c>
      <c r="W525" s="1099" t="s">
        <v>1907</v>
      </c>
      <c r="X525" s="1100" t="s">
        <v>4142</v>
      </c>
      <c r="Y525" s="1101" t="s">
        <v>4143</v>
      </c>
      <c r="Z525" s="1102" t="s">
        <v>4144</v>
      </c>
      <c r="AA525" s="1103" t="s">
        <v>1942</v>
      </c>
      <c r="AB525" s="1104">
        <v>0.5</v>
      </c>
      <c r="AC525" s="1104">
        <v>0.5</v>
      </c>
      <c r="AD525" s="1104" t="s">
        <v>1942</v>
      </c>
      <c r="AE525" s="1104" t="s">
        <v>1942</v>
      </c>
      <c r="AF525" s="1104" t="s">
        <v>1942</v>
      </c>
      <c r="AG525" s="1104" t="s">
        <v>1942</v>
      </c>
      <c r="AH525" s="1104" t="s">
        <v>1942</v>
      </c>
      <c r="AI525" s="1105">
        <f t="shared" si="8"/>
        <v>1</v>
      </c>
      <c r="AJ525" s="1106" t="s">
        <v>1007</v>
      </c>
      <c r="AK525" s="1106" t="s">
        <v>1942</v>
      </c>
      <c r="AL525" s="1106" t="s">
        <v>1942</v>
      </c>
      <c r="AM525" s="1107" t="s">
        <v>1904</v>
      </c>
      <c r="AN525" s="1018" t="s">
        <v>1033</v>
      </c>
      <c r="AO525" s="1018" t="s">
        <v>4145</v>
      </c>
      <c r="AP525" s="1274">
        <v>0</v>
      </c>
      <c r="AQ525" s="1076" t="s">
        <v>1010</v>
      </c>
      <c r="AR525" s="1109" t="s">
        <v>1942</v>
      </c>
      <c r="AS525" s="1110"/>
      <c r="AT525" s="1100"/>
      <c r="AU525" s="1100"/>
      <c r="AV525" s="1100"/>
      <c r="AW525" s="1111"/>
      <c r="AX525" s="1112"/>
      <c r="AY525" s="1075"/>
      <c r="AZ525" s="1076"/>
      <c r="BA525" s="1076"/>
      <c r="BB525" s="1076"/>
      <c r="BC525" s="1076"/>
      <c r="BD525" s="1076"/>
      <c r="BE525" s="1076"/>
      <c r="BF525" s="1076"/>
      <c r="BG525" s="1076"/>
      <c r="BH525" s="1076"/>
      <c r="BI525" s="1420"/>
      <c r="BJ525" s="1368"/>
      <c r="BK525" s="1368"/>
      <c r="BL525" s="1368"/>
      <c r="BM525" s="1368"/>
      <c r="BN525" s="1075"/>
      <c r="BO525" s="1076"/>
      <c r="BP525" s="1076"/>
      <c r="BQ525" s="1076"/>
      <c r="BR525" s="1076"/>
      <c r="BS525" s="1115"/>
      <c r="BT525" s="1076"/>
      <c r="BU525" s="1076"/>
      <c r="BV525" s="1076"/>
      <c r="BW525" s="1116"/>
      <c r="BX525" s="1115"/>
      <c r="BY525" s="1076"/>
      <c r="BZ525" s="1076"/>
      <c r="CA525" s="1076"/>
      <c r="CB525" s="1116"/>
      <c r="CC525" s="1117"/>
      <c r="CD525" s="1376"/>
      <c r="CE525" s="1377"/>
      <c r="CF525" s="1377"/>
      <c r="CG525" s="1377"/>
      <c r="CH525" s="1440"/>
      <c r="CI525" s="1420"/>
      <c r="CJ525" s="1368"/>
      <c r="CK525" s="1368"/>
      <c r="CL525" s="1368"/>
      <c r="CM525" s="1369"/>
      <c r="CN525" s="1420"/>
      <c r="CO525" s="1368"/>
      <c r="CP525" s="1368"/>
      <c r="CQ525" s="1368"/>
      <c r="CR525" s="1369"/>
      <c r="CS525" s="1420"/>
      <c r="CT525" s="1368"/>
      <c r="CU525" s="1368"/>
      <c r="CV525" s="1368"/>
      <c r="CW525" s="1369"/>
      <c r="CX525" s="1420"/>
      <c r="CY525" s="1368"/>
      <c r="CZ525" s="1368"/>
      <c r="DA525" s="1368"/>
      <c r="DB525" s="1369"/>
      <c r="DC525" s="1368"/>
      <c r="DD525" s="1368"/>
      <c r="DE525" s="1368"/>
      <c r="DF525" s="1368"/>
      <c r="DG525" s="1369"/>
      <c r="DH525" s="1420"/>
      <c r="DI525" s="1368"/>
      <c r="DJ525" s="1368"/>
      <c r="DK525" s="1368"/>
      <c r="DL525" s="1369"/>
      <c r="DM525" s="1808"/>
      <c r="DN525" s="1809"/>
      <c r="DO525" s="1809"/>
      <c r="DP525" s="1810"/>
      <c r="DQ525" s="1809"/>
      <c r="DR525" s="1809"/>
      <c r="DS525" s="1809"/>
      <c r="DT525" s="1810"/>
      <c r="DU525" s="1377"/>
      <c r="DV525" s="1729"/>
      <c r="DW525" s="1811"/>
    </row>
    <row r="526" spans="1:127" s="397" customFormat="1" ht="15.75" hidden="1" customHeight="1">
      <c r="A526" s="1097" t="s">
        <v>1050</v>
      </c>
      <c r="B526" s="1057">
        <v>517</v>
      </c>
      <c r="C526" s="1018"/>
      <c r="D526" s="1018"/>
      <c r="E526" s="1018"/>
      <c r="F526" s="1018"/>
      <c r="G526" s="1018"/>
      <c r="H526" s="1018"/>
      <c r="I526" s="1018"/>
      <c r="J526" s="1018"/>
      <c r="K526" s="1018"/>
      <c r="L526" s="1018"/>
      <c r="M526" s="1057"/>
      <c r="N526" s="1018"/>
      <c r="O526" s="1018"/>
      <c r="P526" s="1018"/>
      <c r="Q526" s="1018"/>
      <c r="R526" s="1018"/>
      <c r="S526" s="1018"/>
      <c r="T526" s="1019"/>
      <c r="U526" s="1098" t="s">
        <v>4146</v>
      </c>
      <c r="V526" s="1099" t="s">
        <v>4118</v>
      </c>
      <c r="W526" s="1099" t="s">
        <v>1907</v>
      </c>
      <c r="X526" s="1100" t="s">
        <v>4147</v>
      </c>
      <c r="Y526" s="1101" t="s">
        <v>4148</v>
      </c>
      <c r="Z526" s="1102" t="s">
        <v>4149</v>
      </c>
      <c r="AA526" s="1103" t="s">
        <v>1942</v>
      </c>
      <c r="AB526" s="1104">
        <v>1</v>
      </c>
      <c r="AC526" s="1104" t="s">
        <v>1942</v>
      </c>
      <c r="AD526" s="1104" t="s">
        <v>1942</v>
      </c>
      <c r="AE526" s="1104" t="s">
        <v>1942</v>
      </c>
      <c r="AF526" s="1104" t="s">
        <v>1942</v>
      </c>
      <c r="AG526" s="1104" t="s">
        <v>1942</v>
      </c>
      <c r="AH526" s="1104" t="s">
        <v>1942</v>
      </c>
      <c r="AI526" s="1105">
        <f t="shared" si="8"/>
        <v>1</v>
      </c>
      <c r="AJ526" s="1106" t="s">
        <v>1007</v>
      </c>
      <c r="AK526" s="1106" t="s">
        <v>1942</v>
      </c>
      <c r="AL526" s="1106" t="s">
        <v>1942</v>
      </c>
      <c r="AM526" s="1107" t="s">
        <v>1910</v>
      </c>
      <c r="AN526" s="1018" t="s">
        <v>1033</v>
      </c>
      <c r="AO526" s="1018" t="s">
        <v>4150</v>
      </c>
      <c r="AP526" s="1274">
        <v>0</v>
      </c>
      <c r="AQ526" s="1076" t="s">
        <v>1010</v>
      </c>
      <c r="AR526" s="1109" t="s">
        <v>1942</v>
      </c>
      <c r="AS526" s="1110"/>
      <c r="AT526" s="1100"/>
      <c r="AU526" s="1100"/>
      <c r="AV526" s="1100"/>
      <c r="AW526" s="1111"/>
      <c r="AX526" s="1112"/>
      <c r="AY526" s="1075"/>
      <c r="AZ526" s="1076"/>
      <c r="BA526" s="1076"/>
      <c r="BB526" s="1076"/>
      <c r="BC526" s="1076"/>
      <c r="BD526" s="1076"/>
      <c r="BE526" s="1076"/>
      <c r="BF526" s="1076"/>
      <c r="BG526" s="1076"/>
      <c r="BH526" s="1076"/>
      <c r="BI526" s="1420"/>
      <c r="BJ526" s="1368"/>
      <c r="BK526" s="1368"/>
      <c r="BL526" s="1368"/>
      <c r="BM526" s="1368"/>
      <c r="BN526" s="1075"/>
      <c r="BO526" s="1076"/>
      <c r="BP526" s="1076"/>
      <c r="BQ526" s="1076"/>
      <c r="BR526" s="1076"/>
      <c r="BS526" s="1115"/>
      <c r="BT526" s="1076"/>
      <c r="BU526" s="1076"/>
      <c r="BV526" s="1076"/>
      <c r="BW526" s="1116"/>
      <c r="BX526" s="1115"/>
      <c r="BY526" s="1076"/>
      <c r="BZ526" s="1076"/>
      <c r="CA526" s="1076"/>
      <c r="CB526" s="1116"/>
      <c r="CC526" s="1117"/>
      <c r="CD526" s="1376"/>
      <c r="CE526" s="1377"/>
      <c r="CF526" s="1377"/>
      <c r="CG526" s="1377"/>
      <c r="CH526" s="1440"/>
      <c r="CI526" s="1420"/>
      <c r="CJ526" s="1368"/>
      <c r="CK526" s="1368"/>
      <c r="CL526" s="1368"/>
      <c r="CM526" s="1369"/>
      <c r="CN526" s="1420"/>
      <c r="CO526" s="1368"/>
      <c r="CP526" s="1368"/>
      <c r="CQ526" s="1368"/>
      <c r="CR526" s="1369"/>
      <c r="CS526" s="1420"/>
      <c r="CT526" s="1368"/>
      <c r="CU526" s="1368"/>
      <c r="CV526" s="1368"/>
      <c r="CW526" s="1369"/>
      <c r="CX526" s="1420"/>
      <c r="CY526" s="1368"/>
      <c r="CZ526" s="1368"/>
      <c r="DA526" s="1368"/>
      <c r="DB526" s="1369"/>
      <c r="DC526" s="1368"/>
      <c r="DD526" s="1368"/>
      <c r="DE526" s="1368"/>
      <c r="DF526" s="1368"/>
      <c r="DG526" s="1369"/>
      <c r="DH526" s="1420"/>
      <c r="DI526" s="1368"/>
      <c r="DJ526" s="1368"/>
      <c r="DK526" s="1368"/>
      <c r="DL526" s="1369"/>
      <c r="DM526" s="1808"/>
      <c r="DN526" s="1809"/>
      <c r="DO526" s="1809"/>
      <c r="DP526" s="1810"/>
      <c r="DQ526" s="1809"/>
      <c r="DR526" s="1809"/>
      <c r="DS526" s="1809"/>
      <c r="DT526" s="1810"/>
      <c r="DU526" s="1377"/>
      <c r="DV526" s="1729"/>
      <c r="DW526" s="1811"/>
    </row>
    <row r="527" spans="1:127" s="397" customFormat="1" ht="15.75" hidden="1" customHeight="1">
      <c r="A527" s="1097" t="s">
        <v>1050</v>
      </c>
      <c r="B527" s="1057">
        <v>518</v>
      </c>
      <c r="C527" s="1018"/>
      <c r="D527" s="1018"/>
      <c r="E527" s="1018"/>
      <c r="F527" s="1018"/>
      <c r="G527" s="1018"/>
      <c r="H527" s="1018"/>
      <c r="I527" s="1018"/>
      <c r="J527" s="1018"/>
      <c r="K527" s="1018"/>
      <c r="L527" s="1018"/>
      <c r="M527" s="1057"/>
      <c r="N527" s="1018"/>
      <c r="O527" s="1018"/>
      <c r="P527" s="1018"/>
      <c r="Q527" s="1018"/>
      <c r="R527" s="1018"/>
      <c r="S527" s="1018"/>
      <c r="T527" s="1019"/>
      <c r="U527" s="1098" t="s">
        <v>4874</v>
      </c>
      <c r="V527" s="1099" t="s">
        <v>4118</v>
      </c>
      <c r="W527" s="1099" t="s">
        <v>1907</v>
      </c>
      <c r="X527" s="1100" t="s">
        <v>4875</v>
      </c>
      <c r="Y527" s="1101" t="s">
        <v>4876</v>
      </c>
      <c r="Z527" s="1102" t="s">
        <v>1942</v>
      </c>
      <c r="AA527" s="1103">
        <v>1</v>
      </c>
      <c r="AB527" s="1104" t="s">
        <v>1942</v>
      </c>
      <c r="AC527" s="1104" t="s">
        <v>1942</v>
      </c>
      <c r="AD527" s="1104" t="s">
        <v>1942</v>
      </c>
      <c r="AE527" s="1104" t="s">
        <v>1942</v>
      </c>
      <c r="AF527" s="1104" t="s">
        <v>1942</v>
      </c>
      <c r="AG527" s="1104" t="s">
        <v>1942</v>
      </c>
      <c r="AH527" s="1104" t="s">
        <v>1942</v>
      </c>
      <c r="AI527" s="1105">
        <f t="shared" si="8"/>
        <v>1</v>
      </c>
      <c r="AJ527" s="1106" t="s">
        <v>1942</v>
      </c>
      <c r="AK527" s="1106" t="s">
        <v>1942</v>
      </c>
      <c r="AL527" s="1106" t="s">
        <v>1942</v>
      </c>
      <c r="AM527" s="1107" t="s">
        <v>1942</v>
      </c>
      <c r="AN527" s="1018"/>
      <c r="AO527" s="1018"/>
      <c r="AP527" s="1275">
        <v>0</v>
      </c>
      <c r="AQ527" s="1076"/>
      <c r="AR527" s="1109" t="s">
        <v>1942</v>
      </c>
      <c r="AS527" s="1110"/>
      <c r="AT527" s="1100"/>
      <c r="AU527" s="1100"/>
      <c r="AV527" s="1100"/>
      <c r="AW527" s="1111"/>
      <c r="AX527" s="1112"/>
      <c r="AY527" s="1075"/>
      <c r="AZ527" s="1076"/>
      <c r="BA527" s="1076"/>
      <c r="BB527" s="1076"/>
      <c r="BC527" s="1076"/>
      <c r="BD527" s="1076"/>
      <c r="BE527" s="1076"/>
      <c r="BF527" s="1076"/>
      <c r="BG527" s="1076"/>
      <c r="BH527" s="1076"/>
      <c r="BI527" s="1420"/>
      <c r="BJ527" s="1368"/>
      <c r="BK527" s="1368"/>
      <c r="BL527" s="1368"/>
      <c r="BM527" s="1368"/>
      <c r="BN527" s="1075"/>
      <c r="BO527" s="1076"/>
      <c r="BP527" s="1076"/>
      <c r="BQ527" s="1076"/>
      <c r="BR527" s="1076"/>
      <c r="BS527" s="1115"/>
      <c r="BT527" s="1076"/>
      <c r="BU527" s="1076"/>
      <c r="BV527" s="1076"/>
      <c r="BW527" s="1116"/>
      <c r="BX527" s="1115"/>
      <c r="BY527" s="1076"/>
      <c r="BZ527" s="1076"/>
      <c r="CA527" s="1076"/>
      <c r="CB527" s="1116"/>
      <c r="CC527" s="1117"/>
      <c r="CD527" s="1376"/>
      <c r="CE527" s="1377"/>
      <c r="CF527" s="1377"/>
      <c r="CG527" s="1377"/>
      <c r="CH527" s="1440"/>
      <c r="CI527" s="1420"/>
      <c r="CJ527" s="1368"/>
      <c r="CK527" s="1368"/>
      <c r="CL527" s="1368"/>
      <c r="CM527" s="1369"/>
      <c r="CN527" s="1420"/>
      <c r="CO527" s="1368"/>
      <c r="CP527" s="1368"/>
      <c r="CQ527" s="1368"/>
      <c r="CR527" s="1369"/>
      <c r="CS527" s="1420"/>
      <c r="CT527" s="1368"/>
      <c r="CU527" s="1368"/>
      <c r="CV527" s="1368"/>
      <c r="CW527" s="1369"/>
      <c r="CX527" s="1420"/>
      <c r="CY527" s="1368"/>
      <c r="CZ527" s="1368"/>
      <c r="DA527" s="1368"/>
      <c r="DB527" s="1369"/>
      <c r="DC527" s="1368"/>
      <c r="DD527" s="1368"/>
      <c r="DE527" s="1368"/>
      <c r="DF527" s="1368"/>
      <c r="DG527" s="1369"/>
      <c r="DH527" s="1420"/>
      <c r="DI527" s="1368"/>
      <c r="DJ527" s="1368"/>
      <c r="DK527" s="1368"/>
      <c r="DL527" s="1369"/>
      <c r="DM527" s="1808"/>
      <c r="DN527" s="1809"/>
      <c r="DO527" s="1809"/>
      <c r="DP527" s="1810"/>
      <c r="DQ527" s="1809"/>
      <c r="DR527" s="1809"/>
      <c r="DS527" s="1809"/>
      <c r="DT527" s="1810"/>
      <c r="DU527" s="1377"/>
      <c r="DV527" s="1729"/>
      <c r="DW527" s="1811"/>
    </row>
    <row r="528" spans="1:127" s="397" customFormat="1" ht="15.75" hidden="1" customHeight="1">
      <c r="A528" s="1097" t="s">
        <v>1050</v>
      </c>
      <c r="B528" s="1057">
        <v>519</v>
      </c>
      <c r="C528" s="1018"/>
      <c r="D528" s="1018"/>
      <c r="E528" s="1018"/>
      <c r="F528" s="1018"/>
      <c r="G528" s="1018"/>
      <c r="H528" s="1018"/>
      <c r="I528" s="1018"/>
      <c r="J528" s="1018"/>
      <c r="K528" s="1018"/>
      <c r="L528" s="1018"/>
      <c r="M528" s="1057"/>
      <c r="N528" s="1018"/>
      <c r="O528" s="1018"/>
      <c r="P528" s="1018"/>
      <c r="Q528" s="1018"/>
      <c r="R528" s="1018"/>
      <c r="S528" s="1018"/>
      <c r="T528" s="1019"/>
      <c r="U528" s="1098" t="s">
        <v>4151</v>
      </c>
      <c r="V528" s="1099" t="s">
        <v>4118</v>
      </c>
      <c r="W528" s="1099" t="s">
        <v>1896</v>
      </c>
      <c r="X528" s="1100" t="s">
        <v>4152</v>
      </c>
      <c r="Y528" s="1101" t="s">
        <v>4153</v>
      </c>
      <c r="Z528" s="1102" t="s">
        <v>4154</v>
      </c>
      <c r="AA528" s="1103" t="s">
        <v>1942</v>
      </c>
      <c r="AB528" s="1104" t="s">
        <v>1942</v>
      </c>
      <c r="AC528" s="1104" t="s">
        <v>1942</v>
      </c>
      <c r="AD528" s="1104" t="s">
        <v>1942</v>
      </c>
      <c r="AE528" s="1104">
        <v>1</v>
      </c>
      <c r="AF528" s="1104" t="s">
        <v>1942</v>
      </c>
      <c r="AG528" s="1104" t="s">
        <v>1942</v>
      </c>
      <c r="AH528" s="1104" t="s">
        <v>1942</v>
      </c>
      <c r="AI528" s="1105">
        <f t="shared" si="8"/>
        <v>1</v>
      </c>
      <c r="AJ528" s="1106" t="s">
        <v>1007</v>
      </c>
      <c r="AK528" s="1106" t="s">
        <v>1942</v>
      </c>
      <c r="AL528" s="1106" t="s">
        <v>1942</v>
      </c>
      <c r="AM528" s="1107" t="s">
        <v>2677</v>
      </c>
      <c r="AN528" s="1018" t="s">
        <v>278</v>
      </c>
      <c r="AO528" s="1018" t="s">
        <v>4155</v>
      </c>
      <c r="AP528" s="1274">
        <v>0</v>
      </c>
      <c r="AQ528" s="1076" t="s">
        <v>1010</v>
      </c>
      <c r="AR528" s="1109" t="s">
        <v>1942</v>
      </c>
      <c r="AS528" s="1110"/>
      <c r="AT528" s="1100"/>
      <c r="AU528" s="1100"/>
      <c r="AV528" s="1100"/>
      <c r="AW528" s="1111"/>
      <c r="AX528" s="1112"/>
      <c r="AY528" s="1075"/>
      <c r="AZ528" s="1076"/>
      <c r="BA528" s="1076"/>
      <c r="BB528" s="1076"/>
      <c r="BC528" s="1076"/>
      <c r="BD528" s="1076"/>
      <c r="BE528" s="1076"/>
      <c r="BF528" s="1076"/>
      <c r="BG528" s="1076"/>
      <c r="BH528" s="1076"/>
      <c r="BI528" s="1420"/>
      <c r="BJ528" s="1368"/>
      <c r="BK528" s="1368"/>
      <c r="BL528" s="1368"/>
      <c r="BM528" s="1368"/>
      <c r="BN528" s="1075"/>
      <c r="BO528" s="1076"/>
      <c r="BP528" s="1076"/>
      <c r="BQ528" s="1076"/>
      <c r="BR528" s="1076"/>
      <c r="BS528" s="1115"/>
      <c r="BT528" s="1076"/>
      <c r="BU528" s="1076"/>
      <c r="BV528" s="1076"/>
      <c r="BW528" s="1116"/>
      <c r="BX528" s="1115"/>
      <c r="BY528" s="1076"/>
      <c r="BZ528" s="1076"/>
      <c r="CA528" s="1076"/>
      <c r="CB528" s="1116"/>
      <c r="CC528" s="1117"/>
      <c r="CD528" s="1376"/>
      <c r="CE528" s="1377"/>
      <c r="CF528" s="1377"/>
      <c r="CG528" s="1377"/>
      <c r="CH528" s="1440"/>
      <c r="CI528" s="1420"/>
      <c r="CJ528" s="1368"/>
      <c r="CK528" s="1368"/>
      <c r="CL528" s="1368"/>
      <c r="CM528" s="1369"/>
      <c r="CN528" s="1420"/>
      <c r="CO528" s="1368"/>
      <c r="CP528" s="1368"/>
      <c r="CQ528" s="1368"/>
      <c r="CR528" s="1369"/>
      <c r="CS528" s="1420"/>
      <c r="CT528" s="1368"/>
      <c r="CU528" s="1368"/>
      <c r="CV528" s="1368"/>
      <c r="CW528" s="1369"/>
      <c r="CX528" s="1420"/>
      <c r="CY528" s="1368"/>
      <c r="CZ528" s="1368"/>
      <c r="DA528" s="1368"/>
      <c r="DB528" s="1369"/>
      <c r="DC528" s="1368"/>
      <c r="DD528" s="1368"/>
      <c r="DE528" s="1368"/>
      <c r="DF528" s="1368"/>
      <c r="DG528" s="1369"/>
      <c r="DH528" s="1420"/>
      <c r="DI528" s="1368"/>
      <c r="DJ528" s="1368"/>
      <c r="DK528" s="1368"/>
      <c r="DL528" s="1369"/>
      <c r="DM528" s="1808"/>
      <c r="DN528" s="1809"/>
      <c r="DO528" s="1809"/>
      <c r="DP528" s="1810"/>
      <c r="DQ528" s="1809"/>
      <c r="DR528" s="1809"/>
      <c r="DS528" s="1809"/>
      <c r="DT528" s="1810"/>
      <c r="DU528" s="1377"/>
      <c r="DV528" s="1729"/>
      <c r="DW528" s="1811"/>
    </row>
    <row r="529" spans="1:127" s="397" customFormat="1" ht="15.75" hidden="1" customHeight="1">
      <c r="A529" s="1097" t="s">
        <v>1050</v>
      </c>
      <c r="B529" s="1057">
        <v>520</v>
      </c>
      <c r="C529" s="1018"/>
      <c r="D529" s="1018"/>
      <c r="E529" s="1018"/>
      <c r="F529" s="1018"/>
      <c r="G529" s="1018"/>
      <c r="H529" s="1018"/>
      <c r="I529" s="1018"/>
      <c r="J529" s="1018"/>
      <c r="K529" s="1018"/>
      <c r="L529" s="1018"/>
      <c r="M529" s="1057"/>
      <c r="N529" s="1018"/>
      <c r="O529" s="1018"/>
      <c r="P529" s="1018"/>
      <c r="Q529" s="1018"/>
      <c r="R529" s="1018"/>
      <c r="S529" s="1018"/>
      <c r="T529" s="1019"/>
      <c r="U529" s="1098" t="s">
        <v>4156</v>
      </c>
      <c r="V529" s="1099" t="s">
        <v>4157</v>
      </c>
      <c r="W529" s="1099" t="s">
        <v>1889</v>
      </c>
      <c r="X529" s="1100" t="s">
        <v>4158</v>
      </c>
      <c r="Y529" s="1101" t="s">
        <v>743</v>
      </c>
      <c r="Z529" s="1102" t="s">
        <v>3988</v>
      </c>
      <c r="AA529" s="1103" t="s">
        <v>1942</v>
      </c>
      <c r="AB529" s="1104" t="s">
        <v>1942</v>
      </c>
      <c r="AC529" s="1104">
        <v>1</v>
      </c>
      <c r="AD529" s="1104" t="s">
        <v>1942</v>
      </c>
      <c r="AE529" s="1104" t="s">
        <v>1942</v>
      </c>
      <c r="AF529" s="1104" t="s">
        <v>1942</v>
      </c>
      <c r="AG529" s="1104" t="s">
        <v>1942</v>
      </c>
      <c r="AH529" s="1104" t="s">
        <v>1942</v>
      </c>
      <c r="AI529" s="1105">
        <f t="shared" si="8"/>
        <v>1</v>
      </c>
      <c r="AJ529" s="1106" t="s">
        <v>1026</v>
      </c>
      <c r="AK529" s="1106" t="s">
        <v>1008</v>
      </c>
      <c r="AL529" s="1106" t="s">
        <v>1009</v>
      </c>
      <c r="AM529" s="1107" t="s">
        <v>2081</v>
      </c>
      <c r="AN529" s="1018" t="s">
        <v>2177</v>
      </c>
      <c r="AO529" s="1018" t="s">
        <v>4807</v>
      </c>
      <c r="AP529" s="1307">
        <v>2</v>
      </c>
      <c r="AQ529" s="1076" t="s">
        <v>1020</v>
      </c>
      <c r="AR529" s="1109" t="s">
        <v>743</v>
      </c>
      <c r="AS529" s="1110"/>
      <c r="AT529" s="1100"/>
      <c r="AU529" s="1100"/>
      <c r="AV529" s="1100"/>
      <c r="AW529" s="1111"/>
      <c r="AX529" s="1112"/>
      <c r="AY529" s="1075"/>
      <c r="AZ529" s="1076"/>
      <c r="BA529" s="1076"/>
      <c r="BB529" s="1076"/>
      <c r="BC529" s="1076"/>
      <c r="BD529" s="1076"/>
      <c r="BE529" s="1076"/>
      <c r="BF529" s="1076"/>
      <c r="BG529" s="1126"/>
      <c r="BH529" s="1126"/>
      <c r="BI529" s="1127">
        <v>15.51</v>
      </c>
      <c r="BJ529" s="1126">
        <v>14.9</v>
      </c>
      <c r="BK529" s="1126">
        <v>14.29</v>
      </c>
      <c r="BL529" s="1126">
        <v>13.68</v>
      </c>
      <c r="BM529" s="1126">
        <v>13.07</v>
      </c>
      <c r="BN529" s="1075"/>
      <c r="BO529" s="1076"/>
      <c r="BP529" s="1076"/>
      <c r="BQ529" s="1076"/>
      <c r="BR529" s="1076"/>
      <c r="BS529" s="1115"/>
      <c r="BT529" s="1076"/>
      <c r="BU529" s="1076"/>
      <c r="BV529" s="1076"/>
      <c r="BW529" s="1116"/>
      <c r="BX529" s="1115"/>
      <c r="BY529" s="1076"/>
      <c r="BZ529" s="1076"/>
      <c r="CA529" s="1076"/>
      <c r="CB529" s="1116"/>
      <c r="CC529" s="1117"/>
      <c r="CD529" s="1118" t="s">
        <v>168</v>
      </c>
      <c r="CE529" s="1119" t="s">
        <v>168</v>
      </c>
      <c r="CF529" s="1119" t="s">
        <v>168</v>
      </c>
      <c r="CG529" s="1119" t="s">
        <v>168</v>
      </c>
      <c r="CH529" s="1120" t="s">
        <v>168</v>
      </c>
      <c r="CI529" s="1075" t="s">
        <v>1942</v>
      </c>
      <c r="CJ529" s="1076" t="s">
        <v>1942</v>
      </c>
      <c r="CK529" s="1076" t="s">
        <v>1942</v>
      </c>
      <c r="CL529" s="1076" t="s">
        <v>1942</v>
      </c>
      <c r="CM529" s="1117" t="s">
        <v>1942</v>
      </c>
      <c r="CN529" s="1075" t="s">
        <v>1942</v>
      </c>
      <c r="CO529" s="1076" t="s">
        <v>1942</v>
      </c>
      <c r="CP529" s="1076" t="s">
        <v>1942</v>
      </c>
      <c r="CQ529" s="1076" t="s">
        <v>1942</v>
      </c>
      <c r="CR529" s="1117" t="s">
        <v>1942</v>
      </c>
      <c r="CS529" s="1075" t="s">
        <v>1942</v>
      </c>
      <c r="CT529" s="1076" t="s">
        <v>1942</v>
      </c>
      <c r="CU529" s="1076" t="s">
        <v>1942</v>
      </c>
      <c r="CV529" s="1076" t="s">
        <v>1942</v>
      </c>
      <c r="CW529" s="1117" t="s">
        <v>1942</v>
      </c>
      <c r="CX529" s="1075" t="s">
        <v>1942</v>
      </c>
      <c r="CY529" s="1076" t="s">
        <v>1942</v>
      </c>
      <c r="CZ529" s="1076" t="s">
        <v>1942</v>
      </c>
      <c r="DA529" s="1076" t="s">
        <v>1942</v>
      </c>
      <c r="DB529" s="1117" t="s">
        <v>1942</v>
      </c>
      <c r="DC529" s="1076" t="s">
        <v>1942</v>
      </c>
      <c r="DD529" s="1076" t="s">
        <v>1942</v>
      </c>
      <c r="DE529" s="1076" t="s">
        <v>1942</v>
      </c>
      <c r="DF529" s="1076" t="s">
        <v>1942</v>
      </c>
      <c r="DG529" s="1117" t="s">
        <v>1942</v>
      </c>
      <c r="DH529" s="1075" t="s">
        <v>1942</v>
      </c>
      <c r="DI529" s="1076" t="s">
        <v>1942</v>
      </c>
      <c r="DJ529" s="1076" t="s">
        <v>1942</v>
      </c>
      <c r="DK529" s="1076" t="s">
        <v>1942</v>
      </c>
      <c r="DL529" s="1117" t="s">
        <v>1942</v>
      </c>
      <c r="DM529" s="1121">
        <v>-0.311</v>
      </c>
      <c r="DN529" s="1122" t="s">
        <v>1942</v>
      </c>
      <c r="DO529" s="1122" t="s">
        <v>1942</v>
      </c>
      <c r="DP529" s="1123" t="s">
        <v>1942</v>
      </c>
      <c r="DQ529" s="1122" t="s">
        <v>1942</v>
      </c>
      <c r="DR529" s="1122" t="s">
        <v>1942</v>
      </c>
      <c r="DS529" s="1122" t="s">
        <v>1942</v>
      </c>
      <c r="DT529" s="1123" t="s">
        <v>1942</v>
      </c>
      <c r="DU529" s="1119" t="s">
        <v>131</v>
      </c>
      <c r="DV529" s="1124">
        <v>1</v>
      </c>
      <c r="DW529" s="1125" t="s">
        <v>1942</v>
      </c>
    </row>
    <row r="530" spans="1:127" s="397" customFormat="1" ht="15.75" hidden="1" customHeight="1">
      <c r="A530" s="1097" t="s">
        <v>1050</v>
      </c>
      <c r="B530" s="1057">
        <v>521</v>
      </c>
      <c r="C530" s="1018"/>
      <c r="D530" s="1018"/>
      <c r="E530" s="1018"/>
      <c r="F530" s="1018"/>
      <c r="G530" s="1018"/>
      <c r="H530" s="1018"/>
      <c r="I530" s="1018"/>
      <c r="J530" s="1018"/>
      <c r="K530" s="1018"/>
      <c r="L530" s="1018"/>
      <c r="M530" s="1057"/>
      <c r="N530" s="1018"/>
      <c r="O530" s="1018"/>
      <c r="P530" s="1018"/>
      <c r="Q530" s="1018"/>
      <c r="R530" s="1018"/>
      <c r="S530" s="1018"/>
      <c r="T530" s="1019"/>
      <c r="U530" s="1098" t="s">
        <v>4160</v>
      </c>
      <c r="V530" s="1099" t="s">
        <v>4157</v>
      </c>
      <c r="W530" s="1099" t="s">
        <v>1889</v>
      </c>
      <c r="X530" s="1100" t="s">
        <v>4161</v>
      </c>
      <c r="Y530" s="1101" t="s">
        <v>2416</v>
      </c>
      <c r="Z530" s="1102" t="s">
        <v>4162</v>
      </c>
      <c r="AA530" s="1103" t="s">
        <v>1942</v>
      </c>
      <c r="AB530" s="1104" t="s">
        <v>1942</v>
      </c>
      <c r="AC530" s="1104">
        <v>1</v>
      </c>
      <c r="AD530" s="1104" t="s">
        <v>1942</v>
      </c>
      <c r="AE530" s="1104" t="s">
        <v>1942</v>
      </c>
      <c r="AF530" s="1104" t="s">
        <v>1942</v>
      </c>
      <c r="AG530" s="1104" t="s">
        <v>1942</v>
      </c>
      <c r="AH530" s="1104" t="s">
        <v>1942</v>
      </c>
      <c r="AI530" s="1105">
        <f t="shared" si="8"/>
        <v>1</v>
      </c>
      <c r="AJ530" s="1106" t="s">
        <v>1030</v>
      </c>
      <c r="AK530" s="1106" t="s">
        <v>1008</v>
      </c>
      <c r="AL530" s="1106" t="s">
        <v>1009</v>
      </c>
      <c r="AM530" s="1107" t="s">
        <v>2081</v>
      </c>
      <c r="AN530" s="1018" t="s">
        <v>2177</v>
      </c>
      <c r="AO530" s="1018" t="s">
        <v>4823</v>
      </c>
      <c r="AP530" s="1274">
        <v>0</v>
      </c>
      <c r="AQ530" s="1076" t="s">
        <v>1020</v>
      </c>
      <c r="AR530" s="1109"/>
      <c r="AS530" s="1110"/>
      <c r="AT530" s="1100"/>
      <c r="AU530" s="1100"/>
      <c r="AV530" s="1100"/>
      <c r="AW530" s="1111"/>
      <c r="AX530" s="1112"/>
      <c r="AY530" s="1075"/>
      <c r="AZ530" s="1076"/>
      <c r="BA530" s="1076"/>
      <c r="BB530" s="1076"/>
      <c r="BC530" s="1076"/>
      <c r="BD530" s="1076"/>
      <c r="BE530" s="1076"/>
      <c r="BF530" s="1076"/>
      <c r="BG530" s="1126"/>
      <c r="BH530" s="1126"/>
      <c r="BI530" s="1725"/>
      <c r="BJ530" s="1726"/>
      <c r="BK530" s="1726"/>
      <c r="BL530" s="1726"/>
      <c r="BM530" s="1726"/>
      <c r="BN530" s="1075"/>
      <c r="BO530" s="1076"/>
      <c r="BP530" s="1076"/>
      <c r="BQ530" s="1076"/>
      <c r="BR530" s="1076"/>
      <c r="BS530" s="1115"/>
      <c r="BT530" s="1076"/>
      <c r="BU530" s="1076"/>
      <c r="BV530" s="1076"/>
      <c r="BW530" s="1116"/>
      <c r="BX530" s="1115"/>
      <c r="BY530" s="1076"/>
      <c r="BZ530" s="1076"/>
      <c r="CA530" s="1076"/>
      <c r="CB530" s="1116"/>
      <c r="CC530" s="1117"/>
      <c r="CD530" s="1376"/>
      <c r="CE530" s="1377"/>
      <c r="CF530" s="1377"/>
      <c r="CG530" s="1377"/>
      <c r="CH530" s="1440"/>
      <c r="CI530" s="1420"/>
      <c r="CJ530" s="1368"/>
      <c r="CK530" s="1368"/>
      <c r="CL530" s="1368"/>
      <c r="CM530" s="1369"/>
      <c r="CN530" s="1420"/>
      <c r="CO530" s="1368"/>
      <c r="CP530" s="1368"/>
      <c r="CQ530" s="1368"/>
      <c r="CR530" s="1369"/>
      <c r="CS530" s="1420"/>
      <c r="CT530" s="1368"/>
      <c r="CU530" s="1368"/>
      <c r="CV530" s="1368"/>
      <c r="CW530" s="1369"/>
      <c r="CX530" s="1420"/>
      <c r="CY530" s="1368"/>
      <c r="CZ530" s="1368"/>
      <c r="DA530" s="1368"/>
      <c r="DB530" s="1369"/>
      <c r="DC530" s="1368"/>
      <c r="DD530" s="1368"/>
      <c r="DE530" s="1368"/>
      <c r="DF530" s="1368"/>
      <c r="DG530" s="1369"/>
      <c r="DH530" s="1420"/>
      <c r="DI530" s="1368"/>
      <c r="DJ530" s="1368"/>
      <c r="DK530" s="1368"/>
      <c r="DL530" s="1369"/>
      <c r="DM530" s="1808"/>
      <c r="DN530" s="1809"/>
      <c r="DO530" s="1809"/>
      <c r="DP530" s="1810"/>
      <c r="DQ530" s="1809"/>
      <c r="DR530" s="1809"/>
      <c r="DS530" s="1809"/>
      <c r="DT530" s="1810"/>
      <c r="DU530" s="1377"/>
      <c r="DV530" s="1729"/>
      <c r="DW530" s="1811"/>
    </row>
    <row r="531" spans="1:127" s="397" customFormat="1" ht="15.75" hidden="1" customHeight="1">
      <c r="A531" s="1097" t="s">
        <v>1050</v>
      </c>
      <c r="B531" s="1057">
        <v>522</v>
      </c>
      <c r="C531" s="1018"/>
      <c r="D531" s="1018"/>
      <c r="E531" s="1018"/>
      <c r="F531" s="1018"/>
      <c r="G531" s="1018"/>
      <c r="H531" s="1018"/>
      <c r="I531" s="1018"/>
      <c r="J531" s="1018"/>
      <c r="K531" s="1018"/>
      <c r="L531" s="1018"/>
      <c r="M531" s="1057"/>
      <c r="N531" s="1018"/>
      <c r="O531" s="1018"/>
      <c r="P531" s="1018"/>
      <c r="Q531" s="1018"/>
      <c r="R531" s="1018"/>
      <c r="S531" s="1018"/>
      <c r="T531" s="1019"/>
      <c r="U531" s="1098" t="s">
        <v>4164</v>
      </c>
      <c r="V531" s="1099" t="s">
        <v>4165</v>
      </c>
      <c r="W531" s="1099" t="s">
        <v>1907</v>
      </c>
      <c r="X531" s="1100" t="s">
        <v>4166</v>
      </c>
      <c r="Y531" s="1101" t="s">
        <v>839</v>
      </c>
      <c r="Z531" s="1102" t="s">
        <v>3988</v>
      </c>
      <c r="AA531" s="1103" t="s">
        <v>1942</v>
      </c>
      <c r="AB531" s="1104" t="s">
        <v>1942</v>
      </c>
      <c r="AC531" s="1104">
        <v>1</v>
      </c>
      <c r="AD531" s="1104" t="s">
        <v>1942</v>
      </c>
      <c r="AE531" s="1104" t="s">
        <v>1942</v>
      </c>
      <c r="AF531" s="1104" t="s">
        <v>1942</v>
      </c>
      <c r="AG531" s="1104" t="s">
        <v>1942</v>
      </c>
      <c r="AH531" s="1104" t="s">
        <v>1942</v>
      </c>
      <c r="AI531" s="1105">
        <f t="shared" si="8"/>
        <v>1</v>
      </c>
      <c r="AJ531" s="1106" t="s">
        <v>1007</v>
      </c>
      <c r="AK531" s="1106" t="s">
        <v>1942</v>
      </c>
      <c r="AL531" s="1106" t="s">
        <v>1942</v>
      </c>
      <c r="AM531" s="1107" t="s">
        <v>2058</v>
      </c>
      <c r="AN531" s="1018" t="s">
        <v>278</v>
      </c>
      <c r="AO531" s="1018" t="s">
        <v>4792</v>
      </c>
      <c r="AP531" s="1307">
        <v>2</v>
      </c>
      <c r="AQ531" s="1076" t="s">
        <v>1020</v>
      </c>
      <c r="AR531" s="1109" t="s">
        <v>839</v>
      </c>
      <c r="AS531" s="1110"/>
      <c r="AT531" s="1100"/>
      <c r="AU531" s="1100"/>
      <c r="AV531" s="1100"/>
      <c r="AW531" s="1111"/>
      <c r="AX531" s="1112"/>
      <c r="AY531" s="1075"/>
      <c r="AZ531" s="1076"/>
      <c r="BA531" s="1076"/>
      <c r="BB531" s="1076"/>
      <c r="BC531" s="1076"/>
      <c r="BD531" s="1076"/>
      <c r="BE531" s="1076"/>
      <c r="BF531" s="1076"/>
      <c r="BG531" s="1126"/>
      <c r="BH531" s="1126"/>
      <c r="BI531" s="1127">
        <v>15.44</v>
      </c>
      <c r="BJ531" s="1126">
        <v>15.33</v>
      </c>
      <c r="BK531" s="1126">
        <v>15.22</v>
      </c>
      <c r="BL531" s="1126">
        <v>15.12</v>
      </c>
      <c r="BM531" s="1126">
        <v>15.02</v>
      </c>
      <c r="BN531" s="1075"/>
      <c r="BO531" s="1076"/>
      <c r="BP531" s="1076"/>
      <c r="BQ531" s="1076"/>
      <c r="BR531" s="1076"/>
      <c r="BS531" s="1115"/>
      <c r="BT531" s="1076"/>
      <c r="BU531" s="1076"/>
      <c r="BV531" s="1076"/>
      <c r="BW531" s="1116"/>
      <c r="BX531" s="1115"/>
      <c r="BY531" s="1076"/>
      <c r="BZ531" s="1076"/>
      <c r="CA531" s="1076"/>
      <c r="CB531" s="1116"/>
      <c r="CC531" s="1117"/>
      <c r="CD531" s="1118" t="s">
        <v>1942</v>
      </c>
      <c r="CE531" s="1119" t="s">
        <v>1942</v>
      </c>
      <c r="CF531" s="1119" t="s">
        <v>1942</v>
      </c>
      <c r="CG531" s="1119" t="s">
        <v>1942</v>
      </c>
      <c r="CH531" s="1120" t="s">
        <v>1942</v>
      </c>
      <c r="CI531" s="1075" t="s">
        <v>1942</v>
      </c>
      <c r="CJ531" s="1076" t="s">
        <v>1942</v>
      </c>
      <c r="CK531" s="1076" t="s">
        <v>1942</v>
      </c>
      <c r="CL531" s="1076" t="s">
        <v>1942</v>
      </c>
      <c r="CM531" s="1117" t="s">
        <v>1942</v>
      </c>
      <c r="CN531" s="1075" t="s">
        <v>1942</v>
      </c>
      <c r="CO531" s="1076" t="s">
        <v>1942</v>
      </c>
      <c r="CP531" s="1076" t="s">
        <v>1942</v>
      </c>
      <c r="CQ531" s="1076" t="s">
        <v>1942</v>
      </c>
      <c r="CR531" s="1117" t="s">
        <v>1942</v>
      </c>
      <c r="CS531" s="1075" t="s">
        <v>1942</v>
      </c>
      <c r="CT531" s="1076" t="s">
        <v>1942</v>
      </c>
      <c r="CU531" s="1076" t="s">
        <v>1942</v>
      </c>
      <c r="CV531" s="1076" t="s">
        <v>1942</v>
      </c>
      <c r="CW531" s="1117" t="s">
        <v>1942</v>
      </c>
      <c r="CX531" s="1075" t="s">
        <v>1942</v>
      </c>
      <c r="CY531" s="1076" t="s">
        <v>1942</v>
      </c>
      <c r="CZ531" s="1076" t="s">
        <v>1942</v>
      </c>
      <c r="DA531" s="1076" t="s">
        <v>1942</v>
      </c>
      <c r="DB531" s="1117" t="s">
        <v>1942</v>
      </c>
      <c r="DC531" s="1076" t="s">
        <v>1942</v>
      </c>
      <c r="DD531" s="1076" t="s">
        <v>1942</v>
      </c>
      <c r="DE531" s="1076" t="s">
        <v>1942</v>
      </c>
      <c r="DF531" s="1076" t="s">
        <v>1942</v>
      </c>
      <c r="DG531" s="1117" t="s">
        <v>1942</v>
      </c>
      <c r="DH531" s="1075" t="s">
        <v>1942</v>
      </c>
      <c r="DI531" s="1076" t="s">
        <v>1942</v>
      </c>
      <c r="DJ531" s="1076" t="s">
        <v>1942</v>
      </c>
      <c r="DK531" s="1076" t="s">
        <v>1942</v>
      </c>
      <c r="DL531" s="1117" t="s">
        <v>1942</v>
      </c>
      <c r="DM531" s="1121" t="s">
        <v>1942</v>
      </c>
      <c r="DN531" s="1122" t="s">
        <v>1942</v>
      </c>
      <c r="DO531" s="1122" t="s">
        <v>1942</v>
      </c>
      <c r="DP531" s="1123" t="s">
        <v>1942</v>
      </c>
      <c r="DQ531" s="1122" t="s">
        <v>1942</v>
      </c>
      <c r="DR531" s="1122" t="s">
        <v>1942</v>
      </c>
      <c r="DS531" s="1122" t="s">
        <v>1942</v>
      </c>
      <c r="DT531" s="1123" t="s">
        <v>1942</v>
      </c>
      <c r="DU531" s="1119" t="s">
        <v>1942</v>
      </c>
      <c r="DV531" s="1124">
        <v>1</v>
      </c>
      <c r="DW531" s="1125" t="s">
        <v>1942</v>
      </c>
    </row>
    <row r="532" spans="1:127" s="397" customFormat="1" ht="15.75" hidden="1" customHeight="1">
      <c r="A532" s="1054" t="s">
        <v>1050</v>
      </c>
      <c r="B532" s="1055">
        <v>523</v>
      </c>
      <c r="C532" s="1143"/>
      <c r="D532" s="1143"/>
      <c r="E532" s="1143"/>
      <c r="F532" s="1143"/>
      <c r="G532" s="1143"/>
      <c r="H532" s="1143"/>
      <c r="I532" s="1143"/>
      <c r="J532" s="1143"/>
      <c r="K532" s="1143"/>
      <c r="L532" s="1143"/>
      <c r="M532" s="1055"/>
      <c r="N532" s="1143"/>
      <c r="O532" s="1143"/>
      <c r="P532" s="1143"/>
      <c r="Q532" s="1143"/>
      <c r="R532" s="1143"/>
      <c r="S532" s="1143"/>
      <c r="T532" s="1058"/>
      <c r="U532" s="1059" t="s">
        <v>4168</v>
      </c>
      <c r="V532" s="1060" t="s">
        <v>4165</v>
      </c>
      <c r="W532" s="1060" t="s">
        <v>1889</v>
      </c>
      <c r="X532" s="1061" t="s">
        <v>4169</v>
      </c>
      <c r="Y532" s="1062" t="s">
        <v>732</v>
      </c>
      <c r="Z532" s="1063" t="s">
        <v>3988</v>
      </c>
      <c r="AA532" s="1064" t="s">
        <v>1942</v>
      </c>
      <c r="AB532" s="1065" t="s">
        <v>1942</v>
      </c>
      <c r="AC532" s="1065">
        <v>1</v>
      </c>
      <c r="AD532" s="1065" t="s">
        <v>1942</v>
      </c>
      <c r="AE532" s="1065" t="s">
        <v>1942</v>
      </c>
      <c r="AF532" s="1065" t="s">
        <v>1942</v>
      </c>
      <c r="AG532" s="1065" t="s">
        <v>1942</v>
      </c>
      <c r="AH532" s="1065" t="s">
        <v>1942</v>
      </c>
      <c r="AI532" s="1066">
        <f t="shared" si="8"/>
        <v>1</v>
      </c>
      <c r="AJ532" s="1067" t="s">
        <v>1030</v>
      </c>
      <c r="AK532" s="1067" t="s">
        <v>1008</v>
      </c>
      <c r="AL532" s="1067" t="s">
        <v>1009</v>
      </c>
      <c r="AM532" s="1068" t="s">
        <v>2058</v>
      </c>
      <c r="AN532" s="1062" t="s">
        <v>2177</v>
      </c>
      <c r="AO532" s="1062" t="s">
        <v>4492</v>
      </c>
      <c r="AP532" s="1306">
        <v>2</v>
      </c>
      <c r="AQ532" s="1080" t="s">
        <v>1020</v>
      </c>
      <c r="AR532" s="1071" t="s">
        <v>732</v>
      </c>
      <c r="AS532" s="1072"/>
      <c r="AT532" s="1061"/>
      <c r="AU532" s="1061"/>
      <c r="AV532" s="1061"/>
      <c r="AW532" s="1073"/>
      <c r="AX532" s="1074"/>
      <c r="AY532" s="1079"/>
      <c r="AZ532" s="1080"/>
      <c r="BA532" s="1080"/>
      <c r="BB532" s="1080"/>
      <c r="BC532" s="1080"/>
      <c r="BD532" s="1080"/>
      <c r="BE532" s="1080"/>
      <c r="BF532" s="1080"/>
      <c r="BG532" s="1154"/>
      <c r="BH532" s="1154"/>
      <c r="BI532" s="1155">
        <v>1.68</v>
      </c>
      <c r="BJ532" s="1154">
        <v>1.63</v>
      </c>
      <c r="BK532" s="1154">
        <v>1.58</v>
      </c>
      <c r="BL532" s="1154">
        <v>1.44</v>
      </c>
      <c r="BM532" s="1154">
        <v>1.34</v>
      </c>
      <c r="BN532" s="1079"/>
      <c r="BO532" s="1080"/>
      <c r="BP532" s="1080"/>
      <c r="BQ532" s="1080"/>
      <c r="BR532" s="1080"/>
      <c r="BS532" s="1081"/>
      <c r="BT532" s="1080"/>
      <c r="BU532" s="1080"/>
      <c r="BV532" s="1080"/>
      <c r="BW532" s="1082"/>
      <c r="BX532" s="1081"/>
      <c r="BY532" s="1080"/>
      <c r="BZ532" s="1080"/>
      <c r="CA532" s="1080"/>
      <c r="CB532" s="1082"/>
      <c r="CC532" s="1083"/>
      <c r="CD532" s="1084" t="s">
        <v>168</v>
      </c>
      <c r="CE532" s="1085" t="s">
        <v>168</v>
      </c>
      <c r="CF532" s="1085" t="s">
        <v>168</v>
      </c>
      <c r="CG532" s="1085" t="s">
        <v>168</v>
      </c>
      <c r="CH532" s="1086" t="s">
        <v>168</v>
      </c>
      <c r="CI532" s="1089" t="s">
        <v>1942</v>
      </c>
      <c r="CJ532" s="1087" t="s">
        <v>1942</v>
      </c>
      <c r="CK532" s="1087" t="s">
        <v>1942</v>
      </c>
      <c r="CL532" s="1087" t="s">
        <v>1942</v>
      </c>
      <c r="CM532" s="1088" t="s">
        <v>1942</v>
      </c>
      <c r="CN532" s="1089">
        <v>2.75</v>
      </c>
      <c r="CO532" s="1087">
        <v>3</v>
      </c>
      <c r="CP532" s="1087">
        <v>3.4</v>
      </c>
      <c r="CQ532" s="1087">
        <v>3.6</v>
      </c>
      <c r="CR532" s="1088">
        <v>4</v>
      </c>
      <c r="CS532" s="1079" t="s">
        <v>1942</v>
      </c>
      <c r="CT532" s="1080" t="s">
        <v>1942</v>
      </c>
      <c r="CU532" s="1080" t="s">
        <v>1942</v>
      </c>
      <c r="CV532" s="1080" t="s">
        <v>1942</v>
      </c>
      <c r="CW532" s="1083" t="s">
        <v>1942</v>
      </c>
      <c r="CX532" s="1079" t="s">
        <v>1942</v>
      </c>
      <c r="CY532" s="1080" t="s">
        <v>1942</v>
      </c>
      <c r="CZ532" s="1080" t="s">
        <v>1942</v>
      </c>
      <c r="DA532" s="1080" t="s">
        <v>1942</v>
      </c>
      <c r="DB532" s="1083" t="s">
        <v>1942</v>
      </c>
      <c r="DC532" s="1080">
        <v>1.48</v>
      </c>
      <c r="DD532" s="1080">
        <v>1.42</v>
      </c>
      <c r="DE532" s="1080">
        <v>1.36</v>
      </c>
      <c r="DF532" s="1080">
        <v>1.25</v>
      </c>
      <c r="DG532" s="1083">
        <v>1.1599999999999999</v>
      </c>
      <c r="DH532" s="1089" t="s">
        <v>1942</v>
      </c>
      <c r="DI532" s="1080" t="s">
        <v>1942</v>
      </c>
      <c r="DJ532" s="1080" t="s">
        <v>1942</v>
      </c>
      <c r="DK532" s="1080" t="s">
        <v>1942</v>
      </c>
      <c r="DL532" s="1083" t="s">
        <v>1942</v>
      </c>
      <c r="DM532" s="1091">
        <v>-6.7510000000000003</v>
      </c>
      <c r="DN532" s="1092" t="s">
        <v>1942</v>
      </c>
      <c r="DO532" s="1092" t="s">
        <v>1942</v>
      </c>
      <c r="DP532" s="1093" t="s">
        <v>1942</v>
      </c>
      <c r="DQ532" s="1092">
        <v>6.7510000000000003</v>
      </c>
      <c r="DR532" s="1092" t="s">
        <v>1942</v>
      </c>
      <c r="DS532" s="1092" t="s">
        <v>1942</v>
      </c>
      <c r="DT532" s="1093" t="s">
        <v>1942</v>
      </c>
      <c r="DU532" s="1085" t="s">
        <v>1942</v>
      </c>
      <c r="DV532" s="1094">
        <v>1</v>
      </c>
      <c r="DW532" s="1095" t="s">
        <v>1942</v>
      </c>
    </row>
    <row r="533" spans="1:127" s="397" customFormat="1" ht="15.75" hidden="1" customHeight="1">
      <c r="A533" s="1097" t="s">
        <v>1050</v>
      </c>
      <c r="B533" s="1057">
        <v>524</v>
      </c>
      <c r="C533" s="1018"/>
      <c r="D533" s="1018"/>
      <c r="E533" s="1018"/>
      <c r="F533" s="1018"/>
      <c r="G533" s="1018"/>
      <c r="H533" s="1018"/>
      <c r="I533" s="1018"/>
      <c r="J533" s="1018"/>
      <c r="K533" s="1018"/>
      <c r="L533" s="1018"/>
      <c r="M533" s="1057"/>
      <c r="N533" s="1018"/>
      <c r="O533" s="1018"/>
      <c r="P533" s="1018"/>
      <c r="Q533" s="1018"/>
      <c r="R533" s="1018"/>
      <c r="S533" s="1018"/>
      <c r="T533" s="1019"/>
      <c r="U533" s="1098" t="s">
        <v>4171</v>
      </c>
      <c r="V533" s="1099" t="s">
        <v>4165</v>
      </c>
      <c r="W533" s="1099" t="s">
        <v>1889</v>
      </c>
      <c r="X533" s="1100" t="s">
        <v>4172</v>
      </c>
      <c r="Y533" s="1101" t="s">
        <v>4173</v>
      </c>
      <c r="Z533" s="1102" t="s">
        <v>4174</v>
      </c>
      <c r="AA533" s="1103" t="s">
        <v>1942</v>
      </c>
      <c r="AB533" s="1104" t="s">
        <v>1942</v>
      </c>
      <c r="AC533" s="1104">
        <v>1</v>
      </c>
      <c r="AD533" s="1104" t="s">
        <v>1942</v>
      </c>
      <c r="AE533" s="1104" t="s">
        <v>1942</v>
      </c>
      <c r="AF533" s="1104" t="s">
        <v>1942</v>
      </c>
      <c r="AG533" s="1104" t="s">
        <v>1942</v>
      </c>
      <c r="AH533" s="1104" t="s">
        <v>1942</v>
      </c>
      <c r="AI533" s="1105">
        <f t="shared" si="8"/>
        <v>1</v>
      </c>
      <c r="AJ533" s="1106" t="s">
        <v>1030</v>
      </c>
      <c r="AK533" s="1106" t="s">
        <v>1008</v>
      </c>
      <c r="AL533" s="1106" t="s">
        <v>1009</v>
      </c>
      <c r="AM533" s="1107" t="s">
        <v>2058</v>
      </c>
      <c r="AN533" s="1018" t="s">
        <v>2177</v>
      </c>
      <c r="AO533" s="1018" t="s">
        <v>4492</v>
      </c>
      <c r="AP533" s="1274">
        <v>0</v>
      </c>
      <c r="AQ533" s="1076" t="s">
        <v>1020</v>
      </c>
      <c r="AR533" s="1109"/>
      <c r="AS533" s="1110"/>
      <c r="AT533" s="1100"/>
      <c r="AU533" s="1100"/>
      <c r="AV533" s="1100"/>
      <c r="AW533" s="1111"/>
      <c r="AX533" s="1112"/>
      <c r="AY533" s="1075"/>
      <c r="AZ533" s="1076"/>
      <c r="BA533" s="1076"/>
      <c r="BB533" s="1076"/>
      <c r="BC533" s="1076"/>
      <c r="BD533" s="1076"/>
      <c r="BE533" s="1076"/>
      <c r="BF533" s="1076"/>
      <c r="BG533" s="1126"/>
      <c r="BH533" s="1126"/>
      <c r="BI533" s="1725"/>
      <c r="BJ533" s="1726"/>
      <c r="BK533" s="1726"/>
      <c r="BL533" s="1726"/>
      <c r="BM533" s="1726"/>
      <c r="BN533" s="1075"/>
      <c r="BO533" s="1076"/>
      <c r="BP533" s="1076"/>
      <c r="BQ533" s="1076"/>
      <c r="BR533" s="1076"/>
      <c r="BS533" s="1115"/>
      <c r="BT533" s="1076"/>
      <c r="BU533" s="1076"/>
      <c r="BV533" s="1076"/>
      <c r="BW533" s="1116"/>
      <c r="BX533" s="1115"/>
      <c r="BY533" s="1076"/>
      <c r="BZ533" s="1076"/>
      <c r="CA533" s="1076"/>
      <c r="CB533" s="1116"/>
      <c r="CC533" s="1117"/>
      <c r="CD533" s="1376"/>
      <c r="CE533" s="1377"/>
      <c r="CF533" s="1377"/>
      <c r="CG533" s="1377"/>
      <c r="CH533" s="1440"/>
      <c r="CI533" s="1420"/>
      <c r="CJ533" s="1368"/>
      <c r="CK533" s="1368"/>
      <c r="CL533" s="1368"/>
      <c r="CM533" s="1369"/>
      <c r="CN533" s="1420"/>
      <c r="CO533" s="1368"/>
      <c r="CP533" s="1368"/>
      <c r="CQ533" s="1368"/>
      <c r="CR533" s="1369"/>
      <c r="CS533" s="1420"/>
      <c r="CT533" s="1368"/>
      <c r="CU533" s="1368"/>
      <c r="CV533" s="1368"/>
      <c r="CW533" s="1369"/>
      <c r="CX533" s="1420"/>
      <c r="CY533" s="1368"/>
      <c r="CZ533" s="1368"/>
      <c r="DA533" s="1368"/>
      <c r="DB533" s="1369"/>
      <c r="DC533" s="1368"/>
      <c r="DD533" s="1368"/>
      <c r="DE533" s="1368"/>
      <c r="DF533" s="1368"/>
      <c r="DG533" s="1369"/>
      <c r="DH533" s="1420"/>
      <c r="DI533" s="1368"/>
      <c r="DJ533" s="1368"/>
      <c r="DK533" s="1368"/>
      <c r="DL533" s="1369"/>
      <c r="DM533" s="1808"/>
      <c r="DN533" s="1809"/>
      <c r="DO533" s="1809"/>
      <c r="DP533" s="1810"/>
      <c r="DQ533" s="1809"/>
      <c r="DR533" s="1809"/>
      <c r="DS533" s="1809"/>
      <c r="DT533" s="1810"/>
      <c r="DU533" s="1377"/>
      <c r="DV533" s="1729"/>
      <c r="DW533" s="1811"/>
    </row>
    <row r="534" spans="1:127" s="397" customFormat="1" ht="15.75" hidden="1" customHeight="1">
      <c r="A534" s="1097" t="s">
        <v>1050</v>
      </c>
      <c r="B534" s="1057">
        <v>525</v>
      </c>
      <c r="C534" s="1018"/>
      <c r="D534" s="1018"/>
      <c r="E534" s="1018"/>
      <c r="F534" s="1018"/>
      <c r="G534" s="1018"/>
      <c r="H534" s="1018"/>
      <c r="I534" s="1018"/>
      <c r="J534" s="1018"/>
      <c r="K534" s="1018"/>
      <c r="L534" s="1018"/>
      <c r="M534" s="1057"/>
      <c r="N534" s="1018"/>
      <c r="O534" s="1018"/>
      <c r="P534" s="1018"/>
      <c r="Q534" s="1018"/>
      <c r="R534" s="1018"/>
      <c r="S534" s="1018"/>
      <c r="T534" s="1019"/>
      <c r="U534" s="1098" t="s">
        <v>4176</v>
      </c>
      <c r="V534" s="1099" t="s">
        <v>4165</v>
      </c>
      <c r="W534" s="1099" t="s">
        <v>1907</v>
      </c>
      <c r="X534" s="1100" t="s">
        <v>4177</v>
      </c>
      <c r="Y534" s="1101" t="s">
        <v>4178</v>
      </c>
      <c r="Z534" s="1102" t="s">
        <v>4179</v>
      </c>
      <c r="AA534" s="1103" t="s">
        <v>1942</v>
      </c>
      <c r="AB534" s="1104" t="s">
        <v>1942</v>
      </c>
      <c r="AC534" s="1104">
        <v>1</v>
      </c>
      <c r="AD534" s="1104" t="s">
        <v>1942</v>
      </c>
      <c r="AE534" s="1104" t="s">
        <v>1942</v>
      </c>
      <c r="AF534" s="1104" t="s">
        <v>1942</v>
      </c>
      <c r="AG534" s="1104" t="s">
        <v>1942</v>
      </c>
      <c r="AH534" s="1104" t="s">
        <v>1942</v>
      </c>
      <c r="AI534" s="1105">
        <f t="shared" si="8"/>
        <v>1</v>
      </c>
      <c r="AJ534" s="1106" t="s">
        <v>1030</v>
      </c>
      <c r="AK534" s="1106" t="s">
        <v>1008</v>
      </c>
      <c r="AL534" s="1106" t="s">
        <v>1009</v>
      </c>
      <c r="AM534" s="1107" t="s">
        <v>2400</v>
      </c>
      <c r="AN534" s="1018" t="s">
        <v>278</v>
      </c>
      <c r="AO534" s="1018" t="s">
        <v>4180</v>
      </c>
      <c r="AP534" s="1274">
        <v>1</v>
      </c>
      <c r="AQ534" s="1076" t="s">
        <v>1010</v>
      </c>
      <c r="AR534" s="1109" t="s">
        <v>1942</v>
      </c>
      <c r="AS534" s="1110"/>
      <c r="AT534" s="1100"/>
      <c r="AU534" s="1100"/>
      <c r="AV534" s="1100"/>
      <c r="AW534" s="1111"/>
      <c r="AX534" s="1112"/>
      <c r="AY534" s="1075"/>
      <c r="AZ534" s="1076"/>
      <c r="BA534" s="1076"/>
      <c r="BB534" s="1076"/>
      <c r="BC534" s="1076"/>
      <c r="BD534" s="1076"/>
      <c r="BE534" s="1076"/>
      <c r="BF534" s="1076"/>
      <c r="BG534" s="1076"/>
      <c r="BH534" s="1076"/>
      <c r="BI534" s="1420"/>
      <c r="BJ534" s="1368"/>
      <c r="BK534" s="1368"/>
      <c r="BL534" s="1368"/>
      <c r="BM534" s="1368"/>
      <c r="BN534" s="1075"/>
      <c r="BO534" s="1076"/>
      <c r="BP534" s="1076"/>
      <c r="BQ534" s="1076"/>
      <c r="BR534" s="1076"/>
      <c r="BS534" s="1115"/>
      <c r="BT534" s="1076"/>
      <c r="BU534" s="1076"/>
      <c r="BV534" s="1076"/>
      <c r="BW534" s="1116"/>
      <c r="BX534" s="1115"/>
      <c r="BY534" s="1076"/>
      <c r="BZ534" s="1076"/>
      <c r="CA534" s="1076"/>
      <c r="CB534" s="1116"/>
      <c r="CC534" s="1117"/>
      <c r="CD534" s="1376"/>
      <c r="CE534" s="1377"/>
      <c r="CF534" s="1377"/>
      <c r="CG534" s="1377"/>
      <c r="CH534" s="1440"/>
      <c r="CI534" s="1420"/>
      <c r="CJ534" s="1368"/>
      <c r="CK534" s="1368"/>
      <c r="CL534" s="1368"/>
      <c r="CM534" s="1369"/>
      <c r="CN534" s="1420"/>
      <c r="CO534" s="1368"/>
      <c r="CP534" s="1368"/>
      <c r="CQ534" s="1368"/>
      <c r="CR534" s="1369"/>
      <c r="CS534" s="1420"/>
      <c r="CT534" s="1368"/>
      <c r="CU534" s="1368"/>
      <c r="CV534" s="1368"/>
      <c r="CW534" s="1369"/>
      <c r="CX534" s="1420"/>
      <c r="CY534" s="1368"/>
      <c r="CZ534" s="1368"/>
      <c r="DA534" s="1368"/>
      <c r="DB534" s="1369"/>
      <c r="DC534" s="1368"/>
      <c r="DD534" s="1368"/>
      <c r="DE534" s="1368"/>
      <c r="DF534" s="1368"/>
      <c r="DG534" s="1369"/>
      <c r="DH534" s="1420"/>
      <c r="DI534" s="1368"/>
      <c r="DJ534" s="1368"/>
      <c r="DK534" s="1368"/>
      <c r="DL534" s="1369"/>
      <c r="DM534" s="1808"/>
      <c r="DN534" s="1809"/>
      <c r="DO534" s="1809"/>
      <c r="DP534" s="1810"/>
      <c r="DQ534" s="1809"/>
      <c r="DR534" s="1809"/>
      <c r="DS534" s="1809"/>
      <c r="DT534" s="1810"/>
      <c r="DU534" s="1377"/>
      <c r="DV534" s="1729"/>
      <c r="DW534" s="1811"/>
    </row>
    <row r="535" spans="1:127" s="397" customFormat="1" ht="15.75" hidden="1" customHeight="1">
      <c r="A535" s="1097" t="s">
        <v>1050</v>
      </c>
      <c r="B535" s="1057">
        <v>526</v>
      </c>
      <c r="C535" s="1018"/>
      <c r="D535" s="1018"/>
      <c r="E535" s="1018"/>
      <c r="F535" s="1018"/>
      <c r="G535" s="1018"/>
      <c r="H535" s="1018"/>
      <c r="I535" s="1018"/>
      <c r="J535" s="1018"/>
      <c r="K535" s="1018"/>
      <c r="L535" s="1018"/>
      <c r="M535" s="1057"/>
      <c r="N535" s="1018"/>
      <c r="O535" s="1018"/>
      <c r="P535" s="1018"/>
      <c r="Q535" s="1018"/>
      <c r="R535" s="1018"/>
      <c r="S535" s="1018"/>
      <c r="T535" s="1019"/>
      <c r="U535" s="1098" t="s">
        <v>4181</v>
      </c>
      <c r="V535" s="1099" t="s">
        <v>4165</v>
      </c>
      <c r="W535" s="1099" t="s">
        <v>1907</v>
      </c>
      <c r="X535" s="1100" t="s">
        <v>4182</v>
      </c>
      <c r="Y535" s="1101" t="s">
        <v>4183</v>
      </c>
      <c r="Z535" s="1102" t="s">
        <v>4184</v>
      </c>
      <c r="AA535" s="1103" t="s">
        <v>1942</v>
      </c>
      <c r="AB535" s="1104" t="s">
        <v>1942</v>
      </c>
      <c r="AC535" s="1104">
        <v>1</v>
      </c>
      <c r="AD535" s="1104" t="s">
        <v>1942</v>
      </c>
      <c r="AE535" s="1104" t="s">
        <v>1942</v>
      </c>
      <c r="AF535" s="1104" t="s">
        <v>1942</v>
      </c>
      <c r="AG535" s="1104" t="s">
        <v>1942</v>
      </c>
      <c r="AH535" s="1104" t="s">
        <v>1942</v>
      </c>
      <c r="AI535" s="1105">
        <f t="shared" si="8"/>
        <v>1</v>
      </c>
      <c r="AJ535" s="1106" t="s">
        <v>1030</v>
      </c>
      <c r="AK535" s="1106" t="s">
        <v>1008</v>
      </c>
      <c r="AL535" s="1106" t="s">
        <v>1009</v>
      </c>
      <c r="AM535" s="1107" t="s">
        <v>2058</v>
      </c>
      <c r="AN535" s="1018" t="s">
        <v>1033</v>
      </c>
      <c r="AO535" s="1018" t="s">
        <v>4185</v>
      </c>
      <c r="AP535" s="1274">
        <v>2</v>
      </c>
      <c r="AQ535" s="1076" t="s">
        <v>1020</v>
      </c>
      <c r="AR535" s="1109" t="s">
        <v>1942</v>
      </c>
      <c r="AS535" s="1110"/>
      <c r="AT535" s="1100"/>
      <c r="AU535" s="1100"/>
      <c r="AV535" s="1100"/>
      <c r="AW535" s="1111"/>
      <c r="AX535" s="1112"/>
      <c r="AY535" s="1075"/>
      <c r="AZ535" s="1076"/>
      <c r="BA535" s="1076"/>
      <c r="BB535" s="1076"/>
      <c r="BC535" s="1076"/>
      <c r="BD535" s="1076"/>
      <c r="BE535" s="1076"/>
      <c r="BF535" s="1076"/>
      <c r="BG535" s="1076"/>
      <c r="BH535" s="1076"/>
      <c r="BI535" s="1420"/>
      <c r="BJ535" s="1368"/>
      <c r="BK535" s="1368"/>
      <c r="BL535" s="1368"/>
      <c r="BM535" s="1368"/>
      <c r="BN535" s="1075"/>
      <c r="BO535" s="1076"/>
      <c r="BP535" s="1076"/>
      <c r="BQ535" s="1076"/>
      <c r="BR535" s="1076"/>
      <c r="BS535" s="1115"/>
      <c r="BT535" s="1076"/>
      <c r="BU535" s="1076"/>
      <c r="BV535" s="1076"/>
      <c r="BW535" s="1116"/>
      <c r="BX535" s="1115"/>
      <c r="BY535" s="1076"/>
      <c r="BZ535" s="1076"/>
      <c r="CA535" s="1076"/>
      <c r="CB535" s="1116"/>
      <c r="CC535" s="1117"/>
      <c r="CD535" s="1376"/>
      <c r="CE535" s="1377"/>
      <c r="CF535" s="1377"/>
      <c r="CG535" s="1377"/>
      <c r="CH535" s="1440"/>
      <c r="CI535" s="1420"/>
      <c r="CJ535" s="1368"/>
      <c r="CK535" s="1368"/>
      <c r="CL535" s="1368"/>
      <c r="CM535" s="1369"/>
      <c r="CN535" s="1420"/>
      <c r="CO535" s="1368"/>
      <c r="CP535" s="1368"/>
      <c r="CQ535" s="1368"/>
      <c r="CR535" s="1369"/>
      <c r="CS535" s="1420"/>
      <c r="CT535" s="1368"/>
      <c r="CU535" s="1368"/>
      <c r="CV535" s="1368"/>
      <c r="CW535" s="1369"/>
      <c r="CX535" s="1420"/>
      <c r="CY535" s="1368"/>
      <c r="CZ535" s="1368"/>
      <c r="DA535" s="1368"/>
      <c r="DB535" s="1369"/>
      <c r="DC535" s="1368"/>
      <c r="DD535" s="1368"/>
      <c r="DE535" s="1368"/>
      <c r="DF535" s="1368"/>
      <c r="DG535" s="1369"/>
      <c r="DH535" s="1420"/>
      <c r="DI535" s="1368"/>
      <c r="DJ535" s="1368"/>
      <c r="DK535" s="1368"/>
      <c r="DL535" s="1369"/>
      <c r="DM535" s="1808"/>
      <c r="DN535" s="1809"/>
      <c r="DO535" s="1809"/>
      <c r="DP535" s="1810"/>
      <c r="DQ535" s="1809"/>
      <c r="DR535" s="1809"/>
      <c r="DS535" s="1809"/>
      <c r="DT535" s="1810"/>
      <c r="DU535" s="1377"/>
      <c r="DV535" s="1729"/>
      <c r="DW535" s="1811"/>
    </row>
    <row r="536" spans="1:127" s="397" customFormat="1" ht="15.75" hidden="1" customHeight="1">
      <c r="A536" s="1097" t="s">
        <v>1050</v>
      </c>
      <c r="B536" s="1057">
        <v>527</v>
      </c>
      <c r="C536" s="1018"/>
      <c r="D536" s="1018"/>
      <c r="E536" s="1018"/>
      <c r="F536" s="1018"/>
      <c r="G536" s="1018"/>
      <c r="H536" s="1018"/>
      <c r="I536" s="1018"/>
      <c r="J536" s="1018"/>
      <c r="K536" s="1018"/>
      <c r="L536" s="1018"/>
      <c r="M536" s="1057"/>
      <c r="N536" s="1018"/>
      <c r="O536" s="1018"/>
      <c r="P536" s="1018"/>
      <c r="Q536" s="1018"/>
      <c r="R536" s="1018"/>
      <c r="S536" s="1018"/>
      <c r="T536" s="1019"/>
      <c r="U536" s="1098" t="s">
        <v>4186</v>
      </c>
      <c r="V536" s="1099" t="s">
        <v>4165</v>
      </c>
      <c r="W536" s="1099" t="s">
        <v>1907</v>
      </c>
      <c r="X536" s="1100" t="s">
        <v>4187</v>
      </c>
      <c r="Y536" s="1101" t="s">
        <v>4188</v>
      </c>
      <c r="Z536" s="1102" t="s">
        <v>4189</v>
      </c>
      <c r="AA536" s="1103" t="s">
        <v>1942</v>
      </c>
      <c r="AB536" s="1104" t="s">
        <v>1942</v>
      </c>
      <c r="AC536" s="1104">
        <v>1</v>
      </c>
      <c r="AD536" s="1104" t="s">
        <v>1942</v>
      </c>
      <c r="AE536" s="1104" t="s">
        <v>1942</v>
      </c>
      <c r="AF536" s="1104" t="s">
        <v>1942</v>
      </c>
      <c r="AG536" s="1104" t="s">
        <v>1942</v>
      </c>
      <c r="AH536" s="1104" t="s">
        <v>1942</v>
      </c>
      <c r="AI536" s="1105">
        <f t="shared" si="8"/>
        <v>1</v>
      </c>
      <c r="AJ536" s="1106" t="s">
        <v>1030</v>
      </c>
      <c r="AK536" s="1106" t="s">
        <v>1008</v>
      </c>
      <c r="AL536" s="1106" t="s">
        <v>1009</v>
      </c>
      <c r="AM536" s="1107" t="s">
        <v>2058</v>
      </c>
      <c r="AN536" s="1018" t="s">
        <v>1033</v>
      </c>
      <c r="AO536" s="1018" t="s">
        <v>4185</v>
      </c>
      <c r="AP536" s="1274">
        <v>2</v>
      </c>
      <c r="AQ536" s="1076" t="s">
        <v>1020</v>
      </c>
      <c r="AR536" s="1109" t="s">
        <v>1942</v>
      </c>
      <c r="AS536" s="1110"/>
      <c r="AT536" s="1100"/>
      <c r="AU536" s="1100"/>
      <c r="AV536" s="1100"/>
      <c r="AW536" s="1111"/>
      <c r="AX536" s="1112"/>
      <c r="AY536" s="1075"/>
      <c r="AZ536" s="1076"/>
      <c r="BA536" s="1076"/>
      <c r="BB536" s="1076"/>
      <c r="BC536" s="1076"/>
      <c r="BD536" s="1076"/>
      <c r="BE536" s="1076"/>
      <c r="BF536" s="1076"/>
      <c r="BG536" s="1076"/>
      <c r="BH536" s="1076"/>
      <c r="BI536" s="1420"/>
      <c r="BJ536" s="1368"/>
      <c r="BK536" s="1368"/>
      <c r="BL536" s="1368"/>
      <c r="BM536" s="1368"/>
      <c r="BN536" s="1075"/>
      <c r="BO536" s="1076"/>
      <c r="BP536" s="1076"/>
      <c r="BQ536" s="1076"/>
      <c r="BR536" s="1076"/>
      <c r="BS536" s="1115"/>
      <c r="BT536" s="1076"/>
      <c r="BU536" s="1076"/>
      <c r="BV536" s="1076"/>
      <c r="BW536" s="1116"/>
      <c r="BX536" s="1115"/>
      <c r="BY536" s="1076"/>
      <c r="BZ536" s="1076"/>
      <c r="CA536" s="1076"/>
      <c r="CB536" s="1116"/>
      <c r="CC536" s="1117"/>
      <c r="CD536" s="1376"/>
      <c r="CE536" s="1377"/>
      <c r="CF536" s="1377"/>
      <c r="CG536" s="1377"/>
      <c r="CH536" s="1440"/>
      <c r="CI536" s="1420"/>
      <c r="CJ536" s="1368"/>
      <c r="CK536" s="1368"/>
      <c r="CL536" s="1368"/>
      <c r="CM536" s="1369"/>
      <c r="CN536" s="1420"/>
      <c r="CO536" s="1368"/>
      <c r="CP536" s="1368"/>
      <c r="CQ536" s="1368"/>
      <c r="CR536" s="1369"/>
      <c r="CS536" s="1420"/>
      <c r="CT536" s="1368"/>
      <c r="CU536" s="1368"/>
      <c r="CV536" s="1368"/>
      <c r="CW536" s="1369"/>
      <c r="CX536" s="1420"/>
      <c r="CY536" s="1368"/>
      <c r="CZ536" s="1368"/>
      <c r="DA536" s="1368"/>
      <c r="DB536" s="1369"/>
      <c r="DC536" s="1368"/>
      <c r="DD536" s="1368"/>
      <c r="DE536" s="1368"/>
      <c r="DF536" s="1368"/>
      <c r="DG536" s="1369"/>
      <c r="DH536" s="1420"/>
      <c r="DI536" s="1368"/>
      <c r="DJ536" s="1368"/>
      <c r="DK536" s="1368"/>
      <c r="DL536" s="1369"/>
      <c r="DM536" s="1808"/>
      <c r="DN536" s="1809"/>
      <c r="DO536" s="1809"/>
      <c r="DP536" s="1810"/>
      <c r="DQ536" s="1809"/>
      <c r="DR536" s="1809"/>
      <c r="DS536" s="1809"/>
      <c r="DT536" s="1810"/>
      <c r="DU536" s="1377"/>
      <c r="DV536" s="1729"/>
      <c r="DW536" s="1811"/>
    </row>
    <row r="537" spans="1:127" s="397" customFormat="1" ht="15.75" hidden="1" customHeight="1">
      <c r="A537" s="1097" t="s">
        <v>1024</v>
      </c>
      <c r="B537" s="1057">
        <v>528</v>
      </c>
      <c r="C537" s="1018"/>
      <c r="D537" s="1018"/>
      <c r="E537" s="1018"/>
      <c r="F537" s="1018"/>
      <c r="G537" s="1018"/>
      <c r="H537" s="1018"/>
      <c r="I537" s="1018"/>
      <c r="J537" s="1018"/>
      <c r="K537" s="1018"/>
      <c r="L537" s="1018"/>
      <c r="M537" s="1057"/>
      <c r="N537" s="1018"/>
      <c r="O537" s="1018"/>
      <c r="P537" s="1018"/>
      <c r="Q537" s="1018"/>
      <c r="R537" s="1018"/>
      <c r="S537" s="1018"/>
      <c r="T537" s="1019"/>
      <c r="U537" s="1098" t="s">
        <v>4190</v>
      </c>
      <c r="V537" s="1099" t="s">
        <v>4191</v>
      </c>
      <c r="W537" s="1099" t="s">
        <v>1907</v>
      </c>
      <c r="X537" s="1100" t="s">
        <v>4192</v>
      </c>
      <c r="Y537" s="1101" t="s">
        <v>130</v>
      </c>
      <c r="Z537" s="1102" t="s">
        <v>4193</v>
      </c>
      <c r="AA537" s="1103" t="s">
        <v>1942</v>
      </c>
      <c r="AB537" s="1104">
        <v>1</v>
      </c>
      <c r="AC537" s="1104" t="s">
        <v>1942</v>
      </c>
      <c r="AD537" s="1104" t="s">
        <v>1942</v>
      </c>
      <c r="AE537" s="1104" t="s">
        <v>1942</v>
      </c>
      <c r="AF537" s="1104" t="s">
        <v>1942</v>
      </c>
      <c r="AG537" s="1104" t="s">
        <v>1942</v>
      </c>
      <c r="AH537" s="1104" t="s">
        <v>1942</v>
      </c>
      <c r="AI537" s="1105">
        <f t="shared" si="8"/>
        <v>1</v>
      </c>
      <c r="AJ537" s="1106" t="s">
        <v>1026</v>
      </c>
      <c r="AK537" s="1106" t="s">
        <v>1008</v>
      </c>
      <c r="AL537" s="1106" t="s">
        <v>1009</v>
      </c>
      <c r="AM537" s="1107" t="s">
        <v>1926</v>
      </c>
      <c r="AN537" s="1018" t="s">
        <v>2177</v>
      </c>
      <c r="AO537" s="1018" t="s">
        <v>4795</v>
      </c>
      <c r="AP537" s="1307">
        <v>2</v>
      </c>
      <c r="AQ537" s="1076" t="s">
        <v>1020</v>
      </c>
      <c r="AR537" s="1109" t="s">
        <v>130</v>
      </c>
      <c r="AS537" s="1110"/>
      <c r="AT537" s="1100"/>
      <c r="AU537" s="1100"/>
      <c r="AV537" s="1100"/>
      <c r="AW537" s="1111"/>
      <c r="AX537" s="1112"/>
      <c r="AY537" s="1075"/>
      <c r="AZ537" s="1076"/>
      <c r="BA537" s="1076"/>
      <c r="BB537" s="1076"/>
      <c r="BC537" s="1076"/>
      <c r="BD537" s="1076"/>
      <c r="BE537" s="1076"/>
      <c r="BF537" s="1076"/>
      <c r="BG537" s="1126"/>
      <c r="BH537" s="1126"/>
      <c r="BI537" s="1127">
        <v>0</v>
      </c>
      <c r="BJ537" s="1126">
        <v>0</v>
      </c>
      <c r="BK537" s="1126">
        <v>0</v>
      </c>
      <c r="BL537" s="1126">
        <v>0</v>
      </c>
      <c r="BM537" s="1126">
        <v>0</v>
      </c>
      <c r="BN537" s="1075"/>
      <c r="BO537" s="1076"/>
      <c r="BP537" s="1076"/>
      <c r="BQ537" s="1076"/>
      <c r="BR537" s="1076"/>
      <c r="BS537" s="1115"/>
      <c r="BT537" s="1076"/>
      <c r="BU537" s="1076"/>
      <c r="BV537" s="1076"/>
      <c r="BW537" s="1116"/>
      <c r="BX537" s="1115"/>
      <c r="BY537" s="1076"/>
      <c r="BZ537" s="1076"/>
      <c r="CA537" s="1076"/>
      <c r="CB537" s="1116"/>
      <c r="CC537" s="1117"/>
      <c r="CD537" s="1118" t="s">
        <v>168</v>
      </c>
      <c r="CE537" s="1119" t="s">
        <v>168</v>
      </c>
      <c r="CF537" s="1119" t="s">
        <v>168</v>
      </c>
      <c r="CG537" s="1119" t="s">
        <v>168</v>
      </c>
      <c r="CH537" s="1120" t="s">
        <v>168</v>
      </c>
      <c r="CI537" s="1075" t="s">
        <v>1942</v>
      </c>
      <c r="CJ537" s="1076" t="s">
        <v>1942</v>
      </c>
      <c r="CK537" s="1076" t="s">
        <v>1942</v>
      </c>
      <c r="CL537" s="1076" t="s">
        <v>1942</v>
      </c>
      <c r="CM537" s="1117" t="s">
        <v>1942</v>
      </c>
      <c r="CN537" s="1075">
        <v>9.5</v>
      </c>
      <c r="CO537" s="1076">
        <v>9.5</v>
      </c>
      <c r="CP537" s="1076">
        <v>9.5</v>
      </c>
      <c r="CQ537" s="1076">
        <v>9.5</v>
      </c>
      <c r="CR537" s="1117">
        <v>9.5</v>
      </c>
      <c r="CS537" s="1075">
        <v>2</v>
      </c>
      <c r="CT537" s="1076">
        <v>2</v>
      </c>
      <c r="CU537" s="1076">
        <v>2</v>
      </c>
      <c r="CV537" s="1076">
        <v>2</v>
      </c>
      <c r="CW537" s="1117">
        <v>2</v>
      </c>
      <c r="CX537" s="1075" t="s">
        <v>1942</v>
      </c>
      <c r="CY537" s="1076" t="s">
        <v>1942</v>
      </c>
      <c r="CZ537" s="1076" t="s">
        <v>1942</v>
      </c>
      <c r="DA537" s="1076" t="s">
        <v>1942</v>
      </c>
      <c r="DB537" s="1117" t="s">
        <v>1942</v>
      </c>
      <c r="DC537" s="1076" t="s">
        <v>1942</v>
      </c>
      <c r="DD537" s="1076" t="s">
        <v>1942</v>
      </c>
      <c r="DE537" s="1076" t="s">
        <v>1942</v>
      </c>
      <c r="DF537" s="1076" t="s">
        <v>1942</v>
      </c>
      <c r="DG537" s="1117" t="s">
        <v>1942</v>
      </c>
      <c r="DH537" s="1075" t="s">
        <v>1942</v>
      </c>
      <c r="DI537" s="1076" t="s">
        <v>1942</v>
      </c>
      <c r="DJ537" s="1076" t="s">
        <v>1942</v>
      </c>
      <c r="DK537" s="1076" t="s">
        <v>1942</v>
      </c>
      <c r="DL537" s="1117" t="s">
        <v>1942</v>
      </c>
      <c r="DM537" s="1121">
        <v>-0.48799999999999999</v>
      </c>
      <c r="DN537" s="1122" t="s">
        <v>1942</v>
      </c>
      <c r="DO537" s="1122" t="s">
        <v>1942</v>
      </c>
      <c r="DP537" s="1123" t="s">
        <v>1942</v>
      </c>
      <c r="DQ537" s="1122">
        <v>0</v>
      </c>
      <c r="DR537" s="1122" t="s">
        <v>1942</v>
      </c>
      <c r="DS537" s="1122" t="s">
        <v>1942</v>
      </c>
      <c r="DT537" s="1123" t="s">
        <v>1942</v>
      </c>
      <c r="DU537" s="1119" t="s">
        <v>1942</v>
      </c>
      <c r="DV537" s="1124">
        <v>1</v>
      </c>
      <c r="DW537" s="1125" t="s">
        <v>1942</v>
      </c>
    </row>
    <row r="538" spans="1:127" s="397" customFormat="1" ht="15.75" hidden="1" customHeight="1">
      <c r="A538" s="1054" t="s">
        <v>1024</v>
      </c>
      <c r="B538" s="1055">
        <v>529</v>
      </c>
      <c r="C538" s="1143"/>
      <c r="D538" s="1143"/>
      <c r="E538" s="1143"/>
      <c r="F538" s="1143"/>
      <c r="G538" s="1143"/>
      <c r="H538" s="1143"/>
      <c r="I538" s="1143"/>
      <c r="J538" s="1143"/>
      <c r="K538" s="1143"/>
      <c r="L538" s="1143"/>
      <c r="M538" s="1055"/>
      <c r="N538" s="1143"/>
      <c r="O538" s="1143"/>
      <c r="P538" s="1143"/>
      <c r="Q538" s="1143"/>
      <c r="R538" s="1143"/>
      <c r="S538" s="1143"/>
      <c r="T538" s="1058"/>
      <c r="U538" s="1059" t="s">
        <v>4194</v>
      </c>
      <c r="V538" s="1060" t="s">
        <v>4191</v>
      </c>
      <c r="W538" s="1060" t="s">
        <v>1896</v>
      </c>
      <c r="X538" s="1061" t="s">
        <v>4195</v>
      </c>
      <c r="Y538" s="1062" t="s">
        <v>137</v>
      </c>
      <c r="Z538" s="1063" t="s">
        <v>4196</v>
      </c>
      <c r="AA538" s="1064" t="s">
        <v>1942</v>
      </c>
      <c r="AB538" s="1065">
        <v>1</v>
      </c>
      <c r="AC538" s="1065" t="s">
        <v>1942</v>
      </c>
      <c r="AD538" s="1065" t="s">
        <v>1942</v>
      </c>
      <c r="AE538" s="1065" t="s">
        <v>1942</v>
      </c>
      <c r="AF538" s="1065" t="s">
        <v>1942</v>
      </c>
      <c r="AG538" s="1065" t="s">
        <v>1942</v>
      </c>
      <c r="AH538" s="1065" t="s">
        <v>1942</v>
      </c>
      <c r="AI538" s="1066">
        <f t="shared" si="8"/>
        <v>1</v>
      </c>
      <c r="AJ538" s="1067" t="s">
        <v>1030</v>
      </c>
      <c r="AK538" s="1067" t="s">
        <v>1008</v>
      </c>
      <c r="AL538" s="1067" t="s">
        <v>1009</v>
      </c>
      <c r="AM538" s="1068" t="s">
        <v>1892</v>
      </c>
      <c r="AN538" s="1062" t="s">
        <v>4789</v>
      </c>
      <c r="AO538" s="1062" t="s">
        <v>4790</v>
      </c>
      <c r="AP538" s="1306">
        <v>0</v>
      </c>
      <c r="AQ538" s="1080" t="s">
        <v>1020</v>
      </c>
      <c r="AR538" s="1071" t="s">
        <v>137</v>
      </c>
      <c r="AS538" s="1072"/>
      <c r="AT538" s="1061"/>
      <c r="AU538" s="1061"/>
      <c r="AV538" s="1061"/>
      <c r="AW538" s="1073"/>
      <c r="AX538" s="1074"/>
      <c r="AY538" s="1079"/>
      <c r="AZ538" s="1080"/>
      <c r="BA538" s="1080"/>
      <c r="BB538" s="1080"/>
      <c r="BC538" s="1080"/>
      <c r="BD538" s="1080"/>
      <c r="BE538" s="1080"/>
      <c r="BF538" s="1080"/>
      <c r="BG538" s="1156"/>
      <c r="BH538" s="1156"/>
      <c r="BI538" s="1136">
        <v>4.5138888888888893E-3</v>
      </c>
      <c r="BJ538" s="1135">
        <v>4.2592592592592595E-3</v>
      </c>
      <c r="BK538" s="1135">
        <v>3.9930555555555561E-3</v>
      </c>
      <c r="BL538" s="1135">
        <v>3.7384259259259263E-3</v>
      </c>
      <c r="BM538" s="1135">
        <v>3.472222222222222E-3</v>
      </c>
      <c r="BN538" s="1079"/>
      <c r="BO538" s="1080"/>
      <c r="BP538" s="1080"/>
      <c r="BQ538" s="1080"/>
      <c r="BR538" s="1080"/>
      <c r="BS538" s="1081"/>
      <c r="BT538" s="1080"/>
      <c r="BU538" s="1080"/>
      <c r="BV538" s="1080"/>
      <c r="BW538" s="1082"/>
      <c r="BX538" s="1081"/>
      <c r="BY538" s="1080"/>
      <c r="BZ538" s="1080"/>
      <c r="CA538" s="1080"/>
      <c r="CB538" s="1082"/>
      <c r="CC538" s="1083"/>
      <c r="CD538" s="1084" t="s">
        <v>168</v>
      </c>
      <c r="CE538" s="1085" t="s">
        <v>168</v>
      </c>
      <c r="CF538" s="1085" t="s">
        <v>168</v>
      </c>
      <c r="CG538" s="1085" t="s">
        <v>168</v>
      </c>
      <c r="CH538" s="1086" t="s">
        <v>168</v>
      </c>
      <c r="CI538" s="1136" t="s">
        <v>1942</v>
      </c>
      <c r="CJ538" s="1135" t="s">
        <v>1942</v>
      </c>
      <c r="CK538" s="1135" t="s">
        <v>1942</v>
      </c>
      <c r="CL538" s="1135" t="s">
        <v>1942</v>
      </c>
      <c r="CM538" s="1139" t="s">
        <v>1942</v>
      </c>
      <c r="CN538" s="1136">
        <v>1.5798611111111114E-2</v>
      </c>
      <c r="CO538" s="1135">
        <v>1.5798611111111114E-2</v>
      </c>
      <c r="CP538" s="1135">
        <v>1.5798611111111114E-2</v>
      </c>
      <c r="CQ538" s="1135">
        <v>1.5798611111111114E-2</v>
      </c>
      <c r="CR538" s="1139">
        <v>1.5798611111111114E-2</v>
      </c>
      <c r="CS538" s="1359"/>
      <c r="CT538" s="1360"/>
      <c r="CU538" s="1360"/>
      <c r="CV538" s="1360"/>
      <c r="CW538" s="1361"/>
      <c r="CX538" s="1359"/>
      <c r="CY538" s="1360"/>
      <c r="CZ538" s="1360"/>
      <c r="DA538" s="1360"/>
      <c r="DB538" s="1361"/>
      <c r="DC538" s="1298">
        <v>3.4606481481481485E-3</v>
      </c>
      <c r="DD538" s="1298">
        <v>3.0092592592592588E-3</v>
      </c>
      <c r="DE538" s="1298">
        <v>2.615740740740741E-3</v>
      </c>
      <c r="DF538" s="1298">
        <v>2.1990740740740742E-3</v>
      </c>
      <c r="DG538" s="1299">
        <v>1.8865740740740742E-3</v>
      </c>
      <c r="DH538" s="1136" t="s">
        <v>1942</v>
      </c>
      <c r="DI538" s="1135" t="s">
        <v>1942</v>
      </c>
      <c r="DJ538" s="1135"/>
      <c r="DK538" s="1135" t="s">
        <v>1942</v>
      </c>
      <c r="DL538" s="1139" t="s">
        <v>1942</v>
      </c>
      <c r="DM538" s="1091">
        <v>-0.61</v>
      </c>
      <c r="DN538" s="1092" t="s">
        <v>1942</v>
      </c>
      <c r="DO538" s="1092" t="s">
        <v>1942</v>
      </c>
      <c r="DP538" s="1093" t="s">
        <v>1942</v>
      </c>
      <c r="DQ538" s="1092">
        <v>0.61</v>
      </c>
      <c r="DR538" s="1092" t="s">
        <v>1942</v>
      </c>
      <c r="DS538" s="1092" t="s">
        <v>1942</v>
      </c>
      <c r="DT538" s="1093" t="s">
        <v>1942</v>
      </c>
      <c r="DU538" s="1085" t="s">
        <v>1942</v>
      </c>
      <c r="DV538" s="1094">
        <v>1</v>
      </c>
      <c r="DW538" s="1095" t="s">
        <v>1942</v>
      </c>
    </row>
    <row r="539" spans="1:127" s="397" customFormat="1" ht="15.75" hidden="1" customHeight="1">
      <c r="A539" s="1097" t="s">
        <v>1024</v>
      </c>
      <c r="B539" s="1057">
        <v>530</v>
      </c>
      <c r="C539" s="1018"/>
      <c r="D539" s="1018"/>
      <c r="E539" s="1018"/>
      <c r="F539" s="1018"/>
      <c r="G539" s="1018"/>
      <c r="H539" s="1018"/>
      <c r="I539" s="1018"/>
      <c r="J539" s="1018"/>
      <c r="K539" s="1018"/>
      <c r="L539" s="1018"/>
      <c r="M539" s="1057"/>
      <c r="N539" s="1018"/>
      <c r="O539" s="1018"/>
      <c r="P539" s="1018"/>
      <c r="Q539" s="1018"/>
      <c r="R539" s="1018"/>
      <c r="S539" s="1018"/>
      <c r="T539" s="1019"/>
      <c r="U539" s="1098" t="s">
        <v>4197</v>
      </c>
      <c r="V539" s="1099" t="s">
        <v>4191</v>
      </c>
      <c r="W539" s="1099" t="s">
        <v>1889</v>
      </c>
      <c r="X539" s="1100" t="s">
        <v>4198</v>
      </c>
      <c r="Y539" s="1101" t="s">
        <v>4199</v>
      </c>
      <c r="Z539" s="1102" t="s">
        <v>4200</v>
      </c>
      <c r="AA539" s="1103" t="s">
        <v>1942</v>
      </c>
      <c r="AB539" s="1104">
        <v>1</v>
      </c>
      <c r="AC539" s="1104" t="s">
        <v>1942</v>
      </c>
      <c r="AD539" s="1104" t="s">
        <v>1942</v>
      </c>
      <c r="AE539" s="1104" t="s">
        <v>1942</v>
      </c>
      <c r="AF539" s="1104" t="s">
        <v>1942</v>
      </c>
      <c r="AG539" s="1104" t="s">
        <v>1942</v>
      </c>
      <c r="AH539" s="1104" t="s">
        <v>1942</v>
      </c>
      <c r="AI539" s="1105">
        <f t="shared" si="8"/>
        <v>1</v>
      </c>
      <c r="AJ539" s="1106" t="s">
        <v>1030</v>
      </c>
      <c r="AK539" s="1106" t="s">
        <v>1008</v>
      </c>
      <c r="AL539" s="1106" t="s">
        <v>1009</v>
      </c>
      <c r="AM539" s="1107" t="s">
        <v>2149</v>
      </c>
      <c r="AN539" s="1018" t="s">
        <v>396</v>
      </c>
      <c r="AO539" s="1018" t="s">
        <v>4798</v>
      </c>
      <c r="AP539" s="1307">
        <v>2</v>
      </c>
      <c r="AQ539" s="1076" t="s">
        <v>1020</v>
      </c>
      <c r="AR539" s="1109"/>
      <c r="AS539" s="1110"/>
      <c r="AT539" s="1100"/>
      <c r="AU539" s="1100"/>
      <c r="AV539" s="1100"/>
      <c r="AW539" s="1111"/>
      <c r="AX539" s="1112"/>
      <c r="AY539" s="1075"/>
      <c r="AZ539" s="1076"/>
      <c r="BA539" s="1076"/>
      <c r="BB539" s="1076"/>
      <c r="BC539" s="1076"/>
      <c r="BD539" s="1076"/>
      <c r="BE539" s="1076"/>
      <c r="BF539" s="1076"/>
      <c r="BG539" s="1076"/>
      <c r="BH539" s="1076"/>
      <c r="BI539" s="1420"/>
      <c r="BJ539" s="1368"/>
      <c r="BK539" s="1368"/>
      <c r="BL539" s="1368"/>
      <c r="BM539" s="1368"/>
      <c r="BN539" s="1075"/>
      <c r="BO539" s="1076"/>
      <c r="BP539" s="1076"/>
      <c r="BQ539" s="1076"/>
      <c r="BR539" s="1076"/>
      <c r="BS539" s="1115"/>
      <c r="BT539" s="1076"/>
      <c r="BU539" s="1076"/>
      <c r="BV539" s="1076"/>
      <c r="BW539" s="1116"/>
      <c r="BX539" s="1115"/>
      <c r="BY539" s="1076"/>
      <c r="BZ539" s="1076"/>
      <c r="CA539" s="1076"/>
      <c r="CB539" s="1116"/>
      <c r="CC539" s="1117"/>
      <c r="CD539" s="1376"/>
      <c r="CE539" s="1377"/>
      <c r="CF539" s="1377"/>
      <c r="CG539" s="1377"/>
      <c r="CH539" s="1440"/>
      <c r="CI539" s="1420"/>
      <c r="CJ539" s="1368"/>
      <c r="CK539" s="1368"/>
      <c r="CL539" s="1368"/>
      <c r="CM539" s="1369"/>
      <c r="CN539" s="1420"/>
      <c r="CO539" s="1368"/>
      <c r="CP539" s="1368"/>
      <c r="CQ539" s="1368"/>
      <c r="CR539" s="1369"/>
      <c r="CS539" s="1420"/>
      <c r="CT539" s="1368"/>
      <c r="CU539" s="1368"/>
      <c r="CV539" s="1368"/>
      <c r="CW539" s="1369"/>
      <c r="CX539" s="1420"/>
      <c r="CY539" s="1368"/>
      <c r="CZ539" s="1368"/>
      <c r="DA539" s="1368"/>
      <c r="DB539" s="1369"/>
      <c r="DC539" s="1368"/>
      <c r="DD539" s="1368"/>
      <c r="DE539" s="1368"/>
      <c r="DF539" s="1368"/>
      <c r="DG539" s="1369"/>
      <c r="DH539" s="1420"/>
      <c r="DI539" s="1368"/>
      <c r="DJ539" s="1368"/>
      <c r="DK539" s="1368"/>
      <c r="DL539" s="1369"/>
      <c r="DM539" s="1808"/>
      <c r="DN539" s="1809"/>
      <c r="DO539" s="1809"/>
      <c r="DP539" s="1810"/>
      <c r="DQ539" s="1809"/>
      <c r="DR539" s="1809"/>
      <c r="DS539" s="1809"/>
      <c r="DT539" s="1810"/>
      <c r="DU539" s="1377"/>
      <c r="DV539" s="1729"/>
      <c r="DW539" s="1811"/>
    </row>
    <row r="540" spans="1:127" s="397" customFormat="1" ht="15.75" hidden="1" customHeight="1">
      <c r="A540" s="1097" t="s">
        <v>1024</v>
      </c>
      <c r="B540" s="1057">
        <v>531</v>
      </c>
      <c r="C540" s="1018"/>
      <c r="D540" s="1018"/>
      <c r="E540" s="1018"/>
      <c r="F540" s="1018"/>
      <c r="G540" s="1018"/>
      <c r="H540" s="1018"/>
      <c r="I540" s="1018"/>
      <c r="J540" s="1018"/>
      <c r="K540" s="1018"/>
      <c r="L540" s="1018"/>
      <c r="M540" s="1057"/>
      <c r="N540" s="1018"/>
      <c r="O540" s="1018"/>
      <c r="P540" s="1018"/>
      <c r="Q540" s="1018"/>
      <c r="R540" s="1018"/>
      <c r="S540" s="1018"/>
      <c r="T540" s="1019"/>
      <c r="U540" s="1098" t="s">
        <v>4202</v>
      </c>
      <c r="V540" s="1099" t="s">
        <v>4191</v>
      </c>
      <c r="W540" s="1099" t="s">
        <v>1907</v>
      </c>
      <c r="X540" s="1100" t="s">
        <v>4203</v>
      </c>
      <c r="Y540" s="1101" t="s">
        <v>161</v>
      </c>
      <c r="Z540" s="1102" t="s">
        <v>4204</v>
      </c>
      <c r="AA540" s="1103" t="s">
        <v>1942</v>
      </c>
      <c r="AB540" s="1104">
        <v>1</v>
      </c>
      <c r="AC540" s="1104" t="s">
        <v>1942</v>
      </c>
      <c r="AD540" s="1104" t="s">
        <v>1942</v>
      </c>
      <c r="AE540" s="1104" t="s">
        <v>1942</v>
      </c>
      <c r="AF540" s="1104" t="s">
        <v>1942</v>
      </c>
      <c r="AG540" s="1104" t="s">
        <v>1942</v>
      </c>
      <c r="AH540" s="1104" t="s">
        <v>1942</v>
      </c>
      <c r="AI540" s="1105">
        <f t="shared" si="8"/>
        <v>1</v>
      </c>
      <c r="AJ540" s="1106" t="s">
        <v>1026</v>
      </c>
      <c r="AK540" s="1106" t="s">
        <v>1008</v>
      </c>
      <c r="AL540" s="1106" t="s">
        <v>1009</v>
      </c>
      <c r="AM540" s="1107" t="s">
        <v>2074</v>
      </c>
      <c r="AN540" s="1018" t="s">
        <v>2177</v>
      </c>
      <c r="AO540" s="1018" t="s">
        <v>4794</v>
      </c>
      <c r="AP540" s="1307">
        <v>1</v>
      </c>
      <c r="AQ540" s="1076" t="s">
        <v>1020</v>
      </c>
      <c r="AR540" s="1109" t="s">
        <v>161</v>
      </c>
      <c r="AS540" s="1110"/>
      <c r="AT540" s="1100"/>
      <c r="AU540" s="1100"/>
      <c r="AV540" s="1100"/>
      <c r="AW540" s="1111"/>
      <c r="AX540" s="1112"/>
      <c r="AY540" s="1075"/>
      <c r="AZ540" s="1076"/>
      <c r="BA540" s="1076"/>
      <c r="BB540" s="1076"/>
      <c r="BC540" s="1076"/>
      <c r="BD540" s="1076"/>
      <c r="BE540" s="1076"/>
      <c r="BF540" s="1076"/>
      <c r="BG540" s="1076"/>
      <c r="BH540" s="1076"/>
      <c r="BI540" s="1114">
        <v>138.9</v>
      </c>
      <c r="BJ540" s="1113">
        <v>137</v>
      </c>
      <c r="BK540" s="1113">
        <v>135.1</v>
      </c>
      <c r="BL540" s="1113">
        <v>133.1</v>
      </c>
      <c r="BM540" s="1113">
        <v>131.19999999999999</v>
      </c>
      <c r="BN540" s="1075"/>
      <c r="BO540" s="1076"/>
      <c r="BP540" s="1076"/>
      <c r="BQ540" s="1076"/>
      <c r="BR540" s="1076"/>
      <c r="BS540" s="1115"/>
      <c r="BT540" s="1076"/>
      <c r="BU540" s="1076"/>
      <c r="BV540" s="1076"/>
      <c r="BW540" s="1116"/>
      <c r="BX540" s="1115"/>
      <c r="BY540" s="1076"/>
      <c r="BZ540" s="1076"/>
      <c r="CA540" s="1076"/>
      <c r="CB540" s="1116"/>
      <c r="CC540" s="1117"/>
      <c r="CD540" s="1118" t="s">
        <v>168</v>
      </c>
      <c r="CE540" s="1119" t="s">
        <v>168</v>
      </c>
      <c r="CF540" s="1119" t="s">
        <v>168</v>
      </c>
      <c r="CG540" s="1119" t="s">
        <v>168</v>
      </c>
      <c r="CH540" s="1120" t="s">
        <v>168</v>
      </c>
      <c r="CI540" s="1075" t="s">
        <v>1942</v>
      </c>
      <c r="CJ540" s="1076" t="s">
        <v>1942</v>
      </c>
      <c r="CK540" s="1076" t="s">
        <v>1942</v>
      </c>
      <c r="CL540" s="1076" t="s">
        <v>1942</v>
      </c>
      <c r="CM540" s="1117" t="s">
        <v>1942</v>
      </c>
      <c r="CN540" s="1075">
        <v>194.5</v>
      </c>
      <c r="CO540" s="1076">
        <v>194.5</v>
      </c>
      <c r="CP540" s="1076">
        <v>194.5</v>
      </c>
      <c r="CQ540" s="1076">
        <v>194.5</v>
      </c>
      <c r="CR540" s="1117">
        <v>194.5</v>
      </c>
      <c r="CS540" s="1075" t="s">
        <v>1942</v>
      </c>
      <c r="CT540" s="1076" t="s">
        <v>1942</v>
      </c>
      <c r="CU540" s="1076" t="s">
        <v>1942</v>
      </c>
      <c r="CV540" s="1076" t="s">
        <v>1942</v>
      </c>
      <c r="CW540" s="1117" t="s">
        <v>1942</v>
      </c>
      <c r="CX540" s="1075" t="s">
        <v>1942</v>
      </c>
      <c r="CY540" s="1076" t="s">
        <v>1942</v>
      </c>
      <c r="CZ540" s="1076" t="s">
        <v>1942</v>
      </c>
      <c r="DA540" s="1076" t="s">
        <v>1942</v>
      </c>
      <c r="DB540" s="1117" t="s">
        <v>1942</v>
      </c>
      <c r="DC540" s="1076" t="s">
        <v>1942</v>
      </c>
      <c r="DD540" s="1076" t="s">
        <v>1942</v>
      </c>
      <c r="DE540" s="1076" t="s">
        <v>1942</v>
      </c>
      <c r="DF540" s="1076" t="s">
        <v>1942</v>
      </c>
      <c r="DG540" s="1117" t="s">
        <v>1942</v>
      </c>
      <c r="DH540" s="1075" t="s">
        <v>1942</v>
      </c>
      <c r="DI540" s="1076" t="s">
        <v>1942</v>
      </c>
      <c r="DJ540" s="1076" t="s">
        <v>1942</v>
      </c>
      <c r="DK540" s="1076" t="s">
        <v>1942</v>
      </c>
      <c r="DL540" s="1117" t="s">
        <v>1942</v>
      </c>
      <c r="DM540" s="1121">
        <v>-0.10199999999999999</v>
      </c>
      <c r="DN540" s="1122" t="s">
        <v>1942</v>
      </c>
      <c r="DO540" s="1122" t="s">
        <v>1942</v>
      </c>
      <c r="DP540" s="1123" t="s">
        <v>1942</v>
      </c>
      <c r="DQ540" s="1122" t="s">
        <v>1942</v>
      </c>
      <c r="DR540" s="1122" t="s">
        <v>1942</v>
      </c>
      <c r="DS540" s="1122" t="s">
        <v>1942</v>
      </c>
      <c r="DT540" s="1123" t="s">
        <v>1942</v>
      </c>
      <c r="DU540" s="1119" t="s">
        <v>1942</v>
      </c>
      <c r="DV540" s="1124">
        <v>1</v>
      </c>
      <c r="DW540" s="1125" t="s">
        <v>1942</v>
      </c>
    </row>
    <row r="541" spans="1:127" s="397" customFormat="1" ht="15.75" hidden="1" customHeight="1">
      <c r="A541" s="1097" t="s">
        <v>1024</v>
      </c>
      <c r="B541" s="1057">
        <v>532</v>
      </c>
      <c r="C541" s="1018"/>
      <c r="D541" s="1018"/>
      <c r="E541" s="1018"/>
      <c r="F541" s="1018"/>
      <c r="G541" s="1018"/>
      <c r="H541" s="1018"/>
      <c r="I541" s="1018"/>
      <c r="J541" s="1018"/>
      <c r="K541" s="1018"/>
      <c r="L541" s="1018"/>
      <c r="M541" s="1057"/>
      <c r="N541" s="1018"/>
      <c r="O541" s="1018"/>
      <c r="P541" s="1018"/>
      <c r="Q541" s="1018"/>
      <c r="R541" s="1018"/>
      <c r="S541" s="1018"/>
      <c r="T541" s="1019"/>
      <c r="U541" s="1098" t="s">
        <v>4206</v>
      </c>
      <c r="V541" s="1099" t="s">
        <v>4191</v>
      </c>
      <c r="W541" s="1099" t="s">
        <v>1907</v>
      </c>
      <c r="X541" s="1100" t="s">
        <v>4207</v>
      </c>
      <c r="Y541" s="1101" t="s">
        <v>167</v>
      </c>
      <c r="Z541" s="1102" t="s">
        <v>4208</v>
      </c>
      <c r="AA541" s="1103" t="s">
        <v>1942</v>
      </c>
      <c r="AB541" s="1104">
        <v>1</v>
      </c>
      <c r="AC541" s="1104" t="s">
        <v>1942</v>
      </c>
      <c r="AD541" s="1104" t="s">
        <v>1942</v>
      </c>
      <c r="AE541" s="1104" t="s">
        <v>1942</v>
      </c>
      <c r="AF541" s="1104" t="s">
        <v>1942</v>
      </c>
      <c r="AG541" s="1104" t="s">
        <v>1942</v>
      </c>
      <c r="AH541" s="1104" t="s">
        <v>1942</v>
      </c>
      <c r="AI541" s="1105">
        <f t="shared" si="8"/>
        <v>1</v>
      </c>
      <c r="AJ541" s="1106" t="s">
        <v>1026</v>
      </c>
      <c r="AK541" s="1106" t="s">
        <v>1008</v>
      </c>
      <c r="AL541" s="1106" t="s">
        <v>1009</v>
      </c>
      <c r="AM541" s="1107" t="s">
        <v>1915</v>
      </c>
      <c r="AN541" s="1018" t="s">
        <v>278</v>
      </c>
      <c r="AO541" s="1018" t="s">
        <v>4793</v>
      </c>
      <c r="AP541" s="1307">
        <v>2</v>
      </c>
      <c r="AQ541" s="1076" t="s">
        <v>1020</v>
      </c>
      <c r="AR541" s="1109" t="s">
        <v>167</v>
      </c>
      <c r="AS541" s="1110"/>
      <c r="AT541" s="1100"/>
      <c r="AU541" s="1100"/>
      <c r="AV541" s="1100"/>
      <c r="AW541" s="1111"/>
      <c r="AX541" s="1112"/>
      <c r="AY541" s="1075"/>
      <c r="AZ541" s="1076"/>
      <c r="BA541" s="1076"/>
      <c r="BB541" s="1076"/>
      <c r="BC541" s="1076"/>
      <c r="BD541" s="1076"/>
      <c r="BE541" s="1076"/>
      <c r="BF541" s="1076"/>
      <c r="BG541" s="1076"/>
      <c r="BH541" s="1076"/>
      <c r="BI541" s="1075">
        <v>2.34</v>
      </c>
      <c r="BJ541" s="1076">
        <v>2.34</v>
      </c>
      <c r="BK541" s="1076">
        <v>2.34</v>
      </c>
      <c r="BL541" s="1076">
        <v>2.34</v>
      </c>
      <c r="BM541" s="1076">
        <v>2.34</v>
      </c>
      <c r="BN541" s="1075"/>
      <c r="BO541" s="1076"/>
      <c r="BP541" s="1076"/>
      <c r="BQ541" s="1076"/>
      <c r="BR541" s="1076"/>
      <c r="BS541" s="1115"/>
      <c r="BT541" s="1076"/>
      <c r="BU541" s="1076"/>
      <c r="BV541" s="1076"/>
      <c r="BW541" s="1116"/>
      <c r="BX541" s="1115"/>
      <c r="BY541" s="1076"/>
      <c r="BZ541" s="1076"/>
      <c r="CA541" s="1076"/>
      <c r="CB541" s="1116"/>
      <c r="CC541" s="1117"/>
      <c r="CD541" s="1118" t="s">
        <v>168</v>
      </c>
      <c r="CE541" s="1119" t="s">
        <v>168</v>
      </c>
      <c r="CF541" s="1119" t="s">
        <v>168</v>
      </c>
      <c r="CG541" s="1119" t="s">
        <v>168</v>
      </c>
      <c r="CH541" s="1120" t="s">
        <v>168</v>
      </c>
      <c r="CI541" s="1075" t="s">
        <v>1942</v>
      </c>
      <c r="CJ541" s="1076" t="s">
        <v>1942</v>
      </c>
      <c r="CK541" s="1076" t="s">
        <v>1942</v>
      </c>
      <c r="CL541" s="1076" t="s">
        <v>1942</v>
      </c>
      <c r="CM541" s="1117" t="s">
        <v>1942</v>
      </c>
      <c r="CN541" s="1075">
        <v>4.68</v>
      </c>
      <c r="CO541" s="1076">
        <v>4.68</v>
      </c>
      <c r="CP541" s="1076">
        <v>4.68</v>
      </c>
      <c r="CQ541" s="1076">
        <v>4.68</v>
      </c>
      <c r="CR541" s="1117">
        <v>4.68</v>
      </c>
      <c r="CS541" s="1075" t="s">
        <v>1942</v>
      </c>
      <c r="CT541" s="1076" t="s">
        <v>1942</v>
      </c>
      <c r="CU541" s="1076" t="s">
        <v>1942</v>
      </c>
      <c r="CV541" s="1076" t="s">
        <v>1942</v>
      </c>
      <c r="CW541" s="1117" t="s">
        <v>1942</v>
      </c>
      <c r="CX541" s="1075" t="s">
        <v>1942</v>
      </c>
      <c r="CY541" s="1076" t="s">
        <v>1942</v>
      </c>
      <c r="CZ541" s="1076" t="s">
        <v>1942</v>
      </c>
      <c r="DA541" s="1076" t="s">
        <v>1942</v>
      </c>
      <c r="DB541" s="1117" t="s">
        <v>1942</v>
      </c>
      <c r="DC541" s="1076" t="s">
        <v>1942</v>
      </c>
      <c r="DD541" s="1076" t="s">
        <v>1942</v>
      </c>
      <c r="DE541" s="1076" t="s">
        <v>1942</v>
      </c>
      <c r="DF541" s="1076" t="s">
        <v>1942</v>
      </c>
      <c r="DG541" s="1117" t="s">
        <v>1942</v>
      </c>
      <c r="DH541" s="1075" t="s">
        <v>1942</v>
      </c>
      <c r="DI541" s="1076" t="s">
        <v>1942</v>
      </c>
      <c r="DJ541" s="1076" t="s">
        <v>1942</v>
      </c>
      <c r="DK541" s="1076" t="s">
        <v>1942</v>
      </c>
      <c r="DL541" s="1117" t="s">
        <v>1942</v>
      </c>
      <c r="DM541" s="1121">
        <v>-0.81899999999999995</v>
      </c>
      <c r="DN541" s="1122" t="s">
        <v>1942</v>
      </c>
      <c r="DO541" s="1122" t="s">
        <v>1942</v>
      </c>
      <c r="DP541" s="1123" t="s">
        <v>1942</v>
      </c>
      <c r="DQ541" s="1122" t="s">
        <v>1942</v>
      </c>
      <c r="DR541" s="1122" t="s">
        <v>1942</v>
      </c>
      <c r="DS541" s="1122" t="s">
        <v>1942</v>
      </c>
      <c r="DT541" s="1123" t="s">
        <v>1942</v>
      </c>
      <c r="DU541" s="1119" t="s">
        <v>1942</v>
      </c>
      <c r="DV541" s="1124">
        <v>1</v>
      </c>
      <c r="DW541" s="1125" t="s">
        <v>1942</v>
      </c>
    </row>
    <row r="542" spans="1:127" s="397" customFormat="1" ht="15.75" hidden="1" customHeight="1">
      <c r="A542" s="1097" t="s">
        <v>1024</v>
      </c>
      <c r="B542" s="1057">
        <v>533</v>
      </c>
      <c r="C542" s="1018"/>
      <c r="D542" s="1018"/>
      <c r="E542" s="1018"/>
      <c r="F542" s="1018"/>
      <c r="G542" s="1018"/>
      <c r="H542" s="1018"/>
      <c r="I542" s="1018"/>
      <c r="J542" s="1018"/>
      <c r="K542" s="1018"/>
      <c r="L542" s="1018"/>
      <c r="M542" s="1057"/>
      <c r="N542" s="1018"/>
      <c r="O542" s="1018"/>
      <c r="P542" s="1018"/>
      <c r="Q542" s="1018"/>
      <c r="R542" s="1018"/>
      <c r="S542" s="1018"/>
      <c r="T542" s="1019"/>
      <c r="U542" s="1098" t="s">
        <v>4209</v>
      </c>
      <c r="V542" s="1099" t="s">
        <v>4191</v>
      </c>
      <c r="W542" s="1099" t="s">
        <v>1907</v>
      </c>
      <c r="X542" s="1100" t="s">
        <v>4210</v>
      </c>
      <c r="Y542" s="1101" t="s">
        <v>4211</v>
      </c>
      <c r="Z542" s="1102" t="s">
        <v>4212</v>
      </c>
      <c r="AA542" s="1103" t="s">
        <v>1942</v>
      </c>
      <c r="AB542" s="1104">
        <v>1</v>
      </c>
      <c r="AC542" s="1104" t="s">
        <v>1942</v>
      </c>
      <c r="AD542" s="1104" t="s">
        <v>1942</v>
      </c>
      <c r="AE542" s="1104" t="s">
        <v>1942</v>
      </c>
      <c r="AF542" s="1104" t="s">
        <v>1942</v>
      </c>
      <c r="AG542" s="1104" t="s">
        <v>1942</v>
      </c>
      <c r="AH542" s="1104" t="s">
        <v>1942</v>
      </c>
      <c r="AI542" s="1105">
        <f t="shared" si="8"/>
        <v>1</v>
      </c>
      <c r="AJ542" s="1106" t="s">
        <v>1007</v>
      </c>
      <c r="AK542" s="1106" t="s">
        <v>1942</v>
      </c>
      <c r="AL542" s="1106" t="s">
        <v>1942</v>
      </c>
      <c r="AM542" s="1107" t="s">
        <v>1926</v>
      </c>
      <c r="AN542" s="1018" t="s">
        <v>1033</v>
      </c>
      <c r="AO542" s="1018" t="s">
        <v>1942</v>
      </c>
      <c r="AP542" s="1274">
        <v>3</v>
      </c>
      <c r="AQ542" s="1076" t="s">
        <v>1020</v>
      </c>
      <c r="AR542" s="1109" t="s">
        <v>1942</v>
      </c>
      <c r="AS542" s="1110"/>
      <c r="AT542" s="1100"/>
      <c r="AU542" s="1100"/>
      <c r="AV542" s="1100"/>
      <c r="AW542" s="1111"/>
      <c r="AX542" s="1112"/>
      <c r="AY542" s="1075"/>
      <c r="AZ542" s="1076"/>
      <c r="BA542" s="1076"/>
      <c r="BB542" s="1076"/>
      <c r="BC542" s="1076"/>
      <c r="BD542" s="1076"/>
      <c r="BE542" s="1076"/>
      <c r="BF542" s="1076"/>
      <c r="BG542" s="1076"/>
      <c r="BH542" s="1076"/>
      <c r="BI542" s="1420"/>
      <c r="BJ542" s="1368"/>
      <c r="BK542" s="1368"/>
      <c r="BL542" s="1368"/>
      <c r="BM542" s="1368"/>
      <c r="BN542" s="1075"/>
      <c r="BO542" s="1076"/>
      <c r="BP542" s="1076"/>
      <c r="BQ542" s="1076"/>
      <c r="BR542" s="1076"/>
      <c r="BS542" s="1115"/>
      <c r="BT542" s="1076"/>
      <c r="BU542" s="1076"/>
      <c r="BV542" s="1076"/>
      <c r="BW542" s="1116"/>
      <c r="BX542" s="1115"/>
      <c r="BY542" s="1076"/>
      <c r="BZ542" s="1076"/>
      <c r="CA542" s="1076"/>
      <c r="CB542" s="1116"/>
      <c r="CC542" s="1117"/>
      <c r="CD542" s="1376"/>
      <c r="CE542" s="1377"/>
      <c r="CF542" s="1377"/>
      <c r="CG542" s="1377"/>
      <c r="CH542" s="1440"/>
      <c r="CI542" s="1420"/>
      <c r="CJ542" s="1368"/>
      <c r="CK542" s="1368"/>
      <c r="CL542" s="1368"/>
      <c r="CM542" s="1369"/>
      <c r="CN542" s="1420"/>
      <c r="CO542" s="1368"/>
      <c r="CP542" s="1368"/>
      <c r="CQ542" s="1368"/>
      <c r="CR542" s="1369"/>
      <c r="CS542" s="1420"/>
      <c r="CT542" s="1368"/>
      <c r="CU542" s="1368"/>
      <c r="CV542" s="1368"/>
      <c r="CW542" s="1369"/>
      <c r="CX542" s="1420"/>
      <c r="CY542" s="1368"/>
      <c r="CZ542" s="1368"/>
      <c r="DA542" s="1368"/>
      <c r="DB542" s="1369"/>
      <c r="DC542" s="1368"/>
      <c r="DD542" s="1368"/>
      <c r="DE542" s="1368"/>
      <c r="DF542" s="1368"/>
      <c r="DG542" s="1369"/>
      <c r="DH542" s="1420"/>
      <c r="DI542" s="1368"/>
      <c r="DJ542" s="1368"/>
      <c r="DK542" s="1368"/>
      <c r="DL542" s="1369"/>
      <c r="DM542" s="1808"/>
      <c r="DN542" s="1809"/>
      <c r="DO542" s="1809"/>
      <c r="DP542" s="1810"/>
      <c r="DQ542" s="1809"/>
      <c r="DR542" s="1809"/>
      <c r="DS542" s="1809"/>
      <c r="DT542" s="1810"/>
      <c r="DU542" s="1377"/>
      <c r="DV542" s="1729"/>
      <c r="DW542" s="1811"/>
    </row>
    <row r="543" spans="1:127" s="397" customFormat="1" ht="15.75" hidden="1" customHeight="1">
      <c r="A543" s="1097" t="s">
        <v>1024</v>
      </c>
      <c r="B543" s="1057">
        <v>534</v>
      </c>
      <c r="C543" s="1018"/>
      <c r="D543" s="1018"/>
      <c r="E543" s="1018"/>
      <c r="F543" s="1018"/>
      <c r="G543" s="1018"/>
      <c r="H543" s="1018"/>
      <c r="I543" s="1018"/>
      <c r="J543" s="1018"/>
      <c r="K543" s="1018"/>
      <c r="L543" s="1018"/>
      <c r="M543" s="1057"/>
      <c r="N543" s="1018"/>
      <c r="O543" s="1018"/>
      <c r="P543" s="1018"/>
      <c r="Q543" s="1018"/>
      <c r="R543" s="1018"/>
      <c r="S543" s="1018"/>
      <c r="T543" s="1019"/>
      <c r="U543" s="1098" t="s">
        <v>4213</v>
      </c>
      <c r="V543" s="1099" t="s">
        <v>4191</v>
      </c>
      <c r="W543" s="1099" t="s">
        <v>1907</v>
      </c>
      <c r="X543" s="1100" t="s">
        <v>4214</v>
      </c>
      <c r="Y543" s="1101" t="s">
        <v>4215</v>
      </c>
      <c r="Z543" s="1102" t="s">
        <v>4216</v>
      </c>
      <c r="AA543" s="1103">
        <v>1</v>
      </c>
      <c r="AB543" s="1104" t="s">
        <v>1942</v>
      </c>
      <c r="AC543" s="1104" t="s">
        <v>1942</v>
      </c>
      <c r="AD543" s="1104" t="s">
        <v>1942</v>
      </c>
      <c r="AE543" s="1104" t="s">
        <v>1942</v>
      </c>
      <c r="AF543" s="1104" t="s">
        <v>1942</v>
      </c>
      <c r="AG543" s="1104" t="s">
        <v>1942</v>
      </c>
      <c r="AH543" s="1104" t="s">
        <v>1942</v>
      </c>
      <c r="AI543" s="1105">
        <f t="shared" si="8"/>
        <v>1</v>
      </c>
      <c r="AJ543" s="1106" t="s">
        <v>1007</v>
      </c>
      <c r="AK543" s="1106" t="s">
        <v>1942</v>
      </c>
      <c r="AL543" s="1106" t="s">
        <v>1942</v>
      </c>
      <c r="AM543" s="1107" t="s">
        <v>1967</v>
      </c>
      <c r="AN543" s="1018" t="s">
        <v>1033</v>
      </c>
      <c r="AO543" s="1018" t="s">
        <v>1942</v>
      </c>
      <c r="AP543" s="1274">
        <v>0</v>
      </c>
      <c r="AQ543" s="1076" t="s">
        <v>1020</v>
      </c>
      <c r="AR543" s="1109" t="s">
        <v>1942</v>
      </c>
      <c r="AS543" s="1110"/>
      <c r="AT543" s="1100"/>
      <c r="AU543" s="1100"/>
      <c r="AV543" s="1100"/>
      <c r="AW543" s="1111"/>
      <c r="AX543" s="1112"/>
      <c r="AY543" s="1075"/>
      <c r="AZ543" s="1076"/>
      <c r="BA543" s="1076"/>
      <c r="BB543" s="1076"/>
      <c r="BC543" s="1076"/>
      <c r="BD543" s="1076"/>
      <c r="BE543" s="1076"/>
      <c r="BF543" s="1076"/>
      <c r="BG543" s="1076"/>
      <c r="BH543" s="1076"/>
      <c r="BI543" s="1420"/>
      <c r="BJ543" s="1368"/>
      <c r="BK543" s="1368"/>
      <c r="BL543" s="1368"/>
      <c r="BM543" s="1368"/>
      <c r="BN543" s="1075"/>
      <c r="BO543" s="1076"/>
      <c r="BP543" s="1076"/>
      <c r="BQ543" s="1076"/>
      <c r="BR543" s="1076"/>
      <c r="BS543" s="1115"/>
      <c r="BT543" s="1076"/>
      <c r="BU543" s="1076"/>
      <c r="BV543" s="1076"/>
      <c r="BW543" s="1116"/>
      <c r="BX543" s="1115"/>
      <c r="BY543" s="1076"/>
      <c r="BZ543" s="1076"/>
      <c r="CA543" s="1076"/>
      <c r="CB543" s="1116"/>
      <c r="CC543" s="1117"/>
      <c r="CD543" s="1376"/>
      <c r="CE543" s="1377"/>
      <c r="CF543" s="1377"/>
      <c r="CG543" s="1377"/>
      <c r="CH543" s="1440"/>
      <c r="CI543" s="1420"/>
      <c r="CJ543" s="1368"/>
      <c r="CK543" s="1368"/>
      <c r="CL543" s="1368"/>
      <c r="CM543" s="1369"/>
      <c r="CN543" s="1420"/>
      <c r="CO543" s="1368"/>
      <c r="CP543" s="1368"/>
      <c r="CQ543" s="1368"/>
      <c r="CR543" s="1369"/>
      <c r="CS543" s="1420"/>
      <c r="CT543" s="1368"/>
      <c r="CU543" s="1368"/>
      <c r="CV543" s="1368"/>
      <c r="CW543" s="1369"/>
      <c r="CX543" s="1420"/>
      <c r="CY543" s="1368"/>
      <c r="CZ543" s="1368"/>
      <c r="DA543" s="1368"/>
      <c r="DB543" s="1369"/>
      <c r="DC543" s="1368"/>
      <c r="DD543" s="1368"/>
      <c r="DE543" s="1368"/>
      <c r="DF543" s="1368"/>
      <c r="DG543" s="1369"/>
      <c r="DH543" s="1420"/>
      <c r="DI543" s="1368"/>
      <c r="DJ543" s="1368"/>
      <c r="DK543" s="1368"/>
      <c r="DL543" s="1369"/>
      <c r="DM543" s="1808"/>
      <c r="DN543" s="1809"/>
      <c r="DO543" s="1809"/>
      <c r="DP543" s="1810"/>
      <c r="DQ543" s="1809"/>
      <c r="DR543" s="1809"/>
      <c r="DS543" s="1809"/>
      <c r="DT543" s="1810"/>
      <c r="DU543" s="1377"/>
      <c r="DV543" s="1729"/>
      <c r="DW543" s="1811"/>
    </row>
    <row r="544" spans="1:127" s="397" customFormat="1" ht="15.75" hidden="1" customHeight="1">
      <c r="A544" s="1097" t="s">
        <v>1024</v>
      </c>
      <c r="B544" s="1057">
        <v>535</v>
      </c>
      <c r="C544" s="1018"/>
      <c r="D544" s="1018"/>
      <c r="E544" s="1018"/>
      <c r="F544" s="1018"/>
      <c r="G544" s="1018"/>
      <c r="H544" s="1018"/>
      <c r="I544" s="1018"/>
      <c r="J544" s="1018"/>
      <c r="K544" s="1018"/>
      <c r="L544" s="1018"/>
      <c r="M544" s="1057"/>
      <c r="N544" s="1018"/>
      <c r="O544" s="1018"/>
      <c r="P544" s="1018"/>
      <c r="Q544" s="1018"/>
      <c r="R544" s="1018"/>
      <c r="S544" s="1018"/>
      <c r="T544" s="1019"/>
      <c r="U544" s="1098" t="s">
        <v>4217</v>
      </c>
      <c r="V544" s="1099" t="s">
        <v>4191</v>
      </c>
      <c r="W544" s="1099" t="s">
        <v>1907</v>
      </c>
      <c r="X544" s="1100" t="s">
        <v>4218</v>
      </c>
      <c r="Y544" s="1101" t="s">
        <v>4219</v>
      </c>
      <c r="Z544" s="1102" t="s">
        <v>4220</v>
      </c>
      <c r="AA544" s="1103" t="s">
        <v>1942</v>
      </c>
      <c r="AB544" s="1104">
        <v>1</v>
      </c>
      <c r="AC544" s="1104" t="s">
        <v>1942</v>
      </c>
      <c r="AD544" s="1104" t="s">
        <v>1942</v>
      </c>
      <c r="AE544" s="1104" t="s">
        <v>1942</v>
      </c>
      <c r="AF544" s="1104" t="s">
        <v>1942</v>
      </c>
      <c r="AG544" s="1104" t="s">
        <v>1942</v>
      </c>
      <c r="AH544" s="1104" t="s">
        <v>1942</v>
      </c>
      <c r="AI544" s="1105">
        <f t="shared" si="8"/>
        <v>1</v>
      </c>
      <c r="AJ544" s="1106" t="s">
        <v>1030</v>
      </c>
      <c r="AK544" s="1106" t="s">
        <v>1008</v>
      </c>
      <c r="AL544" s="1106" t="s">
        <v>1009</v>
      </c>
      <c r="AM544" s="1107" t="s">
        <v>1926</v>
      </c>
      <c r="AN544" s="1018" t="s">
        <v>1033</v>
      </c>
      <c r="AO544" s="1018" t="s">
        <v>1942</v>
      </c>
      <c r="AP544" s="1274">
        <v>0</v>
      </c>
      <c r="AQ544" s="1076" t="s">
        <v>1010</v>
      </c>
      <c r="AR544" s="1109" t="s">
        <v>1942</v>
      </c>
      <c r="AS544" s="1110"/>
      <c r="AT544" s="1100"/>
      <c r="AU544" s="1100"/>
      <c r="AV544" s="1100"/>
      <c r="AW544" s="1111"/>
      <c r="AX544" s="1112"/>
      <c r="AY544" s="1075"/>
      <c r="AZ544" s="1076"/>
      <c r="BA544" s="1076"/>
      <c r="BB544" s="1076"/>
      <c r="BC544" s="1076"/>
      <c r="BD544" s="1076"/>
      <c r="BE544" s="1076"/>
      <c r="BF544" s="1076"/>
      <c r="BG544" s="1076"/>
      <c r="BH544" s="1076"/>
      <c r="BI544" s="1420"/>
      <c r="BJ544" s="1368"/>
      <c r="BK544" s="1368"/>
      <c r="BL544" s="1368"/>
      <c r="BM544" s="1368"/>
      <c r="BN544" s="1075"/>
      <c r="BO544" s="1076"/>
      <c r="BP544" s="1076"/>
      <c r="BQ544" s="1076"/>
      <c r="BR544" s="1076"/>
      <c r="BS544" s="1115"/>
      <c r="BT544" s="1076"/>
      <c r="BU544" s="1076"/>
      <c r="BV544" s="1076"/>
      <c r="BW544" s="1116"/>
      <c r="BX544" s="1115"/>
      <c r="BY544" s="1076"/>
      <c r="BZ544" s="1076"/>
      <c r="CA544" s="1076"/>
      <c r="CB544" s="1116"/>
      <c r="CC544" s="1117"/>
      <c r="CD544" s="1376"/>
      <c r="CE544" s="1377"/>
      <c r="CF544" s="1377"/>
      <c r="CG544" s="1377"/>
      <c r="CH544" s="1440"/>
      <c r="CI544" s="1420"/>
      <c r="CJ544" s="1368"/>
      <c r="CK544" s="1368"/>
      <c r="CL544" s="1368"/>
      <c r="CM544" s="1369"/>
      <c r="CN544" s="1420"/>
      <c r="CO544" s="1368"/>
      <c r="CP544" s="1368"/>
      <c r="CQ544" s="1368"/>
      <c r="CR544" s="1369"/>
      <c r="CS544" s="1420"/>
      <c r="CT544" s="1368"/>
      <c r="CU544" s="1368"/>
      <c r="CV544" s="1368"/>
      <c r="CW544" s="1369"/>
      <c r="CX544" s="1420"/>
      <c r="CY544" s="1368"/>
      <c r="CZ544" s="1368"/>
      <c r="DA544" s="1368"/>
      <c r="DB544" s="1369"/>
      <c r="DC544" s="1368"/>
      <c r="DD544" s="1368"/>
      <c r="DE544" s="1368"/>
      <c r="DF544" s="1368"/>
      <c r="DG544" s="1369"/>
      <c r="DH544" s="1420"/>
      <c r="DI544" s="1368"/>
      <c r="DJ544" s="1368"/>
      <c r="DK544" s="1368"/>
      <c r="DL544" s="1369"/>
      <c r="DM544" s="1808"/>
      <c r="DN544" s="1809"/>
      <c r="DO544" s="1809"/>
      <c r="DP544" s="1810"/>
      <c r="DQ544" s="1809"/>
      <c r="DR544" s="1809"/>
      <c r="DS544" s="1809"/>
      <c r="DT544" s="1810"/>
      <c r="DU544" s="1377"/>
      <c r="DV544" s="1729"/>
      <c r="DW544" s="1811"/>
    </row>
    <row r="545" spans="1:127" s="397" customFormat="1" ht="15.75" hidden="1" customHeight="1">
      <c r="A545" s="1097" t="s">
        <v>1024</v>
      </c>
      <c r="B545" s="1057">
        <v>536</v>
      </c>
      <c r="C545" s="1018"/>
      <c r="D545" s="1018" t="s">
        <v>2098</v>
      </c>
      <c r="E545" s="1018"/>
      <c r="F545" s="1018"/>
      <c r="G545" s="1018"/>
      <c r="H545" s="1018"/>
      <c r="I545" s="1018"/>
      <c r="J545" s="1018"/>
      <c r="K545" s="1018"/>
      <c r="L545" s="1018"/>
      <c r="M545" s="1057"/>
      <c r="N545" s="1018"/>
      <c r="O545" s="1018"/>
      <c r="P545" s="1018"/>
      <c r="Q545" s="1018"/>
      <c r="R545" s="1018"/>
      <c r="S545" s="1018"/>
      <c r="T545" s="1019"/>
      <c r="U545" s="1098" t="s">
        <v>4221</v>
      </c>
      <c r="V545" s="1099" t="s">
        <v>4222</v>
      </c>
      <c r="W545" s="1099" t="s">
        <v>1889</v>
      </c>
      <c r="X545" s="1100" t="s">
        <v>4223</v>
      </c>
      <c r="Y545" s="1101" t="s">
        <v>1058</v>
      </c>
      <c r="Z545" s="1102" t="s">
        <v>4224</v>
      </c>
      <c r="AA545" s="1103" t="s">
        <v>1942</v>
      </c>
      <c r="AB545" s="1104" t="s">
        <v>1942</v>
      </c>
      <c r="AC545" s="1104">
        <v>1</v>
      </c>
      <c r="AD545" s="1104" t="s">
        <v>1942</v>
      </c>
      <c r="AE545" s="1104" t="s">
        <v>1942</v>
      </c>
      <c r="AF545" s="1104" t="s">
        <v>1942</v>
      </c>
      <c r="AG545" s="1104" t="s">
        <v>1942</v>
      </c>
      <c r="AH545" s="1104" t="s">
        <v>1942</v>
      </c>
      <c r="AI545" s="1105">
        <f t="shared" si="8"/>
        <v>1</v>
      </c>
      <c r="AJ545" s="1106" t="s">
        <v>1026</v>
      </c>
      <c r="AK545" s="1106" t="s">
        <v>1008</v>
      </c>
      <c r="AL545" s="1106" t="s">
        <v>1009</v>
      </c>
      <c r="AM545" s="1107" t="s">
        <v>3635</v>
      </c>
      <c r="AN545" s="1018" t="s">
        <v>278</v>
      </c>
      <c r="AO545" s="1018" t="s">
        <v>2449</v>
      </c>
      <c r="AP545" s="1307">
        <v>2</v>
      </c>
      <c r="AQ545" s="1076" t="s">
        <v>1010</v>
      </c>
      <c r="AR545" s="1109" t="s">
        <v>1058</v>
      </c>
      <c r="AS545" s="1110"/>
      <c r="AT545" s="1100"/>
      <c r="AU545" s="1100"/>
      <c r="AV545" s="1100"/>
      <c r="AW545" s="1111"/>
      <c r="AX545" s="1112"/>
      <c r="AY545" s="1075"/>
      <c r="AZ545" s="1076"/>
      <c r="BA545" s="1076"/>
      <c r="BB545" s="1076"/>
      <c r="BC545" s="1076"/>
      <c r="BD545" s="1076"/>
      <c r="BE545" s="1076"/>
      <c r="BF545" s="1076"/>
      <c r="BG545" s="1126"/>
      <c r="BH545" s="1126"/>
      <c r="BI545" s="1127">
        <v>100</v>
      </c>
      <c r="BJ545" s="1126">
        <v>100</v>
      </c>
      <c r="BK545" s="1126">
        <v>100</v>
      </c>
      <c r="BL545" s="1126">
        <v>100</v>
      </c>
      <c r="BM545" s="1126">
        <v>100</v>
      </c>
      <c r="BN545" s="1075"/>
      <c r="BO545" s="1076"/>
      <c r="BP545" s="1076"/>
      <c r="BQ545" s="1076"/>
      <c r="BR545" s="1076"/>
      <c r="BS545" s="1115"/>
      <c r="BT545" s="1076"/>
      <c r="BU545" s="1076"/>
      <c r="BV545" s="1076"/>
      <c r="BW545" s="1116"/>
      <c r="BX545" s="1115"/>
      <c r="BY545" s="1076"/>
      <c r="BZ545" s="1076"/>
      <c r="CA545" s="1076"/>
      <c r="CB545" s="1116"/>
      <c r="CC545" s="1117"/>
      <c r="CD545" s="1118" t="s">
        <v>168</v>
      </c>
      <c r="CE545" s="1119" t="s">
        <v>168</v>
      </c>
      <c r="CF545" s="1119" t="s">
        <v>168</v>
      </c>
      <c r="CG545" s="1119" t="s">
        <v>168</v>
      </c>
      <c r="CH545" s="1120" t="s">
        <v>168</v>
      </c>
      <c r="CI545" s="1075" t="s">
        <v>1942</v>
      </c>
      <c r="CJ545" s="1076" t="s">
        <v>1942</v>
      </c>
      <c r="CK545" s="1076" t="s">
        <v>1942</v>
      </c>
      <c r="CL545" s="1076" t="s">
        <v>1942</v>
      </c>
      <c r="CM545" s="1117" t="s">
        <v>1942</v>
      </c>
      <c r="CN545" s="1075">
        <v>95</v>
      </c>
      <c r="CO545" s="1076">
        <v>95</v>
      </c>
      <c r="CP545" s="1076">
        <v>95</v>
      </c>
      <c r="CQ545" s="1076">
        <v>95</v>
      </c>
      <c r="CR545" s="1117">
        <v>95</v>
      </c>
      <c r="CS545" s="1075">
        <v>99</v>
      </c>
      <c r="CT545" s="1076">
        <v>99</v>
      </c>
      <c r="CU545" s="1076">
        <v>99</v>
      </c>
      <c r="CV545" s="1076">
        <v>99</v>
      </c>
      <c r="CW545" s="1117">
        <v>99</v>
      </c>
      <c r="CX545" s="1075" t="s">
        <v>1942</v>
      </c>
      <c r="CY545" s="1076" t="s">
        <v>1942</v>
      </c>
      <c r="CZ545" s="1076" t="s">
        <v>1942</v>
      </c>
      <c r="DA545" s="1076" t="s">
        <v>1942</v>
      </c>
      <c r="DB545" s="1117" t="s">
        <v>1942</v>
      </c>
      <c r="DC545" s="1076" t="s">
        <v>1942</v>
      </c>
      <c r="DD545" s="1076" t="s">
        <v>1942</v>
      </c>
      <c r="DE545" s="1076" t="s">
        <v>1942</v>
      </c>
      <c r="DF545" s="1076" t="s">
        <v>1942</v>
      </c>
      <c r="DG545" s="1117" t="s">
        <v>1942</v>
      </c>
      <c r="DH545" s="1075" t="s">
        <v>1942</v>
      </c>
      <c r="DI545" s="1076" t="s">
        <v>1942</v>
      </c>
      <c r="DJ545" s="1076" t="s">
        <v>1942</v>
      </c>
      <c r="DK545" s="1076" t="s">
        <v>1942</v>
      </c>
      <c r="DL545" s="1117" t="s">
        <v>1942</v>
      </c>
      <c r="DM545" s="1121">
        <v>-0.7</v>
      </c>
      <c r="DN545" s="1122" t="s">
        <v>1942</v>
      </c>
      <c r="DO545" s="1122" t="s">
        <v>1942</v>
      </c>
      <c r="DP545" s="1123" t="s">
        <v>1942</v>
      </c>
      <c r="DQ545" s="1122" t="s">
        <v>1942</v>
      </c>
      <c r="DR545" s="1122" t="s">
        <v>1942</v>
      </c>
      <c r="DS545" s="1122" t="s">
        <v>1942</v>
      </c>
      <c r="DT545" s="1123" t="s">
        <v>1942</v>
      </c>
      <c r="DU545" s="1119" t="s">
        <v>1942</v>
      </c>
      <c r="DV545" s="1124">
        <v>1</v>
      </c>
      <c r="DW545" s="1125" t="s">
        <v>1942</v>
      </c>
    </row>
    <row r="546" spans="1:127" s="397" customFormat="1" ht="15.75" hidden="1" customHeight="1">
      <c r="A546" s="1097" t="s">
        <v>1024</v>
      </c>
      <c r="B546" s="1057">
        <v>537</v>
      </c>
      <c r="C546" s="1018"/>
      <c r="D546" s="1018"/>
      <c r="E546" s="1018"/>
      <c r="F546" s="1018"/>
      <c r="G546" s="1018"/>
      <c r="H546" s="1018"/>
      <c r="I546" s="1018"/>
      <c r="J546" s="1018"/>
      <c r="K546" s="1018"/>
      <c r="L546" s="1018"/>
      <c r="M546" s="1057"/>
      <c r="N546" s="1018"/>
      <c r="O546" s="1018"/>
      <c r="P546" s="1018"/>
      <c r="Q546" s="1018"/>
      <c r="R546" s="1018"/>
      <c r="S546" s="1018"/>
      <c r="T546" s="1019"/>
      <c r="U546" s="1098" t="s">
        <v>4225</v>
      </c>
      <c r="V546" s="1099" t="s">
        <v>1942</v>
      </c>
      <c r="W546" s="1099" t="s">
        <v>1942</v>
      </c>
      <c r="X546" s="1100" t="s">
        <v>4226</v>
      </c>
      <c r="Y546" s="1101" t="s">
        <v>4227</v>
      </c>
      <c r="Z546" s="1102" t="s">
        <v>1942</v>
      </c>
      <c r="AA546" s="1103" t="s">
        <v>1942</v>
      </c>
      <c r="AB546" s="1104" t="s">
        <v>1942</v>
      </c>
      <c r="AC546" s="1104" t="s">
        <v>1942</v>
      </c>
      <c r="AD546" s="1104" t="s">
        <v>1942</v>
      </c>
      <c r="AE546" s="1104" t="s">
        <v>1942</v>
      </c>
      <c r="AF546" s="1104" t="s">
        <v>1942</v>
      </c>
      <c r="AG546" s="1104" t="s">
        <v>1942</v>
      </c>
      <c r="AH546" s="1104" t="s">
        <v>1942</v>
      </c>
      <c r="AI546" s="1105">
        <f t="shared" si="8"/>
        <v>0</v>
      </c>
      <c r="AJ546" s="1106" t="s">
        <v>1007</v>
      </c>
      <c r="AK546" s="1106" t="s">
        <v>1942</v>
      </c>
      <c r="AL546" s="1106" t="s">
        <v>1942</v>
      </c>
      <c r="AM546" s="1107" t="s">
        <v>1942</v>
      </c>
      <c r="AN546" s="1018" t="s">
        <v>1942</v>
      </c>
      <c r="AO546" s="1018" t="s">
        <v>1942</v>
      </c>
      <c r="AP546" s="1274">
        <v>2</v>
      </c>
      <c r="AQ546" s="1076" t="s">
        <v>1010</v>
      </c>
      <c r="AR546" s="1109" t="s">
        <v>1942</v>
      </c>
      <c r="AS546" s="1110"/>
      <c r="AT546" s="1100"/>
      <c r="AU546" s="1100"/>
      <c r="AV546" s="1100"/>
      <c r="AW546" s="1111"/>
      <c r="AX546" s="1112"/>
      <c r="AY546" s="1075"/>
      <c r="AZ546" s="1076"/>
      <c r="BA546" s="1076"/>
      <c r="BB546" s="1076"/>
      <c r="BC546" s="1076"/>
      <c r="BD546" s="1076"/>
      <c r="BE546" s="1076"/>
      <c r="BF546" s="1076"/>
      <c r="BG546" s="1076"/>
      <c r="BH546" s="1076"/>
      <c r="BI546" s="1420"/>
      <c r="BJ546" s="1368"/>
      <c r="BK546" s="1368"/>
      <c r="BL546" s="1368"/>
      <c r="BM546" s="1368"/>
      <c r="BN546" s="1075"/>
      <c r="BO546" s="1076"/>
      <c r="BP546" s="1076"/>
      <c r="BQ546" s="1076"/>
      <c r="BR546" s="1076"/>
      <c r="BS546" s="1115"/>
      <c r="BT546" s="1076"/>
      <c r="BU546" s="1076"/>
      <c r="BV546" s="1076"/>
      <c r="BW546" s="1116"/>
      <c r="BX546" s="1115"/>
      <c r="BY546" s="1076"/>
      <c r="BZ546" s="1076"/>
      <c r="CA546" s="1076"/>
      <c r="CB546" s="1116"/>
      <c r="CC546" s="1117"/>
      <c r="CD546" s="1376"/>
      <c r="CE546" s="1377"/>
      <c r="CF546" s="1377"/>
      <c r="CG546" s="1377"/>
      <c r="CH546" s="1440"/>
      <c r="CI546" s="1420"/>
      <c r="CJ546" s="1368"/>
      <c r="CK546" s="1368"/>
      <c r="CL546" s="1368"/>
      <c r="CM546" s="1369"/>
      <c r="CN546" s="1420"/>
      <c r="CO546" s="1368"/>
      <c r="CP546" s="1368"/>
      <c r="CQ546" s="1368"/>
      <c r="CR546" s="1369"/>
      <c r="CS546" s="1420"/>
      <c r="CT546" s="1368"/>
      <c r="CU546" s="1368"/>
      <c r="CV546" s="1368"/>
      <c r="CW546" s="1369"/>
      <c r="CX546" s="1420"/>
      <c r="CY546" s="1368"/>
      <c r="CZ546" s="1368"/>
      <c r="DA546" s="1368"/>
      <c r="DB546" s="1369"/>
      <c r="DC546" s="1368"/>
      <c r="DD546" s="1368"/>
      <c r="DE546" s="1368"/>
      <c r="DF546" s="1368"/>
      <c r="DG546" s="1369"/>
      <c r="DH546" s="1420"/>
      <c r="DI546" s="1368"/>
      <c r="DJ546" s="1368"/>
      <c r="DK546" s="1368"/>
      <c r="DL546" s="1369"/>
      <c r="DM546" s="1808"/>
      <c r="DN546" s="1809"/>
      <c r="DO546" s="1809"/>
      <c r="DP546" s="1810"/>
      <c r="DQ546" s="1809"/>
      <c r="DR546" s="1809"/>
      <c r="DS546" s="1809"/>
      <c r="DT546" s="1810"/>
      <c r="DU546" s="1377"/>
      <c r="DV546" s="1729"/>
      <c r="DW546" s="1811"/>
    </row>
    <row r="547" spans="1:127" s="397" customFormat="1" ht="15.75" hidden="1" customHeight="1">
      <c r="A547" s="1097" t="s">
        <v>1024</v>
      </c>
      <c r="B547" s="1057">
        <v>538</v>
      </c>
      <c r="C547" s="1018"/>
      <c r="D547" s="1018"/>
      <c r="E547" s="1018"/>
      <c r="F547" s="1018"/>
      <c r="G547" s="1018"/>
      <c r="H547" s="1018"/>
      <c r="I547" s="1018"/>
      <c r="J547" s="1018"/>
      <c r="K547" s="1018"/>
      <c r="L547" s="1018"/>
      <c r="M547" s="1057"/>
      <c r="N547" s="1018"/>
      <c r="O547" s="1018"/>
      <c r="P547" s="1018"/>
      <c r="Q547" s="1018"/>
      <c r="R547" s="1018"/>
      <c r="S547" s="1018"/>
      <c r="T547" s="1019"/>
      <c r="U547" s="1098" t="s">
        <v>4228</v>
      </c>
      <c r="V547" s="1099" t="s">
        <v>4222</v>
      </c>
      <c r="W547" s="1099" t="s">
        <v>1889</v>
      </c>
      <c r="X547" s="1100" t="s">
        <v>4229</v>
      </c>
      <c r="Y547" s="1101" t="s">
        <v>736</v>
      </c>
      <c r="Z547" s="1102" t="s">
        <v>4230</v>
      </c>
      <c r="AA547" s="1103" t="s">
        <v>1942</v>
      </c>
      <c r="AB547" s="1104">
        <v>0</v>
      </c>
      <c r="AC547" s="1104">
        <v>1</v>
      </c>
      <c r="AD547" s="1104" t="s">
        <v>1942</v>
      </c>
      <c r="AE547" s="1104" t="s">
        <v>1942</v>
      </c>
      <c r="AF547" s="1104" t="s">
        <v>1942</v>
      </c>
      <c r="AG547" s="1104" t="s">
        <v>1942</v>
      </c>
      <c r="AH547" s="1104" t="s">
        <v>1942</v>
      </c>
      <c r="AI547" s="1105">
        <f t="shared" si="8"/>
        <v>1</v>
      </c>
      <c r="AJ547" s="1106" t="s">
        <v>1030</v>
      </c>
      <c r="AK547" s="1106" t="s">
        <v>1008</v>
      </c>
      <c r="AL547" s="1106" t="s">
        <v>1009</v>
      </c>
      <c r="AM547" s="1107" t="s">
        <v>736</v>
      </c>
      <c r="AN547" s="1018" t="s">
        <v>2177</v>
      </c>
      <c r="AO547" s="1018" t="s">
        <v>4806</v>
      </c>
      <c r="AP547" s="1307">
        <v>2</v>
      </c>
      <c r="AQ547" s="1076" t="s">
        <v>1020</v>
      </c>
      <c r="AR547" s="1109" t="s">
        <v>736</v>
      </c>
      <c r="AS547" s="1110"/>
      <c r="AT547" s="1100"/>
      <c r="AU547" s="1100"/>
      <c r="AV547" s="1100"/>
      <c r="AW547" s="1111"/>
      <c r="AX547" s="1112"/>
      <c r="AY547" s="1075"/>
      <c r="AZ547" s="1076"/>
      <c r="BA547" s="1076"/>
      <c r="BB547" s="1076"/>
      <c r="BC547" s="1076"/>
      <c r="BD547" s="1076"/>
      <c r="BE547" s="1076"/>
      <c r="BF547" s="1076"/>
      <c r="BG547" s="1126"/>
      <c r="BH547" s="1126"/>
      <c r="BI547" s="1127">
        <v>24.51</v>
      </c>
      <c r="BJ547" s="1126">
        <v>23.74</v>
      </c>
      <c r="BK547" s="1126">
        <v>23</v>
      </c>
      <c r="BL547" s="1126">
        <v>22.4</v>
      </c>
      <c r="BM547" s="1126">
        <v>19.5</v>
      </c>
      <c r="BN547" s="1075"/>
      <c r="BO547" s="1076"/>
      <c r="BP547" s="1076"/>
      <c r="BQ547" s="1076"/>
      <c r="BR547" s="1076"/>
      <c r="BS547" s="1115"/>
      <c r="BT547" s="1076"/>
      <c r="BU547" s="1076"/>
      <c r="BV547" s="1076"/>
      <c r="BW547" s="1116"/>
      <c r="BX547" s="1115"/>
      <c r="BY547" s="1076"/>
      <c r="BZ547" s="1076"/>
      <c r="CA547" s="1076"/>
      <c r="CB547" s="1116"/>
      <c r="CC547" s="1117"/>
      <c r="CD547" s="1118" t="s">
        <v>168</v>
      </c>
      <c r="CE547" s="1119" t="s">
        <v>168</v>
      </c>
      <c r="CF547" s="1119" t="s">
        <v>168</v>
      </c>
      <c r="CG547" s="1119" t="s">
        <v>168</v>
      </c>
      <c r="CH547" s="1120" t="s">
        <v>168</v>
      </c>
      <c r="CI547" s="1075" t="s">
        <v>1942</v>
      </c>
      <c r="CJ547" s="1076" t="s">
        <v>1942</v>
      </c>
      <c r="CK547" s="1076" t="s">
        <v>1942</v>
      </c>
      <c r="CL547" s="1076" t="s">
        <v>1942</v>
      </c>
      <c r="CM547" s="1117" t="s">
        <v>1942</v>
      </c>
      <c r="CN547" s="1075">
        <v>36.76</v>
      </c>
      <c r="CO547" s="1076">
        <v>36.76</v>
      </c>
      <c r="CP547" s="1076">
        <v>36.76</v>
      </c>
      <c r="CQ547" s="1076">
        <v>36.76</v>
      </c>
      <c r="CR547" s="1117">
        <v>36.76</v>
      </c>
      <c r="CS547" s="1075" t="s">
        <v>1942</v>
      </c>
      <c r="CT547" s="1076" t="s">
        <v>1942</v>
      </c>
      <c r="CU547" s="1076" t="s">
        <v>1942</v>
      </c>
      <c r="CV547" s="1076" t="s">
        <v>1942</v>
      </c>
      <c r="CW547" s="1117" t="s">
        <v>1942</v>
      </c>
      <c r="CX547" s="1075" t="s">
        <v>1942</v>
      </c>
      <c r="CY547" s="1076" t="s">
        <v>1942</v>
      </c>
      <c r="CZ547" s="1076" t="s">
        <v>1942</v>
      </c>
      <c r="DA547" s="1076" t="s">
        <v>1942</v>
      </c>
      <c r="DB547" s="1117" t="s">
        <v>1942</v>
      </c>
      <c r="DC547" s="1076">
        <v>18.510000000000002</v>
      </c>
      <c r="DD547" s="1076">
        <v>14.74</v>
      </c>
      <c r="DE547" s="1076">
        <v>14</v>
      </c>
      <c r="DF547" s="1076">
        <v>12.4</v>
      </c>
      <c r="DG547" s="1117">
        <v>10.5</v>
      </c>
      <c r="DH547" s="1075" t="s">
        <v>1942</v>
      </c>
      <c r="DI547" s="1076" t="s">
        <v>1942</v>
      </c>
      <c r="DJ547" s="1076" t="s">
        <v>1942</v>
      </c>
      <c r="DK547" s="1076" t="s">
        <v>1942</v>
      </c>
      <c r="DL547" s="1117" t="s">
        <v>1942</v>
      </c>
      <c r="DM547" s="1121">
        <v>-0.215</v>
      </c>
      <c r="DN547" s="1122" t="s">
        <v>1942</v>
      </c>
      <c r="DO547" s="1122" t="s">
        <v>1942</v>
      </c>
      <c r="DP547" s="1123" t="s">
        <v>1942</v>
      </c>
      <c r="DQ547" s="1122">
        <v>0.17799999999999999</v>
      </c>
      <c r="DR547" s="1122" t="s">
        <v>1942</v>
      </c>
      <c r="DS547" s="1122" t="s">
        <v>1942</v>
      </c>
      <c r="DT547" s="1123" t="s">
        <v>1942</v>
      </c>
      <c r="DU547" s="1119" t="s">
        <v>131</v>
      </c>
      <c r="DV547" s="1124">
        <v>1</v>
      </c>
      <c r="DW547" s="1125" t="s">
        <v>1942</v>
      </c>
    </row>
    <row r="548" spans="1:127" s="397" customFormat="1" ht="15.75" hidden="1" customHeight="1">
      <c r="A548" s="1054" t="s">
        <v>1024</v>
      </c>
      <c r="B548" s="1055">
        <v>539</v>
      </c>
      <c r="C548" s="1143"/>
      <c r="D548" s="1143"/>
      <c r="E548" s="1143"/>
      <c r="F548" s="1143"/>
      <c r="G548" s="1143"/>
      <c r="H548" s="1143"/>
      <c r="I548" s="1143"/>
      <c r="J548" s="1143"/>
      <c r="K548" s="1143"/>
      <c r="L548" s="1143"/>
      <c r="M548" s="1055"/>
      <c r="N548" s="1143"/>
      <c r="O548" s="1143"/>
      <c r="P548" s="1143"/>
      <c r="Q548" s="1143"/>
      <c r="R548" s="1143"/>
      <c r="S548" s="1143"/>
      <c r="T548" s="1058"/>
      <c r="U548" s="1059" t="s">
        <v>4232</v>
      </c>
      <c r="V548" s="1060" t="s">
        <v>4222</v>
      </c>
      <c r="W548" s="1060" t="s">
        <v>1889</v>
      </c>
      <c r="X548" s="1061" t="s">
        <v>4233</v>
      </c>
      <c r="Y548" s="1062" t="s">
        <v>669</v>
      </c>
      <c r="Z548" s="1063" t="s">
        <v>4234</v>
      </c>
      <c r="AA548" s="1064" t="s">
        <v>1942</v>
      </c>
      <c r="AB548" s="1065">
        <v>1</v>
      </c>
      <c r="AC548" s="1065" t="s">
        <v>1942</v>
      </c>
      <c r="AD548" s="1065" t="s">
        <v>1942</v>
      </c>
      <c r="AE548" s="1065" t="s">
        <v>1942</v>
      </c>
      <c r="AF548" s="1065" t="s">
        <v>1942</v>
      </c>
      <c r="AG548" s="1065" t="s">
        <v>1942</v>
      </c>
      <c r="AH548" s="1065" t="s">
        <v>1942</v>
      </c>
      <c r="AI548" s="1066">
        <f t="shared" si="8"/>
        <v>1</v>
      </c>
      <c r="AJ548" s="1067" t="s">
        <v>1030</v>
      </c>
      <c r="AK548" s="1067" t="s">
        <v>1008</v>
      </c>
      <c r="AL548" s="1067" t="s">
        <v>1009</v>
      </c>
      <c r="AM548" s="1068" t="s">
        <v>669</v>
      </c>
      <c r="AN548" s="1062" t="s">
        <v>278</v>
      </c>
      <c r="AO548" s="1062" t="s">
        <v>4791</v>
      </c>
      <c r="AP548" s="1306">
        <v>1</v>
      </c>
      <c r="AQ548" s="833" t="s">
        <v>1010</v>
      </c>
      <c r="AR548" s="1071" t="s">
        <v>669</v>
      </c>
      <c r="AS548" s="1072"/>
      <c r="AT548" s="1061"/>
      <c r="AU548" s="1061"/>
      <c r="AV548" s="1061"/>
      <c r="AW548" s="1073"/>
      <c r="AX548" s="1074"/>
      <c r="AY548" s="1079"/>
      <c r="AZ548" s="1080"/>
      <c r="BA548" s="1080"/>
      <c r="BB548" s="1080"/>
      <c r="BC548" s="1080"/>
      <c r="BD548" s="1080"/>
      <c r="BE548" s="1080"/>
      <c r="BF548" s="1080"/>
      <c r="BG548" s="1077"/>
      <c r="BH548" s="1077"/>
      <c r="BI548" s="1078">
        <v>1.8</v>
      </c>
      <c r="BJ548" s="1077">
        <v>4.2</v>
      </c>
      <c r="BK548" s="1077">
        <v>7.3</v>
      </c>
      <c r="BL548" s="1077">
        <v>10.3</v>
      </c>
      <c r="BM548" s="1077">
        <v>13.3</v>
      </c>
      <c r="BN548" s="1079"/>
      <c r="BO548" s="1080"/>
      <c r="BP548" s="1080"/>
      <c r="BQ548" s="1080"/>
      <c r="BR548" s="1080"/>
      <c r="BS548" s="1081"/>
      <c r="BT548" s="1080"/>
      <c r="BU548" s="1080"/>
      <c r="BV548" s="1080"/>
      <c r="BW548" s="1082"/>
      <c r="BX548" s="1081"/>
      <c r="BY548" s="1080"/>
      <c r="BZ548" s="1080"/>
      <c r="CA548" s="1080"/>
      <c r="CB548" s="1082"/>
      <c r="CC548" s="1083"/>
      <c r="CD548" s="1084" t="s">
        <v>168</v>
      </c>
      <c r="CE548" s="1085" t="s">
        <v>168</v>
      </c>
      <c r="CF548" s="1085" t="s">
        <v>168</v>
      </c>
      <c r="CG548" s="1085" t="s">
        <v>168</v>
      </c>
      <c r="CH548" s="1086" t="s">
        <v>168</v>
      </c>
      <c r="CI548" s="1089" t="s">
        <v>1942</v>
      </c>
      <c r="CJ548" s="1087" t="s">
        <v>1942</v>
      </c>
      <c r="CK548" s="1087" t="s">
        <v>1942</v>
      </c>
      <c r="CL548" s="1087" t="s">
        <v>1942</v>
      </c>
      <c r="CM548" s="1088" t="s">
        <v>1942</v>
      </c>
      <c r="CN548" s="1089">
        <v>-5</v>
      </c>
      <c r="CO548" s="1087">
        <v>-5</v>
      </c>
      <c r="CP548" s="1087">
        <v>-5</v>
      </c>
      <c r="CQ548" s="1087">
        <v>-5</v>
      </c>
      <c r="CR548" s="1088">
        <v>-5</v>
      </c>
      <c r="CS548" s="1079" t="s">
        <v>1942</v>
      </c>
      <c r="CT548" s="1080" t="s">
        <v>1942</v>
      </c>
      <c r="CU548" s="1080" t="s">
        <v>1942</v>
      </c>
      <c r="CV548" s="1080" t="s">
        <v>1942</v>
      </c>
      <c r="CW548" s="1083" t="s">
        <v>1942</v>
      </c>
      <c r="CX548" s="1079" t="s">
        <v>1942</v>
      </c>
      <c r="CY548" s="1080" t="s">
        <v>1942</v>
      </c>
      <c r="CZ548" s="1080" t="s">
        <v>1942</v>
      </c>
      <c r="DA548" s="1080" t="s">
        <v>1942</v>
      </c>
      <c r="DB548" s="1083" t="s">
        <v>1942</v>
      </c>
      <c r="DC548" s="879">
        <v>11.5</v>
      </c>
      <c r="DD548" s="879">
        <v>13.7</v>
      </c>
      <c r="DE548" s="879">
        <v>16.5</v>
      </c>
      <c r="DF548" s="879">
        <v>19.3</v>
      </c>
      <c r="DG548" s="934">
        <v>22.1</v>
      </c>
      <c r="DH548" s="1089" t="s">
        <v>1942</v>
      </c>
      <c r="DI548" s="1080" t="s">
        <v>1942</v>
      </c>
      <c r="DJ548" s="1080" t="s">
        <v>1942</v>
      </c>
      <c r="DK548" s="1080" t="s">
        <v>1942</v>
      </c>
      <c r="DL548" s="1083" t="s">
        <v>1942</v>
      </c>
      <c r="DM548" s="1091">
        <v>-0.16800000000000001</v>
      </c>
      <c r="DN548" s="1092" t="s">
        <v>1942</v>
      </c>
      <c r="DO548" s="1092" t="s">
        <v>1942</v>
      </c>
      <c r="DP548" s="1093" t="s">
        <v>1942</v>
      </c>
      <c r="DQ548" s="1092">
        <v>0.14299999999999999</v>
      </c>
      <c r="DR548" s="1092" t="s">
        <v>1942</v>
      </c>
      <c r="DS548" s="1092" t="s">
        <v>1942</v>
      </c>
      <c r="DT548" s="1093" t="s">
        <v>1942</v>
      </c>
      <c r="DU548" s="1085" t="s">
        <v>1942</v>
      </c>
      <c r="DV548" s="1094">
        <v>1</v>
      </c>
      <c r="DW548" s="1095" t="s">
        <v>1942</v>
      </c>
    </row>
    <row r="549" spans="1:127" s="397" customFormat="1" ht="15.75" hidden="1" customHeight="1">
      <c r="A549" s="1054" t="s">
        <v>1024</v>
      </c>
      <c r="B549" s="1055">
        <v>540</v>
      </c>
      <c r="C549" s="1143"/>
      <c r="D549" s="1143"/>
      <c r="E549" s="1143"/>
      <c r="F549" s="1143"/>
      <c r="G549" s="1143"/>
      <c r="H549" s="1143"/>
      <c r="I549" s="1143"/>
      <c r="J549" s="1143"/>
      <c r="K549" s="1143"/>
      <c r="L549" s="1143"/>
      <c r="M549" s="1055"/>
      <c r="N549" s="1143"/>
      <c r="O549" s="1143"/>
      <c r="P549" s="1143"/>
      <c r="Q549" s="1143"/>
      <c r="R549" s="1143"/>
      <c r="S549" s="1143"/>
      <c r="T549" s="1058"/>
      <c r="U549" s="1059" t="s">
        <v>4236</v>
      </c>
      <c r="V549" s="1060" t="s">
        <v>4222</v>
      </c>
      <c r="W549" s="1060" t="s">
        <v>1907</v>
      </c>
      <c r="X549" s="1061" t="s">
        <v>4237</v>
      </c>
      <c r="Y549" s="1062" t="s">
        <v>1902</v>
      </c>
      <c r="Z549" s="1063" t="s">
        <v>4238</v>
      </c>
      <c r="AA549" s="1064" t="s">
        <v>1942</v>
      </c>
      <c r="AB549" s="1065">
        <v>1</v>
      </c>
      <c r="AC549" s="1065" t="s">
        <v>1942</v>
      </c>
      <c r="AD549" s="1065" t="s">
        <v>1942</v>
      </c>
      <c r="AE549" s="1065" t="s">
        <v>1942</v>
      </c>
      <c r="AF549" s="1065" t="s">
        <v>1942</v>
      </c>
      <c r="AG549" s="1065" t="s">
        <v>1942</v>
      </c>
      <c r="AH549" s="1065" t="s">
        <v>1942</v>
      </c>
      <c r="AI549" s="1066">
        <f t="shared" si="8"/>
        <v>1</v>
      </c>
      <c r="AJ549" s="1067" t="s">
        <v>1026</v>
      </c>
      <c r="AK549" s="1067" t="s">
        <v>1008</v>
      </c>
      <c r="AL549" s="1440" t="s">
        <v>1019</v>
      </c>
      <c r="AM549" s="1068" t="s">
        <v>2054</v>
      </c>
      <c r="AN549" s="1062" t="s">
        <v>2118</v>
      </c>
      <c r="AO549" s="1062" t="s">
        <v>4791</v>
      </c>
      <c r="AP549" s="1306">
        <v>1</v>
      </c>
      <c r="AQ549" s="833" t="s">
        <v>1010</v>
      </c>
      <c r="AR549" s="1071" t="s">
        <v>1902</v>
      </c>
      <c r="AS549" s="1072"/>
      <c r="AT549" s="1061"/>
      <c r="AU549" s="1061"/>
      <c r="AV549" s="1061"/>
      <c r="AW549" s="1073"/>
      <c r="AX549" s="1074"/>
      <c r="AY549" s="1079"/>
      <c r="AZ549" s="1080"/>
      <c r="BA549" s="1080"/>
      <c r="BB549" s="1080"/>
      <c r="BC549" s="1080"/>
      <c r="BD549" s="1080"/>
      <c r="BE549" s="1080"/>
      <c r="BF549" s="1080"/>
      <c r="BG549" s="1077"/>
      <c r="BH549" s="1077"/>
      <c r="BI549" s="1078">
        <v>1</v>
      </c>
      <c r="BJ549" s="1077">
        <v>2</v>
      </c>
      <c r="BK549" s="1077">
        <v>3</v>
      </c>
      <c r="BL549" s="1077">
        <v>4.5999999999999996</v>
      </c>
      <c r="BM549" s="1077">
        <v>6.3</v>
      </c>
      <c r="BN549" s="1079"/>
      <c r="BO549" s="1080"/>
      <c r="BP549" s="1080"/>
      <c r="BQ549" s="1080"/>
      <c r="BR549" s="1080"/>
      <c r="BS549" s="1081"/>
      <c r="BT549" s="1080"/>
      <c r="BU549" s="1080"/>
      <c r="BV549" s="1080"/>
      <c r="BW549" s="1082"/>
      <c r="BX549" s="1081"/>
      <c r="BY549" s="1080"/>
      <c r="BZ549" s="1080"/>
      <c r="CA549" s="1080"/>
      <c r="CB549" s="1082"/>
      <c r="CC549" s="1083"/>
      <c r="CD549" s="1084" t="s">
        <v>168</v>
      </c>
      <c r="CE549" s="1085" t="s">
        <v>168</v>
      </c>
      <c r="CF549" s="1085" t="s">
        <v>168</v>
      </c>
      <c r="CG549" s="1085" t="s">
        <v>168</v>
      </c>
      <c r="CH549" s="1086" t="s">
        <v>168</v>
      </c>
      <c r="CI549" s="1089" t="s">
        <v>1942</v>
      </c>
      <c r="CJ549" s="1087" t="s">
        <v>1942</v>
      </c>
      <c r="CK549" s="1087" t="s">
        <v>1942</v>
      </c>
      <c r="CL549" s="1087" t="s">
        <v>1942</v>
      </c>
      <c r="CM549" s="1088" t="s">
        <v>1942</v>
      </c>
      <c r="CN549" s="1089" t="s">
        <v>1942</v>
      </c>
      <c r="CO549" s="1087" t="s">
        <v>1942</v>
      </c>
      <c r="CP549" s="1087" t="s">
        <v>1942</v>
      </c>
      <c r="CQ549" s="1087" t="s">
        <v>1942</v>
      </c>
      <c r="CR549" s="1088" t="s">
        <v>1942</v>
      </c>
      <c r="CS549" s="1079" t="s">
        <v>1942</v>
      </c>
      <c r="CT549" s="1080" t="s">
        <v>1942</v>
      </c>
      <c r="CU549" s="1080" t="s">
        <v>1942</v>
      </c>
      <c r="CV549" s="1080" t="s">
        <v>1942</v>
      </c>
      <c r="CW549" s="1083" t="s">
        <v>1942</v>
      </c>
      <c r="CX549" s="1079" t="s">
        <v>1942</v>
      </c>
      <c r="CY549" s="1080" t="s">
        <v>1942</v>
      </c>
      <c r="CZ549" s="1080" t="s">
        <v>1942</v>
      </c>
      <c r="DA549" s="1080" t="s">
        <v>1942</v>
      </c>
      <c r="DB549" s="1083" t="s">
        <v>1942</v>
      </c>
      <c r="DC549" s="1087" t="s">
        <v>1942</v>
      </c>
      <c r="DD549" s="1087" t="s">
        <v>1942</v>
      </c>
      <c r="DE549" s="1087" t="s">
        <v>1942</v>
      </c>
      <c r="DF549" s="1087" t="s">
        <v>1942</v>
      </c>
      <c r="DG549" s="1088" t="s">
        <v>1942</v>
      </c>
      <c r="DH549" s="1089" t="s">
        <v>1942</v>
      </c>
      <c r="DI549" s="1080" t="s">
        <v>1942</v>
      </c>
      <c r="DJ549" s="1080" t="s">
        <v>1942</v>
      </c>
      <c r="DK549" s="1080" t="s">
        <v>1942</v>
      </c>
      <c r="DL549" s="1083" t="s">
        <v>1942</v>
      </c>
      <c r="DM549" s="1091">
        <v>-0.13500000000000001</v>
      </c>
      <c r="DN549" s="1092" t="s">
        <v>1942</v>
      </c>
      <c r="DO549" s="1092" t="s">
        <v>1942</v>
      </c>
      <c r="DP549" s="1093" t="s">
        <v>1942</v>
      </c>
      <c r="DQ549" s="1092" t="s">
        <v>1942</v>
      </c>
      <c r="DR549" s="1092" t="s">
        <v>1942</v>
      </c>
      <c r="DS549" s="1092" t="s">
        <v>1942</v>
      </c>
      <c r="DT549" s="1093" t="s">
        <v>1942</v>
      </c>
      <c r="DU549" s="1085" t="s">
        <v>1942</v>
      </c>
      <c r="DV549" s="1094">
        <v>1</v>
      </c>
      <c r="DW549" s="1095" t="s">
        <v>1942</v>
      </c>
    </row>
    <row r="550" spans="1:127" s="397" customFormat="1" ht="15.75" hidden="1" customHeight="1">
      <c r="A550" s="1097" t="s">
        <v>1024</v>
      </c>
      <c r="B550" s="1057">
        <v>541</v>
      </c>
      <c r="C550" s="1018"/>
      <c r="D550" s="1018"/>
      <c r="E550" s="1018"/>
      <c r="F550" s="1018"/>
      <c r="G550" s="1018"/>
      <c r="H550" s="1018"/>
      <c r="I550" s="1018"/>
      <c r="J550" s="1018"/>
      <c r="K550" s="1018"/>
      <c r="L550" s="1018"/>
      <c r="M550" s="1057"/>
      <c r="N550" s="1018"/>
      <c r="O550" s="1018"/>
      <c r="P550" s="1018"/>
      <c r="Q550" s="1018"/>
      <c r="R550" s="1018"/>
      <c r="S550" s="1018"/>
      <c r="T550" s="1019"/>
      <c r="U550" s="1098" t="s">
        <v>4239</v>
      </c>
      <c r="V550" s="1099" t="s">
        <v>4222</v>
      </c>
      <c r="W550" s="1099" t="s">
        <v>1907</v>
      </c>
      <c r="X550" s="1100" t="s">
        <v>4240</v>
      </c>
      <c r="Y550" s="1101" t="s">
        <v>4241</v>
      </c>
      <c r="Z550" s="1102" t="s">
        <v>4242</v>
      </c>
      <c r="AA550" s="1103">
        <v>0.28999999999999998</v>
      </c>
      <c r="AB550" s="1104" t="s">
        <v>1942</v>
      </c>
      <c r="AC550" s="1104">
        <v>0.71</v>
      </c>
      <c r="AD550" s="1104" t="s">
        <v>1942</v>
      </c>
      <c r="AE550" s="1104" t="s">
        <v>1942</v>
      </c>
      <c r="AF550" s="1104" t="s">
        <v>1942</v>
      </c>
      <c r="AG550" s="1104" t="s">
        <v>1942</v>
      </c>
      <c r="AH550" s="1104" t="s">
        <v>1942</v>
      </c>
      <c r="AI550" s="1105">
        <f t="shared" si="8"/>
        <v>1</v>
      </c>
      <c r="AJ550" s="1106" t="s">
        <v>1030</v>
      </c>
      <c r="AK550" s="1106" t="s">
        <v>1008</v>
      </c>
      <c r="AL550" s="1106" t="s">
        <v>1019</v>
      </c>
      <c r="AM550" s="1107" t="s">
        <v>2106</v>
      </c>
      <c r="AN550" s="1018" t="s">
        <v>1037</v>
      </c>
      <c r="AO550" s="1018" t="s">
        <v>4243</v>
      </c>
      <c r="AP550" s="1274">
        <v>0</v>
      </c>
      <c r="AQ550" s="1076" t="s">
        <v>1010</v>
      </c>
      <c r="AR550" s="1109" t="s">
        <v>1942</v>
      </c>
      <c r="AS550" s="1110"/>
      <c r="AT550" s="1100"/>
      <c r="AU550" s="1100"/>
      <c r="AV550" s="1100"/>
      <c r="AW550" s="1111"/>
      <c r="AX550" s="1112"/>
      <c r="AY550" s="1075"/>
      <c r="AZ550" s="1076"/>
      <c r="BA550" s="1076"/>
      <c r="BB550" s="1076"/>
      <c r="BC550" s="1076"/>
      <c r="BD550" s="1076"/>
      <c r="BE550" s="1076"/>
      <c r="BF550" s="1076"/>
      <c r="BG550" s="1076"/>
      <c r="BH550" s="1076"/>
      <c r="BI550" s="1420"/>
      <c r="BJ550" s="1368"/>
      <c r="BK550" s="1368"/>
      <c r="BL550" s="1368"/>
      <c r="BM550" s="1368"/>
      <c r="BN550" s="1075"/>
      <c r="BO550" s="1076"/>
      <c r="BP550" s="1076"/>
      <c r="BQ550" s="1076"/>
      <c r="BR550" s="1076"/>
      <c r="BS550" s="1115"/>
      <c r="BT550" s="1076"/>
      <c r="BU550" s="1076"/>
      <c r="BV550" s="1076"/>
      <c r="BW550" s="1116"/>
      <c r="BX550" s="1115"/>
      <c r="BY550" s="1076"/>
      <c r="BZ550" s="1076"/>
      <c r="CA550" s="1076"/>
      <c r="CB550" s="1116"/>
      <c r="CC550" s="1117"/>
      <c r="CD550" s="1376"/>
      <c r="CE550" s="1377"/>
      <c r="CF550" s="1377"/>
      <c r="CG550" s="1377"/>
      <c r="CH550" s="1440"/>
      <c r="CI550" s="1420"/>
      <c r="CJ550" s="1368"/>
      <c r="CK550" s="1368"/>
      <c r="CL550" s="1368"/>
      <c r="CM550" s="1369"/>
      <c r="CN550" s="1420"/>
      <c r="CO550" s="1368"/>
      <c r="CP550" s="1368"/>
      <c r="CQ550" s="1368"/>
      <c r="CR550" s="1369"/>
      <c r="CS550" s="1420"/>
      <c r="CT550" s="1368"/>
      <c r="CU550" s="1368"/>
      <c r="CV550" s="1368"/>
      <c r="CW550" s="1369"/>
      <c r="CX550" s="1420"/>
      <c r="CY550" s="1368"/>
      <c r="CZ550" s="1368"/>
      <c r="DA550" s="1368"/>
      <c r="DB550" s="1369"/>
      <c r="DC550" s="1368"/>
      <c r="DD550" s="1368"/>
      <c r="DE550" s="1368"/>
      <c r="DF550" s="1368"/>
      <c r="DG550" s="1369"/>
      <c r="DH550" s="1420"/>
      <c r="DI550" s="1368"/>
      <c r="DJ550" s="1368"/>
      <c r="DK550" s="1368"/>
      <c r="DL550" s="1369"/>
      <c r="DM550" s="1808"/>
      <c r="DN550" s="1809"/>
      <c r="DO550" s="1809"/>
      <c r="DP550" s="1810"/>
      <c r="DQ550" s="1809"/>
      <c r="DR550" s="1809"/>
      <c r="DS550" s="1809"/>
      <c r="DT550" s="1810"/>
      <c r="DU550" s="1377"/>
      <c r="DV550" s="1729"/>
      <c r="DW550" s="1811"/>
    </row>
    <row r="551" spans="1:127" s="397" customFormat="1" ht="15.75" hidden="1" customHeight="1">
      <c r="A551" s="1097" t="s">
        <v>1024</v>
      </c>
      <c r="B551" s="1057">
        <v>542</v>
      </c>
      <c r="C551" s="1018"/>
      <c r="D551" s="1018"/>
      <c r="E551" s="1018"/>
      <c r="F551" s="1018"/>
      <c r="G551" s="1018"/>
      <c r="H551" s="1018"/>
      <c r="I551" s="1018"/>
      <c r="J551" s="1018"/>
      <c r="K551" s="1018"/>
      <c r="L551" s="1018"/>
      <c r="M551" s="1057"/>
      <c r="N551" s="1018"/>
      <c r="O551" s="1018"/>
      <c r="P551" s="1018"/>
      <c r="Q551" s="1018"/>
      <c r="R551" s="1018"/>
      <c r="S551" s="1018"/>
      <c r="T551" s="1019"/>
      <c r="U551" s="1098" t="s">
        <v>4244</v>
      </c>
      <c r="V551" s="1099" t="s">
        <v>4222</v>
      </c>
      <c r="W551" s="1099" t="s">
        <v>1907</v>
      </c>
      <c r="X551" s="1100" t="s">
        <v>4245</v>
      </c>
      <c r="Y551" s="1101" t="s">
        <v>4246</v>
      </c>
      <c r="Z551" s="1102" t="s">
        <v>4247</v>
      </c>
      <c r="AA551" s="1103" t="s">
        <v>1942</v>
      </c>
      <c r="AB551" s="1104" t="s">
        <v>1942</v>
      </c>
      <c r="AC551" s="1104" t="s">
        <v>1942</v>
      </c>
      <c r="AD551" s="1104">
        <v>1</v>
      </c>
      <c r="AE551" s="1104" t="s">
        <v>1942</v>
      </c>
      <c r="AF551" s="1104" t="s">
        <v>1942</v>
      </c>
      <c r="AG551" s="1104" t="s">
        <v>1942</v>
      </c>
      <c r="AH551" s="1104" t="s">
        <v>1942</v>
      </c>
      <c r="AI551" s="1105">
        <f t="shared" si="8"/>
        <v>1</v>
      </c>
      <c r="AJ551" s="1106" t="s">
        <v>1030</v>
      </c>
      <c r="AK551" s="1106" t="s">
        <v>1008</v>
      </c>
      <c r="AL551" s="1106" t="s">
        <v>1009</v>
      </c>
      <c r="AM551" s="1107" t="s">
        <v>763</v>
      </c>
      <c r="AN551" s="1018" t="s">
        <v>278</v>
      </c>
      <c r="AO551" s="1018" t="s">
        <v>1942</v>
      </c>
      <c r="AP551" s="1274">
        <v>1</v>
      </c>
      <c r="AQ551" s="1076" t="s">
        <v>1010</v>
      </c>
      <c r="AR551" s="1109" t="s">
        <v>1942</v>
      </c>
      <c r="AS551" s="1110"/>
      <c r="AT551" s="1100"/>
      <c r="AU551" s="1100"/>
      <c r="AV551" s="1100"/>
      <c r="AW551" s="1111"/>
      <c r="AX551" s="1112"/>
      <c r="AY551" s="1075"/>
      <c r="AZ551" s="1076"/>
      <c r="BA551" s="1076"/>
      <c r="BB551" s="1076"/>
      <c r="BC551" s="1076"/>
      <c r="BD551" s="1076"/>
      <c r="BE551" s="1076"/>
      <c r="BF551" s="1076"/>
      <c r="BG551" s="1076"/>
      <c r="BH551" s="1076"/>
      <c r="BI551" s="1420"/>
      <c r="BJ551" s="1368"/>
      <c r="BK551" s="1368"/>
      <c r="BL551" s="1368"/>
      <c r="BM551" s="1368"/>
      <c r="BN551" s="1075"/>
      <c r="BO551" s="1076"/>
      <c r="BP551" s="1076"/>
      <c r="BQ551" s="1076"/>
      <c r="BR551" s="1076"/>
      <c r="BS551" s="1115"/>
      <c r="BT551" s="1076"/>
      <c r="BU551" s="1076"/>
      <c r="BV551" s="1076"/>
      <c r="BW551" s="1116"/>
      <c r="BX551" s="1115"/>
      <c r="BY551" s="1076"/>
      <c r="BZ551" s="1076"/>
      <c r="CA551" s="1076"/>
      <c r="CB551" s="1116"/>
      <c r="CC551" s="1117"/>
      <c r="CD551" s="1376"/>
      <c r="CE551" s="1377"/>
      <c r="CF551" s="1377"/>
      <c r="CG551" s="1377"/>
      <c r="CH551" s="1440"/>
      <c r="CI551" s="1420"/>
      <c r="CJ551" s="1368"/>
      <c r="CK551" s="1368"/>
      <c r="CL551" s="1368"/>
      <c r="CM551" s="1369"/>
      <c r="CN551" s="1420"/>
      <c r="CO551" s="1368"/>
      <c r="CP551" s="1368"/>
      <c r="CQ551" s="1368"/>
      <c r="CR551" s="1369"/>
      <c r="CS551" s="1420"/>
      <c r="CT551" s="1368"/>
      <c r="CU551" s="1368"/>
      <c r="CV551" s="1368"/>
      <c r="CW551" s="1369"/>
      <c r="CX551" s="1420"/>
      <c r="CY551" s="1368"/>
      <c r="CZ551" s="1368"/>
      <c r="DA551" s="1368"/>
      <c r="DB551" s="1369"/>
      <c r="DC551" s="1368"/>
      <c r="DD551" s="1368"/>
      <c r="DE551" s="1368"/>
      <c r="DF551" s="1368"/>
      <c r="DG551" s="1369"/>
      <c r="DH551" s="1420"/>
      <c r="DI551" s="1368"/>
      <c r="DJ551" s="1368"/>
      <c r="DK551" s="1368"/>
      <c r="DL551" s="1369"/>
      <c r="DM551" s="1808"/>
      <c r="DN551" s="1809"/>
      <c r="DO551" s="1809"/>
      <c r="DP551" s="1810"/>
      <c r="DQ551" s="1809"/>
      <c r="DR551" s="1809"/>
      <c r="DS551" s="1809"/>
      <c r="DT551" s="1810"/>
      <c r="DU551" s="1377"/>
      <c r="DV551" s="1729"/>
      <c r="DW551" s="1811"/>
    </row>
    <row r="552" spans="1:127" s="397" customFormat="1" ht="15.75" hidden="1" customHeight="1">
      <c r="A552" s="1097" t="s">
        <v>1024</v>
      </c>
      <c r="B552" s="1057">
        <v>543</v>
      </c>
      <c r="C552" s="1018"/>
      <c r="D552" s="1018"/>
      <c r="E552" s="1018"/>
      <c r="F552" s="1018"/>
      <c r="G552" s="1018"/>
      <c r="H552" s="1018"/>
      <c r="I552" s="1018"/>
      <c r="J552" s="1018"/>
      <c r="K552" s="1018"/>
      <c r="L552" s="1018"/>
      <c r="M552" s="1057"/>
      <c r="N552" s="1018"/>
      <c r="O552" s="1018"/>
      <c r="P552" s="1018"/>
      <c r="Q552" s="1018"/>
      <c r="R552" s="1018"/>
      <c r="S552" s="1018"/>
      <c r="T552" s="1019"/>
      <c r="U552" s="1098" t="s">
        <v>4248</v>
      </c>
      <c r="V552" s="1099" t="s">
        <v>4222</v>
      </c>
      <c r="W552" s="1099" t="s">
        <v>1907</v>
      </c>
      <c r="X552" s="1100" t="s">
        <v>4249</v>
      </c>
      <c r="Y552" s="1101" t="s">
        <v>4250</v>
      </c>
      <c r="Z552" s="1102" t="s">
        <v>4251</v>
      </c>
      <c r="AA552" s="1103" t="s">
        <v>1942</v>
      </c>
      <c r="AB552" s="1104" t="s">
        <v>1942</v>
      </c>
      <c r="AC552" s="1104" t="s">
        <v>1942</v>
      </c>
      <c r="AD552" s="1104">
        <v>1</v>
      </c>
      <c r="AE552" s="1104" t="s">
        <v>1942</v>
      </c>
      <c r="AF552" s="1104" t="s">
        <v>1942</v>
      </c>
      <c r="AG552" s="1104" t="s">
        <v>1942</v>
      </c>
      <c r="AH552" s="1104" t="s">
        <v>1942</v>
      </c>
      <c r="AI552" s="1105">
        <f t="shared" si="8"/>
        <v>1</v>
      </c>
      <c r="AJ552" s="1106" t="s">
        <v>1026</v>
      </c>
      <c r="AK552" s="1106" t="s">
        <v>1008</v>
      </c>
      <c r="AL552" s="1106" t="s">
        <v>1009</v>
      </c>
      <c r="AM552" s="1107" t="s">
        <v>763</v>
      </c>
      <c r="AN552" s="1018" t="s">
        <v>278</v>
      </c>
      <c r="AO552" s="1018" t="s">
        <v>1942</v>
      </c>
      <c r="AP552" s="1274">
        <v>2</v>
      </c>
      <c r="AQ552" s="1076" t="s">
        <v>1010</v>
      </c>
      <c r="AR552" s="1109" t="s">
        <v>1942</v>
      </c>
      <c r="AS552" s="1110"/>
      <c r="AT552" s="1100"/>
      <c r="AU552" s="1100"/>
      <c r="AV552" s="1100"/>
      <c r="AW552" s="1111"/>
      <c r="AX552" s="1112"/>
      <c r="AY552" s="1075"/>
      <c r="AZ552" s="1076"/>
      <c r="BA552" s="1076"/>
      <c r="BB552" s="1076"/>
      <c r="BC552" s="1076"/>
      <c r="BD552" s="1076"/>
      <c r="BE552" s="1076"/>
      <c r="BF552" s="1076"/>
      <c r="BG552" s="1076"/>
      <c r="BH552" s="1076"/>
      <c r="BI552" s="1420"/>
      <c r="BJ552" s="1368"/>
      <c r="BK552" s="1368"/>
      <c r="BL552" s="1368"/>
      <c r="BM552" s="1368"/>
      <c r="BN552" s="1075"/>
      <c r="BO552" s="1076"/>
      <c r="BP552" s="1076"/>
      <c r="BQ552" s="1076"/>
      <c r="BR552" s="1076"/>
      <c r="BS552" s="1115"/>
      <c r="BT552" s="1076"/>
      <c r="BU552" s="1076"/>
      <c r="BV552" s="1076"/>
      <c r="BW552" s="1116"/>
      <c r="BX552" s="1115"/>
      <c r="BY552" s="1076"/>
      <c r="BZ552" s="1076"/>
      <c r="CA552" s="1076"/>
      <c r="CB552" s="1116"/>
      <c r="CC552" s="1117"/>
      <c r="CD552" s="1376"/>
      <c r="CE552" s="1377"/>
      <c r="CF552" s="1377"/>
      <c r="CG552" s="1377"/>
      <c r="CH552" s="1440"/>
      <c r="CI552" s="1420"/>
      <c r="CJ552" s="1368"/>
      <c r="CK552" s="1368"/>
      <c r="CL552" s="1368"/>
      <c r="CM552" s="1369"/>
      <c r="CN552" s="1420"/>
      <c r="CO552" s="1368"/>
      <c r="CP552" s="1368"/>
      <c r="CQ552" s="1368"/>
      <c r="CR552" s="1369"/>
      <c r="CS552" s="1420"/>
      <c r="CT552" s="1368"/>
      <c r="CU552" s="1368"/>
      <c r="CV552" s="1368"/>
      <c r="CW552" s="1369"/>
      <c r="CX552" s="1420"/>
      <c r="CY552" s="1368"/>
      <c r="CZ552" s="1368"/>
      <c r="DA552" s="1368"/>
      <c r="DB552" s="1369"/>
      <c r="DC552" s="1368"/>
      <c r="DD552" s="1368"/>
      <c r="DE552" s="1368"/>
      <c r="DF552" s="1368"/>
      <c r="DG552" s="1369"/>
      <c r="DH552" s="1420"/>
      <c r="DI552" s="1368"/>
      <c r="DJ552" s="1368"/>
      <c r="DK552" s="1368"/>
      <c r="DL552" s="1369"/>
      <c r="DM552" s="1808"/>
      <c r="DN552" s="1809"/>
      <c r="DO552" s="1809"/>
      <c r="DP552" s="1810"/>
      <c r="DQ552" s="1809"/>
      <c r="DR552" s="1809"/>
      <c r="DS552" s="1809"/>
      <c r="DT552" s="1810"/>
      <c r="DU552" s="1377"/>
      <c r="DV552" s="1729"/>
      <c r="DW552" s="1811"/>
    </row>
    <row r="553" spans="1:127" s="397" customFormat="1" ht="15.75" hidden="1" customHeight="1">
      <c r="A553" s="1097" t="s">
        <v>1024</v>
      </c>
      <c r="B553" s="1057">
        <v>544</v>
      </c>
      <c r="C553" s="1018"/>
      <c r="D553" s="1018"/>
      <c r="E553" s="1018"/>
      <c r="F553" s="1018"/>
      <c r="G553" s="1018"/>
      <c r="H553" s="1018"/>
      <c r="I553" s="1018"/>
      <c r="J553" s="1018"/>
      <c r="K553" s="1018"/>
      <c r="L553" s="1018"/>
      <c r="M553" s="1057"/>
      <c r="N553" s="1018"/>
      <c r="O553" s="1018"/>
      <c r="P553" s="1018"/>
      <c r="Q553" s="1018"/>
      <c r="R553" s="1018"/>
      <c r="S553" s="1018"/>
      <c r="T553" s="1019"/>
      <c r="U553" s="1098" t="s">
        <v>4252</v>
      </c>
      <c r="V553" s="1099" t="s">
        <v>4253</v>
      </c>
      <c r="W553" s="1099" t="s">
        <v>1907</v>
      </c>
      <c r="X553" s="1100" t="s">
        <v>4254</v>
      </c>
      <c r="Y553" s="1101" t="s">
        <v>1931</v>
      </c>
      <c r="Z553" s="1102" t="s">
        <v>4255</v>
      </c>
      <c r="AA553" s="1103" t="s">
        <v>1942</v>
      </c>
      <c r="AB553" s="1104" t="s">
        <v>1942</v>
      </c>
      <c r="AC553" s="1104" t="s">
        <v>1942</v>
      </c>
      <c r="AD553" s="1104" t="s">
        <v>1942</v>
      </c>
      <c r="AE553" s="1104">
        <v>1</v>
      </c>
      <c r="AF553" s="1104" t="s">
        <v>1942</v>
      </c>
      <c r="AG553" s="1104" t="s">
        <v>1942</v>
      </c>
      <c r="AH553" s="1104" t="s">
        <v>1942</v>
      </c>
      <c r="AI553" s="1105">
        <f t="shared" si="8"/>
        <v>1</v>
      </c>
      <c r="AJ553" s="1106" t="s">
        <v>1030</v>
      </c>
      <c r="AK553" s="1106" t="s">
        <v>1008</v>
      </c>
      <c r="AL553" s="1106" t="s">
        <v>1009</v>
      </c>
      <c r="AM553" s="1107" t="s">
        <v>1069</v>
      </c>
      <c r="AN553" s="1018" t="s">
        <v>1081</v>
      </c>
      <c r="AO553" s="1018" t="s">
        <v>2038</v>
      </c>
      <c r="AP553" s="1274">
        <v>2</v>
      </c>
      <c r="AQ553" s="1076" t="s">
        <v>1010</v>
      </c>
      <c r="AR553" s="1109" t="s">
        <v>1931</v>
      </c>
      <c r="AS553" s="1110"/>
      <c r="AT553" s="1100"/>
      <c r="AU553" s="1100"/>
      <c r="AV553" s="1100"/>
      <c r="AW553" s="1111"/>
      <c r="AX553" s="1112"/>
      <c r="AY553" s="1075"/>
      <c r="AZ553" s="1076"/>
      <c r="BA553" s="1076"/>
      <c r="BB553" s="1076"/>
      <c r="BC553" s="1076"/>
      <c r="BD553" s="1076"/>
      <c r="BE553" s="1076"/>
      <c r="BF553" s="1076"/>
      <c r="BG553" s="1076"/>
      <c r="BH553" s="1076"/>
      <c r="BI553" s="1075" t="s">
        <v>4877</v>
      </c>
      <c r="BJ553" s="1076" t="s">
        <v>4877</v>
      </c>
      <c r="BK553" s="1076" t="s">
        <v>4877</v>
      </c>
      <c r="BL553" s="1076" t="s">
        <v>4877</v>
      </c>
      <c r="BM553" s="1076" t="s">
        <v>4877</v>
      </c>
      <c r="BN553" s="1075"/>
      <c r="BO553" s="1076"/>
      <c r="BP553" s="1076"/>
      <c r="BQ553" s="1076"/>
      <c r="BR553" s="1076"/>
      <c r="BS553" s="1115"/>
      <c r="BT553" s="1076"/>
      <c r="BU553" s="1076"/>
      <c r="BV553" s="1076"/>
      <c r="BW553" s="1116"/>
      <c r="BX553" s="1115"/>
      <c r="BY553" s="1076"/>
      <c r="BZ553" s="1076"/>
      <c r="CA553" s="1076"/>
      <c r="CB553" s="1116"/>
      <c r="CC553" s="1117"/>
      <c r="CD553" s="1118" t="s">
        <v>168</v>
      </c>
      <c r="CE553" s="1119" t="s">
        <v>168</v>
      </c>
      <c r="CF553" s="1119" t="s">
        <v>168</v>
      </c>
      <c r="CG553" s="1119" t="s">
        <v>168</v>
      </c>
      <c r="CH553" s="1120" t="s">
        <v>168</v>
      </c>
      <c r="CI553" s="1075" t="s">
        <v>1942</v>
      </c>
      <c r="CJ553" s="1076" t="s">
        <v>1942</v>
      </c>
      <c r="CK553" s="1076" t="s">
        <v>1942</v>
      </c>
      <c r="CL553" s="1076" t="s">
        <v>1942</v>
      </c>
      <c r="CM553" s="1117" t="s">
        <v>1942</v>
      </c>
      <c r="CN553" s="1075" t="s">
        <v>1942</v>
      </c>
      <c r="CO553" s="1076" t="s">
        <v>1942</v>
      </c>
      <c r="CP553" s="1076" t="s">
        <v>1942</v>
      </c>
      <c r="CQ553" s="1076" t="s">
        <v>1942</v>
      </c>
      <c r="CR553" s="1117" t="s">
        <v>1942</v>
      </c>
      <c r="CS553" s="1075" t="s">
        <v>1942</v>
      </c>
      <c r="CT553" s="1076" t="s">
        <v>1942</v>
      </c>
      <c r="CU553" s="1076" t="s">
        <v>1942</v>
      </c>
      <c r="CV553" s="1076" t="s">
        <v>1942</v>
      </c>
      <c r="CW553" s="1117" t="s">
        <v>1942</v>
      </c>
      <c r="CX553" s="1075" t="s">
        <v>1942</v>
      </c>
      <c r="CY553" s="1076" t="s">
        <v>1942</v>
      </c>
      <c r="CZ553" s="1076" t="s">
        <v>1942</v>
      </c>
      <c r="DA553" s="1076" t="s">
        <v>1942</v>
      </c>
      <c r="DB553" s="1117" t="s">
        <v>1942</v>
      </c>
      <c r="DC553" s="1076" t="s">
        <v>1942</v>
      </c>
      <c r="DD553" s="1076" t="s">
        <v>1942</v>
      </c>
      <c r="DE553" s="1076" t="s">
        <v>1942</v>
      </c>
      <c r="DF553" s="1076" t="s">
        <v>1942</v>
      </c>
      <c r="DG553" s="1117" t="s">
        <v>1942</v>
      </c>
      <c r="DH553" s="1075" t="s">
        <v>1942</v>
      </c>
      <c r="DI553" s="1076" t="s">
        <v>1942</v>
      </c>
      <c r="DJ553" s="1076" t="s">
        <v>1942</v>
      </c>
      <c r="DK553" s="1076" t="s">
        <v>1942</v>
      </c>
      <c r="DL553" s="1117" t="s">
        <v>1942</v>
      </c>
      <c r="DM553" s="1121" t="s">
        <v>1942</v>
      </c>
      <c r="DN553" s="1122" t="s">
        <v>1942</v>
      </c>
      <c r="DO553" s="1122" t="s">
        <v>1942</v>
      </c>
      <c r="DP553" s="1123" t="s">
        <v>1942</v>
      </c>
      <c r="DQ553" s="1122" t="s">
        <v>1942</v>
      </c>
      <c r="DR553" s="1122" t="s">
        <v>1942</v>
      </c>
      <c r="DS553" s="1122" t="s">
        <v>1942</v>
      </c>
      <c r="DT553" s="1123" t="s">
        <v>1942</v>
      </c>
      <c r="DU553" s="1119" t="s">
        <v>1942</v>
      </c>
      <c r="DV553" s="1124">
        <v>1</v>
      </c>
      <c r="DW553" s="1125" t="s">
        <v>1942</v>
      </c>
    </row>
    <row r="554" spans="1:127" s="397" customFormat="1" ht="15.75" hidden="1" customHeight="1">
      <c r="A554" s="1097" t="s">
        <v>1024</v>
      </c>
      <c r="B554" s="1057">
        <v>545</v>
      </c>
      <c r="C554" s="1018"/>
      <c r="D554" s="1018"/>
      <c r="E554" s="1018"/>
      <c r="F554" s="1018"/>
      <c r="G554" s="1018"/>
      <c r="H554" s="1018"/>
      <c r="I554" s="1018"/>
      <c r="J554" s="1018"/>
      <c r="K554" s="1018"/>
      <c r="L554" s="1018"/>
      <c r="M554" s="1057"/>
      <c r="N554" s="1018"/>
      <c r="O554" s="1018"/>
      <c r="P554" s="1018"/>
      <c r="Q554" s="1018"/>
      <c r="R554" s="1018"/>
      <c r="S554" s="1018"/>
      <c r="T554" s="1019"/>
      <c r="U554" s="1098" t="s">
        <v>4256</v>
      </c>
      <c r="V554" s="1099" t="s">
        <v>4253</v>
      </c>
      <c r="W554" s="1099" t="s">
        <v>1907</v>
      </c>
      <c r="X554" s="1100" t="s">
        <v>4257</v>
      </c>
      <c r="Y554" s="1101" t="s">
        <v>1935</v>
      </c>
      <c r="Z554" s="1102" t="s">
        <v>4258</v>
      </c>
      <c r="AA554" s="1103" t="s">
        <v>1942</v>
      </c>
      <c r="AB554" s="1104">
        <v>0.6</v>
      </c>
      <c r="AC554" s="1104">
        <v>0.4</v>
      </c>
      <c r="AD554" s="1104" t="s">
        <v>1942</v>
      </c>
      <c r="AE554" s="1104" t="s">
        <v>1942</v>
      </c>
      <c r="AF554" s="1104" t="s">
        <v>1942</v>
      </c>
      <c r="AG554" s="1104" t="s">
        <v>1942</v>
      </c>
      <c r="AH554" s="1104" t="s">
        <v>1942</v>
      </c>
      <c r="AI554" s="1105">
        <f t="shared" si="8"/>
        <v>1</v>
      </c>
      <c r="AJ554" s="1106" t="s">
        <v>1030</v>
      </c>
      <c r="AK554" s="1106" t="s">
        <v>1008</v>
      </c>
      <c r="AL554" s="1106" t="s">
        <v>1009</v>
      </c>
      <c r="AM554" s="1107" t="s">
        <v>1073</v>
      </c>
      <c r="AN554" s="1018" t="s">
        <v>1081</v>
      </c>
      <c r="AO554" s="1018" t="s">
        <v>427</v>
      </c>
      <c r="AP554" s="1274">
        <v>2</v>
      </c>
      <c r="AQ554" s="1076" t="s">
        <v>1010</v>
      </c>
      <c r="AR554" s="1109" t="s">
        <v>1935</v>
      </c>
      <c r="AS554" s="1110"/>
      <c r="AT554" s="1100"/>
      <c r="AU554" s="1100"/>
      <c r="AV554" s="1100"/>
      <c r="AW554" s="1111"/>
      <c r="AX554" s="1112"/>
      <c r="AY554" s="1075"/>
      <c r="AZ554" s="1076"/>
      <c r="BA554" s="1076"/>
      <c r="BB554" s="1076"/>
      <c r="BC554" s="1076"/>
      <c r="BD554" s="1076"/>
      <c r="BE554" s="1076"/>
      <c r="BF554" s="1076"/>
      <c r="BG554" s="1076"/>
      <c r="BH554" s="1076"/>
      <c r="BI554" s="1075" t="s">
        <v>4877</v>
      </c>
      <c r="BJ554" s="1076" t="s">
        <v>4877</v>
      </c>
      <c r="BK554" s="1076" t="s">
        <v>4877</v>
      </c>
      <c r="BL554" s="1076" t="s">
        <v>4877</v>
      </c>
      <c r="BM554" s="1076" t="s">
        <v>4877</v>
      </c>
      <c r="BN554" s="1075"/>
      <c r="BO554" s="1076"/>
      <c r="BP554" s="1076"/>
      <c r="BQ554" s="1076"/>
      <c r="BR554" s="1076"/>
      <c r="BS554" s="1115"/>
      <c r="BT554" s="1076"/>
      <c r="BU554" s="1076"/>
      <c r="BV554" s="1076"/>
      <c r="BW554" s="1116"/>
      <c r="BX554" s="1115"/>
      <c r="BY554" s="1076"/>
      <c r="BZ554" s="1076"/>
      <c r="CA554" s="1076"/>
      <c r="CB554" s="1116"/>
      <c r="CC554" s="1117"/>
      <c r="CD554" s="1118" t="s">
        <v>168</v>
      </c>
      <c r="CE554" s="1119" t="s">
        <v>168</v>
      </c>
      <c r="CF554" s="1119" t="s">
        <v>168</v>
      </c>
      <c r="CG554" s="1119" t="s">
        <v>168</v>
      </c>
      <c r="CH554" s="1120" t="s">
        <v>168</v>
      </c>
      <c r="CI554" s="1075" t="s">
        <v>1942</v>
      </c>
      <c r="CJ554" s="1076" t="s">
        <v>1942</v>
      </c>
      <c r="CK554" s="1076" t="s">
        <v>1942</v>
      </c>
      <c r="CL554" s="1076" t="s">
        <v>1942</v>
      </c>
      <c r="CM554" s="1117" t="s">
        <v>1942</v>
      </c>
      <c r="CN554" s="1075" t="s">
        <v>1942</v>
      </c>
      <c r="CO554" s="1076" t="s">
        <v>1942</v>
      </c>
      <c r="CP554" s="1076" t="s">
        <v>1942</v>
      </c>
      <c r="CQ554" s="1076" t="s">
        <v>1942</v>
      </c>
      <c r="CR554" s="1117" t="s">
        <v>1942</v>
      </c>
      <c r="CS554" s="1075" t="s">
        <v>1942</v>
      </c>
      <c r="CT554" s="1076" t="s">
        <v>1942</v>
      </c>
      <c r="CU554" s="1076" t="s">
        <v>1942</v>
      </c>
      <c r="CV554" s="1076" t="s">
        <v>1942</v>
      </c>
      <c r="CW554" s="1117" t="s">
        <v>1942</v>
      </c>
      <c r="CX554" s="1075" t="s">
        <v>1942</v>
      </c>
      <c r="CY554" s="1076" t="s">
        <v>1942</v>
      </c>
      <c r="CZ554" s="1076" t="s">
        <v>1942</v>
      </c>
      <c r="DA554" s="1076" t="s">
        <v>1942</v>
      </c>
      <c r="DB554" s="1117" t="s">
        <v>1942</v>
      </c>
      <c r="DC554" s="1076" t="s">
        <v>1942</v>
      </c>
      <c r="DD554" s="1076" t="s">
        <v>1942</v>
      </c>
      <c r="DE554" s="1076" t="s">
        <v>1942</v>
      </c>
      <c r="DF554" s="1076" t="s">
        <v>1942</v>
      </c>
      <c r="DG554" s="1117" t="s">
        <v>1942</v>
      </c>
      <c r="DH554" s="1075" t="s">
        <v>1942</v>
      </c>
      <c r="DI554" s="1076" t="s">
        <v>1942</v>
      </c>
      <c r="DJ554" s="1076" t="s">
        <v>1942</v>
      </c>
      <c r="DK554" s="1076" t="s">
        <v>1942</v>
      </c>
      <c r="DL554" s="1117" t="s">
        <v>1942</v>
      </c>
      <c r="DM554" s="1121" t="s">
        <v>1942</v>
      </c>
      <c r="DN554" s="1122" t="s">
        <v>1942</v>
      </c>
      <c r="DO554" s="1122" t="s">
        <v>1942</v>
      </c>
      <c r="DP554" s="1123" t="s">
        <v>1942</v>
      </c>
      <c r="DQ554" s="1122" t="s">
        <v>1942</v>
      </c>
      <c r="DR554" s="1122" t="s">
        <v>1942</v>
      </c>
      <c r="DS554" s="1122" t="s">
        <v>1942</v>
      </c>
      <c r="DT554" s="1123" t="s">
        <v>1942</v>
      </c>
      <c r="DU554" s="1119" t="s">
        <v>1942</v>
      </c>
      <c r="DV554" s="1124">
        <v>1</v>
      </c>
      <c r="DW554" s="1125" t="s">
        <v>1942</v>
      </c>
    </row>
    <row r="555" spans="1:127" s="397" customFormat="1" ht="15.75" hidden="1" customHeight="1">
      <c r="A555" s="1097" t="s">
        <v>1024</v>
      </c>
      <c r="B555" s="1057">
        <v>546</v>
      </c>
      <c r="C555" s="1018"/>
      <c r="D555" s="1018"/>
      <c r="E555" s="1018"/>
      <c r="F555" s="1018"/>
      <c r="G555" s="1018"/>
      <c r="H555" s="1018"/>
      <c r="I555" s="1018"/>
      <c r="J555" s="1018"/>
      <c r="K555" s="1018"/>
      <c r="L555" s="1018"/>
      <c r="M555" s="1057"/>
      <c r="N555" s="1018"/>
      <c r="O555" s="1018"/>
      <c r="P555" s="1018"/>
      <c r="Q555" s="1018"/>
      <c r="R555" s="1018"/>
      <c r="S555" s="1018"/>
      <c r="T555" s="1019"/>
      <c r="U555" s="1098" t="s">
        <v>4259</v>
      </c>
      <c r="V555" s="1099" t="s">
        <v>4253</v>
      </c>
      <c r="W555" s="1099" t="s">
        <v>1889</v>
      </c>
      <c r="X555" s="1100" t="s">
        <v>4260</v>
      </c>
      <c r="Y555" s="1101" t="s">
        <v>2182</v>
      </c>
      <c r="Z555" s="1102" t="s">
        <v>4261</v>
      </c>
      <c r="AA555" s="1103">
        <v>4.3999999999999997E-2</v>
      </c>
      <c r="AB555" s="1104">
        <v>0.34200000000000003</v>
      </c>
      <c r="AC555" s="1104">
        <v>0.48399999999999999</v>
      </c>
      <c r="AD555" s="1104">
        <v>4.4999999999999998E-2</v>
      </c>
      <c r="AE555" s="1104">
        <v>8.5000000000000006E-2</v>
      </c>
      <c r="AF555" s="1104" t="s">
        <v>1942</v>
      </c>
      <c r="AG555" s="1104" t="s">
        <v>1942</v>
      </c>
      <c r="AH555" s="1104" t="s">
        <v>1942</v>
      </c>
      <c r="AI555" s="1105">
        <f t="shared" si="8"/>
        <v>1</v>
      </c>
      <c r="AJ555" s="1106" t="s">
        <v>1007</v>
      </c>
      <c r="AK555" s="1106" t="s">
        <v>1942</v>
      </c>
      <c r="AL555" s="1106" t="s">
        <v>1942</v>
      </c>
      <c r="AM555" s="1107" t="s">
        <v>1947</v>
      </c>
      <c r="AN555" s="1018" t="s">
        <v>1081</v>
      </c>
      <c r="AO555" s="1018" t="s">
        <v>2030</v>
      </c>
      <c r="AP555" s="1274">
        <v>2</v>
      </c>
      <c r="AQ555" s="1076" t="s">
        <v>1010</v>
      </c>
      <c r="AR555" s="1109" t="s">
        <v>1942</v>
      </c>
      <c r="AS555" s="1110"/>
      <c r="AT555" s="1100"/>
      <c r="AU555" s="1100"/>
      <c r="AV555" s="1100"/>
      <c r="AW555" s="1111"/>
      <c r="AX555" s="1112"/>
      <c r="AY555" s="1075"/>
      <c r="AZ555" s="1076"/>
      <c r="BA555" s="1076"/>
      <c r="BB555" s="1076"/>
      <c r="BC555" s="1076"/>
      <c r="BD555" s="1076"/>
      <c r="BE555" s="1076"/>
      <c r="BF555" s="1076"/>
      <c r="BG555" s="1076"/>
      <c r="BH555" s="1076"/>
      <c r="BI555" s="1420"/>
      <c r="BJ555" s="1368"/>
      <c r="BK555" s="1368"/>
      <c r="BL555" s="1368"/>
      <c r="BM555" s="1368"/>
      <c r="BN555" s="1075"/>
      <c r="BO555" s="1076"/>
      <c r="BP555" s="1076"/>
      <c r="BQ555" s="1076"/>
      <c r="BR555" s="1076"/>
      <c r="BS555" s="1115"/>
      <c r="BT555" s="1076"/>
      <c r="BU555" s="1076"/>
      <c r="BV555" s="1076"/>
      <c r="BW555" s="1116"/>
      <c r="BX555" s="1115"/>
      <c r="BY555" s="1076"/>
      <c r="BZ555" s="1076"/>
      <c r="CA555" s="1076"/>
      <c r="CB555" s="1116"/>
      <c r="CC555" s="1117"/>
      <c r="CD555" s="1376"/>
      <c r="CE555" s="1377"/>
      <c r="CF555" s="1377"/>
      <c r="CG555" s="1377"/>
      <c r="CH555" s="1440"/>
      <c r="CI555" s="1420"/>
      <c r="CJ555" s="1368"/>
      <c r="CK555" s="1368"/>
      <c r="CL555" s="1368"/>
      <c r="CM555" s="1369"/>
      <c r="CN555" s="1420"/>
      <c r="CO555" s="1368"/>
      <c r="CP555" s="1368"/>
      <c r="CQ555" s="1368"/>
      <c r="CR555" s="1369"/>
      <c r="CS555" s="1420"/>
      <c r="CT555" s="1368"/>
      <c r="CU555" s="1368"/>
      <c r="CV555" s="1368"/>
      <c r="CW555" s="1369"/>
      <c r="CX555" s="1420"/>
      <c r="CY555" s="1368"/>
      <c r="CZ555" s="1368"/>
      <c r="DA555" s="1368"/>
      <c r="DB555" s="1369"/>
      <c r="DC555" s="1368"/>
      <c r="DD555" s="1368"/>
      <c r="DE555" s="1368"/>
      <c r="DF555" s="1368"/>
      <c r="DG555" s="1369"/>
      <c r="DH555" s="1420"/>
      <c r="DI555" s="1368"/>
      <c r="DJ555" s="1368"/>
      <c r="DK555" s="1368"/>
      <c r="DL555" s="1369"/>
      <c r="DM555" s="1808"/>
      <c r="DN555" s="1809"/>
      <c r="DO555" s="1809"/>
      <c r="DP555" s="1810"/>
      <c r="DQ555" s="1809"/>
      <c r="DR555" s="1809"/>
      <c r="DS555" s="1809"/>
      <c r="DT555" s="1810"/>
      <c r="DU555" s="1377"/>
      <c r="DV555" s="1729"/>
      <c r="DW555" s="1811"/>
    </row>
    <row r="556" spans="1:127" s="397" customFormat="1" ht="15.75" hidden="1" customHeight="1">
      <c r="A556" s="1097" t="s">
        <v>1024</v>
      </c>
      <c r="B556" s="1057">
        <v>547</v>
      </c>
      <c r="C556" s="1018"/>
      <c r="D556" s="1018"/>
      <c r="E556" s="1018"/>
      <c r="F556" s="1018"/>
      <c r="G556" s="1018"/>
      <c r="H556" s="1018"/>
      <c r="I556" s="1018"/>
      <c r="J556" s="1018"/>
      <c r="K556" s="1018"/>
      <c r="L556" s="1018"/>
      <c r="M556" s="1057"/>
      <c r="N556" s="1018"/>
      <c r="O556" s="1018"/>
      <c r="P556" s="1018"/>
      <c r="Q556" s="1018"/>
      <c r="R556" s="1018"/>
      <c r="S556" s="1018"/>
      <c r="T556" s="1019"/>
      <c r="U556" s="1098" t="s">
        <v>4262</v>
      </c>
      <c r="V556" s="1099" t="s">
        <v>4253</v>
      </c>
      <c r="W556" s="1099" t="s">
        <v>1889</v>
      </c>
      <c r="X556" s="1100" t="s">
        <v>4263</v>
      </c>
      <c r="Y556" s="1101" t="s">
        <v>4264</v>
      </c>
      <c r="Z556" s="1102" t="s">
        <v>4265</v>
      </c>
      <c r="AA556" s="1103" t="s">
        <v>1942</v>
      </c>
      <c r="AB556" s="1104" t="s">
        <v>1942</v>
      </c>
      <c r="AC556" s="1104" t="s">
        <v>1942</v>
      </c>
      <c r="AD556" s="1104" t="s">
        <v>1942</v>
      </c>
      <c r="AE556" s="1104" t="s">
        <v>1942</v>
      </c>
      <c r="AF556" s="1104">
        <v>1</v>
      </c>
      <c r="AG556" s="1104" t="s">
        <v>1942</v>
      </c>
      <c r="AH556" s="1104" t="s">
        <v>1942</v>
      </c>
      <c r="AI556" s="1105">
        <f t="shared" si="8"/>
        <v>1</v>
      </c>
      <c r="AJ556" s="1106" t="s">
        <v>1030</v>
      </c>
      <c r="AK556" s="1106" t="s">
        <v>1008</v>
      </c>
      <c r="AL556" s="1106" t="s">
        <v>1009</v>
      </c>
      <c r="AM556" s="1107" t="s">
        <v>1947</v>
      </c>
      <c r="AN556" s="1018" t="s">
        <v>1081</v>
      </c>
      <c r="AO556" s="1018" t="s">
        <v>4266</v>
      </c>
      <c r="AP556" s="1274">
        <v>1</v>
      </c>
      <c r="AQ556" s="1076" t="s">
        <v>1010</v>
      </c>
      <c r="AR556" s="1109" t="s">
        <v>1942</v>
      </c>
      <c r="AS556" s="1110"/>
      <c r="AT556" s="1100"/>
      <c r="AU556" s="1100"/>
      <c r="AV556" s="1100"/>
      <c r="AW556" s="1111"/>
      <c r="AX556" s="1112"/>
      <c r="AY556" s="1075"/>
      <c r="AZ556" s="1076"/>
      <c r="BA556" s="1076"/>
      <c r="BB556" s="1076"/>
      <c r="BC556" s="1076"/>
      <c r="BD556" s="1076"/>
      <c r="BE556" s="1076"/>
      <c r="BF556" s="1076"/>
      <c r="BG556" s="1076"/>
      <c r="BH556" s="1076"/>
      <c r="BI556" s="1420"/>
      <c r="BJ556" s="1368"/>
      <c r="BK556" s="1368"/>
      <c r="BL556" s="1368"/>
      <c r="BM556" s="1368"/>
      <c r="BN556" s="1075"/>
      <c r="BO556" s="1076"/>
      <c r="BP556" s="1076"/>
      <c r="BQ556" s="1076"/>
      <c r="BR556" s="1076"/>
      <c r="BS556" s="1115"/>
      <c r="BT556" s="1076"/>
      <c r="BU556" s="1076"/>
      <c r="BV556" s="1076"/>
      <c r="BW556" s="1116"/>
      <c r="BX556" s="1115"/>
      <c r="BY556" s="1076"/>
      <c r="BZ556" s="1076"/>
      <c r="CA556" s="1076"/>
      <c r="CB556" s="1116"/>
      <c r="CC556" s="1117"/>
      <c r="CD556" s="1376"/>
      <c r="CE556" s="1377"/>
      <c r="CF556" s="1377"/>
      <c r="CG556" s="1377"/>
      <c r="CH556" s="1440"/>
      <c r="CI556" s="1420"/>
      <c r="CJ556" s="1368"/>
      <c r="CK556" s="1368"/>
      <c r="CL556" s="1368"/>
      <c r="CM556" s="1369"/>
      <c r="CN556" s="1420"/>
      <c r="CO556" s="1368"/>
      <c r="CP556" s="1368"/>
      <c r="CQ556" s="1368"/>
      <c r="CR556" s="1369"/>
      <c r="CS556" s="1420"/>
      <c r="CT556" s="1368"/>
      <c r="CU556" s="1368"/>
      <c r="CV556" s="1368"/>
      <c r="CW556" s="1369"/>
      <c r="CX556" s="1420"/>
      <c r="CY556" s="1368"/>
      <c r="CZ556" s="1368"/>
      <c r="DA556" s="1368"/>
      <c r="DB556" s="1369"/>
      <c r="DC556" s="1368"/>
      <c r="DD556" s="1368"/>
      <c r="DE556" s="1368"/>
      <c r="DF556" s="1368"/>
      <c r="DG556" s="1369"/>
      <c r="DH556" s="1420"/>
      <c r="DI556" s="1368"/>
      <c r="DJ556" s="1368"/>
      <c r="DK556" s="1368"/>
      <c r="DL556" s="1369"/>
      <c r="DM556" s="1808"/>
      <c r="DN556" s="1809"/>
      <c r="DO556" s="1809"/>
      <c r="DP556" s="1810"/>
      <c r="DQ556" s="1809"/>
      <c r="DR556" s="1809"/>
      <c r="DS556" s="1809"/>
      <c r="DT556" s="1810"/>
      <c r="DU556" s="1377"/>
      <c r="DV556" s="1729"/>
      <c r="DW556" s="1811"/>
    </row>
    <row r="557" spans="1:127" s="397" customFormat="1" ht="15.75" hidden="1" customHeight="1">
      <c r="A557" s="1097" t="s">
        <v>1024</v>
      </c>
      <c r="B557" s="1057">
        <v>548</v>
      </c>
      <c r="C557" s="1018"/>
      <c r="D557" s="1018"/>
      <c r="E557" s="1018"/>
      <c r="F557" s="1018"/>
      <c r="G557" s="1018"/>
      <c r="H557" s="1018"/>
      <c r="I557" s="1018"/>
      <c r="J557" s="1018"/>
      <c r="K557" s="1018"/>
      <c r="L557" s="1018"/>
      <c r="M557" s="1057"/>
      <c r="N557" s="1018"/>
      <c r="O557" s="1018"/>
      <c r="P557" s="1018"/>
      <c r="Q557" s="1018"/>
      <c r="R557" s="1018"/>
      <c r="S557" s="1018"/>
      <c r="T557" s="1019"/>
      <c r="U557" s="1098" t="s">
        <v>4267</v>
      </c>
      <c r="V557" s="1099" t="s">
        <v>1942</v>
      </c>
      <c r="W557" s="1099" t="s">
        <v>1942</v>
      </c>
      <c r="X557" s="1100" t="s">
        <v>4268</v>
      </c>
      <c r="Y557" s="1101" t="s">
        <v>703</v>
      </c>
      <c r="Z557" s="1102" t="s">
        <v>1942</v>
      </c>
      <c r="AA557" s="1103" t="s">
        <v>1942</v>
      </c>
      <c r="AB557" s="1104" t="s">
        <v>1942</v>
      </c>
      <c r="AC557" s="1104" t="s">
        <v>1942</v>
      </c>
      <c r="AD557" s="1104" t="s">
        <v>1942</v>
      </c>
      <c r="AE557" s="1104" t="s">
        <v>1942</v>
      </c>
      <c r="AF557" s="1104" t="s">
        <v>1942</v>
      </c>
      <c r="AG557" s="1104" t="s">
        <v>1942</v>
      </c>
      <c r="AH557" s="1104" t="s">
        <v>1942</v>
      </c>
      <c r="AI557" s="1105">
        <f t="shared" si="8"/>
        <v>0</v>
      </c>
      <c r="AJ557" s="1106" t="s">
        <v>1007</v>
      </c>
      <c r="AK557" s="1106" t="s">
        <v>1942</v>
      </c>
      <c r="AL557" s="1106" t="s">
        <v>1942</v>
      </c>
      <c r="AM557" s="1107" t="s">
        <v>1942</v>
      </c>
      <c r="AN557" s="1018" t="s">
        <v>278</v>
      </c>
      <c r="AO557" s="1018" t="s">
        <v>4799</v>
      </c>
      <c r="AP557" s="1307">
        <v>1</v>
      </c>
      <c r="AQ557" s="1076" t="s">
        <v>1942</v>
      </c>
      <c r="AR557" s="1109" t="s">
        <v>703</v>
      </c>
      <c r="AS557" s="1110"/>
      <c r="AT557" s="1100"/>
      <c r="AU557" s="1100"/>
      <c r="AV557" s="1100"/>
      <c r="AW557" s="1111"/>
      <c r="AX557" s="1112"/>
      <c r="AY557" s="1075"/>
      <c r="AZ557" s="1076"/>
      <c r="BA557" s="1076"/>
      <c r="BB557" s="1076"/>
      <c r="BC557" s="1076"/>
      <c r="BD557" s="1076"/>
      <c r="BE557" s="1076"/>
      <c r="BF557" s="1076"/>
      <c r="BG557" s="1076"/>
      <c r="BH557" s="1076"/>
      <c r="BI557" s="1075" t="s">
        <v>4878</v>
      </c>
      <c r="BJ557" s="1076" t="s">
        <v>4845</v>
      </c>
      <c r="BK557" s="1076" t="s">
        <v>4803</v>
      </c>
      <c r="BL557" s="1076" t="s">
        <v>4873</v>
      </c>
      <c r="BM557" s="1076" t="s">
        <v>4822</v>
      </c>
      <c r="BN557" s="1075"/>
      <c r="BO557" s="1076"/>
      <c r="BP557" s="1076"/>
      <c r="BQ557" s="1076"/>
      <c r="BR557" s="1076"/>
      <c r="BS557" s="1115"/>
      <c r="BT557" s="1076"/>
      <c r="BU557" s="1076"/>
      <c r="BV557" s="1076"/>
      <c r="BW557" s="1116"/>
      <c r="BX557" s="1115"/>
      <c r="BY557" s="1076"/>
      <c r="BZ557" s="1076"/>
      <c r="CA557" s="1076"/>
      <c r="CB557" s="1116"/>
      <c r="CC557" s="1117"/>
      <c r="CD557" s="1118" t="s">
        <v>1942</v>
      </c>
      <c r="CE557" s="1119" t="s">
        <v>1942</v>
      </c>
      <c r="CF557" s="1119" t="s">
        <v>1942</v>
      </c>
      <c r="CG557" s="1119" t="s">
        <v>1942</v>
      </c>
      <c r="CH557" s="1120" t="s">
        <v>1942</v>
      </c>
      <c r="CI557" s="1075" t="s">
        <v>1942</v>
      </c>
      <c r="CJ557" s="1076" t="s">
        <v>1942</v>
      </c>
      <c r="CK557" s="1076" t="s">
        <v>1942</v>
      </c>
      <c r="CL557" s="1076" t="s">
        <v>1942</v>
      </c>
      <c r="CM557" s="1117" t="s">
        <v>1942</v>
      </c>
      <c r="CN557" s="1075" t="s">
        <v>1942</v>
      </c>
      <c r="CO557" s="1076" t="s">
        <v>1942</v>
      </c>
      <c r="CP557" s="1076" t="s">
        <v>1942</v>
      </c>
      <c r="CQ557" s="1076" t="s">
        <v>1942</v>
      </c>
      <c r="CR557" s="1117" t="s">
        <v>1942</v>
      </c>
      <c r="CS557" s="1075" t="s">
        <v>1942</v>
      </c>
      <c r="CT557" s="1076" t="s">
        <v>1942</v>
      </c>
      <c r="CU557" s="1076" t="s">
        <v>1942</v>
      </c>
      <c r="CV557" s="1076" t="s">
        <v>1942</v>
      </c>
      <c r="CW557" s="1117" t="s">
        <v>1942</v>
      </c>
      <c r="CX557" s="1075" t="s">
        <v>1942</v>
      </c>
      <c r="CY557" s="1076" t="s">
        <v>1942</v>
      </c>
      <c r="CZ557" s="1076" t="s">
        <v>1942</v>
      </c>
      <c r="DA557" s="1076" t="s">
        <v>1942</v>
      </c>
      <c r="DB557" s="1117" t="s">
        <v>1942</v>
      </c>
      <c r="DC557" s="1076" t="s">
        <v>1942</v>
      </c>
      <c r="DD557" s="1076" t="s">
        <v>1942</v>
      </c>
      <c r="DE557" s="1076" t="s">
        <v>1942</v>
      </c>
      <c r="DF557" s="1076" t="s">
        <v>1942</v>
      </c>
      <c r="DG557" s="1117" t="s">
        <v>1942</v>
      </c>
      <c r="DH557" s="1075" t="s">
        <v>1942</v>
      </c>
      <c r="DI557" s="1076" t="s">
        <v>1942</v>
      </c>
      <c r="DJ557" s="1076" t="s">
        <v>1942</v>
      </c>
      <c r="DK557" s="1076" t="s">
        <v>1942</v>
      </c>
      <c r="DL557" s="1117" t="s">
        <v>1942</v>
      </c>
      <c r="DM557" s="1121" t="s">
        <v>1942</v>
      </c>
      <c r="DN557" s="1122" t="s">
        <v>1942</v>
      </c>
      <c r="DO557" s="1122" t="s">
        <v>1942</v>
      </c>
      <c r="DP557" s="1123" t="s">
        <v>1942</v>
      </c>
      <c r="DQ557" s="1122" t="s">
        <v>1942</v>
      </c>
      <c r="DR557" s="1122" t="s">
        <v>1942</v>
      </c>
      <c r="DS557" s="1122" t="s">
        <v>1942</v>
      </c>
      <c r="DT557" s="1123" t="s">
        <v>1942</v>
      </c>
      <c r="DU557" s="1119" t="s">
        <v>1942</v>
      </c>
      <c r="DV557" s="1124">
        <v>1</v>
      </c>
      <c r="DW557" s="1125" t="s">
        <v>1942</v>
      </c>
    </row>
    <row r="558" spans="1:127" s="397" customFormat="1" ht="15.75" hidden="1" customHeight="1">
      <c r="A558" s="1097" t="s">
        <v>1024</v>
      </c>
      <c r="B558" s="1057">
        <v>549</v>
      </c>
      <c r="C558" s="1018"/>
      <c r="D558" s="1018"/>
      <c r="E558" s="1018"/>
      <c r="F558" s="1018"/>
      <c r="G558" s="1018"/>
      <c r="H558" s="1018"/>
      <c r="I558" s="1018"/>
      <c r="J558" s="1018"/>
      <c r="K558" s="1018"/>
      <c r="L558" s="1018"/>
      <c r="M558" s="1057"/>
      <c r="N558" s="1018"/>
      <c r="O558" s="1018"/>
      <c r="P558" s="1018"/>
      <c r="Q558" s="1018"/>
      <c r="R558" s="1018"/>
      <c r="S558" s="1018"/>
      <c r="T558" s="1019"/>
      <c r="U558" s="1098" t="s">
        <v>4269</v>
      </c>
      <c r="V558" s="1099" t="s">
        <v>4253</v>
      </c>
      <c r="W558" s="1099" t="s">
        <v>1907</v>
      </c>
      <c r="X558" s="1100" t="s">
        <v>4270</v>
      </c>
      <c r="Y558" s="1101" t="s">
        <v>4271</v>
      </c>
      <c r="Z558" s="1102" t="s">
        <v>4272</v>
      </c>
      <c r="AA558" s="1103" t="s">
        <v>1942</v>
      </c>
      <c r="AB558" s="1104" t="s">
        <v>1942</v>
      </c>
      <c r="AC558" s="1104" t="s">
        <v>1942</v>
      </c>
      <c r="AD558" s="1104" t="s">
        <v>1942</v>
      </c>
      <c r="AE558" s="1104">
        <v>1</v>
      </c>
      <c r="AF558" s="1104" t="s">
        <v>1942</v>
      </c>
      <c r="AG558" s="1104" t="s">
        <v>1942</v>
      </c>
      <c r="AH558" s="1104" t="s">
        <v>1942</v>
      </c>
      <c r="AI558" s="1105">
        <f t="shared" si="8"/>
        <v>1</v>
      </c>
      <c r="AJ558" s="1106" t="s">
        <v>1007</v>
      </c>
      <c r="AK558" s="1106" t="s">
        <v>1942</v>
      </c>
      <c r="AL558" s="1106" t="s">
        <v>1942</v>
      </c>
      <c r="AM558" s="1107" t="s">
        <v>2306</v>
      </c>
      <c r="AN558" s="1018" t="s">
        <v>1033</v>
      </c>
      <c r="AO558" s="1018" t="s">
        <v>1942</v>
      </c>
      <c r="AP558" s="1274">
        <v>0</v>
      </c>
      <c r="AQ558" s="1076" t="s">
        <v>1010</v>
      </c>
      <c r="AR558" s="1109" t="s">
        <v>1942</v>
      </c>
      <c r="AS558" s="1110"/>
      <c r="AT558" s="1100"/>
      <c r="AU558" s="1100"/>
      <c r="AV558" s="1100"/>
      <c r="AW558" s="1111"/>
      <c r="AX558" s="1112"/>
      <c r="AY558" s="1075"/>
      <c r="AZ558" s="1076"/>
      <c r="BA558" s="1076"/>
      <c r="BB558" s="1076"/>
      <c r="BC558" s="1076"/>
      <c r="BD558" s="1076"/>
      <c r="BE558" s="1076"/>
      <c r="BF558" s="1076"/>
      <c r="BG558" s="1076"/>
      <c r="BH558" s="1076"/>
      <c r="BI558" s="1420"/>
      <c r="BJ558" s="1368"/>
      <c r="BK558" s="1368"/>
      <c r="BL558" s="1368"/>
      <c r="BM558" s="1368"/>
      <c r="BN558" s="1075"/>
      <c r="BO558" s="1076"/>
      <c r="BP558" s="1076"/>
      <c r="BQ558" s="1076"/>
      <c r="BR558" s="1076"/>
      <c r="BS558" s="1115"/>
      <c r="BT558" s="1076"/>
      <c r="BU558" s="1076"/>
      <c r="BV558" s="1076"/>
      <c r="BW558" s="1116"/>
      <c r="BX558" s="1115"/>
      <c r="BY558" s="1076"/>
      <c r="BZ558" s="1076"/>
      <c r="CA558" s="1076"/>
      <c r="CB558" s="1116"/>
      <c r="CC558" s="1117"/>
      <c r="CD558" s="1376"/>
      <c r="CE558" s="1377"/>
      <c r="CF558" s="1377"/>
      <c r="CG558" s="1377"/>
      <c r="CH558" s="1440"/>
      <c r="CI558" s="1420"/>
      <c r="CJ558" s="1368"/>
      <c r="CK558" s="1368"/>
      <c r="CL558" s="1368"/>
      <c r="CM558" s="1369"/>
      <c r="CN558" s="1420"/>
      <c r="CO558" s="1368"/>
      <c r="CP558" s="1368"/>
      <c r="CQ558" s="1368"/>
      <c r="CR558" s="1369"/>
      <c r="CS558" s="1420"/>
      <c r="CT558" s="1368"/>
      <c r="CU558" s="1368"/>
      <c r="CV558" s="1368"/>
      <c r="CW558" s="1369"/>
      <c r="CX558" s="1420"/>
      <c r="CY558" s="1368"/>
      <c r="CZ558" s="1368"/>
      <c r="DA558" s="1368"/>
      <c r="DB558" s="1369"/>
      <c r="DC558" s="1368"/>
      <c r="DD558" s="1368"/>
      <c r="DE558" s="1368"/>
      <c r="DF558" s="1368"/>
      <c r="DG558" s="1369"/>
      <c r="DH558" s="1420"/>
      <c r="DI558" s="1368"/>
      <c r="DJ558" s="1368"/>
      <c r="DK558" s="1368"/>
      <c r="DL558" s="1369"/>
      <c r="DM558" s="1808"/>
      <c r="DN558" s="1809"/>
      <c r="DO558" s="1809"/>
      <c r="DP558" s="1810"/>
      <c r="DQ558" s="1809"/>
      <c r="DR558" s="1809"/>
      <c r="DS558" s="1809"/>
      <c r="DT558" s="1810"/>
      <c r="DU558" s="1377"/>
      <c r="DV558" s="1729"/>
      <c r="DW558" s="1811"/>
    </row>
    <row r="559" spans="1:127" s="397" customFormat="1" ht="15.75" hidden="1" customHeight="1">
      <c r="A559" s="1097" t="s">
        <v>1024</v>
      </c>
      <c r="B559" s="1057">
        <v>550</v>
      </c>
      <c r="C559" s="1018"/>
      <c r="D559" s="1018"/>
      <c r="E559" s="1018"/>
      <c r="F559" s="1018"/>
      <c r="G559" s="1018"/>
      <c r="H559" s="1018"/>
      <c r="I559" s="1018"/>
      <c r="J559" s="1018"/>
      <c r="K559" s="1018"/>
      <c r="L559" s="1018"/>
      <c r="M559" s="1057"/>
      <c r="N559" s="1018"/>
      <c r="O559" s="1018"/>
      <c r="P559" s="1018"/>
      <c r="Q559" s="1018"/>
      <c r="R559" s="1018"/>
      <c r="S559" s="1018"/>
      <c r="T559" s="1019"/>
      <c r="U559" s="1098" t="s">
        <v>4273</v>
      </c>
      <c r="V559" s="1099" t="s">
        <v>4274</v>
      </c>
      <c r="W559" s="1099" t="s">
        <v>1889</v>
      </c>
      <c r="X559" s="1100" t="s">
        <v>4275</v>
      </c>
      <c r="Y559" s="1101" t="s">
        <v>732</v>
      </c>
      <c r="Z559" s="1102" t="s">
        <v>4276</v>
      </c>
      <c r="AA559" s="1103" t="s">
        <v>1942</v>
      </c>
      <c r="AB559" s="1104" t="s">
        <v>1942</v>
      </c>
      <c r="AC559" s="1104">
        <v>1</v>
      </c>
      <c r="AD559" s="1104" t="s">
        <v>1942</v>
      </c>
      <c r="AE559" s="1104" t="s">
        <v>1942</v>
      </c>
      <c r="AF559" s="1104" t="s">
        <v>1942</v>
      </c>
      <c r="AG559" s="1104" t="s">
        <v>1942</v>
      </c>
      <c r="AH559" s="1104" t="s">
        <v>1942</v>
      </c>
      <c r="AI559" s="1105">
        <f t="shared" si="8"/>
        <v>1</v>
      </c>
      <c r="AJ559" s="1106" t="s">
        <v>1030</v>
      </c>
      <c r="AK559" s="1106" t="s">
        <v>1008</v>
      </c>
      <c r="AL559" s="1106" t="s">
        <v>1009</v>
      </c>
      <c r="AM559" s="1107" t="s">
        <v>2058</v>
      </c>
      <c r="AN559" s="1018" t="s">
        <v>2177</v>
      </c>
      <c r="AO559" s="1018" t="s">
        <v>4492</v>
      </c>
      <c r="AP559" s="1307">
        <v>2</v>
      </c>
      <c r="AQ559" s="1076" t="s">
        <v>1020</v>
      </c>
      <c r="AR559" s="1109" t="s">
        <v>732</v>
      </c>
      <c r="AS559" s="1110"/>
      <c r="AT559" s="1100"/>
      <c r="AU559" s="1100"/>
      <c r="AV559" s="1100"/>
      <c r="AW559" s="1111"/>
      <c r="AX559" s="1112"/>
      <c r="AY559" s="1075"/>
      <c r="AZ559" s="1076"/>
      <c r="BA559" s="1076"/>
      <c r="BB559" s="1076"/>
      <c r="BC559" s="1076"/>
      <c r="BD559" s="1076"/>
      <c r="BE559" s="1076"/>
      <c r="BF559" s="1076"/>
      <c r="BG559" s="1126"/>
      <c r="BH559" s="1126"/>
      <c r="BI559" s="1127">
        <v>1.68</v>
      </c>
      <c r="BJ559" s="1126">
        <v>1.63</v>
      </c>
      <c r="BK559" s="1126">
        <v>1.58</v>
      </c>
      <c r="BL559" s="1126">
        <v>1.44</v>
      </c>
      <c r="BM559" s="1126">
        <v>1.34</v>
      </c>
      <c r="BN559" s="1075"/>
      <c r="BO559" s="1076"/>
      <c r="BP559" s="1076"/>
      <c r="BQ559" s="1076"/>
      <c r="BR559" s="1076"/>
      <c r="BS559" s="1115"/>
      <c r="BT559" s="1076"/>
      <c r="BU559" s="1076"/>
      <c r="BV559" s="1076"/>
      <c r="BW559" s="1116"/>
      <c r="BX559" s="1115"/>
      <c r="BY559" s="1076"/>
      <c r="BZ559" s="1076"/>
      <c r="CA559" s="1076"/>
      <c r="CB559" s="1116"/>
      <c r="CC559" s="1117"/>
      <c r="CD559" s="1118" t="s">
        <v>168</v>
      </c>
      <c r="CE559" s="1119" t="s">
        <v>168</v>
      </c>
      <c r="CF559" s="1119" t="s">
        <v>168</v>
      </c>
      <c r="CG559" s="1119" t="s">
        <v>168</v>
      </c>
      <c r="CH559" s="1120" t="s">
        <v>168</v>
      </c>
      <c r="CI559" s="1075" t="s">
        <v>1942</v>
      </c>
      <c r="CJ559" s="1076" t="s">
        <v>1942</v>
      </c>
      <c r="CK559" s="1076" t="s">
        <v>1942</v>
      </c>
      <c r="CL559" s="1076" t="s">
        <v>1942</v>
      </c>
      <c r="CM559" s="1117" t="s">
        <v>1942</v>
      </c>
      <c r="CN559" s="1075">
        <v>3.35</v>
      </c>
      <c r="CO559" s="1076">
        <v>3.35</v>
      </c>
      <c r="CP559" s="1076">
        <v>3.35</v>
      </c>
      <c r="CQ559" s="1076">
        <v>3.35</v>
      </c>
      <c r="CR559" s="1117">
        <v>3.35</v>
      </c>
      <c r="CS559" s="1075" t="s">
        <v>1942</v>
      </c>
      <c r="CT559" s="1076" t="s">
        <v>1942</v>
      </c>
      <c r="CU559" s="1076" t="s">
        <v>1942</v>
      </c>
      <c r="CV559" s="1076" t="s">
        <v>1942</v>
      </c>
      <c r="CW559" s="1117" t="s">
        <v>1942</v>
      </c>
      <c r="CX559" s="1075" t="s">
        <v>1942</v>
      </c>
      <c r="CY559" s="1076" t="s">
        <v>1942</v>
      </c>
      <c r="CZ559" s="1076" t="s">
        <v>1942</v>
      </c>
      <c r="DA559" s="1076" t="s">
        <v>1942</v>
      </c>
      <c r="DB559" s="1117" t="s">
        <v>1942</v>
      </c>
      <c r="DC559" s="1076">
        <v>1.21</v>
      </c>
      <c r="DD559" s="1076">
        <v>1.17</v>
      </c>
      <c r="DE559" s="1076">
        <v>1.1100000000000001</v>
      </c>
      <c r="DF559" s="1076">
        <v>0.95</v>
      </c>
      <c r="DG559" s="1117">
        <v>0.87</v>
      </c>
      <c r="DH559" s="1075" t="s">
        <v>1942</v>
      </c>
      <c r="DI559" s="1076" t="s">
        <v>1942</v>
      </c>
      <c r="DJ559" s="1076" t="s">
        <v>1942</v>
      </c>
      <c r="DK559" s="1076" t="s">
        <v>1942</v>
      </c>
      <c r="DL559" s="1117" t="s">
        <v>1942</v>
      </c>
      <c r="DM559" s="1121">
        <v>-4.2729999999999997</v>
      </c>
      <c r="DN559" s="1122" t="s">
        <v>1942</v>
      </c>
      <c r="DO559" s="1122" t="s">
        <v>1942</v>
      </c>
      <c r="DP559" s="1123" t="s">
        <v>1942</v>
      </c>
      <c r="DQ559" s="1122">
        <v>4.2729999999999997</v>
      </c>
      <c r="DR559" s="1122" t="s">
        <v>1942</v>
      </c>
      <c r="DS559" s="1122" t="s">
        <v>1942</v>
      </c>
      <c r="DT559" s="1123" t="s">
        <v>1942</v>
      </c>
      <c r="DU559" s="1119" t="s">
        <v>1942</v>
      </c>
      <c r="DV559" s="1124">
        <v>1</v>
      </c>
      <c r="DW559" s="1125" t="s">
        <v>1942</v>
      </c>
    </row>
    <row r="560" spans="1:127" s="397" customFormat="1" ht="15.75" hidden="1" customHeight="1">
      <c r="A560" s="1097" t="s">
        <v>1024</v>
      </c>
      <c r="B560" s="1057">
        <v>551</v>
      </c>
      <c r="C560" s="1018"/>
      <c r="D560" s="1018"/>
      <c r="E560" s="1018"/>
      <c r="F560" s="1018"/>
      <c r="G560" s="1018"/>
      <c r="H560" s="1018"/>
      <c r="I560" s="1018"/>
      <c r="J560" s="1018"/>
      <c r="K560" s="1018"/>
      <c r="L560" s="1018"/>
      <c r="M560" s="1057"/>
      <c r="N560" s="1018"/>
      <c r="O560" s="1018"/>
      <c r="P560" s="1018"/>
      <c r="Q560" s="1018"/>
      <c r="R560" s="1018"/>
      <c r="S560" s="1018"/>
      <c r="T560" s="1019"/>
      <c r="U560" s="1098" t="s">
        <v>4277</v>
      </c>
      <c r="V560" s="1099" t="s">
        <v>4274</v>
      </c>
      <c r="W560" s="1099" t="s">
        <v>1907</v>
      </c>
      <c r="X560" s="1100" t="s">
        <v>4278</v>
      </c>
      <c r="Y560" s="1101" t="s">
        <v>4279</v>
      </c>
      <c r="Z560" s="1102" t="s">
        <v>4280</v>
      </c>
      <c r="AA560" s="1103" t="s">
        <v>1942</v>
      </c>
      <c r="AB560" s="1104" t="s">
        <v>1942</v>
      </c>
      <c r="AC560" s="1104">
        <v>1</v>
      </c>
      <c r="AD560" s="1104" t="s">
        <v>1942</v>
      </c>
      <c r="AE560" s="1104" t="s">
        <v>1942</v>
      </c>
      <c r="AF560" s="1104" t="s">
        <v>1942</v>
      </c>
      <c r="AG560" s="1104" t="s">
        <v>1942</v>
      </c>
      <c r="AH560" s="1104" t="s">
        <v>1942</v>
      </c>
      <c r="AI560" s="1105">
        <f t="shared" si="8"/>
        <v>1</v>
      </c>
      <c r="AJ560" s="1106" t="s">
        <v>1030</v>
      </c>
      <c r="AK560" s="1106" t="s">
        <v>1008</v>
      </c>
      <c r="AL560" s="1106" t="s">
        <v>1009</v>
      </c>
      <c r="AM560" s="1107" t="s">
        <v>2058</v>
      </c>
      <c r="AN560" s="1018" t="s">
        <v>2177</v>
      </c>
      <c r="AO560" s="1018" t="s">
        <v>4492</v>
      </c>
      <c r="AP560" s="1307">
        <v>2</v>
      </c>
      <c r="AQ560" s="1076" t="s">
        <v>1020</v>
      </c>
      <c r="AR560" s="1109"/>
      <c r="AS560" s="1110"/>
      <c r="AT560" s="1100"/>
      <c r="AU560" s="1100"/>
      <c r="AV560" s="1100"/>
      <c r="AW560" s="1111"/>
      <c r="AX560" s="1112"/>
      <c r="AY560" s="1075"/>
      <c r="AZ560" s="1076"/>
      <c r="BA560" s="1076"/>
      <c r="BB560" s="1076"/>
      <c r="BC560" s="1076"/>
      <c r="BD560" s="1076"/>
      <c r="BE560" s="1076"/>
      <c r="BF560" s="1076"/>
      <c r="BG560" s="1126"/>
      <c r="BH560" s="1126"/>
      <c r="BI560" s="1725"/>
      <c r="BJ560" s="1726"/>
      <c r="BK560" s="1726"/>
      <c r="BL560" s="1726"/>
      <c r="BM560" s="1726"/>
      <c r="BN560" s="1075"/>
      <c r="BO560" s="1076"/>
      <c r="BP560" s="1076"/>
      <c r="BQ560" s="1076"/>
      <c r="BR560" s="1076"/>
      <c r="BS560" s="1115"/>
      <c r="BT560" s="1076"/>
      <c r="BU560" s="1076"/>
      <c r="BV560" s="1076"/>
      <c r="BW560" s="1116"/>
      <c r="BX560" s="1115"/>
      <c r="BY560" s="1076"/>
      <c r="BZ560" s="1076"/>
      <c r="CA560" s="1076"/>
      <c r="CB560" s="1116"/>
      <c r="CC560" s="1117"/>
      <c r="CD560" s="1376"/>
      <c r="CE560" s="1377"/>
      <c r="CF560" s="1377"/>
      <c r="CG560" s="1377"/>
      <c r="CH560" s="1440"/>
      <c r="CI560" s="1420"/>
      <c r="CJ560" s="1368"/>
      <c r="CK560" s="1368"/>
      <c r="CL560" s="1368"/>
      <c r="CM560" s="1369"/>
      <c r="CN560" s="1420"/>
      <c r="CO560" s="1368"/>
      <c r="CP560" s="1368"/>
      <c r="CQ560" s="1368"/>
      <c r="CR560" s="1369"/>
      <c r="CS560" s="1420"/>
      <c r="CT560" s="1368"/>
      <c r="CU560" s="1368"/>
      <c r="CV560" s="1368"/>
      <c r="CW560" s="1369"/>
      <c r="CX560" s="1420"/>
      <c r="CY560" s="1368"/>
      <c r="CZ560" s="1368"/>
      <c r="DA560" s="1368"/>
      <c r="DB560" s="1369"/>
      <c r="DC560" s="1368"/>
      <c r="DD560" s="1368"/>
      <c r="DE560" s="1368"/>
      <c r="DF560" s="1368"/>
      <c r="DG560" s="1369"/>
      <c r="DH560" s="1420"/>
      <c r="DI560" s="1368"/>
      <c r="DJ560" s="1368"/>
      <c r="DK560" s="1368"/>
      <c r="DL560" s="1369"/>
      <c r="DM560" s="1808"/>
      <c r="DN560" s="1809"/>
      <c r="DO560" s="1809"/>
      <c r="DP560" s="1810"/>
      <c r="DQ560" s="1809"/>
      <c r="DR560" s="1809"/>
      <c r="DS560" s="1809"/>
      <c r="DT560" s="1810"/>
      <c r="DU560" s="1377"/>
      <c r="DV560" s="1729"/>
      <c r="DW560" s="1811"/>
    </row>
    <row r="561" spans="1:127" s="397" customFormat="1" ht="15.75" hidden="1" customHeight="1">
      <c r="A561" s="1097" t="s">
        <v>1024</v>
      </c>
      <c r="B561" s="1057">
        <v>552</v>
      </c>
      <c r="C561" s="1018"/>
      <c r="D561" s="1018"/>
      <c r="E561" s="1018"/>
      <c r="F561" s="1018"/>
      <c r="G561" s="1018"/>
      <c r="H561" s="1018"/>
      <c r="I561" s="1018"/>
      <c r="J561" s="1018"/>
      <c r="K561" s="1018"/>
      <c r="L561" s="1018"/>
      <c r="M561" s="1057"/>
      <c r="N561" s="1018"/>
      <c r="O561" s="1018"/>
      <c r="P561" s="1018"/>
      <c r="Q561" s="1018"/>
      <c r="R561" s="1018"/>
      <c r="S561" s="1018"/>
      <c r="T561" s="1019"/>
      <c r="U561" s="1098" t="s">
        <v>4281</v>
      </c>
      <c r="V561" s="1099" t="s">
        <v>4274</v>
      </c>
      <c r="W561" s="1099" t="s">
        <v>1907</v>
      </c>
      <c r="X561" s="1100" t="s">
        <v>4282</v>
      </c>
      <c r="Y561" s="1101" t="s">
        <v>743</v>
      </c>
      <c r="Z561" s="1102" t="s">
        <v>4283</v>
      </c>
      <c r="AA561" s="1103" t="s">
        <v>1942</v>
      </c>
      <c r="AB561" s="1104" t="s">
        <v>1942</v>
      </c>
      <c r="AC561" s="1104">
        <v>1</v>
      </c>
      <c r="AD561" s="1104" t="s">
        <v>1942</v>
      </c>
      <c r="AE561" s="1104" t="s">
        <v>1942</v>
      </c>
      <c r="AF561" s="1104" t="s">
        <v>1942</v>
      </c>
      <c r="AG561" s="1104" t="s">
        <v>1942</v>
      </c>
      <c r="AH561" s="1104" t="s">
        <v>1942</v>
      </c>
      <c r="AI561" s="1105">
        <f t="shared" si="8"/>
        <v>1</v>
      </c>
      <c r="AJ561" s="1106" t="s">
        <v>1026</v>
      </c>
      <c r="AK561" s="1106" t="s">
        <v>1008</v>
      </c>
      <c r="AL561" s="1106" t="s">
        <v>1009</v>
      </c>
      <c r="AM561" s="1107" t="s">
        <v>1920</v>
      </c>
      <c r="AN561" s="1018" t="s">
        <v>2177</v>
      </c>
      <c r="AO561" s="1018" t="s">
        <v>4807</v>
      </c>
      <c r="AP561" s="1307">
        <v>2</v>
      </c>
      <c r="AQ561" s="1076" t="s">
        <v>1020</v>
      </c>
      <c r="AR561" s="1109" t="s">
        <v>743</v>
      </c>
      <c r="AS561" s="1110"/>
      <c r="AT561" s="1100"/>
      <c r="AU561" s="1100"/>
      <c r="AV561" s="1100"/>
      <c r="AW561" s="1111"/>
      <c r="AX561" s="1112"/>
      <c r="AY561" s="1075"/>
      <c r="AZ561" s="1076"/>
      <c r="BA561" s="1076"/>
      <c r="BB561" s="1076"/>
      <c r="BC561" s="1076"/>
      <c r="BD561" s="1076"/>
      <c r="BE561" s="1076"/>
      <c r="BF561" s="1076"/>
      <c r="BG561" s="1126"/>
      <c r="BH561" s="1126"/>
      <c r="BI561" s="1127">
        <v>7.2</v>
      </c>
      <c r="BJ561" s="1126">
        <v>7.2</v>
      </c>
      <c r="BK561" s="1126">
        <v>7.2</v>
      </c>
      <c r="BL561" s="1126">
        <v>7.2</v>
      </c>
      <c r="BM561" s="1126">
        <v>7.2</v>
      </c>
      <c r="BN561" s="1075"/>
      <c r="BO561" s="1076"/>
      <c r="BP561" s="1076"/>
      <c r="BQ561" s="1076"/>
      <c r="BR561" s="1076"/>
      <c r="BS561" s="1115"/>
      <c r="BT561" s="1076"/>
      <c r="BU561" s="1076"/>
      <c r="BV561" s="1076"/>
      <c r="BW561" s="1116"/>
      <c r="BX561" s="1115"/>
      <c r="BY561" s="1076"/>
      <c r="BZ561" s="1076"/>
      <c r="CA561" s="1076"/>
      <c r="CB561" s="1116"/>
      <c r="CC561" s="1117"/>
      <c r="CD561" s="1118" t="s">
        <v>168</v>
      </c>
      <c r="CE561" s="1119" t="s">
        <v>168</v>
      </c>
      <c r="CF561" s="1119" t="s">
        <v>168</v>
      </c>
      <c r="CG561" s="1119" t="s">
        <v>168</v>
      </c>
      <c r="CH561" s="1120" t="s">
        <v>168</v>
      </c>
      <c r="CI561" s="1075" t="s">
        <v>1942</v>
      </c>
      <c r="CJ561" s="1076" t="s">
        <v>1942</v>
      </c>
      <c r="CK561" s="1076" t="s">
        <v>1942</v>
      </c>
      <c r="CL561" s="1076" t="s">
        <v>1942</v>
      </c>
      <c r="CM561" s="1117" t="s">
        <v>1942</v>
      </c>
      <c r="CN561" s="1075">
        <v>10.8</v>
      </c>
      <c r="CO561" s="1076">
        <v>10.8</v>
      </c>
      <c r="CP561" s="1076">
        <v>10.8</v>
      </c>
      <c r="CQ561" s="1076">
        <v>10.8</v>
      </c>
      <c r="CR561" s="1117">
        <v>10.8</v>
      </c>
      <c r="CS561" s="1075" t="s">
        <v>1942</v>
      </c>
      <c r="CT561" s="1076" t="s">
        <v>1942</v>
      </c>
      <c r="CU561" s="1076" t="s">
        <v>1942</v>
      </c>
      <c r="CV561" s="1076" t="s">
        <v>1942</v>
      </c>
      <c r="CW561" s="1117" t="s">
        <v>1942</v>
      </c>
      <c r="CX561" s="1075" t="s">
        <v>1942</v>
      </c>
      <c r="CY561" s="1076" t="s">
        <v>1942</v>
      </c>
      <c r="CZ561" s="1076" t="s">
        <v>1942</v>
      </c>
      <c r="DA561" s="1076" t="s">
        <v>1942</v>
      </c>
      <c r="DB561" s="1117" t="s">
        <v>1942</v>
      </c>
      <c r="DC561" s="1076" t="s">
        <v>1942</v>
      </c>
      <c r="DD561" s="1076" t="s">
        <v>1942</v>
      </c>
      <c r="DE561" s="1076" t="s">
        <v>1942</v>
      </c>
      <c r="DF561" s="1076" t="s">
        <v>1942</v>
      </c>
      <c r="DG561" s="1117" t="s">
        <v>1942</v>
      </c>
      <c r="DH561" s="1075" t="s">
        <v>1942</v>
      </c>
      <c r="DI561" s="1076" t="s">
        <v>1942</v>
      </c>
      <c r="DJ561" s="1076" t="s">
        <v>1942</v>
      </c>
      <c r="DK561" s="1076" t="s">
        <v>1942</v>
      </c>
      <c r="DL561" s="1117" t="s">
        <v>1942</v>
      </c>
      <c r="DM561" s="1121">
        <v>-0.14000000000000001</v>
      </c>
      <c r="DN561" s="1122" t="s">
        <v>1942</v>
      </c>
      <c r="DO561" s="1122" t="s">
        <v>1942</v>
      </c>
      <c r="DP561" s="1123" t="s">
        <v>1942</v>
      </c>
      <c r="DQ561" s="1122" t="s">
        <v>1942</v>
      </c>
      <c r="DR561" s="1122" t="s">
        <v>1942</v>
      </c>
      <c r="DS561" s="1122" t="s">
        <v>1942</v>
      </c>
      <c r="DT561" s="1123" t="s">
        <v>1942</v>
      </c>
      <c r="DU561" s="1119" t="s">
        <v>1942</v>
      </c>
      <c r="DV561" s="1124">
        <v>1</v>
      </c>
      <c r="DW561" s="1125" t="s">
        <v>1942</v>
      </c>
    </row>
    <row r="562" spans="1:127" s="397" customFormat="1" ht="15.75" hidden="1" customHeight="1">
      <c r="A562" s="1097" t="s">
        <v>1024</v>
      </c>
      <c r="B562" s="1057">
        <v>553</v>
      </c>
      <c r="C562" s="1018"/>
      <c r="D562" s="1018"/>
      <c r="E562" s="1018"/>
      <c r="F562" s="1018"/>
      <c r="G562" s="1018"/>
      <c r="H562" s="1018"/>
      <c r="I562" s="1018"/>
      <c r="J562" s="1018"/>
      <c r="K562" s="1018"/>
      <c r="L562" s="1018"/>
      <c r="M562" s="1057"/>
      <c r="N562" s="1018"/>
      <c r="O562" s="1018"/>
      <c r="P562" s="1018"/>
      <c r="Q562" s="1018"/>
      <c r="R562" s="1018"/>
      <c r="S562" s="1018"/>
      <c r="T562" s="1019"/>
      <c r="U562" s="1098" t="s">
        <v>4285</v>
      </c>
      <c r="V562" s="1099" t="s">
        <v>4274</v>
      </c>
      <c r="W562" s="1099" t="s">
        <v>1907</v>
      </c>
      <c r="X562" s="1100" t="s">
        <v>4286</v>
      </c>
      <c r="Y562" s="1101" t="s">
        <v>4287</v>
      </c>
      <c r="Z562" s="1102" t="s">
        <v>4288</v>
      </c>
      <c r="AA562" s="1103" t="s">
        <v>1942</v>
      </c>
      <c r="AB562" s="1104">
        <v>0.375</v>
      </c>
      <c r="AC562" s="1104">
        <v>0.53200000000000003</v>
      </c>
      <c r="AD562" s="1104" t="s">
        <v>1942</v>
      </c>
      <c r="AE562" s="1104">
        <v>9.2999999999999999E-2</v>
      </c>
      <c r="AF562" s="1104" t="s">
        <v>1942</v>
      </c>
      <c r="AG562" s="1104" t="s">
        <v>1942</v>
      </c>
      <c r="AH562" s="1104" t="s">
        <v>1942</v>
      </c>
      <c r="AI562" s="1105">
        <f t="shared" si="8"/>
        <v>1</v>
      </c>
      <c r="AJ562" s="1106" t="s">
        <v>1030</v>
      </c>
      <c r="AK562" s="1106" t="s">
        <v>1008</v>
      </c>
      <c r="AL562" s="1106" t="s">
        <v>1009</v>
      </c>
      <c r="AM562" s="1107" t="s">
        <v>3674</v>
      </c>
      <c r="AN562" s="1018" t="s">
        <v>1033</v>
      </c>
      <c r="AO562" s="1018" t="s">
        <v>4289</v>
      </c>
      <c r="AP562" s="1274">
        <v>1</v>
      </c>
      <c r="AQ562" s="1076" t="s">
        <v>1020</v>
      </c>
      <c r="AR562" s="1109" t="s">
        <v>1942</v>
      </c>
      <c r="AS562" s="1110"/>
      <c r="AT562" s="1100"/>
      <c r="AU562" s="1100"/>
      <c r="AV562" s="1100"/>
      <c r="AW562" s="1111"/>
      <c r="AX562" s="1112"/>
      <c r="AY562" s="1075"/>
      <c r="AZ562" s="1076"/>
      <c r="BA562" s="1076"/>
      <c r="BB562" s="1076"/>
      <c r="BC562" s="1076"/>
      <c r="BD562" s="1076"/>
      <c r="BE562" s="1076"/>
      <c r="BF562" s="1076"/>
      <c r="BG562" s="1076"/>
      <c r="BH562" s="1076"/>
      <c r="BI562" s="1420"/>
      <c r="BJ562" s="1368"/>
      <c r="BK562" s="1368"/>
      <c r="BL562" s="1368"/>
      <c r="BM562" s="1368"/>
      <c r="BN562" s="1075"/>
      <c r="BO562" s="1076"/>
      <c r="BP562" s="1076"/>
      <c r="BQ562" s="1076"/>
      <c r="BR562" s="1076"/>
      <c r="BS562" s="1115"/>
      <c r="BT562" s="1076"/>
      <c r="BU562" s="1076"/>
      <c r="BV562" s="1076"/>
      <c r="BW562" s="1116"/>
      <c r="BX562" s="1115"/>
      <c r="BY562" s="1076"/>
      <c r="BZ562" s="1076"/>
      <c r="CA562" s="1076"/>
      <c r="CB562" s="1116"/>
      <c r="CC562" s="1117"/>
      <c r="CD562" s="1376"/>
      <c r="CE562" s="1377"/>
      <c r="CF562" s="1377"/>
      <c r="CG562" s="1377"/>
      <c r="CH562" s="1440"/>
      <c r="CI562" s="1420"/>
      <c r="CJ562" s="1368"/>
      <c r="CK562" s="1368"/>
      <c r="CL562" s="1368"/>
      <c r="CM562" s="1369"/>
      <c r="CN562" s="1420"/>
      <c r="CO562" s="1368"/>
      <c r="CP562" s="1368"/>
      <c r="CQ562" s="1368"/>
      <c r="CR562" s="1369"/>
      <c r="CS562" s="1420"/>
      <c r="CT562" s="1368"/>
      <c r="CU562" s="1368"/>
      <c r="CV562" s="1368"/>
      <c r="CW562" s="1369"/>
      <c r="CX562" s="1420"/>
      <c r="CY562" s="1368"/>
      <c r="CZ562" s="1368"/>
      <c r="DA562" s="1368"/>
      <c r="DB562" s="1369"/>
      <c r="DC562" s="1368"/>
      <c r="DD562" s="1368"/>
      <c r="DE562" s="1368"/>
      <c r="DF562" s="1368"/>
      <c r="DG562" s="1369"/>
      <c r="DH562" s="1420"/>
      <c r="DI562" s="1368"/>
      <c r="DJ562" s="1368"/>
      <c r="DK562" s="1368"/>
      <c r="DL562" s="1369"/>
      <c r="DM562" s="1808"/>
      <c r="DN562" s="1809"/>
      <c r="DO562" s="1809"/>
      <c r="DP562" s="1810"/>
      <c r="DQ562" s="1809"/>
      <c r="DR562" s="1809"/>
      <c r="DS562" s="1809"/>
      <c r="DT562" s="1810"/>
      <c r="DU562" s="1377"/>
      <c r="DV562" s="1729"/>
      <c r="DW562" s="1811"/>
    </row>
    <row r="563" spans="1:127" s="397" customFormat="1" ht="15.75" hidden="1" customHeight="1">
      <c r="A563" s="1097" t="s">
        <v>1024</v>
      </c>
      <c r="B563" s="1057">
        <v>554</v>
      </c>
      <c r="C563" s="1018"/>
      <c r="D563" s="1018"/>
      <c r="E563" s="1018"/>
      <c r="F563" s="1018"/>
      <c r="G563" s="1018"/>
      <c r="H563" s="1018"/>
      <c r="I563" s="1018"/>
      <c r="J563" s="1018"/>
      <c r="K563" s="1018"/>
      <c r="L563" s="1018"/>
      <c r="M563" s="1057"/>
      <c r="N563" s="1018"/>
      <c r="O563" s="1018"/>
      <c r="P563" s="1018"/>
      <c r="Q563" s="1018"/>
      <c r="R563" s="1018"/>
      <c r="S563" s="1018"/>
      <c r="T563" s="1019"/>
      <c r="U563" s="1098" t="s">
        <v>4290</v>
      </c>
      <c r="V563" s="1099" t="s">
        <v>4274</v>
      </c>
      <c r="W563" s="1099" t="s">
        <v>1889</v>
      </c>
      <c r="X563" s="1100" t="s">
        <v>4291</v>
      </c>
      <c r="Y563" s="1101" t="s">
        <v>4292</v>
      </c>
      <c r="Z563" s="1102" t="s">
        <v>4293</v>
      </c>
      <c r="AA563" s="1103" t="s">
        <v>1942</v>
      </c>
      <c r="AB563" s="1104">
        <v>1</v>
      </c>
      <c r="AC563" s="1104" t="s">
        <v>1942</v>
      </c>
      <c r="AD563" s="1104" t="s">
        <v>1942</v>
      </c>
      <c r="AE563" s="1104" t="s">
        <v>1942</v>
      </c>
      <c r="AF563" s="1104" t="s">
        <v>1942</v>
      </c>
      <c r="AG563" s="1104" t="s">
        <v>1942</v>
      </c>
      <c r="AH563" s="1104" t="s">
        <v>1942</v>
      </c>
      <c r="AI563" s="1105">
        <f t="shared" si="8"/>
        <v>1</v>
      </c>
      <c r="AJ563" s="1106" t="s">
        <v>1007</v>
      </c>
      <c r="AK563" s="1106" t="s">
        <v>1942</v>
      </c>
      <c r="AL563" s="1106" t="s">
        <v>1942</v>
      </c>
      <c r="AM563" s="1107" t="s">
        <v>1892</v>
      </c>
      <c r="AN563" s="1018" t="s">
        <v>1033</v>
      </c>
      <c r="AO563" s="1018" t="s">
        <v>2839</v>
      </c>
      <c r="AP563" s="1274">
        <v>0</v>
      </c>
      <c r="AQ563" s="1076" t="s">
        <v>1020</v>
      </c>
      <c r="AR563" s="1109" t="s">
        <v>1942</v>
      </c>
      <c r="AS563" s="1110"/>
      <c r="AT563" s="1100"/>
      <c r="AU563" s="1100"/>
      <c r="AV563" s="1100"/>
      <c r="AW563" s="1111"/>
      <c r="AX563" s="1112"/>
      <c r="AY563" s="1075"/>
      <c r="AZ563" s="1076"/>
      <c r="BA563" s="1076"/>
      <c r="BB563" s="1076"/>
      <c r="BC563" s="1076"/>
      <c r="BD563" s="1076"/>
      <c r="BE563" s="1076"/>
      <c r="BF563" s="1076"/>
      <c r="BG563" s="1076"/>
      <c r="BH563" s="1076"/>
      <c r="BI563" s="1420"/>
      <c r="BJ563" s="1368"/>
      <c r="BK563" s="1368"/>
      <c r="BL563" s="1368"/>
      <c r="BM563" s="1368"/>
      <c r="BN563" s="1075"/>
      <c r="BO563" s="1076"/>
      <c r="BP563" s="1076"/>
      <c r="BQ563" s="1076"/>
      <c r="BR563" s="1076"/>
      <c r="BS563" s="1115"/>
      <c r="BT563" s="1076"/>
      <c r="BU563" s="1076"/>
      <c r="BV563" s="1076"/>
      <c r="BW563" s="1116"/>
      <c r="BX563" s="1115"/>
      <c r="BY563" s="1076"/>
      <c r="BZ563" s="1076"/>
      <c r="CA563" s="1076"/>
      <c r="CB563" s="1116"/>
      <c r="CC563" s="1117"/>
      <c r="CD563" s="1376"/>
      <c r="CE563" s="1377"/>
      <c r="CF563" s="1377"/>
      <c r="CG563" s="1377"/>
      <c r="CH563" s="1440"/>
      <c r="CI563" s="1420"/>
      <c r="CJ563" s="1368"/>
      <c r="CK563" s="1368"/>
      <c r="CL563" s="1368"/>
      <c r="CM563" s="1369"/>
      <c r="CN563" s="1420"/>
      <c r="CO563" s="1368"/>
      <c r="CP563" s="1368"/>
      <c r="CQ563" s="1368"/>
      <c r="CR563" s="1369"/>
      <c r="CS563" s="1420"/>
      <c r="CT563" s="1368"/>
      <c r="CU563" s="1368"/>
      <c r="CV563" s="1368"/>
      <c r="CW563" s="1369"/>
      <c r="CX563" s="1420"/>
      <c r="CY563" s="1368"/>
      <c r="CZ563" s="1368"/>
      <c r="DA563" s="1368"/>
      <c r="DB563" s="1369"/>
      <c r="DC563" s="1368"/>
      <c r="DD563" s="1368"/>
      <c r="DE563" s="1368"/>
      <c r="DF563" s="1368"/>
      <c r="DG563" s="1369"/>
      <c r="DH563" s="1420"/>
      <c r="DI563" s="1368"/>
      <c r="DJ563" s="1368"/>
      <c r="DK563" s="1368"/>
      <c r="DL563" s="1369"/>
      <c r="DM563" s="1808"/>
      <c r="DN563" s="1809"/>
      <c r="DO563" s="1809"/>
      <c r="DP563" s="1810"/>
      <c r="DQ563" s="1809"/>
      <c r="DR563" s="1809"/>
      <c r="DS563" s="1809"/>
      <c r="DT563" s="1810"/>
      <c r="DU563" s="1377"/>
      <c r="DV563" s="1729"/>
      <c r="DW563" s="1811"/>
    </row>
    <row r="564" spans="1:127" s="397" customFormat="1" ht="15.75" hidden="1" customHeight="1">
      <c r="A564" s="1097" t="s">
        <v>1024</v>
      </c>
      <c r="B564" s="1057">
        <v>555</v>
      </c>
      <c r="C564" s="1018"/>
      <c r="D564" s="1018"/>
      <c r="E564" s="1018"/>
      <c r="F564" s="1018"/>
      <c r="G564" s="1018"/>
      <c r="H564" s="1018"/>
      <c r="I564" s="1018"/>
      <c r="J564" s="1018"/>
      <c r="K564" s="1018"/>
      <c r="L564" s="1018"/>
      <c r="M564" s="1057"/>
      <c r="N564" s="1018"/>
      <c r="O564" s="1018"/>
      <c r="P564" s="1018"/>
      <c r="Q564" s="1018"/>
      <c r="R564" s="1018"/>
      <c r="S564" s="1018"/>
      <c r="T564" s="1019"/>
      <c r="U564" s="1098" t="s">
        <v>4294</v>
      </c>
      <c r="V564" s="1099" t="s">
        <v>4274</v>
      </c>
      <c r="W564" s="1099" t="s">
        <v>1889</v>
      </c>
      <c r="X564" s="1100" t="s">
        <v>4295</v>
      </c>
      <c r="Y564" s="1101" t="s">
        <v>4296</v>
      </c>
      <c r="Z564" s="1102" t="s">
        <v>4297</v>
      </c>
      <c r="AA564" s="1103" t="s">
        <v>1942</v>
      </c>
      <c r="AB564" s="1104" t="s">
        <v>1942</v>
      </c>
      <c r="AC564" s="1104">
        <v>1</v>
      </c>
      <c r="AD564" s="1104" t="s">
        <v>1942</v>
      </c>
      <c r="AE564" s="1104" t="s">
        <v>1942</v>
      </c>
      <c r="AF564" s="1104" t="s">
        <v>1942</v>
      </c>
      <c r="AG564" s="1104" t="s">
        <v>1942</v>
      </c>
      <c r="AH564" s="1104" t="s">
        <v>1942</v>
      </c>
      <c r="AI564" s="1105">
        <f t="shared" si="8"/>
        <v>1</v>
      </c>
      <c r="AJ564" s="1106" t="s">
        <v>1007</v>
      </c>
      <c r="AK564" s="1106" t="s">
        <v>1942</v>
      </c>
      <c r="AL564" s="1106" t="s">
        <v>1942</v>
      </c>
      <c r="AM564" s="1107" t="s">
        <v>2058</v>
      </c>
      <c r="AN564" s="1018" t="s">
        <v>1033</v>
      </c>
      <c r="AO564" s="1018" t="s">
        <v>1942</v>
      </c>
      <c r="AP564" s="1274">
        <v>0</v>
      </c>
      <c r="AQ564" s="1076" t="s">
        <v>1020</v>
      </c>
      <c r="AR564" s="1109" t="s">
        <v>1942</v>
      </c>
      <c r="AS564" s="1110"/>
      <c r="AT564" s="1100"/>
      <c r="AU564" s="1100"/>
      <c r="AV564" s="1100"/>
      <c r="AW564" s="1111"/>
      <c r="AX564" s="1112"/>
      <c r="AY564" s="1075"/>
      <c r="AZ564" s="1076"/>
      <c r="BA564" s="1076"/>
      <c r="BB564" s="1076"/>
      <c r="BC564" s="1076"/>
      <c r="BD564" s="1076"/>
      <c r="BE564" s="1076"/>
      <c r="BF564" s="1076"/>
      <c r="BG564" s="1076"/>
      <c r="BH564" s="1076"/>
      <c r="BI564" s="1420"/>
      <c r="BJ564" s="1368"/>
      <c r="BK564" s="1368"/>
      <c r="BL564" s="1368"/>
      <c r="BM564" s="1368"/>
      <c r="BN564" s="1075"/>
      <c r="BO564" s="1076"/>
      <c r="BP564" s="1076"/>
      <c r="BQ564" s="1076"/>
      <c r="BR564" s="1076"/>
      <c r="BS564" s="1115"/>
      <c r="BT564" s="1076"/>
      <c r="BU564" s="1076"/>
      <c r="BV564" s="1076"/>
      <c r="BW564" s="1116"/>
      <c r="BX564" s="1115"/>
      <c r="BY564" s="1076"/>
      <c r="BZ564" s="1076"/>
      <c r="CA564" s="1076"/>
      <c r="CB564" s="1116"/>
      <c r="CC564" s="1117"/>
      <c r="CD564" s="1376"/>
      <c r="CE564" s="1377"/>
      <c r="CF564" s="1377"/>
      <c r="CG564" s="1377"/>
      <c r="CH564" s="1440"/>
      <c r="CI564" s="1420"/>
      <c r="CJ564" s="1368"/>
      <c r="CK564" s="1368"/>
      <c r="CL564" s="1368"/>
      <c r="CM564" s="1369"/>
      <c r="CN564" s="1420"/>
      <c r="CO564" s="1368"/>
      <c r="CP564" s="1368"/>
      <c r="CQ564" s="1368"/>
      <c r="CR564" s="1369"/>
      <c r="CS564" s="1420"/>
      <c r="CT564" s="1368"/>
      <c r="CU564" s="1368"/>
      <c r="CV564" s="1368"/>
      <c r="CW564" s="1369"/>
      <c r="CX564" s="1420"/>
      <c r="CY564" s="1368"/>
      <c r="CZ564" s="1368"/>
      <c r="DA564" s="1368"/>
      <c r="DB564" s="1369"/>
      <c r="DC564" s="1368"/>
      <c r="DD564" s="1368"/>
      <c r="DE564" s="1368"/>
      <c r="DF564" s="1368"/>
      <c r="DG564" s="1369"/>
      <c r="DH564" s="1420"/>
      <c r="DI564" s="1368"/>
      <c r="DJ564" s="1368"/>
      <c r="DK564" s="1368"/>
      <c r="DL564" s="1369"/>
      <c r="DM564" s="1808"/>
      <c r="DN564" s="1809"/>
      <c r="DO564" s="1809"/>
      <c r="DP564" s="1810"/>
      <c r="DQ564" s="1809"/>
      <c r="DR564" s="1809"/>
      <c r="DS564" s="1809"/>
      <c r="DT564" s="1810"/>
      <c r="DU564" s="1377"/>
      <c r="DV564" s="1729"/>
      <c r="DW564" s="1811"/>
    </row>
    <row r="565" spans="1:127" s="397" customFormat="1" ht="15.75" hidden="1" customHeight="1">
      <c r="A565" s="1097" t="s">
        <v>1024</v>
      </c>
      <c r="B565" s="1057">
        <v>556</v>
      </c>
      <c r="C565" s="1018"/>
      <c r="D565" s="1018"/>
      <c r="E565" s="1018"/>
      <c r="F565" s="1018"/>
      <c r="G565" s="1018"/>
      <c r="H565" s="1018"/>
      <c r="I565" s="1018"/>
      <c r="J565" s="1018"/>
      <c r="K565" s="1018"/>
      <c r="L565" s="1018"/>
      <c r="M565" s="1057"/>
      <c r="N565" s="1018"/>
      <c r="O565" s="1018"/>
      <c r="P565" s="1018"/>
      <c r="Q565" s="1018"/>
      <c r="R565" s="1018"/>
      <c r="S565" s="1018"/>
      <c r="T565" s="1019"/>
      <c r="U565" s="1098" t="s">
        <v>4298</v>
      </c>
      <c r="V565" s="1099" t="s">
        <v>4299</v>
      </c>
      <c r="W565" s="1099" t="s">
        <v>1896</v>
      </c>
      <c r="X565" s="1100" t="s">
        <v>4300</v>
      </c>
      <c r="Y565" s="1101" t="s">
        <v>4301</v>
      </c>
      <c r="Z565" s="1102" t="s">
        <v>4302</v>
      </c>
      <c r="AA565" s="1103" t="s">
        <v>1942</v>
      </c>
      <c r="AB565" s="1104" t="s">
        <v>1942</v>
      </c>
      <c r="AC565" s="1104" t="s">
        <v>1942</v>
      </c>
      <c r="AD565" s="1104" t="s">
        <v>1942</v>
      </c>
      <c r="AE565" s="1104">
        <v>1</v>
      </c>
      <c r="AF565" s="1104" t="s">
        <v>1942</v>
      </c>
      <c r="AG565" s="1104" t="s">
        <v>1942</v>
      </c>
      <c r="AH565" s="1104" t="s">
        <v>1942</v>
      </c>
      <c r="AI565" s="1105">
        <f t="shared" si="8"/>
        <v>1</v>
      </c>
      <c r="AJ565" s="1106" t="s">
        <v>1007</v>
      </c>
      <c r="AK565" s="1106" t="s">
        <v>1942</v>
      </c>
      <c r="AL565" s="1106" t="s">
        <v>1942</v>
      </c>
      <c r="AM565" s="1107" t="s">
        <v>2117</v>
      </c>
      <c r="AN565" s="1018" t="s">
        <v>278</v>
      </c>
      <c r="AO565" s="1018" t="s">
        <v>1942</v>
      </c>
      <c r="AP565" s="1274">
        <v>1</v>
      </c>
      <c r="AQ565" s="1076" t="s">
        <v>1020</v>
      </c>
      <c r="AR565" s="1109" t="s">
        <v>1942</v>
      </c>
      <c r="AS565" s="1110"/>
      <c r="AT565" s="1100"/>
      <c r="AU565" s="1100"/>
      <c r="AV565" s="1100"/>
      <c r="AW565" s="1111"/>
      <c r="AX565" s="1112"/>
      <c r="AY565" s="1075"/>
      <c r="AZ565" s="1076"/>
      <c r="BA565" s="1076"/>
      <c r="BB565" s="1076"/>
      <c r="BC565" s="1076"/>
      <c r="BD565" s="1076"/>
      <c r="BE565" s="1076"/>
      <c r="BF565" s="1076"/>
      <c r="BG565" s="1076"/>
      <c r="BH565" s="1076"/>
      <c r="BI565" s="1420"/>
      <c r="BJ565" s="1368"/>
      <c r="BK565" s="1368"/>
      <c r="BL565" s="1368"/>
      <c r="BM565" s="1368"/>
      <c r="BN565" s="1075"/>
      <c r="BO565" s="1076"/>
      <c r="BP565" s="1076"/>
      <c r="BQ565" s="1076"/>
      <c r="BR565" s="1076"/>
      <c r="BS565" s="1115"/>
      <c r="BT565" s="1076"/>
      <c r="BU565" s="1076"/>
      <c r="BV565" s="1076"/>
      <c r="BW565" s="1116"/>
      <c r="BX565" s="1115"/>
      <c r="BY565" s="1076"/>
      <c r="BZ565" s="1076"/>
      <c r="CA565" s="1076"/>
      <c r="CB565" s="1116"/>
      <c r="CC565" s="1117"/>
      <c r="CD565" s="1376"/>
      <c r="CE565" s="1377"/>
      <c r="CF565" s="1377"/>
      <c r="CG565" s="1377"/>
      <c r="CH565" s="1440"/>
      <c r="CI565" s="1420"/>
      <c r="CJ565" s="1368"/>
      <c r="CK565" s="1368"/>
      <c r="CL565" s="1368"/>
      <c r="CM565" s="1369"/>
      <c r="CN565" s="1420"/>
      <c r="CO565" s="1368"/>
      <c r="CP565" s="1368"/>
      <c r="CQ565" s="1368"/>
      <c r="CR565" s="1369"/>
      <c r="CS565" s="1420"/>
      <c r="CT565" s="1368"/>
      <c r="CU565" s="1368"/>
      <c r="CV565" s="1368"/>
      <c r="CW565" s="1369"/>
      <c r="CX565" s="1420"/>
      <c r="CY565" s="1368"/>
      <c r="CZ565" s="1368"/>
      <c r="DA565" s="1368"/>
      <c r="DB565" s="1369"/>
      <c r="DC565" s="1368"/>
      <c r="DD565" s="1368"/>
      <c r="DE565" s="1368"/>
      <c r="DF565" s="1368"/>
      <c r="DG565" s="1369"/>
      <c r="DH565" s="1420"/>
      <c r="DI565" s="1368"/>
      <c r="DJ565" s="1368"/>
      <c r="DK565" s="1368"/>
      <c r="DL565" s="1369"/>
      <c r="DM565" s="1808"/>
      <c r="DN565" s="1809"/>
      <c r="DO565" s="1809"/>
      <c r="DP565" s="1810"/>
      <c r="DQ565" s="1809"/>
      <c r="DR565" s="1809"/>
      <c r="DS565" s="1809"/>
      <c r="DT565" s="1810"/>
      <c r="DU565" s="1377"/>
      <c r="DV565" s="1729"/>
      <c r="DW565" s="1811"/>
    </row>
    <row r="566" spans="1:127" s="397" customFormat="1" ht="15.75" hidden="1" customHeight="1">
      <c r="A566" s="1097" t="s">
        <v>1024</v>
      </c>
      <c r="B566" s="1057">
        <v>557</v>
      </c>
      <c r="C566" s="1018"/>
      <c r="D566" s="1018"/>
      <c r="E566" s="1018"/>
      <c r="F566" s="1018"/>
      <c r="G566" s="1018"/>
      <c r="H566" s="1018"/>
      <c r="I566" s="1018"/>
      <c r="J566" s="1018"/>
      <c r="K566" s="1018"/>
      <c r="L566" s="1018"/>
      <c r="M566" s="1057"/>
      <c r="N566" s="1018"/>
      <c r="O566" s="1018"/>
      <c r="P566" s="1018"/>
      <c r="Q566" s="1018"/>
      <c r="R566" s="1018"/>
      <c r="S566" s="1018"/>
      <c r="T566" s="1019"/>
      <c r="U566" s="1098" t="s">
        <v>4304</v>
      </c>
      <c r="V566" s="1099" t="s">
        <v>4299</v>
      </c>
      <c r="W566" s="1099" t="s">
        <v>1889</v>
      </c>
      <c r="X566" s="1100" t="s">
        <v>4305</v>
      </c>
      <c r="Y566" s="1101" t="s">
        <v>4306</v>
      </c>
      <c r="Z566" s="1102" t="s">
        <v>4307</v>
      </c>
      <c r="AA566" s="1103" t="s">
        <v>1942</v>
      </c>
      <c r="AB566" s="1104" t="s">
        <v>1942</v>
      </c>
      <c r="AC566" s="1104" t="s">
        <v>1942</v>
      </c>
      <c r="AD566" s="1104" t="s">
        <v>1942</v>
      </c>
      <c r="AE566" s="1104">
        <v>1</v>
      </c>
      <c r="AF566" s="1104" t="s">
        <v>1942</v>
      </c>
      <c r="AG566" s="1104" t="s">
        <v>1942</v>
      </c>
      <c r="AH566" s="1104" t="s">
        <v>1942</v>
      </c>
      <c r="AI566" s="1105">
        <f t="shared" si="8"/>
        <v>1</v>
      </c>
      <c r="AJ566" s="1106" t="s">
        <v>1007</v>
      </c>
      <c r="AK566" s="1106" t="s">
        <v>1942</v>
      </c>
      <c r="AL566" s="1106" t="s">
        <v>1942</v>
      </c>
      <c r="AM566" s="1107" t="s">
        <v>2117</v>
      </c>
      <c r="AN566" s="1018" t="s">
        <v>1033</v>
      </c>
      <c r="AO566" s="1018" t="s">
        <v>1942</v>
      </c>
      <c r="AP566" s="1274">
        <v>0</v>
      </c>
      <c r="AQ566" s="1076" t="s">
        <v>1010</v>
      </c>
      <c r="AR566" s="1109" t="s">
        <v>1942</v>
      </c>
      <c r="AS566" s="1110"/>
      <c r="AT566" s="1100"/>
      <c r="AU566" s="1100"/>
      <c r="AV566" s="1100"/>
      <c r="AW566" s="1111"/>
      <c r="AX566" s="1112"/>
      <c r="AY566" s="1075"/>
      <c r="AZ566" s="1076"/>
      <c r="BA566" s="1076"/>
      <c r="BB566" s="1076"/>
      <c r="BC566" s="1076"/>
      <c r="BD566" s="1076"/>
      <c r="BE566" s="1076"/>
      <c r="BF566" s="1076"/>
      <c r="BG566" s="1076"/>
      <c r="BH566" s="1076"/>
      <c r="BI566" s="1420"/>
      <c r="BJ566" s="1368"/>
      <c r="BK566" s="1368"/>
      <c r="BL566" s="1368"/>
      <c r="BM566" s="1368"/>
      <c r="BN566" s="1075"/>
      <c r="BO566" s="1076"/>
      <c r="BP566" s="1076"/>
      <c r="BQ566" s="1076"/>
      <c r="BR566" s="1076"/>
      <c r="BS566" s="1115"/>
      <c r="BT566" s="1076"/>
      <c r="BU566" s="1076"/>
      <c r="BV566" s="1076"/>
      <c r="BW566" s="1116"/>
      <c r="BX566" s="1115"/>
      <c r="BY566" s="1076"/>
      <c r="BZ566" s="1076"/>
      <c r="CA566" s="1076"/>
      <c r="CB566" s="1116"/>
      <c r="CC566" s="1117"/>
      <c r="CD566" s="1376"/>
      <c r="CE566" s="1377"/>
      <c r="CF566" s="1377"/>
      <c r="CG566" s="1377"/>
      <c r="CH566" s="1440"/>
      <c r="CI566" s="1420"/>
      <c r="CJ566" s="1368"/>
      <c r="CK566" s="1368"/>
      <c r="CL566" s="1368"/>
      <c r="CM566" s="1369"/>
      <c r="CN566" s="1420"/>
      <c r="CO566" s="1368"/>
      <c r="CP566" s="1368"/>
      <c r="CQ566" s="1368"/>
      <c r="CR566" s="1369"/>
      <c r="CS566" s="1420"/>
      <c r="CT566" s="1368"/>
      <c r="CU566" s="1368"/>
      <c r="CV566" s="1368"/>
      <c r="CW566" s="1369"/>
      <c r="CX566" s="1420"/>
      <c r="CY566" s="1368"/>
      <c r="CZ566" s="1368"/>
      <c r="DA566" s="1368"/>
      <c r="DB566" s="1369"/>
      <c r="DC566" s="1368"/>
      <c r="DD566" s="1368"/>
      <c r="DE566" s="1368"/>
      <c r="DF566" s="1368"/>
      <c r="DG566" s="1369"/>
      <c r="DH566" s="1420"/>
      <c r="DI566" s="1368"/>
      <c r="DJ566" s="1368"/>
      <c r="DK566" s="1368"/>
      <c r="DL566" s="1369"/>
      <c r="DM566" s="1808"/>
      <c r="DN566" s="1809"/>
      <c r="DO566" s="1809"/>
      <c r="DP566" s="1810"/>
      <c r="DQ566" s="1809"/>
      <c r="DR566" s="1809"/>
      <c r="DS566" s="1809"/>
      <c r="DT566" s="1810"/>
      <c r="DU566" s="1377"/>
      <c r="DV566" s="1729"/>
      <c r="DW566" s="1811"/>
    </row>
    <row r="567" spans="1:127" s="397" customFormat="1" ht="15.75" hidden="1" customHeight="1">
      <c r="A567" s="1097" t="s">
        <v>1024</v>
      </c>
      <c r="B567" s="1057">
        <v>558</v>
      </c>
      <c r="C567" s="1018"/>
      <c r="D567" s="1018"/>
      <c r="E567" s="1018"/>
      <c r="F567" s="1018"/>
      <c r="G567" s="1018"/>
      <c r="H567" s="1018"/>
      <c r="I567" s="1018"/>
      <c r="J567" s="1018"/>
      <c r="K567" s="1018"/>
      <c r="L567" s="1018"/>
      <c r="M567" s="1057"/>
      <c r="N567" s="1018"/>
      <c r="O567" s="1018"/>
      <c r="P567" s="1018"/>
      <c r="Q567" s="1018"/>
      <c r="R567" s="1018"/>
      <c r="S567" s="1018"/>
      <c r="T567" s="1019"/>
      <c r="U567" s="1098" t="s">
        <v>4308</v>
      </c>
      <c r="V567" s="1099" t="s">
        <v>4299</v>
      </c>
      <c r="W567" s="1099" t="s">
        <v>1907</v>
      </c>
      <c r="X567" s="1100" t="s">
        <v>4309</v>
      </c>
      <c r="Y567" s="1101" t="s">
        <v>4310</v>
      </c>
      <c r="Z567" s="1102" t="s">
        <v>4311</v>
      </c>
      <c r="AA567" s="1103" t="s">
        <v>1942</v>
      </c>
      <c r="AB567" s="1104" t="s">
        <v>1942</v>
      </c>
      <c r="AC567" s="1104" t="s">
        <v>1942</v>
      </c>
      <c r="AD567" s="1104" t="s">
        <v>1942</v>
      </c>
      <c r="AE567" s="1104">
        <v>0.89200000000000002</v>
      </c>
      <c r="AF567" s="1104">
        <v>0.108</v>
      </c>
      <c r="AG567" s="1104" t="s">
        <v>1942</v>
      </c>
      <c r="AH567" s="1104" t="s">
        <v>1942</v>
      </c>
      <c r="AI567" s="1105">
        <f t="shared" si="8"/>
        <v>1</v>
      </c>
      <c r="AJ567" s="1106" t="s">
        <v>1007</v>
      </c>
      <c r="AK567" s="1106" t="s">
        <v>1942</v>
      </c>
      <c r="AL567" s="1106" t="s">
        <v>1942</v>
      </c>
      <c r="AM567" s="1107" t="s">
        <v>2117</v>
      </c>
      <c r="AN567" s="1018" t="s">
        <v>278</v>
      </c>
      <c r="AO567" s="1018" t="s">
        <v>1942</v>
      </c>
      <c r="AP567" s="1274">
        <v>1</v>
      </c>
      <c r="AQ567" s="1076" t="s">
        <v>1020</v>
      </c>
      <c r="AR567" s="1109" t="s">
        <v>1942</v>
      </c>
      <c r="AS567" s="1110"/>
      <c r="AT567" s="1100"/>
      <c r="AU567" s="1100"/>
      <c r="AV567" s="1100"/>
      <c r="AW567" s="1111"/>
      <c r="AX567" s="1112"/>
      <c r="AY567" s="1075"/>
      <c r="AZ567" s="1076"/>
      <c r="BA567" s="1076"/>
      <c r="BB567" s="1076"/>
      <c r="BC567" s="1076"/>
      <c r="BD567" s="1076"/>
      <c r="BE567" s="1076"/>
      <c r="BF567" s="1076"/>
      <c r="BG567" s="1076"/>
      <c r="BH567" s="1076"/>
      <c r="BI567" s="1420"/>
      <c r="BJ567" s="1368"/>
      <c r="BK567" s="1368"/>
      <c r="BL567" s="1368"/>
      <c r="BM567" s="1368"/>
      <c r="BN567" s="1075"/>
      <c r="BO567" s="1076"/>
      <c r="BP567" s="1076"/>
      <c r="BQ567" s="1076"/>
      <c r="BR567" s="1076"/>
      <c r="BS567" s="1115"/>
      <c r="BT567" s="1076"/>
      <c r="BU567" s="1076"/>
      <c r="BV567" s="1076"/>
      <c r="BW567" s="1116"/>
      <c r="BX567" s="1115"/>
      <c r="BY567" s="1076"/>
      <c r="BZ567" s="1076"/>
      <c r="CA567" s="1076"/>
      <c r="CB567" s="1116"/>
      <c r="CC567" s="1117"/>
      <c r="CD567" s="1376"/>
      <c r="CE567" s="1377"/>
      <c r="CF567" s="1377"/>
      <c r="CG567" s="1377"/>
      <c r="CH567" s="1440"/>
      <c r="CI567" s="1420"/>
      <c r="CJ567" s="1368"/>
      <c r="CK567" s="1368"/>
      <c r="CL567" s="1368"/>
      <c r="CM567" s="1369"/>
      <c r="CN567" s="1420"/>
      <c r="CO567" s="1368"/>
      <c r="CP567" s="1368"/>
      <c r="CQ567" s="1368"/>
      <c r="CR567" s="1369"/>
      <c r="CS567" s="1420"/>
      <c r="CT567" s="1368"/>
      <c r="CU567" s="1368"/>
      <c r="CV567" s="1368"/>
      <c r="CW567" s="1369"/>
      <c r="CX567" s="1420"/>
      <c r="CY567" s="1368"/>
      <c r="CZ567" s="1368"/>
      <c r="DA567" s="1368"/>
      <c r="DB567" s="1369"/>
      <c r="DC567" s="1368"/>
      <c r="DD567" s="1368"/>
      <c r="DE567" s="1368"/>
      <c r="DF567" s="1368"/>
      <c r="DG567" s="1369"/>
      <c r="DH567" s="1420"/>
      <c r="DI567" s="1368"/>
      <c r="DJ567" s="1368"/>
      <c r="DK567" s="1368"/>
      <c r="DL567" s="1369"/>
      <c r="DM567" s="1808"/>
      <c r="DN567" s="1809"/>
      <c r="DO567" s="1809"/>
      <c r="DP567" s="1810"/>
      <c r="DQ567" s="1809"/>
      <c r="DR567" s="1809"/>
      <c r="DS567" s="1809"/>
      <c r="DT567" s="1810"/>
      <c r="DU567" s="1377"/>
      <c r="DV567" s="1729"/>
      <c r="DW567" s="1811"/>
    </row>
    <row r="568" spans="1:127" s="397" customFormat="1" ht="15.75" hidden="1" customHeight="1">
      <c r="A568" s="1097" t="s">
        <v>1024</v>
      </c>
      <c r="B568" s="1057">
        <v>559</v>
      </c>
      <c r="C568" s="1018"/>
      <c r="D568" s="1018"/>
      <c r="E568" s="1018"/>
      <c r="F568" s="1018"/>
      <c r="G568" s="1018"/>
      <c r="H568" s="1018"/>
      <c r="I568" s="1018"/>
      <c r="J568" s="1018"/>
      <c r="K568" s="1018"/>
      <c r="L568" s="1018"/>
      <c r="M568" s="1057"/>
      <c r="N568" s="1018"/>
      <c r="O568" s="1018"/>
      <c r="P568" s="1018"/>
      <c r="Q568" s="1018"/>
      <c r="R568" s="1018"/>
      <c r="S568" s="1018"/>
      <c r="T568" s="1019"/>
      <c r="U568" s="1098" t="s">
        <v>4312</v>
      </c>
      <c r="V568" s="1099" t="s">
        <v>4299</v>
      </c>
      <c r="W568" s="1099" t="s">
        <v>1907</v>
      </c>
      <c r="X568" s="1100" t="s">
        <v>4313</v>
      </c>
      <c r="Y568" s="1101" t="s">
        <v>4314</v>
      </c>
      <c r="Z568" s="1102" t="s">
        <v>4315</v>
      </c>
      <c r="AA568" s="1103" t="s">
        <v>1942</v>
      </c>
      <c r="AB568" s="1104" t="s">
        <v>1942</v>
      </c>
      <c r="AC568" s="1104" t="s">
        <v>1942</v>
      </c>
      <c r="AD568" s="1104" t="s">
        <v>1942</v>
      </c>
      <c r="AE568" s="1104">
        <v>0.89200000000000002</v>
      </c>
      <c r="AF568" s="1104">
        <v>0.108</v>
      </c>
      <c r="AG568" s="1104" t="s">
        <v>1942</v>
      </c>
      <c r="AH568" s="1104" t="s">
        <v>1942</v>
      </c>
      <c r="AI568" s="1105">
        <f t="shared" si="8"/>
        <v>1</v>
      </c>
      <c r="AJ568" s="1106" t="s">
        <v>1030</v>
      </c>
      <c r="AK568" s="1106" t="s">
        <v>1008</v>
      </c>
      <c r="AL568" s="1106" t="s">
        <v>1009</v>
      </c>
      <c r="AM568" s="1107" t="s">
        <v>2117</v>
      </c>
      <c r="AN568" s="1018" t="s">
        <v>278</v>
      </c>
      <c r="AO568" s="1018" t="s">
        <v>1942</v>
      </c>
      <c r="AP568" s="1274">
        <v>2</v>
      </c>
      <c r="AQ568" s="1076" t="s">
        <v>1020</v>
      </c>
      <c r="AR568" s="1109" t="s">
        <v>1942</v>
      </c>
      <c r="AS568" s="1110"/>
      <c r="AT568" s="1100"/>
      <c r="AU568" s="1100"/>
      <c r="AV568" s="1100"/>
      <c r="AW568" s="1111"/>
      <c r="AX568" s="1112"/>
      <c r="AY568" s="1075"/>
      <c r="AZ568" s="1076"/>
      <c r="BA568" s="1076"/>
      <c r="BB568" s="1076"/>
      <c r="BC568" s="1076"/>
      <c r="BD568" s="1076"/>
      <c r="BE568" s="1076"/>
      <c r="BF568" s="1076"/>
      <c r="BG568" s="1076"/>
      <c r="BH568" s="1076"/>
      <c r="BI568" s="1420"/>
      <c r="BJ568" s="1368"/>
      <c r="BK568" s="1368"/>
      <c r="BL568" s="1368"/>
      <c r="BM568" s="1368"/>
      <c r="BN568" s="1075"/>
      <c r="BO568" s="1076"/>
      <c r="BP568" s="1076"/>
      <c r="BQ568" s="1076"/>
      <c r="BR568" s="1076"/>
      <c r="BS568" s="1115"/>
      <c r="BT568" s="1076"/>
      <c r="BU568" s="1076"/>
      <c r="BV568" s="1076"/>
      <c r="BW568" s="1116"/>
      <c r="BX568" s="1115"/>
      <c r="BY568" s="1076"/>
      <c r="BZ568" s="1076"/>
      <c r="CA568" s="1076"/>
      <c r="CB568" s="1116"/>
      <c r="CC568" s="1117"/>
      <c r="CD568" s="1376"/>
      <c r="CE568" s="1377"/>
      <c r="CF568" s="1377"/>
      <c r="CG568" s="1377"/>
      <c r="CH568" s="1440"/>
      <c r="CI568" s="1420"/>
      <c r="CJ568" s="1368"/>
      <c r="CK568" s="1368"/>
      <c r="CL568" s="1368"/>
      <c r="CM568" s="1369"/>
      <c r="CN568" s="1420"/>
      <c r="CO568" s="1368"/>
      <c r="CP568" s="1368"/>
      <c r="CQ568" s="1368"/>
      <c r="CR568" s="1369"/>
      <c r="CS568" s="1420"/>
      <c r="CT568" s="1368"/>
      <c r="CU568" s="1368"/>
      <c r="CV568" s="1368"/>
      <c r="CW568" s="1369"/>
      <c r="CX568" s="1420"/>
      <c r="CY568" s="1368"/>
      <c r="CZ568" s="1368"/>
      <c r="DA568" s="1368"/>
      <c r="DB568" s="1369"/>
      <c r="DC568" s="1368"/>
      <c r="DD568" s="1368"/>
      <c r="DE568" s="1368"/>
      <c r="DF568" s="1368"/>
      <c r="DG568" s="1369"/>
      <c r="DH568" s="1420"/>
      <c r="DI568" s="1368"/>
      <c r="DJ568" s="1368"/>
      <c r="DK568" s="1368"/>
      <c r="DL568" s="1369"/>
      <c r="DM568" s="1808"/>
      <c r="DN568" s="1809"/>
      <c r="DO568" s="1809"/>
      <c r="DP568" s="1810"/>
      <c r="DQ568" s="1809"/>
      <c r="DR568" s="1809"/>
      <c r="DS568" s="1809"/>
      <c r="DT568" s="1810"/>
      <c r="DU568" s="1377"/>
      <c r="DV568" s="1729"/>
      <c r="DW568" s="1811"/>
    </row>
    <row r="569" spans="1:127" s="397" customFormat="1" ht="15.75" hidden="1" customHeight="1">
      <c r="A569" s="1097" t="s">
        <v>1024</v>
      </c>
      <c r="B569" s="1057">
        <v>560</v>
      </c>
      <c r="C569" s="1018"/>
      <c r="D569" s="1018"/>
      <c r="E569" s="1018"/>
      <c r="F569" s="1018"/>
      <c r="G569" s="1018"/>
      <c r="H569" s="1018"/>
      <c r="I569" s="1018"/>
      <c r="J569" s="1018"/>
      <c r="K569" s="1018"/>
      <c r="L569" s="1018"/>
      <c r="M569" s="1057"/>
      <c r="N569" s="1018"/>
      <c r="O569" s="1018"/>
      <c r="P569" s="1018"/>
      <c r="Q569" s="1018"/>
      <c r="R569" s="1018"/>
      <c r="S569" s="1018"/>
      <c r="T569" s="1019"/>
      <c r="U569" s="1098" t="s">
        <v>4316</v>
      </c>
      <c r="V569" s="1099" t="s">
        <v>4299</v>
      </c>
      <c r="W569" s="1099" t="s">
        <v>1907</v>
      </c>
      <c r="X569" s="1100" t="s">
        <v>4317</v>
      </c>
      <c r="Y569" s="1101" t="s">
        <v>4318</v>
      </c>
      <c r="Z569" s="1102" t="s">
        <v>4319</v>
      </c>
      <c r="AA569" s="1103">
        <v>4.3999999999999997E-2</v>
      </c>
      <c r="AB569" s="1104">
        <v>0.33800000000000002</v>
      </c>
      <c r="AC569" s="1104">
        <v>0.48</v>
      </c>
      <c r="AD569" s="1104">
        <v>4.3999999999999997E-2</v>
      </c>
      <c r="AE569" s="1104">
        <v>8.4000000000000005E-2</v>
      </c>
      <c r="AF569" s="1104">
        <v>0.01</v>
      </c>
      <c r="AG569" s="1104" t="s">
        <v>1942</v>
      </c>
      <c r="AH569" s="1104" t="s">
        <v>1942</v>
      </c>
      <c r="AI569" s="1105">
        <f t="shared" si="8"/>
        <v>1</v>
      </c>
      <c r="AJ569" s="1106" t="s">
        <v>1007</v>
      </c>
      <c r="AK569" s="1106" t="s">
        <v>1942</v>
      </c>
      <c r="AL569" s="1106" t="s">
        <v>1942</v>
      </c>
      <c r="AM569" s="1107" t="s">
        <v>1910</v>
      </c>
      <c r="AN569" s="1018" t="s">
        <v>1083</v>
      </c>
      <c r="AO569" s="1018" t="s">
        <v>1942</v>
      </c>
      <c r="AP569" s="1274">
        <v>0</v>
      </c>
      <c r="AQ569" s="1076" t="s">
        <v>1010</v>
      </c>
      <c r="AR569" s="1109" t="s">
        <v>1942</v>
      </c>
      <c r="AS569" s="1110"/>
      <c r="AT569" s="1100"/>
      <c r="AU569" s="1100"/>
      <c r="AV569" s="1100"/>
      <c r="AW569" s="1111"/>
      <c r="AX569" s="1112"/>
      <c r="AY569" s="1075"/>
      <c r="AZ569" s="1076"/>
      <c r="BA569" s="1076"/>
      <c r="BB569" s="1076"/>
      <c r="BC569" s="1076"/>
      <c r="BD569" s="1076"/>
      <c r="BE569" s="1076"/>
      <c r="BF569" s="1076"/>
      <c r="BG569" s="1076"/>
      <c r="BH569" s="1076"/>
      <c r="BI569" s="1420"/>
      <c r="BJ569" s="1368"/>
      <c r="BK569" s="1368"/>
      <c r="BL569" s="1368"/>
      <c r="BM569" s="1368"/>
      <c r="BN569" s="1075"/>
      <c r="BO569" s="1076"/>
      <c r="BP569" s="1076"/>
      <c r="BQ569" s="1076"/>
      <c r="BR569" s="1076"/>
      <c r="BS569" s="1115"/>
      <c r="BT569" s="1076"/>
      <c r="BU569" s="1076"/>
      <c r="BV569" s="1076"/>
      <c r="BW569" s="1116"/>
      <c r="BX569" s="1115"/>
      <c r="BY569" s="1076"/>
      <c r="BZ569" s="1076"/>
      <c r="CA569" s="1076"/>
      <c r="CB569" s="1116"/>
      <c r="CC569" s="1117"/>
      <c r="CD569" s="1376"/>
      <c r="CE569" s="1377"/>
      <c r="CF569" s="1377"/>
      <c r="CG569" s="1377"/>
      <c r="CH569" s="1440"/>
      <c r="CI569" s="1420"/>
      <c r="CJ569" s="1368"/>
      <c r="CK569" s="1368"/>
      <c r="CL569" s="1368"/>
      <c r="CM569" s="1369"/>
      <c r="CN569" s="1420"/>
      <c r="CO569" s="1368"/>
      <c r="CP569" s="1368"/>
      <c r="CQ569" s="1368"/>
      <c r="CR569" s="1369"/>
      <c r="CS569" s="1420"/>
      <c r="CT569" s="1368"/>
      <c r="CU569" s="1368"/>
      <c r="CV569" s="1368"/>
      <c r="CW569" s="1369"/>
      <c r="CX569" s="1420"/>
      <c r="CY569" s="1368"/>
      <c r="CZ569" s="1368"/>
      <c r="DA569" s="1368"/>
      <c r="DB569" s="1369"/>
      <c r="DC569" s="1368"/>
      <c r="DD569" s="1368"/>
      <c r="DE569" s="1368"/>
      <c r="DF569" s="1368"/>
      <c r="DG569" s="1369"/>
      <c r="DH569" s="1420"/>
      <c r="DI569" s="1368"/>
      <c r="DJ569" s="1368"/>
      <c r="DK569" s="1368"/>
      <c r="DL569" s="1369"/>
      <c r="DM569" s="1808"/>
      <c r="DN569" s="1809"/>
      <c r="DO569" s="1809"/>
      <c r="DP569" s="1810"/>
      <c r="DQ569" s="1809"/>
      <c r="DR569" s="1809"/>
      <c r="DS569" s="1809"/>
      <c r="DT569" s="1810"/>
      <c r="DU569" s="1377"/>
      <c r="DV569" s="1729"/>
      <c r="DW569" s="1811"/>
    </row>
    <row r="570" spans="1:127" s="397" customFormat="1" ht="15.75" hidden="1" customHeight="1">
      <c r="A570" s="1097" t="s">
        <v>1024</v>
      </c>
      <c r="B570" s="1057">
        <v>561</v>
      </c>
      <c r="C570" s="1018"/>
      <c r="D570" s="1018"/>
      <c r="E570" s="1018"/>
      <c r="F570" s="1018"/>
      <c r="G570" s="1018"/>
      <c r="H570" s="1018"/>
      <c r="I570" s="1018"/>
      <c r="J570" s="1018"/>
      <c r="K570" s="1018"/>
      <c r="L570" s="1018"/>
      <c r="M570" s="1057"/>
      <c r="N570" s="1018"/>
      <c r="O570" s="1018"/>
      <c r="P570" s="1018"/>
      <c r="Q570" s="1018"/>
      <c r="R570" s="1018"/>
      <c r="S570" s="1018"/>
      <c r="T570" s="1019"/>
      <c r="U570" s="1098" t="s">
        <v>4320</v>
      </c>
      <c r="V570" s="1099" t="s">
        <v>4321</v>
      </c>
      <c r="W570" s="1099" t="s">
        <v>1907</v>
      </c>
      <c r="X570" s="1100" t="s">
        <v>4322</v>
      </c>
      <c r="Y570" s="1101" t="s">
        <v>535</v>
      </c>
      <c r="Z570" s="1102" t="s">
        <v>4323</v>
      </c>
      <c r="AA570" s="1103">
        <v>0.115</v>
      </c>
      <c r="AB570" s="1104">
        <v>0.88500000000000001</v>
      </c>
      <c r="AC570" s="1104" t="s">
        <v>1942</v>
      </c>
      <c r="AD570" s="1104" t="s">
        <v>1942</v>
      </c>
      <c r="AE570" s="1104" t="s">
        <v>1942</v>
      </c>
      <c r="AF570" s="1104" t="s">
        <v>1942</v>
      </c>
      <c r="AG570" s="1104" t="s">
        <v>1942</v>
      </c>
      <c r="AH570" s="1104" t="s">
        <v>1942</v>
      </c>
      <c r="AI570" s="1105">
        <f t="shared" si="8"/>
        <v>1</v>
      </c>
      <c r="AJ570" s="1106" t="s">
        <v>1007</v>
      </c>
      <c r="AK570" s="1106" t="s">
        <v>1942</v>
      </c>
      <c r="AL570" s="1106" t="s">
        <v>1942</v>
      </c>
      <c r="AM570" s="1107" t="s">
        <v>1910</v>
      </c>
      <c r="AN570" s="1018" t="s">
        <v>278</v>
      </c>
      <c r="AO570" s="1018" t="s">
        <v>4792</v>
      </c>
      <c r="AP570" s="1307">
        <v>1</v>
      </c>
      <c r="AQ570" s="1076" t="s">
        <v>1020</v>
      </c>
      <c r="AR570" s="1109" t="s">
        <v>535</v>
      </c>
      <c r="AS570" s="1110"/>
      <c r="AT570" s="1100"/>
      <c r="AU570" s="1100"/>
      <c r="AV570" s="1100"/>
      <c r="AW570" s="1111"/>
      <c r="AX570" s="1112"/>
      <c r="AY570" s="1075"/>
      <c r="AZ570" s="1076"/>
      <c r="BA570" s="1076"/>
      <c r="BB570" s="1076"/>
      <c r="BC570" s="1076"/>
      <c r="BD570" s="1076"/>
      <c r="BE570" s="1076"/>
      <c r="BF570" s="1076"/>
      <c r="BG570" s="1113"/>
      <c r="BH570" s="1113"/>
      <c r="BI570" s="1114">
        <v>4.5</v>
      </c>
      <c r="BJ570" s="1113">
        <v>4.5</v>
      </c>
      <c r="BK570" s="1113">
        <v>4.5</v>
      </c>
      <c r="BL570" s="1113">
        <v>4.5</v>
      </c>
      <c r="BM570" s="1113">
        <v>0</v>
      </c>
      <c r="BN570" s="1075"/>
      <c r="BO570" s="1076"/>
      <c r="BP570" s="1076"/>
      <c r="BQ570" s="1076"/>
      <c r="BR570" s="1076"/>
      <c r="BS570" s="1115"/>
      <c r="BT570" s="1076"/>
      <c r="BU570" s="1076"/>
      <c r="BV570" s="1076"/>
      <c r="BW570" s="1116"/>
      <c r="BX570" s="1115"/>
      <c r="BY570" s="1076"/>
      <c r="BZ570" s="1076"/>
      <c r="CA570" s="1076"/>
      <c r="CB570" s="1116"/>
      <c r="CC570" s="1117"/>
      <c r="CD570" s="1118" t="s">
        <v>1942</v>
      </c>
      <c r="CE570" s="1119" t="s">
        <v>1942</v>
      </c>
      <c r="CF570" s="1119" t="s">
        <v>1942</v>
      </c>
      <c r="CG570" s="1119" t="s">
        <v>1942</v>
      </c>
      <c r="CH570" s="1120" t="s">
        <v>1942</v>
      </c>
      <c r="CI570" s="1075" t="s">
        <v>1942</v>
      </c>
      <c r="CJ570" s="1076" t="s">
        <v>1942</v>
      </c>
      <c r="CK570" s="1076" t="s">
        <v>1942</v>
      </c>
      <c r="CL570" s="1076" t="s">
        <v>1942</v>
      </c>
      <c r="CM570" s="1117" t="s">
        <v>1942</v>
      </c>
      <c r="CN570" s="1075" t="s">
        <v>1942</v>
      </c>
      <c r="CO570" s="1076" t="s">
        <v>1942</v>
      </c>
      <c r="CP570" s="1076" t="s">
        <v>1942</v>
      </c>
      <c r="CQ570" s="1076" t="s">
        <v>1942</v>
      </c>
      <c r="CR570" s="1117" t="s">
        <v>1942</v>
      </c>
      <c r="CS570" s="1075" t="s">
        <v>1942</v>
      </c>
      <c r="CT570" s="1076" t="s">
        <v>1942</v>
      </c>
      <c r="CU570" s="1076" t="s">
        <v>1942</v>
      </c>
      <c r="CV570" s="1076" t="s">
        <v>1942</v>
      </c>
      <c r="CW570" s="1117" t="s">
        <v>1942</v>
      </c>
      <c r="CX570" s="1075" t="s">
        <v>1942</v>
      </c>
      <c r="CY570" s="1076" t="s">
        <v>1942</v>
      </c>
      <c r="CZ570" s="1076" t="s">
        <v>1942</v>
      </c>
      <c r="DA570" s="1076" t="s">
        <v>1942</v>
      </c>
      <c r="DB570" s="1117" t="s">
        <v>1942</v>
      </c>
      <c r="DC570" s="1076" t="s">
        <v>1942</v>
      </c>
      <c r="DD570" s="1076" t="s">
        <v>1942</v>
      </c>
      <c r="DE570" s="1076" t="s">
        <v>1942</v>
      </c>
      <c r="DF570" s="1076" t="s">
        <v>1942</v>
      </c>
      <c r="DG570" s="1117" t="s">
        <v>1942</v>
      </c>
      <c r="DH570" s="1075" t="s">
        <v>1942</v>
      </c>
      <c r="DI570" s="1076" t="s">
        <v>1942</v>
      </c>
      <c r="DJ570" s="1076" t="s">
        <v>1942</v>
      </c>
      <c r="DK570" s="1076" t="s">
        <v>1942</v>
      </c>
      <c r="DL570" s="1117" t="s">
        <v>1942</v>
      </c>
      <c r="DM570" s="1121" t="s">
        <v>1942</v>
      </c>
      <c r="DN570" s="1122" t="s">
        <v>1942</v>
      </c>
      <c r="DO570" s="1122" t="s">
        <v>1942</v>
      </c>
      <c r="DP570" s="1123" t="s">
        <v>1942</v>
      </c>
      <c r="DQ570" s="1122" t="s">
        <v>1942</v>
      </c>
      <c r="DR570" s="1122" t="s">
        <v>1942</v>
      </c>
      <c r="DS570" s="1122" t="s">
        <v>1942</v>
      </c>
      <c r="DT570" s="1123" t="s">
        <v>1942</v>
      </c>
      <c r="DU570" s="1119" t="s">
        <v>1942</v>
      </c>
      <c r="DV570" s="1124">
        <v>1</v>
      </c>
      <c r="DW570" s="1125" t="s">
        <v>1942</v>
      </c>
    </row>
    <row r="571" spans="1:127" s="397" customFormat="1" ht="15.75" hidden="1" customHeight="1">
      <c r="A571" s="1097" t="s">
        <v>1024</v>
      </c>
      <c r="B571" s="1057">
        <v>562</v>
      </c>
      <c r="C571" s="1018"/>
      <c r="D571" s="1018"/>
      <c r="E571" s="1018"/>
      <c r="F571" s="1018"/>
      <c r="G571" s="1018"/>
      <c r="H571" s="1018"/>
      <c r="I571" s="1018"/>
      <c r="J571" s="1018"/>
      <c r="K571" s="1018"/>
      <c r="L571" s="1018"/>
      <c r="M571" s="1057"/>
      <c r="N571" s="1018"/>
      <c r="O571" s="1018"/>
      <c r="P571" s="1018"/>
      <c r="Q571" s="1018"/>
      <c r="R571" s="1018"/>
      <c r="S571" s="1018"/>
      <c r="T571" s="1019"/>
      <c r="U571" s="1098" t="s">
        <v>4324</v>
      </c>
      <c r="V571" s="1099" t="s">
        <v>4321</v>
      </c>
      <c r="W571" s="1099" t="s">
        <v>1907</v>
      </c>
      <c r="X571" s="1100" t="s">
        <v>4325</v>
      </c>
      <c r="Y571" s="1101" t="s">
        <v>839</v>
      </c>
      <c r="Z571" s="1102" t="s">
        <v>4326</v>
      </c>
      <c r="AA571" s="1103" t="s">
        <v>1942</v>
      </c>
      <c r="AB571" s="1104" t="s">
        <v>1942</v>
      </c>
      <c r="AC571" s="1104">
        <v>1</v>
      </c>
      <c r="AD571" s="1104" t="s">
        <v>1942</v>
      </c>
      <c r="AE571" s="1104" t="s">
        <v>1942</v>
      </c>
      <c r="AF571" s="1104" t="s">
        <v>1942</v>
      </c>
      <c r="AG571" s="1104" t="s">
        <v>1942</v>
      </c>
      <c r="AH571" s="1104" t="s">
        <v>1942</v>
      </c>
      <c r="AI571" s="1105">
        <f t="shared" si="8"/>
        <v>1</v>
      </c>
      <c r="AJ571" s="1106" t="s">
        <v>1007</v>
      </c>
      <c r="AK571" s="1106" t="s">
        <v>1942</v>
      </c>
      <c r="AL571" s="1106" t="s">
        <v>1942</v>
      </c>
      <c r="AM571" s="1107" t="s">
        <v>1910</v>
      </c>
      <c r="AN571" s="1018" t="s">
        <v>278</v>
      </c>
      <c r="AO571" s="1018" t="s">
        <v>4792</v>
      </c>
      <c r="AP571" s="1307">
        <v>2</v>
      </c>
      <c r="AQ571" s="1076" t="s">
        <v>1020</v>
      </c>
      <c r="AR571" s="1109" t="s">
        <v>839</v>
      </c>
      <c r="AS571" s="1110"/>
      <c r="AT571" s="1100"/>
      <c r="AU571" s="1100"/>
      <c r="AV571" s="1100"/>
      <c r="AW571" s="1111"/>
      <c r="AX571" s="1112"/>
      <c r="AY571" s="1075"/>
      <c r="AZ571" s="1076"/>
      <c r="BA571" s="1076"/>
      <c r="BB571" s="1076"/>
      <c r="BC571" s="1076"/>
      <c r="BD571" s="1076"/>
      <c r="BE571" s="1076"/>
      <c r="BF571" s="1076"/>
      <c r="BG571" s="1126"/>
      <c r="BH571" s="1126"/>
      <c r="BI571" s="1127">
        <v>30.69</v>
      </c>
      <c r="BJ571" s="1126">
        <v>30.38</v>
      </c>
      <c r="BK571" s="1126">
        <v>30.07</v>
      </c>
      <c r="BL571" s="1126">
        <v>29.76</v>
      </c>
      <c r="BM571" s="1126">
        <v>29.45</v>
      </c>
      <c r="BN571" s="1075"/>
      <c r="BO571" s="1076"/>
      <c r="BP571" s="1076"/>
      <c r="BQ571" s="1076"/>
      <c r="BR571" s="1076"/>
      <c r="BS571" s="1115"/>
      <c r="BT571" s="1076"/>
      <c r="BU571" s="1076"/>
      <c r="BV571" s="1076"/>
      <c r="BW571" s="1116"/>
      <c r="BX571" s="1115"/>
      <c r="BY571" s="1076"/>
      <c r="BZ571" s="1076"/>
      <c r="CA571" s="1076"/>
      <c r="CB571" s="1116"/>
      <c r="CC571" s="1117"/>
      <c r="CD571" s="1118" t="s">
        <v>1942</v>
      </c>
      <c r="CE571" s="1119" t="s">
        <v>1942</v>
      </c>
      <c r="CF571" s="1119" t="s">
        <v>1942</v>
      </c>
      <c r="CG571" s="1119" t="s">
        <v>1942</v>
      </c>
      <c r="CH571" s="1120" t="s">
        <v>1942</v>
      </c>
      <c r="CI571" s="1075" t="s">
        <v>1942</v>
      </c>
      <c r="CJ571" s="1076" t="s">
        <v>1942</v>
      </c>
      <c r="CK571" s="1076" t="s">
        <v>1942</v>
      </c>
      <c r="CL571" s="1076" t="s">
        <v>1942</v>
      </c>
      <c r="CM571" s="1117" t="s">
        <v>1942</v>
      </c>
      <c r="CN571" s="1075" t="s">
        <v>1942</v>
      </c>
      <c r="CO571" s="1076" t="s">
        <v>1942</v>
      </c>
      <c r="CP571" s="1076" t="s">
        <v>1942</v>
      </c>
      <c r="CQ571" s="1076" t="s">
        <v>1942</v>
      </c>
      <c r="CR571" s="1117" t="s">
        <v>1942</v>
      </c>
      <c r="CS571" s="1075" t="s">
        <v>1942</v>
      </c>
      <c r="CT571" s="1076" t="s">
        <v>1942</v>
      </c>
      <c r="CU571" s="1076" t="s">
        <v>1942</v>
      </c>
      <c r="CV571" s="1076" t="s">
        <v>1942</v>
      </c>
      <c r="CW571" s="1117" t="s">
        <v>1942</v>
      </c>
      <c r="CX571" s="1075" t="s">
        <v>1942</v>
      </c>
      <c r="CY571" s="1076" t="s">
        <v>1942</v>
      </c>
      <c r="CZ571" s="1076" t="s">
        <v>1942</v>
      </c>
      <c r="DA571" s="1076" t="s">
        <v>1942</v>
      </c>
      <c r="DB571" s="1117" t="s">
        <v>1942</v>
      </c>
      <c r="DC571" s="1076" t="s">
        <v>1942</v>
      </c>
      <c r="DD571" s="1076" t="s">
        <v>1942</v>
      </c>
      <c r="DE571" s="1076" t="s">
        <v>1942</v>
      </c>
      <c r="DF571" s="1076" t="s">
        <v>1942</v>
      </c>
      <c r="DG571" s="1117" t="s">
        <v>1942</v>
      </c>
      <c r="DH571" s="1075" t="s">
        <v>1942</v>
      </c>
      <c r="DI571" s="1076" t="s">
        <v>1942</v>
      </c>
      <c r="DJ571" s="1076" t="s">
        <v>1942</v>
      </c>
      <c r="DK571" s="1076" t="s">
        <v>1942</v>
      </c>
      <c r="DL571" s="1117" t="s">
        <v>1942</v>
      </c>
      <c r="DM571" s="1121" t="s">
        <v>1942</v>
      </c>
      <c r="DN571" s="1122" t="s">
        <v>1942</v>
      </c>
      <c r="DO571" s="1122" t="s">
        <v>1942</v>
      </c>
      <c r="DP571" s="1123" t="s">
        <v>1942</v>
      </c>
      <c r="DQ571" s="1122" t="s">
        <v>1942</v>
      </c>
      <c r="DR571" s="1122" t="s">
        <v>1942</v>
      </c>
      <c r="DS571" s="1122" t="s">
        <v>1942</v>
      </c>
      <c r="DT571" s="1123" t="s">
        <v>1942</v>
      </c>
      <c r="DU571" s="1119" t="s">
        <v>1942</v>
      </c>
      <c r="DV571" s="1124">
        <v>1</v>
      </c>
      <c r="DW571" s="1125" t="s">
        <v>1942</v>
      </c>
    </row>
    <row r="572" spans="1:127" s="397" customFormat="1" ht="15.75" hidden="1" customHeight="1">
      <c r="A572" s="1097" t="s">
        <v>1024</v>
      </c>
      <c r="B572" s="1057">
        <v>563</v>
      </c>
      <c r="C572" s="1018"/>
      <c r="D572" s="1018"/>
      <c r="E572" s="1018"/>
      <c r="F572" s="1018"/>
      <c r="G572" s="1018"/>
      <c r="H572" s="1018"/>
      <c r="I572" s="1018"/>
      <c r="J572" s="1018"/>
      <c r="K572" s="1018"/>
      <c r="L572" s="1018"/>
      <c r="M572" s="1057"/>
      <c r="N572" s="1018"/>
      <c r="O572" s="1018"/>
      <c r="P572" s="1018"/>
      <c r="Q572" s="1018"/>
      <c r="R572" s="1018"/>
      <c r="S572" s="1018"/>
      <c r="T572" s="1019"/>
      <c r="U572" s="1098" t="s">
        <v>4328</v>
      </c>
      <c r="V572" s="1099" t="s">
        <v>4321</v>
      </c>
      <c r="W572" s="1099" t="s">
        <v>1889</v>
      </c>
      <c r="X572" s="1100" t="s">
        <v>4329</v>
      </c>
      <c r="Y572" s="1101" t="s">
        <v>4330</v>
      </c>
      <c r="Z572" s="1102" t="s">
        <v>4331</v>
      </c>
      <c r="AA572" s="1103">
        <v>4.3999999999999997E-2</v>
      </c>
      <c r="AB572" s="1104">
        <v>0.33800000000000002</v>
      </c>
      <c r="AC572" s="1104">
        <v>0.48</v>
      </c>
      <c r="AD572" s="1104">
        <v>4.3999999999999997E-2</v>
      </c>
      <c r="AE572" s="1104">
        <v>8.4000000000000005E-2</v>
      </c>
      <c r="AF572" s="1104">
        <v>0.01</v>
      </c>
      <c r="AG572" s="1104" t="s">
        <v>1942</v>
      </c>
      <c r="AH572" s="1104" t="s">
        <v>1942</v>
      </c>
      <c r="AI572" s="1105">
        <f t="shared" si="8"/>
        <v>1</v>
      </c>
      <c r="AJ572" s="1106" t="s">
        <v>1007</v>
      </c>
      <c r="AK572" s="1106" t="s">
        <v>1942</v>
      </c>
      <c r="AL572" s="1106" t="s">
        <v>1942</v>
      </c>
      <c r="AM572" s="1107" t="s">
        <v>2132</v>
      </c>
      <c r="AN572" s="1018" t="s">
        <v>278</v>
      </c>
      <c r="AO572" s="1018" t="s">
        <v>1942</v>
      </c>
      <c r="AP572" s="1307">
        <v>0</v>
      </c>
      <c r="AQ572" s="1076" t="s">
        <v>1010</v>
      </c>
      <c r="AR572" s="1109" t="s">
        <v>1942</v>
      </c>
      <c r="AS572" s="1110"/>
      <c r="AT572" s="1100"/>
      <c r="AU572" s="1100"/>
      <c r="AV572" s="1100"/>
      <c r="AW572" s="1111"/>
      <c r="AX572" s="1112"/>
      <c r="AY572" s="1075"/>
      <c r="AZ572" s="1076"/>
      <c r="BA572" s="1076"/>
      <c r="BB572" s="1076"/>
      <c r="BC572" s="1076"/>
      <c r="BD572" s="1076"/>
      <c r="BE572" s="1076"/>
      <c r="BF572" s="1076"/>
      <c r="BG572" s="1076"/>
      <c r="BH572" s="1076"/>
      <c r="BI572" s="1420"/>
      <c r="BJ572" s="1368"/>
      <c r="BK572" s="1368"/>
      <c r="BL572" s="1368"/>
      <c r="BM572" s="1368"/>
      <c r="BN572" s="1075"/>
      <c r="BO572" s="1076"/>
      <c r="BP572" s="1076"/>
      <c r="BQ572" s="1076"/>
      <c r="BR572" s="1076"/>
      <c r="BS572" s="1115"/>
      <c r="BT572" s="1076"/>
      <c r="BU572" s="1076"/>
      <c r="BV572" s="1076"/>
      <c r="BW572" s="1116"/>
      <c r="BX572" s="1115"/>
      <c r="BY572" s="1076"/>
      <c r="BZ572" s="1076"/>
      <c r="CA572" s="1076"/>
      <c r="CB572" s="1116"/>
      <c r="CC572" s="1117"/>
      <c r="CD572" s="1376"/>
      <c r="CE572" s="1377"/>
      <c r="CF572" s="1377"/>
      <c r="CG572" s="1377"/>
      <c r="CH572" s="1440"/>
      <c r="CI572" s="1420"/>
      <c r="CJ572" s="1368"/>
      <c r="CK572" s="1368"/>
      <c r="CL572" s="1368"/>
      <c r="CM572" s="1369"/>
      <c r="CN572" s="1420"/>
      <c r="CO572" s="1368"/>
      <c r="CP572" s="1368"/>
      <c r="CQ572" s="1368"/>
      <c r="CR572" s="1369"/>
      <c r="CS572" s="1420"/>
      <c r="CT572" s="1368"/>
      <c r="CU572" s="1368"/>
      <c r="CV572" s="1368"/>
      <c r="CW572" s="1369"/>
      <c r="CX572" s="1420"/>
      <c r="CY572" s="1368"/>
      <c r="CZ572" s="1368"/>
      <c r="DA572" s="1368"/>
      <c r="DB572" s="1369"/>
      <c r="DC572" s="1368"/>
      <c r="DD572" s="1368"/>
      <c r="DE572" s="1368"/>
      <c r="DF572" s="1368"/>
      <c r="DG572" s="1369"/>
      <c r="DH572" s="1420"/>
      <c r="DI572" s="1368"/>
      <c r="DJ572" s="1368"/>
      <c r="DK572" s="1368"/>
      <c r="DL572" s="1369"/>
      <c r="DM572" s="1808"/>
      <c r="DN572" s="1809"/>
      <c r="DO572" s="1809"/>
      <c r="DP572" s="1810"/>
      <c r="DQ572" s="1809"/>
      <c r="DR572" s="1809"/>
      <c r="DS572" s="1809"/>
      <c r="DT572" s="1810"/>
      <c r="DU572" s="1377"/>
      <c r="DV572" s="1729"/>
      <c r="DW572" s="1811"/>
    </row>
    <row r="573" spans="1:127" s="397" customFormat="1" ht="15.75" hidden="1" customHeight="1">
      <c r="A573" s="1097" t="s">
        <v>1024</v>
      </c>
      <c r="B573" s="1057">
        <v>564</v>
      </c>
      <c r="C573" s="1018"/>
      <c r="D573" s="1018"/>
      <c r="E573" s="1018"/>
      <c r="F573" s="1018"/>
      <c r="G573" s="1018"/>
      <c r="H573" s="1018"/>
      <c r="I573" s="1018"/>
      <c r="J573" s="1018"/>
      <c r="K573" s="1018"/>
      <c r="L573" s="1018"/>
      <c r="M573" s="1057"/>
      <c r="N573" s="1018"/>
      <c r="O573" s="1018"/>
      <c r="P573" s="1018"/>
      <c r="Q573" s="1018"/>
      <c r="R573" s="1018"/>
      <c r="S573" s="1018"/>
      <c r="T573" s="1019"/>
      <c r="U573" s="1098" t="s">
        <v>4332</v>
      </c>
      <c r="V573" s="1099" t="s">
        <v>4321</v>
      </c>
      <c r="W573" s="1099" t="s">
        <v>1896</v>
      </c>
      <c r="X573" s="1100" t="s">
        <v>4333</v>
      </c>
      <c r="Y573" s="1101" t="s">
        <v>4334</v>
      </c>
      <c r="Z573" s="1102" t="s">
        <v>4335</v>
      </c>
      <c r="AA573" s="1103" t="s">
        <v>1942</v>
      </c>
      <c r="AB573" s="1104" t="s">
        <v>1942</v>
      </c>
      <c r="AC573" s="1104">
        <v>1</v>
      </c>
      <c r="AD573" s="1104" t="s">
        <v>1942</v>
      </c>
      <c r="AE573" s="1104" t="s">
        <v>1942</v>
      </c>
      <c r="AF573" s="1104" t="s">
        <v>1942</v>
      </c>
      <c r="AG573" s="1104" t="s">
        <v>1942</v>
      </c>
      <c r="AH573" s="1104" t="s">
        <v>1942</v>
      </c>
      <c r="AI573" s="1105">
        <f t="shared" si="8"/>
        <v>1</v>
      </c>
      <c r="AJ573" s="1106" t="s">
        <v>1030</v>
      </c>
      <c r="AK573" s="1106" t="s">
        <v>1008</v>
      </c>
      <c r="AL573" s="1106" t="s">
        <v>1009</v>
      </c>
      <c r="AM573" s="1107" t="s">
        <v>2106</v>
      </c>
      <c r="AN573" s="1018" t="s">
        <v>1033</v>
      </c>
      <c r="AO573" s="1018" t="s">
        <v>4336</v>
      </c>
      <c r="AP573" s="1274">
        <v>0</v>
      </c>
      <c r="AQ573" s="1076" t="s">
        <v>1010</v>
      </c>
      <c r="AR573" s="1109" t="s">
        <v>1942</v>
      </c>
      <c r="AS573" s="1110"/>
      <c r="AT573" s="1100"/>
      <c r="AU573" s="1100"/>
      <c r="AV573" s="1100"/>
      <c r="AW573" s="1111"/>
      <c r="AX573" s="1112"/>
      <c r="AY573" s="1075"/>
      <c r="AZ573" s="1076"/>
      <c r="BA573" s="1076"/>
      <c r="BB573" s="1076"/>
      <c r="BC573" s="1076"/>
      <c r="BD573" s="1076"/>
      <c r="BE573" s="1076"/>
      <c r="BF573" s="1076"/>
      <c r="BG573" s="1076"/>
      <c r="BH573" s="1076"/>
      <c r="BI573" s="1420"/>
      <c r="BJ573" s="1368"/>
      <c r="BK573" s="1368"/>
      <c r="BL573" s="1368"/>
      <c r="BM573" s="1368"/>
      <c r="BN573" s="1075"/>
      <c r="BO573" s="1076"/>
      <c r="BP573" s="1076"/>
      <c r="BQ573" s="1076"/>
      <c r="BR573" s="1076"/>
      <c r="BS573" s="1115"/>
      <c r="BT573" s="1076"/>
      <c r="BU573" s="1076"/>
      <c r="BV573" s="1076"/>
      <c r="BW573" s="1116"/>
      <c r="BX573" s="1115"/>
      <c r="BY573" s="1076"/>
      <c r="BZ573" s="1076"/>
      <c r="CA573" s="1076"/>
      <c r="CB573" s="1116"/>
      <c r="CC573" s="1117"/>
      <c r="CD573" s="1376"/>
      <c r="CE573" s="1377"/>
      <c r="CF573" s="1377"/>
      <c r="CG573" s="1377"/>
      <c r="CH573" s="1440"/>
      <c r="CI573" s="1420"/>
      <c r="CJ573" s="1368"/>
      <c r="CK573" s="1368"/>
      <c r="CL573" s="1368"/>
      <c r="CM573" s="1369"/>
      <c r="CN573" s="1420"/>
      <c r="CO573" s="1368"/>
      <c r="CP573" s="1368"/>
      <c r="CQ573" s="1368"/>
      <c r="CR573" s="1369"/>
      <c r="CS573" s="1420"/>
      <c r="CT573" s="1368"/>
      <c r="CU573" s="1368"/>
      <c r="CV573" s="1368"/>
      <c r="CW573" s="1369"/>
      <c r="CX573" s="1420"/>
      <c r="CY573" s="1368"/>
      <c r="CZ573" s="1368"/>
      <c r="DA573" s="1368"/>
      <c r="DB573" s="1369"/>
      <c r="DC573" s="1368"/>
      <c r="DD573" s="1368"/>
      <c r="DE573" s="1368"/>
      <c r="DF573" s="1368"/>
      <c r="DG573" s="1369"/>
      <c r="DH573" s="1420"/>
      <c r="DI573" s="1368"/>
      <c r="DJ573" s="1368"/>
      <c r="DK573" s="1368"/>
      <c r="DL573" s="1369"/>
      <c r="DM573" s="1808"/>
      <c r="DN573" s="1809"/>
      <c r="DO573" s="1809"/>
      <c r="DP573" s="1810"/>
      <c r="DQ573" s="1809"/>
      <c r="DR573" s="1809"/>
      <c r="DS573" s="1809"/>
      <c r="DT573" s="1810"/>
      <c r="DU573" s="1377"/>
      <c r="DV573" s="1729"/>
      <c r="DW573" s="1811"/>
    </row>
    <row r="574" spans="1:127" s="397" customFormat="1" ht="15.75" hidden="1" customHeight="1">
      <c r="A574" s="1097" t="s">
        <v>1024</v>
      </c>
      <c r="B574" s="1057">
        <v>565</v>
      </c>
      <c r="C574" s="1018"/>
      <c r="D574" s="1018"/>
      <c r="E574" s="1018"/>
      <c r="F574" s="1018"/>
      <c r="G574" s="1018"/>
      <c r="H574" s="1018"/>
      <c r="I574" s="1018"/>
      <c r="J574" s="1018"/>
      <c r="K574" s="1018"/>
      <c r="L574" s="1018"/>
      <c r="M574" s="1057"/>
      <c r="N574" s="1018"/>
      <c r="O574" s="1018"/>
      <c r="P574" s="1018"/>
      <c r="Q574" s="1018"/>
      <c r="R574" s="1018"/>
      <c r="S574" s="1018"/>
      <c r="T574" s="1019"/>
      <c r="U574" s="1098" t="s">
        <v>4337</v>
      </c>
      <c r="V574" s="1099" t="s">
        <v>4321</v>
      </c>
      <c r="W574" s="1099" t="s">
        <v>1889</v>
      </c>
      <c r="X574" s="1100" t="s">
        <v>4338</v>
      </c>
      <c r="Y574" s="1101" t="s">
        <v>4339</v>
      </c>
      <c r="Z574" s="1102" t="s">
        <v>4340</v>
      </c>
      <c r="AA574" s="1103">
        <v>1</v>
      </c>
      <c r="AB574" s="1104" t="s">
        <v>1942</v>
      </c>
      <c r="AC574" s="1104" t="s">
        <v>1942</v>
      </c>
      <c r="AD574" s="1104" t="s">
        <v>1942</v>
      </c>
      <c r="AE574" s="1104" t="s">
        <v>1942</v>
      </c>
      <c r="AF574" s="1104" t="s">
        <v>1942</v>
      </c>
      <c r="AG574" s="1104" t="s">
        <v>1942</v>
      </c>
      <c r="AH574" s="1104" t="s">
        <v>1942</v>
      </c>
      <c r="AI574" s="1105">
        <f t="shared" si="8"/>
        <v>1</v>
      </c>
      <c r="AJ574" s="1106" t="s">
        <v>1007</v>
      </c>
      <c r="AK574" s="1106" t="s">
        <v>1942</v>
      </c>
      <c r="AL574" s="1106" t="s">
        <v>1942</v>
      </c>
      <c r="AM574" s="1107" t="s">
        <v>1910</v>
      </c>
      <c r="AN574" s="1018" t="s">
        <v>278</v>
      </c>
      <c r="AO574" s="1018" t="s">
        <v>1942</v>
      </c>
      <c r="AP574" s="1274">
        <v>1</v>
      </c>
      <c r="AQ574" s="1076" t="s">
        <v>1010</v>
      </c>
      <c r="AR574" s="1109" t="s">
        <v>1942</v>
      </c>
      <c r="AS574" s="1110"/>
      <c r="AT574" s="1100"/>
      <c r="AU574" s="1100"/>
      <c r="AV574" s="1100"/>
      <c r="AW574" s="1111"/>
      <c r="AX574" s="1112"/>
      <c r="AY574" s="1075"/>
      <c r="AZ574" s="1076"/>
      <c r="BA574" s="1076"/>
      <c r="BB574" s="1076"/>
      <c r="BC574" s="1076"/>
      <c r="BD574" s="1076"/>
      <c r="BE574" s="1076"/>
      <c r="BF574" s="1076"/>
      <c r="BG574" s="1076"/>
      <c r="BH574" s="1076"/>
      <c r="BI574" s="1420"/>
      <c r="BJ574" s="1368"/>
      <c r="BK574" s="1368"/>
      <c r="BL574" s="1368"/>
      <c r="BM574" s="1368"/>
      <c r="BN574" s="1075"/>
      <c r="BO574" s="1076"/>
      <c r="BP574" s="1076"/>
      <c r="BQ574" s="1076"/>
      <c r="BR574" s="1076"/>
      <c r="BS574" s="1115"/>
      <c r="BT574" s="1076"/>
      <c r="BU574" s="1076"/>
      <c r="BV574" s="1076"/>
      <c r="BW574" s="1116"/>
      <c r="BX574" s="1115"/>
      <c r="BY574" s="1076"/>
      <c r="BZ574" s="1076"/>
      <c r="CA574" s="1076"/>
      <c r="CB574" s="1116"/>
      <c r="CC574" s="1117"/>
      <c r="CD574" s="1376"/>
      <c r="CE574" s="1377"/>
      <c r="CF574" s="1377"/>
      <c r="CG574" s="1377"/>
      <c r="CH574" s="1440"/>
      <c r="CI574" s="1420"/>
      <c r="CJ574" s="1368"/>
      <c r="CK574" s="1368"/>
      <c r="CL574" s="1368"/>
      <c r="CM574" s="1369"/>
      <c r="CN574" s="1420"/>
      <c r="CO574" s="1368"/>
      <c r="CP574" s="1368"/>
      <c r="CQ574" s="1368"/>
      <c r="CR574" s="1369"/>
      <c r="CS574" s="1420"/>
      <c r="CT574" s="1368"/>
      <c r="CU574" s="1368"/>
      <c r="CV574" s="1368"/>
      <c r="CW574" s="1369"/>
      <c r="CX574" s="1420"/>
      <c r="CY574" s="1368"/>
      <c r="CZ574" s="1368"/>
      <c r="DA574" s="1368"/>
      <c r="DB574" s="1369"/>
      <c r="DC574" s="1368"/>
      <c r="DD574" s="1368"/>
      <c r="DE574" s="1368"/>
      <c r="DF574" s="1368"/>
      <c r="DG574" s="1369"/>
      <c r="DH574" s="1420"/>
      <c r="DI574" s="1368"/>
      <c r="DJ574" s="1368"/>
      <c r="DK574" s="1368"/>
      <c r="DL574" s="1369"/>
      <c r="DM574" s="1808"/>
      <c r="DN574" s="1809"/>
      <c r="DO574" s="1809"/>
      <c r="DP574" s="1810"/>
      <c r="DQ574" s="1809"/>
      <c r="DR574" s="1809"/>
      <c r="DS574" s="1809"/>
      <c r="DT574" s="1810"/>
      <c r="DU574" s="1377"/>
      <c r="DV574" s="1729"/>
      <c r="DW574" s="1811"/>
    </row>
    <row r="575" spans="1:127" s="397" customFormat="1" ht="15.75" hidden="1" customHeight="1">
      <c r="A575" s="1097" t="s">
        <v>1024</v>
      </c>
      <c r="B575" s="1057">
        <v>566</v>
      </c>
      <c r="C575" s="1018"/>
      <c r="D575" s="1018"/>
      <c r="E575" s="1018"/>
      <c r="F575" s="1018"/>
      <c r="G575" s="1018"/>
      <c r="H575" s="1018"/>
      <c r="I575" s="1018"/>
      <c r="J575" s="1018"/>
      <c r="K575" s="1018"/>
      <c r="L575" s="1018"/>
      <c r="M575" s="1057"/>
      <c r="N575" s="1018"/>
      <c r="O575" s="1018"/>
      <c r="P575" s="1018"/>
      <c r="Q575" s="1018"/>
      <c r="R575" s="1018"/>
      <c r="S575" s="1018"/>
      <c r="T575" s="1019"/>
      <c r="U575" s="1098" t="s">
        <v>4341</v>
      </c>
      <c r="V575" s="1099" t="s">
        <v>4321</v>
      </c>
      <c r="W575" s="1099" t="s">
        <v>1889</v>
      </c>
      <c r="X575" s="1100" t="s">
        <v>4342</v>
      </c>
      <c r="Y575" s="1101" t="s">
        <v>4343</v>
      </c>
      <c r="Z575" s="1102" t="s">
        <v>4344</v>
      </c>
      <c r="AA575" s="1103" t="s">
        <v>1942</v>
      </c>
      <c r="AB575" s="1104">
        <v>1</v>
      </c>
      <c r="AC575" s="1104" t="s">
        <v>1942</v>
      </c>
      <c r="AD575" s="1104" t="s">
        <v>1942</v>
      </c>
      <c r="AE575" s="1104" t="s">
        <v>1942</v>
      </c>
      <c r="AF575" s="1104" t="s">
        <v>1942</v>
      </c>
      <c r="AG575" s="1104" t="s">
        <v>1942</v>
      </c>
      <c r="AH575" s="1104" t="s">
        <v>1942</v>
      </c>
      <c r="AI575" s="1105">
        <f t="shared" si="8"/>
        <v>1</v>
      </c>
      <c r="AJ575" s="1106" t="s">
        <v>1007</v>
      </c>
      <c r="AK575" s="1106" t="s">
        <v>1942</v>
      </c>
      <c r="AL575" s="1106" t="s">
        <v>1942</v>
      </c>
      <c r="AM575" s="1107" t="s">
        <v>1910</v>
      </c>
      <c r="AN575" s="1018" t="s">
        <v>278</v>
      </c>
      <c r="AO575" s="1018" t="s">
        <v>1942</v>
      </c>
      <c r="AP575" s="1274">
        <v>1</v>
      </c>
      <c r="AQ575" s="1076" t="s">
        <v>1010</v>
      </c>
      <c r="AR575" s="1109" t="s">
        <v>1942</v>
      </c>
      <c r="AS575" s="1110"/>
      <c r="AT575" s="1100"/>
      <c r="AU575" s="1100"/>
      <c r="AV575" s="1100"/>
      <c r="AW575" s="1111"/>
      <c r="AX575" s="1112"/>
      <c r="AY575" s="1075"/>
      <c r="AZ575" s="1076"/>
      <c r="BA575" s="1076"/>
      <c r="BB575" s="1076"/>
      <c r="BC575" s="1076"/>
      <c r="BD575" s="1076"/>
      <c r="BE575" s="1076"/>
      <c r="BF575" s="1076"/>
      <c r="BG575" s="1076"/>
      <c r="BH575" s="1076"/>
      <c r="BI575" s="1420"/>
      <c r="BJ575" s="1368"/>
      <c r="BK575" s="1368"/>
      <c r="BL575" s="1368"/>
      <c r="BM575" s="1368"/>
      <c r="BN575" s="1075"/>
      <c r="BO575" s="1076"/>
      <c r="BP575" s="1076"/>
      <c r="BQ575" s="1076"/>
      <c r="BR575" s="1076"/>
      <c r="BS575" s="1115"/>
      <c r="BT575" s="1076"/>
      <c r="BU575" s="1076"/>
      <c r="BV575" s="1076"/>
      <c r="BW575" s="1116"/>
      <c r="BX575" s="1115"/>
      <c r="BY575" s="1076"/>
      <c r="BZ575" s="1076"/>
      <c r="CA575" s="1076"/>
      <c r="CB575" s="1116"/>
      <c r="CC575" s="1117"/>
      <c r="CD575" s="1376"/>
      <c r="CE575" s="1377"/>
      <c r="CF575" s="1377"/>
      <c r="CG575" s="1377"/>
      <c r="CH575" s="1440"/>
      <c r="CI575" s="1420"/>
      <c r="CJ575" s="1368"/>
      <c r="CK575" s="1368"/>
      <c r="CL575" s="1368"/>
      <c r="CM575" s="1369"/>
      <c r="CN575" s="1420"/>
      <c r="CO575" s="1368"/>
      <c r="CP575" s="1368"/>
      <c r="CQ575" s="1368"/>
      <c r="CR575" s="1369"/>
      <c r="CS575" s="1420"/>
      <c r="CT575" s="1368"/>
      <c r="CU575" s="1368"/>
      <c r="CV575" s="1368"/>
      <c r="CW575" s="1369"/>
      <c r="CX575" s="1420"/>
      <c r="CY575" s="1368"/>
      <c r="CZ575" s="1368"/>
      <c r="DA575" s="1368"/>
      <c r="DB575" s="1369"/>
      <c r="DC575" s="1368"/>
      <c r="DD575" s="1368"/>
      <c r="DE575" s="1368"/>
      <c r="DF575" s="1368"/>
      <c r="DG575" s="1369"/>
      <c r="DH575" s="1420"/>
      <c r="DI575" s="1368"/>
      <c r="DJ575" s="1368"/>
      <c r="DK575" s="1368"/>
      <c r="DL575" s="1369"/>
      <c r="DM575" s="1808"/>
      <c r="DN575" s="1809"/>
      <c r="DO575" s="1809"/>
      <c r="DP575" s="1810"/>
      <c r="DQ575" s="1809"/>
      <c r="DR575" s="1809"/>
      <c r="DS575" s="1809"/>
      <c r="DT575" s="1810"/>
      <c r="DU575" s="1377"/>
      <c r="DV575" s="1729"/>
      <c r="DW575" s="1811"/>
    </row>
    <row r="576" spans="1:127" s="397" customFormat="1" ht="15.75" hidden="1" customHeight="1">
      <c r="A576" s="1097" t="s">
        <v>1024</v>
      </c>
      <c r="B576" s="1057">
        <v>567</v>
      </c>
      <c r="C576" s="1018"/>
      <c r="D576" s="1018"/>
      <c r="E576" s="1018"/>
      <c r="F576" s="1018"/>
      <c r="G576" s="1018"/>
      <c r="H576" s="1018"/>
      <c r="I576" s="1018"/>
      <c r="J576" s="1018"/>
      <c r="K576" s="1018"/>
      <c r="L576" s="1018"/>
      <c r="M576" s="1057"/>
      <c r="N576" s="1018"/>
      <c r="O576" s="1018"/>
      <c r="P576" s="1018"/>
      <c r="Q576" s="1018"/>
      <c r="R576" s="1018"/>
      <c r="S576" s="1018"/>
      <c r="T576" s="1019"/>
      <c r="U576" s="1098" t="s">
        <v>4345</v>
      </c>
      <c r="V576" s="1099" t="s">
        <v>4321</v>
      </c>
      <c r="W576" s="1099" t="s">
        <v>1889</v>
      </c>
      <c r="X576" s="1100" t="s">
        <v>4346</v>
      </c>
      <c r="Y576" s="1101" t="s">
        <v>4347</v>
      </c>
      <c r="Z576" s="1102" t="s">
        <v>4348</v>
      </c>
      <c r="AA576" s="1103" t="s">
        <v>1942</v>
      </c>
      <c r="AB576" s="1104">
        <v>1</v>
      </c>
      <c r="AC576" s="1104" t="s">
        <v>1942</v>
      </c>
      <c r="AD576" s="1104" t="s">
        <v>1942</v>
      </c>
      <c r="AE576" s="1104" t="s">
        <v>1942</v>
      </c>
      <c r="AF576" s="1104" t="s">
        <v>1942</v>
      </c>
      <c r="AG576" s="1104" t="s">
        <v>1942</v>
      </c>
      <c r="AH576" s="1104" t="s">
        <v>1942</v>
      </c>
      <c r="AI576" s="1105">
        <f t="shared" si="8"/>
        <v>1</v>
      </c>
      <c r="AJ576" s="1106" t="s">
        <v>1007</v>
      </c>
      <c r="AK576" s="1106" t="s">
        <v>1942</v>
      </c>
      <c r="AL576" s="1106" t="s">
        <v>1942</v>
      </c>
      <c r="AM576" s="1107" t="s">
        <v>1910</v>
      </c>
      <c r="AN576" s="1018" t="s">
        <v>278</v>
      </c>
      <c r="AO576" s="1018" t="s">
        <v>1942</v>
      </c>
      <c r="AP576" s="1274">
        <v>1</v>
      </c>
      <c r="AQ576" s="1076" t="s">
        <v>1010</v>
      </c>
      <c r="AR576" s="1109" t="s">
        <v>1942</v>
      </c>
      <c r="AS576" s="1110"/>
      <c r="AT576" s="1100"/>
      <c r="AU576" s="1100"/>
      <c r="AV576" s="1100"/>
      <c r="AW576" s="1111"/>
      <c r="AX576" s="1112"/>
      <c r="AY576" s="1075"/>
      <c r="AZ576" s="1076"/>
      <c r="BA576" s="1076"/>
      <c r="BB576" s="1076"/>
      <c r="BC576" s="1076"/>
      <c r="BD576" s="1076"/>
      <c r="BE576" s="1076"/>
      <c r="BF576" s="1076"/>
      <c r="BG576" s="1076"/>
      <c r="BH576" s="1076"/>
      <c r="BI576" s="1420"/>
      <c r="BJ576" s="1368"/>
      <c r="BK576" s="1368"/>
      <c r="BL576" s="1368"/>
      <c r="BM576" s="1368"/>
      <c r="BN576" s="1075"/>
      <c r="BO576" s="1076"/>
      <c r="BP576" s="1076"/>
      <c r="BQ576" s="1076"/>
      <c r="BR576" s="1076"/>
      <c r="BS576" s="1115"/>
      <c r="BT576" s="1076"/>
      <c r="BU576" s="1076"/>
      <c r="BV576" s="1076"/>
      <c r="BW576" s="1116"/>
      <c r="BX576" s="1115"/>
      <c r="BY576" s="1076"/>
      <c r="BZ576" s="1076"/>
      <c r="CA576" s="1076"/>
      <c r="CB576" s="1116"/>
      <c r="CC576" s="1117"/>
      <c r="CD576" s="1376"/>
      <c r="CE576" s="1377"/>
      <c r="CF576" s="1377"/>
      <c r="CG576" s="1377"/>
      <c r="CH576" s="1440"/>
      <c r="CI576" s="1420"/>
      <c r="CJ576" s="1368"/>
      <c r="CK576" s="1368"/>
      <c r="CL576" s="1368"/>
      <c r="CM576" s="1369"/>
      <c r="CN576" s="1420"/>
      <c r="CO576" s="1368"/>
      <c r="CP576" s="1368"/>
      <c r="CQ576" s="1368"/>
      <c r="CR576" s="1369"/>
      <c r="CS576" s="1420"/>
      <c r="CT576" s="1368"/>
      <c r="CU576" s="1368"/>
      <c r="CV576" s="1368"/>
      <c r="CW576" s="1369"/>
      <c r="CX576" s="1420"/>
      <c r="CY576" s="1368"/>
      <c r="CZ576" s="1368"/>
      <c r="DA576" s="1368"/>
      <c r="DB576" s="1369"/>
      <c r="DC576" s="1368"/>
      <c r="DD576" s="1368"/>
      <c r="DE576" s="1368"/>
      <c r="DF576" s="1368"/>
      <c r="DG576" s="1369"/>
      <c r="DH576" s="1420"/>
      <c r="DI576" s="1368"/>
      <c r="DJ576" s="1368"/>
      <c r="DK576" s="1368"/>
      <c r="DL576" s="1369"/>
      <c r="DM576" s="1808"/>
      <c r="DN576" s="1809"/>
      <c r="DO576" s="1809"/>
      <c r="DP576" s="1810"/>
      <c r="DQ576" s="1809"/>
      <c r="DR576" s="1809"/>
      <c r="DS576" s="1809"/>
      <c r="DT576" s="1810"/>
      <c r="DU576" s="1377"/>
      <c r="DV576" s="1729"/>
      <c r="DW576" s="1811"/>
    </row>
    <row r="577" spans="1:127" s="397" customFormat="1" ht="15.75" hidden="1" customHeight="1">
      <c r="A577" s="1097" t="s">
        <v>1024</v>
      </c>
      <c r="B577" s="1057">
        <v>568</v>
      </c>
      <c r="C577" s="1018"/>
      <c r="D577" s="1018"/>
      <c r="E577" s="1018"/>
      <c r="F577" s="1018"/>
      <c r="G577" s="1018"/>
      <c r="H577" s="1018"/>
      <c r="I577" s="1018"/>
      <c r="J577" s="1018"/>
      <c r="K577" s="1018"/>
      <c r="L577" s="1018"/>
      <c r="M577" s="1057"/>
      <c r="N577" s="1018"/>
      <c r="O577" s="1018"/>
      <c r="P577" s="1018"/>
      <c r="Q577" s="1018"/>
      <c r="R577" s="1018"/>
      <c r="S577" s="1018"/>
      <c r="T577" s="1019"/>
      <c r="U577" s="1098" t="s">
        <v>4349</v>
      </c>
      <c r="V577" s="1099" t="s">
        <v>4321</v>
      </c>
      <c r="W577" s="1099" t="s">
        <v>1889</v>
      </c>
      <c r="X577" s="1100" t="s">
        <v>4350</v>
      </c>
      <c r="Y577" s="1101" t="s">
        <v>4351</v>
      </c>
      <c r="Z577" s="1102" t="s">
        <v>4352</v>
      </c>
      <c r="AA577" s="1103" t="s">
        <v>1942</v>
      </c>
      <c r="AB577" s="1104" t="s">
        <v>1942</v>
      </c>
      <c r="AC577" s="1104">
        <v>1</v>
      </c>
      <c r="AD577" s="1104" t="s">
        <v>1942</v>
      </c>
      <c r="AE577" s="1104" t="s">
        <v>1942</v>
      </c>
      <c r="AF577" s="1104" t="s">
        <v>1942</v>
      </c>
      <c r="AG577" s="1104" t="s">
        <v>1942</v>
      </c>
      <c r="AH577" s="1104" t="s">
        <v>1942</v>
      </c>
      <c r="AI577" s="1105">
        <f t="shared" si="8"/>
        <v>1</v>
      </c>
      <c r="AJ577" s="1106" t="s">
        <v>1007</v>
      </c>
      <c r="AK577" s="1106" t="s">
        <v>1942</v>
      </c>
      <c r="AL577" s="1106" t="s">
        <v>1942</v>
      </c>
      <c r="AM577" s="1107" t="s">
        <v>1910</v>
      </c>
      <c r="AN577" s="1018" t="s">
        <v>278</v>
      </c>
      <c r="AO577" s="1018" t="s">
        <v>1942</v>
      </c>
      <c r="AP577" s="1274">
        <v>1</v>
      </c>
      <c r="AQ577" s="1076" t="s">
        <v>1010</v>
      </c>
      <c r="AR577" s="1109" t="s">
        <v>1942</v>
      </c>
      <c r="AS577" s="1110"/>
      <c r="AT577" s="1100"/>
      <c r="AU577" s="1100"/>
      <c r="AV577" s="1100"/>
      <c r="AW577" s="1111"/>
      <c r="AX577" s="1112"/>
      <c r="AY577" s="1075"/>
      <c r="AZ577" s="1076"/>
      <c r="BA577" s="1076"/>
      <c r="BB577" s="1076"/>
      <c r="BC577" s="1076"/>
      <c r="BD577" s="1076"/>
      <c r="BE577" s="1076"/>
      <c r="BF577" s="1076"/>
      <c r="BG577" s="1076"/>
      <c r="BH577" s="1076"/>
      <c r="BI577" s="1420"/>
      <c r="BJ577" s="1368"/>
      <c r="BK577" s="1368"/>
      <c r="BL577" s="1368"/>
      <c r="BM577" s="1368"/>
      <c r="BN577" s="1075"/>
      <c r="BO577" s="1076"/>
      <c r="BP577" s="1076"/>
      <c r="BQ577" s="1076"/>
      <c r="BR577" s="1076"/>
      <c r="BS577" s="1115"/>
      <c r="BT577" s="1076"/>
      <c r="BU577" s="1076"/>
      <c r="BV577" s="1076"/>
      <c r="BW577" s="1116"/>
      <c r="BX577" s="1115"/>
      <c r="BY577" s="1076"/>
      <c r="BZ577" s="1076"/>
      <c r="CA577" s="1076"/>
      <c r="CB577" s="1116"/>
      <c r="CC577" s="1117"/>
      <c r="CD577" s="1376"/>
      <c r="CE577" s="1377"/>
      <c r="CF577" s="1377"/>
      <c r="CG577" s="1377"/>
      <c r="CH577" s="1440"/>
      <c r="CI577" s="1420"/>
      <c r="CJ577" s="1368"/>
      <c r="CK577" s="1368"/>
      <c r="CL577" s="1368"/>
      <c r="CM577" s="1369"/>
      <c r="CN577" s="1420"/>
      <c r="CO577" s="1368"/>
      <c r="CP577" s="1368"/>
      <c r="CQ577" s="1368"/>
      <c r="CR577" s="1369"/>
      <c r="CS577" s="1420"/>
      <c r="CT577" s="1368"/>
      <c r="CU577" s="1368"/>
      <c r="CV577" s="1368"/>
      <c r="CW577" s="1369"/>
      <c r="CX577" s="1420"/>
      <c r="CY577" s="1368"/>
      <c r="CZ577" s="1368"/>
      <c r="DA577" s="1368"/>
      <c r="DB577" s="1369"/>
      <c r="DC577" s="1368"/>
      <c r="DD577" s="1368"/>
      <c r="DE577" s="1368"/>
      <c r="DF577" s="1368"/>
      <c r="DG577" s="1369"/>
      <c r="DH577" s="1420"/>
      <c r="DI577" s="1368"/>
      <c r="DJ577" s="1368"/>
      <c r="DK577" s="1368"/>
      <c r="DL577" s="1369"/>
      <c r="DM577" s="1808"/>
      <c r="DN577" s="1809"/>
      <c r="DO577" s="1809"/>
      <c r="DP577" s="1810"/>
      <c r="DQ577" s="1809"/>
      <c r="DR577" s="1809"/>
      <c r="DS577" s="1809"/>
      <c r="DT577" s="1810"/>
      <c r="DU577" s="1377"/>
      <c r="DV577" s="1729"/>
      <c r="DW577" s="1811"/>
    </row>
    <row r="578" spans="1:127" s="397" customFormat="1" ht="15.75" hidden="1" customHeight="1">
      <c r="A578" s="1097" t="s">
        <v>1024</v>
      </c>
      <c r="B578" s="1057">
        <v>569</v>
      </c>
      <c r="C578" s="1018"/>
      <c r="D578" s="1018"/>
      <c r="E578" s="1018"/>
      <c r="F578" s="1018"/>
      <c r="G578" s="1018"/>
      <c r="H578" s="1018"/>
      <c r="I578" s="1018"/>
      <c r="J578" s="1018"/>
      <c r="K578" s="1018"/>
      <c r="L578" s="1018"/>
      <c r="M578" s="1057"/>
      <c r="N578" s="1018"/>
      <c r="O578" s="1018"/>
      <c r="P578" s="1018"/>
      <c r="Q578" s="1018"/>
      <c r="R578" s="1018"/>
      <c r="S578" s="1018"/>
      <c r="T578" s="1019"/>
      <c r="U578" s="1098" t="s">
        <v>4353</v>
      </c>
      <c r="V578" s="1099" t="s">
        <v>4321</v>
      </c>
      <c r="W578" s="1099" t="s">
        <v>1889</v>
      </c>
      <c r="X578" s="1100" t="s">
        <v>4354</v>
      </c>
      <c r="Y578" s="1101" t="s">
        <v>4355</v>
      </c>
      <c r="Z578" s="1102" t="s">
        <v>4356</v>
      </c>
      <c r="AA578" s="1103" t="s">
        <v>1942</v>
      </c>
      <c r="AB578" s="1104" t="s">
        <v>1942</v>
      </c>
      <c r="AC578" s="1104">
        <v>1</v>
      </c>
      <c r="AD578" s="1104" t="s">
        <v>1942</v>
      </c>
      <c r="AE578" s="1104" t="s">
        <v>1942</v>
      </c>
      <c r="AF578" s="1104" t="s">
        <v>1942</v>
      </c>
      <c r="AG578" s="1104" t="s">
        <v>1942</v>
      </c>
      <c r="AH578" s="1104" t="s">
        <v>1942</v>
      </c>
      <c r="AI578" s="1105">
        <f t="shared" si="8"/>
        <v>1</v>
      </c>
      <c r="AJ578" s="1106" t="s">
        <v>1007</v>
      </c>
      <c r="AK578" s="1106" t="s">
        <v>1942</v>
      </c>
      <c r="AL578" s="1106" t="s">
        <v>1942</v>
      </c>
      <c r="AM578" s="1107" t="s">
        <v>1910</v>
      </c>
      <c r="AN578" s="1018" t="s">
        <v>278</v>
      </c>
      <c r="AO578" s="1018" t="s">
        <v>1942</v>
      </c>
      <c r="AP578" s="1274">
        <v>1</v>
      </c>
      <c r="AQ578" s="1076" t="s">
        <v>1010</v>
      </c>
      <c r="AR578" s="1109" t="s">
        <v>1942</v>
      </c>
      <c r="AS578" s="1110"/>
      <c r="AT578" s="1100"/>
      <c r="AU578" s="1100"/>
      <c r="AV578" s="1100"/>
      <c r="AW578" s="1111"/>
      <c r="AX578" s="1112"/>
      <c r="AY578" s="1075"/>
      <c r="AZ578" s="1076"/>
      <c r="BA578" s="1076"/>
      <c r="BB578" s="1076"/>
      <c r="BC578" s="1076"/>
      <c r="BD578" s="1076"/>
      <c r="BE578" s="1076"/>
      <c r="BF578" s="1076"/>
      <c r="BG578" s="1076"/>
      <c r="BH578" s="1076"/>
      <c r="BI578" s="1420"/>
      <c r="BJ578" s="1368"/>
      <c r="BK578" s="1368"/>
      <c r="BL578" s="1368"/>
      <c r="BM578" s="1368"/>
      <c r="BN578" s="1075"/>
      <c r="BO578" s="1076"/>
      <c r="BP578" s="1076"/>
      <c r="BQ578" s="1076"/>
      <c r="BR578" s="1076"/>
      <c r="BS578" s="1115"/>
      <c r="BT578" s="1076"/>
      <c r="BU578" s="1076"/>
      <c r="BV578" s="1076"/>
      <c r="BW578" s="1116"/>
      <c r="BX578" s="1115"/>
      <c r="BY578" s="1076"/>
      <c r="BZ578" s="1076"/>
      <c r="CA578" s="1076"/>
      <c r="CB578" s="1116"/>
      <c r="CC578" s="1117"/>
      <c r="CD578" s="1376"/>
      <c r="CE578" s="1377"/>
      <c r="CF578" s="1377"/>
      <c r="CG578" s="1377"/>
      <c r="CH578" s="1440"/>
      <c r="CI578" s="1420"/>
      <c r="CJ578" s="1368"/>
      <c r="CK578" s="1368"/>
      <c r="CL578" s="1368"/>
      <c r="CM578" s="1369"/>
      <c r="CN578" s="1420"/>
      <c r="CO578" s="1368"/>
      <c r="CP578" s="1368"/>
      <c r="CQ578" s="1368"/>
      <c r="CR578" s="1369"/>
      <c r="CS578" s="1420"/>
      <c r="CT578" s="1368"/>
      <c r="CU578" s="1368"/>
      <c r="CV578" s="1368"/>
      <c r="CW578" s="1369"/>
      <c r="CX578" s="1420"/>
      <c r="CY578" s="1368"/>
      <c r="CZ578" s="1368"/>
      <c r="DA578" s="1368"/>
      <c r="DB578" s="1369"/>
      <c r="DC578" s="1368"/>
      <c r="DD578" s="1368"/>
      <c r="DE578" s="1368"/>
      <c r="DF578" s="1368"/>
      <c r="DG578" s="1369"/>
      <c r="DH578" s="1420"/>
      <c r="DI578" s="1368"/>
      <c r="DJ578" s="1368"/>
      <c r="DK578" s="1368"/>
      <c r="DL578" s="1369"/>
      <c r="DM578" s="1808"/>
      <c r="DN578" s="1809"/>
      <c r="DO578" s="1809"/>
      <c r="DP578" s="1810"/>
      <c r="DQ578" s="1809"/>
      <c r="DR578" s="1809"/>
      <c r="DS578" s="1809"/>
      <c r="DT578" s="1810"/>
      <c r="DU578" s="1377"/>
      <c r="DV578" s="1729"/>
      <c r="DW578" s="1811"/>
    </row>
    <row r="579" spans="1:127" s="397" customFormat="1" ht="15.75" hidden="1" customHeight="1">
      <c r="A579" s="1097" t="s">
        <v>1024</v>
      </c>
      <c r="B579" s="1057">
        <v>570</v>
      </c>
      <c r="C579" s="1018"/>
      <c r="D579" s="1018"/>
      <c r="E579" s="1018"/>
      <c r="F579" s="1018"/>
      <c r="G579" s="1018"/>
      <c r="H579" s="1018"/>
      <c r="I579" s="1018"/>
      <c r="J579" s="1018"/>
      <c r="K579" s="1018"/>
      <c r="L579" s="1018"/>
      <c r="M579" s="1057"/>
      <c r="N579" s="1018"/>
      <c r="O579" s="1018"/>
      <c r="P579" s="1018"/>
      <c r="Q579" s="1018"/>
      <c r="R579" s="1018"/>
      <c r="S579" s="1018"/>
      <c r="T579" s="1019"/>
      <c r="U579" s="1098" t="s">
        <v>4357</v>
      </c>
      <c r="V579" s="1099" t="s">
        <v>4321</v>
      </c>
      <c r="W579" s="1099" t="s">
        <v>1907</v>
      </c>
      <c r="X579" s="1100" t="s">
        <v>4358</v>
      </c>
      <c r="Y579" s="1101" t="s">
        <v>4359</v>
      </c>
      <c r="Z579" s="1102" t="s">
        <v>4360</v>
      </c>
      <c r="AA579" s="1103" t="s">
        <v>1942</v>
      </c>
      <c r="AB579" s="1104">
        <v>0.41399999999999998</v>
      </c>
      <c r="AC579" s="1104">
        <v>0.58599999999999997</v>
      </c>
      <c r="AD579" s="1104" t="s">
        <v>1942</v>
      </c>
      <c r="AE579" s="1104" t="s">
        <v>1942</v>
      </c>
      <c r="AF579" s="1104" t="s">
        <v>1942</v>
      </c>
      <c r="AG579" s="1104" t="s">
        <v>1942</v>
      </c>
      <c r="AH579" s="1104" t="s">
        <v>1942</v>
      </c>
      <c r="AI579" s="1105">
        <f t="shared" si="8"/>
        <v>1</v>
      </c>
      <c r="AJ579" s="1106" t="s">
        <v>1026</v>
      </c>
      <c r="AK579" s="1106" t="s">
        <v>1942</v>
      </c>
      <c r="AL579" s="1106" t="s">
        <v>1942</v>
      </c>
      <c r="AM579" s="1107" t="s">
        <v>2400</v>
      </c>
      <c r="AN579" s="1018" t="s">
        <v>1033</v>
      </c>
      <c r="AO579" s="1018" t="s">
        <v>1942</v>
      </c>
      <c r="AP579" s="1274">
        <v>0</v>
      </c>
      <c r="AQ579" s="1076" t="s">
        <v>1010</v>
      </c>
      <c r="AR579" s="1109" t="s">
        <v>1942</v>
      </c>
      <c r="AS579" s="1110"/>
      <c r="AT579" s="1100"/>
      <c r="AU579" s="1100"/>
      <c r="AV579" s="1100"/>
      <c r="AW579" s="1111"/>
      <c r="AX579" s="1112"/>
      <c r="AY579" s="1075"/>
      <c r="AZ579" s="1076"/>
      <c r="BA579" s="1076"/>
      <c r="BB579" s="1076"/>
      <c r="BC579" s="1076"/>
      <c r="BD579" s="1076"/>
      <c r="BE579" s="1076"/>
      <c r="BF579" s="1076"/>
      <c r="BG579" s="1076"/>
      <c r="BH579" s="1076"/>
      <c r="BI579" s="1420"/>
      <c r="BJ579" s="1368"/>
      <c r="BK579" s="1368"/>
      <c r="BL579" s="1368"/>
      <c r="BM579" s="1368"/>
      <c r="BN579" s="1075"/>
      <c r="BO579" s="1076"/>
      <c r="BP579" s="1076"/>
      <c r="BQ579" s="1076"/>
      <c r="BR579" s="1076"/>
      <c r="BS579" s="1115"/>
      <c r="BT579" s="1076"/>
      <c r="BU579" s="1076"/>
      <c r="BV579" s="1076"/>
      <c r="BW579" s="1116"/>
      <c r="BX579" s="1115"/>
      <c r="BY579" s="1076"/>
      <c r="BZ579" s="1076"/>
      <c r="CA579" s="1076"/>
      <c r="CB579" s="1116"/>
      <c r="CC579" s="1117"/>
      <c r="CD579" s="1376"/>
      <c r="CE579" s="1377"/>
      <c r="CF579" s="1377"/>
      <c r="CG579" s="1377"/>
      <c r="CH579" s="1440"/>
      <c r="CI579" s="1420"/>
      <c r="CJ579" s="1368"/>
      <c r="CK579" s="1368"/>
      <c r="CL579" s="1368"/>
      <c r="CM579" s="1369"/>
      <c r="CN579" s="1420"/>
      <c r="CO579" s="1368"/>
      <c r="CP579" s="1368"/>
      <c r="CQ579" s="1368"/>
      <c r="CR579" s="1369"/>
      <c r="CS579" s="1420"/>
      <c r="CT579" s="1368"/>
      <c r="CU579" s="1368"/>
      <c r="CV579" s="1368"/>
      <c r="CW579" s="1369"/>
      <c r="CX579" s="1420"/>
      <c r="CY579" s="1368"/>
      <c r="CZ579" s="1368"/>
      <c r="DA579" s="1368"/>
      <c r="DB579" s="1369"/>
      <c r="DC579" s="1368"/>
      <c r="DD579" s="1368"/>
      <c r="DE579" s="1368"/>
      <c r="DF579" s="1368"/>
      <c r="DG579" s="1369"/>
      <c r="DH579" s="1420"/>
      <c r="DI579" s="1368"/>
      <c r="DJ579" s="1368"/>
      <c r="DK579" s="1368"/>
      <c r="DL579" s="1369"/>
      <c r="DM579" s="1808"/>
      <c r="DN579" s="1809"/>
      <c r="DO579" s="1809"/>
      <c r="DP579" s="1810"/>
      <c r="DQ579" s="1809"/>
      <c r="DR579" s="1809"/>
      <c r="DS579" s="1809"/>
      <c r="DT579" s="1810"/>
      <c r="DU579" s="1377"/>
      <c r="DV579" s="1729"/>
      <c r="DW579" s="1811"/>
    </row>
    <row r="580" spans="1:127" s="397" customFormat="1" ht="15.75" hidden="1" customHeight="1">
      <c r="A580" s="1097" t="s">
        <v>1024</v>
      </c>
      <c r="B580" s="1057">
        <v>571</v>
      </c>
      <c r="C580" s="1018"/>
      <c r="D580" s="1018"/>
      <c r="E580" s="1018"/>
      <c r="F580" s="1018"/>
      <c r="G580" s="1018"/>
      <c r="H580" s="1018"/>
      <c r="I580" s="1018"/>
      <c r="J580" s="1018"/>
      <c r="K580" s="1018"/>
      <c r="L580" s="1018"/>
      <c r="M580" s="1057"/>
      <c r="N580" s="1018"/>
      <c r="O580" s="1018"/>
      <c r="P580" s="1018"/>
      <c r="Q580" s="1018"/>
      <c r="R580" s="1018"/>
      <c r="S580" s="1018"/>
      <c r="T580" s="1019"/>
      <c r="U580" s="1098" t="s">
        <v>4361</v>
      </c>
      <c r="V580" s="1099" t="s">
        <v>4321</v>
      </c>
      <c r="W580" s="1099" t="s">
        <v>1907</v>
      </c>
      <c r="X580" s="1100" t="s">
        <v>4362</v>
      </c>
      <c r="Y580" s="1101" t="s">
        <v>4363</v>
      </c>
      <c r="Z580" s="1102" t="s">
        <v>4364</v>
      </c>
      <c r="AA580" s="1103">
        <v>1</v>
      </c>
      <c r="AB580" s="1104" t="s">
        <v>1942</v>
      </c>
      <c r="AC580" s="1104" t="s">
        <v>1942</v>
      </c>
      <c r="AD580" s="1104" t="s">
        <v>1942</v>
      </c>
      <c r="AE580" s="1104" t="s">
        <v>1942</v>
      </c>
      <c r="AF580" s="1104" t="s">
        <v>1942</v>
      </c>
      <c r="AG580" s="1104" t="s">
        <v>1942</v>
      </c>
      <c r="AH580" s="1104" t="s">
        <v>1942</v>
      </c>
      <c r="AI580" s="1105">
        <f t="shared" si="8"/>
        <v>1</v>
      </c>
      <c r="AJ580" s="1106" t="s">
        <v>1030</v>
      </c>
      <c r="AK580" s="1106" t="s">
        <v>1942</v>
      </c>
      <c r="AL580" s="1106" t="s">
        <v>1942</v>
      </c>
      <c r="AM580" s="1107" t="s">
        <v>2400</v>
      </c>
      <c r="AN580" s="1018" t="s">
        <v>1033</v>
      </c>
      <c r="AO580" s="1018" t="s">
        <v>1942</v>
      </c>
      <c r="AP580" s="1274">
        <v>0</v>
      </c>
      <c r="AQ580" s="1076" t="s">
        <v>1010</v>
      </c>
      <c r="AR580" s="1109" t="s">
        <v>1942</v>
      </c>
      <c r="AS580" s="1110"/>
      <c r="AT580" s="1100"/>
      <c r="AU580" s="1100"/>
      <c r="AV580" s="1100"/>
      <c r="AW580" s="1111"/>
      <c r="AX580" s="1112"/>
      <c r="AY580" s="1075"/>
      <c r="AZ580" s="1076"/>
      <c r="BA580" s="1076"/>
      <c r="BB580" s="1076"/>
      <c r="BC580" s="1076"/>
      <c r="BD580" s="1076"/>
      <c r="BE580" s="1076"/>
      <c r="BF580" s="1076"/>
      <c r="BG580" s="1076"/>
      <c r="BH580" s="1076"/>
      <c r="BI580" s="1420"/>
      <c r="BJ580" s="1368"/>
      <c r="BK580" s="1368"/>
      <c r="BL580" s="1368"/>
      <c r="BM580" s="1368"/>
      <c r="BN580" s="1075"/>
      <c r="BO580" s="1076"/>
      <c r="BP580" s="1076"/>
      <c r="BQ580" s="1076"/>
      <c r="BR580" s="1076"/>
      <c r="BS580" s="1115"/>
      <c r="BT580" s="1076"/>
      <c r="BU580" s="1076"/>
      <c r="BV580" s="1076"/>
      <c r="BW580" s="1116"/>
      <c r="BX580" s="1115"/>
      <c r="BY580" s="1076"/>
      <c r="BZ580" s="1076"/>
      <c r="CA580" s="1076"/>
      <c r="CB580" s="1116"/>
      <c r="CC580" s="1117"/>
      <c r="CD580" s="1376"/>
      <c r="CE580" s="1377"/>
      <c r="CF580" s="1377"/>
      <c r="CG580" s="1377"/>
      <c r="CH580" s="1440"/>
      <c r="CI580" s="1420"/>
      <c r="CJ580" s="1368"/>
      <c r="CK580" s="1368"/>
      <c r="CL580" s="1368"/>
      <c r="CM580" s="1369"/>
      <c r="CN580" s="1420"/>
      <c r="CO580" s="1368"/>
      <c r="CP580" s="1368"/>
      <c r="CQ580" s="1368"/>
      <c r="CR580" s="1369"/>
      <c r="CS580" s="1420"/>
      <c r="CT580" s="1368"/>
      <c r="CU580" s="1368"/>
      <c r="CV580" s="1368"/>
      <c r="CW580" s="1369"/>
      <c r="CX580" s="1420"/>
      <c r="CY580" s="1368"/>
      <c r="CZ580" s="1368"/>
      <c r="DA580" s="1368"/>
      <c r="DB580" s="1369"/>
      <c r="DC580" s="1368"/>
      <c r="DD580" s="1368"/>
      <c r="DE580" s="1368"/>
      <c r="DF580" s="1368"/>
      <c r="DG580" s="1369"/>
      <c r="DH580" s="1420"/>
      <c r="DI580" s="1368"/>
      <c r="DJ580" s="1368"/>
      <c r="DK580" s="1368"/>
      <c r="DL580" s="1369"/>
      <c r="DM580" s="1808"/>
      <c r="DN580" s="1809"/>
      <c r="DO580" s="1809"/>
      <c r="DP580" s="1810"/>
      <c r="DQ580" s="1809"/>
      <c r="DR580" s="1809"/>
      <c r="DS580" s="1809"/>
      <c r="DT580" s="1810"/>
      <c r="DU580" s="1377"/>
      <c r="DV580" s="1729"/>
      <c r="DW580" s="1811"/>
    </row>
    <row r="581" spans="1:127" s="397" customFormat="1" ht="15.75" hidden="1" customHeight="1">
      <c r="A581" s="1097" t="s">
        <v>1024</v>
      </c>
      <c r="B581" s="1057">
        <v>572</v>
      </c>
      <c r="C581" s="1018"/>
      <c r="D581" s="1018"/>
      <c r="E581" s="1018"/>
      <c r="F581" s="1018"/>
      <c r="G581" s="1018"/>
      <c r="H581" s="1018"/>
      <c r="I581" s="1018"/>
      <c r="J581" s="1018"/>
      <c r="K581" s="1018"/>
      <c r="L581" s="1018"/>
      <c r="M581" s="1057"/>
      <c r="N581" s="1018"/>
      <c r="O581" s="1018"/>
      <c r="P581" s="1018"/>
      <c r="Q581" s="1018"/>
      <c r="R581" s="1018"/>
      <c r="S581" s="1018"/>
      <c r="T581" s="1019"/>
      <c r="U581" s="1098" t="s">
        <v>4365</v>
      </c>
      <c r="V581" s="1099" t="s">
        <v>4366</v>
      </c>
      <c r="W581" s="1099" t="s">
        <v>4367</v>
      </c>
      <c r="X581" s="1100" t="s">
        <v>4368</v>
      </c>
      <c r="Y581" s="1101" t="s">
        <v>4369</v>
      </c>
      <c r="Z581" s="1102" t="s">
        <v>4370</v>
      </c>
      <c r="AA581" s="1103">
        <v>0.04</v>
      </c>
      <c r="AB581" s="1104">
        <v>0.39</v>
      </c>
      <c r="AC581" s="1104">
        <v>0.31</v>
      </c>
      <c r="AD581" s="1104">
        <v>7.0000000000000007E-2</v>
      </c>
      <c r="AE581" s="1104">
        <v>0.17</v>
      </c>
      <c r="AF581" s="1104">
        <v>0.02</v>
      </c>
      <c r="AG581" s="1104" t="s">
        <v>1942</v>
      </c>
      <c r="AH581" s="1104" t="s">
        <v>1942</v>
      </c>
      <c r="AI581" s="1105">
        <f t="shared" si="8"/>
        <v>1</v>
      </c>
      <c r="AJ581" s="1106" t="s">
        <v>1007</v>
      </c>
      <c r="AK581" s="1106" t="s">
        <v>1942</v>
      </c>
      <c r="AL581" s="1106" t="s">
        <v>1942</v>
      </c>
      <c r="AM581" s="1107" t="s">
        <v>2807</v>
      </c>
      <c r="AN581" s="1018" t="s">
        <v>1033</v>
      </c>
      <c r="AO581" s="1018" t="s">
        <v>1942</v>
      </c>
      <c r="AP581" s="1274">
        <v>0</v>
      </c>
      <c r="AQ581" s="1076" t="s">
        <v>1020</v>
      </c>
      <c r="AR581" s="1109" t="s">
        <v>1942</v>
      </c>
      <c r="AS581" s="1110"/>
      <c r="AT581" s="1100"/>
      <c r="AU581" s="1100"/>
      <c r="AV581" s="1100"/>
      <c r="AW581" s="1111"/>
      <c r="AX581" s="1112"/>
      <c r="AY581" s="1075"/>
      <c r="AZ581" s="1076"/>
      <c r="BA581" s="1076"/>
      <c r="BB581" s="1076"/>
      <c r="BC581" s="1076"/>
      <c r="BD581" s="1076"/>
      <c r="BE581" s="1076"/>
      <c r="BF581" s="1076"/>
      <c r="BG581" s="1076"/>
      <c r="BH581" s="1076"/>
      <c r="BI581" s="1420"/>
      <c r="BJ581" s="1368"/>
      <c r="BK581" s="1368"/>
      <c r="BL581" s="1368"/>
      <c r="BM581" s="1368"/>
      <c r="BN581" s="1075"/>
      <c r="BO581" s="1076"/>
      <c r="BP581" s="1076"/>
      <c r="BQ581" s="1076"/>
      <c r="BR581" s="1076"/>
      <c r="BS581" s="1115"/>
      <c r="BT581" s="1076"/>
      <c r="BU581" s="1076"/>
      <c r="BV581" s="1076"/>
      <c r="BW581" s="1116"/>
      <c r="BX581" s="1115"/>
      <c r="BY581" s="1076"/>
      <c r="BZ581" s="1076"/>
      <c r="CA581" s="1076"/>
      <c r="CB581" s="1116"/>
      <c r="CC581" s="1117"/>
      <c r="CD581" s="1376"/>
      <c r="CE581" s="1377"/>
      <c r="CF581" s="1377"/>
      <c r="CG581" s="1377"/>
      <c r="CH581" s="1440"/>
      <c r="CI581" s="1420"/>
      <c r="CJ581" s="1368"/>
      <c r="CK581" s="1368"/>
      <c r="CL581" s="1368"/>
      <c r="CM581" s="1369"/>
      <c r="CN581" s="1420"/>
      <c r="CO581" s="1368"/>
      <c r="CP581" s="1368"/>
      <c r="CQ581" s="1368"/>
      <c r="CR581" s="1369"/>
      <c r="CS581" s="1420"/>
      <c r="CT581" s="1368"/>
      <c r="CU581" s="1368"/>
      <c r="CV581" s="1368"/>
      <c r="CW581" s="1369"/>
      <c r="CX581" s="1420"/>
      <c r="CY581" s="1368"/>
      <c r="CZ581" s="1368"/>
      <c r="DA581" s="1368"/>
      <c r="DB581" s="1369"/>
      <c r="DC581" s="1368"/>
      <c r="DD581" s="1368"/>
      <c r="DE581" s="1368"/>
      <c r="DF581" s="1368"/>
      <c r="DG581" s="1369"/>
      <c r="DH581" s="1420"/>
      <c r="DI581" s="1368"/>
      <c r="DJ581" s="1368"/>
      <c r="DK581" s="1368"/>
      <c r="DL581" s="1369"/>
      <c r="DM581" s="1808"/>
      <c r="DN581" s="1809"/>
      <c r="DO581" s="1809"/>
      <c r="DP581" s="1810"/>
      <c r="DQ581" s="1809"/>
      <c r="DR581" s="1809"/>
      <c r="DS581" s="1809"/>
      <c r="DT581" s="1810"/>
      <c r="DU581" s="1377"/>
      <c r="DV581" s="1729"/>
      <c r="DW581" s="1811"/>
    </row>
    <row r="582" spans="1:127" s="397" customFormat="1" ht="15.75" hidden="1" customHeight="1">
      <c r="A582" s="1097" t="s">
        <v>1024</v>
      </c>
      <c r="B582" s="1057">
        <v>573</v>
      </c>
      <c r="C582" s="1018"/>
      <c r="D582" s="1018"/>
      <c r="E582" s="1018"/>
      <c r="F582" s="1018"/>
      <c r="G582" s="1018"/>
      <c r="H582" s="1018"/>
      <c r="I582" s="1018"/>
      <c r="J582" s="1018"/>
      <c r="K582" s="1018"/>
      <c r="L582" s="1018"/>
      <c r="M582" s="1057"/>
      <c r="N582" s="1018"/>
      <c r="O582" s="1018"/>
      <c r="P582" s="1018"/>
      <c r="Q582" s="1018"/>
      <c r="R582" s="1018"/>
      <c r="S582" s="1018"/>
      <c r="T582" s="1019"/>
      <c r="U582" s="1098" t="s">
        <v>4371</v>
      </c>
      <c r="V582" s="1099" t="s">
        <v>4366</v>
      </c>
      <c r="W582" s="1099" t="s">
        <v>1907</v>
      </c>
      <c r="X582" s="1100" t="s">
        <v>4372</v>
      </c>
      <c r="Y582" s="1101" t="s">
        <v>4373</v>
      </c>
      <c r="Z582" s="1102" t="s">
        <v>4374</v>
      </c>
      <c r="AA582" s="1103">
        <v>0.04</v>
      </c>
      <c r="AB582" s="1104">
        <v>0.39</v>
      </c>
      <c r="AC582" s="1104">
        <v>0.31</v>
      </c>
      <c r="AD582" s="1104">
        <v>7.0000000000000007E-2</v>
      </c>
      <c r="AE582" s="1104">
        <v>0.17</v>
      </c>
      <c r="AF582" s="1104">
        <v>0.02</v>
      </c>
      <c r="AG582" s="1104" t="s">
        <v>1942</v>
      </c>
      <c r="AH582" s="1104" t="s">
        <v>1942</v>
      </c>
      <c r="AI582" s="1105">
        <f t="shared" si="8"/>
        <v>1</v>
      </c>
      <c r="AJ582" s="1106" t="s">
        <v>1007</v>
      </c>
      <c r="AK582" s="1106" t="s">
        <v>1942</v>
      </c>
      <c r="AL582" s="1106" t="s">
        <v>1942</v>
      </c>
      <c r="AM582" s="1107" t="s">
        <v>2345</v>
      </c>
      <c r="AN582" s="1018" t="s">
        <v>278</v>
      </c>
      <c r="AO582" s="1018" t="s">
        <v>1942</v>
      </c>
      <c r="AP582" s="1274">
        <v>1</v>
      </c>
      <c r="AQ582" s="1076" t="s">
        <v>1010</v>
      </c>
      <c r="AR582" s="1109" t="s">
        <v>1942</v>
      </c>
      <c r="AS582" s="1110"/>
      <c r="AT582" s="1100"/>
      <c r="AU582" s="1100"/>
      <c r="AV582" s="1100"/>
      <c r="AW582" s="1111"/>
      <c r="AX582" s="1112"/>
      <c r="AY582" s="1075"/>
      <c r="AZ582" s="1076"/>
      <c r="BA582" s="1076"/>
      <c r="BB582" s="1076"/>
      <c r="BC582" s="1076"/>
      <c r="BD582" s="1076"/>
      <c r="BE582" s="1076"/>
      <c r="BF582" s="1076"/>
      <c r="BG582" s="1076"/>
      <c r="BH582" s="1076"/>
      <c r="BI582" s="1420"/>
      <c r="BJ582" s="1368"/>
      <c r="BK582" s="1368"/>
      <c r="BL582" s="1368"/>
      <c r="BM582" s="1368"/>
      <c r="BN582" s="1075"/>
      <c r="BO582" s="1076"/>
      <c r="BP582" s="1076"/>
      <c r="BQ582" s="1076"/>
      <c r="BR582" s="1076"/>
      <c r="BS582" s="1115"/>
      <c r="BT582" s="1076"/>
      <c r="BU582" s="1076"/>
      <c r="BV582" s="1076"/>
      <c r="BW582" s="1116"/>
      <c r="BX582" s="1115"/>
      <c r="BY582" s="1076"/>
      <c r="BZ582" s="1076"/>
      <c r="CA582" s="1076"/>
      <c r="CB582" s="1116"/>
      <c r="CC582" s="1117"/>
      <c r="CD582" s="1376"/>
      <c r="CE582" s="1377"/>
      <c r="CF582" s="1377"/>
      <c r="CG582" s="1377"/>
      <c r="CH582" s="1440"/>
      <c r="CI582" s="1420"/>
      <c r="CJ582" s="1368"/>
      <c r="CK582" s="1368"/>
      <c r="CL582" s="1368"/>
      <c r="CM582" s="1369"/>
      <c r="CN582" s="1420"/>
      <c r="CO582" s="1368"/>
      <c r="CP582" s="1368"/>
      <c r="CQ582" s="1368"/>
      <c r="CR582" s="1369"/>
      <c r="CS582" s="1420"/>
      <c r="CT582" s="1368"/>
      <c r="CU582" s="1368"/>
      <c r="CV582" s="1368"/>
      <c r="CW582" s="1369"/>
      <c r="CX582" s="1420"/>
      <c r="CY582" s="1368"/>
      <c r="CZ582" s="1368"/>
      <c r="DA582" s="1368"/>
      <c r="DB582" s="1369"/>
      <c r="DC582" s="1368"/>
      <c r="DD582" s="1368"/>
      <c r="DE582" s="1368"/>
      <c r="DF582" s="1368"/>
      <c r="DG582" s="1369"/>
      <c r="DH582" s="1420"/>
      <c r="DI582" s="1368"/>
      <c r="DJ582" s="1368"/>
      <c r="DK582" s="1368"/>
      <c r="DL582" s="1369"/>
      <c r="DM582" s="1808"/>
      <c r="DN582" s="1809"/>
      <c r="DO582" s="1809"/>
      <c r="DP582" s="1810"/>
      <c r="DQ582" s="1809"/>
      <c r="DR582" s="1809"/>
      <c r="DS582" s="1809"/>
      <c r="DT582" s="1810"/>
      <c r="DU582" s="1377"/>
      <c r="DV582" s="1729"/>
      <c r="DW582" s="1811"/>
    </row>
    <row r="583" spans="1:127" s="397" customFormat="1" ht="15.75" hidden="1" customHeight="1">
      <c r="A583" s="1097" t="s">
        <v>1024</v>
      </c>
      <c r="B583" s="1057">
        <v>574</v>
      </c>
      <c r="C583" s="1018"/>
      <c r="D583" s="1018"/>
      <c r="E583" s="1018"/>
      <c r="F583" s="1018"/>
      <c r="G583" s="1018"/>
      <c r="H583" s="1018"/>
      <c r="I583" s="1018"/>
      <c r="J583" s="1018"/>
      <c r="K583" s="1018"/>
      <c r="L583" s="1018"/>
      <c r="M583" s="1057"/>
      <c r="N583" s="1018"/>
      <c r="O583" s="1018"/>
      <c r="P583" s="1018"/>
      <c r="Q583" s="1018"/>
      <c r="R583" s="1018"/>
      <c r="S583" s="1018"/>
      <c r="T583" s="1019"/>
      <c r="U583" s="1098" t="s">
        <v>4375</v>
      </c>
      <c r="V583" s="1099" t="s">
        <v>4366</v>
      </c>
      <c r="W583" s="1099" t="s">
        <v>1907</v>
      </c>
      <c r="X583" s="1100" t="s">
        <v>4376</v>
      </c>
      <c r="Y583" s="1101" t="s">
        <v>4377</v>
      </c>
      <c r="Z583" s="1102" t="s">
        <v>4378</v>
      </c>
      <c r="AA583" s="1103">
        <v>0.04</v>
      </c>
      <c r="AB583" s="1104">
        <v>0.39</v>
      </c>
      <c r="AC583" s="1104">
        <v>0.31</v>
      </c>
      <c r="AD583" s="1104">
        <v>7.0000000000000007E-2</v>
      </c>
      <c r="AE583" s="1104">
        <v>0.17</v>
      </c>
      <c r="AF583" s="1104">
        <v>0.02</v>
      </c>
      <c r="AG583" s="1104" t="s">
        <v>1942</v>
      </c>
      <c r="AH583" s="1104" t="s">
        <v>1942</v>
      </c>
      <c r="AI583" s="1105">
        <f t="shared" si="8"/>
        <v>1</v>
      </c>
      <c r="AJ583" s="1106" t="s">
        <v>1007</v>
      </c>
      <c r="AK583" s="1106" t="s">
        <v>1942</v>
      </c>
      <c r="AL583" s="1106" t="s">
        <v>1942</v>
      </c>
      <c r="AM583" s="1107" t="s">
        <v>2345</v>
      </c>
      <c r="AN583" s="1018" t="s">
        <v>278</v>
      </c>
      <c r="AO583" s="1018" t="s">
        <v>1942</v>
      </c>
      <c r="AP583" s="1274">
        <v>0</v>
      </c>
      <c r="AQ583" s="1076" t="s">
        <v>1010</v>
      </c>
      <c r="AR583" s="1109" t="s">
        <v>1942</v>
      </c>
      <c r="AS583" s="1110"/>
      <c r="AT583" s="1100"/>
      <c r="AU583" s="1100"/>
      <c r="AV583" s="1100"/>
      <c r="AW583" s="1111"/>
      <c r="AX583" s="1112"/>
      <c r="AY583" s="1075"/>
      <c r="AZ583" s="1076"/>
      <c r="BA583" s="1076"/>
      <c r="BB583" s="1076"/>
      <c r="BC583" s="1076"/>
      <c r="BD583" s="1076"/>
      <c r="BE583" s="1076"/>
      <c r="BF583" s="1076"/>
      <c r="BG583" s="1076"/>
      <c r="BH583" s="1076"/>
      <c r="BI583" s="1420"/>
      <c r="BJ583" s="1368"/>
      <c r="BK583" s="1368"/>
      <c r="BL583" s="1368"/>
      <c r="BM583" s="1368"/>
      <c r="BN583" s="1075"/>
      <c r="BO583" s="1076"/>
      <c r="BP583" s="1076"/>
      <c r="BQ583" s="1076"/>
      <c r="BR583" s="1076"/>
      <c r="BS583" s="1115"/>
      <c r="BT583" s="1076"/>
      <c r="BU583" s="1076"/>
      <c r="BV583" s="1076"/>
      <c r="BW583" s="1116"/>
      <c r="BX583" s="1115"/>
      <c r="BY583" s="1076"/>
      <c r="BZ583" s="1076"/>
      <c r="CA583" s="1076"/>
      <c r="CB583" s="1116"/>
      <c r="CC583" s="1117"/>
      <c r="CD583" s="1376"/>
      <c r="CE583" s="1377"/>
      <c r="CF583" s="1377"/>
      <c r="CG583" s="1377"/>
      <c r="CH583" s="1440"/>
      <c r="CI583" s="1420"/>
      <c r="CJ583" s="1368"/>
      <c r="CK583" s="1368"/>
      <c r="CL583" s="1368"/>
      <c r="CM583" s="1369"/>
      <c r="CN583" s="1420"/>
      <c r="CO583" s="1368"/>
      <c r="CP583" s="1368"/>
      <c r="CQ583" s="1368"/>
      <c r="CR583" s="1369"/>
      <c r="CS583" s="1420"/>
      <c r="CT583" s="1368"/>
      <c r="CU583" s="1368"/>
      <c r="CV583" s="1368"/>
      <c r="CW583" s="1369"/>
      <c r="CX583" s="1420"/>
      <c r="CY583" s="1368"/>
      <c r="CZ583" s="1368"/>
      <c r="DA583" s="1368"/>
      <c r="DB583" s="1369"/>
      <c r="DC583" s="1368"/>
      <c r="DD583" s="1368"/>
      <c r="DE583" s="1368"/>
      <c r="DF583" s="1368"/>
      <c r="DG583" s="1369"/>
      <c r="DH583" s="1420"/>
      <c r="DI583" s="1368"/>
      <c r="DJ583" s="1368"/>
      <c r="DK583" s="1368"/>
      <c r="DL583" s="1369"/>
      <c r="DM583" s="1808"/>
      <c r="DN583" s="1809"/>
      <c r="DO583" s="1809"/>
      <c r="DP583" s="1810"/>
      <c r="DQ583" s="1809"/>
      <c r="DR583" s="1809"/>
      <c r="DS583" s="1809"/>
      <c r="DT583" s="1810"/>
      <c r="DU583" s="1377"/>
      <c r="DV583" s="1729"/>
      <c r="DW583" s="1811"/>
    </row>
    <row r="584" spans="1:127" s="397" customFormat="1" ht="15.75" hidden="1" customHeight="1">
      <c r="A584" s="1097" t="s">
        <v>1024</v>
      </c>
      <c r="B584" s="1057">
        <v>575</v>
      </c>
      <c r="C584" s="1018"/>
      <c r="D584" s="1018"/>
      <c r="E584" s="1018"/>
      <c r="F584" s="1018"/>
      <c r="G584" s="1018"/>
      <c r="H584" s="1018"/>
      <c r="I584" s="1018"/>
      <c r="J584" s="1018"/>
      <c r="K584" s="1018"/>
      <c r="L584" s="1018"/>
      <c r="M584" s="1057"/>
      <c r="N584" s="1018"/>
      <c r="O584" s="1018"/>
      <c r="P584" s="1018"/>
      <c r="Q584" s="1018"/>
      <c r="R584" s="1018"/>
      <c r="S584" s="1018"/>
      <c r="T584" s="1019"/>
      <c r="U584" s="1098" t="s">
        <v>4379</v>
      </c>
      <c r="V584" s="1099" t="s">
        <v>4299</v>
      </c>
      <c r="W584" s="1099" t="s">
        <v>1907</v>
      </c>
      <c r="X584" s="1100" t="s">
        <v>4380</v>
      </c>
      <c r="Y584" s="1101" t="s">
        <v>4381</v>
      </c>
      <c r="Z584" s="1102" t="s">
        <v>4382</v>
      </c>
      <c r="AA584" s="1103">
        <v>1</v>
      </c>
      <c r="AB584" s="1104" t="s">
        <v>1942</v>
      </c>
      <c r="AC584" s="1104" t="s">
        <v>1942</v>
      </c>
      <c r="AD584" s="1104" t="s">
        <v>1942</v>
      </c>
      <c r="AE584" s="1104" t="s">
        <v>1942</v>
      </c>
      <c r="AF584" s="1104" t="s">
        <v>1942</v>
      </c>
      <c r="AG584" s="1104" t="s">
        <v>1942</v>
      </c>
      <c r="AH584" s="1104" t="s">
        <v>1942</v>
      </c>
      <c r="AI584" s="1105">
        <f t="shared" si="8"/>
        <v>1</v>
      </c>
      <c r="AJ584" s="1106" t="s">
        <v>1026</v>
      </c>
      <c r="AK584" s="1106" t="s">
        <v>1008</v>
      </c>
      <c r="AL584" s="1106" t="s">
        <v>1009</v>
      </c>
      <c r="AM584" s="1107" t="s">
        <v>2117</v>
      </c>
      <c r="AN584" s="1018" t="s">
        <v>123</v>
      </c>
      <c r="AO584" s="1018" t="s">
        <v>1942</v>
      </c>
      <c r="AP584" s="1274">
        <v>0</v>
      </c>
      <c r="AQ584" s="1076" t="s">
        <v>1010</v>
      </c>
      <c r="AR584" s="1109" t="s">
        <v>1942</v>
      </c>
      <c r="AS584" s="1110"/>
      <c r="AT584" s="1100"/>
      <c r="AU584" s="1100"/>
      <c r="AV584" s="1100"/>
      <c r="AW584" s="1111"/>
      <c r="AX584" s="1112"/>
      <c r="AY584" s="1075"/>
      <c r="AZ584" s="1076"/>
      <c r="BA584" s="1076"/>
      <c r="BB584" s="1076"/>
      <c r="BC584" s="1076"/>
      <c r="BD584" s="1076"/>
      <c r="BE584" s="1076"/>
      <c r="BF584" s="1076"/>
      <c r="BG584" s="1076"/>
      <c r="BH584" s="1076"/>
      <c r="BI584" s="1420"/>
      <c r="BJ584" s="1368"/>
      <c r="BK584" s="1368"/>
      <c r="BL584" s="1368"/>
      <c r="BM584" s="1368"/>
      <c r="BN584" s="1075"/>
      <c r="BO584" s="1076"/>
      <c r="BP584" s="1076"/>
      <c r="BQ584" s="1076"/>
      <c r="BR584" s="1076"/>
      <c r="BS584" s="1115"/>
      <c r="BT584" s="1076"/>
      <c r="BU584" s="1076"/>
      <c r="BV584" s="1076"/>
      <c r="BW584" s="1116"/>
      <c r="BX584" s="1115"/>
      <c r="BY584" s="1076"/>
      <c r="BZ584" s="1076"/>
      <c r="CA584" s="1076"/>
      <c r="CB584" s="1116"/>
      <c r="CC584" s="1117"/>
      <c r="CD584" s="1376"/>
      <c r="CE584" s="1377"/>
      <c r="CF584" s="1377"/>
      <c r="CG584" s="1377"/>
      <c r="CH584" s="1440"/>
      <c r="CI584" s="1420"/>
      <c r="CJ584" s="1368"/>
      <c r="CK584" s="1368"/>
      <c r="CL584" s="1368"/>
      <c r="CM584" s="1369"/>
      <c r="CN584" s="1420"/>
      <c r="CO584" s="1368"/>
      <c r="CP584" s="1368"/>
      <c r="CQ584" s="1368"/>
      <c r="CR584" s="1369"/>
      <c r="CS584" s="1420"/>
      <c r="CT584" s="1368"/>
      <c r="CU584" s="1368"/>
      <c r="CV584" s="1368"/>
      <c r="CW584" s="1369"/>
      <c r="CX584" s="1420"/>
      <c r="CY584" s="1368"/>
      <c r="CZ584" s="1368"/>
      <c r="DA584" s="1368"/>
      <c r="DB584" s="1369"/>
      <c r="DC584" s="1368"/>
      <c r="DD584" s="1368"/>
      <c r="DE584" s="1368"/>
      <c r="DF584" s="1368"/>
      <c r="DG584" s="1369"/>
      <c r="DH584" s="1420"/>
      <c r="DI584" s="1368"/>
      <c r="DJ584" s="1368"/>
      <c r="DK584" s="1368"/>
      <c r="DL584" s="1369"/>
      <c r="DM584" s="1808"/>
      <c r="DN584" s="1809"/>
      <c r="DO584" s="1809"/>
      <c r="DP584" s="1810"/>
      <c r="DQ584" s="1809"/>
      <c r="DR584" s="1809"/>
      <c r="DS584" s="1809"/>
      <c r="DT584" s="1810"/>
      <c r="DU584" s="1377"/>
      <c r="DV584" s="1729"/>
      <c r="DW584" s="1811"/>
    </row>
    <row r="585" spans="1:127" s="397" customFormat="1" ht="15.75" hidden="1" customHeight="1">
      <c r="A585" s="1097" t="s">
        <v>1024</v>
      </c>
      <c r="B585" s="1057">
        <v>576</v>
      </c>
      <c r="C585" s="1018"/>
      <c r="D585" s="1018"/>
      <c r="E585" s="1018"/>
      <c r="F585" s="1018"/>
      <c r="G585" s="1018"/>
      <c r="H585" s="1018"/>
      <c r="I585" s="1018"/>
      <c r="J585" s="1018"/>
      <c r="K585" s="1018"/>
      <c r="L585" s="1018"/>
      <c r="M585" s="1057"/>
      <c r="N585" s="1018"/>
      <c r="O585" s="1018"/>
      <c r="P585" s="1018"/>
      <c r="Q585" s="1018"/>
      <c r="R585" s="1018"/>
      <c r="S585" s="1018"/>
      <c r="T585" s="1019"/>
      <c r="U585" s="1098" t="s">
        <v>4383</v>
      </c>
      <c r="V585" s="1099" t="s">
        <v>4299</v>
      </c>
      <c r="W585" s="1099" t="s">
        <v>1907</v>
      </c>
      <c r="X585" s="1100" t="s">
        <v>4384</v>
      </c>
      <c r="Y585" s="1101" t="s">
        <v>4385</v>
      </c>
      <c r="Z585" s="1102" t="s">
        <v>4386</v>
      </c>
      <c r="AA585" s="1103" t="s">
        <v>1942</v>
      </c>
      <c r="AB585" s="1104">
        <v>1</v>
      </c>
      <c r="AC585" s="1104" t="s">
        <v>1942</v>
      </c>
      <c r="AD585" s="1104" t="s">
        <v>1942</v>
      </c>
      <c r="AE585" s="1104" t="s">
        <v>1942</v>
      </c>
      <c r="AF585" s="1104" t="s">
        <v>1942</v>
      </c>
      <c r="AG585" s="1104" t="s">
        <v>1942</v>
      </c>
      <c r="AH585" s="1104" t="s">
        <v>1942</v>
      </c>
      <c r="AI585" s="1105">
        <f t="shared" si="8"/>
        <v>1</v>
      </c>
      <c r="AJ585" s="1106" t="s">
        <v>1026</v>
      </c>
      <c r="AK585" s="1106" t="s">
        <v>1008</v>
      </c>
      <c r="AL585" s="1106" t="s">
        <v>1019</v>
      </c>
      <c r="AM585" s="1107" t="s">
        <v>2117</v>
      </c>
      <c r="AN585" s="1018" t="s">
        <v>123</v>
      </c>
      <c r="AO585" s="1018" t="s">
        <v>1942</v>
      </c>
      <c r="AP585" s="1274">
        <v>0</v>
      </c>
      <c r="AQ585" s="1076" t="s">
        <v>1010</v>
      </c>
      <c r="AR585" s="1109" t="s">
        <v>1942</v>
      </c>
      <c r="AS585" s="1110"/>
      <c r="AT585" s="1100"/>
      <c r="AU585" s="1100"/>
      <c r="AV585" s="1100"/>
      <c r="AW585" s="1111"/>
      <c r="AX585" s="1112"/>
      <c r="AY585" s="1075"/>
      <c r="AZ585" s="1076"/>
      <c r="BA585" s="1076"/>
      <c r="BB585" s="1076"/>
      <c r="BC585" s="1076"/>
      <c r="BD585" s="1076"/>
      <c r="BE585" s="1076"/>
      <c r="BF585" s="1076"/>
      <c r="BG585" s="1076"/>
      <c r="BH585" s="1076"/>
      <c r="BI585" s="1420"/>
      <c r="BJ585" s="1368"/>
      <c r="BK585" s="1368"/>
      <c r="BL585" s="1368"/>
      <c r="BM585" s="1368"/>
      <c r="BN585" s="1075"/>
      <c r="BO585" s="1076"/>
      <c r="BP585" s="1076"/>
      <c r="BQ585" s="1076"/>
      <c r="BR585" s="1076"/>
      <c r="BS585" s="1115"/>
      <c r="BT585" s="1076"/>
      <c r="BU585" s="1076"/>
      <c r="BV585" s="1076"/>
      <c r="BW585" s="1116"/>
      <c r="BX585" s="1115"/>
      <c r="BY585" s="1076"/>
      <c r="BZ585" s="1076"/>
      <c r="CA585" s="1076"/>
      <c r="CB585" s="1116"/>
      <c r="CC585" s="1117"/>
      <c r="CD585" s="1376"/>
      <c r="CE585" s="1377"/>
      <c r="CF585" s="1377"/>
      <c r="CG585" s="1377"/>
      <c r="CH585" s="1440"/>
      <c r="CI585" s="1420"/>
      <c r="CJ585" s="1368"/>
      <c r="CK585" s="1368"/>
      <c r="CL585" s="1368"/>
      <c r="CM585" s="1369"/>
      <c r="CN585" s="1420"/>
      <c r="CO585" s="1368"/>
      <c r="CP585" s="1368"/>
      <c r="CQ585" s="1368"/>
      <c r="CR585" s="1369"/>
      <c r="CS585" s="1420"/>
      <c r="CT585" s="1368"/>
      <c r="CU585" s="1368"/>
      <c r="CV585" s="1368"/>
      <c r="CW585" s="1369"/>
      <c r="CX585" s="1420"/>
      <c r="CY585" s="1368"/>
      <c r="CZ585" s="1368"/>
      <c r="DA585" s="1368"/>
      <c r="DB585" s="1369"/>
      <c r="DC585" s="1368"/>
      <c r="DD585" s="1368"/>
      <c r="DE585" s="1368"/>
      <c r="DF585" s="1368"/>
      <c r="DG585" s="1369"/>
      <c r="DH585" s="1420"/>
      <c r="DI585" s="1368"/>
      <c r="DJ585" s="1368"/>
      <c r="DK585" s="1368"/>
      <c r="DL585" s="1369"/>
      <c r="DM585" s="1808"/>
      <c r="DN585" s="1809"/>
      <c r="DO585" s="1809"/>
      <c r="DP585" s="1810"/>
      <c r="DQ585" s="1809"/>
      <c r="DR585" s="1809"/>
      <c r="DS585" s="1809"/>
      <c r="DT585" s="1810"/>
      <c r="DU585" s="1377"/>
      <c r="DV585" s="1729"/>
      <c r="DW585" s="1811"/>
    </row>
    <row r="586" spans="1:127" s="397" customFormat="1" ht="15.75" hidden="1" customHeight="1">
      <c r="A586" s="1097" t="s">
        <v>1024</v>
      </c>
      <c r="B586" s="1057">
        <v>577</v>
      </c>
      <c r="C586" s="1018"/>
      <c r="D586" s="1018"/>
      <c r="E586" s="1018"/>
      <c r="F586" s="1018"/>
      <c r="G586" s="1018"/>
      <c r="H586" s="1018"/>
      <c r="I586" s="1018"/>
      <c r="J586" s="1018"/>
      <c r="K586" s="1018"/>
      <c r="L586" s="1018"/>
      <c r="M586" s="1057"/>
      <c r="N586" s="1018"/>
      <c r="O586" s="1018"/>
      <c r="P586" s="1018"/>
      <c r="Q586" s="1018"/>
      <c r="R586" s="1018"/>
      <c r="S586" s="1018"/>
      <c r="T586" s="1019"/>
      <c r="U586" s="1098" t="s">
        <v>4387</v>
      </c>
      <c r="V586" s="1099" t="s">
        <v>1942</v>
      </c>
      <c r="W586" s="1099" t="s">
        <v>1942</v>
      </c>
      <c r="X586" s="1100" t="s">
        <v>4388</v>
      </c>
      <c r="Y586" s="1101" t="s">
        <v>4389</v>
      </c>
      <c r="Z586" s="1102" t="s">
        <v>1942</v>
      </c>
      <c r="AA586" s="1103" t="s">
        <v>1942</v>
      </c>
      <c r="AB586" s="1104" t="s">
        <v>1942</v>
      </c>
      <c r="AC586" s="1104">
        <v>1</v>
      </c>
      <c r="AD586" s="1104" t="s">
        <v>1942</v>
      </c>
      <c r="AE586" s="1104" t="s">
        <v>1942</v>
      </c>
      <c r="AF586" s="1104" t="s">
        <v>1942</v>
      </c>
      <c r="AG586" s="1104" t="s">
        <v>1942</v>
      </c>
      <c r="AH586" s="1104" t="s">
        <v>1942</v>
      </c>
      <c r="AI586" s="1105">
        <f t="shared" ref="AI586:AI649" si="9">SUM(AA586:AH586)</f>
        <v>1</v>
      </c>
      <c r="AJ586" s="1106" t="s">
        <v>1026</v>
      </c>
      <c r="AK586" s="1106" t="s">
        <v>1008</v>
      </c>
      <c r="AL586" s="1106" t="s">
        <v>1019</v>
      </c>
      <c r="AM586" s="1107" t="s">
        <v>1942</v>
      </c>
      <c r="AN586" s="1018" t="s">
        <v>1942</v>
      </c>
      <c r="AO586" s="1018" t="s">
        <v>4390</v>
      </c>
      <c r="AP586" s="1274">
        <v>0</v>
      </c>
      <c r="AQ586" s="1076" t="s">
        <v>1010</v>
      </c>
      <c r="AR586" s="1109" t="s">
        <v>1942</v>
      </c>
      <c r="AS586" s="1110"/>
      <c r="AT586" s="1100"/>
      <c r="AU586" s="1100"/>
      <c r="AV586" s="1100"/>
      <c r="AW586" s="1111"/>
      <c r="AX586" s="1112"/>
      <c r="AY586" s="1075"/>
      <c r="AZ586" s="1076"/>
      <c r="BA586" s="1076"/>
      <c r="BB586" s="1076"/>
      <c r="BC586" s="1076"/>
      <c r="BD586" s="1076"/>
      <c r="BE586" s="1076"/>
      <c r="BF586" s="1076"/>
      <c r="BG586" s="1076"/>
      <c r="BH586" s="1076"/>
      <c r="BI586" s="1420"/>
      <c r="BJ586" s="1368"/>
      <c r="BK586" s="1368"/>
      <c r="BL586" s="1368"/>
      <c r="BM586" s="1368"/>
      <c r="BN586" s="1075"/>
      <c r="BO586" s="1076"/>
      <c r="BP586" s="1076"/>
      <c r="BQ586" s="1076"/>
      <c r="BR586" s="1076"/>
      <c r="BS586" s="1115"/>
      <c r="BT586" s="1076"/>
      <c r="BU586" s="1076"/>
      <c r="BV586" s="1076"/>
      <c r="BW586" s="1116"/>
      <c r="BX586" s="1115"/>
      <c r="BY586" s="1076"/>
      <c r="BZ586" s="1076"/>
      <c r="CA586" s="1076"/>
      <c r="CB586" s="1116"/>
      <c r="CC586" s="1117"/>
      <c r="CD586" s="1376"/>
      <c r="CE586" s="1377"/>
      <c r="CF586" s="1377"/>
      <c r="CG586" s="1377"/>
      <c r="CH586" s="1440"/>
      <c r="CI586" s="1420"/>
      <c r="CJ586" s="1368"/>
      <c r="CK586" s="1368"/>
      <c r="CL586" s="1368"/>
      <c r="CM586" s="1369"/>
      <c r="CN586" s="1420"/>
      <c r="CO586" s="1368"/>
      <c r="CP586" s="1368"/>
      <c r="CQ586" s="1368"/>
      <c r="CR586" s="1369"/>
      <c r="CS586" s="1420"/>
      <c r="CT586" s="1368"/>
      <c r="CU586" s="1368"/>
      <c r="CV586" s="1368"/>
      <c r="CW586" s="1369"/>
      <c r="CX586" s="1420"/>
      <c r="CY586" s="1368"/>
      <c r="CZ586" s="1368"/>
      <c r="DA586" s="1368"/>
      <c r="DB586" s="1369"/>
      <c r="DC586" s="1368"/>
      <c r="DD586" s="1368"/>
      <c r="DE586" s="1368"/>
      <c r="DF586" s="1368"/>
      <c r="DG586" s="1369"/>
      <c r="DH586" s="1420"/>
      <c r="DI586" s="1368"/>
      <c r="DJ586" s="1368"/>
      <c r="DK586" s="1368"/>
      <c r="DL586" s="1369"/>
      <c r="DM586" s="1808"/>
      <c r="DN586" s="1809"/>
      <c r="DO586" s="1809"/>
      <c r="DP586" s="1810"/>
      <c r="DQ586" s="1809"/>
      <c r="DR586" s="1809"/>
      <c r="DS586" s="1809"/>
      <c r="DT586" s="1810"/>
      <c r="DU586" s="1377"/>
      <c r="DV586" s="1729"/>
      <c r="DW586" s="1811"/>
    </row>
    <row r="587" spans="1:127" s="397" customFormat="1" ht="15.75" hidden="1" customHeight="1">
      <c r="A587" s="1097" t="s">
        <v>1024</v>
      </c>
      <c r="B587" s="1057">
        <v>578</v>
      </c>
      <c r="C587" s="1018"/>
      <c r="D587" s="1018"/>
      <c r="E587" s="1018"/>
      <c r="F587" s="1018"/>
      <c r="G587" s="1018"/>
      <c r="H587" s="1018"/>
      <c r="I587" s="1018"/>
      <c r="J587" s="1018"/>
      <c r="K587" s="1018"/>
      <c r="L587" s="1018"/>
      <c r="M587" s="1057"/>
      <c r="N587" s="1018"/>
      <c r="O587" s="1018"/>
      <c r="P587" s="1018"/>
      <c r="Q587" s="1018"/>
      <c r="R587" s="1018"/>
      <c r="S587" s="1018"/>
      <c r="T587" s="1019"/>
      <c r="U587" s="1098" t="s">
        <v>4391</v>
      </c>
      <c r="V587" s="1099" t="s">
        <v>1942</v>
      </c>
      <c r="W587" s="1099" t="s">
        <v>1942</v>
      </c>
      <c r="X587" s="1100" t="s">
        <v>2032</v>
      </c>
      <c r="Y587" s="1101" t="s">
        <v>2033</v>
      </c>
      <c r="Z587" s="1102" t="s">
        <v>1942</v>
      </c>
      <c r="AA587" s="1103" t="s">
        <v>1942</v>
      </c>
      <c r="AB587" s="1104" t="s">
        <v>1942</v>
      </c>
      <c r="AC587" s="1104" t="s">
        <v>1942</v>
      </c>
      <c r="AD587" s="1104" t="s">
        <v>1942</v>
      </c>
      <c r="AE587" s="1104" t="s">
        <v>1942</v>
      </c>
      <c r="AF587" s="1104" t="s">
        <v>1942</v>
      </c>
      <c r="AG587" s="1104" t="s">
        <v>1942</v>
      </c>
      <c r="AH587" s="1104" t="s">
        <v>1942</v>
      </c>
      <c r="AI587" s="1105">
        <f t="shared" si="9"/>
        <v>0</v>
      </c>
      <c r="AJ587" s="1106" t="s">
        <v>1007</v>
      </c>
      <c r="AK587" s="1106" t="s">
        <v>1942</v>
      </c>
      <c r="AL587" s="1106" t="s">
        <v>1942</v>
      </c>
      <c r="AM587" s="1107" t="s">
        <v>1942</v>
      </c>
      <c r="AN587" s="1018" t="s">
        <v>1942</v>
      </c>
      <c r="AO587" s="1018" t="s">
        <v>2034</v>
      </c>
      <c r="AP587" s="1274">
        <v>0</v>
      </c>
      <c r="AQ587" s="1076" t="s">
        <v>1942</v>
      </c>
      <c r="AR587" s="1109" t="s">
        <v>1942</v>
      </c>
      <c r="AS587" s="1110"/>
      <c r="AT587" s="1100"/>
      <c r="AU587" s="1100"/>
      <c r="AV587" s="1100"/>
      <c r="AW587" s="1111"/>
      <c r="AX587" s="1112"/>
      <c r="AY587" s="1075"/>
      <c r="AZ587" s="1076"/>
      <c r="BA587" s="1076"/>
      <c r="BB587" s="1076"/>
      <c r="BC587" s="1076"/>
      <c r="BD587" s="1076"/>
      <c r="BE587" s="1076"/>
      <c r="BF587" s="1076"/>
      <c r="BG587" s="1076"/>
      <c r="BH587" s="1076"/>
      <c r="BI587" s="1420"/>
      <c r="BJ587" s="1368"/>
      <c r="BK587" s="1368"/>
      <c r="BL587" s="1368"/>
      <c r="BM587" s="1368"/>
      <c r="BN587" s="1075"/>
      <c r="BO587" s="1076"/>
      <c r="BP587" s="1076"/>
      <c r="BQ587" s="1076"/>
      <c r="BR587" s="1076"/>
      <c r="BS587" s="1115"/>
      <c r="BT587" s="1076"/>
      <c r="BU587" s="1076"/>
      <c r="BV587" s="1076"/>
      <c r="BW587" s="1116"/>
      <c r="BX587" s="1115"/>
      <c r="BY587" s="1076"/>
      <c r="BZ587" s="1076"/>
      <c r="CA587" s="1076"/>
      <c r="CB587" s="1116"/>
      <c r="CC587" s="1117"/>
      <c r="CD587" s="1376"/>
      <c r="CE587" s="1377"/>
      <c r="CF587" s="1377"/>
      <c r="CG587" s="1377"/>
      <c r="CH587" s="1440"/>
      <c r="CI587" s="1420"/>
      <c r="CJ587" s="1368"/>
      <c r="CK587" s="1368"/>
      <c r="CL587" s="1368"/>
      <c r="CM587" s="1369"/>
      <c r="CN587" s="1420"/>
      <c r="CO587" s="1368"/>
      <c r="CP587" s="1368"/>
      <c r="CQ587" s="1368"/>
      <c r="CR587" s="1369"/>
      <c r="CS587" s="1420"/>
      <c r="CT587" s="1368"/>
      <c r="CU587" s="1368"/>
      <c r="CV587" s="1368"/>
      <c r="CW587" s="1369"/>
      <c r="CX587" s="1420"/>
      <c r="CY587" s="1368"/>
      <c r="CZ587" s="1368"/>
      <c r="DA587" s="1368"/>
      <c r="DB587" s="1369"/>
      <c r="DC587" s="1368"/>
      <c r="DD587" s="1368"/>
      <c r="DE587" s="1368"/>
      <c r="DF587" s="1368"/>
      <c r="DG587" s="1369"/>
      <c r="DH587" s="1420"/>
      <c r="DI587" s="1368"/>
      <c r="DJ587" s="1368"/>
      <c r="DK587" s="1368"/>
      <c r="DL587" s="1369"/>
      <c r="DM587" s="1808"/>
      <c r="DN587" s="1809"/>
      <c r="DO587" s="1809"/>
      <c r="DP587" s="1810"/>
      <c r="DQ587" s="1809"/>
      <c r="DR587" s="1809"/>
      <c r="DS587" s="1809"/>
      <c r="DT587" s="1810"/>
      <c r="DU587" s="1377"/>
      <c r="DV587" s="1729"/>
      <c r="DW587" s="1811"/>
    </row>
    <row r="588" spans="1:127" s="397" customFormat="1" ht="15.75" hidden="1" customHeight="1">
      <c r="A588" s="1097" t="s">
        <v>1024</v>
      </c>
      <c r="B588" s="1057">
        <v>579</v>
      </c>
      <c r="C588" s="1018"/>
      <c r="D588" s="1018"/>
      <c r="E588" s="1018"/>
      <c r="F588" s="1018"/>
      <c r="G588" s="1018"/>
      <c r="H588" s="1018"/>
      <c r="I588" s="1018"/>
      <c r="J588" s="1018"/>
      <c r="K588" s="1018"/>
      <c r="L588" s="1018"/>
      <c r="M588" s="1057"/>
      <c r="N588" s="1018"/>
      <c r="O588" s="1018"/>
      <c r="P588" s="1018"/>
      <c r="Q588" s="1018"/>
      <c r="R588" s="1018"/>
      <c r="S588" s="1018"/>
      <c r="T588" s="1019"/>
      <c r="U588" s="1098" t="s">
        <v>4392</v>
      </c>
      <c r="V588" s="1099" t="s">
        <v>1942</v>
      </c>
      <c r="W588" s="1099" t="s">
        <v>1942</v>
      </c>
      <c r="X588" s="1100" t="s">
        <v>4393</v>
      </c>
      <c r="Y588" s="1101" t="s">
        <v>4394</v>
      </c>
      <c r="Z588" s="1102" t="s">
        <v>1942</v>
      </c>
      <c r="AA588" s="1103" t="s">
        <v>1942</v>
      </c>
      <c r="AB588" s="1104">
        <v>1</v>
      </c>
      <c r="AC588" s="1104" t="s">
        <v>1942</v>
      </c>
      <c r="AD588" s="1104" t="s">
        <v>1942</v>
      </c>
      <c r="AE588" s="1104" t="s">
        <v>1942</v>
      </c>
      <c r="AF588" s="1104" t="s">
        <v>1942</v>
      </c>
      <c r="AG588" s="1104" t="s">
        <v>1942</v>
      </c>
      <c r="AH588" s="1104" t="s">
        <v>1942</v>
      </c>
      <c r="AI588" s="1105">
        <f t="shared" si="9"/>
        <v>1</v>
      </c>
      <c r="AJ588" s="1106" t="s">
        <v>1026</v>
      </c>
      <c r="AK588" s="1106" t="s">
        <v>1008</v>
      </c>
      <c r="AL588" s="1106" t="s">
        <v>1019</v>
      </c>
      <c r="AM588" s="1107" t="s">
        <v>1942</v>
      </c>
      <c r="AN588" s="1018"/>
      <c r="AO588" s="1018"/>
      <c r="AP588" s="1274">
        <v>0</v>
      </c>
      <c r="AQ588" s="1076"/>
      <c r="AR588" s="1109" t="s">
        <v>1942</v>
      </c>
      <c r="AS588" s="1110"/>
      <c r="AT588" s="1100"/>
      <c r="AU588" s="1100"/>
      <c r="AV588" s="1100"/>
      <c r="AW588" s="1111"/>
      <c r="AX588" s="1112"/>
      <c r="AY588" s="1075"/>
      <c r="AZ588" s="1076"/>
      <c r="BA588" s="1076"/>
      <c r="BB588" s="1076"/>
      <c r="BC588" s="1076"/>
      <c r="BD588" s="1076"/>
      <c r="BE588" s="1076"/>
      <c r="BF588" s="1076"/>
      <c r="BG588" s="1076"/>
      <c r="BH588" s="1076"/>
      <c r="BI588" s="1420"/>
      <c r="BJ588" s="1368"/>
      <c r="BK588" s="1368"/>
      <c r="BL588" s="1368"/>
      <c r="BM588" s="1368"/>
      <c r="BN588" s="1075"/>
      <c r="BO588" s="1076"/>
      <c r="BP588" s="1076"/>
      <c r="BQ588" s="1076"/>
      <c r="BR588" s="1076"/>
      <c r="BS588" s="1115"/>
      <c r="BT588" s="1076"/>
      <c r="BU588" s="1076"/>
      <c r="BV588" s="1076"/>
      <c r="BW588" s="1116"/>
      <c r="BX588" s="1115"/>
      <c r="BY588" s="1076"/>
      <c r="BZ588" s="1076"/>
      <c r="CA588" s="1076"/>
      <c r="CB588" s="1116"/>
      <c r="CC588" s="1117"/>
      <c r="CD588" s="1376"/>
      <c r="CE588" s="1377"/>
      <c r="CF588" s="1377"/>
      <c r="CG588" s="1377"/>
      <c r="CH588" s="1440"/>
      <c r="CI588" s="1420"/>
      <c r="CJ588" s="1368"/>
      <c r="CK588" s="1368"/>
      <c r="CL588" s="1368"/>
      <c r="CM588" s="1369"/>
      <c r="CN588" s="1420"/>
      <c r="CO588" s="1368"/>
      <c r="CP588" s="1368"/>
      <c r="CQ588" s="1368"/>
      <c r="CR588" s="1369"/>
      <c r="CS588" s="1420"/>
      <c r="CT588" s="1368"/>
      <c r="CU588" s="1368"/>
      <c r="CV588" s="1368"/>
      <c r="CW588" s="1369"/>
      <c r="CX588" s="1420"/>
      <c r="CY588" s="1368"/>
      <c r="CZ588" s="1368"/>
      <c r="DA588" s="1368"/>
      <c r="DB588" s="1369"/>
      <c r="DC588" s="1368"/>
      <c r="DD588" s="1368"/>
      <c r="DE588" s="1368"/>
      <c r="DF588" s="1368"/>
      <c r="DG588" s="1369"/>
      <c r="DH588" s="1420"/>
      <c r="DI588" s="1368"/>
      <c r="DJ588" s="1368"/>
      <c r="DK588" s="1368"/>
      <c r="DL588" s="1369"/>
      <c r="DM588" s="1808"/>
      <c r="DN588" s="1809"/>
      <c r="DO588" s="1809"/>
      <c r="DP588" s="1810"/>
      <c r="DQ588" s="1809"/>
      <c r="DR588" s="1809"/>
      <c r="DS588" s="1809"/>
      <c r="DT588" s="1810"/>
      <c r="DU588" s="1377"/>
      <c r="DV588" s="1729"/>
      <c r="DW588" s="1811"/>
    </row>
    <row r="589" spans="1:127" s="397" customFormat="1" ht="15.75" hidden="1" customHeight="1">
      <c r="A589" s="1097" t="s">
        <v>1024</v>
      </c>
      <c r="B589" s="1057">
        <v>580</v>
      </c>
      <c r="C589" s="1018"/>
      <c r="D589" s="1018"/>
      <c r="E589" s="1018"/>
      <c r="F589" s="1018"/>
      <c r="G589" s="1018"/>
      <c r="H589" s="1018"/>
      <c r="I589" s="1018"/>
      <c r="J589" s="1018"/>
      <c r="K589" s="1018"/>
      <c r="L589" s="1018"/>
      <c r="M589" s="1057"/>
      <c r="N589" s="1018"/>
      <c r="O589" s="1018"/>
      <c r="P589" s="1018"/>
      <c r="Q589" s="1018"/>
      <c r="R589" s="1018"/>
      <c r="S589" s="1018"/>
      <c r="T589" s="1019"/>
      <c r="U589" s="1098" t="s">
        <v>4396</v>
      </c>
      <c r="V589" s="1099" t="s">
        <v>1942</v>
      </c>
      <c r="W589" s="1099" t="s">
        <v>1942</v>
      </c>
      <c r="X589" s="1100" t="s">
        <v>3977</v>
      </c>
      <c r="Y589" s="1101" t="s">
        <v>2697</v>
      </c>
      <c r="Z589" s="1102" t="s">
        <v>1942</v>
      </c>
      <c r="AA589" s="1103" t="s">
        <v>1942</v>
      </c>
      <c r="AB589" s="1104" t="s">
        <v>1942</v>
      </c>
      <c r="AC589" s="1104" t="s">
        <v>1942</v>
      </c>
      <c r="AD589" s="1104" t="s">
        <v>1942</v>
      </c>
      <c r="AE589" s="1104" t="s">
        <v>1942</v>
      </c>
      <c r="AF589" s="1104" t="s">
        <v>1942</v>
      </c>
      <c r="AG589" s="1104" t="s">
        <v>1942</v>
      </c>
      <c r="AH589" s="1104" t="s">
        <v>1942</v>
      </c>
      <c r="AI589" s="1105">
        <f t="shared" si="9"/>
        <v>0</v>
      </c>
      <c r="AJ589" s="1106"/>
      <c r="AK589" s="1106"/>
      <c r="AL589" s="1106"/>
      <c r="AM589" s="1107"/>
      <c r="AN589" s="1018"/>
      <c r="AO589" s="1018"/>
      <c r="AP589" s="1274">
        <v>0</v>
      </c>
      <c r="AQ589" s="1076"/>
      <c r="AR589" s="1109"/>
      <c r="AS589" s="1110"/>
      <c r="AT589" s="1100"/>
      <c r="AU589" s="1100"/>
      <c r="AV589" s="1100"/>
      <c r="AW589" s="1111"/>
      <c r="AX589" s="1112"/>
      <c r="AY589" s="1075"/>
      <c r="AZ589" s="1076"/>
      <c r="BA589" s="1076"/>
      <c r="BB589" s="1076"/>
      <c r="BC589" s="1076"/>
      <c r="BD589" s="1076"/>
      <c r="BE589" s="1076"/>
      <c r="BF589" s="1076"/>
      <c r="BG589" s="1076"/>
      <c r="BH589" s="1076"/>
      <c r="BI589" s="1420"/>
      <c r="BJ589" s="1368"/>
      <c r="BK589" s="1368"/>
      <c r="BL589" s="1368"/>
      <c r="BM589" s="1368"/>
      <c r="BN589" s="1075"/>
      <c r="BO589" s="1076"/>
      <c r="BP589" s="1076"/>
      <c r="BQ589" s="1076"/>
      <c r="BR589" s="1076"/>
      <c r="BS589" s="1115"/>
      <c r="BT589" s="1076"/>
      <c r="BU589" s="1076"/>
      <c r="BV589" s="1076"/>
      <c r="BW589" s="1116"/>
      <c r="BX589" s="1115"/>
      <c r="BY589" s="1076"/>
      <c r="BZ589" s="1076"/>
      <c r="CA589" s="1076"/>
      <c r="CB589" s="1116"/>
      <c r="CC589" s="1117"/>
      <c r="CD589" s="1376"/>
      <c r="CE589" s="1377"/>
      <c r="CF589" s="1377"/>
      <c r="CG589" s="1377"/>
      <c r="CH589" s="1440"/>
      <c r="CI589" s="1420"/>
      <c r="CJ589" s="1368"/>
      <c r="CK589" s="1368"/>
      <c r="CL589" s="1368"/>
      <c r="CM589" s="1369"/>
      <c r="CN589" s="1420"/>
      <c r="CO589" s="1368"/>
      <c r="CP589" s="1368"/>
      <c r="CQ589" s="1368"/>
      <c r="CR589" s="1369"/>
      <c r="CS589" s="1420"/>
      <c r="CT589" s="1368"/>
      <c r="CU589" s="1368"/>
      <c r="CV589" s="1368"/>
      <c r="CW589" s="1369"/>
      <c r="CX589" s="1420"/>
      <c r="CY589" s="1368"/>
      <c r="CZ589" s="1368"/>
      <c r="DA589" s="1368"/>
      <c r="DB589" s="1369"/>
      <c r="DC589" s="1368"/>
      <c r="DD589" s="1368"/>
      <c r="DE589" s="1368"/>
      <c r="DF589" s="1368"/>
      <c r="DG589" s="1369"/>
      <c r="DH589" s="1420"/>
      <c r="DI589" s="1368"/>
      <c r="DJ589" s="1368"/>
      <c r="DK589" s="1368"/>
      <c r="DL589" s="1369"/>
      <c r="DM589" s="1808"/>
      <c r="DN589" s="1809"/>
      <c r="DO589" s="1809"/>
      <c r="DP589" s="1810"/>
      <c r="DQ589" s="1809"/>
      <c r="DR589" s="1809"/>
      <c r="DS589" s="1809"/>
      <c r="DT589" s="1810"/>
      <c r="DU589" s="1377"/>
      <c r="DV589" s="1729"/>
      <c r="DW589" s="1811"/>
    </row>
    <row r="590" spans="1:127" s="397" customFormat="1" ht="15.75" hidden="1" customHeight="1">
      <c r="A590" s="1097" t="s">
        <v>1054</v>
      </c>
      <c r="B590" s="1057">
        <v>581</v>
      </c>
      <c r="C590" s="1018"/>
      <c r="D590" s="1018"/>
      <c r="E590" s="1018"/>
      <c r="F590" s="1018"/>
      <c r="G590" s="1018"/>
      <c r="H590" s="1018"/>
      <c r="I590" s="1018"/>
      <c r="J590" s="1018"/>
      <c r="K590" s="1018"/>
      <c r="L590" s="1018"/>
      <c r="M590" s="1057"/>
      <c r="N590" s="1018"/>
      <c r="O590" s="1018"/>
      <c r="P590" s="1018"/>
      <c r="Q590" s="1018"/>
      <c r="R590" s="1018"/>
      <c r="S590" s="1018"/>
      <c r="T590" s="1019"/>
      <c r="U590" s="1098" t="s">
        <v>4409</v>
      </c>
      <c r="V590" s="1099" t="s">
        <v>4410</v>
      </c>
      <c r="W590" s="1099" t="s">
        <v>1907</v>
      </c>
      <c r="X590" s="1100" t="s">
        <v>2333</v>
      </c>
      <c r="Y590" s="1101" t="s">
        <v>4411</v>
      </c>
      <c r="Z590" s="1102" t="s">
        <v>4412</v>
      </c>
      <c r="AA590" s="1103" t="s">
        <v>1942</v>
      </c>
      <c r="AB590" s="1104" t="s">
        <v>1942</v>
      </c>
      <c r="AC590" s="1104" t="s">
        <v>1942</v>
      </c>
      <c r="AD590" s="1104" t="s">
        <v>1942</v>
      </c>
      <c r="AE590" s="1104">
        <v>1</v>
      </c>
      <c r="AF590" s="1104" t="s">
        <v>1942</v>
      </c>
      <c r="AG590" s="1104" t="s">
        <v>1942</v>
      </c>
      <c r="AH590" s="1104" t="s">
        <v>1942</v>
      </c>
      <c r="AI590" s="1105">
        <f t="shared" si="9"/>
        <v>1</v>
      </c>
      <c r="AJ590" s="1106" t="s">
        <v>1030</v>
      </c>
      <c r="AK590" s="1106" t="s">
        <v>1008</v>
      </c>
      <c r="AL590" s="1106" t="s">
        <v>1009</v>
      </c>
      <c r="AM590" s="1107" t="s">
        <v>2029</v>
      </c>
      <c r="AN590" s="1018" t="s">
        <v>1033</v>
      </c>
      <c r="AO590" s="1018" t="s">
        <v>4413</v>
      </c>
      <c r="AP590" s="1274">
        <v>0</v>
      </c>
      <c r="AQ590" s="1076" t="s">
        <v>1010</v>
      </c>
      <c r="AR590" s="1109" t="s">
        <v>1942</v>
      </c>
      <c r="AS590" s="1110"/>
      <c r="AT590" s="1100"/>
      <c r="AU590" s="1100"/>
      <c r="AV590" s="1100"/>
      <c r="AW590" s="1111"/>
      <c r="AX590" s="1112"/>
      <c r="AY590" s="1075"/>
      <c r="AZ590" s="1076"/>
      <c r="BA590" s="1076"/>
      <c r="BB590" s="1076"/>
      <c r="BC590" s="1076"/>
      <c r="BD590" s="1076"/>
      <c r="BE590" s="1076"/>
      <c r="BF590" s="1076"/>
      <c r="BG590" s="1076"/>
      <c r="BH590" s="1076"/>
      <c r="BI590" s="1420"/>
      <c r="BJ590" s="1368"/>
      <c r="BK590" s="1368"/>
      <c r="BL590" s="1368"/>
      <c r="BM590" s="1368"/>
      <c r="BN590" s="1075"/>
      <c r="BO590" s="1076"/>
      <c r="BP590" s="1076"/>
      <c r="BQ590" s="1076"/>
      <c r="BR590" s="1076"/>
      <c r="BS590" s="1115"/>
      <c r="BT590" s="1076"/>
      <c r="BU590" s="1076"/>
      <c r="BV590" s="1076"/>
      <c r="BW590" s="1116"/>
      <c r="BX590" s="1115"/>
      <c r="BY590" s="1076"/>
      <c r="BZ590" s="1076"/>
      <c r="CA590" s="1076"/>
      <c r="CB590" s="1116"/>
      <c r="CC590" s="1117"/>
      <c r="CD590" s="1376"/>
      <c r="CE590" s="1377"/>
      <c r="CF590" s="1377"/>
      <c r="CG590" s="1377"/>
      <c r="CH590" s="1440"/>
      <c r="CI590" s="1420"/>
      <c r="CJ590" s="1368"/>
      <c r="CK590" s="1368"/>
      <c r="CL590" s="1368"/>
      <c r="CM590" s="1369"/>
      <c r="CN590" s="1420"/>
      <c r="CO590" s="1368"/>
      <c r="CP590" s="1368"/>
      <c r="CQ590" s="1368"/>
      <c r="CR590" s="1369"/>
      <c r="CS590" s="1420"/>
      <c r="CT590" s="1368"/>
      <c r="CU590" s="1368"/>
      <c r="CV590" s="1368"/>
      <c r="CW590" s="1369"/>
      <c r="CX590" s="1420"/>
      <c r="CY590" s="1368"/>
      <c r="CZ590" s="1368"/>
      <c r="DA590" s="1368"/>
      <c r="DB590" s="1369"/>
      <c r="DC590" s="1368"/>
      <c r="DD590" s="1368"/>
      <c r="DE590" s="1368"/>
      <c r="DF590" s="1368"/>
      <c r="DG590" s="1369"/>
      <c r="DH590" s="1420"/>
      <c r="DI590" s="1368"/>
      <c r="DJ590" s="1368"/>
      <c r="DK590" s="1368"/>
      <c r="DL590" s="1369"/>
      <c r="DM590" s="1808"/>
      <c r="DN590" s="1809"/>
      <c r="DO590" s="1809"/>
      <c r="DP590" s="1810"/>
      <c r="DQ590" s="1809"/>
      <c r="DR590" s="1809"/>
      <c r="DS590" s="1809"/>
      <c r="DT590" s="1810"/>
      <c r="DU590" s="1377"/>
      <c r="DV590" s="1729"/>
      <c r="DW590" s="1811"/>
    </row>
    <row r="591" spans="1:127" s="397" customFormat="1" ht="15.75" hidden="1" customHeight="1">
      <c r="A591" s="1097" t="s">
        <v>1054</v>
      </c>
      <c r="B591" s="1057">
        <v>582</v>
      </c>
      <c r="C591" s="1018"/>
      <c r="D591" s="1018" t="s">
        <v>2098</v>
      </c>
      <c r="E591" s="1018"/>
      <c r="F591" s="1018"/>
      <c r="G591" s="1018"/>
      <c r="H591" s="1018"/>
      <c r="I591" s="1018"/>
      <c r="J591" s="1018"/>
      <c r="K591" s="1018"/>
      <c r="L591" s="1018"/>
      <c r="M591" s="1057"/>
      <c r="N591" s="1018"/>
      <c r="O591" s="1018"/>
      <c r="P591" s="1018"/>
      <c r="Q591" s="1018"/>
      <c r="R591" s="1018"/>
      <c r="S591" s="1018"/>
      <c r="T591" s="1019"/>
      <c r="U591" s="1098" t="s">
        <v>4414</v>
      </c>
      <c r="V591" s="1099" t="s">
        <v>4410</v>
      </c>
      <c r="W591" s="1099" t="s">
        <v>1907</v>
      </c>
      <c r="X591" s="1100" t="s">
        <v>2337</v>
      </c>
      <c r="Y591" s="1101" t="s">
        <v>4415</v>
      </c>
      <c r="Z591" s="1102" t="s">
        <v>4416</v>
      </c>
      <c r="AA591" s="1103" t="s">
        <v>1942</v>
      </c>
      <c r="AB591" s="1104" t="s">
        <v>1942</v>
      </c>
      <c r="AC591" s="1104" t="s">
        <v>1942</v>
      </c>
      <c r="AD591" s="1104" t="s">
        <v>1942</v>
      </c>
      <c r="AE591" s="1104">
        <v>1</v>
      </c>
      <c r="AF591" s="1104" t="s">
        <v>1942</v>
      </c>
      <c r="AG591" s="1104" t="s">
        <v>1942</v>
      </c>
      <c r="AH591" s="1104" t="s">
        <v>1942</v>
      </c>
      <c r="AI591" s="1105">
        <f t="shared" si="9"/>
        <v>1</v>
      </c>
      <c r="AJ591" s="1106" t="s">
        <v>1007</v>
      </c>
      <c r="AK591" s="1106" t="s">
        <v>1942</v>
      </c>
      <c r="AL591" s="1106" t="s">
        <v>1942</v>
      </c>
      <c r="AM591" s="1107" t="s">
        <v>2029</v>
      </c>
      <c r="AN591" s="1018" t="s">
        <v>1033</v>
      </c>
      <c r="AO591" s="1018" t="s">
        <v>4417</v>
      </c>
      <c r="AP591" s="1274">
        <v>0</v>
      </c>
      <c r="AQ591" s="1076" t="s">
        <v>1010</v>
      </c>
      <c r="AR591" s="1109" t="s">
        <v>1942</v>
      </c>
      <c r="AS591" s="1110"/>
      <c r="AT591" s="1100"/>
      <c r="AU591" s="1100"/>
      <c r="AV591" s="1100"/>
      <c r="AW591" s="1111"/>
      <c r="AX591" s="1112"/>
      <c r="AY591" s="1075"/>
      <c r="AZ591" s="1076"/>
      <c r="BA591" s="1076"/>
      <c r="BB591" s="1076"/>
      <c r="BC591" s="1076"/>
      <c r="BD591" s="1076"/>
      <c r="BE591" s="1076"/>
      <c r="BF591" s="1076"/>
      <c r="BG591" s="1076"/>
      <c r="BH591" s="1076"/>
      <c r="BI591" s="1420"/>
      <c r="BJ591" s="1368"/>
      <c r="BK591" s="1368"/>
      <c r="BL591" s="1368"/>
      <c r="BM591" s="1368"/>
      <c r="BN591" s="1075"/>
      <c r="BO591" s="1076"/>
      <c r="BP591" s="1076"/>
      <c r="BQ591" s="1076"/>
      <c r="BR591" s="1076"/>
      <c r="BS591" s="1115"/>
      <c r="BT591" s="1076"/>
      <c r="BU591" s="1076"/>
      <c r="BV591" s="1076"/>
      <c r="BW591" s="1116"/>
      <c r="BX591" s="1115"/>
      <c r="BY591" s="1076"/>
      <c r="BZ591" s="1076"/>
      <c r="CA591" s="1076"/>
      <c r="CB591" s="1116"/>
      <c r="CC591" s="1117"/>
      <c r="CD591" s="1376"/>
      <c r="CE591" s="1377"/>
      <c r="CF591" s="1377"/>
      <c r="CG591" s="1377"/>
      <c r="CH591" s="1440"/>
      <c r="CI591" s="1420"/>
      <c r="CJ591" s="1368"/>
      <c r="CK591" s="1368"/>
      <c r="CL591" s="1368"/>
      <c r="CM591" s="1369"/>
      <c r="CN591" s="1420"/>
      <c r="CO591" s="1368"/>
      <c r="CP591" s="1368"/>
      <c r="CQ591" s="1368"/>
      <c r="CR591" s="1369"/>
      <c r="CS591" s="1420"/>
      <c r="CT591" s="1368"/>
      <c r="CU591" s="1368"/>
      <c r="CV591" s="1368"/>
      <c r="CW591" s="1369"/>
      <c r="CX591" s="1420"/>
      <c r="CY591" s="1368"/>
      <c r="CZ591" s="1368"/>
      <c r="DA591" s="1368"/>
      <c r="DB591" s="1369"/>
      <c r="DC591" s="1368"/>
      <c r="DD591" s="1368"/>
      <c r="DE591" s="1368"/>
      <c r="DF591" s="1368"/>
      <c r="DG591" s="1369"/>
      <c r="DH591" s="1420"/>
      <c r="DI591" s="1368"/>
      <c r="DJ591" s="1368"/>
      <c r="DK591" s="1368"/>
      <c r="DL591" s="1369"/>
      <c r="DM591" s="1808"/>
      <c r="DN591" s="1809"/>
      <c r="DO591" s="1809"/>
      <c r="DP591" s="1810"/>
      <c r="DQ591" s="1809"/>
      <c r="DR591" s="1809"/>
      <c r="DS591" s="1809"/>
      <c r="DT591" s="1810"/>
      <c r="DU591" s="1377"/>
      <c r="DV591" s="1729"/>
      <c r="DW591" s="1811"/>
    </row>
    <row r="592" spans="1:127" s="397" customFormat="1" ht="15.75" hidden="1" customHeight="1">
      <c r="A592" s="1097" t="s">
        <v>1054</v>
      </c>
      <c r="B592" s="1057">
        <v>583</v>
      </c>
      <c r="C592" s="1018"/>
      <c r="D592" s="1018"/>
      <c r="E592" s="1018"/>
      <c r="F592" s="1018"/>
      <c r="G592" s="1018"/>
      <c r="H592" s="1018"/>
      <c r="I592" s="1018"/>
      <c r="J592" s="1018"/>
      <c r="K592" s="1018"/>
      <c r="L592" s="1018"/>
      <c r="M592" s="1057"/>
      <c r="N592" s="1018"/>
      <c r="O592" s="1018"/>
      <c r="P592" s="1018"/>
      <c r="Q592" s="1018"/>
      <c r="R592" s="1018"/>
      <c r="S592" s="1018"/>
      <c r="T592" s="1019"/>
      <c r="U592" s="1098" t="s">
        <v>4418</v>
      </c>
      <c r="V592" s="1099" t="s">
        <v>4410</v>
      </c>
      <c r="W592" s="1099" t="s">
        <v>1907</v>
      </c>
      <c r="X592" s="1100" t="s">
        <v>2342</v>
      </c>
      <c r="Y592" s="1101" t="s">
        <v>4419</v>
      </c>
      <c r="Z592" s="1102" t="s">
        <v>4420</v>
      </c>
      <c r="AA592" s="1103" t="s">
        <v>1942</v>
      </c>
      <c r="AB592" s="1104" t="s">
        <v>1942</v>
      </c>
      <c r="AC592" s="1104" t="s">
        <v>1942</v>
      </c>
      <c r="AD592" s="1104" t="s">
        <v>1942</v>
      </c>
      <c r="AE592" s="1104">
        <v>1</v>
      </c>
      <c r="AF592" s="1104" t="s">
        <v>1942</v>
      </c>
      <c r="AG592" s="1104" t="s">
        <v>1942</v>
      </c>
      <c r="AH592" s="1104" t="s">
        <v>1942</v>
      </c>
      <c r="AI592" s="1105">
        <f t="shared" si="9"/>
        <v>1</v>
      </c>
      <c r="AJ592" s="1106" t="s">
        <v>1030</v>
      </c>
      <c r="AK592" s="1106" t="s">
        <v>1008</v>
      </c>
      <c r="AL592" s="1106" t="s">
        <v>1009</v>
      </c>
      <c r="AM592" s="1107" t="s">
        <v>2763</v>
      </c>
      <c r="AN592" s="1018" t="s">
        <v>278</v>
      </c>
      <c r="AO592" s="1018" t="s">
        <v>4421</v>
      </c>
      <c r="AP592" s="1274">
        <v>2</v>
      </c>
      <c r="AQ592" s="1076" t="s">
        <v>1020</v>
      </c>
      <c r="AR592" s="1109" t="s">
        <v>1942</v>
      </c>
      <c r="AS592" s="1110"/>
      <c r="AT592" s="1100"/>
      <c r="AU592" s="1100"/>
      <c r="AV592" s="1100"/>
      <c r="AW592" s="1111"/>
      <c r="AX592" s="1112"/>
      <c r="AY592" s="1075"/>
      <c r="AZ592" s="1076"/>
      <c r="BA592" s="1076"/>
      <c r="BB592" s="1076"/>
      <c r="BC592" s="1076"/>
      <c r="BD592" s="1076"/>
      <c r="BE592" s="1076"/>
      <c r="BF592" s="1076"/>
      <c r="BG592" s="1076"/>
      <c r="BH592" s="1076"/>
      <c r="BI592" s="1420"/>
      <c r="BJ592" s="1368"/>
      <c r="BK592" s="1368"/>
      <c r="BL592" s="1368"/>
      <c r="BM592" s="1368"/>
      <c r="BN592" s="1075"/>
      <c r="BO592" s="1076"/>
      <c r="BP592" s="1076"/>
      <c r="BQ592" s="1076"/>
      <c r="BR592" s="1076"/>
      <c r="BS592" s="1115"/>
      <c r="BT592" s="1076"/>
      <c r="BU592" s="1076"/>
      <c r="BV592" s="1076"/>
      <c r="BW592" s="1116"/>
      <c r="BX592" s="1115"/>
      <c r="BY592" s="1076"/>
      <c r="BZ592" s="1076"/>
      <c r="CA592" s="1076"/>
      <c r="CB592" s="1116"/>
      <c r="CC592" s="1117"/>
      <c r="CD592" s="1376"/>
      <c r="CE592" s="1377"/>
      <c r="CF592" s="1377"/>
      <c r="CG592" s="1377"/>
      <c r="CH592" s="1440"/>
      <c r="CI592" s="1420"/>
      <c r="CJ592" s="1368"/>
      <c r="CK592" s="1368"/>
      <c r="CL592" s="1368"/>
      <c r="CM592" s="1369"/>
      <c r="CN592" s="1420"/>
      <c r="CO592" s="1368"/>
      <c r="CP592" s="1368"/>
      <c r="CQ592" s="1368"/>
      <c r="CR592" s="1369"/>
      <c r="CS592" s="1420"/>
      <c r="CT592" s="1368"/>
      <c r="CU592" s="1368"/>
      <c r="CV592" s="1368"/>
      <c r="CW592" s="1369"/>
      <c r="CX592" s="1420"/>
      <c r="CY592" s="1368"/>
      <c r="CZ592" s="1368"/>
      <c r="DA592" s="1368"/>
      <c r="DB592" s="1369"/>
      <c r="DC592" s="1368"/>
      <c r="DD592" s="1368"/>
      <c r="DE592" s="1368"/>
      <c r="DF592" s="1368"/>
      <c r="DG592" s="1369"/>
      <c r="DH592" s="1420"/>
      <c r="DI592" s="1368"/>
      <c r="DJ592" s="1368"/>
      <c r="DK592" s="1368"/>
      <c r="DL592" s="1369"/>
      <c r="DM592" s="1808"/>
      <c r="DN592" s="1809"/>
      <c r="DO592" s="1809"/>
      <c r="DP592" s="1810"/>
      <c r="DQ592" s="1809"/>
      <c r="DR592" s="1809"/>
      <c r="DS592" s="1809"/>
      <c r="DT592" s="1810"/>
      <c r="DU592" s="1377"/>
      <c r="DV592" s="1729"/>
      <c r="DW592" s="1811"/>
    </row>
    <row r="593" spans="1:127" s="397" customFormat="1" ht="15.75" hidden="1" customHeight="1">
      <c r="A593" s="1097" t="s">
        <v>1054</v>
      </c>
      <c r="B593" s="1057">
        <v>584</v>
      </c>
      <c r="C593" s="1018"/>
      <c r="D593" s="1018"/>
      <c r="E593" s="1018"/>
      <c r="F593" s="1018"/>
      <c r="G593" s="1018"/>
      <c r="H593" s="1018"/>
      <c r="I593" s="1018"/>
      <c r="J593" s="1018"/>
      <c r="K593" s="1018"/>
      <c r="L593" s="1018"/>
      <c r="M593" s="1057"/>
      <c r="N593" s="1018"/>
      <c r="O593" s="1018"/>
      <c r="P593" s="1018"/>
      <c r="Q593" s="1018"/>
      <c r="R593" s="1018"/>
      <c r="S593" s="1018"/>
      <c r="T593" s="1019"/>
      <c r="U593" s="1098" t="s">
        <v>4422</v>
      </c>
      <c r="V593" s="1099" t="s">
        <v>4410</v>
      </c>
      <c r="W593" s="1099" t="s">
        <v>1907</v>
      </c>
      <c r="X593" s="1100" t="s">
        <v>4423</v>
      </c>
      <c r="Y593" s="1101" t="s">
        <v>2574</v>
      </c>
      <c r="Z593" s="1102" t="s">
        <v>4424</v>
      </c>
      <c r="AA593" s="1103" t="s">
        <v>1942</v>
      </c>
      <c r="AB593" s="1104" t="s">
        <v>1942</v>
      </c>
      <c r="AC593" s="1104" t="s">
        <v>1942</v>
      </c>
      <c r="AD593" s="1104" t="s">
        <v>1942</v>
      </c>
      <c r="AE593" s="1104">
        <v>1</v>
      </c>
      <c r="AF593" s="1104" t="s">
        <v>1942</v>
      </c>
      <c r="AG593" s="1104" t="s">
        <v>1942</v>
      </c>
      <c r="AH593" s="1104" t="s">
        <v>1942</v>
      </c>
      <c r="AI593" s="1105">
        <f t="shared" si="9"/>
        <v>1</v>
      </c>
      <c r="AJ593" s="1106" t="s">
        <v>1030</v>
      </c>
      <c r="AK593" s="1106" t="s">
        <v>1008</v>
      </c>
      <c r="AL593" s="1106" t="s">
        <v>1009</v>
      </c>
      <c r="AM593" s="1107" t="s">
        <v>2763</v>
      </c>
      <c r="AN593" s="1018" t="s">
        <v>1033</v>
      </c>
      <c r="AO593" s="1018" t="s">
        <v>4425</v>
      </c>
      <c r="AP593" s="1274">
        <v>0</v>
      </c>
      <c r="AQ593" s="1076" t="s">
        <v>1010</v>
      </c>
      <c r="AR593" s="1109" t="s">
        <v>1942</v>
      </c>
      <c r="AS593" s="1110"/>
      <c r="AT593" s="1100"/>
      <c r="AU593" s="1100"/>
      <c r="AV593" s="1100"/>
      <c r="AW593" s="1111"/>
      <c r="AX593" s="1112"/>
      <c r="AY593" s="1075"/>
      <c r="AZ593" s="1076"/>
      <c r="BA593" s="1076"/>
      <c r="BB593" s="1076"/>
      <c r="BC593" s="1076"/>
      <c r="BD593" s="1076"/>
      <c r="BE593" s="1076"/>
      <c r="BF593" s="1076"/>
      <c r="BG593" s="1076"/>
      <c r="BH593" s="1076"/>
      <c r="BI593" s="1420"/>
      <c r="BJ593" s="1368"/>
      <c r="BK593" s="1368"/>
      <c r="BL593" s="1368"/>
      <c r="BM593" s="1368"/>
      <c r="BN593" s="1075"/>
      <c r="BO593" s="1076"/>
      <c r="BP593" s="1076"/>
      <c r="BQ593" s="1076"/>
      <c r="BR593" s="1076"/>
      <c r="BS593" s="1115"/>
      <c r="BT593" s="1076"/>
      <c r="BU593" s="1076"/>
      <c r="BV593" s="1076"/>
      <c r="BW593" s="1116"/>
      <c r="BX593" s="1115"/>
      <c r="BY593" s="1076"/>
      <c r="BZ593" s="1076"/>
      <c r="CA593" s="1076"/>
      <c r="CB593" s="1116"/>
      <c r="CC593" s="1117"/>
      <c r="CD593" s="1376"/>
      <c r="CE593" s="1377"/>
      <c r="CF593" s="1377"/>
      <c r="CG593" s="1377"/>
      <c r="CH593" s="1440"/>
      <c r="CI593" s="1420"/>
      <c r="CJ593" s="1368"/>
      <c r="CK593" s="1368"/>
      <c r="CL593" s="1368"/>
      <c r="CM593" s="1369"/>
      <c r="CN593" s="1420"/>
      <c r="CO593" s="1368"/>
      <c r="CP593" s="1368"/>
      <c r="CQ593" s="1368"/>
      <c r="CR593" s="1369"/>
      <c r="CS593" s="1420"/>
      <c r="CT593" s="1368"/>
      <c r="CU593" s="1368"/>
      <c r="CV593" s="1368"/>
      <c r="CW593" s="1369"/>
      <c r="CX593" s="1420"/>
      <c r="CY593" s="1368"/>
      <c r="CZ593" s="1368"/>
      <c r="DA593" s="1368"/>
      <c r="DB593" s="1369"/>
      <c r="DC593" s="1368"/>
      <c r="DD593" s="1368"/>
      <c r="DE593" s="1368"/>
      <c r="DF593" s="1368"/>
      <c r="DG593" s="1369"/>
      <c r="DH593" s="1420"/>
      <c r="DI593" s="1368"/>
      <c r="DJ593" s="1368"/>
      <c r="DK593" s="1368"/>
      <c r="DL593" s="1369"/>
      <c r="DM593" s="1808"/>
      <c r="DN593" s="1809"/>
      <c r="DO593" s="1809"/>
      <c r="DP593" s="1810"/>
      <c r="DQ593" s="1809"/>
      <c r="DR593" s="1809"/>
      <c r="DS593" s="1809"/>
      <c r="DT593" s="1810"/>
      <c r="DU593" s="1377"/>
      <c r="DV593" s="1729"/>
      <c r="DW593" s="1811"/>
    </row>
    <row r="594" spans="1:127" s="397" customFormat="1" ht="15.75" hidden="1" customHeight="1">
      <c r="A594" s="1097" t="s">
        <v>1054</v>
      </c>
      <c r="B594" s="1057">
        <v>585</v>
      </c>
      <c r="C594" s="1018"/>
      <c r="D594" s="1018"/>
      <c r="E594" s="1018"/>
      <c r="F594" s="1018"/>
      <c r="G594" s="1018"/>
      <c r="H594" s="1018"/>
      <c r="I594" s="1018"/>
      <c r="J594" s="1018"/>
      <c r="K594" s="1018"/>
      <c r="L594" s="1018"/>
      <c r="M594" s="1057"/>
      <c r="N594" s="1018"/>
      <c r="O594" s="1018"/>
      <c r="P594" s="1018"/>
      <c r="Q594" s="1018"/>
      <c r="R594" s="1018"/>
      <c r="S594" s="1018"/>
      <c r="T594" s="1019"/>
      <c r="U594" s="1098" t="s">
        <v>4426</v>
      </c>
      <c r="V594" s="1099" t="s">
        <v>4427</v>
      </c>
      <c r="W594" s="1099" t="s">
        <v>1907</v>
      </c>
      <c r="X594" s="1100" t="s">
        <v>4428</v>
      </c>
      <c r="Y594" s="1101" t="s">
        <v>1931</v>
      </c>
      <c r="Z594" s="1102" t="s">
        <v>1069</v>
      </c>
      <c r="AA594" s="1103" t="s">
        <v>1942</v>
      </c>
      <c r="AB594" s="1104" t="s">
        <v>1942</v>
      </c>
      <c r="AC594" s="1104" t="s">
        <v>1942</v>
      </c>
      <c r="AD594" s="1104" t="s">
        <v>1942</v>
      </c>
      <c r="AE594" s="1104">
        <v>1</v>
      </c>
      <c r="AF594" s="1104" t="s">
        <v>1942</v>
      </c>
      <c r="AG594" s="1104" t="s">
        <v>1942</v>
      </c>
      <c r="AH594" s="1104" t="s">
        <v>1942</v>
      </c>
      <c r="AI594" s="1105">
        <f t="shared" si="9"/>
        <v>1</v>
      </c>
      <c r="AJ594" s="1106" t="s">
        <v>1030</v>
      </c>
      <c r="AK594" s="1106" t="s">
        <v>1008</v>
      </c>
      <c r="AL594" s="1106" t="s">
        <v>1009</v>
      </c>
      <c r="AM594" s="1107" t="s">
        <v>1069</v>
      </c>
      <c r="AN594" s="1018" t="s">
        <v>1081</v>
      </c>
      <c r="AO594" s="1018" t="s">
        <v>2038</v>
      </c>
      <c r="AP594" s="1274">
        <v>2</v>
      </c>
      <c r="AQ594" s="1076" t="s">
        <v>1010</v>
      </c>
      <c r="AR594" s="1109" t="s">
        <v>1931</v>
      </c>
      <c r="AS594" s="1110"/>
      <c r="AT594" s="1100"/>
      <c r="AU594" s="1100"/>
      <c r="AV594" s="1100"/>
      <c r="AW594" s="1111"/>
      <c r="AX594" s="1112"/>
      <c r="AY594" s="1075"/>
      <c r="AZ594" s="1076"/>
      <c r="BA594" s="1076"/>
      <c r="BB594" s="1076"/>
      <c r="BC594" s="1076"/>
      <c r="BD594" s="1076"/>
      <c r="BE594" s="1076"/>
      <c r="BF594" s="1076"/>
      <c r="BG594" s="1076"/>
      <c r="BH594" s="1076"/>
      <c r="BI594" s="1075" t="s">
        <v>4000</v>
      </c>
      <c r="BJ594" s="1076" t="s">
        <v>4000</v>
      </c>
      <c r="BK594" s="1076" t="s">
        <v>4000</v>
      </c>
      <c r="BL594" s="1076" t="s">
        <v>4000</v>
      </c>
      <c r="BM594" s="1076" t="s">
        <v>4000</v>
      </c>
      <c r="BN594" s="1075"/>
      <c r="BO594" s="1076"/>
      <c r="BP594" s="1076"/>
      <c r="BQ594" s="1076"/>
      <c r="BR594" s="1076"/>
      <c r="BS594" s="1115"/>
      <c r="BT594" s="1076"/>
      <c r="BU594" s="1076"/>
      <c r="BV594" s="1076"/>
      <c r="BW594" s="1116"/>
      <c r="BX594" s="1115"/>
      <c r="BY594" s="1076"/>
      <c r="BZ594" s="1076"/>
      <c r="CA594" s="1076"/>
      <c r="CB594" s="1116"/>
      <c r="CC594" s="1117"/>
      <c r="CD594" s="1118" t="s">
        <v>168</v>
      </c>
      <c r="CE594" s="1119" t="s">
        <v>168</v>
      </c>
      <c r="CF594" s="1119" t="s">
        <v>168</v>
      </c>
      <c r="CG594" s="1119" t="s">
        <v>168</v>
      </c>
      <c r="CH594" s="1120" t="s">
        <v>168</v>
      </c>
      <c r="CI594" s="1075" t="s">
        <v>1942</v>
      </c>
      <c r="CJ594" s="1076" t="s">
        <v>1942</v>
      </c>
      <c r="CK594" s="1076" t="s">
        <v>1942</v>
      </c>
      <c r="CL594" s="1076" t="s">
        <v>1942</v>
      </c>
      <c r="CM594" s="1117" t="s">
        <v>1942</v>
      </c>
      <c r="CN594" s="1075" t="s">
        <v>1942</v>
      </c>
      <c r="CO594" s="1076" t="s">
        <v>1942</v>
      </c>
      <c r="CP594" s="1076" t="s">
        <v>1942</v>
      </c>
      <c r="CQ594" s="1076" t="s">
        <v>1942</v>
      </c>
      <c r="CR594" s="1117" t="s">
        <v>1942</v>
      </c>
      <c r="CS594" s="1075" t="s">
        <v>1942</v>
      </c>
      <c r="CT594" s="1076" t="s">
        <v>1942</v>
      </c>
      <c r="CU594" s="1076" t="s">
        <v>1942</v>
      </c>
      <c r="CV594" s="1076" t="s">
        <v>1942</v>
      </c>
      <c r="CW594" s="1117" t="s">
        <v>1942</v>
      </c>
      <c r="CX594" s="1075" t="s">
        <v>1942</v>
      </c>
      <c r="CY594" s="1076" t="s">
        <v>1942</v>
      </c>
      <c r="CZ594" s="1076" t="s">
        <v>1942</v>
      </c>
      <c r="DA594" s="1076" t="s">
        <v>1942</v>
      </c>
      <c r="DB594" s="1117" t="s">
        <v>1942</v>
      </c>
      <c r="DC594" s="1076" t="s">
        <v>1942</v>
      </c>
      <c r="DD594" s="1076" t="s">
        <v>1942</v>
      </c>
      <c r="DE594" s="1076" t="s">
        <v>1942</v>
      </c>
      <c r="DF594" s="1076" t="s">
        <v>1942</v>
      </c>
      <c r="DG594" s="1117" t="s">
        <v>1942</v>
      </c>
      <c r="DH594" s="1075" t="s">
        <v>1942</v>
      </c>
      <c r="DI594" s="1076" t="s">
        <v>1942</v>
      </c>
      <c r="DJ594" s="1076" t="s">
        <v>1942</v>
      </c>
      <c r="DK594" s="1076" t="s">
        <v>1942</v>
      </c>
      <c r="DL594" s="1117" t="s">
        <v>1942</v>
      </c>
      <c r="DM594" s="1121" t="s">
        <v>1942</v>
      </c>
      <c r="DN594" s="1122" t="s">
        <v>1942</v>
      </c>
      <c r="DO594" s="1122" t="s">
        <v>1942</v>
      </c>
      <c r="DP594" s="1123" t="s">
        <v>1942</v>
      </c>
      <c r="DQ594" s="1122" t="s">
        <v>1942</v>
      </c>
      <c r="DR594" s="1122" t="s">
        <v>1942</v>
      </c>
      <c r="DS594" s="1122" t="s">
        <v>1942</v>
      </c>
      <c r="DT594" s="1123" t="s">
        <v>1942</v>
      </c>
      <c r="DU594" s="1119" t="s">
        <v>1942</v>
      </c>
      <c r="DV594" s="1124">
        <v>1</v>
      </c>
      <c r="DW594" s="1125" t="s">
        <v>1942</v>
      </c>
    </row>
    <row r="595" spans="1:127" s="397" customFormat="1" ht="15.75" hidden="1" customHeight="1">
      <c r="A595" s="1097" t="s">
        <v>1054</v>
      </c>
      <c r="B595" s="1057">
        <v>586</v>
      </c>
      <c r="C595" s="1018"/>
      <c r="D595" s="1018"/>
      <c r="E595" s="1018"/>
      <c r="F595" s="1018"/>
      <c r="G595" s="1018"/>
      <c r="H595" s="1018"/>
      <c r="I595" s="1018"/>
      <c r="J595" s="1018"/>
      <c r="K595" s="1018"/>
      <c r="L595" s="1018"/>
      <c r="M595" s="1057"/>
      <c r="N595" s="1018"/>
      <c r="O595" s="1018"/>
      <c r="P595" s="1018"/>
      <c r="Q595" s="1018"/>
      <c r="R595" s="1018"/>
      <c r="S595" s="1018"/>
      <c r="T595" s="1019"/>
      <c r="U595" s="1098" t="s">
        <v>4429</v>
      </c>
      <c r="V595" s="1099" t="s">
        <v>4427</v>
      </c>
      <c r="W595" s="1099" t="s">
        <v>1907</v>
      </c>
      <c r="X595" s="1100" t="s">
        <v>4430</v>
      </c>
      <c r="Y595" s="1101" t="s">
        <v>1935</v>
      </c>
      <c r="Z595" s="1102" t="s">
        <v>1073</v>
      </c>
      <c r="AA595" s="1103" t="s">
        <v>1942</v>
      </c>
      <c r="AB595" s="1104">
        <v>0.37</v>
      </c>
      <c r="AC595" s="1104">
        <v>0.63</v>
      </c>
      <c r="AD595" s="1104" t="s">
        <v>1942</v>
      </c>
      <c r="AE595" s="1104" t="s">
        <v>1942</v>
      </c>
      <c r="AF595" s="1104" t="s">
        <v>1942</v>
      </c>
      <c r="AG595" s="1104" t="s">
        <v>1942</v>
      </c>
      <c r="AH595" s="1104" t="s">
        <v>1942</v>
      </c>
      <c r="AI595" s="1105">
        <f t="shared" si="9"/>
        <v>1</v>
      </c>
      <c r="AJ595" s="1106" t="s">
        <v>1030</v>
      </c>
      <c r="AK595" s="1106" t="s">
        <v>1008</v>
      </c>
      <c r="AL595" s="1106" t="s">
        <v>1009</v>
      </c>
      <c r="AM595" s="1107" t="s">
        <v>1073</v>
      </c>
      <c r="AN595" s="1018" t="s">
        <v>1081</v>
      </c>
      <c r="AO595" s="1018" t="s">
        <v>4431</v>
      </c>
      <c r="AP595" s="1274">
        <v>2</v>
      </c>
      <c r="AQ595" s="1076" t="s">
        <v>1010</v>
      </c>
      <c r="AR595" s="1109" t="s">
        <v>1935</v>
      </c>
      <c r="AS595" s="1110"/>
      <c r="AT595" s="1100"/>
      <c r="AU595" s="1100"/>
      <c r="AV595" s="1100"/>
      <c r="AW595" s="1111"/>
      <c r="AX595" s="1112"/>
      <c r="AY595" s="1075"/>
      <c r="AZ595" s="1076"/>
      <c r="BA595" s="1076"/>
      <c r="BB595" s="1076"/>
      <c r="BC595" s="1076"/>
      <c r="BD595" s="1076"/>
      <c r="BE595" s="1076"/>
      <c r="BF595" s="1076"/>
      <c r="BG595" s="1076"/>
      <c r="BH595" s="1076"/>
      <c r="BI595" s="1075" t="s">
        <v>4000</v>
      </c>
      <c r="BJ595" s="1076" t="s">
        <v>4000</v>
      </c>
      <c r="BK595" s="1076" t="s">
        <v>4000</v>
      </c>
      <c r="BL595" s="1076" t="s">
        <v>4000</v>
      </c>
      <c r="BM595" s="1076" t="s">
        <v>4000</v>
      </c>
      <c r="BN595" s="1075"/>
      <c r="BO595" s="1076"/>
      <c r="BP595" s="1076"/>
      <c r="BQ595" s="1076"/>
      <c r="BR595" s="1076"/>
      <c r="BS595" s="1115"/>
      <c r="BT595" s="1076"/>
      <c r="BU595" s="1076"/>
      <c r="BV595" s="1076"/>
      <c r="BW595" s="1116"/>
      <c r="BX595" s="1115"/>
      <c r="BY595" s="1076"/>
      <c r="BZ595" s="1076"/>
      <c r="CA595" s="1076"/>
      <c r="CB595" s="1116"/>
      <c r="CC595" s="1117"/>
      <c r="CD595" s="1118" t="s">
        <v>168</v>
      </c>
      <c r="CE595" s="1119" t="s">
        <v>168</v>
      </c>
      <c r="CF595" s="1119" t="s">
        <v>168</v>
      </c>
      <c r="CG595" s="1119" t="s">
        <v>168</v>
      </c>
      <c r="CH595" s="1120" t="s">
        <v>168</v>
      </c>
      <c r="CI595" s="1075" t="s">
        <v>1942</v>
      </c>
      <c r="CJ595" s="1076" t="s">
        <v>1942</v>
      </c>
      <c r="CK595" s="1076" t="s">
        <v>1942</v>
      </c>
      <c r="CL595" s="1076" t="s">
        <v>1942</v>
      </c>
      <c r="CM595" s="1117" t="s">
        <v>1942</v>
      </c>
      <c r="CN595" s="1075" t="s">
        <v>1942</v>
      </c>
      <c r="CO595" s="1076" t="s">
        <v>1942</v>
      </c>
      <c r="CP595" s="1076" t="s">
        <v>1942</v>
      </c>
      <c r="CQ595" s="1076" t="s">
        <v>1942</v>
      </c>
      <c r="CR595" s="1117" t="s">
        <v>1942</v>
      </c>
      <c r="CS595" s="1075" t="s">
        <v>1942</v>
      </c>
      <c r="CT595" s="1076" t="s">
        <v>1942</v>
      </c>
      <c r="CU595" s="1076" t="s">
        <v>1942</v>
      </c>
      <c r="CV595" s="1076" t="s">
        <v>1942</v>
      </c>
      <c r="CW595" s="1117" t="s">
        <v>1942</v>
      </c>
      <c r="CX595" s="1075" t="s">
        <v>1942</v>
      </c>
      <c r="CY595" s="1076" t="s">
        <v>1942</v>
      </c>
      <c r="CZ595" s="1076" t="s">
        <v>1942</v>
      </c>
      <c r="DA595" s="1076" t="s">
        <v>1942</v>
      </c>
      <c r="DB595" s="1117" t="s">
        <v>1942</v>
      </c>
      <c r="DC595" s="1076" t="s">
        <v>1942</v>
      </c>
      <c r="DD595" s="1076" t="s">
        <v>1942</v>
      </c>
      <c r="DE595" s="1076" t="s">
        <v>1942</v>
      </c>
      <c r="DF595" s="1076" t="s">
        <v>1942</v>
      </c>
      <c r="DG595" s="1117" t="s">
        <v>1942</v>
      </c>
      <c r="DH595" s="1075" t="s">
        <v>1942</v>
      </c>
      <c r="DI595" s="1076" t="s">
        <v>1942</v>
      </c>
      <c r="DJ595" s="1076" t="s">
        <v>1942</v>
      </c>
      <c r="DK595" s="1076" t="s">
        <v>1942</v>
      </c>
      <c r="DL595" s="1117" t="s">
        <v>1942</v>
      </c>
      <c r="DM595" s="1121" t="s">
        <v>1942</v>
      </c>
      <c r="DN595" s="1122" t="s">
        <v>1942</v>
      </c>
      <c r="DO595" s="1122" t="s">
        <v>1942</v>
      </c>
      <c r="DP595" s="1123" t="s">
        <v>1942</v>
      </c>
      <c r="DQ595" s="1122" t="s">
        <v>1942</v>
      </c>
      <c r="DR595" s="1122" t="s">
        <v>1942</v>
      </c>
      <c r="DS595" s="1122" t="s">
        <v>1942</v>
      </c>
      <c r="DT595" s="1123" t="s">
        <v>1942</v>
      </c>
      <c r="DU595" s="1119" t="s">
        <v>1942</v>
      </c>
      <c r="DV595" s="1124">
        <v>1</v>
      </c>
      <c r="DW595" s="1125" t="s">
        <v>1942</v>
      </c>
    </row>
    <row r="596" spans="1:127" s="397" customFormat="1" ht="15.75" hidden="1" customHeight="1">
      <c r="A596" s="1097" t="s">
        <v>1054</v>
      </c>
      <c r="B596" s="1057">
        <v>587</v>
      </c>
      <c r="C596" s="1018"/>
      <c r="D596" s="1018"/>
      <c r="E596" s="1018"/>
      <c r="F596" s="1018"/>
      <c r="G596" s="1018"/>
      <c r="H596" s="1018"/>
      <c r="I596" s="1018"/>
      <c r="J596" s="1018"/>
      <c r="K596" s="1018"/>
      <c r="L596" s="1018"/>
      <c r="M596" s="1057"/>
      <c r="N596" s="1018"/>
      <c r="O596" s="1018"/>
      <c r="P596" s="1018"/>
      <c r="Q596" s="1018"/>
      <c r="R596" s="1018"/>
      <c r="S596" s="1018"/>
      <c r="T596" s="1019"/>
      <c r="U596" s="1098" t="s">
        <v>4432</v>
      </c>
      <c r="V596" s="1099" t="s">
        <v>4427</v>
      </c>
      <c r="W596" s="1099" t="s">
        <v>1896</v>
      </c>
      <c r="X596" s="1100" t="s">
        <v>4433</v>
      </c>
      <c r="Y596" s="1101" t="s">
        <v>2253</v>
      </c>
      <c r="Z596" s="1102" t="s">
        <v>4434</v>
      </c>
      <c r="AA596" s="1103" t="s">
        <v>1942</v>
      </c>
      <c r="AB596" s="1104" t="s">
        <v>1942</v>
      </c>
      <c r="AC596" s="1104" t="s">
        <v>1942</v>
      </c>
      <c r="AD596" s="1104" t="s">
        <v>1942</v>
      </c>
      <c r="AE596" s="1104">
        <v>1</v>
      </c>
      <c r="AF596" s="1104" t="s">
        <v>1942</v>
      </c>
      <c r="AG596" s="1104" t="s">
        <v>1942</v>
      </c>
      <c r="AH596" s="1104" t="s">
        <v>1942</v>
      </c>
      <c r="AI596" s="1105">
        <f t="shared" si="9"/>
        <v>1</v>
      </c>
      <c r="AJ596" s="1106" t="s">
        <v>1007</v>
      </c>
      <c r="AK596" s="1106" t="s">
        <v>1942</v>
      </c>
      <c r="AL596" s="1106" t="s">
        <v>1942</v>
      </c>
      <c r="AM596" s="1107" t="s">
        <v>2029</v>
      </c>
      <c r="AN596" s="1018" t="s">
        <v>278</v>
      </c>
      <c r="AO596" s="1018" t="s">
        <v>4435</v>
      </c>
      <c r="AP596" s="1274">
        <v>0</v>
      </c>
      <c r="AQ596" s="1076" t="s">
        <v>1010</v>
      </c>
      <c r="AR596" s="1109" t="s">
        <v>1942</v>
      </c>
      <c r="AS596" s="1110"/>
      <c r="AT596" s="1100"/>
      <c r="AU596" s="1100"/>
      <c r="AV596" s="1100"/>
      <c r="AW596" s="1111"/>
      <c r="AX596" s="1112"/>
      <c r="AY596" s="1075"/>
      <c r="AZ596" s="1076"/>
      <c r="BA596" s="1076"/>
      <c r="BB596" s="1076"/>
      <c r="BC596" s="1076"/>
      <c r="BD596" s="1076"/>
      <c r="BE596" s="1076"/>
      <c r="BF596" s="1076"/>
      <c r="BG596" s="1076"/>
      <c r="BH596" s="1076"/>
      <c r="BI596" s="1420"/>
      <c r="BJ596" s="1368"/>
      <c r="BK596" s="1368"/>
      <c r="BL596" s="1368"/>
      <c r="BM596" s="1368"/>
      <c r="BN596" s="1075"/>
      <c r="BO596" s="1076"/>
      <c r="BP596" s="1076"/>
      <c r="BQ596" s="1076"/>
      <c r="BR596" s="1076"/>
      <c r="BS596" s="1115"/>
      <c r="BT596" s="1076"/>
      <c r="BU596" s="1076"/>
      <c r="BV596" s="1076"/>
      <c r="BW596" s="1116"/>
      <c r="BX596" s="1115"/>
      <c r="BY596" s="1076"/>
      <c r="BZ596" s="1076"/>
      <c r="CA596" s="1076"/>
      <c r="CB596" s="1116"/>
      <c r="CC596" s="1117"/>
      <c r="CD596" s="1376"/>
      <c r="CE596" s="1377"/>
      <c r="CF596" s="1377"/>
      <c r="CG596" s="1377"/>
      <c r="CH596" s="1440"/>
      <c r="CI596" s="1420"/>
      <c r="CJ596" s="1368"/>
      <c r="CK596" s="1368"/>
      <c r="CL596" s="1368"/>
      <c r="CM596" s="1369"/>
      <c r="CN596" s="1420"/>
      <c r="CO596" s="1368"/>
      <c r="CP596" s="1368"/>
      <c r="CQ596" s="1368"/>
      <c r="CR596" s="1369"/>
      <c r="CS596" s="1420"/>
      <c r="CT596" s="1368"/>
      <c r="CU596" s="1368"/>
      <c r="CV596" s="1368"/>
      <c r="CW596" s="1369"/>
      <c r="CX596" s="1420"/>
      <c r="CY596" s="1368"/>
      <c r="CZ596" s="1368"/>
      <c r="DA596" s="1368"/>
      <c r="DB596" s="1369"/>
      <c r="DC596" s="1368"/>
      <c r="DD596" s="1368"/>
      <c r="DE596" s="1368"/>
      <c r="DF596" s="1368"/>
      <c r="DG596" s="1369"/>
      <c r="DH596" s="1420"/>
      <c r="DI596" s="1368"/>
      <c r="DJ596" s="1368"/>
      <c r="DK596" s="1368"/>
      <c r="DL596" s="1369"/>
      <c r="DM596" s="1808"/>
      <c r="DN596" s="1809"/>
      <c r="DO596" s="1809"/>
      <c r="DP596" s="1810"/>
      <c r="DQ596" s="1809"/>
      <c r="DR596" s="1809"/>
      <c r="DS596" s="1809"/>
      <c r="DT596" s="1810"/>
      <c r="DU596" s="1377"/>
      <c r="DV596" s="1729"/>
      <c r="DW596" s="1811"/>
    </row>
    <row r="597" spans="1:127" s="397" customFormat="1" ht="15.75" hidden="1" customHeight="1">
      <c r="A597" s="1097" t="s">
        <v>1054</v>
      </c>
      <c r="B597" s="1057">
        <v>588</v>
      </c>
      <c r="C597" s="1018"/>
      <c r="D597" s="1018"/>
      <c r="E597" s="1018"/>
      <c r="F597" s="1018"/>
      <c r="G597" s="1018"/>
      <c r="H597" s="1018"/>
      <c r="I597" s="1018"/>
      <c r="J597" s="1018"/>
      <c r="K597" s="1018"/>
      <c r="L597" s="1018"/>
      <c r="M597" s="1057"/>
      <c r="N597" s="1018"/>
      <c r="O597" s="1018"/>
      <c r="P597" s="1018"/>
      <c r="Q597" s="1018"/>
      <c r="R597" s="1018"/>
      <c r="S597" s="1018"/>
      <c r="T597" s="1019"/>
      <c r="U597" s="1098" t="s">
        <v>4436</v>
      </c>
      <c r="V597" s="1099" t="s">
        <v>4437</v>
      </c>
      <c r="W597" s="1099" t="s">
        <v>1907</v>
      </c>
      <c r="X597" s="1100" t="s">
        <v>2377</v>
      </c>
      <c r="Y597" s="1101" t="s">
        <v>703</v>
      </c>
      <c r="Z597" s="1102" t="s">
        <v>4438</v>
      </c>
      <c r="AA597" s="1103" t="s">
        <v>1942</v>
      </c>
      <c r="AB597" s="1104" t="s">
        <v>1942</v>
      </c>
      <c r="AC597" s="1104" t="s">
        <v>1942</v>
      </c>
      <c r="AD597" s="1104" t="s">
        <v>1942</v>
      </c>
      <c r="AE597" s="1104">
        <v>1</v>
      </c>
      <c r="AF597" s="1104" t="s">
        <v>1942</v>
      </c>
      <c r="AG597" s="1104" t="s">
        <v>1942</v>
      </c>
      <c r="AH597" s="1104" t="s">
        <v>1942</v>
      </c>
      <c r="AI597" s="1105">
        <f t="shared" si="9"/>
        <v>1</v>
      </c>
      <c r="AJ597" s="1106" t="s">
        <v>1007</v>
      </c>
      <c r="AK597" s="1106" t="s">
        <v>1942</v>
      </c>
      <c r="AL597" s="1106" t="s">
        <v>1942</v>
      </c>
      <c r="AM597" s="1107" t="s">
        <v>2029</v>
      </c>
      <c r="AN597" s="1018" t="s">
        <v>278</v>
      </c>
      <c r="AO597" s="1018" t="s">
        <v>4799</v>
      </c>
      <c r="AP597" s="1307">
        <v>1</v>
      </c>
      <c r="AQ597" s="1076" t="s">
        <v>1010</v>
      </c>
      <c r="AR597" s="1109" t="s">
        <v>703</v>
      </c>
      <c r="AS597" s="1110"/>
      <c r="AT597" s="1100"/>
      <c r="AU597" s="1100"/>
      <c r="AV597" s="1100"/>
      <c r="AW597" s="1111"/>
      <c r="AX597" s="1112"/>
      <c r="AY597" s="1075"/>
      <c r="AZ597" s="1076"/>
      <c r="BA597" s="1076"/>
      <c r="BB597" s="1076"/>
      <c r="BC597" s="1076"/>
      <c r="BD597" s="1076"/>
      <c r="BE597" s="1076"/>
      <c r="BF597" s="1076"/>
      <c r="BG597" s="1076"/>
      <c r="BH597" s="1076"/>
      <c r="BI597" s="1075" t="s">
        <v>4879</v>
      </c>
      <c r="BJ597" s="1076" t="s">
        <v>4880</v>
      </c>
      <c r="BK597" s="1076" t="s">
        <v>4881</v>
      </c>
      <c r="BL597" s="1076" t="s">
        <v>4870</v>
      </c>
      <c r="BM597" s="1076" t="s">
        <v>4822</v>
      </c>
      <c r="BN597" s="1075"/>
      <c r="BO597" s="1076"/>
      <c r="BP597" s="1076"/>
      <c r="BQ597" s="1076"/>
      <c r="BR597" s="1076"/>
      <c r="BS597" s="1115"/>
      <c r="BT597" s="1076"/>
      <c r="BU597" s="1076"/>
      <c r="BV597" s="1076"/>
      <c r="BW597" s="1116"/>
      <c r="BX597" s="1115"/>
      <c r="BY597" s="1076"/>
      <c r="BZ597" s="1076"/>
      <c r="CA597" s="1076"/>
      <c r="CB597" s="1116"/>
      <c r="CC597" s="1117"/>
      <c r="CD597" s="1118" t="s">
        <v>1942</v>
      </c>
      <c r="CE597" s="1119" t="s">
        <v>1942</v>
      </c>
      <c r="CF597" s="1119" t="s">
        <v>1942</v>
      </c>
      <c r="CG597" s="1119" t="s">
        <v>1942</v>
      </c>
      <c r="CH597" s="1120" t="s">
        <v>1942</v>
      </c>
      <c r="CI597" s="1075" t="s">
        <v>1942</v>
      </c>
      <c r="CJ597" s="1076" t="s">
        <v>1942</v>
      </c>
      <c r="CK597" s="1076" t="s">
        <v>1942</v>
      </c>
      <c r="CL597" s="1076" t="s">
        <v>1942</v>
      </c>
      <c r="CM597" s="1117" t="s">
        <v>1942</v>
      </c>
      <c r="CN597" s="1075" t="s">
        <v>1942</v>
      </c>
      <c r="CO597" s="1076" t="s">
        <v>1942</v>
      </c>
      <c r="CP597" s="1076" t="s">
        <v>1942</v>
      </c>
      <c r="CQ597" s="1076" t="s">
        <v>1942</v>
      </c>
      <c r="CR597" s="1117" t="s">
        <v>1942</v>
      </c>
      <c r="CS597" s="1075" t="s">
        <v>1942</v>
      </c>
      <c r="CT597" s="1076" t="s">
        <v>1942</v>
      </c>
      <c r="CU597" s="1076" t="s">
        <v>1942</v>
      </c>
      <c r="CV597" s="1076" t="s">
        <v>1942</v>
      </c>
      <c r="CW597" s="1117" t="s">
        <v>1942</v>
      </c>
      <c r="CX597" s="1075" t="s">
        <v>1942</v>
      </c>
      <c r="CY597" s="1076" t="s">
        <v>1942</v>
      </c>
      <c r="CZ597" s="1076" t="s">
        <v>1942</v>
      </c>
      <c r="DA597" s="1076" t="s">
        <v>1942</v>
      </c>
      <c r="DB597" s="1117" t="s">
        <v>1942</v>
      </c>
      <c r="DC597" s="1076" t="s">
        <v>1942</v>
      </c>
      <c r="DD597" s="1076" t="s">
        <v>1942</v>
      </c>
      <c r="DE597" s="1076" t="s">
        <v>1942</v>
      </c>
      <c r="DF597" s="1076" t="s">
        <v>1942</v>
      </c>
      <c r="DG597" s="1117" t="s">
        <v>1942</v>
      </c>
      <c r="DH597" s="1075" t="s">
        <v>1942</v>
      </c>
      <c r="DI597" s="1076" t="s">
        <v>1942</v>
      </c>
      <c r="DJ597" s="1076" t="s">
        <v>1942</v>
      </c>
      <c r="DK597" s="1076" t="s">
        <v>1942</v>
      </c>
      <c r="DL597" s="1117" t="s">
        <v>1942</v>
      </c>
      <c r="DM597" s="1121" t="s">
        <v>1942</v>
      </c>
      <c r="DN597" s="1122" t="s">
        <v>1942</v>
      </c>
      <c r="DO597" s="1122" t="s">
        <v>1942</v>
      </c>
      <c r="DP597" s="1123" t="s">
        <v>1942</v>
      </c>
      <c r="DQ597" s="1122" t="s">
        <v>1942</v>
      </c>
      <c r="DR597" s="1122" t="s">
        <v>1942</v>
      </c>
      <c r="DS597" s="1122" t="s">
        <v>1942</v>
      </c>
      <c r="DT597" s="1123" t="s">
        <v>1942</v>
      </c>
      <c r="DU597" s="1119" t="s">
        <v>1942</v>
      </c>
      <c r="DV597" s="1124">
        <v>1</v>
      </c>
      <c r="DW597" s="1125" t="s">
        <v>1942</v>
      </c>
    </row>
    <row r="598" spans="1:127" s="397" customFormat="1" ht="15.75" hidden="1" customHeight="1">
      <c r="A598" s="1097" t="s">
        <v>1054</v>
      </c>
      <c r="B598" s="1057">
        <v>589</v>
      </c>
      <c r="C598" s="1018"/>
      <c r="D598" s="1018"/>
      <c r="E598" s="1018"/>
      <c r="F598" s="1018"/>
      <c r="G598" s="1018"/>
      <c r="H598" s="1018"/>
      <c r="I598" s="1018"/>
      <c r="J598" s="1018"/>
      <c r="K598" s="1018"/>
      <c r="L598" s="1018"/>
      <c r="M598" s="1057"/>
      <c r="N598" s="1018"/>
      <c r="O598" s="1018"/>
      <c r="P598" s="1018"/>
      <c r="Q598" s="1018"/>
      <c r="R598" s="1018"/>
      <c r="S598" s="1018"/>
      <c r="T598" s="1019"/>
      <c r="U598" s="1098" t="s">
        <v>4440</v>
      </c>
      <c r="V598" s="1099" t="s">
        <v>4437</v>
      </c>
      <c r="W598" s="1099" t="s">
        <v>1896</v>
      </c>
      <c r="X598" s="1100" t="s">
        <v>2382</v>
      </c>
      <c r="Y598" s="1101" t="s">
        <v>4441</v>
      </c>
      <c r="Z598" s="1102" t="s">
        <v>4442</v>
      </c>
      <c r="AA598" s="1103" t="s">
        <v>1942</v>
      </c>
      <c r="AB598" s="1104" t="s">
        <v>1942</v>
      </c>
      <c r="AC598" s="1104" t="s">
        <v>1942</v>
      </c>
      <c r="AD598" s="1104" t="s">
        <v>1942</v>
      </c>
      <c r="AE598" s="1104">
        <v>1</v>
      </c>
      <c r="AF598" s="1104" t="s">
        <v>1942</v>
      </c>
      <c r="AG598" s="1104" t="s">
        <v>1942</v>
      </c>
      <c r="AH598" s="1104" t="s">
        <v>1942</v>
      </c>
      <c r="AI598" s="1105">
        <f t="shared" si="9"/>
        <v>1</v>
      </c>
      <c r="AJ598" s="1106" t="s">
        <v>1007</v>
      </c>
      <c r="AK598" s="1106" t="s">
        <v>1942</v>
      </c>
      <c r="AL598" s="1106" t="s">
        <v>1942</v>
      </c>
      <c r="AM598" s="1107" t="s">
        <v>2029</v>
      </c>
      <c r="AN598" s="1018" t="s">
        <v>1072</v>
      </c>
      <c r="AO598" s="1018" t="s">
        <v>4443</v>
      </c>
      <c r="AP598" s="1274">
        <v>0</v>
      </c>
      <c r="AQ598" s="1076" t="s">
        <v>1072</v>
      </c>
      <c r="AR598" s="1109" t="s">
        <v>1942</v>
      </c>
      <c r="AS598" s="1110"/>
      <c r="AT598" s="1100"/>
      <c r="AU598" s="1100"/>
      <c r="AV598" s="1100"/>
      <c r="AW598" s="1111"/>
      <c r="AX598" s="1112"/>
      <c r="AY598" s="1075"/>
      <c r="AZ598" s="1076"/>
      <c r="BA598" s="1076"/>
      <c r="BB598" s="1076"/>
      <c r="BC598" s="1076"/>
      <c r="BD598" s="1076"/>
      <c r="BE598" s="1076"/>
      <c r="BF598" s="1076"/>
      <c r="BG598" s="1076"/>
      <c r="BH598" s="1076"/>
      <c r="BI598" s="1420"/>
      <c r="BJ598" s="1368"/>
      <c r="BK598" s="1368"/>
      <c r="BL598" s="1368"/>
      <c r="BM598" s="1368"/>
      <c r="BN598" s="1075"/>
      <c r="BO598" s="1076"/>
      <c r="BP598" s="1076"/>
      <c r="BQ598" s="1076"/>
      <c r="BR598" s="1076"/>
      <c r="BS598" s="1115"/>
      <c r="BT598" s="1076"/>
      <c r="BU598" s="1076"/>
      <c r="BV598" s="1076"/>
      <c r="BW598" s="1116"/>
      <c r="BX598" s="1115"/>
      <c r="BY598" s="1076"/>
      <c r="BZ598" s="1076"/>
      <c r="CA598" s="1076"/>
      <c r="CB598" s="1116"/>
      <c r="CC598" s="1117"/>
      <c r="CD598" s="1376"/>
      <c r="CE598" s="1377"/>
      <c r="CF598" s="1377"/>
      <c r="CG598" s="1377"/>
      <c r="CH598" s="1440"/>
      <c r="CI598" s="1420"/>
      <c r="CJ598" s="1368"/>
      <c r="CK598" s="1368"/>
      <c r="CL598" s="1368"/>
      <c r="CM598" s="1369"/>
      <c r="CN598" s="1420"/>
      <c r="CO598" s="1368"/>
      <c r="CP598" s="1368"/>
      <c r="CQ598" s="1368"/>
      <c r="CR598" s="1369"/>
      <c r="CS598" s="1420"/>
      <c r="CT598" s="1368"/>
      <c r="CU598" s="1368"/>
      <c r="CV598" s="1368"/>
      <c r="CW598" s="1369"/>
      <c r="CX598" s="1420"/>
      <c r="CY598" s="1368"/>
      <c r="CZ598" s="1368"/>
      <c r="DA598" s="1368"/>
      <c r="DB598" s="1369"/>
      <c r="DC598" s="1368"/>
      <c r="DD598" s="1368"/>
      <c r="DE598" s="1368"/>
      <c r="DF598" s="1368"/>
      <c r="DG598" s="1369"/>
      <c r="DH598" s="1420"/>
      <c r="DI598" s="1368"/>
      <c r="DJ598" s="1368"/>
      <c r="DK598" s="1368"/>
      <c r="DL598" s="1369"/>
      <c r="DM598" s="1808"/>
      <c r="DN598" s="1809"/>
      <c r="DO598" s="1809"/>
      <c r="DP598" s="1810"/>
      <c r="DQ598" s="1809"/>
      <c r="DR598" s="1809"/>
      <c r="DS598" s="1809"/>
      <c r="DT598" s="1810"/>
      <c r="DU598" s="1377"/>
      <c r="DV598" s="1729"/>
      <c r="DW598" s="1811"/>
    </row>
    <row r="599" spans="1:127" s="397" customFormat="1" ht="15.75" hidden="1" customHeight="1">
      <c r="A599" s="1097" t="s">
        <v>1054</v>
      </c>
      <c r="B599" s="1057">
        <v>590</v>
      </c>
      <c r="C599" s="1018"/>
      <c r="D599" s="1018"/>
      <c r="E599" s="1018"/>
      <c r="F599" s="1018"/>
      <c r="G599" s="1018"/>
      <c r="H599" s="1018"/>
      <c r="I599" s="1018"/>
      <c r="J599" s="1018"/>
      <c r="K599" s="1018"/>
      <c r="L599" s="1018"/>
      <c r="M599" s="1057"/>
      <c r="N599" s="1018"/>
      <c r="O599" s="1018"/>
      <c r="P599" s="1018"/>
      <c r="Q599" s="1018"/>
      <c r="R599" s="1018"/>
      <c r="S599" s="1018"/>
      <c r="T599" s="1019"/>
      <c r="U599" s="1098" t="s">
        <v>4444</v>
      </c>
      <c r="V599" s="1099" t="s">
        <v>4437</v>
      </c>
      <c r="W599" s="1099" t="s">
        <v>1907</v>
      </c>
      <c r="X599" s="1100" t="s">
        <v>2387</v>
      </c>
      <c r="Y599" s="1101" t="s">
        <v>4445</v>
      </c>
      <c r="Z599" s="1102" t="s">
        <v>4446</v>
      </c>
      <c r="AA599" s="1103">
        <v>0.25</v>
      </c>
      <c r="AB599" s="1104">
        <v>0.25</v>
      </c>
      <c r="AC599" s="1104">
        <v>0.25</v>
      </c>
      <c r="AD599" s="1104">
        <v>0.25</v>
      </c>
      <c r="AE599" s="1104" t="s">
        <v>1942</v>
      </c>
      <c r="AF599" s="1104" t="s">
        <v>1942</v>
      </c>
      <c r="AG599" s="1104" t="s">
        <v>1942</v>
      </c>
      <c r="AH599" s="1104" t="s">
        <v>1942</v>
      </c>
      <c r="AI599" s="1105">
        <f t="shared" si="9"/>
        <v>1</v>
      </c>
      <c r="AJ599" s="1106" t="s">
        <v>1030</v>
      </c>
      <c r="AK599" s="1106" t="s">
        <v>1008</v>
      </c>
      <c r="AL599" s="1106" t="s">
        <v>1009</v>
      </c>
      <c r="AM599" s="1107" t="s">
        <v>2400</v>
      </c>
      <c r="AN599" s="1018" t="s">
        <v>1033</v>
      </c>
      <c r="AO599" s="1018" t="s">
        <v>4445</v>
      </c>
      <c r="AP599" s="1274">
        <v>0</v>
      </c>
      <c r="AQ599" s="1076" t="s">
        <v>1010</v>
      </c>
      <c r="AR599" s="1109" t="s">
        <v>1942</v>
      </c>
      <c r="AS599" s="1110"/>
      <c r="AT599" s="1100"/>
      <c r="AU599" s="1100"/>
      <c r="AV599" s="1100"/>
      <c r="AW599" s="1111"/>
      <c r="AX599" s="1112"/>
      <c r="AY599" s="1075"/>
      <c r="AZ599" s="1076"/>
      <c r="BA599" s="1076"/>
      <c r="BB599" s="1076"/>
      <c r="BC599" s="1076"/>
      <c r="BD599" s="1076"/>
      <c r="BE599" s="1076"/>
      <c r="BF599" s="1076"/>
      <c r="BG599" s="1076"/>
      <c r="BH599" s="1076"/>
      <c r="BI599" s="1420"/>
      <c r="BJ599" s="1368"/>
      <c r="BK599" s="1368"/>
      <c r="BL599" s="1368"/>
      <c r="BM599" s="1368"/>
      <c r="BN599" s="1075"/>
      <c r="BO599" s="1076"/>
      <c r="BP599" s="1076"/>
      <c r="BQ599" s="1076"/>
      <c r="BR599" s="1076"/>
      <c r="BS599" s="1115"/>
      <c r="BT599" s="1076"/>
      <c r="BU599" s="1076"/>
      <c r="BV599" s="1076"/>
      <c r="BW599" s="1116"/>
      <c r="BX599" s="1115"/>
      <c r="BY599" s="1076"/>
      <c r="BZ599" s="1076"/>
      <c r="CA599" s="1076"/>
      <c r="CB599" s="1116"/>
      <c r="CC599" s="1117"/>
      <c r="CD599" s="1376"/>
      <c r="CE599" s="1377"/>
      <c r="CF599" s="1377"/>
      <c r="CG599" s="1377"/>
      <c r="CH599" s="1440"/>
      <c r="CI599" s="1420"/>
      <c r="CJ599" s="1368"/>
      <c r="CK599" s="1368"/>
      <c r="CL599" s="1368"/>
      <c r="CM599" s="1369"/>
      <c r="CN599" s="1420"/>
      <c r="CO599" s="1368"/>
      <c r="CP599" s="1368"/>
      <c r="CQ599" s="1368"/>
      <c r="CR599" s="1369"/>
      <c r="CS599" s="1420"/>
      <c r="CT599" s="1368"/>
      <c r="CU599" s="1368"/>
      <c r="CV599" s="1368"/>
      <c r="CW599" s="1369"/>
      <c r="CX599" s="1420"/>
      <c r="CY599" s="1368"/>
      <c r="CZ599" s="1368"/>
      <c r="DA599" s="1368"/>
      <c r="DB599" s="1369"/>
      <c r="DC599" s="1368"/>
      <c r="DD599" s="1368"/>
      <c r="DE599" s="1368"/>
      <c r="DF599" s="1368"/>
      <c r="DG599" s="1369"/>
      <c r="DH599" s="1420"/>
      <c r="DI599" s="1368"/>
      <c r="DJ599" s="1368"/>
      <c r="DK599" s="1368"/>
      <c r="DL599" s="1369"/>
      <c r="DM599" s="1808"/>
      <c r="DN599" s="1809"/>
      <c r="DO599" s="1809"/>
      <c r="DP599" s="1810"/>
      <c r="DQ599" s="1809"/>
      <c r="DR599" s="1809"/>
      <c r="DS599" s="1809"/>
      <c r="DT599" s="1810"/>
      <c r="DU599" s="1377"/>
      <c r="DV599" s="1729"/>
      <c r="DW599" s="1811"/>
    </row>
    <row r="600" spans="1:127" s="397" customFormat="1" ht="15.75" hidden="1" customHeight="1">
      <c r="A600" s="1054" t="s">
        <v>1054</v>
      </c>
      <c r="B600" s="1055">
        <v>591</v>
      </c>
      <c r="C600" s="1143"/>
      <c r="D600" s="1143"/>
      <c r="E600" s="1143"/>
      <c r="F600" s="1143"/>
      <c r="G600" s="1143"/>
      <c r="H600" s="1143"/>
      <c r="I600" s="1143"/>
      <c r="J600" s="1143"/>
      <c r="K600" s="1143"/>
      <c r="L600" s="1143"/>
      <c r="M600" s="1055"/>
      <c r="N600" s="1143"/>
      <c r="O600" s="1143"/>
      <c r="P600" s="1143"/>
      <c r="Q600" s="1143"/>
      <c r="R600" s="1143"/>
      <c r="S600" s="1143"/>
      <c r="T600" s="1058"/>
      <c r="U600" s="1059" t="s">
        <v>4447</v>
      </c>
      <c r="V600" s="1060" t="s">
        <v>4448</v>
      </c>
      <c r="W600" s="1060" t="s">
        <v>1889</v>
      </c>
      <c r="X600" s="1061" t="s">
        <v>4449</v>
      </c>
      <c r="Y600" s="1062" t="s">
        <v>669</v>
      </c>
      <c r="Z600" s="1063" t="s">
        <v>4450</v>
      </c>
      <c r="AA600" s="1064" t="s">
        <v>1942</v>
      </c>
      <c r="AB600" s="1065">
        <v>1</v>
      </c>
      <c r="AC600" s="1065" t="s">
        <v>1942</v>
      </c>
      <c r="AD600" s="1065" t="s">
        <v>1942</v>
      </c>
      <c r="AE600" s="1065" t="s">
        <v>1942</v>
      </c>
      <c r="AF600" s="1065" t="s">
        <v>1942</v>
      </c>
      <c r="AG600" s="1065" t="s">
        <v>1942</v>
      </c>
      <c r="AH600" s="1065" t="s">
        <v>1942</v>
      </c>
      <c r="AI600" s="1066">
        <f t="shared" si="9"/>
        <v>1</v>
      </c>
      <c r="AJ600" s="1067" t="s">
        <v>1030</v>
      </c>
      <c r="AK600" s="1067" t="s">
        <v>1008</v>
      </c>
      <c r="AL600" s="1067" t="s">
        <v>1009</v>
      </c>
      <c r="AM600" s="1068" t="s">
        <v>669</v>
      </c>
      <c r="AN600" s="1062" t="s">
        <v>278</v>
      </c>
      <c r="AO600" s="1062" t="s">
        <v>4791</v>
      </c>
      <c r="AP600" s="1306">
        <v>1</v>
      </c>
      <c r="AQ600" s="1080" t="s">
        <v>1010</v>
      </c>
      <c r="AR600" s="1071" t="s">
        <v>669</v>
      </c>
      <c r="AS600" s="1072"/>
      <c r="AT600" s="1061"/>
      <c r="AU600" s="1061"/>
      <c r="AV600" s="1061"/>
      <c r="AW600" s="1073"/>
      <c r="AX600" s="1074"/>
      <c r="AY600" s="1079"/>
      <c r="AZ600" s="1080"/>
      <c r="BA600" s="1080"/>
      <c r="BB600" s="1080"/>
      <c r="BC600" s="1080"/>
      <c r="BD600" s="1080"/>
      <c r="BE600" s="1080"/>
      <c r="BF600" s="1080"/>
      <c r="BG600" s="1077"/>
      <c r="BH600" s="1077"/>
      <c r="BI600" s="1078">
        <v>1.6</v>
      </c>
      <c r="BJ600" s="1077">
        <v>3.9</v>
      </c>
      <c r="BK600" s="1077">
        <v>6.9</v>
      </c>
      <c r="BL600" s="1077">
        <v>9.9</v>
      </c>
      <c r="BM600" s="1077">
        <v>12.8</v>
      </c>
      <c r="BN600" s="1079"/>
      <c r="BO600" s="1080"/>
      <c r="BP600" s="1080"/>
      <c r="BQ600" s="1080"/>
      <c r="BR600" s="1080"/>
      <c r="BS600" s="1081"/>
      <c r="BT600" s="1080"/>
      <c r="BU600" s="1080"/>
      <c r="BV600" s="1080"/>
      <c r="BW600" s="1082"/>
      <c r="BX600" s="1081"/>
      <c r="BY600" s="1080"/>
      <c r="BZ600" s="1080"/>
      <c r="CA600" s="1080"/>
      <c r="CB600" s="1082"/>
      <c r="CC600" s="1083"/>
      <c r="CD600" s="1084" t="s">
        <v>168</v>
      </c>
      <c r="CE600" s="1085" t="s">
        <v>168</v>
      </c>
      <c r="CF600" s="1085" t="s">
        <v>168</v>
      </c>
      <c r="CG600" s="1085" t="s">
        <v>168</v>
      </c>
      <c r="CH600" s="1086" t="s">
        <v>168</v>
      </c>
      <c r="CI600" s="1089">
        <v>-45.4</v>
      </c>
      <c r="CJ600" s="1087">
        <v>-45.4</v>
      </c>
      <c r="CK600" s="1087">
        <v>-45.4</v>
      </c>
      <c r="CL600" s="1087">
        <v>-45.4</v>
      </c>
      <c r="CM600" s="1088">
        <v>-45.4</v>
      </c>
      <c r="CN600" s="1089">
        <v>-25</v>
      </c>
      <c r="CO600" s="1087">
        <v>-25</v>
      </c>
      <c r="CP600" s="1087">
        <v>-25</v>
      </c>
      <c r="CQ600" s="1087">
        <v>-25</v>
      </c>
      <c r="CR600" s="1088">
        <v>-25</v>
      </c>
      <c r="CS600" s="1079" t="s">
        <v>1942</v>
      </c>
      <c r="CT600" s="1080" t="s">
        <v>1942</v>
      </c>
      <c r="CU600" s="1080" t="s">
        <v>1942</v>
      </c>
      <c r="CV600" s="1080" t="s">
        <v>1942</v>
      </c>
      <c r="CW600" s="1083" t="s">
        <v>1942</v>
      </c>
      <c r="CX600" s="1079" t="s">
        <v>1942</v>
      </c>
      <c r="CY600" s="1080" t="s">
        <v>1942</v>
      </c>
      <c r="CZ600" s="1080" t="s">
        <v>1942</v>
      </c>
      <c r="DA600" s="1080" t="s">
        <v>1942</v>
      </c>
      <c r="DB600" s="1083" t="s">
        <v>1942</v>
      </c>
      <c r="DC600" s="1087">
        <v>35.6</v>
      </c>
      <c r="DD600" s="1087">
        <v>36.200000000000003</v>
      </c>
      <c r="DE600" s="1087">
        <v>37.1</v>
      </c>
      <c r="DF600" s="1087">
        <v>38.1</v>
      </c>
      <c r="DG600" s="1088">
        <v>39.299999999999997</v>
      </c>
      <c r="DH600" s="1089" t="s">
        <v>4805</v>
      </c>
      <c r="DI600" s="1080" t="s">
        <v>4805</v>
      </c>
      <c r="DJ600" s="1080" t="s">
        <v>4805</v>
      </c>
      <c r="DK600" s="1080" t="s">
        <v>4805</v>
      </c>
      <c r="DL600" s="1083" t="s">
        <v>4805</v>
      </c>
      <c r="DM600" s="1091">
        <v>-0.33</v>
      </c>
      <c r="DN600" s="1092" t="s">
        <v>1942</v>
      </c>
      <c r="DO600" s="1092" t="s">
        <v>1942</v>
      </c>
      <c r="DP600" s="1093">
        <v>-0.47099999999999997</v>
      </c>
      <c r="DQ600" s="1092">
        <v>0.22</v>
      </c>
      <c r="DR600" s="1092" t="s">
        <v>1942</v>
      </c>
      <c r="DS600" s="1092" t="s">
        <v>1942</v>
      </c>
      <c r="DT600" s="1093">
        <v>0.47099999999999997</v>
      </c>
      <c r="DU600" s="1085" t="s">
        <v>1942</v>
      </c>
      <c r="DV600" s="1094">
        <v>1</v>
      </c>
      <c r="DW600" s="1095" t="s">
        <v>1942</v>
      </c>
    </row>
    <row r="601" spans="1:127" s="397" customFormat="1" ht="15.75" hidden="1" customHeight="1">
      <c r="A601" s="1054" t="s">
        <v>1054</v>
      </c>
      <c r="B601" s="1055">
        <v>592</v>
      </c>
      <c r="C601" s="1143"/>
      <c r="D601" s="1143"/>
      <c r="E601" s="1143"/>
      <c r="F601" s="1143"/>
      <c r="G601" s="1143"/>
      <c r="H601" s="1143"/>
      <c r="I601" s="1143"/>
      <c r="J601" s="1143"/>
      <c r="K601" s="1143"/>
      <c r="L601" s="1143"/>
      <c r="M601" s="1055"/>
      <c r="N601" s="1143"/>
      <c r="O601" s="1143"/>
      <c r="P601" s="1143"/>
      <c r="Q601" s="1143"/>
      <c r="R601" s="1143"/>
      <c r="S601" s="1143"/>
      <c r="T601" s="1058"/>
      <c r="U601" s="1059" t="s">
        <v>4452</v>
      </c>
      <c r="V601" s="1060" t="s">
        <v>4448</v>
      </c>
      <c r="W601" s="1060" t="s">
        <v>1889</v>
      </c>
      <c r="X601" s="1061" t="s">
        <v>4453</v>
      </c>
      <c r="Y601" s="1062" t="s">
        <v>1902</v>
      </c>
      <c r="Z601" s="1063" t="s">
        <v>4454</v>
      </c>
      <c r="AA601" s="1064" t="s">
        <v>1942</v>
      </c>
      <c r="AB601" s="1065">
        <v>1</v>
      </c>
      <c r="AC601" s="1065" t="s">
        <v>1942</v>
      </c>
      <c r="AD601" s="1065" t="s">
        <v>1942</v>
      </c>
      <c r="AE601" s="1065" t="s">
        <v>1942</v>
      </c>
      <c r="AF601" s="1065" t="s">
        <v>1942</v>
      </c>
      <c r="AG601" s="1065" t="s">
        <v>1942</v>
      </c>
      <c r="AH601" s="1065" t="s">
        <v>1942</v>
      </c>
      <c r="AI601" s="1066">
        <f t="shared" si="9"/>
        <v>1</v>
      </c>
      <c r="AJ601" s="1067" t="s">
        <v>1030</v>
      </c>
      <c r="AK601" s="1067" t="s">
        <v>1008</v>
      </c>
      <c r="AL601" s="1440" t="s">
        <v>1019</v>
      </c>
      <c r="AM601" s="1068" t="s">
        <v>2054</v>
      </c>
      <c r="AN601" s="1062" t="s">
        <v>2118</v>
      </c>
      <c r="AO601" s="1062" t="s">
        <v>4791</v>
      </c>
      <c r="AP601" s="1306">
        <v>1</v>
      </c>
      <c r="AQ601" s="833" t="s">
        <v>1010</v>
      </c>
      <c r="AR601" s="1071" t="s">
        <v>1902</v>
      </c>
      <c r="AS601" s="1072"/>
      <c r="AT601" s="1061"/>
      <c r="AU601" s="1061"/>
      <c r="AV601" s="1061"/>
      <c r="AW601" s="1073"/>
      <c r="AX601" s="1074"/>
      <c r="AY601" s="1079"/>
      <c r="AZ601" s="1080"/>
      <c r="BA601" s="1080"/>
      <c r="BB601" s="1080"/>
      <c r="BC601" s="1080"/>
      <c r="BD601" s="1080"/>
      <c r="BE601" s="1080"/>
      <c r="BF601" s="1080"/>
      <c r="BG601" s="1077"/>
      <c r="BH601" s="1077"/>
      <c r="BI601" s="1078">
        <v>0.1</v>
      </c>
      <c r="BJ601" s="1077">
        <v>0.2</v>
      </c>
      <c r="BK601" s="1077">
        <v>0.3</v>
      </c>
      <c r="BL601" s="1077">
        <v>0.4</v>
      </c>
      <c r="BM601" s="1077">
        <v>0.9</v>
      </c>
      <c r="BN601" s="1079"/>
      <c r="BO601" s="1080"/>
      <c r="BP601" s="1080"/>
      <c r="BQ601" s="1080"/>
      <c r="BR601" s="1080"/>
      <c r="BS601" s="1081"/>
      <c r="BT601" s="1080"/>
      <c r="BU601" s="1080"/>
      <c r="BV601" s="1080"/>
      <c r="BW601" s="1082"/>
      <c r="BX601" s="1081"/>
      <c r="BY601" s="1080"/>
      <c r="BZ601" s="1080"/>
      <c r="CA601" s="1080"/>
      <c r="CB601" s="1082"/>
      <c r="CC601" s="1083"/>
      <c r="CD601" s="1084" t="s">
        <v>168</v>
      </c>
      <c r="CE601" s="1085" t="s">
        <v>168</v>
      </c>
      <c r="CF601" s="1085" t="s">
        <v>168</v>
      </c>
      <c r="CG601" s="1085" t="s">
        <v>168</v>
      </c>
      <c r="CH601" s="1086" t="s">
        <v>168</v>
      </c>
      <c r="CI601" s="1089" t="s">
        <v>1942</v>
      </c>
      <c r="CJ601" s="1087" t="s">
        <v>1942</v>
      </c>
      <c r="CK601" s="1087" t="s">
        <v>1942</v>
      </c>
      <c r="CL601" s="1087" t="s">
        <v>1942</v>
      </c>
      <c r="CM601" s="1088" t="s">
        <v>1942</v>
      </c>
      <c r="CN601" s="933">
        <v>-12.7</v>
      </c>
      <c r="CO601" s="879">
        <v>-12.7</v>
      </c>
      <c r="CP601" s="879">
        <v>-12.7</v>
      </c>
      <c r="CQ601" s="879">
        <v>-12.7</v>
      </c>
      <c r="CR601" s="934">
        <v>-12.7</v>
      </c>
      <c r="CS601" s="1079" t="s">
        <v>1942</v>
      </c>
      <c r="CT601" s="1080" t="s">
        <v>1942</v>
      </c>
      <c r="CU601" s="1080" t="s">
        <v>1942</v>
      </c>
      <c r="CV601" s="1080" t="s">
        <v>1942</v>
      </c>
      <c r="CW601" s="1083" t="s">
        <v>1942</v>
      </c>
      <c r="CX601" s="1079" t="s">
        <v>1942</v>
      </c>
      <c r="CY601" s="1080" t="s">
        <v>1942</v>
      </c>
      <c r="CZ601" s="1080" t="s">
        <v>1942</v>
      </c>
      <c r="DA601" s="1080" t="s">
        <v>1942</v>
      </c>
      <c r="DB601" s="1083" t="s">
        <v>1942</v>
      </c>
      <c r="DC601" s="1087" t="s">
        <v>1942</v>
      </c>
      <c r="DD601" s="1087" t="s">
        <v>1942</v>
      </c>
      <c r="DE601" s="1087" t="s">
        <v>1942</v>
      </c>
      <c r="DF601" s="1087" t="s">
        <v>1942</v>
      </c>
      <c r="DG601" s="1088" t="s">
        <v>1942</v>
      </c>
      <c r="DH601" s="1089" t="s">
        <v>1942</v>
      </c>
      <c r="DI601" s="1080" t="s">
        <v>1942</v>
      </c>
      <c r="DJ601" s="1080" t="s">
        <v>1942</v>
      </c>
      <c r="DK601" s="1080" t="s">
        <v>1942</v>
      </c>
      <c r="DL601" s="1083" t="s">
        <v>1942</v>
      </c>
      <c r="DM601" s="1091">
        <v>-0.13</v>
      </c>
      <c r="DN601" s="1092">
        <v>-0.43</v>
      </c>
      <c r="DO601" s="1092" t="s">
        <v>1942</v>
      </c>
      <c r="DP601" s="1093" t="s">
        <v>1942</v>
      </c>
      <c r="DQ601" s="1092">
        <v>9.0999999999999998E-2</v>
      </c>
      <c r="DR601" s="1092" t="s">
        <v>1942</v>
      </c>
      <c r="DS601" s="1092" t="s">
        <v>1942</v>
      </c>
      <c r="DT601" s="1093" t="s">
        <v>1942</v>
      </c>
      <c r="DU601" s="1085" t="s">
        <v>1942</v>
      </c>
      <c r="DV601" s="1094">
        <v>1</v>
      </c>
      <c r="DW601" s="1095" t="s">
        <v>1942</v>
      </c>
    </row>
    <row r="602" spans="1:127" s="397" customFormat="1" ht="15.75" hidden="1" customHeight="1">
      <c r="A602" s="1097" t="s">
        <v>1054</v>
      </c>
      <c r="B602" s="1057">
        <v>593</v>
      </c>
      <c r="C602" s="1018"/>
      <c r="D602" s="1018"/>
      <c r="E602" s="1018"/>
      <c r="F602" s="1018"/>
      <c r="G602" s="1018"/>
      <c r="H602" s="1018"/>
      <c r="I602" s="1018"/>
      <c r="J602" s="1018"/>
      <c r="K602" s="1018"/>
      <c r="L602" s="1018"/>
      <c r="M602" s="1057"/>
      <c r="N602" s="1018"/>
      <c r="O602" s="1018"/>
      <c r="P602" s="1018"/>
      <c r="Q602" s="1018"/>
      <c r="R602" s="1018"/>
      <c r="S602" s="1018"/>
      <c r="T602" s="1019"/>
      <c r="U602" s="1098" t="s">
        <v>4456</v>
      </c>
      <c r="V602" s="1099" t="s">
        <v>4448</v>
      </c>
      <c r="W602" s="1099" t="s">
        <v>1896</v>
      </c>
      <c r="X602" s="1100" t="s">
        <v>4457</v>
      </c>
      <c r="Y602" s="1101" t="s">
        <v>4458</v>
      </c>
      <c r="Z602" s="1102" t="s">
        <v>4459</v>
      </c>
      <c r="AA602" s="1103" t="s">
        <v>1942</v>
      </c>
      <c r="AB602" s="1104">
        <v>1</v>
      </c>
      <c r="AC602" s="1104" t="s">
        <v>1942</v>
      </c>
      <c r="AD602" s="1104" t="s">
        <v>1942</v>
      </c>
      <c r="AE602" s="1104" t="s">
        <v>1942</v>
      </c>
      <c r="AF602" s="1104" t="s">
        <v>1942</v>
      </c>
      <c r="AG602" s="1104" t="s">
        <v>1942</v>
      </c>
      <c r="AH602" s="1104" t="s">
        <v>1942</v>
      </c>
      <c r="AI602" s="1105">
        <f t="shared" si="9"/>
        <v>1</v>
      </c>
      <c r="AJ602" s="1106" t="s">
        <v>1030</v>
      </c>
      <c r="AK602" s="1106" t="s">
        <v>1008</v>
      </c>
      <c r="AL602" s="1106" t="s">
        <v>1009</v>
      </c>
      <c r="AM602" s="1107" t="s">
        <v>669</v>
      </c>
      <c r="AN602" s="1018" t="s">
        <v>278</v>
      </c>
      <c r="AO602" s="1018" t="s">
        <v>4460</v>
      </c>
      <c r="AP602" s="1274">
        <v>0</v>
      </c>
      <c r="AQ602" s="1076" t="s">
        <v>1010</v>
      </c>
      <c r="AR602" s="1109" t="s">
        <v>1942</v>
      </c>
      <c r="AS602" s="1110"/>
      <c r="AT602" s="1100"/>
      <c r="AU602" s="1100"/>
      <c r="AV602" s="1100"/>
      <c r="AW602" s="1111"/>
      <c r="AX602" s="1112"/>
      <c r="AY602" s="1075"/>
      <c r="AZ602" s="1076"/>
      <c r="BA602" s="1076"/>
      <c r="BB602" s="1076"/>
      <c r="BC602" s="1076"/>
      <c r="BD602" s="1076"/>
      <c r="BE602" s="1076"/>
      <c r="BF602" s="1076"/>
      <c r="BG602" s="1076"/>
      <c r="BH602" s="1076"/>
      <c r="BI602" s="1420"/>
      <c r="BJ602" s="1368"/>
      <c r="BK602" s="1368"/>
      <c r="BL602" s="1368"/>
      <c r="BM602" s="1368"/>
      <c r="BN602" s="1075"/>
      <c r="BO602" s="1076"/>
      <c r="BP602" s="1076"/>
      <c r="BQ602" s="1076"/>
      <c r="BR602" s="1076"/>
      <c r="BS602" s="1115"/>
      <c r="BT602" s="1076"/>
      <c r="BU602" s="1076"/>
      <c r="BV602" s="1076"/>
      <c r="BW602" s="1116"/>
      <c r="BX602" s="1115"/>
      <c r="BY602" s="1076"/>
      <c r="BZ602" s="1076"/>
      <c r="CA602" s="1076"/>
      <c r="CB602" s="1116"/>
      <c r="CC602" s="1117"/>
      <c r="CD602" s="1376"/>
      <c r="CE602" s="1377"/>
      <c r="CF602" s="1377"/>
      <c r="CG602" s="1377"/>
      <c r="CH602" s="1440"/>
      <c r="CI602" s="1420"/>
      <c r="CJ602" s="1368"/>
      <c r="CK602" s="1368"/>
      <c r="CL602" s="1368"/>
      <c r="CM602" s="1369"/>
      <c r="CN602" s="1420"/>
      <c r="CO602" s="1368"/>
      <c r="CP602" s="1368"/>
      <c r="CQ602" s="1368"/>
      <c r="CR602" s="1369"/>
      <c r="CS602" s="1420"/>
      <c r="CT602" s="1368"/>
      <c r="CU602" s="1368"/>
      <c r="CV602" s="1368"/>
      <c r="CW602" s="1369"/>
      <c r="CX602" s="1420"/>
      <c r="CY602" s="1368"/>
      <c r="CZ602" s="1368"/>
      <c r="DA602" s="1368"/>
      <c r="DB602" s="1369"/>
      <c r="DC602" s="1368"/>
      <c r="DD602" s="1368"/>
      <c r="DE602" s="1368"/>
      <c r="DF602" s="1368"/>
      <c r="DG602" s="1369"/>
      <c r="DH602" s="1420"/>
      <c r="DI602" s="1368"/>
      <c r="DJ602" s="1368"/>
      <c r="DK602" s="1368"/>
      <c r="DL602" s="1369"/>
      <c r="DM602" s="1808"/>
      <c r="DN602" s="1809"/>
      <c r="DO602" s="1809"/>
      <c r="DP602" s="1810"/>
      <c r="DQ602" s="1809"/>
      <c r="DR602" s="1809"/>
      <c r="DS602" s="1809"/>
      <c r="DT602" s="1810"/>
      <c r="DU602" s="1377"/>
      <c r="DV602" s="1729"/>
      <c r="DW602" s="1811"/>
    </row>
    <row r="603" spans="1:127" s="397" customFormat="1" ht="15.75" hidden="1" customHeight="1">
      <c r="A603" s="1097" t="s">
        <v>1054</v>
      </c>
      <c r="B603" s="1057">
        <v>594</v>
      </c>
      <c r="C603" s="1018"/>
      <c r="D603" s="1018"/>
      <c r="E603" s="1018"/>
      <c r="F603" s="1018"/>
      <c r="G603" s="1018"/>
      <c r="H603" s="1018"/>
      <c r="I603" s="1018"/>
      <c r="J603" s="1018"/>
      <c r="K603" s="1018"/>
      <c r="L603" s="1018"/>
      <c r="M603" s="1057"/>
      <c r="N603" s="1018"/>
      <c r="O603" s="1018"/>
      <c r="P603" s="1018"/>
      <c r="Q603" s="1018"/>
      <c r="R603" s="1018"/>
      <c r="S603" s="1018"/>
      <c r="T603" s="1019"/>
      <c r="U603" s="1098" t="s">
        <v>4461</v>
      </c>
      <c r="V603" s="1099" t="s">
        <v>4448</v>
      </c>
      <c r="W603" s="1099" t="s">
        <v>1889</v>
      </c>
      <c r="X603" s="1100" t="s">
        <v>4462</v>
      </c>
      <c r="Y603" s="1101" t="s">
        <v>4463</v>
      </c>
      <c r="Z603" s="1102" t="s">
        <v>4464</v>
      </c>
      <c r="AA603" s="1103" t="s">
        <v>1942</v>
      </c>
      <c r="AB603" s="1104">
        <v>1</v>
      </c>
      <c r="AC603" s="1104" t="s">
        <v>1942</v>
      </c>
      <c r="AD603" s="1104" t="s">
        <v>1942</v>
      </c>
      <c r="AE603" s="1104" t="s">
        <v>1942</v>
      </c>
      <c r="AF603" s="1104" t="s">
        <v>1942</v>
      </c>
      <c r="AG603" s="1104" t="s">
        <v>1942</v>
      </c>
      <c r="AH603" s="1104" t="s">
        <v>1942</v>
      </c>
      <c r="AI603" s="1105">
        <f t="shared" si="9"/>
        <v>1</v>
      </c>
      <c r="AJ603" s="1106" t="s">
        <v>1007</v>
      </c>
      <c r="AK603" s="1106" t="s">
        <v>1942</v>
      </c>
      <c r="AL603" s="1106" t="s">
        <v>1942</v>
      </c>
      <c r="AM603" s="1107" t="s">
        <v>2054</v>
      </c>
      <c r="AN603" s="1018" t="s">
        <v>1033</v>
      </c>
      <c r="AO603" s="1018" t="s">
        <v>4465</v>
      </c>
      <c r="AP603" s="1274">
        <v>1</v>
      </c>
      <c r="AQ603" s="1076" t="s">
        <v>1010</v>
      </c>
      <c r="AR603" s="1109" t="s">
        <v>1942</v>
      </c>
      <c r="AS603" s="1110"/>
      <c r="AT603" s="1100"/>
      <c r="AU603" s="1100"/>
      <c r="AV603" s="1100"/>
      <c r="AW603" s="1111"/>
      <c r="AX603" s="1112"/>
      <c r="AY603" s="1075"/>
      <c r="AZ603" s="1076"/>
      <c r="BA603" s="1076"/>
      <c r="BB603" s="1076"/>
      <c r="BC603" s="1076"/>
      <c r="BD603" s="1076"/>
      <c r="BE603" s="1076"/>
      <c r="BF603" s="1076"/>
      <c r="BG603" s="1076"/>
      <c r="BH603" s="1076"/>
      <c r="BI603" s="1420"/>
      <c r="BJ603" s="1368"/>
      <c r="BK603" s="1368"/>
      <c r="BL603" s="1368"/>
      <c r="BM603" s="1368"/>
      <c r="BN603" s="1075"/>
      <c r="BO603" s="1076"/>
      <c r="BP603" s="1076"/>
      <c r="BQ603" s="1076"/>
      <c r="BR603" s="1076"/>
      <c r="BS603" s="1115"/>
      <c r="BT603" s="1076"/>
      <c r="BU603" s="1076"/>
      <c r="BV603" s="1076"/>
      <c r="BW603" s="1116"/>
      <c r="BX603" s="1115"/>
      <c r="BY603" s="1076"/>
      <c r="BZ603" s="1076"/>
      <c r="CA603" s="1076"/>
      <c r="CB603" s="1116"/>
      <c r="CC603" s="1117"/>
      <c r="CD603" s="1376"/>
      <c r="CE603" s="1377"/>
      <c r="CF603" s="1377"/>
      <c r="CG603" s="1377"/>
      <c r="CH603" s="1440"/>
      <c r="CI603" s="1420"/>
      <c r="CJ603" s="1368"/>
      <c r="CK603" s="1368"/>
      <c r="CL603" s="1368"/>
      <c r="CM603" s="1369"/>
      <c r="CN603" s="1420"/>
      <c r="CO603" s="1368"/>
      <c r="CP603" s="1368"/>
      <c r="CQ603" s="1368"/>
      <c r="CR603" s="1369"/>
      <c r="CS603" s="1420"/>
      <c r="CT603" s="1368"/>
      <c r="CU603" s="1368"/>
      <c r="CV603" s="1368"/>
      <c r="CW603" s="1369"/>
      <c r="CX603" s="1420"/>
      <c r="CY603" s="1368"/>
      <c r="CZ603" s="1368"/>
      <c r="DA603" s="1368"/>
      <c r="DB603" s="1369"/>
      <c r="DC603" s="1368"/>
      <c r="DD603" s="1368"/>
      <c r="DE603" s="1368"/>
      <c r="DF603" s="1368"/>
      <c r="DG603" s="1369"/>
      <c r="DH603" s="1420"/>
      <c r="DI603" s="1368"/>
      <c r="DJ603" s="1368"/>
      <c r="DK603" s="1368"/>
      <c r="DL603" s="1369"/>
      <c r="DM603" s="1808"/>
      <c r="DN603" s="1809"/>
      <c r="DO603" s="1809"/>
      <c r="DP603" s="1810"/>
      <c r="DQ603" s="1809"/>
      <c r="DR603" s="1809"/>
      <c r="DS603" s="1809"/>
      <c r="DT603" s="1810"/>
      <c r="DU603" s="1377"/>
      <c r="DV603" s="1729"/>
      <c r="DW603" s="1811"/>
    </row>
    <row r="604" spans="1:127" s="397" customFormat="1" ht="15.75" hidden="1" customHeight="1">
      <c r="A604" s="1097" t="s">
        <v>1054</v>
      </c>
      <c r="B604" s="1057">
        <v>595</v>
      </c>
      <c r="C604" s="1018"/>
      <c r="D604" s="1018"/>
      <c r="E604" s="1018"/>
      <c r="F604" s="1018"/>
      <c r="G604" s="1018"/>
      <c r="H604" s="1018"/>
      <c r="I604" s="1018"/>
      <c r="J604" s="1018"/>
      <c r="K604" s="1018"/>
      <c r="L604" s="1018"/>
      <c r="M604" s="1057"/>
      <c r="N604" s="1018"/>
      <c r="O604" s="1018"/>
      <c r="P604" s="1018"/>
      <c r="Q604" s="1018"/>
      <c r="R604" s="1018"/>
      <c r="S604" s="1018"/>
      <c r="T604" s="1019"/>
      <c r="U604" s="1098" t="s">
        <v>4466</v>
      </c>
      <c r="V604" s="1099" t="s">
        <v>4467</v>
      </c>
      <c r="W604" s="1099" t="s">
        <v>1907</v>
      </c>
      <c r="X604" s="1100" t="s">
        <v>4468</v>
      </c>
      <c r="Y604" s="1101" t="s">
        <v>130</v>
      </c>
      <c r="Z604" s="1102" t="s">
        <v>4469</v>
      </c>
      <c r="AA604" s="1103" t="s">
        <v>1942</v>
      </c>
      <c r="AB604" s="1104">
        <v>1</v>
      </c>
      <c r="AC604" s="1104" t="s">
        <v>1942</v>
      </c>
      <c r="AD604" s="1104" t="s">
        <v>1942</v>
      </c>
      <c r="AE604" s="1104" t="s">
        <v>1942</v>
      </c>
      <c r="AF604" s="1104" t="s">
        <v>1942</v>
      </c>
      <c r="AG604" s="1104" t="s">
        <v>1942</v>
      </c>
      <c r="AH604" s="1104" t="s">
        <v>1942</v>
      </c>
      <c r="AI604" s="1105">
        <f t="shared" si="9"/>
        <v>1</v>
      </c>
      <c r="AJ604" s="1106" t="s">
        <v>1026</v>
      </c>
      <c r="AK604" s="1106" t="s">
        <v>1008</v>
      </c>
      <c r="AL604" s="1106" t="s">
        <v>1009</v>
      </c>
      <c r="AM604" s="1107" t="s">
        <v>1926</v>
      </c>
      <c r="AN604" s="1018" t="s">
        <v>2177</v>
      </c>
      <c r="AO604" s="1018" t="s">
        <v>4795</v>
      </c>
      <c r="AP604" s="1307">
        <v>2</v>
      </c>
      <c r="AQ604" s="1076" t="s">
        <v>1020</v>
      </c>
      <c r="AR604" s="1109" t="s">
        <v>130</v>
      </c>
      <c r="AS604" s="1110"/>
      <c r="AT604" s="1100"/>
      <c r="AU604" s="1100"/>
      <c r="AV604" s="1100"/>
      <c r="AW604" s="1111"/>
      <c r="AX604" s="1112"/>
      <c r="AY604" s="1075"/>
      <c r="AZ604" s="1076"/>
      <c r="BA604" s="1076"/>
      <c r="BB604" s="1076"/>
      <c r="BC604" s="1076"/>
      <c r="BD604" s="1076"/>
      <c r="BE604" s="1076"/>
      <c r="BF604" s="1076"/>
      <c r="BG604" s="1126"/>
      <c r="BH604" s="1126"/>
      <c r="BI604" s="1127">
        <v>0</v>
      </c>
      <c r="BJ604" s="1126">
        <v>0</v>
      </c>
      <c r="BK604" s="1126">
        <v>0</v>
      </c>
      <c r="BL604" s="1126">
        <v>0</v>
      </c>
      <c r="BM604" s="1126">
        <v>0</v>
      </c>
      <c r="BN604" s="1075"/>
      <c r="BO604" s="1076"/>
      <c r="BP604" s="1076"/>
      <c r="BQ604" s="1076"/>
      <c r="BR604" s="1076"/>
      <c r="BS604" s="1115"/>
      <c r="BT604" s="1076"/>
      <c r="BU604" s="1076"/>
      <c r="BV604" s="1076"/>
      <c r="BW604" s="1116"/>
      <c r="BX604" s="1115"/>
      <c r="BY604" s="1076"/>
      <c r="BZ604" s="1076"/>
      <c r="CA604" s="1076"/>
      <c r="CB604" s="1116"/>
      <c r="CC604" s="1117"/>
      <c r="CD604" s="1118" t="s">
        <v>168</v>
      </c>
      <c r="CE604" s="1119" t="s">
        <v>168</v>
      </c>
      <c r="CF604" s="1119" t="s">
        <v>168</v>
      </c>
      <c r="CG604" s="1119" t="s">
        <v>168</v>
      </c>
      <c r="CH604" s="1120" t="s">
        <v>168</v>
      </c>
      <c r="CI604" s="1075" t="s">
        <v>1942</v>
      </c>
      <c r="CJ604" s="1076" t="s">
        <v>1942</v>
      </c>
      <c r="CK604" s="1076" t="s">
        <v>1942</v>
      </c>
      <c r="CL604" s="1076" t="s">
        <v>1942</v>
      </c>
      <c r="CM604" s="1117" t="s">
        <v>1942</v>
      </c>
      <c r="CN604" s="1075">
        <v>9.5</v>
      </c>
      <c r="CO604" s="1076">
        <v>9.5</v>
      </c>
      <c r="CP604" s="1076">
        <v>9.5</v>
      </c>
      <c r="CQ604" s="1076">
        <v>9.5</v>
      </c>
      <c r="CR604" s="1117">
        <v>9.5</v>
      </c>
      <c r="CS604" s="1075">
        <v>2</v>
      </c>
      <c r="CT604" s="1076">
        <v>2</v>
      </c>
      <c r="CU604" s="1076">
        <v>2</v>
      </c>
      <c r="CV604" s="1076">
        <v>2</v>
      </c>
      <c r="CW604" s="1117">
        <v>2</v>
      </c>
      <c r="CX604" s="1075" t="s">
        <v>1942</v>
      </c>
      <c r="CY604" s="1076" t="s">
        <v>1942</v>
      </c>
      <c r="CZ604" s="1076" t="s">
        <v>1942</v>
      </c>
      <c r="DA604" s="1076" t="s">
        <v>1942</v>
      </c>
      <c r="DB604" s="1117" t="s">
        <v>1942</v>
      </c>
      <c r="DC604" s="1076" t="s">
        <v>1942</v>
      </c>
      <c r="DD604" s="1076" t="s">
        <v>1942</v>
      </c>
      <c r="DE604" s="1076" t="s">
        <v>1942</v>
      </c>
      <c r="DF604" s="1076" t="s">
        <v>1942</v>
      </c>
      <c r="DG604" s="1117" t="s">
        <v>1942</v>
      </c>
      <c r="DH604" s="1075" t="s">
        <v>1942</v>
      </c>
      <c r="DI604" s="1076" t="s">
        <v>1942</v>
      </c>
      <c r="DJ604" s="1076" t="s">
        <v>1942</v>
      </c>
      <c r="DK604" s="1076" t="s">
        <v>1942</v>
      </c>
      <c r="DL604" s="1117" t="s">
        <v>1942</v>
      </c>
      <c r="DM604" s="1121">
        <v>-0.57999999999999996</v>
      </c>
      <c r="DN604" s="1122">
        <v>-2.5</v>
      </c>
      <c r="DO604" s="1122" t="s">
        <v>1942</v>
      </c>
      <c r="DP604" s="1123" t="s">
        <v>1942</v>
      </c>
      <c r="DQ604" s="1122">
        <v>0</v>
      </c>
      <c r="DR604" s="1122" t="s">
        <v>1942</v>
      </c>
      <c r="DS604" s="1122" t="s">
        <v>1942</v>
      </c>
      <c r="DT604" s="1123" t="s">
        <v>1942</v>
      </c>
      <c r="DU604" s="1119" t="s">
        <v>1942</v>
      </c>
      <c r="DV604" s="1124">
        <v>1</v>
      </c>
      <c r="DW604" s="1125" t="s">
        <v>1942</v>
      </c>
    </row>
    <row r="605" spans="1:127" s="397" customFormat="1" ht="15.75" hidden="1" customHeight="1">
      <c r="A605" s="1097" t="s">
        <v>1054</v>
      </c>
      <c r="B605" s="1057">
        <v>596</v>
      </c>
      <c r="C605" s="1018"/>
      <c r="D605" s="1018"/>
      <c r="E605" s="1018"/>
      <c r="F605" s="1018"/>
      <c r="G605" s="1018"/>
      <c r="H605" s="1018"/>
      <c r="I605" s="1018"/>
      <c r="J605" s="1018"/>
      <c r="K605" s="1018"/>
      <c r="L605" s="1018"/>
      <c r="M605" s="1057"/>
      <c r="N605" s="1018"/>
      <c r="O605" s="1018"/>
      <c r="P605" s="1018"/>
      <c r="Q605" s="1018"/>
      <c r="R605" s="1018"/>
      <c r="S605" s="1018"/>
      <c r="T605" s="1019"/>
      <c r="U605" s="1098" t="s">
        <v>4470</v>
      </c>
      <c r="V605" s="1099" t="s">
        <v>4467</v>
      </c>
      <c r="W605" s="1099" t="s">
        <v>1889</v>
      </c>
      <c r="X605" s="1100" t="s">
        <v>4471</v>
      </c>
      <c r="Y605" s="1101" t="s">
        <v>4472</v>
      </c>
      <c r="Z605" s="1102" t="s">
        <v>4473</v>
      </c>
      <c r="AA605" s="1103" t="s">
        <v>1942</v>
      </c>
      <c r="AB605" s="1104">
        <v>1</v>
      </c>
      <c r="AC605" s="1104" t="s">
        <v>1942</v>
      </c>
      <c r="AD605" s="1104" t="s">
        <v>1942</v>
      </c>
      <c r="AE605" s="1104" t="s">
        <v>1942</v>
      </c>
      <c r="AF605" s="1104" t="s">
        <v>1942</v>
      </c>
      <c r="AG605" s="1104" t="s">
        <v>1942</v>
      </c>
      <c r="AH605" s="1104" t="s">
        <v>1942</v>
      </c>
      <c r="AI605" s="1105">
        <f t="shared" si="9"/>
        <v>1</v>
      </c>
      <c r="AJ605" s="1106" t="s">
        <v>1030</v>
      </c>
      <c r="AK605" s="1106" t="s">
        <v>1008</v>
      </c>
      <c r="AL605" s="1106" t="s">
        <v>1009</v>
      </c>
      <c r="AM605" s="1107" t="s">
        <v>2149</v>
      </c>
      <c r="AN605" s="1018" t="s">
        <v>396</v>
      </c>
      <c r="AO605" s="1018" t="s">
        <v>4798</v>
      </c>
      <c r="AP605" s="1307">
        <v>2</v>
      </c>
      <c r="AQ605" s="1076" t="s">
        <v>1020</v>
      </c>
      <c r="AR605" s="1109"/>
      <c r="AS605" s="1110"/>
      <c r="AT605" s="1100"/>
      <c r="AU605" s="1100"/>
      <c r="AV605" s="1100"/>
      <c r="AW605" s="1111"/>
      <c r="AX605" s="1112"/>
      <c r="AY605" s="1075"/>
      <c r="AZ605" s="1076"/>
      <c r="BA605" s="1076"/>
      <c r="BB605" s="1076"/>
      <c r="BC605" s="1076"/>
      <c r="BD605" s="1076"/>
      <c r="BE605" s="1076"/>
      <c r="BF605" s="1076"/>
      <c r="BG605" s="1126"/>
      <c r="BH605" s="1126"/>
      <c r="BI605" s="1725"/>
      <c r="BJ605" s="1726"/>
      <c r="BK605" s="1726"/>
      <c r="BL605" s="1726"/>
      <c r="BM605" s="1726"/>
      <c r="BN605" s="1075"/>
      <c r="BO605" s="1076"/>
      <c r="BP605" s="1076"/>
      <c r="BQ605" s="1076"/>
      <c r="BR605" s="1076"/>
      <c r="BS605" s="1115"/>
      <c r="BT605" s="1076"/>
      <c r="BU605" s="1076"/>
      <c r="BV605" s="1076"/>
      <c r="BW605" s="1116"/>
      <c r="BX605" s="1115"/>
      <c r="BY605" s="1076"/>
      <c r="BZ605" s="1076"/>
      <c r="CA605" s="1076"/>
      <c r="CB605" s="1116"/>
      <c r="CC605" s="1117"/>
      <c r="CD605" s="1376"/>
      <c r="CE605" s="1377"/>
      <c r="CF605" s="1377"/>
      <c r="CG605" s="1377"/>
      <c r="CH605" s="1440"/>
      <c r="CI605" s="1420"/>
      <c r="CJ605" s="1368"/>
      <c r="CK605" s="1368"/>
      <c r="CL605" s="1368"/>
      <c r="CM605" s="1369"/>
      <c r="CN605" s="1420"/>
      <c r="CO605" s="1368"/>
      <c r="CP605" s="1368"/>
      <c r="CQ605" s="1368"/>
      <c r="CR605" s="1369"/>
      <c r="CS605" s="1420"/>
      <c r="CT605" s="1368"/>
      <c r="CU605" s="1368"/>
      <c r="CV605" s="1368"/>
      <c r="CW605" s="1369"/>
      <c r="CX605" s="1420"/>
      <c r="CY605" s="1368"/>
      <c r="CZ605" s="1368"/>
      <c r="DA605" s="1368"/>
      <c r="DB605" s="1369"/>
      <c r="DC605" s="1368"/>
      <c r="DD605" s="1368"/>
      <c r="DE605" s="1368"/>
      <c r="DF605" s="1368"/>
      <c r="DG605" s="1369"/>
      <c r="DH605" s="1420"/>
      <c r="DI605" s="1368"/>
      <c r="DJ605" s="1368"/>
      <c r="DK605" s="1368"/>
      <c r="DL605" s="1369"/>
      <c r="DM605" s="1808"/>
      <c r="DN605" s="1809"/>
      <c r="DO605" s="1809"/>
      <c r="DP605" s="1810"/>
      <c r="DQ605" s="1809"/>
      <c r="DR605" s="1809"/>
      <c r="DS605" s="1809"/>
      <c r="DT605" s="1810"/>
      <c r="DU605" s="1377"/>
      <c r="DV605" s="1729"/>
      <c r="DW605" s="1811"/>
    </row>
    <row r="606" spans="1:127" s="397" customFormat="1" ht="15.75" hidden="1" customHeight="1">
      <c r="A606" s="1097" t="s">
        <v>1054</v>
      </c>
      <c r="B606" s="1057">
        <v>597</v>
      </c>
      <c r="C606" s="1018"/>
      <c r="D606" s="1018"/>
      <c r="E606" s="1018"/>
      <c r="F606" s="1018"/>
      <c r="G606" s="1018"/>
      <c r="H606" s="1018"/>
      <c r="I606" s="1018"/>
      <c r="J606" s="1018"/>
      <c r="K606" s="1018"/>
      <c r="L606" s="1018"/>
      <c r="M606" s="1057"/>
      <c r="N606" s="1018"/>
      <c r="O606" s="1018"/>
      <c r="P606" s="1018"/>
      <c r="Q606" s="1018"/>
      <c r="R606" s="1018"/>
      <c r="S606" s="1018"/>
      <c r="T606" s="1019"/>
      <c r="U606" s="1098" t="s">
        <v>4475</v>
      </c>
      <c r="V606" s="1099" t="s">
        <v>4467</v>
      </c>
      <c r="W606" s="1099" t="s">
        <v>1907</v>
      </c>
      <c r="X606" s="1100" t="s">
        <v>4476</v>
      </c>
      <c r="Y606" s="1101" t="s">
        <v>4477</v>
      </c>
      <c r="Z606" s="1102" t="s">
        <v>4478</v>
      </c>
      <c r="AA606" s="1103" t="s">
        <v>1942</v>
      </c>
      <c r="AB606" s="1104">
        <v>1</v>
      </c>
      <c r="AC606" s="1104" t="s">
        <v>1942</v>
      </c>
      <c r="AD606" s="1104" t="s">
        <v>1942</v>
      </c>
      <c r="AE606" s="1104" t="s">
        <v>1942</v>
      </c>
      <c r="AF606" s="1104" t="s">
        <v>1942</v>
      </c>
      <c r="AG606" s="1104" t="s">
        <v>1942</v>
      </c>
      <c r="AH606" s="1104" t="s">
        <v>1942</v>
      </c>
      <c r="AI606" s="1105">
        <f t="shared" si="9"/>
        <v>1</v>
      </c>
      <c r="AJ606" s="1106" t="s">
        <v>1030</v>
      </c>
      <c r="AK606" s="1106" t="s">
        <v>1008</v>
      </c>
      <c r="AL606" s="1106" t="s">
        <v>1009</v>
      </c>
      <c r="AM606" s="1107" t="s">
        <v>1926</v>
      </c>
      <c r="AN606" s="1018" t="s">
        <v>1081</v>
      </c>
      <c r="AO606" s="1018" t="s">
        <v>4479</v>
      </c>
      <c r="AP606" s="1274">
        <v>0</v>
      </c>
      <c r="AQ606" s="1076" t="s">
        <v>1010</v>
      </c>
      <c r="AR606" s="1109" t="s">
        <v>1942</v>
      </c>
      <c r="AS606" s="1110"/>
      <c r="AT606" s="1100"/>
      <c r="AU606" s="1100"/>
      <c r="AV606" s="1100"/>
      <c r="AW606" s="1111"/>
      <c r="AX606" s="1112"/>
      <c r="AY606" s="1075"/>
      <c r="AZ606" s="1076"/>
      <c r="BA606" s="1076"/>
      <c r="BB606" s="1076"/>
      <c r="BC606" s="1076"/>
      <c r="BD606" s="1076"/>
      <c r="BE606" s="1076"/>
      <c r="BF606" s="1076"/>
      <c r="BG606" s="1076"/>
      <c r="BH606" s="1076"/>
      <c r="BI606" s="1420"/>
      <c r="BJ606" s="1368"/>
      <c r="BK606" s="1368"/>
      <c r="BL606" s="1368"/>
      <c r="BM606" s="1368"/>
      <c r="BN606" s="1075"/>
      <c r="BO606" s="1076"/>
      <c r="BP606" s="1076"/>
      <c r="BQ606" s="1076"/>
      <c r="BR606" s="1076"/>
      <c r="BS606" s="1115"/>
      <c r="BT606" s="1076"/>
      <c r="BU606" s="1076"/>
      <c r="BV606" s="1076"/>
      <c r="BW606" s="1116"/>
      <c r="BX606" s="1115"/>
      <c r="BY606" s="1076"/>
      <c r="BZ606" s="1076"/>
      <c r="CA606" s="1076"/>
      <c r="CB606" s="1116"/>
      <c r="CC606" s="1117"/>
      <c r="CD606" s="1376"/>
      <c r="CE606" s="1377"/>
      <c r="CF606" s="1377"/>
      <c r="CG606" s="1377"/>
      <c r="CH606" s="1440"/>
      <c r="CI606" s="1420"/>
      <c r="CJ606" s="1368"/>
      <c r="CK606" s="1368"/>
      <c r="CL606" s="1368"/>
      <c r="CM606" s="1369"/>
      <c r="CN606" s="1420"/>
      <c r="CO606" s="1368"/>
      <c r="CP606" s="1368"/>
      <c r="CQ606" s="1368"/>
      <c r="CR606" s="1369"/>
      <c r="CS606" s="1420"/>
      <c r="CT606" s="1368"/>
      <c r="CU606" s="1368"/>
      <c r="CV606" s="1368"/>
      <c r="CW606" s="1369"/>
      <c r="CX606" s="1420"/>
      <c r="CY606" s="1368"/>
      <c r="CZ606" s="1368"/>
      <c r="DA606" s="1368"/>
      <c r="DB606" s="1369"/>
      <c r="DC606" s="1368"/>
      <c r="DD606" s="1368"/>
      <c r="DE606" s="1368"/>
      <c r="DF606" s="1368"/>
      <c r="DG606" s="1369"/>
      <c r="DH606" s="1420"/>
      <c r="DI606" s="1368"/>
      <c r="DJ606" s="1368"/>
      <c r="DK606" s="1368"/>
      <c r="DL606" s="1369"/>
      <c r="DM606" s="1808"/>
      <c r="DN606" s="1809"/>
      <c r="DO606" s="1809"/>
      <c r="DP606" s="1810"/>
      <c r="DQ606" s="1809"/>
      <c r="DR606" s="1809"/>
      <c r="DS606" s="1809"/>
      <c r="DT606" s="1810"/>
      <c r="DU606" s="1377"/>
      <c r="DV606" s="1729"/>
      <c r="DW606" s="1811"/>
    </row>
    <row r="607" spans="1:127" s="397" customFormat="1" ht="15.75" hidden="1" customHeight="1">
      <c r="A607" s="1097" t="s">
        <v>1054</v>
      </c>
      <c r="B607" s="1057">
        <v>598</v>
      </c>
      <c r="C607" s="1018"/>
      <c r="D607" s="1018"/>
      <c r="E607" s="1018"/>
      <c r="F607" s="1018"/>
      <c r="G607" s="1018"/>
      <c r="H607" s="1018"/>
      <c r="I607" s="1018"/>
      <c r="J607" s="1018"/>
      <c r="K607" s="1018"/>
      <c r="L607" s="1018"/>
      <c r="M607" s="1057"/>
      <c r="N607" s="1018"/>
      <c r="O607" s="1018"/>
      <c r="P607" s="1018"/>
      <c r="Q607" s="1018"/>
      <c r="R607" s="1018"/>
      <c r="S607" s="1018"/>
      <c r="T607" s="1019"/>
      <c r="U607" s="1098" t="s">
        <v>4480</v>
      </c>
      <c r="V607" s="1099" t="s">
        <v>4467</v>
      </c>
      <c r="W607" s="1099" t="s">
        <v>1907</v>
      </c>
      <c r="X607" s="1100" t="s">
        <v>4481</v>
      </c>
      <c r="Y607" s="1101" t="s">
        <v>4482</v>
      </c>
      <c r="Z607" s="1102" t="s">
        <v>4483</v>
      </c>
      <c r="AA607" s="1103" t="s">
        <v>1942</v>
      </c>
      <c r="AB607" s="1104">
        <v>1</v>
      </c>
      <c r="AC607" s="1104" t="s">
        <v>1942</v>
      </c>
      <c r="AD607" s="1104" t="s">
        <v>1942</v>
      </c>
      <c r="AE607" s="1104" t="s">
        <v>1942</v>
      </c>
      <c r="AF607" s="1104" t="s">
        <v>1942</v>
      </c>
      <c r="AG607" s="1104" t="s">
        <v>1942</v>
      </c>
      <c r="AH607" s="1104" t="s">
        <v>1942</v>
      </c>
      <c r="AI607" s="1105">
        <f t="shared" si="9"/>
        <v>1</v>
      </c>
      <c r="AJ607" s="1106" t="s">
        <v>1030</v>
      </c>
      <c r="AK607" s="1106" t="s">
        <v>1008</v>
      </c>
      <c r="AL607" s="1106" t="s">
        <v>1009</v>
      </c>
      <c r="AM607" s="1107" t="s">
        <v>1926</v>
      </c>
      <c r="AN607" s="1018" t="s">
        <v>1033</v>
      </c>
      <c r="AO607" s="1018" t="s">
        <v>4484</v>
      </c>
      <c r="AP607" s="1274">
        <v>0</v>
      </c>
      <c r="AQ607" s="1076" t="s">
        <v>1010</v>
      </c>
      <c r="AR607" s="1109" t="s">
        <v>1942</v>
      </c>
      <c r="AS607" s="1110"/>
      <c r="AT607" s="1100"/>
      <c r="AU607" s="1100"/>
      <c r="AV607" s="1100"/>
      <c r="AW607" s="1111"/>
      <c r="AX607" s="1112"/>
      <c r="AY607" s="1075"/>
      <c r="AZ607" s="1076"/>
      <c r="BA607" s="1076"/>
      <c r="BB607" s="1076"/>
      <c r="BC607" s="1076"/>
      <c r="BD607" s="1076"/>
      <c r="BE607" s="1076"/>
      <c r="BF607" s="1076"/>
      <c r="BG607" s="1076"/>
      <c r="BH607" s="1076"/>
      <c r="BI607" s="1420"/>
      <c r="BJ607" s="1368"/>
      <c r="BK607" s="1368"/>
      <c r="BL607" s="1368"/>
      <c r="BM607" s="1368"/>
      <c r="BN607" s="1075"/>
      <c r="BO607" s="1076"/>
      <c r="BP607" s="1076"/>
      <c r="BQ607" s="1076"/>
      <c r="BR607" s="1076"/>
      <c r="BS607" s="1115"/>
      <c r="BT607" s="1076"/>
      <c r="BU607" s="1076"/>
      <c r="BV607" s="1076"/>
      <c r="BW607" s="1116"/>
      <c r="BX607" s="1115"/>
      <c r="BY607" s="1076"/>
      <c r="BZ607" s="1076"/>
      <c r="CA607" s="1076"/>
      <c r="CB607" s="1116"/>
      <c r="CC607" s="1117"/>
      <c r="CD607" s="1376"/>
      <c r="CE607" s="1377"/>
      <c r="CF607" s="1377"/>
      <c r="CG607" s="1377"/>
      <c r="CH607" s="1440"/>
      <c r="CI607" s="1420"/>
      <c r="CJ607" s="1368"/>
      <c r="CK607" s="1368"/>
      <c r="CL607" s="1368"/>
      <c r="CM607" s="1369"/>
      <c r="CN607" s="1420"/>
      <c r="CO607" s="1368"/>
      <c r="CP607" s="1368"/>
      <c r="CQ607" s="1368"/>
      <c r="CR607" s="1369"/>
      <c r="CS607" s="1420"/>
      <c r="CT607" s="1368"/>
      <c r="CU607" s="1368"/>
      <c r="CV607" s="1368"/>
      <c r="CW607" s="1369"/>
      <c r="CX607" s="1420"/>
      <c r="CY607" s="1368"/>
      <c r="CZ607" s="1368"/>
      <c r="DA607" s="1368"/>
      <c r="DB607" s="1369"/>
      <c r="DC607" s="1368"/>
      <c r="DD607" s="1368"/>
      <c r="DE607" s="1368"/>
      <c r="DF607" s="1368"/>
      <c r="DG607" s="1369"/>
      <c r="DH607" s="1420"/>
      <c r="DI607" s="1368"/>
      <c r="DJ607" s="1368"/>
      <c r="DK607" s="1368"/>
      <c r="DL607" s="1369"/>
      <c r="DM607" s="1808"/>
      <c r="DN607" s="1809"/>
      <c r="DO607" s="1809"/>
      <c r="DP607" s="1810"/>
      <c r="DQ607" s="1809"/>
      <c r="DR607" s="1809"/>
      <c r="DS607" s="1809"/>
      <c r="DT607" s="1810"/>
      <c r="DU607" s="1377"/>
      <c r="DV607" s="1729"/>
      <c r="DW607" s="1811"/>
    </row>
    <row r="608" spans="1:127" s="397" customFormat="1" ht="15.75" hidden="1" customHeight="1">
      <c r="A608" s="1097" t="s">
        <v>1054</v>
      </c>
      <c r="B608" s="1057">
        <v>599</v>
      </c>
      <c r="C608" s="1018"/>
      <c r="D608" s="1018"/>
      <c r="E608" s="1018"/>
      <c r="F608" s="1018"/>
      <c r="G608" s="1018"/>
      <c r="H608" s="1018"/>
      <c r="I608" s="1018"/>
      <c r="J608" s="1018"/>
      <c r="K608" s="1018"/>
      <c r="L608" s="1018"/>
      <c r="M608" s="1057"/>
      <c r="N608" s="1018"/>
      <c r="O608" s="1018"/>
      <c r="P608" s="1018"/>
      <c r="Q608" s="1018"/>
      <c r="R608" s="1018"/>
      <c r="S608" s="1018"/>
      <c r="T608" s="1019"/>
      <c r="U608" s="1098" t="s">
        <v>4485</v>
      </c>
      <c r="V608" s="1099" t="s">
        <v>4467</v>
      </c>
      <c r="W608" s="1099" t="s">
        <v>1907</v>
      </c>
      <c r="X608" s="1100" t="s">
        <v>4486</v>
      </c>
      <c r="Y608" s="1101" t="s">
        <v>4487</v>
      </c>
      <c r="Z608" s="1102" t="s">
        <v>4488</v>
      </c>
      <c r="AA608" s="1103" t="s">
        <v>1942</v>
      </c>
      <c r="AB608" s="1104">
        <v>1</v>
      </c>
      <c r="AC608" s="1104" t="s">
        <v>1942</v>
      </c>
      <c r="AD608" s="1104" t="s">
        <v>1942</v>
      </c>
      <c r="AE608" s="1104" t="s">
        <v>1942</v>
      </c>
      <c r="AF608" s="1104" t="s">
        <v>1942</v>
      </c>
      <c r="AG608" s="1104" t="s">
        <v>1942</v>
      </c>
      <c r="AH608" s="1104" t="s">
        <v>1942</v>
      </c>
      <c r="AI608" s="1105">
        <f t="shared" si="9"/>
        <v>1</v>
      </c>
      <c r="AJ608" s="1106" t="s">
        <v>1007</v>
      </c>
      <c r="AK608" s="1106" t="s">
        <v>1942</v>
      </c>
      <c r="AL608" s="1106" t="s">
        <v>1942</v>
      </c>
      <c r="AM608" s="1107" t="s">
        <v>1926</v>
      </c>
      <c r="AN608" s="1018" t="s">
        <v>1081</v>
      </c>
      <c r="AO608" s="1018" t="s">
        <v>2335</v>
      </c>
      <c r="AP608" s="1274">
        <v>3</v>
      </c>
      <c r="AQ608" s="1076" t="s">
        <v>1020</v>
      </c>
      <c r="AR608" s="1109" t="s">
        <v>1942</v>
      </c>
      <c r="AS608" s="1110"/>
      <c r="AT608" s="1100"/>
      <c r="AU608" s="1100"/>
      <c r="AV608" s="1100"/>
      <c r="AW608" s="1111"/>
      <c r="AX608" s="1112"/>
      <c r="AY608" s="1075"/>
      <c r="AZ608" s="1076"/>
      <c r="BA608" s="1076"/>
      <c r="BB608" s="1076"/>
      <c r="BC608" s="1076"/>
      <c r="BD608" s="1076"/>
      <c r="BE608" s="1076"/>
      <c r="BF608" s="1076"/>
      <c r="BG608" s="1076"/>
      <c r="BH608" s="1076"/>
      <c r="BI608" s="1420"/>
      <c r="BJ608" s="1368"/>
      <c r="BK608" s="1368"/>
      <c r="BL608" s="1368"/>
      <c r="BM608" s="1368"/>
      <c r="BN608" s="1075"/>
      <c r="BO608" s="1076"/>
      <c r="BP608" s="1076"/>
      <c r="BQ608" s="1076"/>
      <c r="BR608" s="1076"/>
      <c r="BS608" s="1115"/>
      <c r="BT608" s="1076"/>
      <c r="BU608" s="1076"/>
      <c r="BV608" s="1076"/>
      <c r="BW608" s="1116"/>
      <c r="BX608" s="1115"/>
      <c r="BY608" s="1076"/>
      <c r="BZ608" s="1076"/>
      <c r="CA608" s="1076"/>
      <c r="CB608" s="1116"/>
      <c r="CC608" s="1117"/>
      <c r="CD608" s="1376"/>
      <c r="CE608" s="1377"/>
      <c r="CF608" s="1377"/>
      <c r="CG608" s="1377"/>
      <c r="CH608" s="1440"/>
      <c r="CI608" s="1420"/>
      <c r="CJ608" s="1368"/>
      <c r="CK608" s="1368"/>
      <c r="CL608" s="1368"/>
      <c r="CM608" s="1369"/>
      <c r="CN608" s="1420"/>
      <c r="CO608" s="1368"/>
      <c r="CP608" s="1368"/>
      <c r="CQ608" s="1368"/>
      <c r="CR608" s="1369"/>
      <c r="CS608" s="1420"/>
      <c r="CT608" s="1368"/>
      <c r="CU608" s="1368"/>
      <c r="CV608" s="1368"/>
      <c r="CW608" s="1369"/>
      <c r="CX608" s="1420"/>
      <c r="CY608" s="1368"/>
      <c r="CZ608" s="1368"/>
      <c r="DA608" s="1368"/>
      <c r="DB608" s="1369"/>
      <c r="DC608" s="1368"/>
      <c r="DD608" s="1368"/>
      <c r="DE608" s="1368"/>
      <c r="DF608" s="1368"/>
      <c r="DG608" s="1369"/>
      <c r="DH608" s="1420"/>
      <c r="DI608" s="1368"/>
      <c r="DJ608" s="1368"/>
      <c r="DK608" s="1368"/>
      <c r="DL608" s="1369"/>
      <c r="DM608" s="1808"/>
      <c r="DN608" s="1809"/>
      <c r="DO608" s="1809"/>
      <c r="DP608" s="1810"/>
      <c r="DQ608" s="1809"/>
      <c r="DR608" s="1809"/>
      <c r="DS608" s="1809"/>
      <c r="DT608" s="1810"/>
      <c r="DU608" s="1377"/>
      <c r="DV608" s="1729"/>
      <c r="DW608" s="1811"/>
    </row>
    <row r="609" spans="1:127" s="397" customFormat="1" ht="15.75" hidden="1" customHeight="1">
      <c r="A609" s="1097" t="s">
        <v>1054</v>
      </c>
      <c r="B609" s="1057">
        <v>600</v>
      </c>
      <c r="C609" s="1018"/>
      <c r="D609" s="1018"/>
      <c r="E609" s="1018"/>
      <c r="F609" s="1018"/>
      <c r="G609" s="1018"/>
      <c r="H609" s="1018"/>
      <c r="I609" s="1018"/>
      <c r="J609" s="1018"/>
      <c r="K609" s="1018"/>
      <c r="L609" s="1018"/>
      <c r="M609" s="1057"/>
      <c r="N609" s="1018"/>
      <c r="O609" s="1018"/>
      <c r="P609" s="1018"/>
      <c r="Q609" s="1018"/>
      <c r="R609" s="1018"/>
      <c r="S609" s="1018"/>
      <c r="T609" s="1019"/>
      <c r="U609" s="1098" t="s">
        <v>4489</v>
      </c>
      <c r="V609" s="1099" t="s">
        <v>4490</v>
      </c>
      <c r="W609" s="1099" t="s">
        <v>1889</v>
      </c>
      <c r="X609" s="1100" t="s">
        <v>2427</v>
      </c>
      <c r="Y609" s="1101" t="s">
        <v>732</v>
      </c>
      <c r="Z609" s="1102" t="s">
        <v>4491</v>
      </c>
      <c r="AA609" s="1103" t="s">
        <v>1942</v>
      </c>
      <c r="AB609" s="1104" t="s">
        <v>1942</v>
      </c>
      <c r="AC609" s="1104">
        <v>1</v>
      </c>
      <c r="AD609" s="1104" t="s">
        <v>1942</v>
      </c>
      <c r="AE609" s="1104" t="s">
        <v>1942</v>
      </c>
      <c r="AF609" s="1104" t="s">
        <v>1942</v>
      </c>
      <c r="AG609" s="1104" t="s">
        <v>1942</v>
      </c>
      <c r="AH609" s="1104" t="s">
        <v>1942</v>
      </c>
      <c r="AI609" s="1105">
        <f t="shared" si="9"/>
        <v>1</v>
      </c>
      <c r="AJ609" s="1106" t="s">
        <v>1030</v>
      </c>
      <c r="AK609" s="1106" t="s">
        <v>1008</v>
      </c>
      <c r="AL609" s="1106" t="s">
        <v>1009</v>
      </c>
      <c r="AM609" s="1107" t="s">
        <v>2058</v>
      </c>
      <c r="AN609" s="1018" t="s">
        <v>2177</v>
      </c>
      <c r="AO609" s="1018" t="s">
        <v>4492</v>
      </c>
      <c r="AP609" s="1307">
        <v>2</v>
      </c>
      <c r="AQ609" s="1076" t="s">
        <v>1020</v>
      </c>
      <c r="AR609" s="1109" t="s">
        <v>732</v>
      </c>
      <c r="AS609" s="1110"/>
      <c r="AT609" s="1100"/>
      <c r="AU609" s="1100"/>
      <c r="AV609" s="1100"/>
      <c r="AW609" s="1111"/>
      <c r="AX609" s="1112"/>
      <c r="AY609" s="1075"/>
      <c r="AZ609" s="1076"/>
      <c r="BA609" s="1076"/>
      <c r="BB609" s="1076"/>
      <c r="BC609" s="1076"/>
      <c r="BD609" s="1076"/>
      <c r="BE609" s="1076"/>
      <c r="BF609" s="1076"/>
      <c r="BG609" s="1126"/>
      <c r="BH609" s="1126"/>
      <c r="BI609" s="1127">
        <v>1.68</v>
      </c>
      <c r="BJ609" s="1126">
        <v>1.63</v>
      </c>
      <c r="BK609" s="1126">
        <v>1.58</v>
      </c>
      <c r="BL609" s="1126">
        <v>1.44</v>
      </c>
      <c r="BM609" s="1126">
        <v>1.34</v>
      </c>
      <c r="BN609" s="1075"/>
      <c r="BO609" s="1076"/>
      <c r="BP609" s="1076"/>
      <c r="BQ609" s="1076"/>
      <c r="BR609" s="1076"/>
      <c r="BS609" s="1115"/>
      <c r="BT609" s="1076"/>
      <c r="BU609" s="1076"/>
      <c r="BV609" s="1076"/>
      <c r="BW609" s="1116"/>
      <c r="BX609" s="1115"/>
      <c r="BY609" s="1076"/>
      <c r="BZ609" s="1076"/>
      <c r="CA609" s="1076"/>
      <c r="CB609" s="1116"/>
      <c r="CC609" s="1117"/>
      <c r="CD609" s="1118" t="s">
        <v>168</v>
      </c>
      <c r="CE609" s="1119" t="s">
        <v>168</v>
      </c>
      <c r="CF609" s="1119" t="s">
        <v>168</v>
      </c>
      <c r="CG609" s="1119" t="s">
        <v>168</v>
      </c>
      <c r="CH609" s="1120" t="s">
        <v>168</v>
      </c>
      <c r="CI609" s="1075">
        <v>4.09</v>
      </c>
      <c r="CJ609" s="1076">
        <v>4.09</v>
      </c>
      <c r="CK609" s="1076">
        <v>4.09</v>
      </c>
      <c r="CL609" s="1076">
        <v>4.09</v>
      </c>
      <c r="CM609" s="1117">
        <v>4.09</v>
      </c>
      <c r="CN609" s="1075">
        <v>2.56</v>
      </c>
      <c r="CO609" s="1076">
        <v>2.56</v>
      </c>
      <c r="CP609" s="1076">
        <v>2.56</v>
      </c>
      <c r="CQ609" s="1076">
        <v>2.56</v>
      </c>
      <c r="CR609" s="1117">
        <v>2.56</v>
      </c>
      <c r="CS609" s="1075" t="s">
        <v>1942</v>
      </c>
      <c r="CT609" s="1076" t="s">
        <v>1942</v>
      </c>
      <c r="CU609" s="1076" t="s">
        <v>1942</v>
      </c>
      <c r="CV609" s="1076" t="s">
        <v>1942</v>
      </c>
      <c r="CW609" s="1117" t="s">
        <v>1942</v>
      </c>
      <c r="CX609" s="1075" t="s">
        <v>1942</v>
      </c>
      <c r="CY609" s="1076" t="s">
        <v>1942</v>
      </c>
      <c r="CZ609" s="1076" t="s">
        <v>1942</v>
      </c>
      <c r="DA609" s="1076" t="s">
        <v>1942</v>
      </c>
      <c r="DB609" s="1117" t="s">
        <v>1942</v>
      </c>
      <c r="DC609" s="1076">
        <v>0.93</v>
      </c>
      <c r="DD609" s="1076">
        <v>0.9</v>
      </c>
      <c r="DE609" s="1076">
        <v>0.87</v>
      </c>
      <c r="DF609" s="1076">
        <v>0.8</v>
      </c>
      <c r="DG609" s="1117">
        <v>0.74</v>
      </c>
      <c r="DH609" s="1075" t="s">
        <v>4805</v>
      </c>
      <c r="DI609" s="1076" t="s">
        <v>4805</v>
      </c>
      <c r="DJ609" s="1076" t="s">
        <v>4805</v>
      </c>
      <c r="DK609" s="1076" t="s">
        <v>4805</v>
      </c>
      <c r="DL609" s="1117" t="s">
        <v>4805</v>
      </c>
      <c r="DM609" s="1121">
        <v>-5.69</v>
      </c>
      <c r="DN609" s="1122" t="s">
        <v>1942</v>
      </c>
      <c r="DO609" s="1122" t="s">
        <v>1942</v>
      </c>
      <c r="DP609" s="1123">
        <v>-18.177</v>
      </c>
      <c r="DQ609" s="1122">
        <v>5.69</v>
      </c>
      <c r="DR609" s="1122" t="s">
        <v>1942</v>
      </c>
      <c r="DS609" s="1122" t="s">
        <v>1942</v>
      </c>
      <c r="DT609" s="1123">
        <v>18.177</v>
      </c>
      <c r="DU609" s="1119" t="s">
        <v>1942</v>
      </c>
      <c r="DV609" s="1124">
        <v>1</v>
      </c>
      <c r="DW609" s="1125" t="s">
        <v>1942</v>
      </c>
    </row>
    <row r="610" spans="1:127" s="397" customFormat="1" ht="15.75" hidden="1" customHeight="1">
      <c r="A610" s="1097" t="s">
        <v>1054</v>
      </c>
      <c r="B610" s="1057">
        <v>601</v>
      </c>
      <c r="C610" s="1018"/>
      <c r="D610" s="1018"/>
      <c r="E610" s="1018"/>
      <c r="F610" s="1018"/>
      <c r="G610" s="1018"/>
      <c r="H610" s="1018"/>
      <c r="I610" s="1018"/>
      <c r="J610" s="1018"/>
      <c r="K610" s="1018"/>
      <c r="L610" s="1018"/>
      <c r="M610" s="1057"/>
      <c r="N610" s="1018"/>
      <c r="O610" s="1018"/>
      <c r="P610" s="1018"/>
      <c r="Q610" s="1018"/>
      <c r="R610" s="1018"/>
      <c r="S610" s="1018"/>
      <c r="T610" s="1019"/>
      <c r="U610" s="1098" t="s">
        <v>4493</v>
      </c>
      <c r="V610" s="1099" t="s">
        <v>4490</v>
      </c>
      <c r="W610" s="1099" t="s">
        <v>1907</v>
      </c>
      <c r="X610" s="1100" t="s">
        <v>3425</v>
      </c>
      <c r="Y610" s="1101" t="s">
        <v>4494</v>
      </c>
      <c r="Z610" s="1102" t="s">
        <v>4495</v>
      </c>
      <c r="AA610" s="1103" t="s">
        <v>1942</v>
      </c>
      <c r="AB610" s="1104" t="s">
        <v>1942</v>
      </c>
      <c r="AC610" s="1104">
        <v>1</v>
      </c>
      <c r="AD610" s="1104" t="s">
        <v>1942</v>
      </c>
      <c r="AE610" s="1104" t="s">
        <v>1942</v>
      </c>
      <c r="AF610" s="1104" t="s">
        <v>1942</v>
      </c>
      <c r="AG610" s="1104" t="s">
        <v>1942</v>
      </c>
      <c r="AH610" s="1104" t="s">
        <v>1942</v>
      </c>
      <c r="AI610" s="1105">
        <f t="shared" si="9"/>
        <v>1</v>
      </c>
      <c r="AJ610" s="1106" t="s">
        <v>1030</v>
      </c>
      <c r="AK610" s="1106" t="s">
        <v>1008</v>
      </c>
      <c r="AL610" s="1106" t="s">
        <v>1009</v>
      </c>
      <c r="AM610" s="1107" t="s">
        <v>2058</v>
      </c>
      <c r="AN610" s="1018" t="s">
        <v>2177</v>
      </c>
      <c r="AO610" s="1018" t="s">
        <v>4492</v>
      </c>
      <c r="AP610" s="1307">
        <v>2</v>
      </c>
      <c r="AQ610" s="1076" t="s">
        <v>1020</v>
      </c>
      <c r="AR610" s="1109"/>
      <c r="AS610" s="1110"/>
      <c r="AT610" s="1100"/>
      <c r="AU610" s="1100"/>
      <c r="AV610" s="1100"/>
      <c r="AW610" s="1111"/>
      <c r="AX610" s="1112"/>
      <c r="AY610" s="1075"/>
      <c r="AZ610" s="1076"/>
      <c r="BA610" s="1076"/>
      <c r="BB610" s="1076"/>
      <c r="BC610" s="1076"/>
      <c r="BD610" s="1076"/>
      <c r="BE610" s="1076"/>
      <c r="BF610" s="1076"/>
      <c r="BG610" s="1126"/>
      <c r="BH610" s="1126"/>
      <c r="BI610" s="1725"/>
      <c r="BJ610" s="1726"/>
      <c r="BK610" s="1726"/>
      <c r="BL610" s="1726"/>
      <c r="BM610" s="1726"/>
      <c r="BN610" s="1075"/>
      <c r="BO610" s="1076"/>
      <c r="BP610" s="1076"/>
      <c r="BQ610" s="1076"/>
      <c r="BR610" s="1076"/>
      <c r="BS610" s="1115"/>
      <c r="BT610" s="1076"/>
      <c r="BU610" s="1076"/>
      <c r="BV610" s="1076"/>
      <c r="BW610" s="1116"/>
      <c r="BX610" s="1115"/>
      <c r="BY610" s="1076"/>
      <c r="BZ610" s="1076"/>
      <c r="CA610" s="1076"/>
      <c r="CB610" s="1116"/>
      <c r="CC610" s="1117"/>
      <c r="CD610" s="1376"/>
      <c r="CE610" s="1377"/>
      <c r="CF610" s="1377"/>
      <c r="CG610" s="1377"/>
      <c r="CH610" s="1440"/>
      <c r="CI610" s="1420"/>
      <c r="CJ610" s="1368"/>
      <c r="CK610" s="1368"/>
      <c r="CL610" s="1368"/>
      <c r="CM610" s="1369"/>
      <c r="CN610" s="1420"/>
      <c r="CO610" s="1368"/>
      <c r="CP610" s="1368"/>
      <c r="CQ610" s="1368"/>
      <c r="CR610" s="1369"/>
      <c r="CS610" s="1420"/>
      <c r="CT610" s="1368"/>
      <c r="CU610" s="1368"/>
      <c r="CV610" s="1368"/>
      <c r="CW610" s="1369"/>
      <c r="CX610" s="1420"/>
      <c r="CY610" s="1368"/>
      <c r="CZ610" s="1368"/>
      <c r="DA610" s="1368"/>
      <c r="DB610" s="1369"/>
      <c r="DC610" s="1368"/>
      <c r="DD610" s="1368"/>
      <c r="DE610" s="1368"/>
      <c r="DF610" s="1368"/>
      <c r="DG610" s="1369"/>
      <c r="DH610" s="1420"/>
      <c r="DI610" s="1368"/>
      <c r="DJ610" s="1368"/>
      <c r="DK610" s="1368"/>
      <c r="DL610" s="1369"/>
      <c r="DM610" s="1808"/>
      <c r="DN610" s="1809"/>
      <c r="DO610" s="1809"/>
      <c r="DP610" s="1810"/>
      <c r="DQ610" s="1809"/>
      <c r="DR610" s="1809"/>
      <c r="DS610" s="1809"/>
      <c r="DT610" s="1810"/>
      <c r="DU610" s="1377"/>
      <c r="DV610" s="1729"/>
      <c r="DW610" s="1811"/>
    </row>
    <row r="611" spans="1:127" s="397" customFormat="1" ht="15.75" hidden="1" customHeight="1">
      <c r="A611" s="1097" t="s">
        <v>1054</v>
      </c>
      <c r="B611" s="1057">
        <v>602</v>
      </c>
      <c r="C611" s="1018"/>
      <c r="D611" s="1018"/>
      <c r="E611" s="1018"/>
      <c r="F611" s="1018"/>
      <c r="G611" s="1018"/>
      <c r="H611" s="1018"/>
      <c r="I611" s="1018"/>
      <c r="J611" s="1018"/>
      <c r="K611" s="1018"/>
      <c r="L611" s="1018"/>
      <c r="M611" s="1057"/>
      <c r="N611" s="1018"/>
      <c r="O611" s="1018"/>
      <c r="P611" s="1018"/>
      <c r="Q611" s="1018"/>
      <c r="R611" s="1018"/>
      <c r="S611" s="1018"/>
      <c r="T611" s="1019"/>
      <c r="U611" s="1098" t="s">
        <v>4496</v>
      </c>
      <c r="V611" s="1099" t="s">
        <v>4490</v>
      </c>
      <c r="W611" s="1099" t="s">
        <v>1896</v>
      </c>
      <c r="X611" s="1100" t="s">
        <v>4497</v>
      </c>
      <c r="Y611" s="1101" t="s">
        <v>4498</v>
      </c>
      <c r="Z611" s="1102" t="s">
        <v>4499</v>
      </c>
      <c r="AA611" s="1103" t="s">
        <v>1942</v>
      </c>
      <c r="AB611" s="1104" t="s">
        <v>1942</v>
      </c>
      <c r="AC611" s="1104">
        <v>1</v>
      </c>
      <c r="AD611" s="1104" t="s">
        <v>1942</v>
      </c>
      <c r="AE611" s="1104" t="s">
        <v>1942</v>
      </c>
      <c r="AF611" s="1104" t="s">
        <v>1942</v>
      </c>
      <c r="AG611" s="1104" t="s">
        <v>1942</v>
      </c>
      <c r="AH611" s="1104" t="s">
        <v>1942</v>
      </c>
      <c r="AI611" s="1105">
        <f t="shared" si="9"/>
        <v>1</v>
      </c>
      <c r="AJ611" s="1106" t="s">
        <v>1026</v>
      </c>
      <c r="AK611" s="1106" t="s">
        <v>1008</v>
      </c>
      <c r="AL611" s="1106" t="s">
        <v>1009</v>
      </c>
      <c r="AM611" s="1107" t="s">
        <v>2058</v>
      </c>
      <c r="AN611" s="1018" t="s">
        <v>1081</v>
      </c>
      <c r="AO611" s="1018" t="s">
        <v>2335</v>
      </c>
      <c r="AP611" s="1274">
        <v>0</v>
      </c>
      <c r="AQ611" s="1076" t="s">
        <v>1020</v>
      </c>
      <c r="AR611" s="1109" t="s">
        <v>1942</v>
      </c>
      <c r="AS611" s="1110"/>
      <c r="AT611" s="1100"/>
      <c r="AU611" s="1100"/>
      <c r="AV611" s="1100"/>
      <c r="AW611" s="1111"/>
      <c r="AX611" s="1112"/>
      <c r="AY611" s="1075"/>
      <c r="AZ611" s="1076"/>
      <c r="BA611" s="1076"/>
      <c r="BB611" s="1076"/>
      <c r="BC611" s="1076"/>
      <c r="BD611" s="1076"/>
      <c r="BE611" s="1076"/>
      <c r="BF611" s="1076"/>
      <c r="BG611" s="1076"/>
      <c r="BH611" s="1076"/>
      <c r="BI611" s="1420"/>
      <c r="BJ611" s="1368"/>
      <c r="BK611" s="1368"/>
      <c r="BL611" s="1368"/>
      <c r="BM611" s="1368"/>
      <c r="BN611" s="1075"/>
      <c r="BO611" s="1076"/>
      <c r="BP611" s="1076"/>
      <c r="BQ611" s="1076"/>
      <c r="BR611" s="1076"/>
      <c r="BS611" s="1115"/>
      <c r="BT611" s="1076"/>
      <c r="BU611" s="1076"/>
      <c r="BV611" s="1076"/>
      <c r="BW611" s="1116"/>
      <c r="BX611" s="1115"/>
      <c r="BY611" s="1076"/>
      <c r="BZ611" s="1076"/>
      <c r="CA611" s="1076"/>
      <c r="CB611" s="1116"/>
      <c r="CC611" s="1117"/>
      <c r="CD611" s="1376"/>
      <c r="CE611" s="1377"/>
      <c r="CF611" s="1377"/>
      <c r="CG611" s="1377"/>
      <c r="CH611" s="1440"/>
      <c r="CI611" s="1420"/>
      <c r="CJ611" s="1368"/>
      <c r="CK611" s="1368"/>
      <c r="CL611" s="1368"/>
      <c r="CM611" s="1369"/>
      <c r="CN611" s="1420"/>
      <c r="CO611" s="1368"/>
      <c r="CP611" s="1368"/>
      <c r="CQ611" s="1368"/>
      <c r="CR611" s="1369"/>
      <c r="CS611" s="1420"/>
      <c r="CT611" s="1368"/>
      <c r="CU611" s="1368"/>
      <c r="CV611" s="1368"/>
      <c r="CW611" s="1369"/>
      <c r="CX611" s="1420"/>
      <c r="CY611" s="1368"/>
      <c r="CZ611" s="1368"/>
      <c r="DA611" s="1368"/>
      <c r="DB611" s="1369"/>
      <c r="DC611" s="1368"/>
      <c r="DD611" s="1368"/>
      <c r="DE611" s="1368"/>
      <c r="DF611" s="1368"/>
      <c r="DG611" s="1369"/>
      <c r="DH611" s="1420"/>
      <c r="DI611" s="1368"/>
      <c r="DJ611" s="1368"/>
      <c r="DK611" s="1368"/>
      <c r="DL611" s="1369"/>
      <c r="DM611" s="1808"/>
      <c r="DN611" s="1809"/>
      <c r="DO611" s="1809"/>
      <c r="DP611" s="1810"/>
      <c r="DQ611" s="1809"/>
      <c r="DR611" s="1809"/>
      <c r="DS611" s="1809"/>
      <c r="DT611" s="1810"/>
      <c r="DU611" s="1377"/>
      <c r="DV611" s="1729"/>
      <c r="DW611" s="1811"/>
    </row>
    <row r="612" spans="1:127" s="397" customFormat="1" ht="15.75" hidden="1" customHeight="1">
      <c r="A612" s="1097" t="s">
        <v>1054</v>
      </c>
      <c r="B612" s="1057">
        <v>603</v>
      </c>
      <c r="C612" s="1018"/>
      <c r="D612" s="1018"/>
      <c r="E612" s="1018"/>
      <c r="F612" s="1018"/>
      <c r="G612" s="1018"/>
      <c r="H612" s="1018"/>
      <c r="I612" s="1018"/>
      <c r="J612" s="1018"/>
      <c r="K612" s="1018"/>
      <c r="L612" s="1018"/>
      <c r="M612" s="1057"/>
      <c r="N612" s="1018"/>
      <c r="O612" s="1018"/>
      <c r="P612" s="1018"/>
      <c r="Q612" s="1018"/>
      <c r="R612" s="1018"/>
      <c r="S612" s="1018"/>
      <c r="T612" s="1019"/>
      <c r="U612" s="1098" t="s">
        <v>4500</v>
      </c>
      <c r="V612" s="1099" t="s">
        <v>4490</v>
      </c>
      <c r="W612" s="1099" t="s">
        <v>1896</v>
      </c>
      <c r="X612" s="1100" t="s">
        <v>4501</v>
      </c>
      <c r="Y612" s="1101" t="s">
        <v>4502</v>
      </c>
      <c r="Z612" s="1102" t="s">
        <v>4503</v>
      </c>
      <c r="AA612" s="1103" t="s">
        <v>1942</v>
      </c>
      <c r="AB612" s="1104" t="s">
        <v>1942</v>
      </c>
      <c r="AC612" s="1104">
        <v>1</v>
      </c>
      <c r="AD612" s="1104" t="s">
        <v>1942</v>
      </c>
      <c r="AE612" s="1104" t="s">
        <v>1942</v>
      </c>
      <c r="AF612" s="1104" t="s">
        <v>1942</v>
      </c>
      <c r="AG612" s="1104" t="s">
        <v>1942</v>
      </c>
      <c r="AH612" s="1104" t="s">
        <v>1942</v>
      </c>
      <c r="AI612" s="1105">
        <f t="shared" si="9"/>
        <v>1</v>
      </c>
      <c r="AJ612" s="1106" t="s">
        <v>1026</v>
      </c>
      <c r="AK612" s="1106" t="s">
        <v>1008</v>
      </c>
      <c r="AL612" s="1106" t="s">
        <v>1009</v>
      </c>
      <c r="AM612" s="1107" t="s">
        <v>1910</v>
      </c>
      <c r="AN612" s="1018" t="s">
        <v>1033</v>
      </c>
      <c r="AO612" s="1018" t="s">
        <v>4504</v>
      </c>
      <c r="AP612" s="1274">
        <v>0</v>
      </c>
      <c r="AQ612" s="1076" t="s">
        <v>1020</v>
      </c>
      <c r="AR612" s="1109" t="s">
        <v>1942</v>
      </c>
      <c r="AS612" s="1110"/>
      <c r="AT612" s="1100"/>
      <c r="AU612" s="1100"/>
      <c r="AV612" s="1100"/>
      <c r="AW612" s="1111"/>
      <c r="AX612" s="1112"/>
      <c r="AY612" s="1075"/>
      <c r="AZ612" s="1076"/>
      <c r="BA612" s="1076"/>
      <c r="BB612" s="1076"/>
      <c r="BC612" s="1076"/>
      <c r="BD612" s="1076"/>
      <c r="BE612" s="1076"/>
      <c r="BF612" s="1076"/>
      <c r="BG612" s="1076"/>
      <c r="BH612" s="1076"/>
      <c r="BI612" s="1420"/>
      <c r="BJ612" s="1368"/>
      <c r="BK612" s="1368"/>
      <c r="BL612" s="1368"/>
      <c r="BM612" s="1368"/>
      <c r="BN612" s="1075"/>
      <c r="BO612" s="1076"/>
      <c r="BP612" s="1076"/>
      <c r="BQ612" s="1076"/>
      <c r="BR612" s="1076"/>
      <c r="BS612" s="1115"/>
      <c r="BT612" s="1076"/>
      <c r="BU612" s="1076"/>
      <c r="BV612" s="1076"/>
      <c r="BW612" s="1116"/>
      <c r="BX612" s="1115"/>
      <c r="BY612" s="1076"/>
      <c r="BZ612" s="1076"/>
      <c r="CA612" s="1076"/>
      <c r="CB612" s="1116"/>
      <c r="CC612" s="1117"/>
      <c r="CD612" s="1376"/>
      <c r="CE612" s="1377"/>
      <c r="CF612" s="1377"/>
      <c r="CG612" s="1377"/>
      <c r="CH612" s="1440"/>
      <c r="CI612" s="1420"/>
      <c r="CJ612" s="1368"/>
      <c r="CK612" s="1368"/>
      <c r="CL612" s="1368"/>
      <c r="CM612" s="1369"/>
      <c r="CN612" s="1420"/>
      <c r="CO612" s="1368"/>
      <c r="CP612" s="1368"/>
      <c r="CQ612" s="1368"/>
      <c r="CR612" s="1369"/>
      <c r="CS612" s="1420"/>
      <c r="CT612" s="1368"/>
      <c r="CU612" s="1368"/>
      <c r="CV612" s="1368"/>
      <c r="CW612" s="1369"/>
      <c r="CX612" s="1420"/>
      <c r="CY612" s="1368"/>
      <c r="CZ612" s="1368"/>
      <c r="DA612" s="1368"/>
      <c r="DB612" s="1369"/>
      <c r="DC612" s="1368"/>
      <c r="DD612" s="1368"/>
      <c r="DE612" s="1368"/>
      <c r="DF612" s="1368"/>
      <c r="DG612" s="1369"/>
      <c r="DH612" s="1420"/>
      <c r="DI612" s="1368"/>
      <c r="DJ612" s="1368"/>
      <c r="DK612" s="1368"/>
      <c r="DL612" s="1369"/>
      <c r="DM612" s="1808"/>
      <c r="DN612" s="1809"/>
      <c r="DO612" s="1809"/>
      <c r="DP612" s="1810"/>
      <c r="DQ612" s="1809"/>
      <c r="DR612" s="1809"/>
      <c r="DS612" s="1809"/>
      <c r="DT612" s="1810"/>
      <c r="DU612" s="1377"/>
      <c r="DV612" s="1729"/>
      <c r="DW612" s="1811"/>
    </row>
    <row r="613" spans="1:127" s="397" customFormat="1" ht="15.75" hidden="1" customHeight="1">
      <c r="A613" s="1097" t="s">
        <v>1054</v>
      </c>
      <c r="B613" s="1057">
        <v>604</v>
      </c>
      <c r="C613" s="1018"/>
      <c r="D613" s="1018"/>
      <c r="E613" s="1018"/>
      <c r="F613" s="1018"/>
      <c r="G613" s="1018"/>
      <c r="H613" s="1018"/>
      <c r="I613" s="1018"/>
      <c r="J613" s="1018"/>
      <c r="K613" s="1018"/>
      <c r="L613" s="1018"/>
      <c r="M613" s="1057"/>
      <c r="N613" s="1018"/>
      <c r="O613" s="1018"/>
      <c r="P613" s="1018"/>
      <c r="Q613" s="1018"/>
      <c r="R613" s="1018"/>
      <c r="S613" s="1018"/>
      <c r="T613" s="1019"/>
      <c r="U613" s="1098" t="s">
        <v>4505</v>
      </c>
      <c r="V613" s="1099" t="s">
        <v>4506</v>
      </c>
      <c r="W613" s="1099" t="s">
        <v>1889</v>
      </c>
      <c r="X613" s="1100" t="s">
        <v>4507</v>
      </c>
      <c r="Y613" s="1101" t="s">
        <v>137</v>
      </c>
      <c r="Z613" s="1102" t="s">
        <v>4508</v>
      </c>
      <c r="AA613" s="1103" t="s">
        <v>1942</v>
      </c>
      <c r="AB613" s="1104">
        <v>1</v>
      </c>
      <c r="AC613" s="1104" t="s">
        <v>1942</v>
      </c>
      <c r="AD613" s="1104" t="s">
        <v>1942</v>
      </c>
      <c r="AE613" s="1104" t="s">
        <v>1942</v>
      </c>
      <c r="AF613" s="1104" t="s">
        <v>1942</v>
      </c>
      <c r="AG613" s="1104" t="s">
        <v>1942</v>
      </c>
      <c r="AH613" s="1104" t="s">
        <v>1942</v>
      </c>
      <c r="AI613" s="1105">
        <f t="shared" si="9"/>
        <v>1</v>
      </c>
      <c r="AJ613" s="1106" t="s">
        <v>1030</v>
      </c>
      <c r="AK613" s="1106" t="s">
        <v>1008</v>
      </c>
      <c r="AL613" s="1106" t="s">
        <v>1009</v>
      </c>
      <c r="AM613" s="1107" t="s">
        <v>1892</v>
      </c>
      <c r="AN613" s="1018" t="s">
        <v>4789</v>
      </c>
      <c r="AO613" s="1018" t="s">
        <v>4790</v>
      </c>
      <c r="AP613" s="1307">
        <v>0</v>
      </c>
      <c r="AQ613" s="1076" t="s">
        <v>1020</v>
      </c>
      <c r="AR613" s="1109" t="s">
        <v>137</v>
      </c>
      <c r="AS613" s="1110"/>
      <c r="AT613" s="1100"/>
      <c r="AU613" s="1100"/>
      <c r="AV613" s="1100"/>
      <c r="AW613" s="1111"/>
      <c r="AX613" s="1112"/>
      <c r="AY613" s="1075"/>
      <c r="AZ613" s="1076"/>
      <c r="BA613" s="1076"/>
      <c r="BB613" s="1076"/>
      <c r="BC613" s="1076"/>
      <c r="BD613" s="1076"/>
      <c r="BE613" s="1076"/>
      <c r="BF613" s="1076"/>
      <c r="BG613" s="1150"/>
      <c r="BH613" s="1150"/>
      <c r="BI613" s="1149">
        <v>4.5138888888888893E-3</v>
      </c>
      <c r="BJ613" s="1150">
        <v>4.2592592592592595E-3</v>
      </c>
      <c r="BK613" s="1150">
        <v>3.9930555555555561E-3</v>
      </c>
      <c r="BL613" s="1150">
        <v>3.7384259259259263E-3</v>
      </c>
      <c r="BM613" s="1150">
        <v>3.472222222222222E-3</v>
      </c>
      <c r="BN613" s="1075"/>
      <c r="BO613" s="1076"/>
      <c r="BP613" s="1076"/>
      <c r="BQ613" s="1076"/>
      <c r="BR613" s="1076"/>
      <c r="BS613" s="1115"/>
      <c r="BT613" s="1076"/>
      <c r="BU613" s="1076"/>
      <c r="BV613" s="1076"/>
      <c r="BW613" s="1116"/>
      <c r="BX613" s="1115"/>
      <c r="BY613" s="1076"/>
      <c r="BZ613" s="1076"/>
      <c r="CA613" s="1076"/>
      <c r="CB613" s="1116"/>
      <c r="CC613" s="1117"/>
      <c r="CD613" s="1118" t="s">
        <v>168</v>
      </c>
      <c r="CE613" s="1119" t="s">
        <v>168</v>
      </c>
      <c r="CF613" s="1119" t="s">
        <v>168</v>
      </c>
      <c r="CG613" s="1119" t="s">
        <v>168</v>
      </c>
      <c r="CH613" s="1120" t="s">
        <v>168</v>
      </c>
      <c r="CI613" s="1370">
        <v>1.3391203703703704E-2</v>
      </c>
      <c r="CJ613" s="1371">
        <v>1.3391203703703704E-2</v>
      </c>
      <c r="CK613" s="1371">
        <v>1.3391203703703704E-2</v>
      </c>
      <c r="CL613" s="1371">
        <v>1.3391203703703704E-2</v>
      </c>
      <c r="CM613" s="1372">
        <v>1.3391203703703704E-2</v>
      </c>
      <c r="CN613" s="1370">
        <v>1.1793981481481482E-2</v>
      </c>
      <c r="CO613" s="1371">
        <v>1.1793981481481482E-2</v>
      </c>
      <c r="CP613" s="1371">
        <v>1.1793981481481482E-2</v>
      </c>
      <c r="CQ613" s="1371">
        <v>1.1793981481481482E-2</v>
      </c>
      <c r="CR613" s="1372">
        <v>1.1793981481481482E-2</v>
      </c>
      <c r="CS613" s="1149" t="s">
        <v>1942</v>
      </c>
      <c r="CT613" s="1150" t="s">
        <v>1942</v>
      </c>
      <c r="CU613" s="1150" t="s">
        <v>1942</v>
      </c>
      <c r="CV613" s="1150" t="s">
        <v>1942</v>
      </c>
      <c r="CW613" s="1153" t="s">
        <v>1942</v>
      </c>
      <c r="CX613" s="1149" t="s">
        <v>1942</v>
      </c>
      <c r="CY613" s="1150" t="s">
        <v>1942</v>
      </c>
      <c r="CZ613" s="1150" t="s">
        <v>1942</v>
      </c>
      <c r="DA613" s="1150" t="s">
        <v>1942</v>
      </c>
      <c r="DB613" s="1153" t="s">
        <v>1942</v>
      </c>
      <c r="DC613" s="1150">
        <v>9.0277777777777784E-4</v>
      </c>
      <c r="DD613" s="1150">
        <v>9.0277777777777784E-4</v>
      </c>
      <c r="DE613" s="1150">
        <v>9.0277777777777784E-4</v>
      </c>
      <c r="DF613" s="1150">
        <v>9.0277777777777784E-4</v>
      </c>
      <c r="DG613" s="1153">
        <v>9.0277777777777784E-4</v>
      </c>
      <c r="DH613" s="1149" t="s">
        <v>4805</v>
      </c>
      <c r="DI613" s="1150" t="s">
        <v>4805</v>
      </c>
      <c r="DJ613" s="1150" t="s">
        <v>4805</v>
      </c>
      <c r="DK613" s="1150" t="s">
        <v>4805</v>
      </c>
      <c r="DL613" s="1153" t="s">
        <v>4805</v>
      </c>
      <c r="DM613" s="1121">
        <v>-0.14000000000000001</v>
      </c>
      <c r="DN613" s="1122" t="s">
        <v>1942</v>
      </c>
      <c r="DO613" s="1122" t="s">
        <v>1942</v>
      </c>
      <c r="DP613" s="1123">
        <v>-0.3</v>
      </c>
      <c r="DQ613" s="1122">
        <v>0.14000000000000001</v>
      </c>
      <c r="DR613" s="1122" t="s">
        <v>1942</v>
      </c>
      <c r="DS613" s="1122" t="s">
        <v>1942</v>
      </c>
      <c r="DT613" s="1123">
        <v>0.3</v>
      </c>
      <c r="DU613" s="1119" t="s">
        <v>1942</v>
      </c>
      <c r="DV613" s="1124">
        <v>1</v>
      </c>
      <c r="DW613" s="1125" t="s">
        <v>1942</v>
      </c>
    </row>
    <row r="614" spans="1:127" s="397" customFormat="1" ht="15.75" hidden="1" customHeight="1">
      <c r="A614" s="1097" t="s">
        <v>1054</v>
      </c>
      <c r="B614" s="1057">
        <v>605</v>
      </c>
      <c r="C614" s="1018"/>
      <c r="D614" s="1018"/>
      <c r="E614" s="1018"/>
      <c r="F614" s="1018"/>
      <c r="G614" s="1018"/>
      <c r="H614" s="1018"/>
      <c r="I614" s="1018"/>
      <c r="J614" s="1018"/>
      <c r="K614" s="1018"/>
      <c r="L614" s="1018"/>
      <c r="M614" s="1057"/>
      <c r="N614" s="1018"/>
      <c r="O614" s="1018"/>
      <c r="P614" s="1018"/>
      <c r="Q614" s="1018"/>
      <c r="R614" s="1018"/>
      <c r="S614" s="1018"/>
      <c r="T614" s="1019"/>
      <c r="U614" s="1098" t="s">
        <v>4509</v>
      </c>
      <c r="V614" s="1099" t="s">
        <v>4506</v>
      </c>
      <c r="W614" s="1099" t="s">
        <v>1907</v>
      </c>
      <c r="X614" s="1100" t="s">
        <v>4510</v>
      </c>
      <c r="Y614" s="1101" t="s">
        <v>535</v>
      </c>
      <c r="Z614" s="1102" t="s">
        <v>4511</v>
      </c>
      <c r="AA614" s="1103">
        <v>1</v>
      </c>
      <c r="AB614" s="1104" t="s">
        <v>1942</v>
      </c>
      <c r="AC614" s="1104" t="s">
        <v>1942</v>
      </c>
      <c r="AD614" s="1104" t="s">
        <v>1942</v>
      </c>
      <c r="AE614" s="1104" t="s">
        <v>1942</v>
      </c>
      <c r="AF614" s="1104" t="s">
        <v>1942</v>
      </c>
      <c r="AG614" s="1104" t="s">
        <v>1942</v>
      </c>
      <c r="AH614" s="1104" t="s">
        <v>1942</v>
      </c>
      <c r="AI614" s="1105">
        <f t="shared" si="9"/>
        <v>1</v>
      </c>
      <c r="AJ614" s="1106" t="s">
        <v>1007</v>
      </c>
      <c r="AK614" s="1106" t="s">
        <v>1942</v>
      </c>
      <c r="AL614" s="1106" t="s">
        <v>1942</v>
      </c>
      <c r="AM614" s="1107" t="s">
        <v>2944</v>
      </c>
      <c r="AN614" s="1018" t="s">
        <v>278</v>
      </c>
      <c r="AO614" s="1018" t="s">
        <v>4792</v>
      </c>
      <c r="AP614" s="1307">
        <v>1</v>
      </c>
      <c r="AQ614" s="1076" t="s">
        <v>1020</v>
      </c>
      <c r="AR614" s="1109" t="s">
        <v>535</v>
      </c>
      <c r="AS614" s="1110"/>
      <c r="AT614" s="1100"/>
      <c r="AU614" s="1100"/>
      <c r="AV614" s="1100"/>
      <c r="AW614" s="1111"/>
      <c r="AX614" s="1112"/>
      <c r="AY614" s="1075"/>
      <c r="AZ614" s="1076"/>
      <c r="BA614" s="1076"/>
      <c r="BB614" s="1076"/>
      <c r="BC614" s="1076"/>
      <c r="BD614" s="1076"/>
      <c r="BE614" s="1076"/>
      <c r="BF614" s="1076"/>
      <c r="BG614" s="1076"/>
      <c r="BH614" s="1076"/>
      <c r="BI614" s="1075">
        <v>0</v>
      </c>
      <c r="BJ614" s="1076">
        <v>0</v>
      </c>
      <c r="BK614" s="1076">
        <v>0</v>
      </c>
      <c r="BL614" s="1076">
        <v>0</v>
      </c>
      <c r="BM614" s="1076">
        <v>0</v>
      </c>
      <c r="BN614" s="1075"/>
      <c r="BO614" s="1076"/>
      <c r="BP614" s="1076"/>
      <c r="BQ614" s="1076"/>
      <c r="BR614" s="1076"/>
      <c r="BS614" s="1115"/>
      <c r="BT614" s="1076"/>
      <c r="BU614" s="1076"/>
      <c r="BV614" s="1076"/>
      <c r="BW614" s="1116"/>
      <c r="BX614" s="1115"/>
      <c r="BY614" s="1076"/>
      <c r="BZ614" s="1076"/>
      <c r="CA614" s="1076"/>
      <c r="CB614" s="1116"/>
      <c r="CC614" s="1117"/>
      <c r="CD614" s="1118" t="s">
        <v>1942</v>
      </c>
      <c r="CE614" s="1119" t="s">
        <v>1942</v>
      </c>
      <c r="CF614" s="1119" t="s">
        <v>1942</v>
      </c>
      <c r="CG614" s="1119" t="s">
        <v>1942</v>
      </c>
      <c r="CH614" s="1120" t="s">
        <v>1942</v>
      </c>
      <c r="CI614" s="1075" t="s">
        <v>1942</v>
      </c>
      <c r="CJ614" s="1076" t="s">
        <v>1942</v>
      </c>
      <c r="CK614" s="1076" t="s">
        <v>1942</v>
      </c>
      <c r="CL614" s="1076" t="s">
        <v>1942</v>
      </c>
      <c r="CM614" s="1117" t="s">
        <v>1942</v>
      </c>
      <c r="CN614" s="1075" t="s">
        <v>1942</v>
      </c>
      <c r="CO614" s="1076" t="s">
        <v>1942</v>
      </c>
      <c r="CP614" s="1076" t="s">
        <v>1942</v>
      </c>
      <c r="CQ614" s="1076" t="s">
        <v>1942</v>
      </c>
      <c r="CR614" s="1117" t="s">
        <v>1942</v>
      </c>
      <c r="CS614" s="1075" t="s">
        <v>1942</v>
      </c>
      <c r="CT614" s="1076" t="s">
        <v>1942</v>
      </c>
      <c r="CU614" s="1076" t="s">
        <v>1942</v>
      </c>
      <c r="CV614" s="1076" t="s">
        <v>1942</v>
      </c>
      <c r="CW614" s="1117" t="s">
        <v>1942</v>
      </c>
      <c r="CX614" s="1075" t="s">
        <v>1942</v>
      </c>
      <c r="CY614" s="1076" t="s">
        <v>1942</v>
      </c>
      <c r="CZ614" s="1076" t="s">
        <v>1942</v>
      </c>
      <c r="DA614" s="1076" t="s">
        <v>1942</v>
      </c>
      <c r="DB614" s="1117" t="s">
        <v>1942</v>
      </c>
      <c r="DC614" s="1076" t="s">
        <v>1942</v>
      </c>
      <c r="DD614" s="1076" t="s">
        <v>1942</v>
      </c>
      <c r="DE614" s="1076" t="s">
        <v>1942</v>
      </c>
      <c r="DF614" s="1076" t="s">
        <v>1942</v>
      </c>
      <c r="DG614" s="1117" t="s">
        <v>1942</v>
      </c>
      <c r="DH614" s="1075" t="s">
        <v>1942</v>
      </c>
      <c r="DI614" s="1076" t="s">
        <v>1942</v>
      </c>
      <c r="DJ614" s="1076" t="s">
        <v>1942</v>
      </c>
      <c r="DK614" s="1076" t="s">
        <v>1942</v>
      </c>
      <c r="DL614" s="1117" t="s">
        <v>1942</v>
      </c>
      <c r="DM614" s="1121" t="s">
        <v>1942</v>
      </c>
      <c r="DN614" s="1122" t="s">
        <v>1942</v>
      </c>
      <c r="DO614" s="1122" t="s">
        <v>1942</v>
      </c>
      <c r="DP614" s="1123" t="s">
        <v>1942</v>
      </c>
      <c r="DQ614" s="1122" t="s">
        <v>1942</v>
      </c>
      <c r="DR614" s="1122" t="s">
        <v>1942</v>
      </c>
      <c r="DS614" s="1122" t="s">
        <v>1942</v>
      </c>
      <c r="DT614" s="1123" t="s">
        <v>1942</v>
      </c>
      <c r="DU614" s="1119" t="s">
        <v>1942</v>
      </c>
      <c r="DV614" s="1124">
        <v>1</v>
      </c>
      <c r="DW614" s="1125" t="s">
        <v>1942</v>
      </c>
    </row>
    <row r="615" spans="1:127" s="397" customFormat="1" ht="15.75" hidden="1" customHeight="1">
      <c r="A615" s="1097" t="s">
        <v>1054</v>
      </c>
      <c r="B615" s="1057">
        <v>606</v>
      </c>
      <c r="C615" s="1018"/>
      <c r="D615" s="1018"/>
      <c r="E615" s="1018"/>
      <c r="F615" s="1018"/>
      <c r="G615" s="1018"/>
      <c r="H615" s="1018"/>
      <c r="I615" s="1018"/>
      <c r="J615" s="1018"/>
      <c r="K615" s="1018"/>
      <c r="L615" s="1018"/>
      <c r="M615" s="1057"/>
      <c r="N615" s="1018"/>
      <c r="O615" s="1018"/>
      <c r="P615" s="1018"/>
      <c r="Q615" s="1018"/>
      <c r="R615" s="1018"/>
      <c r="S615" s="1018"/>
      <c r="T615" s="1019"/>
      <c r="U615" s="1098" t="s">
        <v>4512</v>
      </c>
      <c r="V615" s="1099" t="s">
        <v>4506</v>
      </c>
      <c r="W615" s="1099" t="s">
        <v>1907</v>
      </c>
      <c r="X615" s="1100" t="s">
        <v>4513</v>
      </c>
      <c r="Y615" s="1101" t="s">
        <v>839</v>
      </c>
      <c r="Z615" s="1102" t="s">
        <v>4514</v>
      </c>
      <c r="AA615" s="1103" t="s">
        <v>1942</v>
      </c>
      <c r="AB615" s="1104" t="s">
        <v>1942</v>
      </c>
      <c r="AC615" s="1104">
        <v>1</v>
      </c>
      <c r="AD615" s="1104" t="s">
        <v>1942</v>
      </c>
      <c r="AE615" s="1104" t="s">
        <v>1942</v>
      </c>
      <c r="AF615" s="1104" t="s">
        <v>1942</v>
      </c>
      <c r="AG615" s="1104" t="s">
        <v>1942</v>
      </c>
      <c r="AH615" s="1104" t="s">
        <v>1942</v>
      </c>
      <c r="AI615" s="1105">
        <f t="shared" si="9"/>
        <v>1</v>
      </c>
      <c r="AJ615" s="1106" t="s">
        <v>1007</v>
      </c>
      <c r="AK615" s="1106" t="s">
        <v>1942</v>
      </c>
      <c r="AL615" s="1106" t="s">
        <v>1942</v>
      </c>
      <c r="AM615" s="1107" t="s">
        <v>2058</v>
      </c>
      <c r="AN615" s="1018" t="s">
        <v>278</v>
      </c>
      <c r="AO615" s="1018" t="s">
        <v>4792</v>
      </c>
      <c r="AP615" s="1307">
        <v>2</v>
      </c>
      <c r="AQ615" s="1076" t="s">
        <v>1020</v>
      </c>
      <c r="AR615" s="1109" t="s">
        <v>839</v>
      </c>
      <c r="AS615" s="1110"/>
      <c r="AT615" s="1100"/>
      <c r="AU615" s="1100"/>
      <c r="AV615" s="1100"/>
      <c r="AW615" s="1111"/>
      <c r="AX615" s="1112"/>
      <c r="AY615" s="1075"/>
      <c r="AZ615" s="1076"/>
      <c r="BA615" s="1076"/>
      <c r="BB615" s="1076"/>
      <c r="BC615" s="1076"/>
      <c r="BD615" s="1076"/>
      <c r="BE615" s="1076"/>
      <c r="BF615" s="1076"/>
      <c r="BG615" s="1076"/>
      <c r="BH615" s="1076"/>
      <c r="BI615" s="1075" t="s">
        <v>4882</v>
      </c>
      <c r="BJ615" s="1076" t="s">
        <v>4883</v>
      </c>
      <c r="BK615" s="1076" t="s">
        <v>4884</v>
      </c>
      <c r="BL615" s="1076" t="s">
        <v>4885</v>
      </c>
      <c r="BM615" s="1076" t="s">
        <v>4886</v>
      </c>
      <c r="BN615" s="1075"/>
      <c r="BO615" s="1076"/>
      <c r="BP615" s="1076"/>
      <c r="BQ615" s="1076"/>
      <c r="BR615" s="1076"/>
      <c r="BS615" s="1115"/>
      <c r="BT615" s="1076"/>
      <c r="BU615" s="1076"/>
      <c r="BV615" s="1076"/>
      <c r="BW615" s="1116"/>
      <c r="BX615" s="1115"/>
      <c r="BY615" s="1076"/>
      <c r="BZ615" s="1076"/>
      <c r="CA615" s="1076"/>
      <c r="CB615" s="1116"/>
      <c r="CC615" s="1117"/>
      <c r="CD615" s="1118" t="s">
        <v>1942</v>
      </c>
      <c r="CE615" s="1119" t="s">
        <v>1942</v>
      </c>
      <c r="CF615" s="1119" t="s">
        <v>1942</v>
      </c>
      <c r="CG615" s="1119" t="s">
        <v>1942</v>
      </c>
      <c r="CH615" s="1120" t="s">
        <v>1942</v>
      </c>
      <c r="CI615" s="1075" t="s">
        <v>1942</v>
      </c>
      <c r="CJ615" s="1076" t="s">
        <v>1942</v>
      </c>
      <c r="CK615" s="1076" t="s">
        <v>1942</v>
      </c>
      <c r="CL615" s="1076" t="s">
        <v>1942</v>
      </c>
      <c r="CM615" s="1117" t="s">
        <v>1942</v>
      </c>
      <c r="CN615" s="1075" t="s">
        <v>1942</v>
      </c>
      <c r="CO615" s="1076" t="s">
        <v>1942</v>
      </c>
      <c r="CP615" s="1076" t="s">
        <v>1942</v>
      </c>
      <c r="CQ615" s="1076" t="s">
        <v>1942</v>
      </c>
      <c r="CR615" s="1117" t="s">
        <v>1942</v>
      </c>
      <c r="CS615" s="1075" t="s">
        <v>1942</v>
      </c>
      <c r="CT615" s="1076" t="s">
        <v>1942</v>
      </c>
      <c r="CU615" s="1076" t="s">
        <v>1942</v>
      </c>
      <c r="CV615" s="1076" t="s">
        <v>1942</v>
      </c>
      <c r="CW615" s="1117" t="s">
        <v>1942</v>
      </c>
      <c r="CX615" s="1075" t="s">
        <v>1942</v>
      </c>
      <c r="CY615" s="1076" t="s">
        <v>1942</v>
      </c>
      <c r="CZ615" s="1076" t="s">
        <v>1942</v>
      </c>
      <c r="DA615" s="1076" t="s">
        <v>1942</v>
      </c>
      <c r="DB615" s="1117" t="s">
        <v>1942</v>
      </c>
      <c r="DC615" s="1076" t="s">
        <v>1942</v>
      </c>
      <c r="DD615" s="1076" t="s">
        <v>1942</v>
      </c>
      <c r="DE615" s="1076" t="s">
        <v>1942</v>
      </c>
      <c r="DF615" s="1076" t="s">
        <v>1942</v>
      </c>
      <c r="DG615" s="1117" t="s">
        <v>1942</v>
      </c>
      <c r="DH615" s="1075" t="s">
        <v>1942</v>
      </c>
      <c r="DI615" s="1076" t="s">
        <v>1942</v>
      </c>
      <c r="DJ615" s="1076" t="s">
        <v>1942</v>
      </c>
      <c r="DK615" s="1076" t="s">
        <v>1942</v>
      </c>
      <c r="DL615" s="1117" t="s">
        <v>1942</v>
      </c>
      <c r="DM615" s="1121" t="s">
        <v>1942</v>
      </c>
      <c r="DN615" s="1122" t="s">
        <v>1942</v>
      </c>
      <c r="DO615" s="1122" t="s">
        <v>1942</v>
      </c>
      <c r="DP615" s="1123" t="s">
        <v>1942</v>
      </c>
      <c r="DQ615" s="1122" t="s">
        <v>1942</v>
      </c>
      <c r="DR615" s="1122" t="s">
        <v>1942</v>
      </c>
      <c r="DS615" s="1122" t="s">
        <v>1942</v>
      </c>
      <c r="DT615" s="1123" t="s">
        <v>1942</v>
      </c>
      <c r="DU615" s="1119" t="s">
        <v>1942</v>
      </c>
      <c r="DV615" s="1124">
        <v>1</v>
      </c>
      <c r="DW615" s="1125" t="s">
        <v>1942</v>
      </c>
    </row>
    <row r="616" spans="1:127" s="397" customFormat="1" ht="15.75" hidden="1" customHeight="1">
      <c r="A616" s="1097" t="s">
        <v>1054</v>
      </c>
      <c r="B616" s="1057">
        <v>607</v>
      </c>
      <c r="C616" s="1018"/>
      <c r="D616" s="1018"/>
      <c r="E616" s="1018"/>
      <c r="F616" s="1018"/>
      <c r="G616" s="1018"/>
      <c r="H616" s="1018"/>
      <c r="I616" s="1018"/>
      <c r="J616" s="1018"/>
      <c r="K616" s="1018"/>
      <c r="L616" s="1018"/>
      <c r="M616" s="1057"/>
      <c r="N616" s="1018"/>
      <c r="O616" s="1018"/>
      <c r="P616" s="1018"/>
      <c r="Q616" s="1018"/>
      <c r="R616" s="1018"/>
      <c r="S616" s="1018"/>
      <c r="T616" s="1019"/>
      <c r="U616" s="1098" t="s">
        <v>4515</v>
      </c>
      <c r="V616" s="1099" t="s">
        <v>4506</v>
      </c>
      <c r="W616" s="1099" t="s">
        <v>1896</v>
      </c>
      <c r="X616" s="1100" t="s">
        <v>4516</v>
      </c>
      <c r="Y616" s="1101" t="s">
        <v>161</v>
      </c>
      <c r="Z616" s="1102" t="s">
        <v>4517</v>
      </c>
      <c r="AA616" s="1103" t="s">
        <v>1942</v>
      </c>
      <c r="AB616" s="1104">
        <v>1</v>
      </c>
      <c r="AC616" s="1104" t="s">
        <v>1942</v>
      </c>
      <c r="AD616" s="1104" t="s">
        <v>1942</v>
      </c>
      <c r="AE616" s="1104" t="s">
        <v>1942</v>
      </c>
      <c r="AF616" s="1104" t="s">
        <v>1942</v>
      </c>
      <c r="AG616" s="1104" t="s">
        <v>1942</v>
      </c>
      <c r="AH616" s="1104" t="s">
        <v>1942</v>
      </c>
      <c r="AI616" s="1105">
        <f t="shared" si="9"/>
        <v>1</v>
      </c>
      <c r="AJ616" s="1106" t="s">
        <v>1026</v>
      </c>
      <c r="AK616" s="1106" t="s">
        <v>1008</v>
      </c>
      <c r="AL616" s="1106" t="s">
        <v>1009</v>
      </c>
      <c r="AM616" s="1107" t="s">
        <v>2074</v>
      </c>
      <c r="AN616" s="1018" t="s">
        <v>2177</v>
      </c>
      <c r="AO616" s="1018" t="s">
        <v>4794</v>
      </c>
      <c r="AP616" s="1307">
        <v>1</v>
      </c>
      <c r="AQ616" s="1076" t="s">
        <v>1020</v>
      </c>
      <c r="AR616" s="1109" t="s">
        <v>161</v>
      </c>
      <c r="AS616" s="1110"/>
      <c r="AT616" s="1100"/>
      <c r="AU616" s="1100"/>
      <c r="AV616" s="1100"/>
      <c r="AW616" s="1111"/>
      <c r="AX616" s="1112"/>
      <c r="AY616" s="1075"/>
      <c r="AZ616" s="1076"/>
      <c r="BA616" s="1076"/>
      <c r="BB616" s="1076"/>
      <c r="BC616" s="1076"/>
      <c r="BD616" s="1076"/>
      <c r="BE616" s="1076"/>
      <c r="BF616" s="1076"/>
      <c r="BG616" s="1076"/>
      <c r="BH616" s="1076"/>
      <c r="BI616" s="1075">
        <v>161.4</v>
      </c>
      <c r="BJ616" s="1076">
        <v>159.1</v>
      </c>
      <c r="BK616" s="1076">
        <v>156.9</v>
      </c>
      <c r="BL616" s="1076">
        <v>154.6</v>
      </c>
      <c r="BM616" s="1076">
        <v>152.4</v>
      </c>
      <c r="BN616" s="1075"/>
      <c r="BO616" s="1076"/>
      <c r="BP616" s="1076"/>
      <c r="BQ616" s="1076"/>
      <c r="BR616" s="1076"/>
      <c r="BS616" s="1115"/>
      <c r="BT616" s="1076"/>
      <c r="BU616" s="1076"/>
      <c r="BV616" s="1076"/>
      <c r="BW616" s="1116"/>
      <c r="BX616" s="1115"/>
      <c r="BY616" s="1076"/>
      <c r="BZ616" s="1076"/>
      <c r="CA616" s="1076"/>
      <c r="CB616" s="1116"/>
      <c r="CC616" s="1117"/>
      <c r="CD616" s="1118" t="s">
        <v>168</v>
      </c>
      <c r="CE616" s="1119" t="s">
        <v>168</v>
      </c>
      <c r="CF616" s="1119" t="s">
        <v>168</v>
      </c>
      <c r="CG616" s="1119" t="s">
        <v>168</v>
      </c>
      <c r="CH616" s="1120" t="s">
        <v>168</v>
      </c>
      <c r="CI616" s="1075" t="s">
        <v>1942</v>
      </c>
      <c r="CJ616" s="1076" t="s">
        <v>1942</v>
      </c>
      <c r="CK616" s="1076" t="s">
        <v>1942</v>
      </c>
      <c r="CL616" s="1076" t="s">
        <v>1942</v>
      </c>
      <c r="CM616" s="1117" t="s">
        <v>1942</v>
      </c>
      <c r="CN616" s="1075">
        <v>225.9</v>
      </c>
      <c r="CO616" s="1076">
        <v>225.9</v>
      </c>
      <c r="CP616" s="1076">
        <v>225.9</v>
      </c>
      <c r="CQ616" s="1076">
        <v>225.9</v>
      </c>
      <c r="CR616" s="1117">
        <v>225.9</v>
      </c>
      <c r="CS616" s="1075" t="s">
        <v>1942</v>
      </c>
      <c r="CT616" s="1076" t="s">
        <v>1942</v>
      </c>
      <c r="CU616" s="1076" t="s">
        <v>1942</v>
      </c>
      <c r="CV616" s="1076" t="s">
        <v>1942</v>
      </c>
      <c r="CW616" s="1117" t="s">
        <v>1942</v>
      </c>
      <c r="CX616" s="1075" t="s">
        <v>1942</v>
      </c>
      <c r="CY616" s="1076" t="s">
        <v>1942</v>
      </c>
      <c r="CZ616" s="1076" t="s">
        <v>1942</v>
      </c>
      <c r="DA616" s="1076" t="s">
        <v>1942</v>
      </c>
      <c r="DB616" s="1117" t="s">
        <v>1942</v>
      </c>
      <c r="DC616" s="1076" t="s">
        <v>1942</v>
      </c>
      <c r="DD616" s="1076" t="s">
        <v>1942</v>
      </c>
      <c r="DE616" s="1076" t="s">
        <v>1942</v>
      </c>
      <c r="DF616" s="1076" t="s">
        <v>1942</v>
      </c>
      <c r="DG616" s="1117" t="s">
        <v>1942</v>
      </c>
      <c r="DH616" s="1075" t="s">
        <v>1942</v>
      </c>
      <c r="DI616" s="1076" t="s">
        <v>1942</v>
      </c>
      <c r="DJ616" s="1076" t="s">
        <v>1942</v>
      </c>
      <c r="DK616" s="1076" t="s">
        <v>1942</v>
      </c>
      <c r="DL616" s="1117" t="s">
        <v>1942</v>
      </c>
      <c r="DM616" s="1121">
        <v>-4.5999999999999999E-2</v>
      </c>
      <c r="DN616" s="1122">
        <v>-0.38</v>
      </c>
      <c r="DO616" s="1122" t="s">
        <v>1942</v>
      </c>
      <c r="DP616" s="1123" t="s">
        <v>1942</v>
      </c>
      <c r="DQ616" s="1122" t="s">
        <v>1942</v>
      </c>
      <c r="DR616" s="1122" t="s">
        <v>1942</v>
      </c>
      <c r="DS616" s="1122" t="s">
        <v>1942</v>
      </c>
      <c r="DT616" s="1123" t="s">
        <v>1942</v>
      </c>
      <c r="DU616" s="1119" t="s">
        <v>1942</v>
      </c>
      <c r="DV616" s="1124">
        <v>1</v>
      </c>
      <c r="DW616" s="1125" t="s">
        <v>1942</v>
      </c>
    </row>
    <row r="617" spans="1:127" s="397" customFormat="1" ht="15.75" hidden="1" customHeight="1">
      <c r="A617" s="1097" t="s">
        <v>1054</v>
      </c>
      <c r="B617" s="1057">
        <v>608</v>
      </c>
      <c r="C617" s="1018"/>
      <c r="D617" s="1018"/>
      <c r="E617" s="1018"/>
      <c r="F617" s="1018"/>
      <c r="G617" s="1018"/>
      <c r="H617" s="1018"/>
      <c r="I617" s="1018"/>
      <c r="J617" s="1018"/>
      <c r="K617" s="1018"/>
      <c r="L617" s="1018"/>
      <c r="M617" s="1057"/>
      <c r="N617" s="1018"/>
      <c r="O617" s="1018"/>
      <c r="P617" s="1018"/>
      <c r="Q617" s="1018"/>
      <c r="R617" s="1018"/>
      <c r="S617" s="1018"/>
      <c r="T617" s="1019"/>
      <c r="U617" s="1098" t="s">
        <v>4519</v>
      </c>
      <c r="V617" s="1099" t="s">
        <v>4506</v>
      </c>
      <c r="W617" s="1099" t="s">
        <v>1907</v>
      </c>
      <c r="X617" s="1100" t="s">
        <v>4520</v>
      </c>
      <c r="Y617" s="1101" t="s">
        <v>167</v>
      </c>
      <c r="Z617" s="1102" t="s">
        <v>4521</v>
      </c>
      <c r="AA617" s="1103" t="s">
        <v>1942</v>
      </c>
      <c r="AB617" s="1104">
        <v>1</v>
      </c>
      <c r="AC617" s="1104" t="s">
        <v>1942</v>
      </c>
      <c r="AD617" s="1104" t="s">
        <v>1942</v>
      </c>
      <c r="AE617" s="1104" t="s">
        <v>1942</v>
      </c>
      <c r="AF617" s="1104" t="s">
        <v>1942</v>
      </c>
      <c r="AG617" s="1104" t="s">
        <v>1942</v>
      </c>
      <c r="AH617" s="1104" t="s">
        <v>1942</v>
      </c>
      <c r="AI617" s="1105">
        <f t="shared" si="9"/>
        <v>1</v>
      </c>
      <c r="AJ617" s="1106" t="s">
        <v>1026</v>
      </c>
      <c r="AK617" s="1106" t="s">
        <v>1008</v>
      </c>
      <c r="AL617" s="1106" t="s">
        <v>1009</v>
      </c>
      <c r="AM617" s="1107" t="s">
        <v>1915</v>
      </c>
      <c r="AN617" s="1018" t="s">
        <v>278</v>
      </c>
      <c r="AO617" s="1018" t="s">
        <v>4793</v>
      </c>
      <c r="AP617" s="1307">
        <v>2</v>
      </c>
      <c r="AQ617" s="1076" t="s">
        <v>1020</v>
      </c>
      <c r="AR617" s="1109" t="s">
        <v>167</v>
      </c>
      <c r="AS617" s="1110"/>
      <c r="AT617" s="1100"/>
      <c r="AU617" s="1100"/>
      <c r="AV617" s="1100"/>
      <c r="AW617" s="1111"/>
      <c r="AX617" s="1112"/>
      <c r="AY617" s="1075"/>
      <c r="AZ617" s="1076"/>
      <c r="BA617" s="1076"/>
      <c r="BB617" s="1076"/>
      <c r="BC617" s="1076"/>
      <c r="BD617" s="1076"/>
      <c r="BE617" s="1076"/>
      <c r="BF617" s="1076"/>
      <c r="BG617" s="1076"/>
      <c r="BH617" s="1076"/>
      <c r="BI617" s="1075">
        <v>2.34</v>
      </c>
      <c r="BJ617" s="1076">
        <v>2.34</v>
      </c>
      <c r="BK617" s="1076">
        <v>2.34</v>
      </c>
      <c r="BL617" s="1076">
        <v>2.34</v>
      </c>
      <c r="BM617" s="1076">
        <v>2.34</v>
      </c>
      <c r="BN617" s="1075"/>
      <c r="BO617" s="1076"/>
      <c r="BP617" s="1076"/>
      <c r="BQ617" s="1076"/>
      <c r="BR617" s="1076"/>
      <c r="BS617" s="1115"/>
      <c r="BT617" s="1076"/>
      <c r="BU617" s="1076"/>
      <c r="BV617" s="1076"/>
      <c r="BW617" s="1116"/>
      <c r="BX617" s="1115"/>
      <c r="BY617" s="1076"/>
      <c r="BZ617" s="1076"/>
      <c r="CA617" s="1076"/>
      <c r="CB617" s="1116"/>
      <c r="CC617" s="1117"/>
      <c r="CD617" s="1118" t="s">
        <v>168</v>
      </c>
      <c r="CE617" s="1119" t="s">
        <v>168</v>
      </c>
      <c r="CF617" s="1119" t="s">
        <v>168</v>
      </c>
      <c r="CG617" s="1119" t="s">
        <v>168</v>
      </c>
      <c r="CH617" s="1120" t="s">
        <v>168</v>
      </c>
      <c r="CI617" s="1075" t="s">
        <v>1942</v>
      </c>
      <c r="CJ617" s="1076" t="s">
        <v>1942</v>
      </c>
      <c r="CK617" s="1076" t="s">
        <v>1942</v>
      </c>
      <c r="CL617" s="1076" t="s">
        <v>1942</v>
      </c>
      <c r="CM617" s="1117" t="s">
        <v>1942</v>
      </c>
      <c r="CN617" s="1075">
        <v>4.68</v>
      </c>
      <c r="CO617" s="1076">
        <v>4.68</v>
      </c>
      <c r="CP617" s="1076">
        <v>4.68</v>
      </c>
      <c r="CQ617" s="1076">
        <v>4.68</v>
      </c>
      <c r="CR617" s="1117">
        <v>4.68</v>
      </c>
      <c r="CS617" s="1075" t="s">
        <v>1942</v>
      </c>
      <c r="CT617" s="1076" t="s">
        <v>1942</v>
      </c>
      <c r="CU617" s="1076" t="s">
        <v>1942</v>
      </c>
      <c r="CV617" s="1076" t="s">
        <v>1942</v>
      </c>
      <c r="CW617" s="1117" t="s">
        <v>1942</v>
      </c>
      <c r="CX617" s="1075" t="s">
        <v>1942</v>
      </c>
      <c r="CY617" s="1076" t="s">
        <v>1942</v>
      </c>
      <c r="CZ617" s="1076" t="s">
        <v>1942</v>
      </c>
      <c r="DA617" s="1076" t="s">
        <v>1942</v>
      </c>
      <c r="DB617" s="1117" t="s">
        <v>1942</v>
      </c>
      <c r="DC617" s="1076" t="s">
        <v>1942</v>
      </c>
      <c r="DD617" s="1076" t="s">
        <v>1942</v>
      </c>
      <c r="DE617" s="1076" t="s">
        <v>1942</v>
      </c>
      <c r="DF617" s="1076" t="s">
        <v>1942</v>
      </c>
      <c r="DG617" s="1117" t="s">
        <v>1942</v>
      </c>
      <c r="DH617" s="1075" t="s">
        <v>1942</v>
      </c>
      <c r="DI617" s="1076" t="s">
        <v>1942</v>
      </c>
      <c r="DJ617" s="1076" t="s">
        <v>1942</v>
      </c>
      <c r="DK617" s="1076" t="s">
        <v>1942</v>
      </c>
      <c r="DL617" s="1117" t="s">
        <v>1942</v>
      </c>
      <c r="DM617" s="1121">
        <v>-0.24299999999999999</v>
      </c>
      <c r="DN617" s="1122" t="s">
        <v>1942</v>
      </c>
      <c r="DO617" s="1122" t="s">
        <v>1942</v>
      </c>
      <c r="DP617" s="1123" t="s">
        <v>1942</v>
      </c>
      <c r="DQ617" s="1122" t="s">
        <v>1942</v>
      </c>
      <c r="DR617" s="1122" t="s">
        <v>1942</v>
      </c>
      <c r="DS617" s="1122" t="s">
        <v>1942</v>
      </c>
      <c r="DT617" s="1123" t="s">
        <v>1942</v>
      </c>
      <c r="DU617" s="1119" t="s">
        <v>1942</v>
      </c>
      <c r="DV617" s="1124">
        <v>1</v>
      </c>
      <c r="DW617" s="1125" t="s">
        <v>1942</v>
      </c>
    </row>
    <row r="618" spans="1:127" s="397" customFormat="1" ht="15.75" hidden="1" customHeight="1">
      <c r="A618" s="1097" t="s">
        <v>1054</v>
      </c>
      <c r="B618" s="1057">
        <v>609</v>
      </c>
      <c r="C618" s="1018"/>
      <c r="D618" s="1018"/>
      <c r="E618" s="1018"/>
      <c r="F618" s="1018"/>
      <c r="G618" s="1018"/>
      <c r="H618" s="1018"/>
      <c r="I618" s="1018"/>
      <c r="J618" s="1018"/>
      <c r="K618" s="1018"/>
      <c r="L618" s="1018"/>
      <c r="M618" s="1057"/>
      <c r="N618" s="1018"/>
      <c r="O618" s="1018"/>
      <c r="P618" s="1018"/>
      <c r="Q618" s="1018"/>
      <c r="R618" s="1018"/>
      <c r="S618" s="1018"/>
      <c r="T618" s="1019"/>
      <c r="U618" s="1098" t="s">
        <v>4523</v>
      </c>
      <c r="V618" s="1099" t="s">
        <v>4506</v>
      </c>
      <c r="W618" s="1099" t="s">
        <v>1896</v>
      </c>
      <c r="X618" s="1100" t="s">
        <v>4524</v>
      </c>
      <c r="Y618" s="1101" t="s">
        <v>743</v>
      </c>
      <c r="Z618" s="1102" t="s">
        <v>4525</v>
      </c>
      <c r="AA618" s="1103" t="s">
        <v>1942</v>
      </c>
      <c r="AB618" s="1104" t="s">
        <v>1942</v>
      </c>
      <c r="AC618" s="1104">
        <v>1</v>
      </c>
      <c r="AD618" s="1104" t="s">
        <v>1942</v>
      </c>
      <c r="AE618" s="1104" t="s">
        <v>1942</v>
      </c>
      <c r="AF618" s="1104" t="s">
        <v>1942</v>
      </c>
      <c r="AG618" s="1104" t="s">
        <v>1942</v>
      </c>
      <c r="AH618" s="1104" t="s">
        <v>1942</v>
      </c>
      <c r="AI618" s="1105">
        <f t="shared" si="9"/>
        <v>1</v>
      </c>
      <c r="AJ618" s="1106" t="s">
        <v>1026</v>
      </c>
      <c r="AK618" s="1106" t="s">
        <v>1008</v>
      </c>
      <c r="AL618" s="1106" t="s">
        <v>1009</v>
      </c>
      <c r="AM618" s="1107" t="s">
        <v>1910</v>
      </c>
      <c r="AN618" s="1018" t="s">
        <v>2177</v>
      </c>
      <c r="AO618" s="1018" t="s">
        <v>4807</v>
      </c>
      <c r="AP618" s="1307">
        <v>2</v>
      </c>
      <c r="AQ618" s="1076" t="s">
        <v>1020</v>
      </c>
      <c r="AR618" s="1109" t="s">
        <v>743</v>
      </c>
      <c r="AS618" s="1110"/>
      <c r="AT618" s="1100"/>
      <c r="AU618" s="1100"/>
      <c r="AV618" s="1100"/>
      <c r="AW618" s="1111"/>
      <c r="AX618" s="1112"/>
      <c r="AY618" s="1075"/>
      <c r="AZ618" s="1076"/>
      <c r="BA618" s="1076"/>
      <c r="BB618" s="1076"/>
      <c r="BC618" s="1076"/>
      <c r="BD618" s="1076"/>
      <c r="BE618" s="1076"/>
      <c r="BF618" s="1076"/>
      <c r="BG618" s="1126"/>
      <c r="BH618" s="1126"/>
      <c r="BI618" s="1127">
        <v>6.33</v>
      </c>
      <c r="BJ618" s="1126">
        <v>6.33</v>
      </c>
      <c r="BK618" s="1126">
        <v>6.33</v>
      </c>
      <c r="BL618" s="1126">
        <v>6.33</v>
      </c>
      <c r="BM618" s="1126">
        <v>6.33</v>
      </c>
      <c r="BN618" s="1075"/>
      <c r="BO618" s="1076"/>
      <c r="BP618" s="1076"/>
      <c r="BQ618" s="1076"/>
      <c r="BR618" s="1076"/>
      <c r="BS618" s="1115"/>
      <c r="BT618" s="1076"/>
      <c r="BU618" s="1076"/>
      <c r="BV618" s="1076"/>
      <c r="BW618" s="1116"/>
      <c r="BX618" s="1115"/>
      <c r="BY618" s="1076"/>
      <c r="BZ618" s="1076"/>
      <c r="CA618" s="1076"/>
      <c r="CB618" s="1116"/>
      <c r="CC618" s="1117"/>
      <c r="CD618" s="1118" t="s">
        <v>168</v>
      </c>
      <c r="CE618" s="1119" t="s">
        <v>168</v>
      </c>
      <c r="CF618" s="1119" t="s">
        <v>168</v>
      </c>
      <c r="CG618" s="1119" t="s">
        <v>168</v>
      </c>
      <c r="CH618" s="1120" t="s">
        <v>168</v>
      </c>
      <c r="CI618" s="1075" t="s">
        <v>1942</v>
      </c>
      <c r="CJ618" s="1076" t="s">
        <v>1942</v>
      </c>
      <c r="CK618" s="1076" t="s">
        <v>1942</v>
      </c>
      <c r="CL618" s="1076" t="s">
        <v>1942</v>
      </c>
      <c r="CM618" s="1117" t="s">
        <v>1942</v>
      </c>
      <c r="CN618" s="1075">
        <v>9.5</v>
      </c>
      <c r="CO618" s="1076">
        <v>9.5</v>
      </c>
      <c r="CP618" s="1076">
        <v>9.5</v>
      </c>
      <c r="CQ618" s="1076">
        <v>9.5</v>
      </c>
      <c r="CR618" s="1117">
        <v>9.5</v>
      </c>
      <c r="CS618" s="1075" t="s">
        <v>1942</v>
      </c>
      <c r="CT618" s="1076" t="s">
        <v>1942</v>
      </c>
      <c r="CU618" s="1076" t="s">
        <v>1942</v>
      </c>
      <c r="CV618" s="1076" t="s">
        <v>1942</v>
      </c>
      <c r="CW618" s="1117" t="s">
        <v>1942</v>
      </c>
      <c r="CX618" s="1075" t="s">
        <v>1942</v>
      </c>
      <c r="CY618" s="1076" t="s">
        <v>1942</v>
      </c>
      <c r="CZ618" s="1076" t="s">
        <v>1942</v>
      </c>
      <c r="DA618" s="1076" t="s">
        <v>1942</v>
      </c>
      <c r="DB618" s="1117" t="s">
        <v>1942</v>
      </c>
      <c r="DC618" s="1076" t="s">
        <v>1942</v>
      </c>
      <c r="DD618" s="1076" t="s">
        <v>1942</v>
      </c>
      <c r="DE618" s="1076" t="s">
        <v>1942</v>
      </c>
      <c r="DF618" s="1076" t="s">
        <v>1942</v>
      </c>
      <c r="DG618" s="1117" t="s">
        <v>1942</v>
      </c>
      <c r="DH618" s="1075" t="s">
        <v>1942</v>
      </c>
      <c r="DI618" s="1076" t="s">
        <v>1942</v>
      </c>
      <c r="DJ618" s="1076" t="s">
        <v>1942</v>
      </c>
      <c r="DK618" s="1076" t="s">
        <v>1942</v>
      </c>
      <c r="DL618" s="1117" t="s">
        <v>1942</v>
      </c>
      <c r="DM618" s="1121">
        <v>-0.125</v>
      </c>
      <c r="DN618" s="1122">
        <v>-0.99</v>
      </c>
      <c r="DO618" s="1122" t="s">
        <v>1942</v>
      </c>
      <c r="DP618" s="1123" t="s">
        <v>1942</v>
      </c>
      <c r="DQ618" s="1122" t="s">
        <v>1942</v>
      </c>
      <c r="DR618" s="1122" t="s">
        <v>1942</v>
      </c>
      <c r="DS618" s="1122" t="s">
        <v>1942</v>
      </c>
      <c r="DT618" s="1123" t="s">
        <v>1942</v>
      </c>
      <c r="DU618" s="1119" t="s">
        <v>1942</v>
      </c>
      <c r="DV618" s="1124">
        <v>1</v>
      </c>
      <c r="DW618" s="1125" t="s">
        <v>1942</v>
      </c>
    </row>
    <row r="619" spans="1:127" s="397" customFormat="1" ht="15.75" hidden="1" customHeight="1">
      <c r="A619" s="1097" t="s">
        <v>1054</v>
      </c>
      <c r="B619" s="1057">
        <v>610</v>
      </c>
      <c r="C619" s="1018"/>
      <c r="D619" s="1018"/>
      <c r="E619" s="1018"/>
      <c r="F619" s="1018"/>
      <c r="G619" s="1018"/>
      <c r="H619" s="1018"/>
      <c r="I619" s="1018"/>
      <c r="J619" s="1018"/>
      <c r="K619" s="1018"/>
      <c r="L619" s="1018"/>
      <c r="M619" s="1057"/>
      <c r="N619" s="1018"/>
      <c r="O619" s="1018"/>
      <c r="P619" s="1018"/>
      <c r="Q619" s="1018"/>
      <c r="R619" s="1018"/>
      <c r="S619" s="1018"/>
      <c r="T619" s="1019"/>
      <c r="U619" s="1098" t="s">
        <v>4527</v>
      </c>
      <c r="V619" s="1099" t="s">
        <v>4506</v>
      </c>
      <c r="W619" s="1099" t="s">
        <v>1896</v>
      </c>
      <c r="X619" s="1100" t="s">
        <v>4528</v>
      </c>
      <c r="Y619" s="1101" t="s">
        <v>4529</v>
      </c>
      <c r="Z619" s="1102" t="s">
        <v>4530</v>
      </c>
      <c r="AA619" s="1103">
        <v>1</v>
      </c>
      <c r="AB619" s="1104" t="s">
        <v>1942</v>
      </c>
      <c r="AC619" s="1104" t="s">
        <v>1942</v>
      </c>
      <c r="AD619" s="1104" t="s">
        <v>1942</v>
      </c>
      <c r="AE619" s="1104" t="s">
        <v>1942</v>
      </c>
      <c r="AF619" s="1104" t="s">
        <v>1942</v>
      </c>
      <c r="AG619" s="1104" t="s">
        <v>1942</v>
      </c>
      <c r="AH619" s="1104" t="s">
        <v>1942</v>
      </c>
      <c r="AI619" s="1105">
        <f t="shared" si="9"/>
        <v>1</v>
      </c>
      <c r="AJ619" s="1106" t="s">
        <v>1026</v>
      </c>
      <c r="AK619" s="1106" t="s">
        <v>1008</v>
      </c>
      <c r="AL619" s="1106" t="s">
        <v>1009</v>
      </c>
      <c r="AM619" s="1107" t="s">
        <v>2944</v>
      </c>
      <c r="AN619" s="1018" t="s">
        <v>1033</v>
      </c>
      <c r="AO619" s="1018" t="s">
        <v>4531</v>
      </c>
      <c r="AP619" s="1274">
        <v>0</v>
      </c>
      <c r="AQ619" s="1076" t="s">
        <v>1020</v>
      </c>
      <c r="AR619" s="1109" t="s">
        <v>1942</v>
      </c>
      <c r="AS619" s="1110"/>
      <c r="AT619" s="1100"/>
      <c r="AU619" s="1100"/>
      <c r="AV619" s="1100"/>
      <c r="AW619" s="1111"/>
      <c r="AX619" s="1112"/>
      <c r="AY619" s="1075"/>
      <c r="AZ619" s="1076"/>
      <c r="BA619" s="1076"/>
      <c r="BB619" s="1076"/>
      <c r="BC619" s="1076"/>
      <c r="BD619" s="1076"/>
      <c r="BE619" s="1076"/>
      <c r="BF619" s="1076"/>
      <c r="BG619" s="1076"/>
      <c r="BH619" s="1076"/>
      <c r="BI619" s="1420"/>
      <c r="BJ619" s="1368"/>
      <c r="BK619" s="1368"/>
      <c r="BL619" s="1368"/>
      <c r="BM619" s="1368"/>
      <c r="BN619" s="1075"/>
      <c r="BO619" s="1076"/>
      <c r="BP619" s="1076"/>
      <c r="BQ619" s="1076"/>
      <c r="BR619" s="1076"/>
      <c r="BS619" s="1115"/>
      <c r="BT619" s="1076"/>
      <c r="BU619" s="1076"/>
      <c r="BV619" s="1076"/>
      <c r="BW619" s="1116"/>
      <c r="BX619" s="1115"/>
      <c r="BY619" s="1076"/>
      <c r="BZ619" s="1076"/>
      <c r="CA619" s="1076"/>
      <c r="CB619" s="1116"/>
      <c r="CC619" s="1117"/>
      <c r="CD619" s="1376"/>
      <c r="CE619" s="1377"/>
      <c r="CF619" s="1377"/>
      <c r="CG619" s="1377"/>
      <c r="CH619" s="1440"/>
      <c r="CI619" s="1420"/>
      <c r="CJ619" s="1368"/>
      <c r="CK619" s="1368"/>
      <c r="CL619" s="1368"/>
      <c r="CM619" s="1369"/>
      <c r="CN619" s="1420"/>
      <c r="CO619" s="1368"/>
      <c r="CP619" s="1368"/>
      <c r="CQ619" s="1368"/>
      <c r="CR619" s="1369"/>
      <c r="CS619" s="1420"/>
      <c r="CT619" s="1368"/>
      <c r="CU619" s="1368"/>
      <c r="CV619" s="1368"/>
      <c r="CW619" s="1369"/>
      <c r="CX619" s="1420"/>
      <c r="CY619" s="1368"/>
      <c r="CZ619" s="1368"/>
      <c r="DA619" s="1368"/>
      <c r="DB619" s="1369"/>
      <c r="DC619" s="1368"/>
      <c r="DD619" s="1368"/>
      <c r="DE619" s="1368"/>
      <c r="DF619" s="1368"/>
      <c r="DG619" s="1369"/>
      <c r="DH619" s="1420"/>
      <c r="DI619" s="1368"/>
      <c r="DJ619" s="1368"/>
      <c r="DK619" s="1368"/>
      <c r="DL619" s="1369"/>
      <c r="DM619" s="1808"/>
      <c r="DN619" s="1809"/>
      <c r="DO619" s="1809"/>
      <c r="DP619" s="1810"/>
      <c r="DQ619" s="1809"/>
      <c r="DR619" s="1809"/>
      <c r="DS619" s="1809"/>
      <c r="DT619" s="1810"/>
      <c r="DU619" s="1377"/>
      <c r="DV619" s="1729"/>
      <c r="DW619" s="1811"/>
    </row>
    <row r="620" spans="1:127" s="397" customFormat="1" ht="15.75" hidden="1" customHeight="1">
      <c r="A620" s="1097" t="s">
        <v>1054</v>
      </c>
      <c r="B620" s="1057">
        <v>611</v>
      </c>
      <c r="C620" s="1018"/>
      <c r="D620" s="1018"/>
      <c r="E620" s="1018"/>
      <c r="F620" s="1018"/>
      <c r="G620" s="1018"/>
      <c r="H620" s="1018"/>
      <c r="I620" s="1018"/>
      <c r="J620" s="1018"/>
      <c r="K620" s="1018"/>
      <c r="L620" s="1018"/>
      <c r="M620" s="1057"/>
      <c r="N620" s="1018"/>
      <c r="O620" s="1018"/>
      <c r="P620" s="1018"/>
      <c r="Q620" s="1018"/>
      <c r="R620" s="1018"/>
      <c r="S620" s="1018"/>
      <c r="T620" s="1019"/>
      <c r="U620" s="1098" t="s">
        <v>4532</v>
      </c>
      <c r="V620" s="1099" t="s">
        <v>4533</v>
      </c>
      <c r="W620" s="1099" t="s">
        <v>1889</v>
      </c>
      <c r="X620" s="1100" t="s">
        <v>2404</v>
      </c>
      <c r="Y620" s="1101" t="s">
        <v>1058</v>
      </c>
      <c r="Z620" s="1102" t="s">
        <v>4534</v>
      </c>
      <c r="AA620" s="1103" t="s">
        <v>1942</v>
      </c>
      <c r="AB620" s="1104" t="s">
        <v>1942</v>
      </c>
      <c r="AC620" s="1104">
        <v>1</v>
      </c>
      <c r="AD620" s="1104" t="s">
        <v>1942</v>
      </c>
      <c r="AE620" s="1104" t="s">
        <v>1942</v>
      </c>
      <c r="AF620" s="1104" t="s">
        <v>1942</v>
      </c>
      <c r="AG620" s="1104" t="s">
        <v>1942</v>
      </c>
      <c r="AH620" s="1104" t="s">
        <v>1942</v>
      </c>
      <c r="AI620" s="1105">
        <f t="shared" si="9"/>
        <v>1</v>
      </c>
      <c r="AJ620" s="1106" t="s">
        <v>1026</v>
      </c>
      <c r="AK620" s="1106" t="s">
        <v>1008</v>
      </c>
      <c r="AL620" s="1106" t="s">
        <v>1009</v>
      </c>
      <c r="AM620" s="1107" t="s">
        <v>2106</v>
      </c>
      <c r="AN620" s="1018" t="s">
        <v>278</v>
      </c>
      <c r="AO620" s="1018" t="s">
        <v>2449</v>
      </c>
      <c r="AP620" s="1307">
        <v>2</v>
      </c>
      <c r="AQ620" s="1076" t="s">
        <v>1010</v>
      </c>
      <c r="AR620" s="1109" t="s">
        <v>1058</v>
      </c>
      <c r="AS620" s="1110"/>
      <c r="AT620" s="1100"/>
      <c r="AU620" s="1100"/>
      <c r="AV620" s="1100"/>
      <c r="AW620" s="1111"/>
      <c r="AX620" s="1112"/>
      <c r="AY620" s="1075"/>
      <c r="AZ620" s="1076"/>
      <c r="BA620" s="1076"/>
      <c r="BB620" s="1076"/>
      <c r="BC620" s="1076"/>
      <c r="BD620" s="1076"/>
      <c r="BE620" s="1076"/>
      <c r="BF620" s="1076"/>
      <c r="BG620" s="1126"/>
      <c r="BH620" s="1126"/>
      <c r="BI620" s="1127">
        <v>100</v>
      </c>
      <c r="BJ620" s="1126">
        <v>100</v>
      </c>
      <c r="BK620" s="1126">
        <v>100</v>
      </c>
      <c r="BL620" s="1126">
        <v>100</v>
      </c>
      <c r="BM620" s="1126">
        <v>100</v>
      </c>
      <c r="BN620" s="1075"/>
      <c r="BO620" s="1076"/>
      <c r="BP620" s="1076"/>
      <c r="BQ620" s="1076"/>
      <c r="BR620" s="1076"/>
      <c r="BS620" s="1115"/>
      <c r="BT620" s="1076"/>
      <c r="BU620" s="1076"/>
      <c r="BV620" s="1076"/>
      <c r="BW620" s="1116"/>
      <c r="BX620" s="1115"/>
      <c r="BY620" s="1076"/>
      <c r="BZ620" s="1076"/>
      <c r="CA620" s="1076"/>
      <c r="CB620" s="1116"/>
      <c r="CC620" s="1117"/>
      <c r="CD620" s="1118" t="s">
        <v>168</v>
      </c>
      <c r="CE620" s="1119" t="s">
        <v>168</v>
      </c>
      <c r="CF620" s="1119" t="s">
        <v>168</v>
      </c>
      <c r="CG620" s="1119" t="s">
        <v>168</v>
      </c>
      <c r="CH620" s="1120" t="s">
        <v>168</v>
      </c>
      <c r="CI620" s="1075" t="s">
        <v>1942</v>
      </c>
      <c r="CJ620" s="1076" t="s">
        <v>1942</v>
      </c>
      <c r="CK620" s="1076" t="s">
        <v>1942</v>
      </c>
      <c r="CL620" s="1076" t="s">
        <v>1942</v>
      </c>
      <c r="CM620" s="1117" t="s">
        <v>1942</v>
      </c>
      <c r="CN620" s="1075">
        <v>97.7</v>
      </c>
      <c r="CO620" s="1076">
        <v>97.7</v>
      </c>
      <c r="CP620" s="1076">
        <v>97.7</v>
      </c>
      <c r="CQ620" s="1076">
        <v>97.7</v>
      </c>
      <c r="CR620" s="1117">
        <v>97.7</v>
      </c>
      <c r="CS620" s="1075">
        <v>99</v>
      </c>
      <c r="CT620" s="1076">
        <v>99</v>
      </c>
      <c r="CU620" s="1076">
        <v>99</v>
      </c>
      <c r="CV620" s="1076">
        <v>99</v>
      </c>
      <c r="CW620" s="1117">
        <v>99</v>
      </c>
      <c r="CX620" s="1075" t="s">
        <v>1942</v>
      </c>
      <c r="CY620" s="1076" t="s">
        <v>1942</v>
      </c>
      <c r="CZ620" s="1076" t="s">
        <v>1942</v>
      </c>
      <c r="DA620" s="1076" t="s">
        <v>1942</v>
      </c>
      <c r="DB620" s="1117" t="s">
        <v>1942</v>
      </c>
      <c r="DC620" s="1076" t="s">
        <v>1942</v>
      </c>
      <c r="DD620" s="1076" t="s">
        <v>1942</v>
      </c>
      <c r="DE620" s="1076" t="s">
        <v>1942</v>
      </c>
      <c r="DF620" s="1076" t="s">
        <v>1942</v>
      </c>
      <c r="DG620" s="1117" t="s">
        <v>1942</v>
      </c>
      <c r="DH620" s="1075" t="s">
        <v>1942</v>
      </c>
      <c r="DI620" s="1076" t="s">
        <v>1942</v>
      </c>
      <c r="DJ620" s="1076" t="s">
        <v>1942</v>
      </c>
      <c r="DK620" s="1076" t="s">
        <v>1942</v>
      </c>
      <c r="DL620" s="1117" t="s">
        <v>1942</v>
      </c>
      <c r="DM620" s="1121">
        <v>-0.53</v>
      </c>
      <c r="DN620" s="1122">
        <v>-2.2999999999999998</v>
      </c>
      <c r="DO620" s="1122" t="s">
        <v>1942</v>
      </c>
      <c r="DP620" s="1123" t="s">
        <v>1942</v>
      </c>
      <c r="DQ620" s="1122" t="s">
        <v>1942</v>
      </c>
      <c r="DR620" s="1122" t="s">
        <v>1942</v>
      </c>
      <c r="DS620" s="1122" t="s">
        <v>1942</v>
      </c>
      <c r="DT620" s="1123" t="s">
        <v>1942</v>
      </c>
      <c r="DU620" s="1119" t="s">
        <v>1942</v>
      </c>
      <c r="DV620" s="1124">
        <v>1</v>
      </c>
      <c r="DW620" s="1125" t="s">
        <v>1942</v>
      </c>
    </row>
    <row r="621" spans="1:127" s="397" customFormat="1" ht="15.75" hidden="1" customHeight="1">
      <c r="A621" s="1097" t="s">
        <v>1054</v>
      </c>
      <c r="B621" s="1057">
        <v>612</v>
      </c>
      <c r="C621" s="1018"/>
      <c r="D621" s="1018"/>
      <c r="E621" s="1018"/>
      <c r="F621" s="1018"/>
      <c r="G621" s="1018"/>
      <c r="H621" s="1018"/>
      <c r="I621" s="1018"/>
      <c r="J621" s="1018"/>
      <c r="K621" s="1018"/>
      <c r="L621" s="1018"/>
      <c r="M621" s="1057"/>
      <c r="N621" s="1018"/>
      <c r="O621" s="1018"/>
      <c r="P621" s="1018"/>
      <c r="Q621" s="1018"/>
      <c r="R621" s="1018"/>
      <c r="S621" s="1018"/>
      <c r="T621" s="1019"/>
      <c r="U621" s="1098" t="s">
        <v>4536</v>
      </c>
      <c r="V621" s="1099" t="s">
        <v>4533</v>
      </c>
      <c r="W621" s="1099" t="s">
        <v>1889</v>
      </c>
      <c r="X621" s="1100" t="s">
        <v>2408</v>
      </c>
      <c r="Y621" s="1101" t="s">
        <v>736</v>
      </c>
      <c r="Z621" s="1102" t="s">
        <v>4537</v>
      </c>
      <c r="AA621" s="1103" t="s">
        <v>1942</v>
      </c>
      <c r="AB621" s="1104" t="s">
        <v>1942</v>
      </c>
      <c r="AC621" s="1104">
        <v>1</v>
      </c>
      <c r="AD621" s="1104" t="s">
        <v>1942</v>
      </c>
      <c r="AE621" s="1104" t="s">
        <v>1942</v>
      </c>
      <c r="AF621" s="1104" t="s">
        <v>1942</v>
      </c>
      <c r="AG621" s="1104" t="s">
        <v>1942</v>
      </c>
      <c r="AH621" s="1104" t="s">
        <v>1942</v>
      </c>
      <c r="AI621" s="1105">
        <f t="shared" si="9"/>
        <v>1</v>
      </c>
      <c r="AJ621" s="1106" t="s">
        <v>1030</v>
      </c>
      <c r="AK621" s="1106" t="s">
        <v>1008</v>
      </c>
      <c r="AL621" s="1106" t="s">
        <v>1009</v>
      </c>
      <c r="AM621" s="1107" t="s">
        <v>736</v>
      </c>
      <c r="AN621" s="1018" t="s">
        <v>2177</v>
      </c>
      <c r="AO621" s="1018" t="s">
        <v>4806</v>
      </c>
      <c r="AP621" s="1307">
        <v>2</v>
      </c>
      <c r="AQ621" s="1076" t="s">
        <v>1020</v>
      </c>
      <c r="AR621" s="1109" t="s">
        <v>736</v>
      </c>
      <c r="AS621" s="1110"/>
      <c r="AT621" s="1100"/>
      <c r="AU621" s="1100"/>
      <c r="AV621" s="1100"/>
      <c r="AW621" s="1111"/>
      <c r="AX621" s="1112"/>
      <c r="AY621" s="1075"/>
      <c r="AZ621" s="1076"/>
      <c r="BA621" s="1076"/>
      <c r="BB621" s="1076"/>
      <c r="BC621" s="1076"/>
      <c r="BD621" s="1076"/>
      <c r="BE621" s="1076"/>
      <c r="BF621" s="1076"/>
      <c r="BG621" s="1126"/>
      <c r="BH621" s="1126"/>
      <c r="BI621" s="1127">
        <v>24.51</v>
      </c>
      <c r="BJ621" s="1126">
        <v>23.74</v>
      </c>
      <c r="BK621" s="1126">
        <v>23</v>
      </c>
      <c r="BL621" s="1126">
        <v>22.4</v>
      </c>
      <c r="BM621" s="1126">
        <v>19.5</v>
      </c>
      <c r="BN621" s="1075"/>
      <c r="BO621" s="1076"/>
      <c r="BP621" s="1076"/>
      <c r="BQ621" s="1076"/>
      <c r="BR621" s="1076"/>
      <c r="BS621" s="1115"/>
      <c r="BT621" s="1076"/>
      <c r="BU621" s="1076"/>
      <c r="BV621" s="1076"/>
      <c r="BW621" s="1116"/>
      <c r="BX621" s="1115"/>
      <c r="BY621" s="1076"/>
      <c r="BZ621" s="1076"/>
      <c r="CA621" s="1076"/>
      <c r="CB621" s="1116"/>
      <c r="CC621" s="1117"/>
      <c r="CD621" s="1118" t="s">
        <v>168</v>
      </c>
      <c r="CE621" s="1119" t="s">
        <v>168</v>
      </c>
      <c r="CF621" s="1119" t="s">
        <v>168</v>
      </c>
      <c r="CG621" s="1119" t="s">
        <v>168</v>
      </c>
      <c r="CH621" s="1120" t="s">
        <v>168</v>
      </c>
      <c r="CI621" s="1075">
        <v>98</v>
      </c>
      <c r="CJ621" s="1076">
        <v>98</v>
      </c>
      <c r="CK621" s="1076">
        <v>98</v>
      </c>
      <c r="CL621" s="1076">
        <v>98</v>
      </c>
      <c r="CM621" s="1117">
        <v>98</v>
      </c>
      <c r="CN621" s="1075">
        <v>41.6</v>
      </c>
      <c r="CO621" s="1076">
        <v>41.6</v>
      </c>
      <c r="CP621" s="1076">
        <v>41.6</v>
      </c>
      <c r="CQ621" s="1076">
        <v>41.6</v>
      </c>
      <c r="CR621" s="1117">
        <v>41.6</v>
      </c>
      <c r="CS621" s="1075" t="s">
        <v>1942</v>
      </c>
      <c r="CT621" s="1076" t="s">
        <v>1942</v>
      </c>
      <c r="CU621" s="1076" t="s">
        <v>1942</v>
      </c>
      <c r="CV621" s="1076" t="s">
        <v>1942</v>
      </c>
      <c r="CW621" s="1117" t="s">
        <v>1942</v>
      </c>
      <c r="CX621" s="1075" t="s">
        <v>1942</v>
      </c>
      <c r="CY621" s="1076" t="s">
        <v>1942</v>
      </c>
      <c r="CZ621" s="1076" t="s">
        <v>1942</v>
      </c>
      <c r="DA621" s="1076" t="s">
        <v>1942</v>
      </c>
      <c r="DB621" s="1117" t="s">
        <v>1942</v>
      </c>
      <c r="DC621" s="1076">
        <v>11.83</v>
      </c>
      <c r="DD621" s="1076">
        <v>11.46</v>
      </c>
      <c r="DE621" s="1076">
        <v>11.11</v>
      </c>
      <c r="DF621" s="1076">
        <v>10.82</v>
      </c>
      <c r="DG621" s="1117">
        <v>9.42</v>
      </c>
      <c r="DH621" s="1075" t="s">
        <v>4805</v>
      </c>
      <c r="DI621" s="1076" t="s">
        <v>4805</v>
      </c>
      <c r="DJ621" s="1076" t="s">
        <v>4805</v>
      </c>
      <c r="DK621" s="1076" t="s">
        <v>4805</v>
      </c>
      <c r="DL621" s="1117" t="s">
        <v>4805</v>
      </c>
      <c r="DM621" s="1121">
        <v>-0.27</v>
      </c>
      <c r="DN621" s="1122" t="s">
        <v>1942</v>
      </c>
      <c r="DO621" s="1122" t="s">
        <v>1942</v>
      </c>
      <c r="DP621" s="1300">
        <v>-0.85399999999999998</v>
      </c>
      <c r="DQ621" s="1122">
        <v>0.26</v>
      </c>
      <c r="DR621" s="1122" t="s">
        <v>1942</v>
      </c>
      <c r="DS621" s="1122" t="s">
        <v>1942</v>
      </c>
      <c r="DT621" s="1300">
        <v>0.85399999999999998</v>
      </c>
      <c r="DU621" s="1119" t="s">
        <v>1942</v>
      </c>
      <c r="DV621" s="1124">
        <v>1</v>
      </c>
      <c r="DW621" s="1125" t="s">
        <v>1942</v>
      </c>
    </row>
    <row r="622" spans="1:127" s="397" customFormat="1" ht="15.75" hidden="1" customHeight="1">
      <c r="A622" s="1097" t="s">
        <v>1054</v>
      </c>
      <c r="B622" s="1057">
        <v>613</v>
      </c>
      <c r="C622" s="1018"/>
      <c r="D622" s="1018"/>
      <c r="E622" s="1018"/>
      <c r="F622" s="1018"/>
      <c r="G622" s="1018"/>
      <c r="H622" s="1018"/>
      <c r="I622" s="1018"/>
      <c r="J622" s="1018"/>
      <c r="K622" s="1018"/>
      <c r="L622" s="1018"/>
      <c r="M622" s="1057"/>
      <c r="N622" s="1018"/>
      <c r="O622" s="1018"/>
      <c r="P622" s="1018"/>
      <c r="Q622" s="1018"/>
      <c r="R622" s="1018"/>
      <c r="S622" s="1018"/>
      <c r="T622" s="1019"/>
      <c r="U622" s="1098" t="s">
        <v>4539</v>
      </c>
      <c r="V622" s="1099" t="s">
        <v>4533</v>
      </c>
      <c r="W622" s="1099" t="s">
        <v>1896</v>
      </c>
      <c r="X622" s="1100" t="s">
        <v>2412</v>
      </c>
      <c r="Y622" s="1101" t="s">
        <v>4540</v>
      </c>
      <c r="Z622" s="1102" t="s">
        <v>4541</v>
      </c>
      <c r="AA622" s="1103">
        <v>1</v>
      </c>
      <c r="AB622" s="1104" t="s">
        <v>1942</v>
      </c>
      <c r="AC622" s="1104" t="s">
        <v>1942</v>
      </c>
      <c r="AD622" s="1104" t="s">
        <v>1942</v>
      </c>
      <c r="AE622" s="1104" t="s">
        <v>1942</v>
      </c>
      <c r="AF622" s="1104" t="s">
        <v>1942</v>
      </c>
      <c r="AG622" s="1104" t="s">
        <v>1942</v>
      </c>
      <c r="AH622" s="1104" t="s">
        <v>1942</v>
      </c>
      <c r="AI622" s="1105">
        <f t="shared" si="9"/>
        <v>1</v>
      </c>
      <c r="AJ622" s="1106" t="s">
        <v>1030</v>
      </c>
      <c r="AK622" s="1106" t="s">
        <v>1008</v>
      </c>
      <c r="AL622" s="1106" t="s">
        <v>1009</v>
      </c>
      <c r="AM622" s="1107" t="s">
        <v>1979</v>
      </c>
      <c r="AN622" s="1018" t="s">
        <v>1033</v>
      </c>
      <c r="AO622" s="1018" t="s">
        <v>4542</v>
      </c>
      <c r="AP622" s="1274">
        <v>0</v>
      </c>
      <c r="AQ622" s="1076" t="s">
        <v>1020</v>
      </c>
      <c r="AR622" s="1109" t="s">
        <v>1942</v>
      </c>
      <c r="AS622" s="1110"/>
      <c r="AT622" s="1100"/>
      <c r="AU622" s="1100"/>
      <c r="AV622" s="1100"/>
      <c r="AW622" s="1111"/>
      <c r="AX622" s="1112"/>
      <c r="AY622" s="1075"/>
      <c r="AZ622" s="1076"/>
      <c r="BA622" s="1076"/>
      <c r="BB622" s="1076"/>
      <c r="BC622" s="1076"/>
      <c r="BD622" s="1076"/>
      <c r="BE622" s="1076"/>
      <c r="BF622" s="1076"/>
      <c r="BG622" s="1076"/>
      <c r="BH622" s="1076"/>
      <c r="BI622" s="1420"/>
      <c r="BJ622" s="1368"/>
      <c r="BK622" s="1368"/>
      <c r="BL622" s="1368"/>
      <c r="BM622" s="1368"/>
      <c r="BN622" s="1075"/>
      <c r="BO622" s="1076"/>
      <c r="BP622" s="1076"/>
      <c r="BQ622" s="1076"/>
      <c r="BR622" s="1076"/>
      <c r="BS622" s="1115"/>
      <c r="BT622" s="1076"/>
      <c r="BU622" s="1076"/>
      <c r="BV622" s="1076"/>
      <c r="BW622" s="1116"/>
      <c r="BX622" s="1115"/>
      <c r="BY622" s="1076"/>
      <c r="BZ622" s="1076"/>
      <c r="CA622" s="1076"/>
      <c r="CB622" s="1116"/>
      <c r="CC622" s="1117"/>
      <c r="CD622" s="1376"/>
      <c r="CE622" s="1377"/>
      <c r="CF622" s="1377"/>
      <c r="CG622" s="1377"/>
      <c r="CH622" s="1440"/>
      <c r="CI622" s="1420"/>
      <c r="CJ622" s="1368"/>
      <c r="CK622" s="1368"/>
      <c r="CL622" s="1368"/>
      <c r="CM622" s="1369"/>
      <c r="CN622" s="1420"/>
      <c r="CO622" s="1368"/>
      <c r="CP622" s="1368"/>
      <c r="CQ622" s="1368"/>
      <c r="CR622" s="1369"/>
      <c r="CS622" s="1420"/>
      <c r="CT622" s="1368"/>
      <c r="CU622" s="1368"/>
      <c r="CV622" s="1368"/>
      <c r="CW622" s="1369"/>
      <c r="CX622" s="1420"/>
      <c r="CY622" s="1368"/>
      <c r="CZ622" s="1368"/>
      <c r="DA622" s="1368"/>
      <c r="DB622" s="1369"/>
      <c r="DC622" s="1368"/>
      <c r="DD622" s="1368"/>
      <c r="DE622" s="1368"/>
      <c r="DF622" s="1368"/>
      <c r="DG622" s="1369"/>
      <c r="DH622" s="1420"/>
      <c r="DI622" s="1368"/>
      <c r="DJ622" s="1368"/>
      <c r="DK622" s="1368"/>
      <c r="DL622" s="1369"/>
      <c r="DM622" s="1808"/>
      <c r="DN622" s="1809"/>
      <c r="DO622" s="1809"/>
      <c r="DP622" s="1810"/>
      <c r="DQ622" s="1809"/>
      <c r="DR622" s="1809"/>
      <c r="DS622" s="1809"/>
      <c r="DT622" s="1810"/>
      <c r="DU622" s="1377"/>
      <c r="DV622" s="1729"/>
      <c r="DW622" s="1811"/>
    </row>
    <row r="623" spans="1:127" s="397" customFormat="1" ht="15.75" hidden="1" customHeight="1">
      <c r="A623" s="1097" t="s">
        <v>1054</v>
      </c>
      <c r="B623" s="1057">
        <v>614</v>
      </c>
      <c r="C623" s="1018"/>
      <c r="D623" s="1018"/>
      <c r="E623" s="1018"/>
      <c r="F623" s="1018"/>
      <c r="G623" s="1018"/>
      <c r="H623" s="1018"/>
      <c r="I623" s="1018"/>
      <c r="J623" s="1018"/>
      <c r="K623" s="1018"/>
      <c r="L623" s="1018"/>
      <c r="M623" s="1057"/>
      <c r="N623" s="1018"/>
      <c r="O623" s="1018"/>
      <c r="P623" s="1018"/>
      <c r="Q623" s="1018"/>
      <c r="R623" s="1018"/>
      <c r="S623" s="1018"/>
      <c r="T623" s="1019"/>
      <c r="U623" s="1098" t="s">
        <v>4543</v>
      </c>
      <c r="V623" s="1099" t="s">
        <v>4533</v>
      </c>
      <c r="W623" s="1099" t="s">
        <v>1907</v>
      </c>
      <c r="X623" s="1100" t="s">
        <v>2418</v>
      </c>
      <c r="Y623" s="1101" t="s">
        <v>4544</v>
      </c>
      <c r="Z623" s="1102" t="s">
        <v>4545</v>
      </c>
      <c r="AA623" s="1103">
        <v>1</v>
      </c>
      <c r="AB623" s="1104" t="s">
        <v>1942</v>
      </c>
      <c r="AC623" s="1104" t="s">
        <v>1942</v>
      </c>
      <c r="AD623" s="1104" t="s">
        <v>1942</v>
      </c>
      <c r="AE623" s="1104" t="s">
        <v>1942</v>
      </c>
      <c r="AF623" s="1104" t="s">
        <v>1942</v>
      </c>
      <c r="AG623" s="1104" t="s">
        <v>1942</v>
      </c>
      <c r="AH623" s="1104" t="s">
        <v>1942</v>
      </c>
      <c r="AI623" s="1105">
        <f t="shared" si="9"/>
        <v>1</v>
      </c>
      <c r="AJ623" s="1106" t="s">
        <v>1030</v>
      </c>
      <c r="AK623" s="1106" t="s">
        <v>1008</v>
      </c>
      <c r="AL623" s="1106" t="s">
        <v>1009</v>
      </c>
      <c r="AM623" s="1107" t="s">
        <v>2289</v>
      </c>
      <c r="AN623" s="1018" t="s">
        <v>278</v>
      </c>
      <c r="AO623" s="1018" t="s">
        <v>4546</v>
      </c>
      <c r="AP623" s="1274">
        <v>0</v>
      </c>
      <c r="AQ623" s="1076" t="s">
        <v>1010</v>
      </c>
      <c r="AR623" s="1109" t="s">
        <v>1942</v>
      </c>
      <c r="AS623" s="1110"/>
      <c r="AT623" s="1100"/>
      <c r="AU623" s="1100"/>
      <c r="AV623" s="1100"/>
      <c r="AW623" s="1111"/>
      <c r="AX623" s="1112"/>
      <c r="AY623" s="1075"/>
      <c r="AZ623" s="1076"/>
      <c r="BA623" s="1076"/>
      <c r="BB623" s="1076"/>
      <c r="BC623" s="1076"/>
      <c r="BD623" s="1076"/>
      <c r="BE623" s="1076"/>
      <c r="BF623" s="1076"/>
      <c r="BG623" s="1076"/>
      <c r="BH623" s="1076"/>
      <c r="BI623" s="1420"/>
      <c r="BJ623" s="1368"/>
      <c r="BK623" s="1368"/>
      <c r="BL623" s="1368"/>
      <c r="BM623" s="1368"/>
      <c r="BN623" s="1075"/>
      <c r="BO623" s="1076"/>
      <c r="BP623" s="1076"/>
      <c r="BQ623" s="1076"/>
      <c r="BR623" s="1076"/>
      <c r="BS623" s="1115"/>
      <c r="BT623" s="1076"/>
      <c r="BU623" s="1076"/>
      <c r="BV623" s="1076"/>
      <c r="BW623" s="1116"/>
      <c r="BX623" s="1115"/>
      <c r="BY623" s="1076"/>
      <c r="BZ623" s="1076"/>
      <c r="CA623" s="1076"/>
      <c r="CB623" s="1116"/>
      <c r="CC623" s="1117"/>
      <c r="CD623" s="1376"/>
      <c r="CE623" s="1377"/>
      <c r="CF623" s="1377"/>
      <c r="CG623" s="1377"/>
      <c r="CH623" s="1440"/>
      <c r="CI623" s="1420"/>
      <c r="CJ623" s="1368"/>
      <c r="CK623" s="1368"/>
      <c r="CL623" s="1368"/>
      <c r="CM623" s="1369"/>
      <c r="CN623" s="1420"/>
      <c r="CO623" s="1368"/>
      <c r="CP623" s="1368"/>
      <c r="CQ623" s="1368"/>
      <c r="CR623" s="1369"/>
      <c r="CS623" s="1420"/>
      <c r="CT623" s="1368"/>
      <c r="CU623" s="1368"/>
      <c r="CV623" s="1368"/>
      <c r="CW623" s="1369"/>
      <c r="CX623" s="1420"/>
      <c r="CY623" s="1368"/>
      <c r="CZ623" s="1368"/>
      <c r="DA623" s="1368"/>
      <c r="DB623" s="1369"/>
      <c r="DC623" s="1368"/>
      <c r="DD623" s="1368"/>
      <c r="DE623" s="1368"/>
      <c r="DF623" s="1368"/>
      <c r="DG623" s="1369"/>
      <c r="DH623" s="1420"/>
      <c r="DI623" s="1368"/>
      <c r="DJ623" s="1368"/>
      <c r="DK623" s="1368"/>
      <c r="DL623" s="1369"/>
      <c r="DM623" s="1808"/>
      <c r="DN623" s="1809"/>
      <c r="DO623" s="1809"/>
      <c r="DP623" s="1810"/>
      <c r="DQ623" s="1809"/>
      <c r="DR623" s="1809"/>
      <c r="DS623" s="1809"/>
      <c r="DT623" s="1810"/>
      <c r="DU623" s="1377"/>
      <c r="DV623" s="1729"/>
      <c r="DW623" s="1811"/>
    </row>
    <row r="624" spans="1:127" s="397" customFormat="1" ht="15.75" hidden="1" customHeight="1">
      <c r="A624" s="1097" t="s">
        <v>1054</v>
      </c>
      <c r="B624" s="1057">
        <v>615</v>
      </c>
      <c r="C624" s="1018"/>
      <c r="D624" s="1018"/>
      <c r="E624" s="1018"/>
      <c r="F624" s="1018"/>
      <c r="G624" s="1018"/>
      <c r="H624" s="1018"/>
      <c r="I624" s="1018"/>
      <c r="J624" s="1018"/>
      <c r="K624" s="1018"/>
      <c r="L624" s="1018"/>
      <c r="M624" s="1057"/>
      <c r="N624" s="1018"/>
      <c r="O624" s="1018"/>
      <c r="P624" s="1018"/>
      <c r="Q624" s="1018"/>
      <c r="R624" s="1018"/>
      <c r="S624" s="1018"/>
      <c r="T624" s="1019"/>
      <c r="U624" s="1098" t="s">
        <v>4547</v>
      </c>
      <c r="V624" s="1099" t="s">
        <v>4533</v>
      </c>
      <c r="W624" s="1099" t="s">
        <v>1889</v>
      </c>
      <c r="X624" s="1100" t="s">
        <v>2422</v>
      </c>
      <c r="Y624" s="1101" t="s">
        <v>2882</v>
      </c>
      <c r="Z624" s="1102" t="s">
        <v>4548</v>
      </c>
      <c r="AA624" s="1103">
        <v>0.03</v>
      </c>
      <c r="AB624" s="1104">
        <v>0.25</v>
      </c>
      <c r="AC624" s="1104">
        <v>0.54</v>
      </c>
      <c r="AD624" s="1104">
        <v>0.18</v>
      </c>
      <c r="AE624" s="1104" t="s">
        <v>1942</v>
      </c>
      <c r="AF624" s="1104" t="s">
        <v>1942</v>
      </c>
      <c r="AG624" s="1104" t="s">
        <v>1942</v>
      </c>
      <c r="AH624" s="1104" t="s">
        <v>1942</v>
      </c>
      <c r="AI624" s="1105">
        <f t="shared" si="9"/>
        <v>1</v>
      </c>
      <c r="AJ624" s="1106" t="s">
        <v>1026</v>
      </c>
      <c r="AK624" s="1106" t="s">
        <v>1008</v>
      </c>
      <c r="AL624" s="1106" t="s">
        <v>1009</v>
      </c>
      <c r="AM624" s="1107" t="s">
        <v>2132</v>
      </c>
      <c r="AN624" s="1018" t="s">
        <v>1033</v>
      </c>
      <c r="AO624" s="1018" t="s">
        <v>4549</v>
      </c>
      <c r="AP624" s="1274">
        <v>0</v>
      </c>
      <c r="AQ624" s="1076" t="s">
        <v>1020</v>
      </c>
      <c r="AR624" s="1109" t="s">
        <v>1942</v>
      </c>
      <c r="AS624" s="1110"/>
      <c r="AT624" s="1100"/>
      <c r="AU624" s="1100"/>
      <c r="AV624" s="1100"/>
      <c r="AW624" s="1111"/>
      <c r="AX624" s="1112"/>
      <c r="AY624" s="1075"/>
      <c r="AZ624" s="1076"/>
      <c r="BA624" s="1076"/>
      <c r="BB624" s="1076"/>
      <c r="BC624" s="1076"/>
      <c r="BD624" s="1076"/>
      <c r="BE624" s="1076"/>
      <c r="BF624" s="1076"/>
      <c r="BG624" s="1076"/>
      <c r="BH624" s="1076"/>
      <c r="BI624" s="1420"/>
      <c r="BJ624" s="1368"/>
      <c r="BK624" s="1368"/>
      <c r="BL624" s="1368"/>
      <c r="BM624" s="1368"/>
      <c r="BN624" s="1075"/>
      <c r="BO624" s="1076"/>
      <c r="BP624" s="1076"/>
      <c r="BQ624" s="1076"/>
      <c r="BR624" s="1076"/>
      <c r="BS624" s="1115"/>
      <c r="BT624" s="1076"/>
      <c r="BU624" s="1076"/>
      <c r="BV624" s="1076"/>
      <c r="BW624" s="1116"/>
      <c r="BX624" s="1115"/>
      <c r="BY624" s="1076"/>
      <c r="BZ624" s="1076"/>
      <c r="CA624" s="1076"/>
      <c r="CB624" s="1116"/>
      <c r="CC624" s="1117"/>
      <c r="CD624" s="1376"/>
      <c r="CE624" s="1377"/>
      <c r="CF624" s="1377"/>
      <c r="CG624" s="1377"/>
      <c r="CH624" s="1440"/>
      <c r="CI624" s="1420"/>
      <c r="CJ624" s="1368"/>
      <c r="CK624" s="1368"/>
      <c r="CL624" s="1368"/>
      <c r="CM624" s="1369"/>
      <c r="CN624" s="1420"/>
      <c r="CO624" s="1368"/>
      <c r="CP624" s="1368"/>
      <c r="CQ624" s="1368"/>
      <c r="CR624" s="1369"/>
      <c r="CS624" s="1420"/>
      <c r="CT624" s="1368"/>
      <c r="CU624" s="1368"/>
      <c r="CV624" s="1368"/>
      <c r="CW624" s="1369"/>
      <c r="CX624" s="1420"/>
      <c r="CY624" s="1368"/>
      <c r="CZ624" s="1368"/>
      <c r="DA624" s="1368"/>
      <c r="DB624" s="1369"/>
      <c r="DC624" s="1368"/>
      <c r="DD624" s="1368"/>
      <c r="DE624" s="1368"/>
      <c r="DF624" s="1368"/>
      <c r="DG624" s="1369"/>
      <c r="DH624" s="1420"/>
      <c r="DI624" s="1368"/>
      <c r="DJ624" s="1368"/>
      <c r="DK624" s="1368"/>
      <c r="DL624" s="1369"/>
      <c r="DM624" s="1808"/>
      <c r="DN624" s="1809"/>
      <c r="DO624" s="1809"/>
      <c r="DP624" s="1810"/>
      <c r="DQ624" s="1809"/>
      <c r="DR624" s="1809"/>
      <c r="DS624" s="1809"/>
      <c r="DT624" s="1810"/>
      <c r="DU624" s="1377"/>
      <c r="DV624" s="1729"/>
      <c r="DW624" s="1811"/>
    </row>
    <row r="625" spans="1:127" s="397" customFormat="1" ht="15.75" hidden="1" customHeight="1">
      <c r="A625" s="1097" t="s">
        <v>1054</v>
      </c>
      <c r="B625" s="1057">
        <v>616</v>
      </c>
      <c r="C625" s="1018"/>
      <c r="D625" s="1018"/>
      <c r="E625" s="1018"/>
      <c r="F625" s="1018"/>
      <c r="G625" s="1018"/>
      <c r="H625" s="1018"/>
      <c r="I625" s="1018"/>
      <c r="J625" s="1018"/>
      <c r="K625" s="1018"/>
      <c r="L625" s="1018"/>
      <c r="M625" s="1057"/>
      <c r="N625" s="1018"/>
      <c r="O625" s="1018"/>
      <c r="P625" s="1018"/>
      <c r="Q625" s="1018"/>
      <c r="R625" s="1018"/>
      <c r="S625" s="1018"/>
      <c r="T625" s="1019"/>
      <c r="U625" s="1098" t="s">
        <v>4550</v>
      </c>
      <c r="V625" s="1099" t="s">
        <v>4533</v>
      </c>
      <c r="W625" s="1099" t="s">
        <v>1907</v>
      </c>
      <c r="X625" s="1100" t="s">
        <v>4551</v>
      </c>
      <c r="Y625" s="1101" t="s">
        <v>4552</v>
      </c>
      <c r="Z625" s="1102" t="s">
        <v>4553</v>
      </c>
      <c r="AA625" s="1103" t="s">
        <v>1942</v>
      </c>
      <c r="AB625" s="1104" t="s">
        <v>1942</v>
      </c>
      <c r="AC625" s="1104">
        <v>1</v>
      </c>
      <c r="AD625" s="1104" t="s">
        <v>1942</v>
      </c>
      <c r="AE625" s="1104" t="s">
        <v>1942</v>
      </c>
      <c r="AF625" s="1104" t="s">
        <v>1942</v>
      </c>
      <c r="AG625" s="1104" t="s">
        <v>1942</v>
      </c>
      <c r="AH625" s="1104" t="s">
        <v>1942</v>
      </c>
      <c r="AI625" s="1105">
        <f t="shared" si="9"/>
        <v>1</v>
      </c>
      <c r="AJ625" s="1106" t="s">
        <v>1030</v>
      </c>
      <c r="AK625" s="1106" t="s">
        <v>1008</v>
      </c>
      <c r="AL625" s="1106" t="s">
        <v>1009</v>
      </c>
      <c r="AM625" s="1107" t="s">
        <v>2306</v>
      </c>
      <c r="AN625" s="1018" t="s">
        <v>1033</v>
      </c>
      <c r="AO625" s="1018" t="s">
        <v>4554</v>
      </c>
      <c r="AP625" s="1274">
        <v>0</v>
      </c>
      <c r="AQ625" s="1076" t="s">
        <v>1010</v>
      </c>
      <c r="AR625" s="1109" t="s">
        <v>1942</v>
      </c>
      <c r="AS625" s="1110"/>
      <c r="AT625" s="1100"/>
      <c r="AU625" s="1100"/>
      <c r="AV625" s="1100"/>
      <c r="AW625" s="1111"/>
      <c r="AX625" s="1112"/>
      <c r="AY625" s="1075"/>
      <c r="AZ625" s="1076"/>
      <c r="BA625" s="1076"/>
      <c r="BB625" s="1076"/>
      <c r="BC625" s="1076"/>
      <c r="BD625" s="1076"/>
      <c r="BE625" s="1076"/>
      <c r="BF625" s="1076"/>
      <c r="BG625" s="1076"/>
      <c r="BH625" s="1076"/>
      <c r="BI625" s="1420"/>
      <c r="BJ625" s="1368"/>
      <c r="BK625" s="1368"/>
      <c r="BL625" s="1368"/>
      <c r="BM625" s="1368"/>
      <c r="BN625" s="1075"/>
      <c r="BO625" s="1076"/>
      <c r="BP625" s="1076"/>
      <c r="BQ625" s="1076"/>
      <c r="BR625" s="1076"/>
      <c r="BS625" s="1115"/>
      <c r="BT625" s="1076"/>
      <c r="BU625" s="1076"/>
      <c r="BV625" s="1076"/>
      <c r="BW625" s="1116"/>
      <c r="BX625" s="1115"/>
      <c r="BY625" s="1076"/>
      <c r="BZ625" s="1076"/>
      <c r="CA625" s="1076"/>
      <c r="CB625" s="1116"/>
      <c r="CC625" s="1117"/>
      <c r="CD625" s="1376"/>
      <c r="CE625" s="1377"/>
      <c r="CF625" s="1377"/>
      <c r="CG625" s="1377"/>
      <c r="CH625" s="1440"/>
      <c r="CI625" s="1420"/>
      <c r="CJ625" s="1368"/>
      <c r="CK625" s="1368"/>
      <c r="CL625" s="1368"/>
      <c r="CM625" s="1369"/>
      <c r="CN625" s="1420"/>
      <c r="CO625" s="1368"/>
      <c r="CP625" s="1368"/>
      <c r="CQ625" s="1368"/>
      <c r="CR625" s="1369"/>
      <c r="CS625" s="1420"/>
      <c r="CT625" s="1368"/>
      <c r="CU625" s="1368"/>
      <c r="CV625" s="1368"/>
      <c r="CW625" s="1369"/>
      <c r="CX625" s="1420"/>
      <c r="CY625" s="1368"/>
      <c r="CZ625" s="1368"/>
      <c r="DA625" s="1368"/>
      <c r="DB625" s="1369"/>
      <c r="DC625" s="1368"/>
      <c r="DD625" s="1368"/>
      <c r="DE625" s="1368"/>
      <c r="DF625" s="1368"/>
      <c r="DG625" s="1369"/>
      <c r="DH625" s="1420"/>
      <c r="DI625" s="1368"/>
      <c r="DJ625" s="1368"/>
      <c r="DK625" s="1368"/>
      <c r="DL625" s="1369"/>
      <c r="DM625" s="1808"/>
      <c r="DN625" s="1809"/>
      <c r="DO625" s="1809"/>
      <c r="DP625" s="1810"/>
      <c r="DQ625" s="1809"/>
      <c r="DR625" s="1809"/>
      <c r="DS625" s="1809"/>
      <c r="DT625" s="1810"/>
      <c r="DU625" s="1377"/>
      <c r="DV625" s="1729"/>
      <c r="DW625" s="1811"/>
    </row>
    <row r="626" spans="1:127" s="397" customFormat="1" ht="15.75" hidden="1" customHeight="1">
      <c r="A626" s="1097" t="s">
        <v>1054</v>
      </c>
      <c r="B626" s="1057">
        <v>617</v>
      </c>
      <c r="C626" s="1018"/>
      <c r="D626" s="1018"/>
      <c r="E626" s="1018"/>
      <c r="F626" s="1018"/>
      <c r="G626" s="1018"/>
      <c r="H626" s="1018"/>
      <c r="I626" s="1018"/>
      <c r="J626" s="1018"/>
      <c r="K626" s="1018"/>
      <c r="L626" s="1018"/>
      <c r="M626" s="1057"/>
      <c r="N626" s="1018"/>
      <c r="O626" s="1018"/>
      <c r="P626" s="1018"/>
      <c r="Q626" s="1018"/>
      <c r="R626" s="1018"/>
      <c r="S626" s="1018"/>
      <c r="T626" s="1019"/>
      <c r="U626" s="1098" t="s">
        <v>4555</v>
      </c>
      <c r="V626" s="1099" t="s">
        <v>4533</v>
      </c>
      <c r="W626" s="1099" t="s">
        <v>1907</v>
      </c>
      <c r="X626" s="1100" t="s">
        <v>4556</v>
      </c>
      <c r="Y626" s="1101" t="s">
        <v>4557</v>
      </c>
      <c r="Z626" s="1102" t="s">
        <v>4558</v>
      </c>
      <c r="AA626" s="1103" t="s">
        <v>1942</v>
      </c>
      <c r="AB626" s="1104" t="s">
        <v>1942</v>
      </c>
      <c r="AC626" s="1104">
        <v>1</v>
      </c>
      <c r="AD626" s="1104" t="s">
        <v>1942</v>
      </c>
      <c r="AE626" s="1104" t="s">
        <v>1942</v>
      </c>
      <c r="AF626" s="1104" t="s">
        <v>1942</v>
      </c>
      <c r="AG626" s="1104" t="s">
        <v>1942</v>
      </c>
      <c r="AH626" s="1104" t="s">
        <v>1942</v>
      </c>
      <c r="AI626" s="1105">
        <f t="shared" si="9"/>
        <v>1</v>
      </c>
      <c r="AJ626" s="1106" t="s">
        <v>1030</v>
      </c>
      <c r="AK626" s="1106" t="s">
        <v>1008</v>
      </c>
      <c r="AL626" s="1106" t="s">
        <v>1009</v>
      </c>
      <c r="AM626" s="1107" t="s">
        <v>2306</v>
      </c>
      <c r="AN626" s="1018" t="s">
        <v>1033</v>
      </c>
      <c r="AO626" s="1018" t="s">
        <v>4559</v>
      </c>
      <c r="AP626" s="1274">
        <v>0</v>
      </c>
      <c r="AQ626" s="1076" t="s">
        <v>1010</v>
      </c>
      <c r="AR626" s="1109" t="s">
        <v>1942</v>
      </c>
      <c r="AS626" s="1110"/>
      <c r="AT626" s="1100"/>
      <c r="AU626" s="1100"/>
      <c r="AV626" s="1100"/>
      <c r="AW626" s="1111"/>
      <c r="AX626" s="1112"/>
      <c r="AY626" s="1075"/>
      <c r="AZ626" s="1076"/>
      <c r="BA626" s="1076"/>
      <c r="BB626" s="1076"/>
      <c r="BC626" s="1076"/>
      <c r="BD626" s="1076"/>
      <c r="BE626" s="1076"/>
      <c r="BF626" s="1076"/>
      <c r="BG626" s="1076"/>
      <c r="BH626" s="1076"/>
      <c r="BI626" s="1420"/>
      <c r="BJ626" s="1368"/>
      <c r="BK626" s="1368"/>
      <c r="BL626" s="1368"/>
      <c r="BM626" s="1368"/>
      <c r="BN626" s="1075"/>
      <c r="BO626" s="1076"/>
      <c r="BP626" s="1076"/>
      <c r="BQ626" s="1076"/>
      <c r="BR626" s="1076"/>
      <c r="BS626" s="1115"/>
      <c r="BT626" s="1076"/>
      <c r="BU626" s="1076"/>
      <c r="BV626" s="1076"/>
      <c r="BW626" s="1116"/>
      <c r="BX626" s="1115"/>
      <c r="BY626" s="1076"/>
      <c r="BZ626" s="1076"/>
      <c r="CA626" s="1076"/>
      <c r="CB626" s="1116"/>
      <c r="CC626" s="1117"/>
      <c r="CD626" s="1376"/>
      <c r="CE626" s="1377"/>
      <c r="CF626" s="1377"/>
      <c r="CG626" s="1377"/>
      <c r="CH626" s="1440"/>
      <c r="CI626" s="1420"/>
      <c r="CJ626" s="1368"/>
      <c r="CK626" s="1368"/>
      <c r="CL626" s="1368"/>
      <c r="CM626" s="1369"/>
      <c r="CN626" s="1420"/>
      <c r="CO626" s="1368"/>
      <c r="CP626" s="1368"/>
      <c r="CQ626" s="1368"/>
      <c r="CR626" s="1369"/>
      <c r="CS626" s="1420"/>
      <c r="CT626" s="1368"/>
      <c r="CU626" s="1368"/>
      <c r="CV626" s="1368"/>
      <c r="CW626" s="1369"/>
      <c r="CX626" s="1420"/>
      <c r="CY626" s="1368"/>
      <c r="CZ626" s="1368"/>
      <c r="DA626" s="1368"/>
      <c r="DB626" s="1369"/>
      <c r="DC626" s="1368"/>
      <c r="DD626" s="1368"/>
      <c r="DE626" s="1368"/>
      <c r="DF626" s="1368"/>
      <c r="DG626" s="1369"/>
      <c r="DH626" s="1420"/>
      <c r="DI626" s="1368"/>
      <c r="DJ626" s="1368"/>
      <c r="DK626" s="1368"/>
      <c r="DL626" s="1369"/>
      <c r="DM626" s="1808"/>
      <c r="DN626" s="1809"/>
      <c r="DO626" s="1809"/>
      <c r="DP626" s="1810"/>
      <c r="DQ626" s="1809"/>
      <c r="DR626" s="1809"/>
      <c r="DS626" s="1809"/>
      <c r="DT626" s="1810"/>
      <c r="DU626" s="1377"/>
      <c r="DV626" s="1729"/>
      <c r="DW626" s="1811"/>
    </row>
    <row r="627" spans="1:127" s="397" customFormat="1" ht="15.75" hidden="1" customHeight="1">
      <c r="A627" s="1097" t="s">
        <v>1054</v>
      </c>
      <c r="B627" s="1057">
        <v>618</v>
      </c>
      <c r="C627" s="1018"/>
      <c r="D627" s="1018"/>
      <c r="E627" s="1018"/>
      <c r="F627" s="1018"/>
      <c r="G627" s="1018"/>
      <c r="H627" s="1018"/>
      <c r="I627" s="1018"/>
      <c r="J627" s="1018"/>
      <c r="K627" s="1018"/>
      <c r="L627" s="1018"/>
      <c r="M627" s="1057"/>
      <c r="N627" s="1018"/>
      <c r="O627" s="1018"/>
      <c r="P627" s="1018"/>
      <c r="Q627" s="1018"/>
      <c r="R627" s="1018"/>
      <c r="S627" s="1018"/>
      <c r="T627" s="1019"/>
      <c r="U627" s="1098" t="s">
        <v>4560</v>
      </c>
      <c r="V627" s="1099" t="s">
        <v>4533</v>
      </c>
      <c r="W627" s="1099" t="s">
        <v>1889</v>
      </c>
      <c r="X627" s="1100" t="s">
        <v>4561</v>
      </c>
      <c r="Y627" s="1101" t="s">
        <v>2388</v>
      </c>
      <c r="Z627" s="1102" t="s">
        <v>4562</v>
      </c>
      <c r="AA627" s="1103" t="s">
        <v>1942</v>
      </c>
      <c r="AB627" s="1104" t="s">
        <v>1942</v>
      </c>
      <c r="AC627" s="1104" t="s">
        <v>1942</v>
      </c>
      <c r="AD627" s="1104">
        <v>1</v>
      </c>
      <c r="AE627" s="1104" t="s">
        <v>1942</v>
      </c>
      <c r="AF627" s="1104" t="s">
        <v>1942</v>
      </c>
      <c r="AG627" s="1104" t="s">
        <v>1942</v>
      </c>
      <c r="AH627" s="1104" t="s">
        <v>1942</v>
      </c>
      <c r="AI627" s="1105">
        <f t="shared" si="9"/>
        <v>1</v>
      </c>
      <c r="AJ627" s="1106" t="s">
        <v>1026</v>
      </c>
      <c r="AK627" s="1106" t="s">
        <v>1008</v>
      </c>
      <c r="AL627" s="1106" t="s">
        <v>1009</v>
      </c>
      <c r="AM627" s="1107" t="s">
        <v>763</v>
      </c>
      <c r="AN627" s="1018" t="s">
        <v>278</v>
      </c>
      <c r="AO627" s="1018" t="s">
        <v>4563</v>
      </c>
      <c r="AP627" s="1274">
        <v>2</v>
      </c>
      <c r="AQ627" s="1076" t="s">
        <v>1010</v>
      </c>
      <c r="AR627" s="1109" t="s">
        <v>1942</v>
      </c>
      <c r="AS627" s="1110"/>
      <c r="AT627" s="1100"/>
      <c r="AU627" s="1100"/>
      <c r="AV627" s="1100"/>
      <c r="AW627" s="1111"/>
      <c r="AX627" s="1112"/>
      <c r="AY627" s="1075"/>
      <c r="AZ627" s="1076"/>
      <c r="BA627" s="1076"/>
      <c r="BB627" s="1076"/>
      <c r="BC627" s="1076"/>
      <c r="BD627" s="1076"/>
      <c r="BE627" s="1076"/>
      <c r="BF627" s="1076"/>
      <c r="BG627" s="1076"/>
      <c r="BH627" s="1076"/>
      <c r="BI627" s="1420"/>
      <c r="BJ627" s="1368"/>
      <c r="BK627" s="1368"/>
      <c r="BL627" s="1368"/>
      <c r="BM627" s="1368"/>
      <c r="BN627" s="1075"/>
      <c r="BO627" s="1076"/>
      <c r="BP627" s="1076"/>
      <c r="BQ627" s="1076"/>
      <c r="BR627" s="1076"/>
      <c r="BS627" s="1115"/>
      <c r="BT627" s="1076"/>
      <c r="BU627" s="1076"/>
      <c r="BV627" s="1076"/>
      <c r="BW627" s="1116"/>
      <c r="BX627" s="1115"/>
      <c r="BY627" s="1076"/>
      <c r="BZ627" s="1076"/>
      <c r="CA627" s="1076"/>
      <c r="CB627" s="1116"/>
      <c r="CC627" s="1117"/>
      <c r="CD627" s="1376"/>
      <c r="CE627" s="1377"/>
      <c r="CF627" s="1377"/>
      <c r="CG627" s="1377"/>
      <c r="CH627" s="1440"/>
      <c r="CI627" s="1420"/>
      <c r="CJ627" s="1368"/>
      <c r="CK627" s="1368"/>
      <c r="CL627" s="1368"/>
      <c r="CM627" s="1369"/>
      <c r="CN627" s="1420"/>
      <c r="CO627" s="1368"/>
      <c r="CP627" s="1368"/>
      <c r="CQ627" s="1368"/>
      <c r="CR627" s="1369"/>
      <c r="CS627" s="1420"/>
      <c r="CT627" s="1368"/>
      <c r="CU627" s="1368"/>
      <c r="CV627" s="1368"/>
      <c r="CW627" s="1369"/>
      <c r="CX627" s="1420"/>
      <c r="CY627" s="1368"/>
      <c r="CZ627" s="1368"/>
      <c r="DA627" s="1368"/>
      <c r="DB627" s="1369"/>
      <c r="DC627" s="1368"/>
      <c r="DD627" s="1368"/>
      <c r="DE627" s="1368"/>
      <c r="DF627" s="1368"/>
      <c r="DG627" s="1369"/>
      <c r="DH627" s="1420"/>
      <c r="DI627" s="1368"/>
      <c r="DJ627" s="1368"/>
      <c r="DK627" s="1368"/>
      <c r="DL627" s="1369"/>
      <c r="DM627" s="1808"/>
      <c r="DN627" s="1809"/>
      <c r="DO627" s="1809"/>
      <c r="DP627" s="1810"/>
      <c r="DQ627" s="1809"/>
      <c r="DR627" s="1809"/>
      <c r="DS627" s="1809"/>
      <c r="DT627" s="1810"/>
      <c r="DU627" s="1377"/>
      <c r="DV627" s="1729"/>
      <c r="DW627" s="1811"/>
    </row>
    <row r="628" spans="1:127" s="397" customFormat="1" ht="15.75" hidden="1" customHeight="1">
      <c r="A628" s="1097" t="s">
        <v>1054</v>
      </c>
      <c r="B628" s="1057">
        <v>619</v>
      </c>
      <c r="C628" s="1018"/>
      <c r="D628" s="1018"/>
      <c r="E628" s="1018"/>
      <c r="F628" s="1018"/>
      <c r="G628" s="1018"/>
      <c r="H628" s="1018"/>
      <c r="I628" s="1018"/>
      <c r="J628" s="1018"/>
      <c r="K628" s="1018"/>
      <c r="L628" s="1018"/>
      <c r="M628" s="1057"/>
      <c r="N628" s="1018"/>
      <c r="O628" s="1018"/>
      <c r="P628" s="1018"/>
      <c r="Q628" s="1018"/>
      <c r="R628" s="1018"/>
      <c r="S628" s="1018"/>
      <c r="T628" s="1019"/>
      <c r="U628" s="1098" t="s">
        <v>4564</v>
      </c>
      <c r="V628" s="1099" t="s">
        <v>4533</v>
      </c>
      <c r="W628" s="1099" t="s">
        <v>1907</v>
      </c>
      <c r="X628" s="1100" t="s">
        <v>4565</v>
      </c>
      <c r="Y628" s="1101" t="s">
        <v>4566</v>
      </c>
      <c r="Z628" s="1102" t="s">
        <v>4567</v>
      </c>
      <c r="AA628" s="1103" t="s">
        <v>1942</v>
      </c>
      <c r="AB628" s="1104" t="s">
        <v>1942</v>
      </c>
      <c r="AC628" s="1104">
        <v>1</v>
      </c>
      <c r="AD628" s="1104" t="s">
        <v>1942</v>
      </c>
      <c r="AE628" s="1104" t="s">
        <v>1942</v>
      </c>
      <c r="AF628" s="1104" t="s">
        <v>1942</v>
      </c>
      <c r="AG628" s="1104" t="s">
        <v>1942</v>
      </c>
      <c r="AH628" s="1104" t="s">
        <v>1942</v>
      </c>
      <c r="AI628" s="1105">
        <f t="shared" si="9"/>
        <v>1</v>
      </c>
      <c r="AJ628" s="1106" t="s">
        <v>1017</v>
      </c>
      <c r="AK628" s="1106" t="s">
        <v>1008</v>
      </c>
      <c r="AL628" s="1106" t="s">
        <v>1009</v>
      </c>
      <c r="AM628" s="1107" t="s">
        <v>2106</v>
      </c>
      <c r="AN628" s="1018" t="s">
        <v>1033</v>
      </c>
      <c r="AO628" s="1018" t="s">
        <v>2178</v>
      </c>
      <c r="AP628" s="1274">
        <v>0</v>
      </c>
      <c r="AQ628" s="1076" t="s">
        <v>1010</v>
      </c>
      <c r="AR628" s="1109" t="s">
        <v>1942</v>
      </c>
      <c r="AS628" s="1110"/>
      <c r="AT628" s="1100"/>
      <c r="AU628" s="1100"/>
      <c r="AV628" s="1100"/>
      <c r="AW628" s="1111"/>
      <c r="AX628" s="1112"/>
      <c r="AY628" s="1075"/>
      <c r="AZ628" s="1076"/>
      <c r="BA628" s="1076"/>
      <c r="BB628" s="1076"/>
      <c r="BC628" s="1076"/>
      <c r="BD628" s="1076"/>
      <c r="BE628" s="1076"/>
      <c r="BF628" s="1076"/>
      <c r="BG628" s="1076"/>
      <c r="BH628" s="1076"/>
      <c r="BI628" s="1420"/>
      <c r="BJ628" s="1368"/>
      <c r="BK628" s="1368"/>
      <c r="BL628" s="1368"/>
      <c r="BM628" s="1368"/>
      <c r="BN628" s="1075"/>
      <c r="BO628" s="1076"/>
      <c r="BP628" s="1076"/>
      <c r="BQ628" s="1076"/>
      <c r="BR628" s="1076"/>
      <c r="BS628" s="1115"/>
      <c r="BT628" s="1076"/>
      <c r="BU628" s="1076"/>
      <c r="BV628" s="1076"/>
      <c r="BW628" s="1116"/>
      <c r="BX628" s="1115"/>
      <c r="BY628" s="1076"/>
      <c r="BZ628" s="1076"/>
      <c r="CA628" s="1076"/>
      <c r="CB628" s="1116"/>
      <c r="CC628" s="1117"/>
      <c r="CD628" s="1376"/>
      <c r="CE628" s="1377"/>
      <c r="CF628" s="1377"/>
      <c r="CG628" s="1377"/>
      <c r="CH628" s="1440"/>
      <c r="CI628" s="1420"/>
      <c r="CJ628" s="1368"/>
      <c r="CK628" s="1368"/>
      <c r="CL628" s="1368"/>
      <c r="CM628" s="1369"/>
      <c r="CN628" s="1420"/>
      <c r="CO628" s="1368"/>
      <c r="CP628" s="1368"/>
      <c r="CQ628" s="1368"/>
      <c r="CR628" s="1369"/>
      <c r="CS628" s="1420"/>
      <c r="CT628" s="1368"/>
      <c r="CU628" s="1368"/>
      <c r="CV628" s="1368"/>
      <c r="CW628" s="1369"/>
      <c r="CX628" s="1420"/>
      <c r="CY628" s="1368"/>
      <c r="CZ628" s="1368"/>
      <c r="DA628" s="1368"/>
      <c r="DB628" s="1369"/>
      <c r="DC628" s="1368"/>
      <c r="DD628" s="1368"/>
      <c r="DE628" s="1368"/>
      <c r="DF628" s="1368"/>
      <c r="DG628" s="1369"/>
      <c r="DH628" s="1420"/>
      <c r="DI628" s="1368"/>
      <c r="DJ628" s="1368"/>
      <c r="DK628" s="1368"/>
      <c r="DL628" s="1369"/>
      <c r="DM628" s="1808"/>
      <c r="DN628" s="1809"/>
      <c r="DO628" s="1809"/>
      <c r="DP628" s="1810"/>
      <c r="DQ628" s="1809"/>
      <c r="DR628" s="1809"/>
      <c r="DS628" s="1809"/>
      <c r="DT628" s="1810"/>
      <c r="DU628" s="1377"/>
      <c r="DV628" s="1729"/>
      <c r="DW628" s="1811"/>
    </row>
    <row r="629" spans="1:127" s="397" customFormat="1" ht="15.75" hidden="1" customHeight="1">
      <c r="A629" s="1097" t="s">
        <v>1054</v>
      </c>
      <c r="B629" s="1057">
        <v>620</v>
      </c>
      <c r="C629" s="1018"/>
      <c r="D629" s="1018"/>
      <c r="E629" s="1018"/>
      <c r="F629" s="1018"/>
      <c r="G629" s="1018"/>
      <c r="H629" s="1018"/>
      <c r="I629" s="1018"/>
      <c r="J629" s="1018"/>
      <c r="K629" s="1018"/>
      <c r="L629" s="1018"/>
      <c r="M629" s="1057"/>
      <c r="N629" s="1018"/>
      <c r="O629" s="1018"/>
      <c r="P629" s="1018"/>
      <c r="Q629" s="1018"/>
      <c r="R629" s="1018"/>
      <c r="S629" s="1018"/>
      <c r="T629" s="1019"/>
      <c r="U629" s="1098" t="s">
        <v>4568</v>
      </c>
      <c r="V629" s="1099" t="s">
        <v>4533</v>
      </c>
      <c r="W629" s="1099" t="s">
        <v>1907</v>
      </c>
      <c r="X629" s="1100" t="s">
        <v>4569</v>
      </c>
      <c r="Y629" s="1101" t="s">
        <v>4570</v>
      </c>
      <c r="Z629" s="1102" t="s">
        <v>4570</v>
      </c>
      <c r="AA629" s="1103" t="s">
        <v>1942</v>
      </c>
      <c r="AB629" s="1104" t="s">
        <v>1942</v>
      </c>
      <c r="AC629" s="1104">
        <v>1</v>
      </c>
      <c r="AD629" s="1104" t="s">
        <v>1942</v>
      </c>
      <c r="AE629" s="1104" t="s">
        <v>1942</v>
      </c>
      <c r="AF629" s="1104" t="s">
        <v>1942</v>
      </c>
      <c r="AG629" s="1104" t="s">
        <v>1942</v>
      </c>
      <c r="AH629" s="1104" t="s">
        <v>1942</v>
      </c>
      <c r="AI629" s="1105">
        <f t="shared" si="9"/>
        <v>1</v>
      </c>
      <c r="AJ629" s="1106" t="s">
        <v>1026</v>
      </c>
      <c r="AK629" s="1106" t="s">
        <v>1008</v>
      </c>
      <c r="AL629" s="1106" t="s">
        <v>1009</v>
      </c>
      <c r="AM629" s="1107" t="s">
        <v>2106</v>
      </c>
      <c r="AN629" s="1018" t="s">
        <v>1033</v>
      </c>
      <c r="AO629" s="1018" t="s">
        <v>4571</v>
      </c>
      <c r="AP629" s="1274">
        <v>1</v>
      </c>
      <c r="AQ629" s="1076" t="s">
        <v>1010</v>
      </c>
      <c r="AR629" s="1109" t="s">
        <v>1942</v>
      </c>
      <c r="AS629" s="1110"/>
      <c r="AT629" s="1100"/>
      <c r="AU629" s="1100"/>
      <c r="AV629" s="1100"/>
      <c r="AW629" s="1111"/>
      <c r="AX629" s="1112"/>
      <c r="AY629" s="1075"/>
      <c r="AZ629" s="1076"/>
      <c r="BA629" s="1076"/>
      <c r="BB629" s="1076"/>
      <c r="BC629" s="1076"/>
      <c r="BD629" s="1076"/>
      <c r="BE629" s="1076"/>
      <c r="BF629" s="1076"/>
      <c r="BG629" s="1076"/>
      <c r="BH629" s="1076"/>
      <c r="BI629" s="1420"/>
      <c r="BJ629" s="1368"/>
      <c r="BK629" s="1368"/>
      <c r="BL629" s="1368"/>
      <c r="BM629" s="1368"/>
      <c r="BN629" s="1075"/>
      <c r="BO629" s="1076"/>
      <c r="BP629" s="1076"/>
      <c r="BQ629" s="1076"/>
      <c r="BR629" s="1076"/>
      <c r="BS629" s="1115"/>
      <c r="BT629" s="1076"/>
      <c r="BU629" s="1076"/>
      <c r="BV629" s="1076"/>
      <c r="BW629" s="1116"/>
      <c r="BX629" s="1115"/>
      <c r="BY629" s="1076"/>
      <c r="BZ629" s="1076"/>
      <c r="CA629" s="1076"/>
      <c r="CB629" s="1116"/>
      <c r="CC629" s="1117"/>
      <c r="CD629" s="1376"/>
      <c r="CE629" s="1377"/>
      <c r="CF629" s="1377"/>
      <c r="CG629" s="1377"/>
      <c r="CH629" s="1440"/>
      <c r="CI629" s="1420"/>
      <c r="CJ629" s="1368"/>
      <c r="CK629" s="1368"/>
      <c r="CL629" s="1368"/>
      <c r="CM629" s="1369"/>
      <c r="CN629" s="1420"/>
      <c r="CO629" s="1368"/>
      <c r="CP629" s="1368"/>
      <c r="CQ629" s="1368"/>
      <c r="CR629" s="1369"/>
      <c r="CS629" s="1420"/>
      <c r="CT629" s="1368"/>
      <c r="CU629" s="1368"/>
      <c r="CV629" s="1368"/>
      <c r="CW629" s="1369"/>
      <c r="CX629" s="1420"/>
      <c r="CY629" s="1368"/>
      <c r="CZ629" s="1368"/>
      <c r="DA629" s="1368"/>
      <c r="DB629" s="1369"/>
      <c r="DC629" s="1368"/>
      <c r="DD629" s="1368"/>
      <c r="DE629" s="1368"/>
      <c r="DF629" s="1368"/>
      <c r="DG629" s="1369"/>
      <c r="DH629" s="1420"/>
      <c r="DI629" s="1368"/>
      <c r="DJ629" s="1368"/>
      <c r="DK629" s="1368"/>
      <c r="DL629" s="1369"/>
      <c r="DM629" s="1808"/>
      <c r="DN629" s="1809"/>
      <c r="DO629" s="1809"/>
      <c r="DP629" s="1810"/>
      <c r="DQ629" s="1809"/>
      <c r="DR629" s="1809"/>
      <c r="DS629" s="1809"/>
      <c r="DT629" s="1810"/>
      <c r="DU629" s="1377"/>
      <c r="DV629" s="1729"/>
      <c r="DW629" s="1811"/>
    </row>
    <row r="630" spans="1:127" s="397" customFormat="1" ht="15.75" hidden="1" customHeight="1">
      <c r="A630" s="1097" t="s">
        <v>1054</v>
      </c>
      <c r="B630" s="1057">
        <v>621</v>
      </c>
      <c r="C630" s="1018"/>
      <c r="D630" s="1018"/>
      <c r="E630" s="1018"/>
      <c r="F630" s="1018"/>
      <c r="G630" s="1018"/>
      <c r="H630" s="1018"/>
      <c r="I630" s="1018"/>
      <c r="J630" s="1018"/>
      <c r="K630" s="1018"/>
      <c r="L630" s="1018"/>
      <c r="M630" s="1057"/>
      <c r="N630" s="1018"/>
      <c r="O630" s="1018"/>
      <c r="P630" s="1018"/>
      <c r="Q630" s="1018"/>
      <c r="R630" s="1018"/>
      <c r="S630" s="1018"/>
      <c r="T630" s="1019"/>
      <c r="U630" s="1098" t="s">
        <v>4572</v>
      </c>
      <c r="V630" s="1099" t="s">
        <v>4533</v>
      </c>
      <c r="W630" s="1099" t="s">
        <v>1907</v>
      </c>
      <c r="X630" s="1100" t="s">
        <v>4573</v>
      </c>
      <c r="Y630" s="1101" t="s">
        <v>4574</v>
      </c>
      <c r="Z630" s="1102" t="s">
        <v>4575</v>
      </c>
      <c r="AA630" s="1103" t="s">
        <v>1942</v>
      </c>
      <c r="AB630" s="1104" t="s">
        <v>1942</v>
      </c>
      <c r="AC630" s="1104">
        <v>1</v>
      </c>
      <c r="AD630" s="1104" t="s">
        <v>1942</v>
      </c>
      <c r="AE630" s="1104" t="s">
        <v>1942</v>
      </c>
      <c r="AF630" s="1104" t="s">
        <v>1942</v>
      </c>
      <c r="AG630" s="1104" t="s">
        <v>1942</v>
      </c>
      <c r="AH630" s="1104" t="s">
        <v>1942</v>
      </c>
      <c r="AI630" s="1105">
        <f t="shared" si="9"/>
        <v>1</v>
      </c>
      <c r="AJ630" s="1106" t="s">
        <v>1017</v>
      </c>
      <c r="AK630" s="1106" t="s">
        <v>1008</v>
      </c>
      <c r="AL630" s="1106" t="s">
        <v>1009</v>
      </c>
      <c r="AM630" s="1107" t="s">
        <v>2106</v>
      </c>
      <c r="AN630" s="1018" t="s">
        <v>1033</v>
      </c>
      <c r="AO630" s="1018" t="s">
        <v>4576</v>
      </c>
      <c r="AP630" s="1274">
        <v>1</v>
      </c>
      <c r="AQ630" s="1076" t="s">
        <v>1010</v>
      </c>
      <c r="AR630" s="1109" t="s">
        <v>1942</v>
      </c>
      <c r="AS630" s="1110"/>
      <c r="AT630" s="1100"/>
      <c r="AU630" s="1100"/>
      <c r="AV630" s="1100"/>
      <c r="AW630" s="1111"/>
      <c r="AX630" s="1112"/>
      <c r="AY630" s="1075"/>
      <c r="AZ630" s="1076"/>
      <c r="BA630" s="1076"/>
      <c r="BB630" s="1076"/>
      <c r="BC630" s="1076"/>
      <c r="BD630" s="1076"/>
      <c r="BE630" s="1076"/>
      <c r="BF630" s="1076"/>
      <c r="BG630" s="1076"/>
      <c r="BH630" s="1076"/>
      <c r="BI630" s="1420"/>
      <c r="BJ630" s="1368"/>
      <c r="BK630" s="1368"/>
      <c r="BL630" s="1368"/>
      <c r="BM630" s="1368"/>
      <c r="BN630" s="1075"/>
      <c r="BO630" s="1076"/>
      <c r="BP630" s="1076"/>
      <c r="BQ630" s="1076"/>
      <c r="BR630" s="1076"/>
      <c r="BS630" s="1115"/>
      <c r="BT630" s="1076"/>
      <c r="BU630" s="1076"/>
      <c r="BV630" s="1076"/>
      <c r="BW630" s="1116"/>
      <c r="BX630" s="1115"/>
      <c r="BY630" s="1076"/>
      <c r="BZ630" s="1076"/>
      <c r="CA630" s="1076"/>
      <c r="CB630" s="1116"/>
      <c r="CC630" s="1117"/>
      <c r="CD630" s="1376"/>
      <c r="CE630" s="1377"/>
      <c r="CF630" s="1377"/>
      <c r="CG630" s="1377"/>
      <c r="CH630" s="1440"/>
      <c r="CI630" s="1420"/>
      <c r="CJ630" s="1368"/>
      <c r="CK630" s="1368"/>
      <c r="CL630" s="1368"/>
      <c r="CM630" s="1369"/>
      <c r="CN630" s="1420"/>
      <c r="CO630" s="1368"/>
      <c r="CP630" s="1368"/>
      <c r="CQ630" s="1368"/>
      <c r="CR630" s="1369"/>
      <c r="CS630" s="1420"/>
      <c r="CT630" s="1368"/>
      <c r="CU630" s="1368"/>
      <c r="CV630" s="1368"/>
      <c r="CW630" s="1369"/>
      <c r="CX630" s="1420"/>
      <c r="CY630" s="1368"/>
      <c r="CZ630" s="1368"/>
      <c r="DA630" s="1368"/>
      <c r="DB630" s="1369"/>
      <c r="DC630" s="1368"/>
      <c r="DD630" s="1368"/>
      <c r="DE630" s="1368"/>
      <c r="DF630" s="1368"/>
      <c r="DG630" s="1369"/>
      <c r="DH630" s="1420"/>
      <c r="DI630" s="1368"/>
      <c r="DJ630" s="1368"/>
      <c r="DK630" s="1368"/>
      <c r="DL630" s="1369"/>
      <c r="DM630" s="1808"/>
      <c r="DN630" s="1809"/>
      <c r="DO630" s="1809"/>
      <c r="DP630" s="1810"/>
      <c r="DQ630" s="1809"/>
      <c r="DR630" s="1809"/>
      <c r="DS630" s="1809"/>
      <c r="DT630" s="1810"/>
      <c r="DU630" s="1377"/>
      <c r="DV630" s="1729"/>
      <c r="DW630" s="1811"/>
    </row>
    <row r="631" spans="1:127" s="397" customFormat="1" ht="15.75" hidden="1" customHeight="1">
      <c r="A631" s="1097" t="s">
        <v>1054</v>
      </c>
      <c r="B631" s="1057">
        <v>622</v>
      </c>
      <c r="C631" s="1018"/>
      <c r="D631" s="1018"/>
      <c r="E631" s="1018"/>
      <c r="F631" s="1018"/>
      <c r="G631" s="1018"/>
      <c r="H631" s="1018"/>
      <c r="I631" s="1018"/>
      <c r="J631" s="1018"/>
      <c r="K631" s="1018"/>
      <c r="L631" s="1018"/>
      <c r="M631" s="1057"/>
      <c r="N631" s="1018"/>
      <c r="O631" s="1018"/>
      <c r="P631" s="1018"/>
      <c r="Q631" s="1018"/>
      <c r="R631" s="1018"/>
      <c r="S631" s="1018"/>
      <c r="T631" s="1019"/>
      <c r="U631" s="1098" t="s">
        <v>4577</v>
      </c>
      <c r="V631" s="1099" t="s">
        <v>4533</v>
      </c>
      <c r="W631" s="1099" t="s">
        <v>1907</v>
      </c>
      <c r="X631" s="1100" t="s">
        <v>4578</v>
      </c>
      <c r="Y631" s="1101" t="s">
        <v>4579</v>
      </c>
      <c r="Z631" s="1102" t="s">
        <v>4580</v>
      </c>
      <c r="AA631" s="1103">
        <v>1</v>
      </c>
      <c r="AB631" s="1104" t="s">
        <v>1942</v>
      </c>
      <c r="AC631" s="1104" t="s">
        <v>1942</v>
      </c>
      <c r="AD631" s="1104" t="s">
        <v>1942</v>
      </c>
      <c r="AE631" s="1104" t="s">
        <v>1942</v>
      </c>
      <c r="AF631" s="1104" t="s">
        <v>1942</v>
      </c>
      <c r="AG631" s="1104" t="s">
        <v>1942</v>
      </c>
      <c r="AH631" s="1104" t="s">
        <v>1942</v>
      </c>
      <c r="AI631" s="1105">
        <f t="shared" si="9"/>
        <v>1</v>
      </c>
      <c r="AJ631" s="1106" t="s">
        <v>1030</v>
      </c>
      <c r="AK631" s="1106" t="s">
        <v>1008</v>
      </c>
      <c r="AL631" s="1106" t="s">
        <v>1009</v>
      </c>
      <c r="AM631" s="1107" t="s">
        <v>1979</v>
      </c>
      <c r="AN631" s="1018" t="s">
        <v>1033</v>
      </c>
      <c r="AO631" s="1018" t="s">
        <v>4542</v>
      </c>
      <c r="AP631" s="1274">
        <v>0</v>
      </c>
      <c r="AQ631" s="1076" t="s">
        <v>1020</v>
      </c>
      <c r="AR631" s="1109" t="s">
        <v>1942</v>
      </c>
      <c r="AS631" s="1110"/>
      <c r="AT631" s="1100"/>
      <c r="AU631" s="1100"/>
      <c r="AV631" s="1100"/>
      <c r="AW631" s="1111"/>
      <c r="AX631" s="1112"/>
      <c r="AY631" s="1075"/>
      <c r="AZ631" s="1076"/>
      <c r="BA631" s="1076"/>
      <c r="BB631" s="1076"/>
      <c r="BC631" s="1076"/>
      <c r="BD631" s="1076"/>
      <c r="BE631" s="1076"/>
      <c r="BF631" s="1076"/>
      <c r="BG631" s="1076"/>
      <c r="BH631" s="1076"/>
      <c r="BI631" s="1420"/>
      <c r="BJ631" s="1368"/>
      <c r="BK631" s="1368"/>
      <c r="BL631" s="1368"/>
      <c r="BM631" s="1368"/>
      <c r="BN631" s="1075"/>
      <c r="BO631" s="1076"/>
      <c r="BP631" s="1076"/>
      <c r="BQ631" s="1076"/>
      <c r="BR631" s="1076"/>
      <c r="BS631" s="1115"/>
      <c r="BT631" s="1076"/>
      <c r="BU631" s="1076"/>
      <c r="BV631" s="1076"/>
      <c r="BW631" s="1116"/>
      <c r="BX631" s="1115"/>
      <c r="BY631" s="1076"/>
      <c r="BZ631" s="1076"/>
      <c r="CA631" s="1076"/>
      <c r="CB631" s="1116"/>
      <c r="CC631" s="1117"/>
      <c r="CD631" s="1376"/>
      <c r="CE631" s="1377"/>
      <c r="CF631" s="1377"/>
      <c r="CG631" s="1377"/>
      <c r="CH631" s="1440"/>
      <c r="CI631" s="1420"/>
      <c r="CJ631" s="1368"/>
      <c r="CK631" s="1368"/>
      <c r="CL631" s="1368"/>
      <c r="CM631" s="1369"/>
      <c r="CN631" s="1420"/>
      <c r="CO631" s="1368"/>
      <c r="CP631" s="1368"/>
      <c r="CQ631" s="1368"/>
      <c r="CR631" s="1369"/>
      <c r="CS631" s="1420"/>
      <c r="CT631" s="1368"/>
      <c r="CU631" s="1368"/>
      <c r="CV631" s="1368"/>
      <c r="CW631" s="1369"/>
      <c r="CX631" s="1420"/>
      <c r="CY631" s="1368"/>
      <c r="CZ631" s="1368"/>
      <c r="DA631" s="1368"/>
      <c r="DB631" s="1369"/>
      <c r="DC631" s="1368"/>
      <c r="DD631" s="1368"/>
      <c r="DE631" s="1368"/>
      <c r="DF631" s="1368"/>
      <c r="DG631" s="1369"/>
      <c r="DH631" s="1420"/>
      <c r="DI631" s="1368"/>
      <c r="DJ631" s="1368"/>
      <c r="DK631" s="1368"/>
      <c r="DL631" s="1369"/>
      <c r="DM631" s="1808"/>
      <c r="DN631" s="1809"/>
      <c r="DO631" s="1809"/>
      <c r="DP631" s="1810"/>
      <c r="DQ631" s="1809"/>
      <c r="DR631" s="1809"/>
      <c r="DS631" s="1809"/>
      <c r="DT631" s="1810"/>
      <c r="DU631" s="1377"/>
      <c r="DV631" s="1729"/>
      <c r="DW631" s="1811"/>
    </row>
    <row r="632" spans="1:127" s="397" customFormat="1" ht="15.75" hidden="1" customHeight="1">
      <c r="A632" s="1097" t="s">
        <v>1054</v>
      </c>
      <c r="B632" s="1057">
        <v>623</v>
      </c>
      <c r="C632" s="1018"/>
      <c r="D632" s="1018"/>
      <c r="E632" s="1018"/>
      <c r="F632" s="1018"/>
      <c r="G632" s="1018"/>
      <c r="H632" s="1018"/>
      <c r="I632" s="1018"/>
      <c r="J632" s="1018"/>
      <c r="K632" s="1018"/>
      <c r="L632" s="1018"/>
      <c r="M632" s="1057"/>
      <c r="N632" s="1018"/>
      <c r="O632" s="1018"/>
      <c r="P632" s="1018"/>
      <c r="Q632" s="1018"/>
      <c r="R632" s="1018"/>
      <c r="S632" s="1018"/>
      <c r="T632" s="1019"/>
      <c r="U632" s="1098" t="s">
        <v>4582</v>
      </c>
      <c r="V632" s="1099" t="s">
        <v>1942</v>
      </c>
      <c r="W632" s="1099" t="s">
        <v>1942</v>
      </c>
      <c r="X632" s="1100" t="s">
        <v>2032</v>
      </c>
      <c r="Y632" s="1101" t="s">
        <v>2033</v>
      </c>
      <c r="Z632" s="1102" t="s">
        <v>1942</v>
      </c>
      <c r="AA632" s="1103" t="s">
        <v>1942</v>
      </c>
      <c r="AB632" s="1104" t="s">
        <v>1942</v>
      </c>
      <c r="AC632" s="1104" t="s">
        <v>1942</v>
      </c>
      <c r="AD632" s="1104" t="s">
        <v>1942</v>
      </c>
      <c r="AE632" s="1104" t="s">
        <v>1942</v>
      </c>
      <c r="AF632" s="1104" t="s">
        <v>1942</v>
      </c>
      <c r="AG632" s="1104" t="s">
        <v>1942</v>
      </c>
      <c r="AH632" s="1104" t="s">
        <v>1942</v>
      </c>
      <c r="AI632" s="1105">
        <f t="shared" si="9"/>
        <v>0</v>
      </c>
      <c r="AJ632" s="1106" t="s">
        <v>1007</v>
      </c>
      <c r="AK632" s="1106" t="s">
        <v>1942</v>
      </c>
      <c r="AL632" s="1106" t="s">
        <v>1942</v>
      </c>
      <c r="AM632" s="1107" t="s">
        <v>1942</v>
      </c>
      <c r="AN632" s="1018" t="s">
        <v>1942</v>
      </c>
      <c r="AO632" s="1018" t="s">
        <v>2034</v>
      </c>
      <c r="AP632" s="1275">
        <v>0</v>
      </c>
      <c r="AQ632" s="1076" t="s">
        <v>1942</v>
      </c>
      <c r="AR632" s="1109" t="s">
        <v>1942</v>
      </c>
      <c r="AS632" s="1110"/>
      <c r="AT632" s="1100"/>
      <c r="AU632" s="1100"/>
      <c r="AV632" s="1100"/>
      <c r="AW632" s="1111"/>
      <c r="AX632" s="1112"/>
      <c r="AY632" s="1075"/>
      <c r="AZ632" s="1076"/>
      <c r="BA632" s="1076"/>
      <c r="BB632" s="1076"/>
      <c r="BC632" s="1076"/>
      <c r="BD632" s="1076"/>
      <c r="BE632" s="1076"/>
      <c r="BF632" s="1076"/>
      <c r="BG632" s="1076"/>
      <c r="BH632" s="1076"/>
      <c r="BI632" s="1420"/>
      <c r="BJ632" s="1368"/>
      <c r="BK632" s="1368"/>
      <c r="BL632" s="1368"/>
      <c r="BM632" s="1368"/>
      <c r="BN632" s="1075"/>
      <c r="BO632" s="1076"/>
      <c r="BP632" s="1076"/>
      <c r="BQ632" s="1076"/>
      <c r="BR632" s="1076"/>
      <c r="BS632" s="1115"/>
      <c r="BT632" s="1076"/>
      <c r="BU632" s="1076"/>
      <c r="BV632" s="1076"/>
      <c r="BW632" s="1116"/>
      <c r="BX632" s="1115"/>
      <c r="BY632" s="1076"/>
      <c r="BZ632" s="1076"/>
      <c r="CA632" s="1076"/>
      <c r="CB632" s="1116"/>
      <c r="CC632" s="1117"/>
      <c r="CD632" s="1376"/>
      <c r="CE632" s="1377"/>
      <c r="CF632" s="1377"/>
      <c r="CG632" s="1377"/>
      <c r="CH632" s="1440"/>
      <c r="CI632" s="1420"/>
      <c r="CJ632" s="1368"/>
      <c r="CK632" s="1368"/>
      <c r="CL632" s="1368"/>
      <c r="CM632" s="1369"/>
      <c r="CN632" s="1420"/>
      <c r="CO632" s="1368"/>
      <c r="CP632" s="1368"/>
      <c r="CQ632" s="1368"/>
      <c r="CR632" s="1369"/>
      <c r="CS632" s="1420"/>
      <c r="CT632" s="1368"/>
      <c r="CU632" s="1368"/>
      <c r="CV632" s="1368"/>
      <c r="CW632" s="1369"/>
      <c r="CX632" s="1420"/>
      <c r="CY632" s="1368"/>
      <c r="CZ632" s="1368"/>
      <c r="DA632" s="1368"/>
      <c r="DB632" s="1369"/>
      <c r="DC632" s="1368"/>
      <c r="DD632" s="1368"/>
      <c r="DE632" s="1368"/>
      <c r="DF632" s="1368"/>
      <c r="DG632" s="1369"/>
      <c r="DH632" s="1420"/>
      <c r="DI632" s="1368"/>
      <c r="DJ632" s="1368"/>
      <c r="DK632" s="1368"/>
      <c r="DL632" s="1369"/>
      <c r="DM632" s="1808"/>
      <c r="DN632" s="1809"/>
      <c r="DO632" s="1809"/>
      <c r="DP632" s="1810"/>
      <c r="DQ632" s="1809"/>
      <c r="DR632" s="1809"/>
      <c r="DS632" s="1809"/>
      <c r="DT632" s="1810"/>
      <c r="DU632" s="1377"/>
      <c r="DV632" s="1729"/>
      <c r="DW632" s="1811"/>
    </row>
    <row r="633" spans="1:127" s="397" customFormat="1" ht="15.75" hidden="1" customHeight="1">
      <c r="A633" s="1097" t="s">
        <v>1054</v>
      </c>
      <c r="B633" s="1057">
        <v>624</v>
      </c>
      <c r="C633" s="1018"/>
      <c r="D633" s="1018"/>
      <c r="E633" s="1018"/>
      <c r="F633" s="1018"/>
      <c r="G633" s="1018"/>
      <c r="H633" s="1018"/>
      <c r="I633" s="1018"/>
      <c r="J633" s="1018"/>
      <c r="K633" s="1018"/>
      <c r="L633" s="1018"/>
      <c r="M633" s="1057"/>
      <c r="N633" s="1018"/>
      <c r="O633" s="1018"/>
      <c r="P633" s="1018"/>
      <c r="Q633" s="1018"/>
      <c r="R633" s="1018"/>
      <c r="S633" s="1018"/>
      <c r="T633" s="1019"/>
      <c r="U633" s="1098" t="s">
        <v>4583</v>
      </c>
      <c r="V633" s="1099" t="s">
        <v>1942</v>
      </c>
      <c r="W633" s="1099" t="s">
        <v>1942</v>
      </c>
      <c r="X633" s="1100" t="s">
        <v>4584</v>
      </c>
      <c r="Y633" s="1101" t="s">
        <v>4585</v>
      </c>
      <c r="Z633" s="1102" t="s">
        <v>1942</v>
      </c>
      <c r="AA633" s="1103" t="s">
        <v>1942</v>
      </c>
      <c r="AB633" s="1104">
        <v>1</v>
      </c>
      <c r="AC633" s="1104" t="s">
        <v>1942</v>
      </c>
      <c r="AD633" s="1104" t="s">
        <v>1942</v>
      </c>
      <c r="AE633" s="1104" t="s">
        <v>1942</v>
      </c>
      <c r="AF633" s="1104" t="s">
        <v>1942</v>
      </c>
      <c r="AG633" s="1104" t="s">
        <v>1942</v>
      </c>
      <c r="AH633" s="1104" t="s">
        <v>1942</v>
      </c>
      <c r="AI633" s="1105">
        <f t="shared" si="9"/>
        <v>1</v>
      </c>
      <c r="AJ633" s="1106"/>
      <c r="AK633" s="1106"/>
      <c r="AL633" s="1106"/>
      <c r="AM633" s="1107"/>
      <c r="AN633" s="1018"/>
      <c r="AO633" s="1018"/>
      <c r="AP633" s="1275">
        <v>0</v>
      </c>
      <c r="AQ633" s="1076"/>
      <c r="AR633" s="1109"/>
      <c r="AS633" s="1110"/>
      <c r="AT633" s="1100"/>
      <c r="AU633" s="1100"/>
      <c r="AV633" s="1100"/>
      <c r="AW633" s="1111"/>
      <c r="AX633" s="1112"/>
      <c r="AY633" s="1075"/>
      <c r="AZ633" s="1076"/>
      <c r="BA633" s="1076"/>
      <c r="BB633" s="1076"/>
      <c r="BC633" s="1076"/>
      <c r="BD633" s="1076"/>
      <c r="BE633" s="1076"/>
      <c r="BF633" s="1076"/>
      <c r="BG633" s="1076"/>
      <c r="BH633" s="1076"/>
      <c r="BI633" s="1420"/>
      <c r="BJ633" s="1368"/>
      <c r="BK633" s="1368"/>
      <c r="BL633" s="1368"/>
      <c r="BM633" s="1368"/>
      <c r="BN633" s="1075"/>
      <c r="BO633" s="1076"/>
      <c r="BP633" s="1076"/>
      <c r="BQ633" s="1076"/>
      <c r="BR633" s="1076"/>
      <c r="BS633" s="1115"/>
      <c r="BT633" s="1076"/>
      <c r="BU633" s="1076"/>
      <c r="BV633" s="1076"/>
      <c r="BW633" s="1116"/>
      <c r="BX633" s="1115"/>
      <c r="BY633" s="1076"/>
      <c r="BZ633" s="1076"/>
      <c r="CA633" s="1076"/>
      <c r="CB633" s="1116"/>
      <c r="CC633" s="1117"/>
      <c r="CD633" s="1376"/>
      <c r="CE633" s="1377"/>
      <c r="CF633" s="1377"/>
      <c r="CG633" s="1377"/>
      <c r="CH633" s="1440"/>
      <c r="CI633" s="1420"/>
      <c r="CJ633" s="1368"/>
      <c r="CK633" s="1368"/>
      <c r="CL633" s="1368"/>
      <c r="CM633" s="1369"/>
      <c r="CN633" s="1420"/>
      <c r="CO633" s="1368"/>
      <c r="CP633" s="1368"/>
      <c r="CQ633" s="1368"/>
      <c r="CR633" s="1369"/>
      <c r="CS633" s="1420"/>
      <c r="CT633" s="1368"/>
      <c r="CU633" s="1368"/>
      <c r="CV633" s="1368"/>
      <c r="CW633" s="1369"/>
      <c r="CX633" s="1420"/>
      <c r="CY633" s="1368"/>
      <c r="CZ633" s="1368"/>
      <c r="DA633" s="1368"/>
      <c r="DB633" s="1369"/>
      <c r="DC633" s="1368"/>
      <c r="DD633" s="1368"/>
      <c r="DE633" s="1368"/>
      <c r="DF633" s="1368"/>
      <c r="DG633" s="1369"/>
      <c r="DH633" s="1420"/>
      <c r="DI633" s="1368"/>
      <c r="DJ633" s="1368"/>
      <c r="DK633" s="1368"/>
      <c r="DL633" s="1369"/>
      <c r="DM633" s="1808"/>
      <c r="DN633" s="1809"/>
      <c r="DO633" s="1809"/>
      <c r="DP633" s="1810"/>
      <c r="DQ633" s="1809"/>
      <c r="DR633" s="1809"/>
      <c r="DS633" s="1809"/>
      <c r="DT633" s="1810"/>
      <c r="DU633" s="1377"/>
      <c r="DV633" s="1729"/>
      <c r="DW633" s="1811"/>
    </row>
    <row r="634" spans="1:127" s="397" customFormat="1" ht="15.75" hidden="1" customHeight="1">
      <c r="A634" s="1097" t="s">
        <v>1054</v>
      </c>
      <c r="B634" s="1057">
        <v>625</v>
      </c>
      <c r="C634" s="1018"/>
      <c r="D634" s="1018"/>
      <c r="E634" s="1018"/>
      <c r="F634" s="1018"/>
      <c r="G634" s="1018"/>
      <c r="H634" s="1018"/>
      <c r="I634" s="1018"/>
      <c r="J634" s="1018"/>
      <c r="K634" s="1018"/>
      <c r="L634" s="1018"/>
      <c r="M634" s="1057"/>
      <c r="N634" s="1018"/>
      <c r="O634" s="1018"/>
      <c r="P634" s="1018"/>
      <c r="Q634" s="1018"/>
      <c r="R634" s="1018"/>
      <c r="S634" s="1018"/>
      <c r="T634" s="1019"/>
      <c r="U634" s="1098" t="s">
        <v>4587</v>
      </c>
      <c r="V634" s="1099" t="s">
        <v>1942</v>
      </c>
      <c r="W634" s="1099" t="s">
        <v>1942</v>
      </c>
      <c r="X634" s="1100" t="s">
        <v>3977</v>
      </c>
      <c r="Y634" s="1101" t="s">
        <v>2697</v>
      </c>
      <c r="Z634" s="1102" t="s">
        <v>1942</v>
      </c>
      <c r="AA634" s="1103" t="s">
        <v>1942</v>
      </c>
      <c r="AB634" s="1104" t="s">
        <v>1942</v>
      </c>
      <c r="AC634" s="1104" t="s">
        <v>1942</v>
      </c>
      <c r="AD634" s="1104" t="s">
        <v>1942</v>
      </c>
      <c r="AE634" s="1104" t="s">
        <v>1942</v>
      </c>
      <c r="AF634" s="1104" t="s">
        <v>1942</v>
      </c>
      <c r="AG634" s="1104" t="s">
        <v>1942</v>
      </c>
      <c r="AH634" s="1104" t="s">
        <v>1942</v>
      </c>
      <c r="AI634" s="1105">
        <f t="shared" si="9"/>
        <v>0</v>
      </c>
      <c r="AJ634" s="1106"/>
      <c r="AK634" s="1106"/>
      <c r="AL634" s="1106"/>
      <c r="AM634" s="1107"/>
      <c r="AN634" s="1018"/>
      <c r="AO634" s="1018"/>
      <c r="AP634" s="1275">
        <v>0</v>
      </c>
      <c r="AQ634" s="1076"/>
      <c r="AR634" s="1109"/>
      <c r="AS634" s="1110"/>
      <c r="AT634" s="1100"/>
      <c r="AU634" s="1100"/>
      <c r="AV634" s="1100"/>
      <c r="AW634" s="1111"/>
      <c r="AX634" s="1112"/>
      <c r="AY634" s="1075"/>
      <c r="AZ634" s="1076"/>
      <c r="BA634" s="1076"/>
      <c r="BB634" s="1076"/>
      <c r="BC634" s="1076"/>
      <c r="BD634" s="1076"/>
      <c r="BE634" s="1076"/>
      <c r="BF634" s="1076"/>
      <c r="BG634" s="1076"/>
      <c r="BH634" s="1076"/>
      <c r="BI634" s="1420"/>
      <c r="BJ634" s="1368"/>
      <c r="BK634" s="1368"/>
      <c r="BL634" s="1368"/>
      <c r="BM634" s="1368"/>
      <c r="BN634" s="1075"/>
      <c r="BO634" s="1076"/>
      <c r="BP634" s="1076"/>
      <c r="BQ634" s="1076"/>
      <c r="BR634" s="1076"/>
      <c r="BS634" s="1115"/>
      <c r="BT634" s="1076"/>
      <c r="BU634" s="1076"/>
      <c r="BV634" s="1076"/>
      <c r="BW634" s="1116"/>
      <c r="BX634" s="1115"/>
      <c r="BY634" s="1076"/>
      <c r="BZ634" s="1076"/>
      <c r="CA634" s="1076"/>
      <c r="CB634" s="1116"/>
      <c r="CC634" s="1117"/>
      <c r="CD634" s="1376"/>
      <c r="CE634" s="1377"/>
      <c r="CF634" s="1377"/>
      <c r="CG634" s="1377"/>
      <c r="CH634" s="1440"/>
      <c r="CI634" s="1420"/>
      <c r="CJ634" s="1368"/>
      <c r="CK634" s="1368"/>
      <c r="CL634" s="1368"/>
      <c r="CM634" s="1369"/>
      <c r="CN634" s="1420"/>
      <c r="CO634" s="1368"/>
      <c r="CP634" s="1368"/>
      <c r="CQ634" s="1368"/>
      <c r="CR634" s="1369"/>
      <c r="CS634" s="1420"/>
      <c r="CT634" s="1368"/>
      <c r="CU634" s="1368"/>
      <c r="CV634" s="1368"/>
      <c r="CW634" s="1369"/>
      <c r="CX634" s="1420"/>
      <c r="CY634" s="1368"/>
      <c r="CZ634" s="1368"/>
      <c r="DA634" s="1368"/>
      <c r="DB634" s="1369"/>
      <c r="DC634" s="1368"/>
      <c r="DD634" s="1368"/>
      <c r="DE634" s="1368"/>
      <c r="DF634" s="1368"/>
      <c r="DG634" s="1369"/>
      <c r="DH634" s="1420"/>
      <c r="DI634" s="1368"/>
      <c r="DJ634" s="1368"/>
      <c r="DK634" s="1368"/>
      <c r="DL634" s="1369"/>
      <c r="DM634" s="1808"/>
      <c r="DN634" s="1809"/>
      <c r="DO634" s="1809"/>
      <c r="DP634" s="1810"/>
      <c r="DQ634" s="1809"/>
      <c r="DR634" s="1809"/>
      <c r="DS634" s="1809"/>
      <c r="DT634" s="1810"/>
      <c r="DU634" s="1377"/>
      <c r="DV634" s="1729"/>
      <c r="DW634" s="1811"/>
    </row>
    <row r="635" spans="1:127" s="397" customFormat="1" ht="15.75" hidden="1" customHeight="1">
      <c r="A635" s="1097" t="s">
        <v>1054</v>
      </c>
      <c r="B635" s="1057">
        <v>626</v>
      </c>
      <c r="C635" s="1018"/>
      <c r="D635" s="1018"/>
      <c r="E635" s="1018"/>
      <c r="F635" s="1018"/>
      <c r="G635" s="1018"/>
      <c r="H635" s="1018"/>
      <c r="I635" s="1018"/>
      <c r="J635" s="1018"/>
      <c r="K635" s="1018"/>
      <c r="L635" s="1018"/>
      <c r="M635" s="1057"/>
      <c r="N635" s="1018"/>
      <c r="O635" s="1018"/>
      <c r="P635" s="1018"/>
      <c r="Q635" s="1018"/>
      <c r="R635" s="1018"/>
      <c r="S635" s="1018"/>
      <c r="T635" s="1019"/>
      <c r="U635" s="1098" t="s">
        <v>4887</v>
      </c>
      <c r="V635" s="1099" t="s">
        <v>1942</v>
      </c>
      <c r="W635" s="1099" t="s">
        <v>1942</v>
      </c>
      <c r="X635" s="1100" t="s">
        <v>1052</v>
      </c>
      <c r="Y635" s="1101" t="s">
        <v>4590</v>
      </c>
      <c r="Z635" s="1102" t="s">
        <v>1942</v>
      </c>
      <c r="AA635" s="1103" t="s">
        <v>1942</v>
      </c>
      <c r="AB635" s="1104" t="s">
        <v>1942</v>
      </c>
      <c r="AC635" s="1104" t="s">
        <v>1942</v>
      </c>
      <c r="AD635" s="1104" t="s">
        <v>1942</v>
      </c>
      <c r="AE635" s="1104" t="s">
        <v>1942</v>
      </c>
      <c r="AF635" s="1104" t="s">
        <v>1942</v>
      </c>
      <c r="AG635" s="1104" t="s">
        <v>1942</v>
      </c>
      <c r="AH635" s="1104" t="s">
        <v>1942</v>
      </c>
      <c r="AI635" s="1105">
        <f t="shared" si="9"/>
        <v>0</v>
      </c>
      <c r="AJ635" s="1106"/>
      <c r="AK635" s="1106"/>
      <c r="AL635" s="1106"/>
      <c r="AM635" s="1107"/>
      <c r="AN635" s="1018"/>
      <c r="AO635" s="1018"/>
      <c r="AP635" s="1275">
        <v>0</v>
      </c>
      <c r="AQ635" s="1076"/>
      <c r="AR635" s="1109"/>
      <c r="AS635" s="1110"/>
      <c r="AT635" s="1100"/>
      <c r="AU635" s="1100"/>
      <c r="AV635" s="1100"/>
      <c r="AW635" s="1111"/>
      <c r="AX635" s="1112"/>
      <c r="AY635" s="1075"/>
      <c r="AZ635" s="1076"/>
      <c r="BA635" s="1076"/>
      <c r="BB635" s="1076"/>
      <c r="BC635" s="1076"/>
      <c r="BD635" s="1076"/>
      <c r="BE635" s="1076"/>
      <c r="BF635" s="1076"/>
      <c r="BG635" s="1076"/>
      <c r="BH635" s="1076"/>
      <c r="BI635" s="1420"/>
      <c r="BJ635" s="1368"/>
      <c r="BK635" s="1368"/>
      <c r="BL635" s="1368"/>
      <c r="BM635" s="1368"/>
      <c r="BN635" s="1075"/>
      <c r="BO635" s="1076"/>
      <c r="BP635" s="1076"/>
      <c r="BQ635" s="1076"/>
      <c r="BR635" s="1076"/>
      <c r="BS635" s="1115"/>
      <c r="BT635" s="1076"/>
      <c r="BU635" s="1076"/>
      <c r="BV635" s="1076"/>
      <c r="BW635" s="1116"/>
      <c r="BX635" s="1115"/>
      <c r="BY635" s="1076"/>
      <c r="BZ635" s="1076"/>
      <c r="CA635" s="1076"/>
      <c r="CB635" s="1116"/>
      <c r="CC635" s="1117"/>
      <c r="CD635" s="1376"/>
      <c r="CE635" s="1377"/>
      <c r="CF635" s="1377"/>
      <c r="CG635" s="1377"/>
      <c r="CH635" s="1440"/>
      <c r="CI635" s="1420"/>
      <c r="CJ635" s="1368"/>
      <c r="CK635" s="1368"/>
      <c r="CL635" s="1368"/>
      <c r="CM635" s="1369"/>
      <c r="CN635" s="1420"/>
      <c r="CO635" s="1368"/>
      <c r="CP635" s="1368"/>
      <c r="CQ635" s="1368"/>
      <c r="CR635" s="1369"/>
      <c r="CS635" s="1420"/>
      <c r="CT635" s="1368"/>
      <c r="CU635" s="1368"/>
      <c r="CV635" s="1368"/>
      <c r="CW635" s="1369"/>
      <c r="CX635" s="1420"/>
      <c r="CY635" s="1368"/>
      <c r="CZ635" s="1368"/>
      <c r="DA635" s="1368"/>
      <c r="DB635" s="1369"/>
      <c r="DC635" s="1368"/>
      <c r="DD635" s="1368"/>
      <c r="DE635" s="1368"/>
      <c r="DF635" s="1368"/>
      <c r="DG635" s="1369"/>
      <c r="DH635" s="1420"/>
      <c r="DI635" s="1368"/>
      <c r="DJ635" s="1368"/>
      <c r="DK635" s="1368"/>
      <c r="DL635" s="1369"/>
      <c r="DM635" s="1808"/>
      <c r="DN635" s="1809"/>
      <c r="DO635" s="1809"/>
      <c r="DP635" s="1810"/>
      <c r="DQ635" s="1809"/>
      <c r="DR635" s="1809"/>
      <c r="DS635" s="1809"/>
      <c r="DT635" s="1810"/>
      <c r="DU635" s="1377"/>
      <c r="DV635" s="1729"/>
      <c r="DW635" s="1811"/>
    </row>
    <row r="636" spans="1:127" s="397" customFormat="1" ht="15.75" hidden="1" customHeight="1">
      <c r="A636" s="1097" t="s">
        <v>1057</v>
      </c>
      <c r="B636" s="1057">
        <v>627</v>
      </c>
      <c r="C636" s="1018"/>
      <c r="D636" s="1018"/>
      <c r="E636" s="1018"/>
      <c r="F636" s="1018"/>
      <c r="G636" s="1018"/>
      <c r="H636" s="1018"/>
      <c r="I636" s="1018"/>
      <c r="J636" s="1018"/>
      <c r="K636" s="1018"/>
      <c r="L636" s="1018"/>
      <c r="M636" s="1057"/>
      <c r="N636" s="1018"/>
      <c r="O636" s="1018"/>
      <c r="P636" s="1018"/>
      <c r="Q636" s="1018"/>
      <c r="R636" s="1018"/>
      <c r="S636" s="1018"/>
      <c r="T636" s="1019"/>
      <c r="U636" s="1098" t="s">
        <v>4591</v>
      </c>
      <c r="V636" s="1099" t="s">
        <v>4592</v>
      </c>
      <c r="W636" s="1099" t="s">
        <v>1896</v>
      </c>
      <c r="X636" s="1100">
        <v>1</v>
      </c>
      <c r="Y636" s="1101" t="s">
        <v>4593</v>
      </c>
      <c r="Z636" s="1102" t="s">
        <v>4594</v>
      </c>
      <c r="AA636" s="1103">
        <v>0.57999999999999996</v>
      </c>
      <c r="AB636" s="1104">
        <v>0</v>
      </c>
      <c r="AC636" s="1104">
        <v>0.42</v>
      </c>
      <c r="AD636" s="1104">
        <v>0</v>
      </c>
      <c r="AE636" s="1104">
        <v>0</v>
      </c>
      <c r="AF636" s="1104">
        <v>0</v>
      </c>
      <c r="AG636" s="1104">
        <v>0</v>
      </c>
      <c r="AH636" s="1104">
        <v>0</v>
      </c>
      <c r="AI636" s="1105">
        <f t="shared" si="9"/>
        <v>1</v>
      </c>
      <c r="AJ636" s="1106" t="s">
        <v>1017</v>
      </c>
      <c r="AK636" s="1106" t="s">
        <v>1008</v>
      </c>
      <c r="AL636" s="1106" t="s">
        <v>1019</v>
      </c>
      <c r="AM636" s="1107" t="s">
        <v>2306</v>
      </c>
      <c r="AN636" s="1018" t="s">
        <v>1033</v>
      </c>
      <c r="AO636" s="1018" t="s">
        <v>4595</v>
      </c>
      <c r="AP636" s="833">
        <v>0</v>
      </c>
      <c r="AQ636" s="1076" t="s">
        <v>1010</v>
      </c>
      <c r="AR636" s="1109" t="s">
        <v>1942</v>
      </c>
      <c r="AS636" s="1110"/>
      <c r="AT636" s="1100"/>
      <c r="AU636" s="1100"/>
      <c r="AV636" s="1100"/>
      <c r="AW636" s="1111"/>
      <c r="AX636" s="1112"/>
      <c r="AY636" s="1075"/>
      <c r="AZ636" s="1076"/>
      <c r="BA636" s="1076"/>
      <c r="BB636" s="1076"/>
      <c r="BC636" s="1076"/>
      <c r="BD636" s="1076"/>
      <c r="BE636" s="1076"/>
      <c r="BF636" s="1076"/>
      <c r="BG636" s="1076"/>
      <c r="BH636" s="1076"/>
      <c r="BI636" s="1420"/>
      <c r="BJ636" s="1368"/>
      <c r="BK636" s="1368"/>
      <c r="BL636" s="1368"/>
      <c r="BM636" s="1368"/>
      <c r="BN636" s="1075"/>
      <c r="BO636" s="1076"/>
      <c r="BP636" s="1076"/>
      <c r="BQ636" s="1076"/>
      <c r="BR636" s="1076"/>
      <c r="BS636" s="1115"/>
      <c r="BT636" s="1076"/>
      <c r="BU636" s="1076"/>
      <c r="BV636" s="1076"/>
      <c r="BW636" s="1116"/>
      <c r="BX636" s="1115"/>
      <c r="BY636" s="1076"/>
      <c r="BZ636" s="1076"/>
      <c r="CA636" s="1076"/>
      <c r="CB636" s="1116"/>
      <c r="CC636" s="1117"/>
      <c r="CD636" s="1376"/>
      <c r="CE636" s="1377"/>
      <c r="CF636" s="1377"/>
      <c r="CG636" s="1377"/>
      <c r="CH636" s="1440"/>
      <c r="CI636" s="1420"/>
      <c r="CJ636" s="1368"/>
      <c r="CK636" s="1368"/>
      <c r="CL636" s="1368"/>
      <c r="CM636" s="1369"/>
      <c r="CN636" s="1420"/>
      <c r="CO636" s="1368"/>
      <c r="CP636" s="1368"/>
      <c r="CQ636" s="1368"/>
      <c r="CR636" s="1369"/>
      <c r="CS636" s="1420"/>
      <c r="CT636" s="1368"/>
      <c r="CU636" s="1368"/>
      <c r="CV636" s="1368"/>
      <c r="CW636" s="1369"/>
      <c r="CX636" s="1420"/>
      <c r="CY636" s="1368"/>
      <c r="CZ636" s="1368"/>
      <c r="DA636" s="1368"/>
      <c r="DB636" s="1369"/>
      <c r="DC636" s="1368"/>
      <c r="DD636" s="1368"/>
      <c r="DE636" s="1368"/>
      <c r="DF636" s="1368"/>
      <c r="DG636" s="1369"/>
      <c r="DH636" s="1420"/>
      <c r="DI636" s="1368"/>
      <c r="DJ636" s="1368"/>
      <c r="DK636" s="1368"/>
      <c r="DL636" s="1369"/>
      <c r="DM636" s="1808"/>
      <c r="DN636" s="1809"/>
      <c r="DO636" s="1809"/>
      <c r="DP636" s="1810"/>
      <c r="DQ636" s="1809"/>
      <c r="DR636" s="1809"/>
      <c r="DS636" s="1809"/>
      <c r="DT636" s="1810"/>
      <c r="DU636" s="1377"/>
      <c r="DV636" s="1729"/>
      <c r="DW636" s="1811"/>
    </row>
    <row r="637" spans="1:127" s="397" customFormat="1" ht="15.75" hidden="1" customHeight="1">
      <c r="A637" s="1097" t="s">
        <v>1057</v>
      </c>
      <c r="B637" s="1057">
        <v>628</v>
      </c>
      <c r="C637" s="1018"/>
      <c r="D637" s="1018"/>
      <c r="E637" s="1018"/>
      <c r="F637" s="1018"/>
      <c r="G637" s="1018"/>
      <c r="H637" s="1018"/>
      <c r="I637" s="1018"/>
      <c r="J637" s="1018"/>
      <c r="K637" s="1018"/>
      <c r="L637" s="1018"/>
      <c r="M637" s="1057"/>
      <c r="N637" s="1018"/>
      <c r="O637" s="1018"/>
      <c r="P637" s="1018"/>
      <c r="Q637" s="1018"/>
      <c r="R637" s="1018"/>
      <c r="S637" s="1018"/>
      <c r="T637" s="1019"/>
      <c r="U637" s="1098" t="s">
        <v>4596</v>
      </c>
      <c r="V637" s="1099" t="s">
        <v>4597</v>
      </c>
      <c r="W637" s="1099" t="s">
        <v>1889</v>
      </c>
      <c r="X637" s="1100">
        <v>2</v>
      </c>
      <c r="Y637" s="1101" t="s">
        <v>4598</v>
      </c>
      <c r="Z637" s="1102" t="s">
        <v>4599</v>
      </c>
      <c r="AA637" s="1103">
        <v>0.7</v>
      </c>
      <c r="AB637" s="1104">
        <v>0</v>
      </c>
      <c r="AC637" s="1104">
        <v>0.3</v>
      </c>
      <c r="AD637" s="1104">
        <v>0</v>
      </c>
      <c r="AE637" s="1104">
        <v>0</v>
      </c>
      <c r="AF637" s="1104">
        <v>0</v>
      </c>
      <c r="AG637" s="1104">
        <v>0</v>
      </c>
      <c r="AH637" s="1104">
        <v>0</v>
      </c>
      <c r="AI637" s="1105">
        <f t="shared" si="9"/>
        <v>1</v>
      </c>
      <c r="AJ637" s="1106" t="s">
        <v>1030</v>
      </c>
      <c r="AK637" s="1106" t="s">
        <v>1008</v>
      </c>
      <c r="AL637" s="1106" t="s">
        <v>1019</v>
      </c>
      <c r="AM637" s="1107" t="s">
        <v>2106</v>
      </c>
      <c r="AN637" s="1018" t="s">
        <v>1033</v>
      </c>
      <c r="AO637" s="1018" t="s">
        <v>4600</v>
      </c>
      <c r="AP637" s="833">
        <v>0</v>
      </c>
      <c r="AQ637" s="1076" t="s">
        <v>1010</v>
      </c>
      <c r="AR637" s="1109" t="s">
        <v>1942</v>
      </c>
      <c r="AS637" s="1110"/>
      <c r="AT637" s="1100"/>
      <c r="AU637" s="1100"/>
      <c r="AV637" s="1100"/>
      <c r="AW637" s="1111"/>
      <c r="AX637" s="1112"/>
      <c r="AY637" s="1075"/>
      <c r="AZ637" s="1076"/>
      <c r="BA637" s="1076"/>
      <c r="BB637" s="1076"/>
      <c r="BC637" s="1076"/>
      <c r="BD637" s="1076"/>
      <c r="BE637" s="1076"/>
      <c r="BF637" s="1076"/>
      <c r="BG637" s="1076"/>
      <c r="BH637" s="1076"/>
      <c r="BI637" s="1420"/>
      <c r="BJ637" s="1368"/>
      <c r="BK637" s="1368"/>
      <c r="BL637" s="1368"/>
      <c r="BM637" s="1368"/>
      <c r="BN637" s="1075"/>
      <c r="BO637" s="1076"/>
      <c r="BP637" s="1076"/>
      <c r="BQ637" s="1076"/>
      <c r="BR637" s="1076"/>
      <c r="BS637" s="1115"/>
      <c r="BT637" s="1076"/>
      <c r="BU637" s="1076"/>
      <c r="BV637" s="1076"/>
      <c r="BW637" s="1116"/>
      <c r="BX637" s="1115"/>
      <c r="BY637" s="1076"/>
      <c r="BZ637" s="1076"/>
      <c r="CA637" s="1076"/>
      <c r="CB637" s="1116"/>
      <c r="CC637" s="1117"/>
      <c r="CD637" s="1376"/>
      <c r="CE637" s="1377"/>
      <c r="CF637" s="1377"/>
      <c r="CG637" s="1377"/>
      <c r="CH637" s="1440"/>
      <c r="CI637" s="1420"/>
      <c r="CJ637" s="1368"/>
      <c r="CK637" s="1368"/>
      <c r="CL637" s="1368"/>
      <c r="CM637" s="1369"/>
      <c r="CN637" s="1420"/>
      <c r="CO637" s="1368"/>
      <c r="CP637" s="1368"/>
      <c r="CQ637" s="1368"/>
      <c r="CR637" s="1369"/>
      <c r="CS637" s="1420"/>
      <c r="CT637" s="1368"/>
      <c r="CU637" s="1368"/>
      <c r="CV637" s="1368"/>
      <c r="CW637" s="1369"/>
      <c r="CX637" s="1420"/>
      <c r="CY637" s="1368"/>
      <c r="CZ637" s="1368"/>
      <c r="DA637" s="1368"/>
      <c r="DB637" s="1369"/>
      <c r="DC637" s="1368"/>
      <c r="DD637" s="1368"/>
      <c r="DE637" s="1368"/>
      <c r="DF637" s="1368"/>
      <c r="DG637" s="1369"/>
      <c r="DH637" s="1420"/>
      <c r="DI637" s="1368"/>
      <c r="DJ637" s="1368"/>
      <c r="DK637" s="1368"/>
      <c r="DL637" s="1369"/>
      <c r="DM637" s="1808"/>
      <c r="DN637" s="1809"/>
      <c r="DO637" s="1809"/>
      <c r="DP637" s="1810"/>
      <c r="DQ637" s="1809"/>
      <c r="DR637" s="1809"/>
      <c r="DS637" s="1809"/>
      <c r="DT637" s="1810"/>
      <c r="DU637" s="1377"/>
      <c r="DV637" s="1729"/>
      <c r="DW637" s="1811"/>
    </row>
    <row r="638" spans="1:127" s="397" customFormat="1" ht="15.75" hidden="1" customHeight="1">
      <c r="A638" s="1097" t="s">
        <v>1057</v>
      </c>
      <c r="B638" s="1057">
        <v>629</v>
      </c>
      <c r="C638" s="1018"/>
      <c r="D638" s="1018"/>
      <c r="E638" s="1018"/>
      <c r="F638" s="1018"/>
      <c r="G638" s="1018"/>
      <c r="H638" s="1018"/>
      <c r="I638" s="1018"/>
      <c r="J638" s="1018"/>
      <c r="K638" s="1018"/>
      <c r="L638" s="1018"/>
      <c r="M638" s="1057"/>
      <c r="N638" s="1018"/>
      <c r="O638" s="1018"/>
      <c r="P638" s="1018"/>
      <c r="Q638" s="1018"/>
      <c r="R638" s="1018"/>
      <c r="S638" s="1018"/>
      <c r="T638" s="1019"/>
      <c r="U638" s="1098" t="s">
        <v>4601</v>
      </c>
      <c r="V638" s="1099" t="s">
        <v>4597</v>
      </c>
      <c r="W638" s="1099" t="s">
        <v>1907</v>
      </c>
      <c r="X638" s="1100">
        <v>3</v>
      </c>
      <c r="Y638" s="1101" t="s">
        <v>4602</v>
      </c>
      <c r="Z638" s="1102" t="s">
        <v>4603</v>
      </c>
      <c r="AA638" s="1103">
        <v>0.69</v>
      </c>
      <c r="AB638" s="1104">
        <v>0</v>
      </c>
      <c r="AC638" s="1104">
        <v>0.31</v>
      </c>
      <c r="AD638" s="1104">
        <v>0</v>
      </c>
      <c r="AE638" s="1104">
        <v>0</v>
      </c>
      <c r="AF638" s="1104">
        <v>0</v>
      </c>
      <c r="AG638" s="1104">
        <v>0</v>
      </c>
      <c r="AH638" s="1104">
        <v>0</v>
      </c>
      <c r="AI638" s="1105">
        <f t="shared" si="9"/>
        <v>1</v>
      </c>
      <c r="AJ638" s="1106" t="s">
        <v>1007</v>
      </c>
      <c r="AK638" s="1106" t="s">
        <v>1942</v>
      </c>
      <c r="AL638" s="1106" t="s">
        <v>1942</v>
      </c>
      <c r="AM638" s="1107" t="s">
        <v>1967</v>
      </c>
      <c r="AN638" s="1018" t="s">
        <v>278</v>
      </c>
      <c r="AO638" s="1018" t="s">
        <v>4604</v>
      </c>
      <c r="AP638" s="833">
        <v>1</v>
      </c>
      <c r="AQ638" s="1076" t="s">
        <v>1010</v>
      </c>
      <c r="AR638" s="1109" t="s">
        <v>1942</v>
      </c>
      <c r="AS638" s="1110"/>
      <c r="AT638" s="1100"/>
      <c r="AU638" s="1100"/>
      <c r="AV638" s="1100"/>
      <c r="AW638" s="1111"/>
      <c r="AX638" s="1112"/>
      <c r="AY638" s="1075"/>
      <c r="AZ638" s="1076"/>
      <c r="BA638" s="1076"/>
      <c r="BB638" s="1076"/>
      <c r="BC638" s="1076"/>
      <c r="BD638" s="1076"/>
      <c r="BE638" s="1076"/>
      <c r="BF638" s="1076"/>
      <c r="BG638" s="1076"/>
      <c r="BH638" s="1076"/>
      <c r="BI638" s="1420"/>
      <c r="BJ638" s="1368"/>
      <c r="BK638" s="1368"/>
      <c r="BL638" s="1368"/>
      <c r="BM638" s="1368"/>
      <c r="BN638" s="1075"/>
      <c r="BO638" s="1076"/>
      <c r="BP638" s="1076"/>
      <c r="BQ638" s="1076"/>
      <c r="BR638" s="1076"/>
      <c r="BS638" s="1115"/>
      <c r="BT638" s="1076"/>
      <c r="BU638" s="1076"/>
      <c r="BV638" s="1076"/>
      <c r="BW638" s="1116"/>
      <c r="BX638" s="1115"/>
      <c r="BY638" s="1076"/>
      <c r="BZ638" s="1076"/>
      <c r="CA638" s="1076"/>
      <c r="CB638" s="1116"/>
      <c r="CC638" s="1117"/>
      <c r="CD638" s="1376"/>
      <c r="CE638" s="1377"/>
      <c r="CF638" s="1377"/>
      <c r="CG638" s="1377"/>
      <c r="CH638" s="1440"/>
      <c r="CI638" s="1420"/>
      <c r="CJ638" s="1368"/>
      <c r="CK638" s="1368"/>
      <c r="CL638" s="1368"/>
      <c r="CM638" s="1369"/>
      <c r="CN638" s="1420"/>
      <c r="CO638" s="1368"/>
      <c r="CP638" s="1368"/>
      <c r="CQ638" s="1368"/>
      <c r="CR638" s="1369"/>
      <c r="CS638" s="1420"/>
      <c r="CT638" s="1368"/>
      <c r="CU638" s="1368"/>
      <c r="CV638" s="1368"/>
      <c r="CW638" s="1369"/>
      <c r="CX638" s="1420"/>
      <c r="CY638" s="1368"/>
      <c r="CZ638" s="1368"/>
      <c r="DA638" s="1368"/>
      <c r="DB638" s="1369"/>
      <c r="DC638" s="1368"/>
      <c r="DD638" s="1368"/>
      <c r="DE638" s="1368"/>
      <c r="DF638" s="1368"/>
      <c r="DG638" s="1369"/>
      <c r="DH638" s="1420"/>
      <c r="DI638" s="1368"/>
      <c r="DJ638" s="1368"/>
      <c r="DK638" s="1368"/>
      <c r="DL638" s="1369"/>
      <c r="DM638" s="1808"/>
      <c r="DN638" s="1809"/>
      <c r="DO638" s="1809"/>
      <c r="DP638" s="1810"/>
      <c r="DQ638" s="1809"/>
      <c r="DR638" s="1809"/>
      <c r="DS638" s="1809"/>
      <c r="DT638" s="1810"/>
      <c r="DU638" s="1377"/>
      <c r="DV638" s="1729"/>
      <c r="DW638" s="1811"/>
    </row>
    <row r="639" spans="1:127" s="397" customFormat="1" ht="15.75" hidden="1" customHeight="1">
      <c r="A639" s="1097" t="s">
        <v>1057</v>
      </c>
      <c r="B639" s="1057">
        <v>630</v>
      </c>
      <c r="C639" s="1018"/>
      <c r="D639" s="1018"/>
      <c r="E639" s="1018"/>
      <c r="F639" s="1018"/>
      <c r="G639" s="1018"/>
      <c r="H639" s="1018"/>
      <c r="I639" s="1018"/>
      <c r="J639" s="1018"/>
      <c r="K639" s="1018"/>
      <c r="L639" s="1018"/>
      <c r="M639" s="1057"/>
      <c r="N639" s="1018"/>
      <c r="O639" s="1018"/>
      <c r="P639" s="1018"/>
      <c r="Q639" s="1018"/>
      <c r="R639" s="1018"/>
      <c r="S639" s="1018"/>
      <c r="T639" s="1019"/>
      <c r="U639" s="1098" t="s">
        <v>4605</v>
      </c>
      <c r="V639" s="1099" t="s">
        <v>4597</v>
      </c>
      <c r="W639" s="1099" t="s">
        <v>1889</v>
      </c>
      <c r="X639" s="1100">
        <v>4</v>
      </c>
      <c r="Y639" s="1101" t="s">
        <v>4606</v>
      </c>
      <c r="Z639" s="1102" t="s">
        <v>4607</v>
      </c>
      <c r="AA639" s="1103">
        <v>0.04</v>
      </c>
      <c r="AB639" s="1104">
        <v>0</v>
      </c>
      <c r="AC639" s="1104">
        <v>0.96</v>
      </c>
      <c r="AD639" s="1104">
        <v>0</v>
      </c>
      <c r="AE639" s="1104">
        <v>0</v>
      </c>
      <c r="AF639" s="1104">
        <v>0</v>
      </c>
      <c r="AG639" s="1104">
        <v>0</v>
      </c>
      <c r="AH639" s="1104">
        <v>0</v>
      </c>
      <c r="AI639" s="1105">
        <f t="shared" si="9"/>
        <v>1</v>
      </c>
      <c r="AJ639" s="1106" t="s">
        <v>1030</v>
      </c>
      <c r="AK639" s="1106" t="s">
        <v>1008</v>
      </c>
      <c r="AL639" s="1106" t="s">
        <v>1019</v>
      </c>
      <c r="AM639" s="1107" t="s">
        <v>2106</v>
      </c>
      <c r="AN639" s="1018" t="s">
        <v>1037</v>
      </c>
      <c r="AO639" s="1018" t="s">
        <v>4888</v>
      </c>
      <c r="AP639" s="833">
        <v>2</v>
      </c>
      <c r="AQ639" s="1076" t="s">
        <v>1010</v>
      </c>
      <c r="AR639" s="1109" t="s">
        <v>1942</v>
      </c>
      <c r="AS639" s="1110"/>
      <c r="AT639" s="1100"/>
      <c r="AU639" s="1100"/>
      <c r="AV639" s="1100"/>
      <c r="AW639" s="1111"/>
      <c r="AX639" s="1112"/>
      <c r="AY639" s="1075"/>
      <c r="AZ639" s="1076"/>
      <c r="BA639" s="1076"/>
      <c r="BB639" s="1076"/>
      <c r="BC639" s="1076"/>
      <c r="BD639" s="1076"/>
      <c r="BE639" s="1076"/>
      <c r="BF639" s="1076"/>
      <c r="BG639" s="1076"/>
      <c r="BH639" s="1076"/>
      <c r="BI639" s="1420"/>
      <c r="BJ639" s="1368"/>
      <c r="BK639" s="1368"/>
      <c r="BL639" s="1368"/>
      <c r="BM639" s="1368"/>
      <c r="BN639" s="1075"/>
      <c r="BO639" s="1076"/>
      <c r="BP639" s="1076"/>
      <c r="BQ639" s="1076"/>
      <c r="BR639" s="1076"/>
      <c r="BS639" s="1115"/>
      <c r="BT639" s="1076"/>
      <c r="BU639" s="1076"/>
      <c r="BV639" s="1076"/>
      <c r="BW639" s="1116"/>
      <c r="BX639" s="1115"/>
      <c r="BY639" s="1076"/>
      <c r="BZ639" s="1076"/>
      <c r="CA639" s="1076"/>
      <c r="CB639" s="1116"/>
      <c r="CC639" s="1117"/>
      <c r="CD639" s="1376"/>
      <c r="CE639" s="1377"/>
      <c r="CF639" s="1377"/>
      <c r="CG639" s="1377"/>
      <c r="CH639" s="1440"/>
      <c r="CI639" s="1420"/>
      <c r="CJ639" s="1368"/>
      <c r="CK639" s="1368"/>
      <c r="CL639" s="1368"/>
      <c r="CM639" s="1369"/>
      <c r="CN639" s="1420"/>
      <c r="CO639" s="1368"/>
      <c r="CP639" s="1368"/>
      <c r="CQ639" s="1368"/>
      <c r="CR639" s="1369"/>
      <c r="CS639" s="1420"/>
      <c r="CT639" s="1368"/>
      <c r="CU639" s="1368"/>
      <c r="CV639" s="1368"/>
      <c r="CW639" s="1369"/>
      <c r="CX639" s="1420"/>
      <c r="CY639" s="1368"/>
      <c r="CZ639" s="1368"/>
      <c r="DA639" s="1368"/>
      <c r="DB639" s="1369"/>
      <c r="DC639" s="1368"/>
      <c r="DD639" s="1368"/>
      <c r="DE639" s="1368"/>
      <c r="DF639" s="1368"/>
      <c r="DG639" s="1369"/>
      <c r="DH639" s="1420"/>
      <c r="DI639" s="1368"/>
      <c r="DJ639" s="1368"/>
      <c r="DK639" s="1368"/>
      <c r="DL639" s="1369"/>
      <c r="DM639" s="1808"/>
      <c r="DN639" s="1809"/>
      <c r="DO639" s="1809"/>
      <c r="DP639" s="1810"/>
      <c r="DQ639" s="1809"/>
      <c r="DR639" s="1809"/>
      <c r="DS639" s="1809"/>
      <c r="DT639" s="1810"/>
      <c r="DU639" s="1377"/>
      <c r="DV639" s="1729"/>
      <c r="DW639" s="1811"/>
    </row>
    <row r="640" spans="1:127" s="397" customFormat="1" ht="15.75" hidden="1" customHeight="1">
      <c r="A640" s="1097" t="s">
        <v>1057</v>
      </c>
      <c r="B640" s="1057">
        <v>631</v>
      </c>
      <c r="C640" s="1018"/>
      <c r="D640" s="1018"/>
      <c r="E640" s="1018"/>
      <c r="F640" s="1018"/>
      <c r="G640" s="1018"/>
      <c r="H640" s="1018"/>
      <c r="I640" s="1018"/>
      <c r="J640" s="1018"/>
      <c r="K640" s="1018"/>
      <c r="L640" s="1018"/>
      <c r="M640" s="1057"/>
      <c r="N640" s="1018"/>
      <c r="O640" s="1018"/>
      <c r="P640" s="1018"/>
      <c r="Q640" s="1018"/>
      <c r="R640" s="1018"/>
      <c r="S640" s="1018"/>
      <c r="T640" s="1019"/>
      <c r="U640" s="1098" t="s">
        <v>4609</v>
      </c>
      <c r="V640" s="1099" t="s">
        <v>4597</v>
      </c>
      <c r="W640" s="1099" t="s">
        <v>1907</v>
      </c>
      <c r="X640" s="1100">
        <v>5</v>
      </c>
      <c r="Y640" s="1101" t="s">
        <v>4610</v>
      </c>
      <c r="Z640" s="1102" t="s">
        <v>4611</v>
      </c>
      <c r="AA640" s="1103">
        <v>0.7</v>
      </c>
      <c r="AB640" s="1104">
        <v>0</v>
      </c>
      <c r="AC640" s="1104">
        <v>0</v>
      </c>
      <c r="AD640" s="1104">
        <v>0.3</v>
      </c>
      <c r="AE640" s="1104">
        <v>0</v>
      </c>
      <c r="AF640" s="1104">
        <v>0</v>
      </c>
      <c r="AG640" s="1104">
        <v>0</v>
      </c>
      <c r="AH640" s="1104">
        <v>0</v>
      </c>
      <c r="AI640" s="1105">
        <f t="shared" si="9"/>
        <v>1</v>
      </c>
      <c r="AJ640" s="1106" t="s">
        <v>1007</v>
      </c>
      <c r="AK640" s="1106" t="s">
        <v>1942</v>
      </c>
      <c r="AL640" s="1106" t="s">
        <v>1942</v>
      </c>
      <c r="AM640" s="1107" t="s">
        <v>2106</v>
      </c>
      <c r="AN640" s="1018" t="s">
        <v>1033</v>
      </c>
      <c r="AO640" s="1018" t="s">
        <v>4612</v>
      </c>
      <c r="AP640" s="833">
        <v>0</v>
      </c>
      <c r="AQ640" s="1076" t="s">
        <v>1010</v>
      </c>
      <c r="AR640" s="1109" t="s">
        <v>1942</v>
      </c>
      <c r="AS640" s="1110"/>
      <c r="AT640" s="1100"/>
      <c r="AU640" s="1100"/>
      <c r="AV640" s="1100"/>
      <c r="AW640" s="1111"/>
      <c r="AX640" s="1112"/>
      <c r="AY640" s="1075"/>
      <c r="AZ640" s="1076"/>
      <c r="BA640" s="1076"/>
      <c r="BB640" s="1076"/>
      <c r="BC640" s="1076"/>
      <c r="BD640" s="1076"/>
      <c r="BE640" s="1076"/>
      <c r="BF640" s="1076"/>
      <c r="BG640" s="1076"/>
      <c r="BH640" s="1076"/>
      <c r="BI640" s="1420"/>
      <c r="BJ640" s="1368"/>
      <c r="BK640" s="1368"/>
      <c r="BL640" s="1368"/>
      <c r="BM640" s="1368"/>
      <c r="BN640" s="1075"/>
      <c r="BO640" s="1076"/>
      <c r="BP640" s="1076"/>
      <c r="BQ640" s="1076"/>
      <c r="BR640" s="1076"/>
      <c r="BS640" s="1115"/>
      <c r="BT640" s="1076"/>
      <c r="BU640" s="1076"/>
      <c r="BV640" s="1076"/>
      <c r="BW640" s="1116"/>
      <c r="BX640" s="1115"/>
      <c r="BY640" s="1076"/>
      <c r="BZ640" s="1076"/>
      <c r="CA640" s="1076"/>
      <c r="CB640" s="1116"/>
      <c r="CC640" s="1117"/>
      <c r="CD640" s="1376"/>
      <c r="CE640" s="1377"/>
      <c r="CF640" s="1377"/>
      <c r="CG640" s="1377"/>
      <c r="CH640" s="1440"/>
      <c r="CI640" s="1420"/>
      <c r="CJ640" s="1368"/>
      <c r="CK640" s="1368"/>
      <c r="CL640" s="1368"/>
      <c r="CM640" s="1369"/>
      <c r="CN640" s="1420"/>
      <c r="CO640" s="1368"/>
      <c r="CP640" s="1368"/>
      <c r="CQ640" s="1368"/>
      <c r="CR640" s="1369"/>
      <c r="CS640" s="1420"/>
      <c r="CT640" s="1368"/>
      <c r="CU640" s="1368"/>
      <c r="CV640" s="1368"/>
      <c r="CW640" s="1369"/>
      <c r="CX640" s="1420"/>
      <c r="CY640" s="1368"/>
      <c r="CZ640" s="1368"/>
      <c r="DA640" s="1368"/>
      <c r="DB640" s="1369"/>
      <c r="DC640" s="1368"/>
      <c r="DD640" s="1368"/>
      <c r="DE640" s="1368"/>
      <c r="DF640" s="1368"/>
      <c r="DG640" s="1369"/>
      <c r="DH640" s="1420"/>
      <c r="DI640" s="1368"/>
      <c r="DJ640" s="1368"/>
      <c r="DK640" s="1368"/>
      <c r="DL640" s="1369"/>
      <c r="DM640" s="1808"/>
      <c r="DN640" s="1809"/>
      <c r="DO640" s="1809"/>
      <c r="DP640" s="1810"/>
      <c r="DQ640" s="1809"/>
      <c r="DR640" s="1809"/>
      <c r="DS640" s="1809"/>
      <c r="DT640" s="1810"/>
      <c r="DU640" s="1377"/>
      <c r="DV640" s="1729"/>
      <c r="DW640" s="1811"/>
    </row>
    <row r="641" spans="1:127" s="397" customFormat="1" ht="15.75" hidden="1" customHeight="1">
      <c r="A641" s="1097" t="s">
        <v>1057</v>
      </c>
      <c r="B641" s="1057">
        <v>632</v>
      </c>
      <c r="C641" s="1018"/>
      <c r="D641" s="1018"/>
      <c r="E641" s="1018"/>
      <c r="F641" s="1018"/>
      <c r="G641" s="1018"/>
      <c r="H641" s="1018"/>
      <c r="I641" s="1018"/>
      <c r="J641" s="1018"/>
      <c r="K641" s="1018"/>
      <c r="L641" s="1018"/>
      <c r="M641" s="1057"/>
      <c r="N641" s="1018"/>
      <c r="O641" s="1018"/>
      <c r="P641" s="1018"/>
      <c r="Q641" s="1018"/>
      <c r="R641" s="1018"/>
      <c r="S641" s="1018"/>
      <c r="T641" s="1019"/>
      <c r="U641" s="1098" t="s">
        <v>4613</v>
      </c>
      <c r="V641" s="1099" t="s">
        <v>4597</v>
      </c>
      <c r="W641" s="1099" t="s">
        <v>1907</v>
      </c>
      <c r="X641" s="1100" t="s">
        <v>4614</v>
      </c>
      <c r="Y641" s="1101" t="s">
        <v>4615</v>
      </c>
      <c r="Z641" s="1102" t="s">
        <v>4616</v>
      </c>
      <c r="AA641" s="1103">
        <v>0.09</v>
      </c>
      <c r="AB641" s="1104">
        <v>0.12</v>
      </c>
      <c r="AC641" s="1104">
        <v>0.24</v>
      </c>
      <c r="AD641" s="1104">
        <v>0.55000000000000004</v>
      </c>
      <c r="AE641" s="1104">
        <v>0</v>
      </c>
      <c r="AF641" s="1104">
        <v>0</v>
      </c>
      <c r="AG641" s="1104">
        <v>0</v>
      </c>
      <c r="AH641" s="1104">
        <v>0</v>
      </c>
      <c r="AI641" s="1105">
        <f t="shared" si="9"/>
        <v>1</v>
      </c>
      <c r="AJ641" s="1106" t="s">
        <v>1030</v>
      </c>
      <c r="AK641" s="1106" t="s">
        <v>1008</v>
      </c>
      <c r="AL641" s="1106" t="s">
        <v>1009</v>
      </c>
      <c r="AM641" s="1107" t="s">
        <v>2132</v>
      </c>
      <c r="AN641" s="1018" t="s">
        <v>278</v>
      </c>
      <c r="AO641" s="1018" t="s">
        <v>2795</v>
      </c>
      <c r="AP641" s="833">
        <v>1</v>
      </c>
      <c r="AQ641" s="1076" t="s">
        <v>1010</v>
      </c>
      <c r="AR641" s="1109" t="s">
        <v>1942</v>
      </c>
      <c r="AS641" s="1110"/>
      <c r="AT641" s="1100"/>
      <c r="AU641" s="1100"/>
      <c r="AV641" s="1100"/>
      <c r="AW641" s="1111"/>
      <c r="AX641" s="1112"/>
      <c r="AY641" s="1075"/>
      <c r="AZ641" s="1076"/>
      <c r="BA641" s="1076"/>
      <c r="BB641" s="1076"/>
      <c r="BC641" s="1076"/>
      <c r="BD641" s="1076"/>
      <c r="BE641" s="1076"/>
      <c r="BF641" s="1076"/>
      <c r="BG641" s="1076"/>
      <c r="BH641" s="1076"/>
      <c r="BI641" s="1420"/>
      <c r="BJ641" s="1368"/>
      <c r="BK641" s="1368"/>
      <c r="BL641" s="1368"/>
      <c r="BM641" s="1368"/>
      <c r="BN641" s="1075"/>
      <c r="BO641" s="1076"/>
      <c r="BP641" s="1076"/>
      <c r="BQ641" s="1076"/>
      <c r="BR641" s="1076"/>
      <c r="BS641" s="1115"/>
      <c r="BT641" s="1076"/>
      <c r="BU641" s="1076"/>
      <c r="BV641" s="1076"/>
      <c r="BW641" s="1116"/>
      <c r="BX641" s="1115"/>
      <c r="BY641" s="1076"/>
      <c r="BZ641" s="1076"/>
      <c r="CA641" s="1076"/>
      <c r="CB641" s="1116"/>
      <c r="CC641" s="1117"/>
      <c r="CD641" s="1376"/>
      <c r="CE641" s="1377"/>
      <c r="CF641" s="1377"/>
      <c r="CG641" s="1377"/>
      <c r="CH641" s="1440"/>
      <c r="CI641" s="1420"/>
      <c r="CJ641" s="1368"/>
      <c r="CK641" s="1368"/>
      <c r="CL641" s="1368"/>
      <c r="CM641" s="1369"/>
      <c r="CN641" s="1420"/>
      <c r="CO641" s="1368"/>
      <c r="CP641" s="1368"/>
      <c r="CQ641" s="1368"/>
      <c r="CR641" s="1369"/>
      <c r="CS641" s="1420"/>
      <c r="CT641" s="1368"/>
      <c r="CU641" s="1368"/>
      <c r="CV641" s="1368"/>
      <c r="CW641" s="1369"/>
      <c r="CX641" s="1420"/>
      <c r="CY641" s="1368"/>
      <c r="CZ641" s="1368"/>
      <c r="DA641" s="1368"/>
      <c r="DB641" s="1369"/>
      <c r="DC641" s="1368"/>
      <c r="DD641" s="1368"/>
      <c r="DE641" s="1368"/>
      <c r="DF641" s="1368"/>
      <c r="DG641" s="1369"/>
      <c r="DH641" s="1420"/>
      <c r="DI641" s="1368"/>
      <c r="DJ641" s="1368"/>
      <c r="DK641" s="1368"/>
      <c r="DL641" s="1369"/>
      <c r="DM641" s="1808"/>
      <c r="DN641" s="1809"/>
      <c r="DO641" s="1809"/>
      <c r="DP641" s="1810"/>
      <c r="DQ641" s="1809"/>
      <c r="DR641" s="1809"/>
      <c r="DS641" s="1809"/>
      <c r="DT641" s="1810"/>
      <c r="DU641" s="1377"/>
      <c r="DV641" s="1729"/>
      <c r="DW641" s="1811"/>
    </row>
    <row r="642" spans="1:127" s="397" customFormat="1" ht="15.75" hidden="1" customHeight="1">
      <c r="A642" s="1097" t="s">
        <v>1057</v>
      </c>
      <c r="B642" s="1057">
        <v>633</v>
      </c>
      <c r="C642" s="1018"/>
      <c r="D642" s="1018"/>
      <c r="E642" s="1018"/>
      <c r="F642" s="1018"/>
      <c r="G642" s="1018"/>
      <c r="H642" s="1018"/>
      <c r="I642" s="1018"/>
      <c r="J642" s="1018"/>
      <c r="K642" s="1018"/>
      <c r="L642" s="1018"/>
      <c r="M642" s="1057"/>
      <c r="N642" s="1018"/>
      <c r="O642" s="1018"/>
      <c r="P642" s="1018"/>
      <c r="Q642" s="1018"/>
      <c r="R642" s="1018"/>
      <c r="S642" s="1018"/>
      <c r="T642" s="1019"/>
      <c r="U642" s="1098" t="s">
        <v>4617</v>
      </c>
      <c r="V642" s="1099" t="s">
        <v>1942</v>
      </c>
      <c r="W642" s="1099" t="s">
        <v>1942</v>
      </c>
      <c r="X642" s="1100" t="s">
        <v>4618</v>
      </c>
      <c r="Y642" s="1101" t="s">
        <v>4619</v>
      </c>
      <c r="Z642" s="1102" t="s">
        <v>1942</v>
      </c>
      <c r="AA642" s="1103">
        <v>0.09</v>
      </c>
      <c r="AB642" s="1104">
        <v>0.12</v>
      </c>
      <c r="AC642" s="1104">
        <v>0.24</v>
      </c>
      <c r="AD642" s="1104">
        <v>0.55000000000000004</v>
      </c>
      <c r="AE642" s="1104">
        <v>0</v>
      </c>
      <c r="AF642" s="1104">
        <v>0</v>
      </c>
      <c r="AG642" s="1104">
        <v>0</v>
      </c>
      <c r="AH642" s="1104">
        <v>0</v>
      </c>
      <c r="AI642" s="1105">
        <f t="shared" si="9"/>
        <v>1</v>
      </c>
      <c r="AJ642" s="1106" t="s">
        <v>1007</v>
      </c>
      <c r="AK642" s="1106" t="s">
        <v>1942</v>
      </c>
      <c r="AL642" s="1106" t="s">
        <v>1942</v>
      </c>
      <c r="AM642" s="1107" t="s">
        <v>1942</v>
      </c>
      <c r="AN642" s="1018" t="s">
        <v>278</v>
      </c>
      <c r="AO642" s="1018" t="s">
        <v>4620</v>
      </c>
      <c r="AP642" s="833">
        <v>1</v>
      </c>
      <c r="AQ642" s="1076" t="s">
        <v>278</v>
      </c>
      <c r="AR642" s="1109" t="s">
        <v>1942</v>
      </c>
      <c r="AS642" s="1110"/>
      <c r="AT642" s="1100"/>
      <c r="AU642" s="1100"/>
      <c r="AV642" s="1100"/>
      <c r="AW642" s="1111"/>
      <c r="AX642" s="1112"/>
      <c r="AY642" s="1075"/>
      <c r="AZ642" s="1076"/>
      <c r="BA642" s="1076"/>
      <c r="BB642" s="1076"/>
      <c r="BC642" s="1076"/>
      <c r="BD642" s="1076"/>
      <c r="BE642" s="1076"/>
      <c r="BF642" s="1076"/>
      <c r="BG642" s="1076"/>
      <c r="BH642" s="1076"/>
      <c r="BI642" s="1420"/>
      <c r="BJ642" s="1368"/>
      <c r="BK642" s="1368"/>
      <c r="BL642" s="1368"/>
      <c r="BM642" s="1368"/>
      <c r="BN642" s="1075"/>
      <c r="BO642" s="1076"/>
      <c r="BP642" s="1076"/>
      <c r="BQ642" s="1076"/>
      <c r="BR642" s="1076"/>
      <c r="BS642" s="1115"/>
      <c r="BT642" s="1076"/>
      <c r="BU642" s="1076"/>
      <c r="BV642" s="1076"/>
      <c r="BW642" s="1116"/>
      <c r="BX642" s="1115"/>
      <c r="BY642" s="1076"/>
      <c r="BZ642" s="1076"/>
      <c r="CA642" s="1076"/>
      <c r="CB642" s="1116"/>
      <c r="CC642" s="1117"/>
      <c r="CD642" s="1376"/>
      <c r="CE642" s="1377"/>
      <c r="CF642" s="1377"/>
      <c r="CG642" s="1377"/>
      <c r="CH642" s="1440"/>
      <c r="CI642" s="1420"/>
      <c r="CJ642" s="1368"/>
      <c r="CK642" s="1368"/>
      <c r="CL642" s="1368"/>
      <c r="CM642" s="1369"/>
      <c r="CN642" s="1420"/>
      <c r="CO642" s="1368"/>
      <c r="CP642" s="1368"/>
      <c r="CQ642" s="1368"/>
      <c r="CR642" s="1369"/>
      <c r="CS642" s="1420"/>
      <c r="CT642" s="1368"/>
      <c r="CU642" s="1368"/>
      <c r="CV642" s="1368"/>
      <c r="CW642" s="1369"/>
      <c r="CX642" s="1420"/>
      <c r="CY642" s="1368"/>
      <c r="CZ642" s="1368"/>
      <c r="DA642" s="1368"/>
      <c r="DB642" s="1369"/>
      <c r="DC642" s="1368"/>
      <c r="DD642" s="1368"/>
      <c r="DE642" s="1368"/>
      <c r="DF642" s="1368"/>
      <c r="DG642" s="1369"/>
      <c r="DH642" s="1420"/>
      <c r="DI642" s="1368"/>
      <c r="DJ642" s="1368"/>
      <c r="DK642" s="1368"/>
      <c r="DL642" s="1369"/>
      <c r="DM642" s="1808"/>
      <c r="DN642" s="1809"/>
      <c r="DO642" s="1809"/>
      <c r="DP642" s="1810"/>
      <c r="DQ642" s="1809"/>
      <c r="DR642" s="1809"/>
      <c r="DS642" s="1809"/>
      <c r="DT642" s="1810"/>
      <c r="DU642" s="1377"/>
      <c r="DV642" s="1729"/>
      <c r="DW642" s="1811"/>
    </row>
    <row r="643" spans="1:127" s="397" customFormat="1" ht="15.75" hidden="1" customHeight="1">
      <c r="A643" s="1097" t="s">
        <v>1057</v>
      </c>
      <c r="B643" s="1057">
        <v>634</v>
      </c>
      <c r="C643" s="1018"/>
      <c r="D643" s="1018"/>
      <c r="E643" s="1018"/>
      <c r="F643" s="1018"/>
      <c r="G643" s="1018"/>
      <c r="H643" s="1018"/>
      <c r="I643" s="1018"/>
      <c r="J643" s="1018"/>
      <c r="K643" s="1018"/>
      <c r="L643" s="1018"/>
      <c r="M643" s="1057"/>
      <c r="N643" s="1018"/>
      <c r="O643" s="1018"/>
      <c r="P643" s="1018"/>
      <c r="Q643" s="1018"/>
      <c r="R643" s="1018"/>
      <c r="S643" s="1018"/>
      <c r="T643" s="1019"/>
      <c r="U643" s="1098" t="s">
        <v>4621</v>
      </c>
      <c r="V643" s="1099" t="s">
        <v>4622</v>
      </c>
      <c r="W643" s="1099" t="s">
        <v>1907</v>
      </c>
      <c r="X643" s="1100">
        <v>7</v>
      </c>
      <c r="Y643" s="1101" t="s">
        <v>4623</v>
      </c>
      <c r="Z643" s="1102" t="s">
        <v>4624</v>
      </c>
      <c r="AA643" s="1103">
        <v>0.36</v>
      </c>
      <c r="AB643" s="1104">
        <v>0.26</v>
      </c>
      <c r="AC643" s="1104">
        <v>0.24</v>
      </c>
      <c r="AD643" s="1104">
        <v>0.14000000000000001</v>
      </c>
      <c r="AE643" s="1104">
        <v>0</v>
      </c>
      <c r="AF643" s="1104">
        <v>0</v>
      </c>
      <c r="AG643" s="1104">
        <v>0</v>
      </c>
      <c r="AH643" s="1104">
        <v>0</v>
      </c>
      <c r="AI643" s="1105">
        <f t="shared" si="9"/>
        <v>1</v>
      </c>
      <c r="AJ643" s="1106" t="s">
        <v>1026</v>
      </c>
      <c r="AK643" s="1106" t="s">
        <v>1008</v>
      </c>
      <c r="AL643" s="1106" t="s">
        <v>1009</v>
      </c>
      <c r="AM643" s="1107" t="s">
        <v>2400</v>
      </c>
      <c r="AN643" s="1018" t="s">
        <v>1033</v>
      </c>
      <c r="AO643" s="1018" t="s">
        <v>4625</v>
      </c>
      <c r="AP643" s="833">
        <v>0</v>
      </c>
      <c r="AQ643" s="1076" t="s">
        <v>1010</v>
      </c>
      <c r="AR643" s="1109" t="s">
        <v>1942</v>
      </c>
      <c r="AS643" s="1110"/>
      <c r="AT643" s="1100"/>
      <c r="AU643" s="1100"/>
      <c r="AV643" s="1100"/>
      <c r="AW643" s="1111"/>
      <c r="AX643" s="1112"/>
      <c r="AY643" s="1075"/>
      <c r="AZ643" s="1076"/>
      <c r="BA643" s="1076"/>
      <c r="BB643" s="1076"/>
      <c r="BC643" s="1076"/>
      <c r="BD643" s="1076"/>
      <c r="BE643" s="1076"/>
      <c r="BF643" s="1076"/>
      <c r="BG643" s="1076"/>
      <c r="BH643" s="1076"/>
      <c r="BI643" s="1420"/>
      <c r="BJ643" s="1368"/>
      <c r="BK643" s="1368"/>
      <c r="BL643" s="1368"/>
      <c r="BM643" s="1368"/>
      <c r="BN643" s="1075"/>
      <c r="BO643" s="1076"/>
      <c r="BP643" s="1076"/>
      <c r="BQ643" s="1076"/>
      <c r="BR643" s="1076"/>
      <c r="BS643" s="1115"/>
      <c r="BT643" s="1076"/>
      <c r="BU643" s="1076"/>
      <c r="BV643" s="1076"/>
      <c r="BW643" s="1116"/>
      <c r="BX643" s="1115"/>
      <c r="BY643" s="1076"/>
      <c r="BZ643" s="1076"/>
      <c r="CA643" s="1076"/>
      <c r="CB643" s="1116"/>
      <c r="CC643" s="1117"/>
      <c r="CD643" s="1376"/>
      <c r="CE643" s="1377"/>
      <c r="CF643" s="1377"/>
      <c r="CG643" s="1377"/>
      <c r="CH643" s="1440"/>
      <c r="CI643" s="1420"/>
      <c r="CJ643" s="1368"/>
      <c r="CK643" s="1368"/>
      <c r="CL643" s="1368"/>
      <c r="CM643" s="1369"/>
      <c r="CN643" s="1420"/>
      <c r="CO643" s="1368"/>
      <c r="CP643" s="1368"/>
      <c r="CQ643" s="1368"/>
      <c r="CR643" s="1369"/>
      <c r="CS643" s="1420"/>
      <c r="CT643" s="1368"/>
      <c r="CU643" s="1368"/>
      <c r="CV643" s="1368"/>
      <c r="CW643" s="1369"/>
      <c r="CX643" s="1420"/>
      <c r="CY643" s="1368"/>
      <c r="CZ643" s="1368"/>
      <c r="DA643" s="1368"/>
      <c r="DB643" s="1369"/>
      <c r="DC643" s="1368"/>
      <c r="DD643" s="1368"/>
      <c r="DE643" s="1368"/>
      <c r="DF643" s="1368"/>
      <c r="DG643" s="1369"/>
      <c r="DH643" s="1420"/>
      <c r="DI643" s="1368"/>
      <c r="DJ643" s="1368"/>
      <c r="DK643" s="1368"/>
      <c r="DL643" s="1369"/>
      <c r="DM643" s="1808"/>
      <c r="DN643" s="1809"/>
      <c r="DO643" s="1809"/>
      <c r="DP643" s="1810"/>
      <c r="DQ643" s="1809"/>
      <c r="DR643" s="1809"/>
      <c r="DS643" s="1809"/>
      <c r="DT643" s="1810"/>
      <c r="DU643" s="1377"/>
      <c r="DV643" s="1729"/>
      <c r="DW643" s="1811"/>
    </row>
    <row r="644" spans="1:127" s="397" customFormat="1" ht="15.75" hidden="1" customHeight="1">
      <c r="A644" s="1097" t="s">
        <v>1057</v>
      </c>
      <c r="B644" s="1057">
        <v>635</v>
      </c>
      <c r="C644" s="1018"/>
      <c r="D644" s="1018"/>
      <c r="E644" s="1018"/>
      <c r="F644" s="1018"/>
      <c r="G644" s="1018"/>
      <c r="H644" s="1018"/>
      <c r="I644" s="1018"/>
      <c r="J644" s="1018"/>
      <c r="K644" s="1018"/>
      <c r="L644" s="1018"/>
      <c r="M644" s="1057"/>
      <c r="N644" s="1018"/>
      <c r="O644" s="1018"/>
      <c r="P644" s="1018"/>
      <c r="Q644" s="1018"/>
      <c r="R644" s="1018"/>
      <c r="S644" s="1018"/>
      <c r="T644" s="1019"/>
      <c r="U644" s="1098" t="s">
        <v>4626</v>
      </c>
      <c r="V644" s="1099" t="s">
        <v>4592</v>
      </c>
      <c r="W644" s="1099" t="s">
        <v>1889</v>
      </c>
      <c r="X644" s="1100">
        <v>8</v>
      </c>
      <c r="Y644" s="1101" t="s">
        <v>4627</v>
      </c>
      <c r="Z644" s="1102" t="s">
        <v>4628</v>
      </c>
      <c r="AA644" s="1103">
        <v>0</v>
      </c>
      <c r="AB644" s="1104">
        <v>7.0000000000000007E-2</v>
      </c>
      <c r="AC644" s="1104">
        <v>0.28999999999999998</v>
      </c>
      <c r="AD644" s="1104">
        <v>0.64</v>
      </c>
      <c r="AE644" s="1104">
        <v>0</v>
      </c>
      <c r="AF644" s="1104">
        <v>0</v>
      </c>
      <c r="AG644" s="1104">
        <v>0</v>
      </c>
      <c r="AH644" s="1104">
        <v>0</v>
      </c>
      <c r="AI644" s="1105">
        <f t="shared" si="9"/>
        <v>1</v>
      </c>
      <c r="AJ644" s="1106" t="s">
        <v>1007</v>
      </c>
      <c r="AK644" s="1106" t="s">
        <v>1942</v>
      </c>
      <c r="AL644" s="1106" t="s">
        <v>1942</v>
      </c>
      <c r="AM644" s="1107" t="s">
        <v>1904</v>
      </c>
      <c r="AN644" s="1018" t="s">
        <v>123</v>
      </c>
      <c r="AO644" s="1018" t="s">
        <v>4629</v>
      </c>
      <c r="AP644" s="833">
        <v>0</v>
      </c>
      <c r="AQ644" s="1076" t="s">
        <v>1010</v>
      </c>
      <c r="AR644" s="1109" t="s">
        <v>1942</v>
      </c>
      <c r="AS644" s="1110"/>
      <c r="AT644" s="1100"/>
      <c r="AU644" s="1100"/>
      <c r="AV644" s="1100"/>
      <c r="AW644" s="1111"/>
      <c r="AX644" s="1112"/>
      <c r="AY644" s="1075"/>
      <c r="AZ644" s="1076"/>
      <c r="BA644" s="1076"/>
      <c r="BB644" s="1076"/>
      <c r="BC644" s="1076"/>
      <c r="BD644" s="1076"/>
      <c r="BE644" s="1076"/>
      <c r="BF644" s="1076"/>
      <c r="BG644" s="1076"/>
      <c r="BH644" s="1076"/>
      <c r="BI644" s="1420"/>
      <c r="BJ644" s="1368"/>
      <c r="BK644" s="1368"/>
      <c r="BL644" s="1368"/>
      <c r="BM644" s="1368"/>
      <c r="BN644" s="1075"/>
      <c r="BO644" s="1076"/>
      <c r="BP644" s="1076"/>
      <c r="BQ644" s="1076"/>
      <c r="BR644" s="1076"/>
      <c r="BS644" s="1115"/>
      <c r="BT644" s="1076"/>
      <c r="BU644" s="1076"/>
      <c r="BV644" s="1076"/>
      <c r="BW644" s="1116"/>
      <c r="BX644" s="1115"/>
      <c r="BY644" s="1076"/>
      <c r="BZ644" s="1076"/>
      <c r="CA644" s="1076"/>
      <c r="CB644" s="1116"/>
      <c r="CC644" s="1117"/>
      <c r="CD644" s="1376"/>
      <c r="CE644" s="1377"/>
      <c r="CF644" s="1377"/>
      <c r="CG644" s="1377"/>
      <c r="CH644" s="1440"/>
      <c r="CI644" s="1420"/>
      <c r="CJ644" s="1368"/>
      <c r="CK644" s="1368"/>
      <c r="CL644" s="1368"/>
      <c r="CM644" s="1369"/>
      <c r="CN644" s="1420"/>
      <c r="CO644" s="1368"/>
      <c r="CP644" s="1368"/>
      <c r="CQ644" s="1368"/>
      <c r="CR644" s="1369"/>
      <c r="CS644" s="1420"/>
      <c r="CT644" s="1368"/>
      <c r="CU644" s="1368"/>
      <c r="CV644" s="1368"/>
      <c r="CW644" s="1369"/>
      <c r="CX644" s="1420"/>
      <c r="CY644" s="1368"/>
      <c r="CZ644" s="1368"/>
      <c r="DA644" s="1368"/>
      <c r="DB644" s="1369"/>
      <c r="DC644" s="1368"/>
      <c r="DD644" s="1368"/>
      <c r="DE644" s="1368"/>
      <c r="DF644" s="1368"/>
      <c r="DG644" s="1369"/>
      <c r="DH644" s="1420"/>
      <c r="DI644" s="1368"/>
      <c r="DJ644" s="1368"/>
      <c r="DK644" s="1368"/>
      <c r="DL644" s="1369"/>
      <c r="DM644" s="1808"/>
      <c r="DN644" s="1809"/>
      <c r="DO644" s="1809"/>
      <c r="DP644" s="1810"/>
      <c r="DQ644" s="1809"/>
      <c r="DR644" s="1809"/>
      <c r="DS644" s="1809"/>
      <c r="DT644" s="1810"/>
      <c r="DU644" s="1377"/>
      <c r="DV644" s="1729"/>
      <c r="DW644" s="1811"/>
    </row>
    <row r="645" spans="1:127" s="397" customFormat="1" ht="15.75" hidden="1" customHeight="1">
      <c r="A645" s="1097" t="s">
        <v>1057</v>
      </c>
      <c r="B645" s="1057">
        <v>636</v>
      </c>
      <c r="C645" s="1018"/>
      <c r="D645" s="1018"/>
      <c r="E645" s="1018"/>
      <c r="F645" s="1018"/>
      <c r="G645" s="1018"/>
      <c r="H645" s="1018"/>
      <c r="I645" s="1018"/>
      <c r="J645" s="1018"/>
      <c r="K645" s="1018"/>
      <c r="L645" s="1018"/>
      <c r="M645" s="1057"/>
      <c r="N645" s="1018"/>
      <c r="O645" s="1018"/>
      <c r="P645" s="1018"/>
      <c r="Q645" s="1018"/>
      <c r="R645" s="1018"/>
      <c r="S645" s="1018"/>
      <c r="T645" s="1019"/>
      <c r="U645" s="1098" t="s">
        <v>4630</v>
      </c>
      <c r="V645" s="1099" t="s">
        <v>4622</v>
      </c>
      <c r="W645" s="1099" t="s">
        <v>1907</v>
      </c>
      <c r="X645" s="1100">
        <v>9</v>
      </c>
      <c r="Y645" s="1101" t="s">
        <v>4631</v>
      </c>
      <c r="Z645" s="1102" t="s">
        <v>4632</v>
      </c>
      <c r="AA645" s="1103">
        <v>0</v>
      </c>
      <c r="AB645" s="1104">
        <v>0.32</v>
      </c>
      <c r="AC645" s="1104">
        <v>0.68</v>
      </c>
      <c r="AD645" s="1104">
        <v>0</v>
      </c>
      <c r="AE645" s="1104">
        <v>0</v>
      </c>
      <c r="AF645" s="1104">
        <v>0</v>
      </c>
      <c r="AG645" s="1104">
        <v>0</v>
      </c>
      <c r="AH645" s="1104">
        <v>0</v>
      </c>
      <c r="AI645" s="1105">
        <f t="shared" si="9"/>
        <v>1</v>
      </c>
      <c r="AJ645" s="1106" t="s">
        <v>1030</v>
      </c>
      <c r="AK645" s="1106" t="s">
        <v>1008</v>
      </c>
      <c r="AL645" s="1106" t="s">
        <v>1009</v>
      </c>
      <c r="AM645" s="1107" t="s">
        <v>2054</v>
      </c>
      <c r="AN645" s="1018" t="s">
        <v>1033</v>
      </c>
      <c r="AO645" s="1018" t="s">
        <v>4633</v>
      </c>
      <c r="AP645" s="833">
        <v>2</v>
      </c>
      <c r="AQ645" s="1076" t="s">
        <v>1010</v>
      </c>
      <c r="AR645" s="1109" t="s">
        <v>1942</v>
      </c>
      <c r="AS645" s="1110"/>
      <c r="AT645" s="1100"/>
      <c r="AU645" s="1100"/>
      <c r="AV645" s="1100"/>
      <c r="AW645" s="1111"/>
      <c r="AX645" s="1112"/>
      <c r="AY645" s="1075"/>
      <c r="AZ645" s="1076"/>
      <c r="BA645" s="1076"/>
      <c r="BB645" s="1076"/>
      <c r="BC645" s="1076"/>
      <c r="BD645" s="1076"/>
      <c r="BE645" s="1076"/>
      <c r="BF645" s="1076"/>
      <c r="BG645" s="1076"/>
      <c r="BH645" s="1076"/>
      <c r="BI645" s="1420"/>
      <c r="BJ645" s="1368"/>
      <c r="BK645" s="1368"/>
      <c r="BL645" s="1368"/>
      <c r="BM645" s="1368"/>
      <c r="BN645" s="1075"/>
      <c r="BO645" s="1076"/>
      <c r="BP645" s="1076"/>
      <c r="BQ645" s="1076"/>
      <c r="BR645" s="1076"/>
      <c r="BS645" s="1115"/>
      <c r="BT645" s="1076"/>
      <c r="BU645" s="1076"/>
      <c r="BV645" s="1076"/>
      <c r="BW645" s="1116"/>
      <c r="BX645" s="1115"/>
      <c r="BY645" s="1076"/>
      <c r="BZ645" s="1076"/>
      <c r="CA645" s="1076"/>
      <c r="CB645" s="1116"/>
      <c r="CC645" s="1117"/>
      <c r="CD645" s="1376"/>
      <c r="CE645" s="1377"/>
      <c r="CF645" s="1377"/>
      <c r="CG645" s="1377"/>
      <c r="CH645" s="1440"/>
      <c r="CI645" s="1420"/>
      <c r="CJ645" s="1368"/>
      <c r="CK645" s="1368"/>
      <c r="CL645" s="1368"/>
      <c r="CM645" s="1369"/>
      <c r="CN645" s="1420"/>
      <c r="CO645" s="1368"/>
      <c r="CP645" s="1368"/>
      <c r="CQ645" s="1368"/>
      <c r="CR645" s="1369"/>
      <c r="CS645" s="1420"/>
      <c r="CT645" s="1368"/>
      <c r="CU645" s="1368"/>
      <c r="CV645" s="1368"/>
      <c r="CW645" s="1369"/>
      <c r="CX645" s="1420"/>
      <c r="CY645" s="1368"/>
      <c r="CZ645" s="1368"/>
      <c r="DA645" s="1368"/>
      <c r="DB645" s="1369"/>
      <c r="DC645" s="1368"/>
      <c r="DD645" s="1368"/>
      <c r="DE645" s="1368"/>
      <c r="DF645" s="1368"/>
      <c r="DG645" s="1369"/>
      <c r="DH645" s="1420"/>
      <c r="DI645" s="1368"/>
      <c r="DJ645" s="1368"/>
      <c r="DK645" s="1368"/>
      <c r="DL645" s="1369"/>
      <c r="DM645" s="1808"/>
      <c r="DN645" s="1809"/>
      <c r="DO645" s="1809"/>
      <c r="DP645" s="1810"/>
      <c r="DQ645" s="1809"/>
      <c r="DR645" s="1809"/>
      <c r="DS645" s="1809"/>
      <c r="DT645" s="1810"/>
      <c r="DU645" s="1377"/>
      <c r="DV645" s="1729"/>
      <c r="DW645" s="1811"/>
    </row>
    <row r="646" spans="1:127" s="397" customFormat="1" ht="15.75" hidden="1" customHeight="1">
      <c r="A646" s="1097" t="s">
        <v>1057</v>
      </c>
      <c r="B646" s="1057">
        <v>637</v>
      </c>
      <c r="C646" s="1018"/>
      <c r="D646" s="1018"/>
      <c r="E646" s="1018"/>
      <c r="F646" s="1018"/>
      <c r="G646" s="1018"/>
      <c r="H646" s="1018"/>
      <c r="I646" s="1018"/>
      <c r="J646" s="1018"/>
      <c r="K646" s="1018"/>
      <c r="L646" s="1018"/>
      <c r="M646" s="1057"/>
      <c r="N646" s="1018"/>
      <c r="O646" s="1018"/>
      <c r="P646" s="1018"/>
      <c r="Q646" s="1018"/>
      <c r="R646" s="1018"/>
      <c r="S646" s="1018"/>
      <c r="T646" s="1019"/>
      <c r="U646" s="1098" t="s">
        <v>4634</v>
      </c>
      <c r="V646" s="1099" t="s">
        <v>4635</v>
      </c>
      <c r="W646" s="1099" t="s">
        <v>1907</v>
      </c>
      <c r="X646" s="1100">
        <v>10</v>
      </c>
      <c r="Y646" s="1101" t="s">
        <v>1935</v>
      </c>
      <c r="Z646" s="1102" t="s">
        <v>4636</v>
      </c>
      <c r="AA646" s="1103">
        <v>0</v>
      </c>
      <c r="AB646" s="1104">
        <v>0.26</v>
      </c>
      <c r="AC646" s="1104">
        <v>0.74</v>
      </c>
      <c r="AD646" s="1104">
        <v>0</v>
      </c>
      <c r="AE646" s="1104">
        <v>0</v>
      </c>
      <c r="AF646" s="1104">
        <v>0</v>
      </c>
      <c r="AG646" s="1104">
        <v>0</v>
      </c>
      <c r="AH646" s="1104">
        <v>0</v>
      </c>
      <c r="AI646" s="1105">
        <f t="shared" si="9"/>
        <v>1</v>
      </c>
      <c r="AJ646" s="1106" t="s">
        <v>1030</v>
      </c>
      <c r="AK646" s="1106" t="s">
        <v>1008</v>
      </c>
      <c r="AL646" s="1106" t="s">
        <v>1009</v>
      </c>
      <c r="AM646" s="1107" t="s">
        <v>1073</v>
      </c>
      <c r="AN646" s="1018" t="s">
        <v>1081</v>
      </c>
      <c r="AO646" s="1018" t="s">
        <v>3159</v>
      </c>
      <c r="AP646" s="833">
        <v>2</v>
      </c>
      <c r="AQ646" s="1076" t="s">
        <v>1010</v>
      </c>
      <c r="AR646" s="1109" t="s">
        <v>1935</v>
      </c>
      <c r="AS646" s="1110"/>
      <c r="AT646" s="1100"/>
      <c r="AU646" s="1100"/>
      <c r="AV646" s="1100"/>
      <c r="AW646" s="1111"/>
      <c r="AX646" s="1112"/>
      <c r="AY646" s="1075"/>
      <c r="AZ646" s="1076"/>
      <c r="BA646" s="1076"/>
      <c r="BB646" s="1076"/>
      <c r="BC646" s="1076"/>
      <c r="BD646" s="1076"/>
      <c r="BE646" s="1076"/>
      <c r="BF646" s="1076"/>
      <c r="BG646" s="1076"/>
      <c r="BH646" s="1076"/>
      <c r="BI646" s="1075" t="s">
        <v>1942</v>
      </c>
      <c r="BJ646" s="1076" t="s">
        <v>1942</v>
      </c>
      <c r="BK646" s="1076" t="s">
        <v>1942</v>
      </c>
      <c r="BL646" s="1076" t="s">
        <v>1942</v>
      </c>
      <c r="BM646" s="1076" t="s">
        <v>1942</v>
      </c>
      <c r="BN646" s="1075"/>
      <c r="BO646" s="1076"/>
      <c r="BP646" s="1076"/>
      <c r="BQ646" s="1076"/>
      <c r="BR646" s="1076"/>
      <c r="BS646" s="1115"/>
      <c r="BT646" s="1076"/>
      <c r="BU646" s="1076"/>
      <c r="BV646" s="1076"/>
      <c r="BW646" s="1116"/>
      <c r="BX646" s="1115"/>
      <c r="BY646" s="1076"/>
      <c r="BZ646" s="1076"/>
      <c r="CA646" s="1076"/>
      <c r="CB646" s="1116"/>
      <c r="CC646" s="1117"/>
      <c r="CD646" s="1118" t="s">
        <v>168</v>
      </c>
      <c r="CE646" s="1119" t="s">
        <v>168</v>
      </c>
      <c r="CF646" s="1119" t="s">
        <v>168</v>
      </c>
      <c r="CG646" s="1119" t="s">
        <v>168</v>
      </c>
      <c r="CH646" s="1120" t="s">
        <v>168</v>
      </c>
      <c r="CI646" s="1075" t="s">
        <v>1942</v>
      </c>
      <c r="CJ646" s="1076" t="s">
        <v>1942</v>
      </c>
      <c r="CK646" s="1076" t="s">
        <v>1942</v>
      </c>
      <c r="CL646" s="1076" t="s">
        <v>1942</v>
      </c>
      <c r="CM646" s="1117" t="s">
        <v>1942</v>
      </c>
      <c r="CN646" s="1075" t="s">
        <v>1942</v>
      </c>
      <c r="CO646" s="1076" t="s">
        <v>1942</v>
      </c>
      <c r="CP646" s="1076" t="s">
        <v>1942</v>
      </c>
      <c r="CQ646" s="1076" t="s">
        <v>1942</v>
      </c>
      <c r="CR646" s="1117" t="s">
        <v>1942</v>
      </c>
      <c r="CS646" s="1075" t="s">
        <v>1942</v>
      </c>
      <c r="CT646" s="1076" t="s">
        <v>1942</v>
      </c>
      <c r="CU646" s="1076" t="s">
        <v>1942</v>
      </c>
      <c r="CV646" s="1076" t="s">
        <v>1942</v>
      </c>
      <c r="CW646" s="1117" t="s">
        <v>1942</v>
      </c>
      <c r="CX646" s="1075" t="s">
        <v>1942</v>
      </c>
      <c r="CY646" s="1076" t="s">
        <v>1942</v>
      </c>
      <c r="CZ646" s="1076" t="s">
        <v>1942</v>
      </c>
      <c r="DA646" s="1076" t="s">
        <v>1942</v>
      </c>
      <c r="DB646" s="1117" t="s">
        <v>1942</v>
      </c>
      <c r="DC646" s="1076" t="s">
        <v>1942</v>
      </c>
      <c r="DD646" s="1076" t="s">
        <v>1942</v>
      </c>
      <c r="DE646" s="1076" t="s">
        <v>1942</v>
      </c>
      <c r="DF646" s="1076" t="s">
        <v>1942</v>
      </c>
      <c r="DG646" s="1117" t="s">
        <v>1942</v>
      </c>
      <c r="DH646" s="1075" t="s">
        <v>1942</v>
      </c>
      <c r="DI646" s="1076" t="s">
        <v>1942</v>
      </c>
      <c r="DJ646" s="1076" t="s">
        <v>1942</v>
      </c>
      <c r="DK646" s="1076" t="s">
        <v>1942</v>
      </c>
      <c r="DL646" s="1117" t="s">
        <v>1942</v>
      </c>
      <c r="DM646" s="1121" t="s">
        <v>1942</v>
      </c>
      <c r="DN646" s="1122" t="s">
        <v>1942</v>
      </c>
      <c r="DO646" s="1122" t="s">
        <v>1942</v>
      </c>
      <c r="DP646" s="1123" t="s">
        <v>1942</v>
      </c>
      <c r="DQ646" s="1122" t="s">
        <v>1942</v>
      </c>
      <c r="DR646" s="1122" t="s">
        <v>1942</v>
      </c>
      <c r="DS646" s="1122" t="s">
        <v>1942</v>
      </c>
      <c r="DT646" s="1123" t="s">
        <v>1942</v>
      </c>
      <c r="DU646" s="1119" t="s">
        <v>1942</v>
      </c>
      <c r="DV646" s="1124">
        <v>1</v>
      </c>
      <c r="DW646" s="1125" t="s">
        <v>1942</v>
      </c>
    </row>
    <row r="647" spans="1:127" s="397" customFormat="1" ht="15.75" hidden="1" customHeight="1">
      <c r="A647" s="1097" t="s">
        <v>1057</v>
      </c>
      <c r="B647" s="1057">
        <v>638</v>
      </c>
      <c r="C647" s="1018"/>
      <c r="D647" s="1018"/>
      <c r="E647" s="1018"/>
      <c r="F647" s="1018"/>
      <c r="G647" s="1018"/>
      <c r="H647" s="1018"/>
      <c r="I647" s="1018"/>
      <c r="J647" s="1018"/>
      <c r="K647" s="1018"/>
      <c r="L647" s="1018"/>
      <c r="M647" s="1057"/>
      <c r="N647" s="1018"/>
      <c r="O647" s="1018"/>
      <c r="P647" s="1018"/>
      <c r="Q647" s="1018"/>
      <c r="R647" s="1018"/>
      <c r="S647" s="1018"/>
      <c r="T647" s="1019"/>
      <c r="U647" s="1098" t="s">
        <v>4637</v>
      </c>
      <c r="V647" s="1099" t="s">
        <v>4592</v>
      </c>
      <c r="W647" s="1099" t="s">
        <v>1907</v>
      </c>
      <c r="X647" s="1100">
        <v>11</v>
      </c>
      <c r="Y647" s="1101" t="s">
        <v>4638</v>
      </c>
      <c r="Z647" s="1102" t="s">
        <v>4639</v>
      </c>
      <c r="AA647" s="1103">
        <v>0</v>
      </c>
      <c r="AB647" s="1104">
        <v>0</v>
      </c>
      <c r="AC647" s="1104">
        <v>0</v>
      </c>
      <c r="AD647" s="1104">
        <v>0</v>
      </c>
      <c r="AE647" s="1104">
        <v>1</v>
      </c>
      <c r="AF647" s="1104">
        <v>0</v>
      </c>
      <c r="AG647" s="1104">
        <v>0</v>
      </c>
      <c r="AH647" s="1104">
        <v>0</v>
      </c>
      <c r="AI647" s="1105">
        <f t="shared" si="9"/>
        <v>1</v>
      </c>
      <c r="AJ647" s="1106" t="s">
        <v>1007</v>
      </c>
      <c r="AK647" s="1106" t="s">
        <v>1942</v>
      </c>
      <c r="AL647" s="1106" t="s">
        <v>1942</v>
      </c>
      <c r="AM647" s="1107" t="s">
        <v>2117</v>
      </c>
      <c r="AN647" s="1018" t="s">
        <v>278</v>
      </c>
      <c r="AO647" s="1018" t="s">
        <v>4640</v>
      </c>
      <c r="AP647" s="833">
        <v>0</v>
      </c>
      <c r="AQ647" s="1076" t="s">
        <v>1010</v>
      </c>
      <c r="AR647" s="1109" t="s">
        <v>1942</v>
      </c>
      <c r="AS647" s="1110"/>
      <c r="AT647" s="1100"/>
      <c r="AU647" s="1100"/>
      <c r="AV647" s="1100"/>
      <c r="AW647" s="1111"/>
      <c r="AX647" s="1112"/>
      <c r="AY647" s="1075"/>
      <c r="AZ647" s="1076"/>
      <c r="BA647" s="1076"/>
      <c r="BB647" s="1076"/>
      <c r="BC647" s="1076"/>
      <c r="BD647" s="1076"/>
      <c r="BE647" s="1076"/>
      <c r="BF647" s="1076"/>
      <c r="BG647" s="1076"/>
      <c r="BH647" s="1076"/>
      <c r="BI647" s="1420"/>
      <c r="BJ647" s="1368"/>
      <c r="BK647" s="1368"/>
      <c r="BL647" s="1368"/>
      <c r="BM647" s="1368"/>
      <c r="BN647" s="1075"/>
      <c r="BO647" s="1076"/>
      <c r="BP647" s="1076"/>
      <c r="BQ647" s="1076"/>
      <c r="BR647" s="1076"/>
      <c r="BS647" s="1115"/>
      <c r="BT647" s="1076"/>
      <c r="BU647" s="1076"/>
      <c r="BV647" s="1076"/>
      <c r="BW647" s="1116"/>
      <c r="BX647" s="1115"/>
      <c r="BY647" s="1076"/>
      <c r="BZ647" s="1076"/>
      <c r="CA647" s="1076"/>
      <c r="CB647" s="1116"/>
      <c r="CC647" s="1117"/>
      <c r="CD647" s="1376"/>
      <c r="CE647" s="1377"/>
      <c r="CF647" s="1377"/>
      <c r="CG647" s="1377"/>
      <c r="CH647" s="1440"/>
      <c r="CI647" s="1420"/>
      <c r="CJ647" s="1368"/>
      <c r="CK647" s="1368"/>
      <c r="CL647" s="1368"/>
      <c r="CM647" s="1369"/>
      <c r="CN647" s="1420"/>
      <c r="CO647" s="1368"/>
      <c r="CP647" s="1368"/>
      <c r="CQ647" s="1368"/>
      <c r="CR647" s="1369"/>
      <c r="CS647" s="1420"/>
      <c r="CT647" s="1368"/>
      <c r="CU647" s="1368"/>
      <c r="CV647" s="1368"/>
      <c r="CW647" s="1369"/>
      <c r="CX647" s="1420"/>
      <c r="CY647" s="1368"/>
      <c r="CZ647" s="1368"/>
      <c r="DA647" s="1368"/>
      <c r="DB647" s="1369"/>
      <c r="DC647" s="1368"/>
      <c r="DD647" s="1368"/>
      <c r="DE647" s="1368"/>
      <c r="DF647" s="1368"/>
      <c r="DG647" s="1369"/>
      <c r="DH647" s="1420"/>
      <c r="DI647" s="1368"/>
      <c r="DJ647" s="1368"/>
      <c r="DK647" s="1368"/>
      <c r="DL647" s="1369"/>
      <c r="DM647" s="1808"/>
      <c r="DN647" s="1809"/>
      <c r="DO647" s="1809"/>
      <c r="DP647" s="1810"/>
      <c r="DQ647" s="1809"/>
      <c r="DR647" s="1809"/>
      <c r="DS647" s="1809"/>
      <c r="DT647" s="1810"/>
      <c r="DU647" s="1377"/>
      <c r="DV647" s="1729"/>
      <c r="DW647" s="1811"/>
    </row>
    <row r="648" spans="1:127" s="397" customFormat="1" ht="15.75" hidden="1" customHeight="1">
      <c r="A648" s="1097" t="s">
        <v>1057</v>
      </c>
      <c r="B648" s="1057">
        <v>639</v>
      </c>
      <c r="C648" s="1018"/>
      <c r="D648" s="1018"/>
      <c r="E648" s="1018"/>
      <c r="F648" s="1018"/>
      <c r="G648" s="1018"/>
      <c r="H648" s="1018"/>
      <c r="I648" s="1018"/>
      <c r="J648" s="1018"/>
      <c r="K648" s="1018"/>
      <c r="L648" s="1018"/>
      <c r="M648" s="1057"/>
      <c r="N648" s="1018"/>
      <c r="O648" s="1018"/>
      <c r="P648" s="1018"/>
      <c r="Q648" s="1018"/>
      <c r="R648" s="1018"/>
      <c r="S648" s="1018"/>
      <c r="T648" s="1019"/>
      <c r="U648" s="1098" t="s">
        <v>4641</v>
      </c>
      <c r="V648" s="1099" t="s">
        <v>4635</v>
      </c>
      <c r="W648" s="1099" t="s">
        <v>1896</v>
      </c>
      <c r="X648" s="1100">
        <v>12</v>
      </c>
      <c r="Y648" s="1101" t="s">
        <v>4642</v>
      </c>
      <c r="Z648" s="1102" t="s">
        <v>4643</v>
      </c>
      <c r="AA648" s="1103">
        <v>0</v>
      </c>
      <c r="AB648" s="1104">
        <v>0</v>
      </c>
      <c r="AC648" s="1104">
        <v>0</v>
      </c>
      <c r="AD648" s="1104">
        <v>0</v>
      </c>
      <c r="AE648" s="1104">
        <v>1</v>
      </c>
      <c r="AF648" s="1104">
        <v>0</v>
      </c>
      <c r="AG648" s="1104">
        <v>0</v>
      </c>
      <c r="AH648" s="1104">
        <v>0</v>
      </c>
      <c r="AI648" s="1105">
        <f t="shared" si="9"/>
        <v>1</v>
      </c>
      <c r="AJ648" s="1106" t="s">
        <v>1007</v>
      </c>
      <c r="AK648" s="1106" t="s">
        <v>1942</v>
      </c>
      <c r="AL648" s="1106" t="s">
        <v>1942</v>
      </c>
      <c r="AM648" s="1107" t="s">
        <v>2117</v>
      </c>
      <c r="AN648" s="1018" t="s">
        <v>1033</v>
      </c>
      <c r="AO648" s="1018" t="s">
        <v>4644</v>
      </c>
      <c r="AP648" s="833">
        <v>0</v>
      </c>
      <c r="AQ648" s="1076" t="s">
        <v>1010</v>
      </c>
      <c r="AR648" s="1109" t="s">
        <v>1942</v>
      </c>
      <c r="AS648" s="1110"/>
      <c r="AT648" s="1100"/>
      <c r="AU648" s="1100"/>
      <c r="AV648" s="1100"/>
      <c r="AW648" s="1111"/>
      <c r="AX648" s="1112"/>
      <c r="AY648" s="1075"/>
      <c r="AZ648" s="1076"/>
      <c r="BA648" s="1076"/>
      <c r="BB648" s="1076"/>
      <c r="BC648" s="1076"/>
      <c r="BD648" s="1076"/>
      <c r="BE648" s="1076"/>
      <c r="BF648" s="1076"/>
      <c r="BG648" s="1076"/>
      <c r="BH648" s="1076"/>
      <c r="BI648" s="1420"/>
      <c r="BJ648" s="1368"/>
      <c r="BK648" s="1368"/>
      <c r="BL648" s="1368"/>
      <c r="BM648" s="1368"/>
      <c r="BN648" s="1075"/>
      <c r="BO648" s="1076"/>
      <c r="BP648" s="1076"/>
      <c r="BQ648" s="1076"/>
      <c r="BR648" s="1076"/>
      <c r="BS648" s="1115"/>
      <c r="BT648" s="1076"/>
      <c r="BU648" s="1076"/>
      <c r="BV648" s="1076"/>
      <c r="BW648" s="1116"/>
      <c r="BX648" s="1115"/>
      <c r="BY648" s="1076"/>
      <c r="BZ648" s="1076"/>
      <c r="CA648" s="1076"/>
      <c r="CB648" s="1116"/>
      <c r="CC648" s="1117"/>
      <c r="CD648" s="1376"/>
      <c r="CE648" s="1377"/>
      <c r="CF648" s="1377"/>
      <c r="CG648" s="1377"/>
      <c r="CH648" s="1440"/>
      <c r="CI648" s="1420"/>
      <c r="CJ648" s="1368"/>
      <c r="CK648" s="1368"/>
      <c r="CL648" s="1368"/>
      <c r="CM648" s="1369"/>
      <c r="CN648" s="1420"/>
      <c r="CO648" s="1368"/>
      <c r="CP648" s="1368"/>
      <c r="CQ648" s="1368"/>
      <c r="CR648" s="1369"/>
      <c r="CS648" s="1420"/>
      <c r="CT648" s="1368"/>
      <c r="CU648" s="1368"/>
      <c r="CV648" s="1368"/>
      <c r="CW648" s="1369"/>
      <c r="CX648" s="1420"/>
      <c r="CY648" s="1368"/>
      <c r="CZ648" s="1368"/>
      <c r="DA648" s="1368"/>
      <c r="DB648" s="1369"/>
      <c r="DC648" s="1368"/>
      <c r="DD648" s="1368"/>
      <c r="DE648" s="1368"/>
      <c r="DF648" s="1368"/>
      <c r="DG648" s="1369"/>
      <c r="DH648" s="1420"/>
      <c r="DI648" s="1368"/>
      <c r="DJ648" s="1368"/>
      <c r="DK648" s="1368"/>
      <c r="DL648" s="1369"/>
      <c r="DM648" s="1808"/>
      <c r="DN648" s="1809"/>
      <c r="DO648" s="1809"/>
      <c r="DP648" s="1810"/>
      <c r="DQ648" s="1809"/>
      <c r="DR648" s="1809"/>
      <c r="DS648" s="1809"/>
      <c r="DT648" s="1810"/>
      <c r="DU648" s="1377"/>
      <c r="DV648" s="1729"/>
      <c r="DW648" s="1811"/>
    </row>
    <row r="649" spans="1:127" s="397" customFormat="1" ht="15.75" hidden="1" customHeight="1">
      <c r="A649" s="1097" t="s">
        <v>1057</v>
      </c>
      <c r="B649" s="1057">
        <v>640</v>
      </c>
      <c r="C649" s="1018"/>
      <c r="D649" s="1018"/>
      <c r="E649" s="1018"/>
      <c r="F649" s="1018"/>
      <c r="G649" s="1018"/>
      <c r="H649" s="1018"/>
      <c r="I649" s="1018"/>
      <c r="J649" s="1018"/>
      <c r="K649" s="1018"/>
      <c r="L649" s="1018"/>
      <c r="M649" s="1057"/>
      <c r="N649" s="1018"/>
      <c r="O649" s="1018"/>
      <c r="P649" s="1018"/>
      <c r="Q649" s="1018"/>
      <c r="R649" s="1018"/>
      <c r="S649" s="1018"/>
      <c r="T649" s="1019"/>
      <c r="U649" s="1098" t="s">
        <v>4645</v>
      </c>
      <c r="V649" s="1099" t="s">
        <v>4592</v>
      </c>
      <c r="W649" s="1099" t="s">
        <v>1896</v>
      </c>
      <c r="X649" s="1100">
        <v>13</v>
      </c>
      <c r="Y649" s="1101" t="s">
        <v>4646</v>
      </c>
      <c r="Z649" s="1102" t="s">
        <v>4647</v>
      </c>
      <c r="AA649" s="1103">
        <v>0</v>
      </c>
      <c r="AB649" s="1104">
        <v>0</v>
      </c>
      <c r="AC649" s="1104">
        <v>0</v>
      </c>
      <c r="AD649" s="1104">
        <v>0</v>
      </c>
      <c r="AE649" s="1104">
        <v>1</v>
      </c>
      <c r="AF649" s="1104">
        <v>0</v>
      </c>
      <c r="AG649" s="1104">
        <v>0</v>
      </c>
      <c r="AH649" s="1104">
        <v>0</v>
      </c>
      <c r="AI649" s="1105">
        <f t="shared" si="9"/>
        <v>1</v>
      </c>
      <c r="AJ649" s="1106" t="s">
        <v>1007</v>
      </c>
      <c r="AK649" s="1106" t="s">
        <v>1942</v>
      </c>
      <c r="AL649" s="1106" t="s">
        <v>1942</v>
      </c>
      <c r="AM649" s="1107" t="s">
        <v>2117</v>
      </c>
      <c r="AN649" s="1018" t="s">
        <v>278</v>
      </c>
      <c r="AO649" s="1018" t="s">
        <v>4648</v>
      </c>
      <c r="AP649" s="833">
        <v>2</v>
      </c>
      <c r="AQ649" s="1076" t="s">
        <v>1020</v>
      </c>
      <c r="AR649" s="1109" t="s">
        <v>1942</v>
      </c>
      <c r="AS649" s="1110"/>
      <c r="AT649" s="1100"/>
      <c r="AU649" s="1100"/>
      <c r="AV649" s="1100"/>
      <c r="AW649" s="1111"/>
      <c r="AX649" s="1112"/>
      <c r="AY649" s="1075"/>
      <c r="AZ649" s="1076"/>
      <c r="BA649" s="1076"/>
      <c r="BB649" s="1076"/>
      <c r="BC649" s="1076"/>
      <c r="BD649" s="1076"/>
      <c r="BE649" s="1076"/>
      <c r="BF649" s="1076"/>
      <c r="BG649" s="1076"/>
      <c r="BH649" s="1076"/>
      <c r="BI649" s="1420"/>
      <c r="BJ649" s="1368"/>
      <c r="BK649" s="1368"/>
      <c r="BL649" s="1368"/>
      <c r="BM649" s="1368"/>
      <c r="BN649" s="1075"/>
      <c r="BO649" s="1076"/>
      <c r="BP649" s="1076"/>
      <c r="BQ649" s="1076"/>
      <c r="BR649" s="1076"/>
      <c r="BS649" s="1115"/>
      <c r="BT649" s="1076"/>
      <c r="BU649" s="1076"/>
      <c r="BV649" s="1076"/>
      <c r="BW649" s="1116"/>
      <c r="BX649" s="1115"/>
      <c r="BY649" s="1076"/>
      <c r="BZ649" s="1076"/>
      <c r="CA649" s="1076"/>
      <c r="CB649" s="1116"/>
      <c r="CC649" s="1117"/>
      <c r="CD649" s="1376"/>
      <c r="CE649" s="1377"/>
      <c r="CF649" s="1377"/>
      <c r="CG649" s="1377"/>
      <c r="CH649" s="1440"/>
      <c r="CI649" s="1420"/>
      <c r="CJ649" s="1368"/>
      <c r="CK649" s="1368"/>
      <c r="CL649" s="1368"/>
      <c r="CM649" s="1369"/>
      <c r="CN649" s="1420"/>
      <c r="CO649" s="1368"/>
      <c r="CP649" s="1368"/>
      <c r="CQ649" s="1368"/>
      <c r="CR649" s="1369"/>
      <c r="CS649" s="1420"/>
      <c r="CT649" s="1368"/>
      <c r="CU649" s="1368"/>
      <c r="CV649" s="1368"/>
      <c r="CW649" s="1369"/>
      <c r="CX649" s="1420"/>
      <c r="CY649" s="1368"/>
      <c r="CZ649" s="1368"/>
      <c r="DA649" s="1368"/>
      <c r="DB649" s="1369"/>
      <c r="DC649" s="1368"/>
      <c r="DD649" s="1368"/>
      <c r="DE649" s="1368"/>
      <c r="DF649" s="1368"/>
      <c r="DG649" s="1369"/>
      <c r="DH649" s="1420"/>
      <c r="DI649" s="1368"/>
      <c r="DJ649" s="1368"/>
      <c r="DK649" s="1368"/>
      <c r="DL649" s="1369"/>
      <c r="DM649" s="1808"/>
      <c r="DN649" s="1809"/>
      <c r="DO649" s="1809"/>
      <c r="DP649" s="1810"/>
      <c r="DQ649" s="1809"/>
      <c r="DR649" s="1809"/>
      <c r="DS649" s="1809"/>
      <c r="DT649" s="1810"/>
      <c r="DU649" s="1377"/>
      <c r="DV649" s="1729"/>
      <c r="DW649" s="1811"/>
    </row>
    <row r="650" spans="1:127" s="397" customFormat="1" ht="15.75" hidden="1" customHeight="1">
      <c r="A650" s="1097" t="s">
        <v>1057</v>
      </c>
      <c r="B650" s="1057">
        <v>641</v>
      </c>
      <c r="C650" s="1018"/>
      <c r="D650" s="1018"/>
      <c r="E650" s="1018"/>
      <c r="F650" s="1018"/>
      <c r="G650" s="1018"/>
      <c r="H650" s="1018"/>
      <c r="I650" s="1018"/>
      <c r="J650" s="1018"/>
      <c r="K650" s="1018"/>
      <c r="L650" s="1018"/>
      <c r="M650" s="1057"/>
      <c r="N650" s="1018"/>
      <c r="O650" s="1018"/>
      <c r="P650" s="1018"/>
      <c r="Q650" s="1018"/>
      <c r="R650" s="1018"/>
      <c r="S650" s="1018"/>
      <c r="T650" s="1019"/>
      <c r="U650" s="1098" t="s">
        <v>4649</v>
      </c>
      <c r="V650" s="1099" t="s">
        <v>4635</v>
      </c>
      <c r="W650" s="1099" t="s">
        <v>1907</v>
      </c>
      <c r="X650" s="1100">
        <v>14</v>
      </c>
      <c r="Y650" s="1101" t="s">
        <v>4650</v>
      </c>
      <c r="Z650" s="1102" t="s">
        <v>4651</v>
      </c>
      <c r="AA650" s="1103">
        <v>0</v>
      </c>
      <c r="AB650" s="1104">
        <v>0</v>
      </c>
      <c r="AC650" s="1104">
        <v>0</v>
      </c>
      <c r="AD650" s="1104">
        <v>0</v>
      </c>
      <c r="AE650" s="1104">
        <v>1</v>
      </c>
      <c r="AF650" s="1104">
        <v>0</v>
      </c>
      <c r="AG650" s="1104">
        <v>0</v>
      </c>
      <c r="AH650" s="1104">
        <v>0</v>
      </c>
      <c r="AI650" s="1105">
        <f t="shared" ref="AI650:AI678" si="10">SUM(AA650:AH650)</f>
        <v>1</v>
      </c>
      <c r="AJ650" s="1106" t="s">
        <v>1007</v>
      </c>
      <c r="AK650" s="1106" t="s">
        <v>1942</v>
      </c>
      <c r="AL650" s="1106" t="s">
        <v>1942</v>
      </c>
      <c r="AM650" s="1107" t="s">
        <v>2117</v>
      </c>
      <c r="AN650" s="1018" t="s">
        <v>278</v>
      </c>
      <c r="AO650" s="1018" t="s">
        <v>2119</v>
      </c>
      <c r="AP650" s="833">
        <v>0</v>
      </c>
      <c r="AQ650" s="1076" t="s">
        <v>1010</v>
      </c>
      <c r="AR650" s="1109" t="s">
        <v>1942</v>
      </c>
      <c r="AS650" s="1110"/>
      <c r="AT650" s="1100"/>
      <c r="AU650" s="1100"/>
      <c r="AV650" s="1100"/>
      <c r="AW650" s="1111"/>
      <c r="AX650" s="1112"/>
      <c r="AY650" s="1075"/>
      <c r="AZ650" s="1076"/>
      <c r="BA650" s="1076"/>
      <c r="BB650" s="1076"/>
      <c r="BC650" s="1076"/>
      <c r="BD650" s="1076"/>
      <c r="BE650" s="1076"/>
      <c r="BF650" s="1076"/>
      <c r="BG650" s="1076"/>
      <c r="BH650" s="1076"/>
      <c r="BI650" s="1420"/>
      <c r="BJ650" s="1368"/>
      <c r="BK650" s="1368"/>
      <c r="BL650" s="1368"/>
      <c r="BM650" s="1368"/>
      <c r="BN650" s="1075"/>
      <c r="BO650" s="1076"/>
      <c r="BP650" s="1076"/>
      <c r="BQ650" s="1076"/>
      <c r="BR650" s="1076"/>
      <c r="BS650" s="1115"/>
      <c r="BT650" s="1076"/>
      <c r="BU650" s="1076"/>
      <c r="BV650" s="1076"/>
      <c r="BW650" s="1116"/>
      <c r="BX650" s="1115"/>
      <c r="BY650" s="1076"/>
      <c r="BZ650" s="1076"/>
      <c r="CA650" s="1076"/>
      <c r="CB650" s="1116"/>
      <c r="CC650" s="1117"/>
      <c r="CD650" s="1376"/>
      <c r="CE650" s="1377"/>
      <c r="CF650" s="1377"/>
      <c r="CG650" s="1377"/>
      <c r="CH650" s="1440"/>
      <c r="CI650" s="1420"/>
      <c r="CJ650" s="1368"/>
      <c r="CK650" s="1368"/>
      <c r="CL650" s="1368"/>
      <c r="CM650" s="1369"/>
      <c r="CN650" s="1420"/>
      <c r="CO650" s="1368"/>
      <c r="CP650" s="1368"/>
      <c r="CQ650" s="1368"/>
      <c r="CR650" s="1369"/>
      <c r="CS650" s="1420"/>
      <c r="CT650" s="1368"/>
      <c r="CU650" s="1368"/>
      <c r="CV650" s="1368"/>
      <c r="CW650" s="1369"/>
      <c r="CX650" s="1420"/>
      <c r="CY650" s="1368"/>
      <c r="CZ650" s="1368"/>
      <c r="DA650" s="1368"/>
      <c r="DB650" s="1369"/>
      <c r="DC650" s="1368"/>
      <c r="DD650" s="1368"/>
      <c r="DE650" s="1368"/>
      <c r="DF650" s="1368"/>
      <c r="DG650" s="1369"/>
      <c r="DH650" s="1420"/>
      <c r="DI650" s="1368"/>
      <c r="DJ650" s="1368"/>
      <c r="DK650" s="1368"/>
      <c r="DL650" s="1369"/>
      <c r="DM650" s="1808"/>
      <c r="DN650" s="1809"/>
      <c r="DO650" s="1809"/>
      <c r="DP650" s="1810"/>
      <c r="DQ650" s="1809"/>
      <c r="DR650" s="1809"/>
      <c r="DS650" s="1809"/>
      <c r="DT650" s="1810"/>
      <c r="DU650" s="1377"/>
      <c r="DV650" s="1729"/>
      <c r="DW650" s="1811"/>
    </row>
    <row r="651" spans="1:127" s="397" customFormat="1" ht="15.75" hidden="1" customHeight="1">
      <c r="A651" s="1097" t="s">
        <v>1057</v>
      </c>
      <c r="B651" s="1057">
        <v>642</v>
      </c>
      <c r="C651" s="1018"/>
      <c r="D651" s="1018"/>
      <c r="E651" s="1018"/>
      <c r="F651" s="1018"/>
      <c r="G651" s="1018"/>
      <c r="H651" s="1018"/>
      <c r="I651" s="1018"/>
      <c r="J651" s="1018"/>
      <c r="K651" s="1018"/>
      <c r="L651" s="1018"/>
      <c r="M651" s="1057"/>
      <c r="N651" s="1018"/>
      <c r="O651" s="1018"/>
      <c r="P651" s="1018"/>
      <c r="Q651" s="1018"/>
      <c r="R651" s="1018"/>
      <c r="S651" s="1018"/>
      <c r="T651" s="1019"/>
      <c r="U651" s="1098" t="s">
        <v>4652</v>
      </c>
      <c r="V651" s="1099" t="s">
        <v>4635</v>
      </c>
      <c r="W651" s="1099" t="s">
        <v>1907</v>
      </c>
      <c r="X651" s="1100">
        <v>15</v>
      </c>
      <c r="Y651" s="1101" t="s">
        <v>4653</v>
      </c>
      <c r="Z651" s="1102" t="s">
        <v>4654</v>
      </c>
      <c r="AA651" s="1103">
        <v>0</v>
      </c>
      <c r="AB651" s="1104">
        <v>0</v>
      </c>
      <c r="AC651" s="1104">
        <v>0</v>
      </c>
      <c r="AD651" s="1104">
        <v>0</v>
      </c>
      <c r="AE651" s="1104">
        <v>1</v>
      </c>
      <c r="AF651" s="1104">
        <v>0</v>
      </c>
      <c r="AG651" s="1104">
        <v>0</v>
      </c>
      <c r="AH651" s="1104">
        <v>0</v>
      </c>
      <c r="AI651" s="1105">
        <f t="shared" si="10"/>
        <v>1</v>
      </c>
      <c r="AJ651" s="1106" t="s">
        <v>1007</v>
      </c>
      <c r="AK651" s="1106" t="s">
        <v>1942</v>
      </c>
      <c r="AL651" s="1106" t="s">
        <v>1942</v>
      </c>
      <c r="AM651" s="1107" t="s">
        <v>2117</v>
      </c>
      <c r="AN651" s="1018" t="s">
        <v>278</v>
      </c>
      <c r="AO651" s="1018" t="s">
        <v>4655</v>
      </c>
      <c r="AP651" s="833">
        <v>0</v>
      </c>
      <c r="AQ651" s="1076" t="s">
        <v>1010</v>
      </c>
      <c r="AR651" s="1109" t="s">
        <v>1942</v>
      </c>
      <c r="AS651" s="1110"/>
      <c r="AT651" s="1100"/>
      <c r="AU651" s="1100"/>
      <c r="AV651" s="1100"/>
      <c r="AW651" s="1111"/>
      <c r="AX651" s="1112"/>
      <c r="AY651" s="1075"/>
      <c r="AZ651" s="1076"/>
      <c r="BA651" s="1076"/>
      <c r="BB651" s="1076"/>
      <c r="BC651" s="1076"/>
      <c r="BD651" s="1076"/>
      <c r="BE651" s="1076"/>
      <c r="BF651" s="1076"/>
      <c r="BG651" s="1076"/>
      <c r="BH651" s="1076"/>
      <c r="BI651" s="1420"/>
      <c r="BJ651" s="1368"/>
      <c r="BK651" s="1368"/>
      <c r="BL651" s="1368"/>
      <c r="BM651" s="1368"/>
      <c r="BN651" s="1075"/>
      <c r="BO651" s="1076"/>
      <c r="BP651" s="1076"/>
      <c r="BQ651" s="1076"/>
      <c r="BR651" s="1076"/>
      <c r="BS651" s="1115"/>
      <c r="BT651" s="1076"/>
      <c r="BU651" s="1076"/>
      <c r="BV651" s="1076"/>
      <c r="BW651" s="1116"/>
      <c r="BX651" s="1115"/>
      <c r="BY651" s="1076"/>
      <c r="BZ651" s="1076"/>
      <c r="CA651" s="1076"/>
      <c r="CB651" s="1116"/>
      <c r="CC651" s="1117"/>
      <c r="CD651" s="1376"/>
      <c r="CE651" s="1377"/>
      <c r="CF651" s="1377"/>
      <c r="CG651" s="1377"/>
      <c r="CH651" s="1440"/>
      <c r="CI651" s="1420"/>
      <c r="CJ651" s="1368"/>
      <c r="CK651" s="1368"/>
      <c r="CL651" s="1368"/>
      <c r="CM651" s="1369"/>
      <c r="CN651" s="1420"/>
      <c r="CO651" s="1368"/>
      <c r="CP651" s="1368"/>
      <c r="CQ651" s="1368"/>
      <c r="CR651" s="1369"/>
      <c r="CS651" s="1420"/>
      <c r="CT651" s="1368"/>
      <c r="CU651" s="1368"/>
      <c r="CV651" s="1368"/>
      <c r="CW651" s="1369"/>
      <c r="CX651" s="1420"/>
      <c r="CY651" s="1368"/>
      <c r="CZ651" s="1368"/>
      <c r="DA651" s="1368"/>
      <c r="DB651" s="1369"/>
      <c r="DC651" s="1368"/>
      <c r="DD651" s="1368"/>
      <c r="DE651" s="1368"/>
      <c r="DF651" s="1368"/>
      <c r="DG651" s="1369"/>
      <c r="DH651" s="1420"/>
      <c r="DI651" s="1368"/>
      <c r="DJ651" s="1368"/>
      <c r="DK651" s="1368"/>
      <c r="DL651" s="1369"/>
      <c r="DM651" s="1808"/>
      <c r="DN651" s="1809"/>
      <c r="DO651" s="1809"/>
      <c r="DP651" s="1810"/>
      <c r="DQ651" s="1809"/>
      <c r="DR651" s="1809"/>
      <c r="DS651" s="1809"/>
      <c r="DT651" s="1810"/>
      <c r="DU651" s="1377"/>
      <c r="DV651" s="1729"/>
      <c r="DW651" s="1811"/>
    </row>
    <row r="652" spans="1:127" s="397" customFormat="1" ht="15.75" hidden="1" customHeight="1">
      <c r="A652" s="1097" t="s">
        <v>1057</v>
      </c>
      <c r="B652" s="1057">
        <v>643</v>
      </c>
      <c r="C652" s="1018"/>
      <c r="D652" s="1018"/>
      <c r="E652" s="1018"/>
      <c r="F652" s="1018"/>
      <c r="G652" s="1018"/>
      <c r="H652" s="1018"/>
      <c r="I652" s="1018"/>
      <c r="J652" s="1018"/>
      <c r="K652" s="1018"/>
      <c r="L652" s="1018"/>
      <c r="M652" s="1057"/>
      <c r="N652" s="1018"/>
      <c r="O652" s="1018"/>
      <c r="P652" s="1018"/>
      <c r="Q652" s="1018"/>
      <c r="R652" s="1018"/>
      <c r="S652" s="1018"/>
      <c r="T652" s="1019"/>
      <c r="U652" s="1098" t="s">
        <v>4656</v>
      </c>
      <c r="V652" s="1099" t="s">
        <v>4635</v>
      </c>
      <c r="W652" s="1099" t="s">
        <v>1907</v>
      </c>
      <c r="X652" s="1100">
        <v>16</v>
      </c>
      <c r="Y652" s="1101" t="s">
        <v>4657</v>
      </c>
      <c r="Z652" s="1102" t="s">
        <v>4658</v>
      </c>
      <c r="AA652" s="1103">
        <v>0</v>
      </c>
      <c r="AB652" s="1104">
        <v>0</v>
      </c>
      <c r="AC652" s="1104">
        <v>0</v>
      </c>
      <c r="AD652" s="1104">
        <v>0</v>
      </c>
      <c r="AE652" s="1104">
        <v>1</v>
      </c>
      <c r="AF652" s="1104">
        <v>0</v>
      </c>
      <c r="AG652" s="1104">
        <v>0</v>
      </c>
      <c r="AH652" s="1104">
        <v>0</v>
      </c>
      <c r="AI652" s="1105">
        <f t="shared" si="10"/>
        <v>1</v>
      </c>
      <c r="AJ652" s="1106" t="s">
        <v>1007</v>
      </c>
      <c r="AK652" s="1106" t="s">
        <v>1942</v>
      </c>
      <c r="AL652" s="1106" t="s">
        <v>1942</v>
      </c>
      <c r="AM652" s="1107" t="s">
        <v>2117</v>
      </c>
      <c r="AN652" s="1018" t="s">
        <v>278</v>
      </c>
      <c r="AO652" s="1018" t="s">
        <v>4659</v>
      </c>
      <c r="AP652" s="833">
        <v>0</v>
      </c>
      <c r="AQ652" s="1076" t="s">
        <v>1010</v>
      </c>
      <c r="AR652" s="1109" t="s">
        <v>1942</v>
      </c>
      <c r="AS652" s="1110"/>
      <c r="AT652" s="1100"/>
      <c r="AU652" s="1100"/>
      <c r="AV652" s="1100"/>
      <c r="AW652" s="1111"/>
      <c r="AX652" s="1112"/>
      <c r="AY652" s="1075"/>
      <c r="AZ652" s="1076"/>
      <c r="BA652" s="1076"/>
      <c r="BB652" s="1076"/>
      <c r="BC652" s="1076"/>
      <c r="BD652" s="1076"/>
      <c r="BE652" s="1076"/>
      <c r="BF652" s="1076"/>
      <c r="BG652" s="1076"/>
      <c r="BH652" s="1076"/>
      <c r="BI652" s="1420"/>
      <c r="BJ652" s="1368"/>
      <c r="BK652" s="1368"/>
      <c r="BL652" s="1368"/>
      <c r="BM652" s="1368"/>
      <c r="BN652" s="1075"/>
      <c r="BO652" s="1076"/>
      <c r="BP652" s="1076"/>
      <c r="BQ652" s="1076"/>
      <c r="BR652" s="1076"/>
      <c r="BS652" s="1115"/>
      <c r="BT652" s="1076"/>
      <c r="BU652" s="1076"/>
      <c r="BV652" s="1076"/>
      <c r="BW652" s="1116"/>
      <c r="BX652" s="1115"/>
      <c r="BY652" s="1076"/>
      <c r="BZ652" s="1076"/>
      <c r="CA652" s="1076"/>
      <c r="CB652" s="1116"/>
      <c r="CC652" s="1117"/>
      <c r="CD652" s="1376"/>
      <c r="CE652" s="1377"/>
      <c r="CF652" s="1377"/>
      <c r="CG652" s="1377"/>
      <c r="CH652" s="1440"/>
      <c r="CI652" s="1420"/>
      <c r="CJ652" s="1368"/>
      <c r="CK652" s="1368"/>
      <c r="CL652" s="1368"/>
      <c r="CM652" s="1369"/>
      <c r="CN652" s="1420"/>
      <c r="CO652" s="1368"/>
      <c r="CP652" s="1368"/>
      <c r="CQ652" s="1368"/>
      <c r="CR652" s="1369"/>
      <c r="CS652" s="1420"/>
      <c r="CT652" s="1368"/>
      <c r="CU652" s="1368"/>
      <c r="CV652" s="1368"/>
      <c r="CW652" s="1369"/>
      <c r="CX652" s="1420"/>
      <c r="CY652" s="1368"/>
      <c r="CZ652" s="1368"/>
      <c r="DA652" s="1368"/>
      <c r="DB652" s="1369"/>
      <c r="DC652" s="1368"/>
      <c r="DD652" s="1368"/>
      <c r="DE652" s="1368"/>
      <c r="DF652" s="1368"/>
      <c r="DG652" s="1369"/>
      <c r="DH652" s="1420"/>
      <c r="DI652" s="1368"/>
      <c r="DJ652" s="1368"/>
      <c r="DK652" s="1368"/>
      <c r="DL652" s="1369"/>
      <c r="DM652" s="1808"/>
      <c r="DN652" s="1809"/>
      <c r="DO652" s="1809"/>
      <c r="DP652" s="1810"/>
      <c r="DQ652" s="1809"/>
      <c r="DR652" s="1809"/>
      <c r="DS652" s="1809"/>
      <c r="DT652" s="1810"/>
      <c r="DU652" s="1377"/>
      <c r="DV652" s="1729"/>
      <c r="DW652" s="1811"/>
    </row>
    <row r="653" spans="1:127" s="397" customFormat="1" ht="15.75" hidden="1" customHeight="1">
      <c r="A653" s="1097" t="s">
        <v>1057</v>
      </c>
      <c r="B653" s="1057">
        <v>644</v>
      </c>
      <c r="C653" s="1018"/>
      <c r="D653" s="1018"/>
      <c r="E653" s="1018"/>
      <c r="F653" s="1018"/>
      <c r="G653" s="1018"/>
      <c r="H653" s="1018"/>
      <c r="I653" s="1018"/>
      <c r="J653" s="1018"/>
      <c r="K653" s="1018"/>
      <c r="L653" s="1018"/>
      <c r="M653" s="1057"/>
      <c r="N653" s="1018"/>
      <c r="O653" s="1018"/>
      <c r="P653" s="1018"/>
      <c r="Q653" s="1018"/>
      <c r="R653" s="1018"/>
      <c r="S653" s="1018"/>
      <c r="T653" s="1019"/>
      <c r="U653" s="1098" t="s">
        <v>4660</v>
      </c>
      <c r="V653" s="1099" t="s">
        <v>4592</v>
      </c>
      <c r="W653" s="1099" t="s">
        <v>1907</v>
      </c>
      <c r="X653" s="1100">
        <v>17</v>
      </c>
      <c r="Y653" s="1101" t="s">
        <v>2574</v>
      </c>
      <c r="Z653" s="1102" t="s">
        <v>4661</v>
      </c>
      <c r="AA653" s="1103">
        <v>0</v>
      </c>
      <c r="AB653" s="1104">
        <v>0</v>
      </c>
      <c r="AC653" s="1104">
        <v>0</v>
      </c>
      <c r="AD653" s="1104">
        <v>0</v>
      </c>
      <c r="AE653" s="1104">
        <v>1</v>
      </c>
      <c r="AF653" s="1104">
        <v>0</v>
      </c>
      <c r="AG653" s="1104">
        <v>0</v>
      </c>
      <c r="AH653" s="1104">
        <v>0</v>
      </c>
      <c r="AI653" s="1105">
        <f t="shared" si="10"/>
        <v>1</v>
      </c>
      <c r="AJ653" s="1106" t="s">
        <v>1026</v>
      </c>
      <c r="AK653" s="1106" t="s">
        <v>1008</v>
      </c>
      <c r="AL653" s="1106" t="s">
        <v>1009</v>
      </c>
      <c r="AM653" s="1107" t="s">
        <v>2117</v>
      </c>
      <c r="AN653" s="1018" t="s">
        <v>278</v>
      </c>
      <c r="AO653" s="1018" t="s">
        <v>4662</v>
      </c>
      <c r="AP653" s="833">
        <v>0</v>
      </c>
      <c r="AQ653" s="1076" t="s">
        <v>1010</v>
      </c>
      <c r="AR653" s="1109" t="s">
        <v>1942</v>
      </c>
      <c r="AS653" s="1110"/>
      <c r="AT653" s="1100"/>
      <c r="AU653" s="1100"/>
      <c r="AV653" s="1100"/>
      <c r="AW653" s="1111"/>
      <c r="AX653" s="1112"/>
      <c r="AY653" s="1075"/>
      <c r="AZ653" s="1076"/>
      <c r="BA653" s="1076"/>
      <c r="BB653" s="1076"/>
      <c r="BC653" s="1076"/>
      <c r="BD653" s="1076"/>
      <c r="BE653" s="1076"/>
      <c r="BF653" s="1076"/>
      <c r="BG653" s="1076"/>
      <c r="BH653" s="1076"/>
      <c r="BI653" s="1420"/>
      <c r="BJ653" s="1368"/>
      <c r="BK653" s="1368"/>
      <c r="BL653" s="1368"/>
      <c r="BM653" s="1368"/>
      <c r="BN653" s="1075"/>
      <c r="BO653" s="1076"/>
      <c r="BP653" s="1076"/>
      <c r="BQ653" s="1076"/>
      <c r="BR653" s="1076"/>
      <c r="BS653" s="1115"/>
      <c r="BT653" s="1076"/>
      <c r="BU653" s="1076"/>
      <c r="BV653" s="1076"/>
      <c r="BW653" s="1116"/>
      <c r="BX653" s="1115"/>
      <c r="BY653" s="1076"/>
      <c r="BZ653" s="1076"/>
      <c r="CA653" s="1076"/>
      <c r="CB653" s="1116"/>
      <c r="CC653" s="1117"/>
      <c r="CD653" s="1376"/>
      <c r="CE653" s="1377"/>
      <c r="CF653" s="1377"/>
      <c r="CG653" s="1377"/>
      <c r="CH653" s="1440"/>
      <c r="CI653" s="1420"/>
      <c r="CJ653" s="1368"/>
      <c r="CK653" s="1368"/>
      <c r="CL653" s="1368"/>
      <c r="CM653" s="1369"/>
      <c r="CN653" s="1420"/>
      <c r="CO653" s="1368"/>
      <c r="CP653" s="1368"/>
      <c r="CQ653" s="1368"/>
      <c r="CR653" s="1369"/>
      <c r="CS653" s="1420"/>
      <c r="CT653" s="1368"/>
      <c r="CU653" s="1368"/>
      <c r="CV653" s="1368"/>
      <c r="CW653" s="1369"/>
      <c r="CX653" s="1420"/>
      <c r="CY653" s="1368"/>
      <c r="CZ653" s="1368"/>
      <c r="DA653" s="1368"/>
      <c r="DB653" s="1369"/>
      <c r="DC653" s="1368"/>
      <c r="DD653" s="1368"/>
      <c r="DE653" s="1368"/>
      <c r="DF653" s="1368"/>
      <c r="DG653" s="1369"/>
      <c r="DH653" s="1420"/>
      <c r="DI653" s="1368"/>
      <c r="DJ653" s="1368"/>
      <c r="DK653" s="1368"/>
      <c r="DL653" s="1369"/>
      <c r="DM653" s="1808"/>
      <c r="DN653" s="1809"/>
      <c r="DO653" s="1809"/>
      <c r="DP653" s="1810"/>
      <c r="DQ653" s="1809"/>
      <c r="DR653" s="1809"/>
      <c r="DS653" s="1809"/>
      <c r="DT653" s="1810"/>
      <c r="DU653" s="1377"/>
      <c r="DV653" s="1729"/>
      <c r="DW653" s="1811"/>
    </row>
    <row r="654" spans="1:127" s="397" customFormat="1" ht="15.75" hidden="1" customHeight="1">
      <c r="A654" s="1097" t="s">
        <v>1057</v>
      </c>
      <c r="B654" s="1057">
        <v>645</v>
      </c>
      <c r="C654" s="1018"/>
      <c r="D654" s="1018"/>
      <c r="E654" s="1018"/>
      <c r="F654" s="1018"/>
      <c r="G654" s="1018"/>
      <c r="H654" s="1018"/>
      <c r="I654" s="1018"/>
      <c r="J654" s="1018"/>
      <c r="K654" s="1018"/>
      <c r="L654" s="1018"/>
      <c r="M654" s="1057"/>
      <c r="N654" s="1018"/>
      <c r="O654" s="1018"/>
      <c r="P654" s="1018"/>
      <c r="Q654" s="1018"/>
      <c r="R654" s="1018"/>
      <c r="S654" s="1018"/>
      <c r="T654" s="1019"/>
      <c r="U654" s="1098" t="s">
        <v>4663</v>
      </c>
      <c r="V654" s="1099" t="s">
        <v>4592</v>
      </c>
      <c r="W654" s="1099" t="s">
        <v>1907</v>
      </c>
      <c r="X654" s="1100">
        <v>18</v>
      </c>
      <c r="Y654" s="1101" t="s">
        <v>2125</v>
      </c>
      <c r="Z654" s="1102" t="s">
        <v>4664</v>
      </c>
      <c r="AA654" s="1103">
        <v>0</v>
      </c>
      <c r="AB654" s="1104">
        <v>0</v>
      </c>
      <c r="AC654" s="1104">
        <v>0</v>
      </c>
      <c r="AD654" s="1104">
        <v>0</v>
      </c>
      <c r="AE654" s="1104">
        <v>1</v>
      </c>
      <c r="AF654" s="1104">
        <v>0</v>
      </c>
      <c r="AG654" s="1104">
        <v>0</v>
      </c>
      <c r="AH654" s="1104">
        <v>0</v>
      </c>
      <c r="AI654" s="1105">
        <f t="shared" si="10"/>
        <v>1</v>
      </c>
      <c r="AJ654" s="1106" t="s">
        <v>1030</v>
      </c>
      <c r="AK654" s="1106" t="s">
        <v>1008</v>
      </c>
      <c r="AL654" s="1106" t="s">
        <v>1009</v>
      </c>
      <c r="AM654" s="1107" t="s">
        <v>2117</v>
      </c>
      <c r="AN654" s="1018" t="s">
        <v>278</v>
      </c>
      <c r="AO654" s="1018" t="s">
        <v>4665</v>
      </c>
      <c r="AP654" s="833">
        <v>2</v>
      </c>
      <c r="AQ654" s="1076" t="s">
        <v>1020</v>
      </c>
      <c r="AR654" s="1109" t="s">
        <v>1942</v>
      </c>
      <c r="AS654" s="1110"/>
      <c r="AT654" s="1100"/>
      <c r="AU654" s="1100"/>
      <c r="AV654" s="1100"/>
      <c r="AW654" s="1111"/>
      <c r="AX654" s="1112"/>
      <c r="AY654" s="1075"/>
      <c r="AZ654" s="1076"/>
      <c r="BA654" s="1076"/>
      <c r="BB654" s="1076"/>
      <c r="BC654" s="1076"/>
      <c r="BD654" s="1076"/>
      <c r="BE654" s="1076"/>
      <c r="BF654" s="1076"/>
      <c r="BG654" s="1076"/>
      <c r="BH654" s="1076"/>
      <c r="BI654" s="1420"/>
      <c r="BJ654" s="1368"/>
      <c r="BK654" s="1368"/>
      <c r="BL654" s="1368"/>
      <c r="BM654" s="1368"/>
      <c r="BN654" s="1075"/>
      <c r="BO654" s="1076"/>
      <c r="BP654" s="1076"/>
      <c r="BQ654" s="1076"/>
      <c r="BR654" s="1076"/>
      <c r="BS654" s="1115"/>
      <c r="BT654" s="1076"/>
      <c r="BU654" s="1076"/>
      <c r="BV654" s="1076"/>
      <c r="BW654" s="1116"/>
      <c r="BX654" s="1115"/>
      <c r="BY654" s="1076"/>
      <c r="BZ654" s="1076"/>
      <c r="CA654" s="1076"/>
      <c r="CB654" s="1116"/>
      <c r="CC654" s="1117"/>
      <c r="CD654" s="1376"/>
      <c r="CE654" s="1377"/>
      <c r="CF654" s="1377"/>
      <c r="CG654" s="1377"/>
      <c r="CH654" s="1440"/>
      <c r="CI654" s="1420"/>
      <c r="CJ654" s="1368"/>
      <c r="CK654" s="1368"/>
      <c r="CL654" s="1368"/>
      <c r="CM654" s="1369"/>
      <c r="CN654" s="1420"/>
      <c r="CO654" s="1368"/>
      <c r="CP654" s="1368"/>
      <c r="CQ654" s="1368"/>
      <c r="CR654" s="1369"/>
      <c r="CS654" s="1420"/>
      <c r="CT654" s="1368"/>
      <c r="CU654" s="1368"/>
      <c r="CV654" s="1368"/>
      <c r="CW654" s="1369"/>
      <c r="CX654" s="1420"/>
      <c r="CY654" s="1368"/>
      <c r="CZ654" s="1368"/>
      <c r="DA654" s="1368"/>
      <c r="DB654" s="1369"/>
      <c r="DC654" s="1368"/>
      <c r="DD654" s="1368"/>
      <c r="DE654" s="1368"/>
      <c r="DF654" s="1368"/>
      <c r="DG654" s="1369"/>
      <c r="DH654" s="1420"/>
      <c r="DI654" s="1368"/>
      <c r="DJ654" s="1368"/>
      <c r="DK654" s="1368"/>
      <c r="DL654" s="1369"/>
      <c r="DM654" s="1808"/>
      <c r="DN654" s="1809"/>
      <c r="DO654" s="1809"/>
      <c r="DP654" s="1810"/>
      <c r="DQ654" s="1809"/>
      <c r="DR654" s="1809"/>
      <c r="DS654" s="1809"/>
      <c r="DT654" s="1810"/>
      <c r="DU654" s="1377"/>
      <c r="DV654" s="1729"/>
      <c r="DW654" s="1811"/>
    </row>
    <row r="655" spans="1:127" s="397" customFormat="1" ht="15.75" hidden="1" customHeight="1">
      <c r="A655" s="1097" t="s">
        <v>1057</v>
      </c>
      <c r="B655" s="1057">
        <v>646</v>
      </c>
      <c r="C655" s="1018"/>
      <c r="D655" s="1018"/>
      <c r="E655" s="1018"/>
      <c r="F655" s="1018"/>
      <c r="G655" s="1018"/>
      <c r="H655" s="1018"/>
      <c r="I655" s="1018"/>
      <c r="J655" s="1018"/>
      <c r="K655" s="1018"/>
      <c r="L655" s="1018"/>
      <c r="M655" s="1057"/>
      <c r="N655" s="1018"/>
      <c r="O655" s="1018"/>
      <c r="P655" s="1018"/>
      <c r="Q655" s="1018"/>
      <c r="R655" s="1018"/>
      <c r="S655" s="1018"/>
      <c r="T655" s="1019"/>
      <c r="U655" s="1098" t="s">
        <v>4666</v>
      </c>
      <c r="V655" s="1099" t="s">
        <v>4635</v>
      </c>
      <c r="W655" s="1099" t="s">
        <v>1907</v>
      </c>
      <c r="X655" s="1100">
        <v>19</v>
      </c>
      <c r="Y655" s="1101" t="s">
        <v>1931</v>
      </c>
      <c r="Z655" s="1102" t="s">
        <v>4667</v>
      </c>
      <c r="AA655" s="1103">
        <v>0</v>
      </c>
      <c r="AB655" s="1104">
        <v>0</v>
      </c>
      <c r="AC655" s="1104">
        <v>0</v>
      </c>
      <c r="AD655" s="1104">
        <v>0</v>
      </c>
      <c r="AE655" s="1104">
        <v>1</v>
      </c>
      <c r="AF655" s="1104">
        <v>0</v>
      </c>
      <c r="AG655" s="1104">
        <v>0</v>
      </c>
      <c r="AH655" s="1104">
        <v>0</v>
      </c>
      <c r="AI655" s="1105">
        <f t="shared" si="10"/>
        <v>1</v>
      </c>
      <c r="AJ655" s="1106" t="s">
        <v>1030</v>
      </c>
      <c r="AK655" s="1106" t="s">
        <v>1008</v>
      </c>
      <c r="AL655" s="1106" t="s">
        <v>1009</v>
      </c>
      <c r="AM655" s="1107" t="s">
        <v>1069</v>
      </c>
      <c r="AN655" s="1018" t="s">
        <v>1081</v>
      </c>
      <c r="AO655" s="1018" t="s">
        <v>3170</v>
      </c>
      <c r="AP655" s="833">
        <v>2</v>
      </c>
      <c r="AQ655" s="1076" t="s">
        <v>1010</v>
      </c>
      <c r="AR655" s="1109" t="s">
        <v>1931</v>
      </c>
      <c r="AS655" s="1110"/>
      <c r="AT655" s="1100"/>
      <c r="AU655" s="1100"/>
      <c r="AV655" s="1100"/>
      <c r="AW655" s="1111"/>
      <c r="AX655" s="1112"/>
      <c r="AY655" s="1075"/>
      <c r="AZ655" s="1076"/>
      <c r="BA655" s="1076"/>
      <c r="BB655" s="1076"/>
      <c r="BC655" s="1076"/>
      <c r="BD655" s="1076"/>
      <c r="BE655" s="1076"/>
      <c r="BF655" s="1076"/>
      <c r="BG655" s="1076"/>
      <c r="BH655" s="1076"/>
      <c r="BI655" s="1075" t="s">
        <v>1942</v>
      </c>
      <c r="BJ655" s="1076" t="s">
        <v>1942</v>
      </c>
      <c r="BK655" s="1076" t="s">
        <v>1942</v>
      </c>
      <c r="BL655" s="1076" t="s">
        <v>1942</v>
      </c>
      <c r="BM655" s="1076" t="s">
        <v>1942</v>
      </c>
      <c r="BN655" s="1075"/>
      <c r="BO655" s="1076"/>
      <c r="BP655" s="1076"/>
      <c r="BQ655" s="1076"/>
      <c r="BR655" s="1076"/>
      <c r="BS655" s="1115"/>
      <c r="BT655" s="1076"/>
      <c r="BU655" s="1076"/>
      <c r="BV655" s="1076"/>
      <c r="BW655" s="1116"/>
      <c r="BX655" s="1115"/>
      <c r="BY655" s="1076"/>
      <c r="BZ655" s="1076"/>
      <c r="CA655" s="1076"/>
      <c r="CB655" s="1116"/>
      <c r="CC655" s="1117"/>
      <c r="CD655" s="1118" t="s">
        <v>168</v>
      </c>
      <c r="CE655" s="1119" t="s">
        <v>168</v>
      </c>
      <c r="CF655" s="1119" t="s">
        <v>168</v>
      </c>
      <c r="CG655" s="1119" t="s">
        <v>168</v>
      </c>
      <c r="CH655" s="1120" t="s">
        <v>168</v>
      </c>
      <c r="CI655" s="1075" t="s">
        <v>1942</v>
      </c>
      <c r="CJ655" s="1076" t="s">
        <v>1942</v>
      </c>
      <c r="CK655" s="1076" t="s">
        <v>1942</v>
      </c>
      <c r="CL655" s="1076" t="s">
        <v>1942</v>
      </c>
      <c r="CM655" s="1117" t="s">
        <v>1942</v>
      </c>
      <c r="CN655" s="1075" t="s">
        <v>1942</v>
      </c>
      <c r="CO655" s="1076" t="s">
        <v>1942</v>
      </c>
      <c r="CP655" s="1076" t="s">
        <v>1942</v>
      </c>
      <c r="CQ655" s="1076" t="s">
        <v>1942</v>
      </c>
      <c r="CR655" s="1117" t="s">
        <v>1942</v>
      </c>
      <c r="CS655" s="1075" t="s">
        <v>1942</v>
      </c>
      <c r="CT655" s="1076" t="s">
        <v>1942</v>
      </c>
      <c r="CU655" s="1076" t="s">
        <v>1942</v>
      </c>
      <c r="CV655" s="1076" t="s">
        <v>1942</v>
      </c>
      <c r="CW655" s="1117" t="s">
        <v>1942</v>
      </c>
      <c r="CX655" s="1075" t="s">
        <v>1942</v>
      </c>
      <c r="CY655" s="1076" t="s">
        <v>1942</v>
      </c>
      <c r="CZ655" s="1076" t="s">
        <v>1942</v>
      </c>
      <c r="DA655" s="1076" t="s">
        <v>1942</v>
      </c>
      <c r="DB655" s="1117" t="s">
        <v>1942</v>
      </c>
      <c r="DC655" s="1076" t="s">
        <v>1942</v>
      </c>
      <c r="DD655" s="1076" t="s">
        <v>1942</v>
      </c>
      <c r="DE655" s="1076" t="s">
        <v>1942</v>
      </c>
      <c r="DF655" s="1076" t="s">
        <v>1942</v>
      </c>
      <c r="DG655" s="1117" t="s">
        <v>1942</v>
      </c>
      <c r="DH655" s="1075" t="s">
        <v>1942</v>
      </c>
      <c r="DI655" s="1076" t="s">
        <v>1942</v>
      </c>
      <c r="DJ655" s="1076" t="s">
        <v>1942</v>
      </c>
      <c r="DK655" s="1076" t="s">
        <v>1942</v>
      </c>
      <c r="DL655" s="1117" t="s">
        <v>1942</v>
      </c>
      <c r="DM655" s="1121" t="s">
        <v>1942</v>
      </c>
      <c r="DN655" s="1122" t="s">
        <v>1942</v>
      </c>
      <c r="DO655" s="1122" t="s">
        <v>1942</v>
      </c>
      <c r="DP655" s="1123" t="s">
        <v>1942</v>
      </c>
      <c r="DQ655" s="1122" t="s">
        <v>1942</v>
      </c>
      <c r="DR655" s="1122" t="s">
        <v>1942</v>
      </c>
      <c r="DS655" s="1122" t="s">
        <v>1942</v>
      </c>
      <c r="DT655" s="1123" t="s">
        <v>1942</v>
      </c>
      <c r="DU655" s="1119" t="s">
        <v>1942</v>
      </c>
      <c r="DV655" s="1124">
        <v>1</v>
      </c>
      <c r="DW655" s="1125" t="s">
        <v>1942</v>
      </c>
    </row>
    <row r="656" spans="1:127" s="397" customFormat="1" ht="15.75" hidden="1" customHeight="1">
      <c r="A656" s="1097" t="s">
        <v>1057</v>
      </c>
      <c r="B656" s="1057">
        <v>647</v>
      </c>
      <c r="C656" s="1018"/>
      <c r="D656" s="1018"/>
      <c r="E656" s="1018"/>
      <c r="F656" s="1018"/>
      <c r="G656" s="1018"/>
      <c r="H656" s="1018"/>
      <c r="I656" s="1018"/>
      <c r="J656" s="1018"/>
      <c r="K656" s="1018"/>
      <c r="L656" s="1018"/>
      <c r="M656" s="1057"/>
      <c r="N656" s="1018"/>
      <c r="O656" s="1018"/>
      <c r="P656" s="1018"/>
      <c r="Q656" s="1018"/>
      <c r="R656" s="1018"/>
      <c r="S656" s="1018"/>
      <c r="T656" s="1019"/>
      <c r="U656" s="1098" t="s">
        <v>4668</v>
      </c>
      <c r="V656" s="1099" t="s">
        <v>4622</v>
      </c>
      <c r="W656" s="1099" t="s">
        <v>1889</v>
      </c>
      <c r="X656" s="1100">
        <v>20</v>
      </c>
      <c r="Y656" s="1101" t="s">
        <v>130</v>
      </c>
      <c r="Z656" s="1102" t="s">
        <v>4669</v>
      </c>
      <c r="AA656" s="1103">
        <v>0</v>
      </c>
      <c r="AB656" s="1104">
        <v>1</v>
      </c>
      <c r="AC656" s="1104">
        <v>0</v>
      </c>
      <c r="AD656" s="1104">
        <v>0</v>
      </c>
      <c r="AE656" s="1104">
        <v>0</v>
      </c>
      <c r="AF656" s="1104">
        <v>0</v>
      </c>
      <c r="AG656" s="1104">
        <v>0</v>
      </c>
      <c r="AH656" s="1104">
        <v>0</v>
      </c>
      <c r="AI656" s="1105">
        <f t="shared" si="10"/>
        <v>1</v>
      </c>
      <c r="AJ656" s="1106" t="s">
        <v>1026</v>
      </c>
      <c r="AK656" s="1106" t="s">
        <v>1008</v>
      </c>
      <c r="AL656" s="1106" t="s">
        <v>1009</v>
      </c>
      <c r="AM656" s="1107" t="s">
        <v>1926</v>
      </c>
      <c r="AN656" s="1018" t="s">
        <v>2177</v>
      </c>
      <c r="AO656" s="1018" t="s">
        <v>4795</v>
      </c>
      <c r="AP656" s="1313">
        <v>2</v>
      </c>
      <c r="AQ656" s="1076" t="s">
        <v>1020</v>
      </c>
      <c r="AR656" s="1109" t="s">
        <v>130</v>
      </c>
      <c r="AS656" s="1110"/>
      <c r="AT656" s="1100"/>
      <c r="AU656" s="1100"/>
      <c r="AV656" s="1100"/>
      <c r="AW656" s="1111"/>
      <c r="AX656" s="1112"/>
      <c r="AY656" s="1075"/>
      <c r="AZ656" s="1076"/>
      <c r="BA656" s="1076"/>
      <c r="BB656" s="1076"/>
      <c r="BC656" s="1076"/>
      <c r="BD656" s="1076"/>
      <c r="BE656" s="1076"/>
      <c r="BF656" s="1076"/>
      <c r="BG656" s="1126"/>
      <c r="BH656" s="1126"/>
      <c r="BI656" s="1127">
        <v>0</v>
      </c>
      <c r="BJ656" s="1126">
        <v>0</v>
      </c>
      <c r="BK656" s="1126">
        <v>0</v>
      </c>
      <c r="BL656" s="1126">
        <v>0</v>
      </c>
      <c r="BM656" s="1126">
        <v>0</v>
      </c>
      <c r="BN656" s="1075"/>
      <c r="BO656" s="1076"/>
      <c r="BP656" s="1076"/>
      <c r="BQ656" s="1076"/>
      <c r="BR656" s="1076"/>
      <c r="BS656" s="1115"/>
      <c r="BT656" s="1076"/>
      <c r="BU656" s="1076"/>
      <c r="BV656" s="1076"/>
      <c r="BW656" s="1116"/>
      <c r="BX656" s="1115"/>
      <c r="BY656" s="1076"/>
      <c r="BZ656" s="1076"/>
      <c r="CA656" s="1076"/>
      <c r="CB656" s="1116"/>
      <c r="CC656" s="1117"/>
      <c r="CD656" s="1118" t="s">
        <v>168</v>
      </c>
      <c r="CE656" s="1119" t="s">
        <v>168</v>
      </c>
      <c r="CF656" s="1119" t="s">
        <v>168</v>
      </c>
      <c r="CG656" s="1119" t="s">
        <v>168</v>
      </c>
      <c r="CH656" s="1120" t="s">
        <v>168</v>
      </c>
      <c r="CI656" s="1075" t="s">
        <v>1942</v>
      </c>
      <c r="CJ656" s="1076" t="s">
        <v>1942</v>
      </c>
      <c r="CK656" s="1076" t="s">
        <v>1942</v>
      </c>
      <c r="CL656" s="1076" t="s">
        <v>1942</v>
      </c>
      <c r="CM656" s="1117" t="s">
        <v>1942</v>
      </c>
      <c r="CN656" s="1075">
        <v>9.5</v>
      </c>
      <c r="CO656" s="1076">
        <v>9.5</v>
      </c>
      <c r="CP656" s="1076">
        <v>9.5</v>
      </c>
      <c r="CQ656" s="1076">
        <v>9.5</v>
      </c>
      <c r="CR656" s="1117">
        <v>9.5</v>
      </c>
      <c r="CS656" s="1075">
        <v>2</v>
      </c>
      <c r="CT656" s="1076">
        <v>2</v>
      </c>
      <c r="CU656" s="1210">
        <v>1.5</v>
      </c>
      <c r="CV656" s="1210">
        <v>1.5</v>
      </c>
      <c r="CW656" s="1211">
        <v>1.5</v>
      </c>
      <c r="CX656" s="1075" t="s">
        <v>1942</v>
      </c>
      <c r="CY656" s="1076" t="s">
        <v>1942</v>
      </c>
      <c r="CZ656" s="1076" t="s">
        <v>1942</v>
      </c>
      <c r="DA656" s="1076" t="s">
        <v>1942</v>
      </c>
      <c r="DB656" s="1117" t="s">
        <v>1942</v>
      </c>
      <c r="DC656" s="1076" t="s">
        <v>1942</v>
      </c>
      <c r="DD656" s="1076" t="s">
        <v>1942</v>
      </c>
      <c r="DE656" s="1076" t="s">
        <v>1942</v>
      </c>
      <c r="DF656" s="1076" t="s">
        <v>1942</v>
      </c>
      <c r="DG656" s="1117" t="s">
        <v>1942</v>
      </c>
      <c r="DH656" s="1075" t="s">
        <v>1942</v>
      </c>
      <c r="DI656" s="1076" t="s">
        <v>1942</v>
      </c>
      <c r="DJ656" s="1076" t="s">
        <v>1942</v>
      </c>
      <c r="DK656" s="1076" t="s">
        <v>1942</v>
      </c>
      <c r="DL656" s="1117" t="s">
        <v>1942</v>
      </c>
      <c r="DM656" s="1121">
        <v>-1.226</v>
      </c>
      <c r="DN656" s="1122" t="s">
        <v>1942</v>
      </c>
      <c r="DO656" s="1122" t="s">
        <v>1942</v>
      </c>
      <c r="DP656" s="1123" t="s">
        <v>1942</v>
      </c>
      <c r="DQ656" s="1122">
        <v>0</v>
      </c>
      <c r="DR656" s="1122" t="s">
        <v>1942</v>
      </c>
      <c r="DS656" s="1122" t="s">
        <v>1942</v>
      </c>
      <c r="DT656" s="1123" t="s">
        <v>1942</v>
      </c>
      <c r="DU656" s="1119" t="s">
        <v>1942</v>
      </c>
      <c r="DV656" s="1124">
        <v>1</v>
      </c>
      <c r="DW656" s="1125" t="s">
        <v>1942</v>
      </c>
    </row>
    <row r="657" spans="1:127" s="397" customFormat="1" ht="15.75" hidden="1" customHeight="1">
      <c r="A657" s="1097" t="s">
        <v>1057</v>
      </c>
      <c r="B657" s="1057">
        <v>648</v>
      </c>
      <c r="C657" s="1018"/>
      <c r="D657" s="1018"/>
      <c r="E657" s="1018"/>
      <c r="F657" s="1018"/>
      <c r="G657" s="1018"/>
      <c r="H657" s="1018"/>
      <c r="I657" s="1018"/>
      <c r="J657" s="1018"/>
      <c r="K657" s="1018"/>
      <c r="L657" s="1018"/>
      <c r="M657" s="1057"/>
      <c r="N657" s="1018"/>
      <c r="O657" s="1018"/>
      <c r="P657" s="1018"/>
      <c r="Q657" s="1018"/>
      <c r="R657" s="1018"/>
      <c r="S657" s="1018"/>
      <c r="T657" s="1019"/>
      <c r="U657" s="1098" t="s">
        <v>4671</v>
      </c>
      <c r="V657" s="1099" t="s">
        <v>4622</v>
      </c>
      <c r="W657" s="1099" t="s">
        <v>1889</v>
      </c>
      <c r="X657" s="1100">
        <v>21</v>
      </c>
      <c r="Y657" s="1101" t="s">
        <v>137</v>
      </c>
      <c r="Z657" s="1102" t="s">
        <v>4672</v>
      </c>
      <c r="AA657" s="1103">
        <v>0</v>
      </c>
      <c r="AB657" s="1104">
        <v>1</v>
      </c>
      <c r="AC657" s="1104">
        <v>0</v>
      </c>
      <c r="AD657" s="1104">
        <v>0</v>
      </c>
      <c r="AE657" s="1104">
        <v>0</v>
      </c>
      <c r="AF657" s="1104">
        <v>0</v>
      </c>
      <c r="AG657" s="1104">
        <v>0</v>
      </c>
      <c r="AH657" s="1104">
        <v>0</v>
      </c>
      <c r="AI657" s="1105">
        <f t="shared" si="10"/>
        <v>1</v>
      </c>
      <c r="AJ657" s="1106" t="s">
        <v>1030</v>
      </c>
      <c r="AK657" s="1106" t="s">
        <v>1008</v>
      </c>
      <c r="AL657" s="1106" t="s">
        <v>1009</v>
      </c>
      <c r="AM657" s="1107" t="s">
        <v>1892</v>
      </c>
      <c r="AN657" s="1018" t="s">
        <v>4789</v>
      </c>
      <c r="AO657" s="1018" t="s">
        <v>4790</v>
      </c>
      <c r="AP657" s="1313">
        <v>0</v>
      </c>
      <c r="AQ657" s="1076" t="s">
        <v>1020</v>
      </c>
      <c r="AR657" s="1109" t="s">
        <v>137</v>
      </c>
      <c r="AS657" s="1110"/>
      <c r="AT657" s="1100"/>
      <c r="AU657" s="1100"/>
      <c r="AV657" s="1100"/>
      <c r="AW657" s="1111"/>
      <c r="AX657" s="1112"/>
      <c r="AY657" s="1075"/>
      <c r="AZ657" s="1076"/>
      <c r="BA657" s="1076"/>
      <c r="BB657" s="1076"/>
      <c r="BC657" s="1076"/>
      <c r="BD657" s="1076"/>
      <c r="BE657" s="1076"/>
      <c r="BF657" s="1076"/>
      <c r="BG657" s="1150"/>
      <c r="BH657" s="1150"/>
      <c r="BI657" s="1149">
        <v>4.5138888888888893E-3</v>
      </c>
      <c r="BJ657" s="1150">
        <v>4.2592592592592595E-3</v>
      </c>
      <c r="BK657" s="1150">
        <v>3.9930555555555561E-3</v>
      </c>
      <c r="BL657" s="1150">
        <v>3.7384259259259263E-3</v>
      </c>
      <c r="BM657" s="1150">
        <v>3.472222222222222E-3</v>
      </c>
      <c r="BN657" s="1075"/>
      <c r="BO657" s="1076"/>
      <c r="BP657" s="1076"/>
      <c r="BQ657" s="1076"/>
      <c r="BR657" s="1076"/>
      <c r="BS657" s="1115"/>
      <c r="BT657" s="1076"/>
      <c r="BU657" s="1076"/>
      <c r="BV657" s="1076"/>
      <c r="BW657" s="1116"/>
      <c r="BX657" s="1115"/>
      <c r="BY657" s="1076"/>
      <c r="BZ657" s="1076"/>
      <c r="CA657" s="1076"/>
      <c r="CB657" s="1116"/>
      <c r="CC657" s="1117"/>
      <c r="CD657" s="1118" t="s">
        <v>168</v>
      </c>
      <c r="CE657" s="1119" t="s">
        <v>168</v>
      </c>
      <c r="CF657" s="1119" t="s">
        <v>168</v>
      </c>
      <c r="CG657" s="1119" t="s">
        <v>168</v>
      </c>
      <c r="CH657" s="1120" t="s">
        <v>168</v>
      </c>
      <c r="CI657" s="1370">
        <v>1.3391203703703704E-2</v>
      </c>
      <c r="CJ657" s="1371">
        <v>1.3391203703703704E-2</v>
      </c>
      <c r="CK657" s="1371">
        <v>1.3391203703703704E-2</v>
      </c>
      <c r="CL657" s="1371">
        <v>1.3391203703703704E-2</v>
      </c>
      <c r="CM657" s="1372">
        <v>1.3391203703703704E-2</v>
      </c>
      <c r="CN657" s="1370">
        <v>1.1793981481481482E-2</v>
      </c>
      <c r="CO657" s="1371">
        <v>1.1793981481481482E-2</v>
      </c>
      <c r="CP657" s="1371">
        <v>1.1793981481481482E-2</v>
      </c>
      <c r="CQ657" s="1371">
        <v>1.1793981481481482E-2</v>
      </c>
      <c r="CR657" s="1372">
        <v>1.1793981481481482E-2</v>
      </c>
      <c r="CS657" s="1149" t="s">
        <v>1942</v>
      </c>
      <c r="CT657" s="1150" t="s">
        <v>1942</v>
      </c>
      <c r="CU657" s="1150" t="s">
        <v>1942</v>
      </c>
      <c r="CV657" s="1150" t="s">
        <v>1942</v>
      </c>
      <c r="CW657" s="1153" t="s">
        <v>1942</v>
      </c>
      <c r="CX657" s="1149" t="s">
        <v>1942</v>
      </c>
      <c r="CY657" s="1150" t="s">
        <v>1942</v>
      </c>
      <c r="CZ657" s="1150" t="s">
        <v>1942</v>
      </c>
      <c r="DA657" s="1150" t="s">
        <v>1942</v>
      </c>
      <c r="DB657" s="1153" t="s">
        <v>1942</v>
      </c>
      <c r="DC657" s="1150">
        <v>6.9444444444444447E-4</v>
      </c>
      <c r="DD657" s="1150">
        <v>6.9444444444444447E-4</v>
      </c>
      <c r="DE657" s="1150">
        <v>6.9444444444444447E-4</v>
      </c>
      <c r="DF657" s="1150">
        <v>6.9444444444444447E-4</v>
      </c>
      <c r="DG657" s="1153">
        <v>6.9444444444444447E-4</v>
      </c>
      <c r="DH657" s="1149" t="s">
        <v>4805</v>
      </c>
      <c r="DI657" s="1150" t="s">
        <v>4805</v>
      </c>
      <c r="DJ657" s="1150" t="s">
        <v>4805</v>
      </c>
      <c r="DK657" s="1150" t="s">
        <v>4805</v>
      </c>
      <c r="DL657" s="1153" t="s">
        <v>4805</v>
      </c>
      <c r="DM657" s="1121">
        <v>-1.228</v>
      </c>
      <c r="DN657" s="1122" t="s">
        <v>1942</v>
      </c>
      <c r="DO657" s="1122" t="s">
        <v>1942</v>
      </c>
      <c r="DP657" s="1123">
        <v>-3.173</v>
      </c>
      <c r="DQ657" s="1122">
        <v>1.228</v>
      </c>
      <c r="DR657" s="1122" t="s">
        <v>1942</v>
      </c>
      <c r="DS657" s="1122" t="s">
        <v>1942</v>
      </c>
      <c r="DT657" s="1123">
        <v>3.173</v>
      </c>
      <c r="DU657" s="1119" t="s">
        <v>1942</v>
      </c>
      <c r="DV657" s="1124">
        <v>1</v>
      </c>
      <c r="DW657" s="1125" t="s">
        <v>1942</v>
      </c>
    </row>
    <row r="658" spans="1:127" s="397" customFormat="1" ht="15.75" hidden="1" customHeight="1">
      <c r="A658" s="1054" t="s">
        <v>1057</v>
      </c>
      <c r="B658" s="1055">
        <v>649</v>
      </c>
      <c r="C658" s="1143"/>
      <c r="D658" s="1143"/>
      <c r="E658" s="1143"/>
      <c r="F658" s="1143"/>
      <c r="G658" s="1143"/>
      <c r="H658" s="1143"/>
      <c r="I658" s="1143"/>
      <c r="J658" s="1143"/>
      <c r="K658" s="1143"/>
      <c r="L658" s="1143"/>
      <c r="M658" s="1055"/>
      <c r="N658" s="1143"/>
      <c r="O658" s="1143"/>
      <c r="P658" s="1143"/>
      <c r="Q658" s="1143"/>
      <c r="R658" s="1143"/>
      <c r="S658" s="1143"/>
      <c r="T658" s="1058"/>
      <c r="U658" s="1059" t="s">
        <v>4674</v>
      </c>
      <c r="V658" s="1060" t="s">
        <v>4622</v>
      </c>
      <c r="W658" s="1060" t="s">
        <v>1889</v>
      </c>
      <c r="X658" s="1061">
        <v>22</v>
      </c>
      <c r="Y658" s="1062" t="s">
        <v>669</v>
      </c>
      <c r="Z658" s="1063" t="s">
        <v>4675</v>
      </c>
      <c r="AA658" s="1064">
        <v>0</v>
      </c>
      <c r="AB658" s="1065">
        <v>1</v>
      </c>
      <c r="AC658" s="1065">
        <v>0</v>
      </c>
      <c r="AD658" s="1065">
        <v>0</v>
      </c>
      <c r="AE658" s="1065">
        <v>0</v>
      </c>
      <c r="AF658" s="1065">
        <v>0</v>
      </c>
      <c r="AG658" s="1065">
        <v>0</v>
      </c>
      <c r="AH658" s="1065">
        <v>0</v>
      </c>
      <c r="AI658" s="1066">
        <f t="shared" si="10"/>
        <v>1</v>
      </c>
      <c r="AJ658" s="1067" t="s">
        <v>1030</v>
      </c>
      <c r="AK658" s="1067" t="s">
        <v>1008</v>
      </c>
      <c r="AL658" s="1067" t="s">
        <v>1009</v>
      </c>
      <c r="AM658" s="1068" t="s">
        <v>669</v>
      </c>
      <c r="AN658" s="1062" t="s">
        <v>278</v>
      </c>
      <c r="AO658" s="1062" t="s">
        <v>4791</v>
      </c>
      <c r="AP658" s="1080">
        <v>1</v>
      </c>
      <c r="AQ658" s="833" t="s">
        <v>1010</v>
      </c>
      <c r="AR658" s="1071" t="s">
        <v>669</v>
      </c>
      <c r="AS658" s="1072"/>
      <c r="AT658" s="1061"/>
      <c r="AU658" s="1061"/>
      <c r="AV658" s="1061"/>
      <c r="AW658" s="1073"/>
      <c r="AX658" s="1074"/>
      <c r="AY658" s="1079"/>
      <c r="AZ658" s="1080"/>
      <c r="BA658" s="1080"/>
      <c r="BB658" s="1080"/>
      <c r="BC658" s="1080"/>
      <c r="BD658" s="1080"/>
      <c r="BE658" s="1080"/>
      <c r="BF658" s="1080"/>
      <c r="BG658" s="1077"/>
      <c r="BH658" s="1077"/>
      <c r="BI658" s="1078">
        <v>3.4</v>
      </c>
      <c r="BJ658" s="1077">
        <v>7.4</v>
      </c>
      <c r="BK658" s="1077">
        <v>9.4</v>
      </c>
      <c r="BL658" s="1077">
        <v>11.7</v>
      </c>
      <c r="BM658" s="1077">
        <v>15</v>
      </c>
      <c r="BN658" s="1079"/>
      <c r="BO658" s="1080"/>
      <c r="BP658" s="1080"/>
      <c r="BQ658" s="1080"/>
      <c r="BR658" s="1080"/>
      <c r="BS658" s="1081"/>
      <c r="BT658" s="1080"/>
      <c r="BU658" s="1080"/>
      <c r="BV658" s="1080"/>
      <c r="BW658" s="1082"/>
      <c r="BX658" s="1081"/>
      <c r="BY658" s="1080"/>
      <c r="BZ658" s="1080"/>
      <c r="CA658" s="1080"/>
      <c r="CB658" s="1082"/>
      <c r="CC658" s="1083"/>
      <c r="CD658" s="1084" t="s">
        <v>168</v>
      </c>
      <c r="CE658" s="1085" t="s">
        <v>168</v>
      </c>
      <c r="CF658" s="1085" t="s">
        <v>168</v>
      </c>
      <c r="CG658" s="1085" t="s">
        <v>168</v>
      </c>
      <c r="CH658" s="1086" t="s">
        <v>168</v>
      </c>
      <c r="CI658" s="1521">
        <v>-20</v>
      </c>
      <c r="CJ658" s="1521">
        <v>-20</v>
      </c>
      <c r="CK658" s="1521">
        <v>-20</v>
      </c>
      <c r="CL658" s="1521">
        <v>-20</v>
      </c>
      <c r="CM658" s="1521">
        <v>-20</v>
      </c>
      <c r="CN658" s="1521">
        <v>0</v>
      </c>
      <c r="CO658" s="1521">
        <v>0</v>
      </c>
      <c r="CP658" s="1521">
        <v>0</v>
      </c>
      <c r="CQ658" s="1521">
        <v>0</v>
      </c>
      <c r="CR658" s="1521">
        <v>0</v>
      </c>
      <c r="CS658" s="1079" t="s">
        <v>1942</v>
      </c>
      <c r="CT658" s="1080" t="s">
        <v>1942</v>
      </c>
      <c r="CU658" s="1080" t="s">
        <v>1942</v>
      </c>
      <c r="CV658" s="1080" t="s">
        <v>1942</v>
      </c>
      <c r="CW658" s="1083" t="s">
        <v>1942</v>
      </c>
      <c r="CX658" s="1079" t="s">
        <v>1942</v>
      </c>
      <c r="CY658" s="1080" t="s">
        <v>1942</v>
      </c>
      <c r="CZ658" s="1080" t="s">
        <v>1942</v>
      </c>
      <c r="DA658" s="1080" t="s">
        <v>1942</v>
      </c>
      <c r="DB658" s="1083" t="s">
        <v>1942</v>
      </c>
      <c r="DC658" s="1374" t="s">
        <v>4805</v>
      </c>
      <c r="DD658" s="1374" t="s">
        <v>4805</v>
      </c>
      <c r="DE658" s="1374" t="s">
        <v>4805</v>
      </c>
      <c r="DF658" s="1374" t="s">
        <v>4805</v>
      </c>
      <c r="DG658" s="1374" t="s">
        <v>4805</v>
      </c>
      <c r="DH658" s="1212" t="s">
        <v>1942</v>
      </c>
      <c r="DI658" s="1213" t="s">
        <v>1942</v>
      </c>
      <c r="DJ658" s="1213" t="s">
        <v>1942</v>
      </c>
      <c r="DK658" s="1213" t="s">
        <v>1942</v>
      </c>
      <c r="DL658" s="1215" t="s">
        <v>1942</v>
      </c>
      <c r="DM658" s="2039">
        <v>-0.253</v>
      </c>
      <c r="DN658" s="2040">
        <v>-0.16700000000000001</v>
      </c>
      <c r="DO658" s="1092" t="s">
        <v>1942</v>
      </c>
      <c r="DP658" s="1219" t="s">
        <v>1942</v>
      </c>
      <c r="DQ658" s="1092">
        <v>0.13900000000000001</v>
      </c>
      <c r="DR658" s="1092" t="s">
        <v>1942</v>
      </c>
      <c r="DS658" s="1092" t="s">
        <v>1942</v>
      </c>
      <c r="DT658" s="1219" t="s">
        <v>1942</v>
      </c>
      <c r="DU658" s="1085" t="s">
        <v>1942</v>
      </c>
      <c r="DV658" s="1094">
        <v>1</v>
      </c>
      <c r="DW658" s="1095" t="s">
        <v>1942</v>
      </c>
    </row>
    <row r="659" spans="1:127" s="397" customFormat="1" ht="15.75" hidden="1" customHeight="1">
      <c r="A659" s="1097" t="s">
        <v>1057</v>
      </c>
      <c r="B659" s="1057">
        <v>650</v>
      </c>
      <c r="C659" s="1018"/>
      <c r="D659" s="1018"/>
      <c r="E659" s="1018"/>
      <c r="F659" s="1018"/>
      <c r="G659" s="1018"/>
      <c r="H659" s="1018"/>
      <c r="I659" s="1018"/>
      <c r="J659" s="1018"/>
      <c r="K659" s="1018"/>
      <c r="L659" s="1018"/>
      <c r="M659" s="1057"/>
      <c r="N659" s="1018"/>
      <c r="O659" s="1018"/>
      <c r="P659" s="1018"/>
      <c r="Q659" s="1018"/>
      <c r="R659" s="1018"/>
      <c r="S659" s="1018"/>
      <c r="T659" s="1019"/>
      <c r="U659" s="1098" t="s">
        <v>4677</v>
      </c>
      <c r="V659" s="1099" t="s">
        <v>4622</v>
      </c>
      <c r="W659" s="1099" t="s">
        <v>1907</v>
      </c>
      <c r="X659" s="1100">
        <v>23</v>
      </c>
      <c r="Y659" s="1101" t="s">
        <v>167</v>
      </c>
      <c r="Z659" s="1102" t="s">
        <v>4678</v>
      </c>
      <c r="AA659" s="1103">
        <v>0</v>
      </c>
      <c r="AB659" s="1104">
        <v>1</v>
      </c>
      <c r="AC659" s="1104">
        <v>0</v>
      </c>
      <c r="AD659" s="1104">
        <v>0</v>
      </c>
      <c r="AE659" s="1104">
        <v>0</v>
      </c>
      <c r="AF659" s="1104">
        <v>0</v>
      </c>
      <c r="AG659" s="1104">
        <v>0</v>
      </c>
      <c r="AH659" s="1104">
        <v>0</v>
      </c>
      <c r="AI659" s="1105">
        <f t="shared" si="10"/>
        <v>1</v>
      </c>
      <c r="AJ659" s="1106" t="s">
        <v>1026</v>
      </c>
      <c r="AK659" s="1106" t="s">
        <v>1008</v>
      </c>
      <c r="AL659" s="1106" t="s">
        <v>1009</v>
      </c>
      <c r="AM659" s="1107" t="s">
        <v>1915</v>
      </c>
      <c r="AN659" s="1018" t="s">
        <v>278</v>
      </c>
      <c r="AO659" s="1018" t="s">
        <v>4793</v>
      </c>
      <c r="AP659" s="1313">
        <v>2</v>
      </c>
      <c r="AQ659" s="1076" t="s">
        <v>1020</v>
      </c>
      <c r="AR659" s="1109" t="s">
        <v>167</v>
      </c>
      <c r="AS659" s="1110"/>
      <c r="AT659" s="1100"/>
      <c r="AU659" s="1100"/>
      <c r="AV659" s="1100"/>
      <c r="AW659" s="1111"/>
      <c r="AX659" s="1112"/>
      <c r="AY659" s="1075"/>
      <c r="AZ659" s="1076"/>
      <c r="BA659" s="1076"/>
      <c r="BB659" s="1076"/>
      <c r="BC659" s="1076"/>
      <c r="BD659" s="1076"/>
      <c r="BE659" s="1076"/>
      <c r="BF659" s="1076"/>
      <c r="BG659" s="1126"/>
      <c r="BH659" s="1126"/>
      <c r="BI659" s="1127">
        <v>5.12</v>
      </c>
      <c r="BJ659" s="1126">
        <v>4.42</v>
      </c>
      <c r="BK659" s="1126">
        <v>3.73</v>
      </c>
      <c r="BL659" s="1126">
        <v>3.03</v>
      </c>
      <c r="BM659" s="1126">
        <v>2.34</v>
      </c>
      <c r="BN659" s="1075"/>
      <c r="BO659" s="1076"/>
      <c r="BP659" s="1076"/>
      <c r="BQ659" s="1076"/>
      <c r="BR659" s="1076"/>
      <c r="BS659" s="1115"/>
      <c r="BT659" s="1076"/>
      <c r="BU659" s="1076"/>
      <c r="BV659" s="1076"/>
      <c r="BW659" s="1116"/>
      <c r="BX659" s="1115"/>
      <c r="BY659" s="1076"/>
      <c r="BZ659" s="1076"/>
      <c r="CA659" s="1076"/>
      <c r="CB659" s="1116"/>
      <c r="CC659" s="1117"/>
      <c r="CD659" s="1118" t="s">
        <v>168</v>
      </c>
      <c r="CE659" s="1119" t="s">
        <v>168</v>
      </c>
      <c r="CF659" s="1119" t="s">
        <v>168</v>
      </c>
      <c r="CG659" s="1119" t="s">
        <v>168</v>
      </c>
      <c r="CH659" s="1120" t="s">
        <v>168</v>
      </c>
      <c r="CI659" s="1075" t="s">
        <v>1942</v>
      </c>
      <c r="CJ659" s="1076" t="s">
        <v>1942</v>
      </c>
      <c r="CK659" s="1076" t="s">
        <v>1942</v>
      </c>
      <c r="CL659" s="1076" t="s">
        <v>1942</v>
      </c>
      <c r="CM659" s="1117" t="s">
        <v>1942</v>
      </c>
      <c r="CN659" s="1075">
        <v>10.23</v>
      </c>
      <c r="CO659" s="1076">
        <v>10.23</v>
      </c>
      <c r="CP659" s="1076">
        <v>10.23</v>
      </c>
      <c r="CQ659" s="1076">
        <v>10.23</v>
      </c>
      <c r="CR659" s="1117">
        <v>10.23</v>
      </c>
      <c r="CS659" s="1212">
        <v>6.14</v>
      </c>
      <c r="CT659" s="1213">
        <v>5.3</v>
      </c>
      <c r="CU659" s="1213">
        <v>4.4800000000000004</v>
      </c>
      <c r="CV659" s="1213">
        <v>3.64</v>
      </c>
      <c r="CW659" s="1215">
        <v>2.81</v>
      </c>
      <c r="CX659" s="1075" t="s">
        <v>1942</v>
      </c>
      <c r="CY659" s="1076" t="s">
        <v>1942</v>
      </c>
      <c r="CZ659" s="1076" t="s">
        <v>1942</v>
      </c>
      <c r="DA659" s="1076" t="s">
        <v>1942</v>
      </c>
      <c r="DB659" s="1117" t="s">
        <v>1942</v>
      </c>
      <c r="DC659" s="1076" t="s">
        <v>1942</v>
      </c>
      <c r="DD659" s="1076" t="s">
        <v>1942</v>
      </c>
      <c r="DE659" s="1076" t="s">
        <v>1942</v>
      </c>
      <c r="DF659" s="1076" t="s">
        <v>1942</v>
      </c>
      <c r="DG659" s="1117" t="s">
        <v>1942</v>
      </c>
      <c r="DH659" s="1075" t="s">
        <v>1942</v>
      </c>
      <c r="DI659" s="1076" t="s">
        <v>1942</v>
      </c>
      <c r="DJ659" s="1076" t="s">
        <v>1942</v>
      </c>
      <c r="DK659" s="1076" t="s">
        <v>1942</v>
      </c>
      <c r="DL659" s="1117" t="s">
        <v>1942</v>
      </c>
      <c r="DM659" s="1121">
        <v>-1.7989999999999999</v>
      </c>
      <c r="DN659" s="1122" t="s">
        <v>1942</v>
      </c>
      <c r="DO659" s="1122" t="s">
        <v>1942</v>
      </c>
      <c r="DP659" s="1123" t="s">
        <v>1942</v>
      </c>
      <c r="DQ659" s="1122" t="s">
        <v>1942</v>
      </c>
      <c r="DR659" s="1122" t="s">
        <v>1942</v>
      </c>
      <c r="DS659" s="1122" t="s">
        <v>1942</v>
      </c>
      <c r="DT659" s="1123" t="s">
        <v>1942</v>
      </c>
      <c r="DU659" s="1119" t="s">
        <v>1942</v>
      </c>
      <c r="DV659" s="1124">
        <v>1</v>
      </c>
      <c r="DW659" s="1125" t="s">
        <v>1942</v>
      </c>
    </row>
    <row r="660" spans="1:127" s="397" customFormat="1" ht="15.75" hidden="1" customHeight="1">
      <c r="A660" s="1097" t="s">
        <v>1057</v>
      </c>
      <c r="B660" s="1057">
        <v>651</v>
      </c>
      <c r="C660" s="1018"/>
      <c r="D660" s="1018"/>
      <c r="E660" s="1018"/>
      <c r="F660" s="1018"/>
      <c r="G660" s="1018"/>
      <c r="H660" s="1018"/>
      <c r="I660" s="1018"/>
      <c r="J660" s="1018"/>
      <c r="K660" s="1018"/>
      <c r="L660" s="1018"/>
      <c r="M660" s="1057"/>
      <c r="N660" s="1018"/>
      <c r="O660" s="1018"/>
      <c r="P660" s="1018"/>
      <c r="Q660" s="1018"/>
      <c r="R660" s="1018"/>
      <c r="S660" s="1018"/>
      <c r="T660" s="1019"/>
      <c r="U660" s="1098" t="s">
        <v>4680</v>
      </c>
      <c r="V660" s="1099" t="s">
        <v>4622</v>
      </c>
      <c r="W660" s="1099" t="s">
        <v>1889</v>
      </c>
      <c r="X660" s="1100">
        <v>24</v>
      </c>
      <c r="Y660" s="1101" t="s">
        <v>161</v>
      </c>
      <c r="Z660" s="1102" t="s">
        <v>4681</v>
      </c>
      <c r="AA660" s="1103">
        <v>0</v>
      </c>
      <c r="AB660" s="1104">
        <v>1</v>
      </c>
      <c r="AC660" s="1104">
        <v>0</v>
      </c>
      <c r="AD660" s="1104">
        <v>0</v>
      </c>
      <c r="AE660" s="1104">
        <v>0</v>
      </c>
      <c r="AF660" s="1104">
        <v>0</v>
      </c>
      <c r="AG660" s="1104">
        <v>0</v>
      </c>
      <c r="AH660" s="1104">
        <v>0</v>
      </c>
      <c r="AI660" s="1105">
        <f t="shared" si="10"/>
        <v>1</v>
      </c>
      <c r="AJ660" s="1106" t="s">
        <v>1026</v>
      </c>
      <c r="AK660" s="1106" t="s">
        <v>1008</v>
      </c>
      <c r="AL660" s="1106" t="s">
        <v>1009</v>
      </c>
      <c r="AM660" s="1107" t="s">
        <v>2074</v>
      </c>
      <c r="AN660" s="1018" t="s">
        <v>2177</v>
      </c>
      <c r="AO660" s="1018" t="s">
        <v>4794</v>
      </c>
      <c r="AP660" s="1313">
        <v>1</v>
      </c>
      <c r="AQ660" s="1076" t="s">
        <v>1020</v>
      </c>
      <c r="AR660" s="1109" t="s">
        <v>161</v>
      </c>
      <c r="AS660" s="1110"/>
      <c r="AT660" s="1100"/>
      <c r="AU660" s="1100"/>
      <c r="AV660" s="1100"/>
      <c r="AW660" s="1111"/>
      <c r="AX660" s="1112"/>
      <c r="AY660" s="1075"/>
      <c r="AZ660" s="1076"/>
      <c r="BA660" s="1076"/>
      <c r="BB660" s="1076"/>
      <c r="BC660" s="1076"/>
      <c r="BD660" s="1076"/>
      <c r="BE660" s="1076"/>
      <c r="BF660" s="1076"/>
      <c r="BG660" s="1113"/>
      <c r="BH660" s="1113"/>
      <c r="BI660" s="1114">
        <v>186.1</v>
      </c>
      <c r="BJ660" s="1113">
        <v>183.6</v>
      </c>
      <c r="BK660" s="1113">
        <v>181</v>
      </c>
      <c r="BL660" s="1113">
        <v>178.4</v>
      </c>
      <c r="BM660" s="1113">
        <v>175.8</v>
      </c>
      <c r="BN660" s="1075"/>
      <c r="BO660" s="1076"/>
      <c r="BP660" s="1076"/>
      <c r="BQ660" s="1076"/>
      <c r="BR660" s="1076"/>
      <c r="BS660" s="1115"/>
      <c r="BT660" s="1076"/>
      <c r="BU660" s="1076"/>
      <c r="BV660" s="1076"/>
      <c r="BW660" s="1116"/>
      <c r="BX660" s="1115"/>
      <c r="BY660" s="1076"/>
      <c r="BZ660" s="1076"/>
      <c r="CA660" s="1076"/>
      <c r="CB660" s="1116"/>
      <c r="CC660" s="1117"/>
      <c r="CD660" s="1118" t="s">
        <v>168</v>
      </c>
      <c r="CE660" s="1119" t="s">
        <v>168</v>
      </c>
      <c r="CF660" s="1119" t="s">
        <v>168</v>
      </c>
      <c r="CG660" s="1119" t="s">
        <v>168</v>
      </c>
      <c r="CH660" s="1120" t="s">
        <v>168</v>
      </c>
      <c r="CI660" s="1075" t="s">
        <v>1942</v>
      </c>
      <c r="CJ660" s="1076" t="s">
        <v>1942</v>
      </c>
      <c r="CK660" s="1076" t="s">
        <v>1942</v>
      </c>
      <c r="CL660" s="1076" t="s">
        <v>1942</v>
      </c>
      <c r="CM660" s="1117" t="s">
        <v>1942</v>
      </c>
      <c r="CN660" s="1075" t="s">
        <v>1942</v>
      </c>
      <c r="CO660" s="1076" t="s">
        <v>1942</v>
      </c>
      <c r="CP660" s="1076" t="s">
        <v>1942</v>
      </c>
      <c r="CQ660" s="1076" t="s">
        <v>1942</v>
      </c>
      <c r="CR660" s="1117" t="s">
        <v>1942</v>
      </c>
      <c r="CS660" s="1214">
        <v>196.1</v>
      </c>
      <c r="CT660" s="1216">
        <v>193.6</v>
      </c>
      <c r="CU660" s="1216">
        <v>191</v>
      </c>
      <c r="CV660" s="1216">
        <v>188.4</v>
      </c>
      <c r="CW660" s="1217">
        <v>185.8</v>
      </c>
      <c r="CX660" s="1075" t="s">
        <v>1942</v>
      </c>
      <c r="CY660" s="1076" t="s">
        <v>1942</v>
      </c>
      <c r="CZ660" s="1076" t="s">
        <v>1942</v>
      </c>
      <c r="DA660" s="1076" t="s">
        <v>1942</v>
      </c>
      <c r="DB660" s="1117" t="s">
        <v>1942</v>
      </c>
      <c r="DC660" s="1076" t="s">
        <v>1942</v>
      </c>
      <c r="DD660" s="1076" t="s">
        <v>1942</v>
      </c>
      <c r="DE660" s="1076" t="s">
        <v>1942</v>
      </c>
      <c r="DF660" s="1076" t="s">
        <v>1942</v>
      </c>
      <c r="DG660" s="1117" t="s">
        <v>1942</v>
      </c>
      <c r="DH660" s="1075" t="s">
        <v>1942</v>
      </c>
      <c r="DI660" s="1076" t="s">
        <v>1942</v>
      </c>
      <c r="DJ660" s="1076" t="s">
        <v>1942</v>
      </c>
      <c r="DK660" s="1076" t="s">
        <v>1942</v>
      </c>
      <c r="DL660" s="1117" t="s">
        <v>1942</v>
      </c>
      <c r="DM660" s="1121">
        <v>-0.16700000000000001</v>
      </c>
      <c r="DN660" s="1122" t="s">
        <v>1942</v>
      </c>
      <c r="DO660" s="1122" t="s">
        <v>1942</v>
      </c>
      <c r="DP660" s="1123" t="s">
        <v>1942</v>
      </c>
      <c r="DQ660" s="1122" t="s">
        <v>1942</v>
      </c>
      <c r="DR660" s="1122" t="s">
        <v>1942</v>
      </c>
      <c r="DS660" s="1122" t="s">
        <v>1942</v>
      </c>
      <c r="DT660" s="1123" t="s">
        <v>1942</v>
      </c>
      <c r="DU660" s="1119" t="s">
        <v>1942</v>
      </c>
      <c r="DV660" s="1124">
        <v>1</v>
      </c>
      <c r="DW660" s="1125" t="s">
        <v>1942</v>
      </c>
    </row>
    <row r="661" spans="1:127" s="397" customFormat="1" ht="15.75" hidden="1" customHeight="1">
      <c r="A661" s="1054" t="s">
        <v>1057</v>
      </c>
      <c r="B661" s="1055">
        <v>652</v>
      </c>
      <c r="C661" s="1143"/>
      <c r="D661" s="1143"/>
      <c r="E661" s="1143"/>
      <c r="F661" s="1143"/>
      <c r="G661" s="1143"/>
      <c r="H661" s="1143"/>
      <c r="I661" s="1143"/>
      <c r="J661" s="1143"/>
      <c r="K661" s="1143"/>
      <c r="L661" s="1143"/>
      <c r="M661" s="1055"/>
      <c r="N661" s="1143"/>
      <c r="O661" s="1143"/>
      <c r="P661" s="1143"/>
      <c r="Q661" s="1143"/>
      <c r="R661" s="1143"/>
      <c r="S661" s="1143"/>
      <c r="T661" s="1058"/>
      <c r="U661" s="1059" t="s">
        <v>4683</v>
      </c>
      <c r="V661" s="1060" t="s">
        <v>4622</v>
      </c>
      <c r="W661" s="1060" t="s">
        <v>1889</v>
      </c>
      <c r="X661" s="1061">
        <v>25</v>
      </c>
      <c r="Y661" s="1062" t="s">
        <v>1902</v>
      </c>
      <c r="Z661" s="1063" t="s">
        <v>4684</v>
      </c>
      <c r="AA661" s="1064">
        <v>0</v>
      </c>
      <c r="AB661" s="1065">
        <v>1</v>
      </c>
      <c r="AC661" s="1065">
        <v>0</v>
      </c>
      <c r="AD661" s="1065">
        <v>0</v>
      </c>
      <c r="AE661" s="1065">
        <v>0</v>
      </c>
      <c r="AF661" s="1065">
        <v>0</v>
      </c>
      <c r="AG661" s="1065">
        <v>0</v>
      </c>
      <c r="AH661" s="1065">
        <v>0</v>
      </c>
      <c r="AI661" s="1066">
        <f t="shared" si="10"/>
        <v>1</v>
      </c>
      <c r="AJ661" s="1067" t="s">
        <v>1030</v>
      </c>
      <c r="AK661" s="1067" t="s">
        <v>1008</v>
      </c>
      <c r="AL661" s="1440" t="s">
        <v>1019</v>
      </c>
      <c r="AM661" s="1068" t="s">
        <v>2054</v>
      </c>
      <c r="AN661" s="1062" t="s">
        <v>2118</v>
      </c>
      <c r="AO661" s="1062" t="s">
        <v>4791</v>
      </c>
      <c r="AP661" s="1080">
        <v>1</v>
      </c>
      <c r="AQ661" s="833" t="s">
        <v>1010</v>
      </c>
      <c r="AR661" s="1071" t="s">
        <v>1902</v>
      </c>
      <c r="AS661" s="1072"/>
      <c r="AT661" s="1061"/>
      <c r="AU661" s="1061"/>
      <c r="AV661" s="1061"/>
      <c r="AW661" s="1073"/>
      <c r="AX661" s="1074"/>
      <c r="AY661" s="1079"/>
      <c r="AZ661" s="1080"/>
      <c r="BA661" s="1080"/>
      <c r="BB661" s="1080"/>
      <c r="BC661" s="1080"/>
      <c r="BD661" s="1080"/>
      <c r="BE661" s="1080"/>
      <c r="BF661" s="1080"/>
      <c r="BG661" s="1077"/>
      <c r="BH661" s="1077"/>
      <c r="BI661" s="1078">
        <v>2.4</v>
      </c>
      <c r="BJ661" s="1077">
        <v>4.9000000000000004</v>
      </c>
      <c r="BK661" s="1077">
        <v>7.4</v>
      </c>
      <c r="BL661" s="1077">
        <v>8.3000000000000007</v>
      </c>
      <c r="BM661" s="1077">
        <v>8.9</v>
      </c>
      <c r="BN661" s="1079"/>
      <c r="BO661" s="1080"/>
      <c r="BP661" s="1080"/>
      <c r="BQ661" s="1080"/>
      <c r="BR661" s="1080"/>
      <c r="BS661" s="1081"/>
      <c r="BT661" s="1080"/>
      <c r="BU661" s="1080"/>
      <c r="BV661" s="1080"/>
      <c r="BW661" s="1082"/>
      <c r="BX661" s="1081"/>
      <c r="BY661" s="1080"/>
      <c r="BZ661" s="1080"/>
      <c r="CA661" s="1080"/>
      <c r="CB661" s="1082"/>
      <c r="CC661" s="1083"/>
      <c r="CD661" s="1084" t="s">
        <v>168</v>
      </c>
      <c r="CE661" s="1085" t="s">
        <v>168</v>
      </c>
      <c r="CF661" s="1085" t="s">
        <v>168</v>
      </c>
      <c r="CG661" s="1085" t="s">
        <v>168</v>
      </c>
      <c r="CH661" s="1086" t="s">
        <v>168</v>
      </c>
      <c r="CI661" s="1089">
        <v>-17.600000000000001</v>
      </c>
      <c r="CJ661" s="1087">
        <v>-17.600000000000001</v>
      </c>
      <c r="CK661" s="1087">
        <v>-17.600000000000001</v>
      </c>
      <c r="CL661" s="1087">
        <v>-17.600000000000001</v>
      </c>
      <c r="CM661" s="1088">
        <v>-17.600000000000001</v>
      </c>
      <c r="CN661" s="1089">
        <v>-16</v>
      </c>
      <c r="CO661" s="1087">
        <v>-16</v>
      </c>
      <c r="CP661" s="1087">
        <v>-16</v>
      </c>
      <c r="CQ661" s="1087">
        <v>-16</v>
      </c>
      <c r="CR661" s="1088">
        <v>-16</v>
      </c>
      <c r="CS661" s="1079" t="s">
        <v>1942</v>
      </c>
      <c r="CT661" s="1080" t="s">
        <v>1942</v>
      </c>
      <c r="CU661" s="1080" t="s">
        <v>1942</v>
      </c>
      <c r="CV661" s="1080" t="s">
        <v>1942</v>
      </c>
      <c r="CW661" s="1083" t="s">
        <v>1942</v>
      </c>
      <c r="CX661" s="1079" t="s">
        <v>1942</v>
      </c>
      <c r="CY661" s="1080" t="s">
        <v>1942</v>
      </c>
      <c r="CZ661" s="1080" t="s">
        <v>1942</v>
      </c>
      <c r="DA661" s="1080" t="s">
        <v>1942</v>
      </c>
      <c r="DB661" s="1083" t="s">
        <v>1942</v>
      </c>
      <c r="DC661" s="1087">
        <v>12.3</v>
      </c>
      <c r="DD661" s="1087">
        <v>12.3</v>
      </c>
      <c r="DE661" s="1087">
        <v>12.3</v>
      </c>
      <c r="DF661" s="1087">
        <v>12.3</v>
      </c>
      <c r="DG661" s="1088">
        <v>12.3</v>
      </c>
      <c r="DH661" s="1089" t="s">
        <v>4805</v>
      </c>
      <c r="DI661" s="1080" t="s">
        <v>4805</v>
      </c>
      <c r="DJ661" s="1080" t="s">
        <v>4805</v>
      </c>
      <c r="DK661" s="1080" t="s">
        <v>4805</v>
      </c>
      <c r="DL661" s="1083" t="s">
        <v>4805</v>
      </c>
      <c r="DM661" s="1091">
        <v>-0.222</v>
      </c>
      <c r="DN661" s="1092" t="s">
        <v>1942</v>
      </c>
      <c r="DO661" s="1092" t="s">
        <v>1942</v>
      </c>
      <c r="DP661" s="1157">
        <v>-0.78700000000000003</v>
      </c>
      <c r="DQ661" s="1092">
        <v>0.185</v>
      </c>
      <c r="DR661" s="1092" t="s">
        <v>1942</v>
      </c>
      <c r="DS661" s="1092" t="s">
        <v>1942</v>
      </c>
      <c r="DT661" s="1093">
        <v>0.78700000000000003</v>
      </c>
      <c r="DU661" s="1085" t="s">
        <v>1942</v>
      </c>
      <c r="DV661" s="1094">
        <v>1</v>
      </c>
      <c r="DW661" s="1095" t="s">
        <v>1942</v>
      </c>
    </row>
    <row r="662" spans="1:127" s="397" customFormat="1" ht="15.75" hidden="1" customHeight="1">
      <c r="A662" s="1097" t="s">
        <v>1057</v>
      </c>
      <c r="B662" s="1057">
        <v>653</v>
      </c>
      <c r="C662" s="1018"/>
      <c r="D662" s="1018"/>
      <c r="E662" s="1018"/>
      <c r="F662" s="1018"/>
      <c r="G662" s="1018"/>
      <c r="H662" s="1018"/>
      <c r="I662" s="1018"/>
      <c r="J662" s="1018"/>
      <c r="K662" s="1018"/>
      <c r="L662" s="1018"/>
      <c r="M662" s="1057"/>
      <c r="N662" s="1018"/>
      <c r="O662" s="1018"/>
      <c r="P662" s="1018"/>
      <c r="Q662" s="1018"/>
      <c r="R662" s="1018"/>
      <c r="S662" s="1018"/>
      <c r="T662" s="1019"/>
      <c r="U662" s="1098" t="s">
        <v>4686</v>
      </c>
      <c r="V662" s="1099" t="s">
        <v>4622</v>
      </c>
      <c r="W662" s="1099" t="s">
        <v>1889</v>
      </c>
      <c r="X662" s="1100">
        <v>26</v>
      </c>
      <c r="Y662" s="1101" t="s">
        <v>4687</v>
      </c>
      <c r="Z662" s="1102" t="s">
        <v>4688</v>
      </c>
      <c r="AA662" s="1103">
        <v>0</v>
      </c>
      <c r="AB662" s="1104">
        <v>1</v>
      </c>
      <c r="AC662" s="1104">
        <v>0</v>
      </c>
      <c r="AD662" s="1104">
        <v>0</v>
      </c>
      <c r="AE662" s="1104">
        <v>0</v>
      </c>
      <c r="AF662" s="1104">
        <v>0</v>
      </c>
      <c r="AG662" s="1104">
        <v>0</v>
      </c>
      <c r="AH662" s="1104">
        <v>0</v>
      </c>
      <c r="AI662" s="1105">
        <f t="shared" si="10"/>
        <v>1</v>
      </c>
      <c r="AJ662" s="1106" t="s">
        <v>1030</v>
      </c>
      <c r="AK662" s="1106" t="s">
        <v>1008</v>
      </c>
      <c r="AL662" s="1106" t="s">
        <v>1009</v>
      </c>
      <c r="AM662" s="1107" t="s">
        <v>2149</v>
      </c>
      <c r="AN662" s="1018" t="s">
        <v>396</v>
      </c>
      <c r="AO662" s="1018" t="s">
        <v>4798</v>
      </c>
      <c r="AP662" s="833">
        <v>2</v>
      </c>
      <c r="AQ662" s="1076" t="s">
        <v>1020</v>
      </c>
      <c r="AR662" s="1109"/>
      <c r="AS662" s="1110"/>
      <c r="AT662" s="1100"/>
      <c r="AU662" s="1100"/>
      <c r="AV662" s="1100"/>
      <c r="AW662" s="1111"/>
      <c r="AX662" s="1112"/>
      <c r="AY662" s="1075"/>
      <c r="AZ662" s="1076"/>
      <c r="BA662" s="1076"/>
      <c r="BB662" s="1076"/>
      <c r="BC662" s="1076"/>
      <c r="BD662" s="1076"/>
      <c r="BE662" s="1076"/>
      <c r="BF662" s="1076"/>
      <c r="BG662" s="1076"/>
      <c r="BH662" s="1076"/>
      <c r="BI662" s="1420"/>
      <c r="BJ662" s="1368"/>
      <c r="BK662" s="1368"/>
      <c r="BL662" s="1368"/>
      <c r="BM662" s="1368"/>
      <c r="BN662" s="1075"/>
      <c r="BO662" s="1076"/>
      <c r="BP662" s="1076"/>
      <c r="BQ662" s="1076"/>
      <c r="BR662" s="1076"/>
      <c r="BS662" s="1115"/>
      <c r="BT662" s="1076"/>
      <c r="BU662" s="1076"/>
      <c r="BV662" s="1076"/>
      <c r="BW662" s="1116"/>
      <c r="BX662" s="1115"/>
      <c r="BY662" s="1076"/>
      <c r="BZ662" s="1076"/>
      <c r="CA662" s="1076"/>
      <c r="CB662" s="1116"/>
      <c r="CC662" s="1117"/>
      <c r="CD662" s="1376"/>
      <c r="CE662" s="1377"/>
      <c r="CF662" s="1377"/>
      <c r="CG662" s="1377"/>
      <c r="CH662" s="1440"/>
      <c r="CI662" s="1420"/>
      <c r="CJ662" s="1368"/>
      <c r="CK662" s="1368"/>
      <c r="CL662" s="1368"/>
      <c r="CM662" s="1369"/>
      <c r="CN662" s="1420"/>
      <c r="CO662" s="1368"/>
      <c r="CP662" s="1368"/>
      <c r="CQ662" s="1368"/>
      <c r="CR662" s="1369"/>
      <c r="CS662" s="1420"/>
      <c r="CT662" s="1368"/>
      <c r="CU662" s="1368"/>
      <c r="CV662" s="1368"/>
      <c r="CW662" s="1369"/>
      <c r="CX662" s="1420"/>
      <c r="CY662" s="1368"/>
      <c r="CZ662" s="1368"/>
      <c r="DA662" s="1368"/>
      <c r="DB662" s="1369"/>
      <c r="DC662" s="1368"/>
      <c r="DD662" s="1368"/>
      <c r="DE662" s="1368"/>
      <c r="DF662" s="1368"/>
      <c r="DG662" s="1369"/>
      <c r="DH662" s="1420"/>
      <c r="DI662" s="1368"/>
      <c r="DJ662" s="1368"/>
      <c r="DK662" s="1368"/>
      <c r="DL662" s="1369"/>
      <c r="DM662" s="1808"/>
      <c r="DN662" s="1809"/>
      <c r="DO662" s="1809"/>
      <c r="DP662" s="1810"/>
      <c r="DQ662" s="1809"/>
      <c r="DR662" s="1809"/>
      <c r="DS662" s="1809"/>
      <c r="DT662" s="1810"/>
      <c r="DU662" s="1377"/>
      <c r="DV662" s="1729"/>
      <c r="DW662" s="1811"/>
    </row>
    <row r="663" spans="1:127" s="397" customFormat="1" ht="15.75" hidden="1" customHeight="1">
      <c r="A663" s="1097" t="s">
        <v>1057</v>
      </c>
      <c r="B663" s="1057">
        <v>654</v>
      </c>
      <c r="C663" s="1018"/>
      <c r="D663" s="1018"/>
      <c r="E663" s="1018"/>
      <c r="F663" s="1018"/>
      <c r="G663" s="1018"/>
      <c r="H663" s="1018"/>
      <c r="I663" s="1018"/>
      <c r="J663" s="1018"/>
      <c r="K663" s="1018"/>
      <c r="L663" s="1018"/>
      <c r="M663" s="1057"/>
      <c r="N663" s="1018"/>
      <c r="O663" s="1018"/>
      <c r="P663" s="1018"/>
      <c r="Q663" s="1018"/>
      <c r="R663" s="1018"/>
      <c r="S663" s="1018"/>
      <c r="T663" s="1019"/>
      <c r="U663" s="1098" t="s">
        <v>4690</v>
      </c>
      <c r="V663" s="1099" t="s">
        <v>4622</v>
      </c>
      <c r="W663" s="1099" t="s">
        <v>1889</v>
      </c>
      <c r="X663" s="1100">
        <v>27</v>
      </c>
      <c r="Y663" s="1101" t="s">
        <v>4691</v>
      </c>
      <c r="Z663" s="1102" t="s">
        <v>4692</v>
      </c>
      <c r="AA663" s="1103">
        <v>0</v>
      </c>
      <c r="AB663" s="1104">
        <v>1</v>
      </c>
      <c r="AC663" s="1104">
        <v>0</v>
      </c>
      <c r="AD663" s="1104">
        <v>0</v>
      </c>
      <c r="AE663" s="1104">
        <v>0</v>
      </c>
      <c r="AF663" s="1104">
        <v>0</v>
      </c>
      <c r="AG663" s="1104">
        <v>0</v>
      </c>
      <c r="AH663" s="1104">
        <v>0</v>
      </c>
      <c r="AI663" s="1105">
        <f t="shared" si="10"/>
        <v>1</v>
      </c>
      <c r="AJ663" s="1106" t="s">
        <v>1030</v>
      </c>
      <c r="AK663" s="1106" t="s">
        <v>1008</v>
      </c>
      <c r="AL663" s="1106" t="s">
        <v>1009</v>
      </c>
      <c r="AM663" s="1107" t="s">
        <v>1892</v>
      </c>
      <c r="AN663" s="1018" t="s">
        <v>1033</v>
      </c>
      <c r="AO663" s="1018" t="s">
        <v>4693</v>
      </c>
      <c r="AP663" s="833">
        <v>0</v>
      </c>
      <c r="AQ663" s="1076" t="s">
        <v>1020</v>
      </c>
      <c r="AR663" s="1109" t="s">
        <v>1942</v>
      </c>
      <c r="AS663" s="1110"/>
      <c r="AT663" s="1100"/>
      <c r="AU663" s="1100"/>
      <c r="AV663" s="1100"/>
      <c r="AW663" s="1111"/>
      <c r="AX663" s="1112"/>
      <c r="AY663" s="1075"/>
      <c r="AZ663" s="1076"/>
      <c r="BA663" s="1076"/>
      <c r="BB663" s="1076"/>
      <c r="BC663" s="1076"/>
      <c r="BD663" s="1076"/>
      <c r="BE663" s="1076"/>
      <c r="BF663" s="1076"/>
      <c r="BG663" s="1076"/>
      <c r="BH663" s="1076"/>
      <c r="BI663" s="1420"/>
      <c r="BJ663" s="1368"/>
      <c r="BK663" s="1368"/>
      <c r="BL663" s="1368"/>
      <c r="BM663" s="1368"/>
      <c r="BN663" s="1075"/>
      <c r="BO663" s="1076"/>
      <c r="BP663" s="1076"/>
      <c r="BQ663" s="1076"/>
      <c r="BR663" s="1076"/>
      <c r="BS663" s="1115"/>
      <c r="BT663" s="1076"/>
      <c r="BU663" s="1076"/>
      <c r="BV663" s="1076"/>
      <c r="BW663" s="1116"/>
      <c r="BX663" s="1115"/>
      <c r="BY663" s="1076"/>
      <c r="BZ663" s="1076"/>
      <c r="CA663" s="1076"/>
      <c r="CB663" s="1116"/>
      <c r="CC663" s="1117"/>
      <c r="CD663" s="1376"/>
      <c r="CE663" s="1377"/>
      <c r="CF663" s="1377"/>
      <c r="CG663" s="1377"/>
      <c r="CH663" s="1440"/>
      <c r="CI663" s="1420"/>
      <c r="CJ663" s="1368"/>
      <c r="CK663" s="1368"/>
      <c r="CL663" s="1368"/>
      <c r="CM663" s="1369"/>
      <c r="CN663" s="1420"/>
      <c r="CO663" s="1368"/>
      <c r="CP663" s="1368"/>
      <c r="CQ663" s="1368"/>
      <c r="CR663" s="1369"/>
      <c r="CS663" s="1420"/>
      <c r="CT663" s="1368"/>
      <c r="CU663" s="1368"/>
      <c r="CV663" s="1368"/>
      <c r="CW663" s="1369"/>
      <c r="CX663" s="1420"/>
      <c r="CY663" s="1368"/>
      <c r="CZ663" s="1368"/>
      <c r="DA663" s="1368"/>
      <c r="DB663" s="1369"/>
      <c r="DC663" s="1368"/>
      <c r="DD663" s="1368"/>
      <c r="DE663" s="1368"/>
      <c r="DF663" s="1368"/>
      <c r="DG663" s="1369"/>
      <c r="DH663" s="1420"/>
      <c r="DI663" s="1368"/>
      <c r="DJ663" s="1368"/>
      <c r="DK663" s="1368"/>
      <c r="DL663" s="1369"/>
      <c r="DM663" s="1808"/>
      <c r="DN663" s="1809"/>
      <c r="DO663" s="1809"/>
      <c r="DP663" s="1810"/>
      <c r="DQ663" s="1809"/>
      <c r="DR663" s="1809"/>
      <c r="DS663" s="1809"/>
      <c r="DT663" s="1810"/>
      <c r="DU663" s="1377"/>
      <c r="DV663" s="1729"/>
      <c r="DW663" s="1811"/>
    </row>
    <row r="664" spans="1:127" s="397" customFormat="1" ht="15.75" hidden="1" customHeight="1">
      <c r="A664" s="1097" t="s">
        <v>1057</v>
      </c>
      <c r="B664" s="1057">
        <v>655</v>
      </c>
      <c r="C664" s="1018"/>
      <c r="D664" s="1018"/>
      <c r="E664" s="1018"/>
      <c r="F664" s="1018"/>
      <c r="G664" s="1018"/>
      <c r="H664" s="1018"/>
      <c r="I664" s="1018"/>
      <c r="J664" s="1018"/>
      <c r="K664" s="1018"/>
      <c r="L664" s="1018"/>
      <c r="M664" s="1057"/>
      <c r="N664" s="1018"/>
      <c r="O664" s="1018"/>
      <c r="P664" s="1018"/>
      <c r="Q664" s="1018"/>
      <c r="R664" s="1018"/>
      <c r="S664" s="1018"/>
      <c r="T664" s="1019"/>
      <c r="U664" s="1098" t="s">
        <v>4694</v>
      </c>
      <c r="V664" s="1099" t="s">
        <v>4622</v>
      </c>
      <c r="W664" s="1099" t="s">
        <v>1896</v>
      </c>
      <c r="X664" s="1100">
        <v>28</v>
      </c>
      <c r="Y664" s="1101" t="s">
        <v>1987</v>
      </c>
      <c r="Z664" s="1102" t="s">
        <v>4695</v>
      </c>
      <c r="AA664" s="1103">
        <v>0</v>
      </c>
      <c r="AB664" s="1104">
        <v>1</v>
      </c>
      <c r="AC664" s="1104">
        <v>0</v>
      </c>
      <c r="AD664" s="1104">
        <v>0</v>
      </c>
      <c r="AE664" s="1104">
        <v>0</v>
      </c>
      <c r="AF664" s="1104">
        <v>0</v>
      </c>
      <c r="AG664" s="1104">
        <v>0</v>
      </c>
      <c r="AH664" s="1104">
        <v>0</v>
      </c>
      <c r="AI664" s="1105">
        <f t="shared" si="10"/>
        <v>1</v>
      </c>
      <c r="AJ664" s="1106" t="s">
        <v>1030</v>
      </c>
      <c r="AK664" s="1106" t="s">
        <v>1008</v>
      </c>
      <c r="AL664" s="1106" t="s">
        <v>1009</v>
      </c>
      <c r="AM664" s="1107" t="s">
        <v>1987</v>
      </c>
      <c r="AN664" s="1018" t="s">
        <v>2177</v>
      </c>
      <c r="AO664" s="1018" t="s">
        <v>4796</v>
      </c>
      <c r="AP664" s="833">
        <v>0</v>
      </c>
      <c r="AQ664" s="1076" t="s">
        <v>1020</v>
      </c>
      <c r="AR664" s="1109"/>
      <c r="AS664" s="1110"/>
      <c r="AT664" s="1100"/>
      <c r="AU664" s="1100"/>
      <c r="AV664" s="1100"/>
      <c r="AW664" s="1111"/>
      <c r="AX664" s="1112"/>
      <c r="AY664" s="1075"/>
      <c r="AZ664" s="1076"/>
      <c r="BA664" s="1076"/>
      <c r="BB664" s="1076"/>
      <c r="BC664" s="1076"/>
      <c r="BD664" s="1076"/>
      <c r="BE664" s="1076"/>
      <c r="BF664" s="1076"/>
      <c r="BG664" s="1076"/>
      <c r="BH664" s="1076"/>
      <c r="BI664" s="1420"/>
      <c r="BJ664" s="1368"/>
      <c r="BK664" s="1368"/>
      <c r="BL664" s="1368"/>
      <c r="BM664" s="1368"/>
      <c r="BN664" s="1075"/>
      <c r="BO664" s="1076"/>
      <c r="BP664" s="1076"/>
      <c r="BQ664" s="1076"/>
      <c r="BR664" s="1076"/>
      <c r="BS664" s="1115"/>
      <c r="BT664" s="1076"/>
      <c r="BU664" s="1076"/>
      <c r="BV664" s="1076"/>
      <c r="BW664" s="1116"/>
      <c r="BX664" s="1115"/>
      <c r="BY664" s="1076"/>
      <c r="BZ664" s="1076"/>
      <c r="CA664" s="1076"/>
      <c r="CB664" s="1116"/>
      <c r="CC664" s="1117"/>
      <c r="CD664" s="1376"/>
      <c r="CE664" s="1377"/>
      <c r="CF664" s="1377"/>
      <c r="CG664" s="1377"/>
      <c r="CH664" s="1440"/>
      <c r="CI664" s="1420"/>
      <c r="CJ664" s="1368"/>
      <c r="CK664" s="1368"/>
      <c r="CL664" s="1368"/>
      <c r="CM664" s="1369"/>
      <c r="CN664" s="1420"/>
      <c r="CO664" s="1368"/>
      <c r="CP664" s="1368"/>
      <c r="CQ664" s="1368"/>
      <c r="CR664" s="1369"/>
      <c r="CS664" s="1420"/>
      <c r="CT664" s="1368"/>
      <c r="CU664" s="1368"/>
      <c r="CV664" s="1368"/>
      <c r="CW664" s="1369"/>
      <c r="CX664" s="1420"/>
      <c r="CY664" s="1368"/>
      <c r="CZ664" s="1368"/>
      <c r="DA664" s="1368"/>
      <c r="DB664" s="1369"/>
      <c r="DC664" s="1368"/>
      <c r="DD664" s="1368"/>
      <c r="DE664" s="1368"/>
      <c r="DF664" s="1368"/>
      <c r="DG664" s="1369"/>
      <c r="DH664" s="1420"/>
      <c r="DI664" s="1368"/>
      <c r="DJ664" s="1368"/>
      <c r="DK664" s="1368"/>
      <c r="DL664" s="1369"/>
      <c r="DM664" s="1808"/>
      <c r="DN664" s="1809"/>
      <c r="DO664" s="1809"/>
      <c r="DP664" s="1810"/>
      <c r="DQ664" s="1809"/>
      <c r="DR664" s="1809"/>
      <c r="DS664" s="1809"/>
      <c r="DT664" s="1810"/>
      <c r="DU664" s="1377"/>
      <c r="DV664" s="1729"/>
      <c r="DW664" s="1811"/>
    </row>
    <row r="665" spans="1:127" s="397" customFormat="1" ht="15.75" hidden="1" customHeight="1">
      <c r="A665" s="1097" t="s">
        <v>1057</v>
      </c>
      <c r="B665" s="1057">
        <v>656</v>
      </c>
      <c r="C665" s="1018"/>
      <c r="D665" s="1018"/>
      <c r="E665" s="1018"/>
      <c r="F665" s="1018"/>
      <c r="G665" s="1018"/>
      <c r="H665" s="1018"/>
      <c r="I665" s="1018"/>
      <c r="J665" s="1018"/>
      <c r="K665" s="1018"/>
      <c r="L665" s="1018"/>
      <c r="M665" s="1057"/>
      <c r="N665" s="1018"/>
      <c r="O665" s="1018"/>
      <c r="P665" s="1018"/>
      <c r="Q665" s="1018"/>
      <c r="R665" s="1018"/>
      <c r="S665" s="1018"/>
      <c r="T665" s="1019"/>
      <c r="U665" s="1098" t="s">
        <v>4697</v>
      </c>
      <c r="V665" s="1099" t="s">
        <v>4622</v>
      </c>
      <c r="W665" s="1099" t="s">
        <v>1907</v>
      </c>
      <c r="X665" s="1100">
        <v>29</v>
      </c>
      <c r="Y665" s="1101" t="s">
        <v>4698</v>
      </c>
      <c r="Z665" s="1102" t="s">
        <v>4699</v>
      </c>
      <c r="AA665" s="1103">
        <v>0</v>
      </c>
      <c r="AB665" s="1104">
        <v>1</v>
      </c>
      <c r="AC665" s="1104">
        <v>0</v>
      </c>
      <c r="AD665" s="1104">
        <v>0</v>
      </c>
      <c r="AE665" s="1104">
        <v>0</v>
      </c>
      <c r="AF665" s="1104">
        <v>0</v>
      </c>
      <c r="AG665" s="1104">
        <v>0</v>
      </c>
      <c r="AH665" s="1104">
        <v>0</v>
      </c>
      <c r="AI665" s="1105">
        <f t="shared" si="10"/>
        <v>1</v>
      </c>
      <c r="AJ665" s="1106" t="s">
        <v>1030</v>
      </c>
      <c r="AK665" s="1106" t="s">
        <v>1008</v>
      </c>
      <c r="AL665" s="1106" t="s">
        <v>1009</v>
      </c>
      <c r="AM665" s="1107" t="s">
        <v>1892</v>
      </c>
      <c r="AN665" s="1018" t="s">
        <v>1033</v>
      </c>
      <c r="AO665" s="1018" t="s">
        <v>4700</v>
      </c>
      <c r="AP665" s="833">
        <v>0</v>
      </c>
      <c r="AQ665" s="1076" t="s">
        <v>1010</v>
      </c>
      <c r="AR665" s="1109" t="s">
        <v>1942</v>
      </c>
      <c r="AS665" s="1110"/>
      <c r="AT665" s="1100"/>
      <c r="AU665" s="1100"/>
      <c r="AV665" s="1100"/>
      <c r="AW665" s="1111"/>
      <c r="AX665" s="1112"/>
      <c r="AY665" s="1075"/>
      <c r="AZ665" s="1076"/>
      <c r="BA665" s="1076"/>
      <c r="BB665" s="1076"/>
      <c r="BC665" s="1076"/>
      <c r="BD665" s="1076"/>
      <c r="BE665" s="1076"/>
      <c r="BF665" s="1076"/>
      <c r="BG665" s="1076"/>
      <c r="BH665" s="1076"/>
      <c r="BI665" s="1420"/>
      <c r="BJ665" s="1368"/>
      <c r="BK665" s="1368"/>
      <c r="BL665" s="1368"/>
      <c r="BM665" s="1368"/>
      <c r="BN665" s="1075"/>
      <c r="BO665" s="1076"/>
      <c r="BP665" s="1076"/>
      <c r="BQ665" s="1076"/>
      <c r="BR665" s="1076"/>
      <c r="BS665" s="1115"/>
      <c r="BT665" s="1076"/>
      <c r="BU665" s="1076"/>
      <c r="BV665" s="1076"/>
      <c r="BW665" s="1116"/>
      <c r="BX665" s="1115"/>
      <c r="BY665" s="1076"/>
      <c r="BZ665" s="1076"/>
      <c r="CA665" s="1076"/>
      <c r="CB665" s="1116"/>
      <c r="CC665" s="1117"/>
      <c r="CD665" s="1376"/>
      <c r="CE665" s="1377"/>
      <c r="CF665" s="1377"/>
      <c r="CG665" s="1377"/>
      <c r="CH665" s="1440"/>
      <c r="CI665" s="1420"/>
      <c r="CJ665" s="1368"/>
      <c r="CK665" s="1368"/>
      <c r="CL665" s="1368"/>
      <c r="CM665" s="1369"/>
      <c r="CN665" s="1420"/>
      <c r="CO665" s="1368"/>
      <c r="CP665" s="1368"/>
      <c r="CQ665" s="1368"/>
      <c r="CR665" s="1369"/>
      <c r="CS665" s="1420"/>
      <c r="CT665" s="1368"/>
      <c r="CU665" s="1368"/>
      <c r="CV665" s="1368"/>
      <c r="CW665" s="1369"/>
      <c r="CX665" s="1420"/>
      <c r="CY665" s="1368"/>
      <c r="CZ665" s="1368"/>
      <c r="DA665" s="1368"/>
      <c r="DB665" s="1369"/>
      <c r="DC665" s="1368"/>
      <c r="DD665" s="1368"/>
      <c r="DE665" s="1368"/>
      <c r="DF665" s="1368"/>
      <c r="DG665" s="1369"/>
      <c r="DH665" s="1420"/>
      <c r="DI665" s="1368"/>
      <c r="DJ665" s="1368"/>
      <c r="DK665" s="1368"/>
      <c r="DL665" s="1369"/>
      <c r="DM665" s="1808"/>
      <c r="DN665" s="1809"/>
      <c r="DO665" s="1809"/>
      <c r="DP665" s="1810"/>
      <c r="DQ665" s="1809"/>
      <c r="DR665" s="1809"/>
      <c r="DS665" s="1809"/>
      <c r="DT665" s="1810"/>
      <c r="DU665" s="1377"/>
      <c r="DV665" s="1729"/>
      <c r="DW665" s="1811"/>
    </row>
    <row r="666" spans="1:127" s="397" customFormat="1" ht="15.75" hidden="1" customHeight="1">
      <c r="A666" s="1054" t="s">
        <v>1057</v>
      </c>
      <c r="B666" s="1055">
        <v>657</v>
      </c>
      <c r="C666" s="1143"/>
      <c r="D666" s="1143"/>
      <c r="E666" s="1143"/>
      <c r="F666" s="1143"/>
      <c r="G666" s="1143"/>
      <c r="H666" s="1143"/>
      <c r="I666" s="1143"/>
      <c r="J666" s="1143"/>
      <c r="K666" s="1143"/>
      <c r="L666" s="1143"/>
      <c r="M666" s="1055"/>
      <c r="N666" s="1143"/>
      <c r="O666" s="1143"/>
      <c r="P666" s="1143"/>
      <c r="Q666" s="1143"/>
      <c r="R666" s="1143"/>
      <c r="S666" s="1143"/>
      <c r="T666" s="1058"/>
      <c r="U666" s="1059" t="s">
        <v>4701</v>
      </c>
      <c r="V666" s="1060" t="s">
        <v>4597</v>
      </c>
      <c r="W666" s="1060" t="s">
        <v>1889</v>
      </c>
      <c r="X666" s="1061">
        <v>30</v>
      </c>
      <c r="Y666" s="1062" t="s">
        <v>736</v>
      </c>
      <c r="Z666" s="1063" t="s">
        <v>4702</v>
      </c>
      <c r="AA666" s="1064">
        <v>0</v>
      </c>
      <c r="AB666" s="1065">
        <v>0</v>
      </c>
      <c r="AC666" s="1065">
        <v>1</v>
      </c>
      <c r="AD666" s="1065">
        <v>0</v>
      </c>
      <c r="AE666" s="1065">
        <v>0</v>
      </c>
      <c r="AF666" s="1065">
        <v>0</v>
      </c>
      <c r="AG666" s="1065">
        <v>0</v>
      </c>
      <c r="AH666" s="1065">
        <v>0</v>
      </c>
      <c r="AI666" s="1066">
        <f t="shared" si="10"/>
        <v>1</v>
      </c>
      <c r="AJ666" s="1067" t="s">
        <v>1030</v>
      </c>
      <c r="AK666" s="1067" t="s">
        <v>1008</v>
      </c>
      <c r="AL666" s="1067" t="s">
        <v>1009</v>
      </c>
      <c r="AM666" s="1068" t="s">
        <v>736</v>
      </c>
      <c r="AN666" s="1062" t="s">
        <v>2177</v>
      </c>
      <c r="AO666" s="1062" t="s">
        <v>4806</v>
      </c>
      <c r="AP666" s="1080">
        <v>2</v>
      </c>
      <c r="AQ666" s="1080" t="s">
        <v>1020</v>
      </c>
      <c r="AR666" s="1071" t="s">
        <v>736</v>
      </c>
      <c r="AS666" s="1072"/>
      <c r="AT666" s="1061"/>
      <c r="AU666" s="1061"/>
      <c r="AV666" s="1061"/>
      <c r="AW666" s="1073"/>
      <c r="AX666" s="1074"/>
      <c r="AY666" s="1079"/>
      <c r="AZ666" s="1080"/>
      <c r="BA666" s="1080"/>
      <c r="BB666" s="1080"/>
      <c r="BC666" s="1080"/>
      <c r="BD666" s="1080"/>
      <c r="BE666" s="1080"/>
      <c r="BF666" s="1080"/>
      <c r="BG666" s="1154"/>
      <c r="BH666" s="1154"/>
      <c r="BI666" s="1155">
        <v>24.51</v>
      </c>
      <c r="BJ666" s="1154">
        <v>23.74</v>
      </c>
      <c r="BK666" s="1154">
        <v>23</v>
      </c>
      <c r="BL666" s="1154">
        <v>22.4</v>
      </c>
      <c r="BM666" s="1154">
        <v>19.5</v>
      </c>
      <c r="BN666" s="1079"/>
      <c r="BO666" s="1080"/>
      <c r="BP666" s="1080"/>
      <c r="BQ666" s="1080"/>
      <c r="BR666" s="1080"/>
      <c r="BS666" s="1081"/>
      <c r="BT666" s="1080"/>
      <c r="BU666" s="1080"/>
      <c r="BV666" s="1080"/>
      <c r="BW666" s="1082"/>
      <c r="BX666" s="1081"/>
      <c r="BY666" s="1080"/>
      <c r="BZ666" s="1080"/>
      <c r="CA666" s="1080"/>
      <c r="CB666" s="1082"/>
      <c r="CC666" s="1083"/>
      <c r="CD666" s="1084" t="s">
        <v>168</v>
      </c>
      <c r="CE666" s="1085" t="s">
        <v>168</v>
      </c>
      <c r="CF666" s="1085" t="s">
        <v>168</v>
      </c>
      <c r="CG666" s="1085" t="s">
        <v>168</v>
      </c>
      <c r="CH666" s="1086" t="s">
        <v>168</v>
      </c>
      <c r="CI666" s="1089">
        <v>98</v>
      </c>
      <c r="CJ666" s="1087">
        <v>98</v>
      </c>
      <c r="CK666" s="1087">
        <v>98</v>
      </c>
      <c r="CL666" s="1087">
        <v>98</v>
      </c>
      <c r="CM666" s="1088">
        <v>98</v>
      </c>
      <c r="CN666" s="1152">
        <v>41.6</v>
      </c>
      <c r="CO666" s="1087">
        <v>41.6</v>
      </c>
      <c r="CP666" s="1087">
        <v>41.6</v>
      </c>
      <c r="CQ666" s="1087">
        <v>41.6</v>
      </c>
      <c r="CR666" s="1088">
        <v>41.6</v>
      </c>
      <c r="CS666" s="1079" t="s">
        <v>1942</v>
      </c>
      <c r="CT666" s="1080" t="s">
        <v>1942</v>
      </c>
      <c r="CU666" s="1080" t="s">
        <v>1942</v>
      </c>
      <c r="CV666" s="1080" t="s">
        <v>1942</v>
      </c>
      <c r="CW666" s="1083" t="s">
        <v>1942</v>
      </c>
      <c r="CX666" s="1079" t="s">
        <v>1942</v>
      </c>
      <c r="CY666" s="1080" t="s">
        <v>1942</v>
      </c>
      <c r="CZ666" s="1080" t="s">
        <v>1942</v>
      </c>
      <c r="DA666" s="1080" t="s">
        <v>1942</v>
      </c>
      <c r="DB666" s="1083" t="s">
        <v>1942</v>
      </c>
      <c r="DC666" s="1087">
        <v>11.83</v>
      </c>
      <c r="DD666" s="1087">
        <v>11.46</v>
      </c>
      <c r="DE666" s="1087">
        <v>11.11</v>
      </c>
      <c r="DF666" s="1087">
        <v>10.82</v>
      </c>
      <c r="DG666" s="1088">
        <v>9.42</v>
      </c>
      <c r="DH666" s="1089" t="s">
        <v>4805</v>
      </c>
      <c r="DI666" s="1080" t="s">
        <v>4805</v>
      </c>
      <c r="DJ666" s="1080" t="s">
        <v>4805</v>
      </c>
      <c r="DK666" s="1080" t="s">
        <v>4805</v>
      </c>
      <c r="DL666" s="1083" t="s">
        <v>4805</v>
      </c>
      <c r="DM666" s="1091">
        <v>-0.68600000000000005</v>
      </c>
      <c r="DN666" s="1092" t="s">
        <v>1942</v>
      </c>
      <c r="DO666" s="1092" t="s">
        <v>1942</v>
      </c>
      <c r="DP666" s="1300">
        <v>-1.1950000000000001</v>
      </c>
      <c r="DQ666" s="1092">
        <v>0.436</v>
      </c>
      <c r="DR666" s="1092" t="s">
        <v>1942</v>
      </c>
      <c r="DS666" s="1092" t="s">
        <v>1942</v>
      </c>
      <c r="DT666" s="1300">
        <v>0.6</v>
      </c>
      <c r="DU666" s="1085" t="s">
        <v>1942</v>
      </c>
      <c r="DV666" s="1094">
        <v>1</v>
      </c>
      <c r="DW666" s="1095" t="s">
        <v>1942</v>
      </c>
    </row>
    <row r="667" spans="1:127" s="397" customFormat="1" ht="15.75" hidden="1" customHeight="1">
      <c r="A667" s="1054" t="s">
        <v>1057</v>
      </c>
      <c r="B667" s="1055">
        <v>658</v>
      </c>
      <c r="C667" s="1143"/>
      <c r="D667" s="1143"/>
      <c r="E667" s="1143"/>
      <c r="F667" s="1143"/>
      <c r="G667" s="1143"/>
      <c r="H667" s="1143"/>
      <c r="I667" s="1143"/>
      <c r="J667" s="1143"/>
      <c r="K667" s="1143"/>
      <c r="L667" s="1143"/>
      <c r="M667" s="1055"/>
      <c r="N667" s="1143"/>
      <c r="O667" s="1143"/>
      <c r="P667" s="1143"/>
      <c r="Q667" s="1143"/>
      <c r="R667" s="1143"/>
      <c r="S667" s="1143"/>
      <c r="T667" s="1058"/>
      <c r="U667" s="1059" t="s">
        <v>4704</v>
      </c>
      <c r="V667" s="1060" t="s">
        <v>4597</v>
      </c>
      <c r="W667" s="1060" t="s">
        <v>1889</v>
      </c>
      <c r="X667" s="1061">
        <v>31</v>
      </c>
      <c r="Y667" s="1062" t="s">
        <v>732</v>
      </c>
      <c r="Z667" s="1063" t="s">
        <v>4705</v>
      </c>
      <c r="AA667" s="1064">
        <v>0</v>
      </c>
      <c r="AB667" s="1065">
        <v>0</v>
      </c>
      <c r="AC667" s="1065">
        <v>1</v>
      </c>
      <c r="AD667" s="1065">
        <v>0</v>
      </c>
      <c r="AE667" s="1065">
        <v>0</v>
      </c>
      <c r="AF667" s="1065">
        <v>0</v>
      </c>
      <c r="AG667" s="1065">
        <v>0</v>
      </c>
      <c r="AH667" s="1065">
        <v>0</v>
      </c>
      <c r="AI667" s="1066">
        <f t="shared" si="10"/>
        <v>1</v>
      </c>
      <c r="AJ667" s="1067" t="s">
        <v>1030</v>
      </c>
      <c r="AK667" s="1067" t="s">
        <v>1008</v>
      </c>
      <c r="AL667" s="1067" t="s">
        <v>1009</v>
      </c>
      <c r="AM667" s="1068" t="s">
        <v>2058</v>
      </c>
      <c r="AN667" s="1062" t="s">
        <v>2177</v>
      </c>
      <c r="AO667" s="1062" t="s">
        <v>4492</v>
      </c>
      <c r="AP667" s="1080">
        <v>2</v>
      </c>
      <c r="AQ667" s="1080" t="s">
        <v>1020</v>
      </c>
      <c r="AR667" s="1071" t="s">
        <v>732</v>
      </c>
      <c r="AS667" s="1072"/>
      <c r="AT667" s="1061"/>
      <c r="AU667" s="1061"/>
      <c r="AV667" s="1061"/>
      <c r="AW667" s="1073"/>
      <c r="AX667" s="1074"/>
      <c r="AY667" s="1079"/>
      <c r="AZ667" s="1080"/>
      <c r="BA667" s="1080"/>
      <c r="BB667" s="1080"/>
      <c r="BC667" s="1080"/>
      <c r="BD667" s="1080"/>
      <c r="BE667" s="1080"/>
      <c r="BF667" s="1080"/>
      <c r="BG667" s="1154"/>
      <c r="BH667" s="1154"/>
      <c r="BI667" s="1155">
        <v>1.68</v>
      </c>
      <c r="BJ667" s="1154">
        <v>1.63</v>
      </c>
      <c r="BK667" s="1154">
        <v>1.58</v>
      </c>
      <c r="BL667" s="1154">
        <v>1.44</v>
      </c>
      <c r="BM667" s="1154">
        <v>1.34</v>
      </c>
      <c r="BN667" s="1079"/>
      <c r="BO667" s="1080"/>
      <c r="BP667" s="1080"/>
      <c r="BQ667" s="1080"/>
      <c r="BR667" s="1080"/>
      <c r="BS667" s="1081"/>
      <c r="BT667" s="1080"/>
      <c r="BU667" s="1080"/>
      <c r="BV667" s="1080"/>
      <c r="BW667" s="1082"/>
      <c r="BX667" s="1081"/>
      <c r="BY667" s="1080"/>
      <c r="BZ667" s="1080"/>
      <c r="CA667" s="1080"/>
      <c r="CB667" s="1082"/>
      <c r="CC667" s="1083"/>
      <c r="CD667" s="1084" t="s">
        <v>168</v>
      </c>
      <c r="CE667" s="1085" t="s">
        <v>168</v>
      </c>
      <c r="CF667" s="1085" t="s">
        <v>168</v>
      </c>
      <c r="CG667" s="1085" t="s">
        <v>168</v>
      </c>
      <c r="CH667" s="1086" t="s">
        <v>168</v>
      </c>
      <c r="CI667" s="1089" t="s">
        <v>1942</v>
      </c>
      <c r="CJ667" s="1087" t="s">
        <v>1942</v>
      </c>
      <c r="CK667" s="1087" t="s">
        <v>1942</v>
      </c>
      <c r="CL667" s="1087" t="s">
        <v>1942</v>
      </c>
      <c r="CM667" s="1088" t="s">
        <v>1942</v>
      </c>
      <c r="CN667" s="1089">
        <v>2.75</v>
      </c>
      <c r="CO667" s="1213">
        <v>3.2</v>
      </c>
      <c r="CP667" s="1213">
        <v>3.8</v>
      </c>
      <c r="CQ667" s="1213">
        <v>4.3</v>
      </c>
      <c r="CR667" s="1215">
        <v>4.9000000000000004</v>
      </c>
      <c r="CS667" s="1079" t="s">
        <v>1942</v>
      </c>
      <c r="CT667" s="1080" t="s">
        <v>1942</v>
      </c>
      <c r="CU667" s="1080" t="s">
        <v>1942</v>
      </c>
      <c r="CV667" s="1080" t="s">
        <v>1942</v>
      </c>
      <c r="CW667" s="1083" t="s">
        <v>1942</v>
      </c>
      <c r="CX667" s="1079" t="s">
        <v>1942</v>
      </c>
      <c r="CY667" s="1080" t="s">
        <v>1942</v>
      </c>
      <c r="CZ667" s="1080" t="s">
        <v>1942</v>
      </c>
      <c r="DA667" s="1080" t="s">
        <v>1942</v>
      </c>
      <c r="DB667" s="1083" t="s">
        <v>1942</v>
      </c>
      <c r="DC667" s="1087">
        <v>0.82</v>
      </c>
      <c r="DD667" s="1087">
        <v>0.81</v>
      </c>
      <c r="DE667" s="1087">
        <v>0.8</v>
      </c>
      <c r="DF667" s="1087">
        <v>0.69</v>
      </c>
      <c r="DG667" s="1088">
        <v>0.63</v>
      </c>
      <c r="DH667" s="1089" t="s">
        <v>1942</v>
      </c>
      <c r="DI667" s="1080" t="s">
        <v>1942</v>
      </c>
      <c r="DJ667" s="1080" t="s">
        <v>1942</v>
      </c>
      <c r="DK667" s="1080" t="s">
        <v>1942</v>
      </c>
      <c r="DL667" s="1083" t="s">
        <v>1942</v>
      </c>
      <c r="DM667" s="1091">
        <v>-8.4350000000000005</v>
      </c>
      <c r="DN667" s="1092" t="s">
        <v>1942</v>
      </c>
      <c r="DO667" s="1092" t="s">
        <v>1942</v>
      </c>
      <c r="DP667" s="1157" t="s">
        <v>1942</v>
      </c>
      <c r="DQ667" s="1092">
        <v>8.4350000000000005</v>
      </c>
      <c r="DR667" s="1092" t="s">
        <v>1942</v>
      </c>
      <c r="DS667" s="1092" t="s">
        <v>1942</v>
      </c>
      <c r="DT667" s="1093" t="s">
        <v>1942</v>
      </c>
      <c r="DU667" s="1085" t="s">
        <v>1942</v>
      </c>
      <c r="DV667" s="1094">
        <v>1</v>
      </c>
      <c r="DW667" s="1095" t="s">
        <v>1942</v>
      </c>
    </row>
    <row r="668" spans="1:127" s="397" customFormat="1" ht="15.75" hidden="1" customHeight="1">
      <c r="A668" s="1097" t="s">
        <v>1057</v>
      </c>
      <c r="B668" s="1057">
        <v>659</v>
      </c>
      <c r="C668" s="1018"/>
      <c r="D668" s="1018"/>
      <c r="E668" s="1018"/>
      <c r="F668" s="1018"/>
      <c r="G668" s="1018"/>
      <c r="H668" s="1018"/>
      <c r="I668" s="1018"/>
      <c r="J668" s="1018"/>
      <c r="K668" s="1018"/>
      <c r="L668" s="1018"/>
      <c r="M668" s="1057"/>
      <c r="N668" s="1018"/>
      <c r="O668" s="1018"/>
      <c r="P668" s="1018"/>
      <c r="Q668" s="1018"/>
      <c r="R668" s="1018"/>
      <c r="S668" s="1018"/>
      <c r="T668" s="1019"/>
      <c r="U668" s="1098" t="s">
        <v>4707</v>
      </c>
      <c r="V668" s="1099" t="s">
        <v>4597</v>
      </c>
      <c r="W668" s="1099" t="s">
        <v>1907</v>
      </c>
      <c r="X668" s="1100">
        <v>32</v>
      </c>
      <c r="Y668" s="1101" t="s">
        <v>1058</v>
      </c>
      <c r="Z668" s="1102" t="s">
        <v>4708</v>
      </c>
      <c r="AA668" s="1103">
        <v>0</v>
      </c>
      <c r="AB668" s="1104">
        <v>0.05</v>
      </c>
      <c r="AC668" s="1104">
        <v>0.95</v>
      </c>
      <c r="AD668" s="1104">
        <v>0</v>
      </c>
      <c r="AE668" s="1104">
        <v>0</v>
      </c>
      <c r="AF668" s="1104">
        <v>0</v>
      </c>
      <c r="AG668" s="1104">
        <v>0</v>
      </c>
      <c r="AH668" s="1104">
        <v>0</v>
      </c>
      <c r="AI668" s="1105">
        <f t="shared" si="10"/>
        <v>1</v>
      </c>
      <c r="AJ668" s="1106" t="s">
        <v>1026</v>
      </c>
      <c r="AK668" s="1106" t="s">
        <v>1008</v>
      </c>
      <c r="AL668" s="1106" t="s">
        <v>1009</v>
      </c>
      <c r="AM668" s="1107" t="s">
        <v>2536</v>
      </c>
      <c r="AN668" s="1018" t="s">
        <v>278</v>
      </c>
      <c r="AO668" s="1018" t="s">
        <v>2449</v>
      </c>
      <c r="AP668" s="1313">
        <v>2</v>
      </c>
      <c r="AQ668" s="1076" t="s">
        <v>1010</v>
      </c>
      <c r="AR668" s="1109" t="s">
        <v>1058</v>
      </c>
      <c r="AS668" s="1110"/>
      <c r="AT668" s="1100"/>
      <c r="AU668" s="1100"/>
      <c r="AV668" s="1100"/>
      <c r="AW668" s="1111"/>
      <c r="AX668" s="1112"/>
      <c r="AY668" s="1075"/>
      <c r="AZ668" s="1076"/>
      <c r="BA668" s="1076"/>
      <c r="BB668" s="1076"/>
      <c r="BC668" s="1076"/>
      <c r="BD668" s="1076"/>
      <c r="BE668" s="1076"/>
      <c r="BF668" s="1076"/>
      <c r="BG668" s="1126"/>
      <c r="BH668" s="1126"/>
      <c r="BI668" s="1127">
        <v>100</v>
      </c>
      <c r="BJ668" s="1126">
        <v>100</v>
      </c>
      <c r="BK668" s="1126">
        <v>100</v>
      </c>
      <c r="BL668" s="1126">
        <v>100</v>
      </c>
      <c r="BM668" s="1126">
        <v>100</v>
      </c>
      <c r="BN668" s="1075"/>
      <c r="BO668" s="1076"/>
      <c r="BP668" s="1076"/>
      <c r="BQ668" s="1076"/>
      <c r="BR668" s="1076"/>
      <c r="BS668" s="1115"/>
      <c r="BT668" s="1076"/>
      <c r="BU668" s="1076"/>
      <c r="BV668" s="1076"/>
      <c r="BW668" s="1116"/>
      <c r="BX668" s="1115"/>
      <c r="BY668" s="1076"/>
      <c r="BZ668" s="1076"/>
      <c r="CA668" s="1076"/>
      <c r="CB668" s="1116"/>
      <c r="CC668" s="1117"/>
      <c r="CD668" s="1118" t="s">
        <v>168</v>
      </c>
      <c r="CE668" s="1119" t="s">
        <v>168</v>
      </c>
      <c r="CF668" s="1119" t="s">
        <v>168</v>
      </c>
      <c r="CG668" s="1119" t="s">
        <v>168</v>
      </c>
      <c r="CH668" s="1120" t="s">
        <v>168</v>
      </c>
      <c r="CI668" s="1075" t="s">
        <v>1942</v>
      </c>
      <c r="CJ668" s="1076" t="s">
        <v>1942</v>
      </c>
      <c r="CK668" s="1076" t="s">
        <v>1942</v>
      </c>
      <c r="CL668" s="1076" t="s">
        <v>1942</v>
      </c>
      <c r="CM668" s="1117" t="s">
        <v>1942</v>
      </c>
      <c r="CN668" s="1075" t="s">
        <v>1942</v>
      </c>
      <c r="CO668" s="1076" t="s">
        <v>1942</v>
      </c>
      <c r="CP668" s="1076" t="s">
        <v>1942</v>
      </c>
      <c r="CQ668" s="1076" t="s">
        <v>1942</v>
      </c>
      <c r="CR668" s="1117" t="s">
        <v>1942</v>
      </c>
      <c r="CS668" s="1075">
        <v>99</v>
      </c>
      <c r="CT668" s="1076">
        <v>99</v>
      </c>
      <c r="CU668" s="1076">
        <v>99</v>
      </c>
      <c r="CV668" s="1076">
        <v>99</v>
      </c>
      <c r="CW668" s="1117">
        <v>99</v>
      </c>
      <c r="CX668" s="1075" t="s">
        <v>1942</v>
      </c>
      <c r="CY668" s="1076" t="s">
        <v>1942</v>
      </c>
      <c r="CZ668" s="1076" t="s">
        <v>1942</v>
      </c>
      <c r="DA668" s="1076" t="s">
        <v>1942</v>
      </c>
      <c r="DB668" s="1117" t="s">
        <v>1942</v>
      </c>
      <c r="DC668" s="1076" t="s">
        <v>1942</v>
      </c>
      <c r="DD668" s="1076" t="s">
        <v>1942</v>
      </c>
      <c r="DE668" s="1076" t="s">
        <v>1942</v>
      </c>
      <c r="DF668" s="1076" t="s">
        <v>1942</v>
      </c>
      <c r="DG668" s="1117" t="s">
        <v>1942</v>
      </c>
      <c r="DH668" s="1075" t="s">
        <v>1942</v>
      </c>
      <c r="DI668" s="1076" t="s">
        <v>1942</v>
      </c>
      <c r="DJ668" s="1076" t="s">
        <v>1942</v>
      </c>
      <c r="DK668" s="1076" t="s">
        <v>1942</v>
      </c>
      <c r="DL668" s="1117" t="s">
        <v>1942</v>
      </c>
      <c r="DM668" s="1121">
        <v>-1.1879999999999999</v>
      </c>
      <c r="DN668" s="1122" t="s">
        <v>1942</v>
      </c>
      <c r="DO668" s="1122" t="s">
        <v>1942</v>
      </c>
      <c r="DP668" s="1123" t="s">
        <v>1942</v>
      </c>
      <c r="DQ668" s="1122" t="s">
        <v>1942</v>
      </c>
      <c r="DR668" s="1122" t="s">
        <v>1942</v>
      </c>
      <c r="DS668" s="1122" t="s">
        <v>1942</v>
      </c>
      <c r="DT668" s="1123" t="s">
        <v>1942</v>
      </c>
      <c r="DU668" s="1119" t="s">
        <v>1942</v>
      </c>
      <c r="DV668" s="1124">
        <v>1</v>
      </c>
      <c r="DW668" s="1125" t="s">
        <v>1942</v>
      </c>
    </row>
    <row r="669" spans="1:127" s="397" customFormat="1" ht="15.75" hidden="1" customHeight="1">
      <c r="A669" s="1097" t="s">
        <v>1057</v>
      </c>
      <c r="B669" s="1057">
        <v>660</v>
      </c>
      <c r="C669" s="1018"/>
      <c r="D669" s="1018"/>
      <c r="E669" s="1018"/>
      <c r="F669" s="1018"/>
      <c r="G669" s="1018"/>
      <c r="H669" s="1018"/>
      <c r="I669" s="1018"/>
      <c r="J669" s="1018"/>
      <c r="K669" s="1018"/>
      <c r="L669" s="1018"/>
      <c r="M669" s="1057"/>
      <c r="N669" s="1018"/>
      <c r="O669" s="1018"/>
      <c r="P669" s="1018"/>
      <c r="Q669" s="1018"/>
      <c r="R669" s="1018"/>
      <c r="S669" s="1018"/>
      <c r="T669" s="1019"/>
      <c r="U669" s="1098" t="s">
        <v>4710</v>
      </c>
      <c r="V669" s="1099" t="s">
        <v>4597</v>
      </c>
      <c r="W669" s="1099" t="s">
        <v>1889</v>
      </c>
      <c r="X669" s="1100">
        <v>33</v>
      </c>
      <c r="Y669" s="1101" t="s">
        <v>743</v>
      </c>
      <c r="Z669" s="1102" t="s">
        <v>4711</v>
      </c>
      <c r="AA669" s="1103">
        <v>0</v>
      </c>
      <c r="AB669" s="1104">
        <v>0</v>
      </c>
      <c r="AC669" s="1104">
        <v>1</v>
      </c>
      <c r="AD669" s="1104">
        <v>0</v>
      </c>
      <c r="AE669" s="1104">
        <v>0</v>
      </c>
      <c r="AF669" s="1104">
        <v>0</v>
      </c>
      <c r="AG669" s="1104">
        <v>0</v>
      </c>
      <c r="AH669" s="1104">
        <v>0</v>
      </c>
      <c r="AI669" s="1105">
        <f t="shared" si="10"/>
        <v>1</v>
      </c>
      <c r="AJ669" s="1106" t="s">
        <v>1026</v>
      </c>
      <c r="AK669" s="1106" t="s">
        <v>1008</v>
      </c>
      <c r="AL669" s="1106" t="s">
        <v>1009</v>
      </c>
      <c r="AM669" s="1107" t="s">
        <v>2081</v>
      </c>
      <c r="AN669" s="1018" t="s">
        <v>2177</v>
      </c>
      <c r="AO669" s="1018" t="s">
        <v>4807</v>
      </c>
      <c r="AP669" s="1313">
        <v>2</v>
      </c>
      <c r="AQ669" s="1076" t="s">
        <v>1020</v>
      </c>
      <c r="AR669" s="1109" t="s">
        <v>743</v>
      </c>
      <c r="AS669" s="1110"/>
      <c r="AT669" s="1100"/>
      <c r="AU669" s="1100"/>
      <c r="AV669" s="1100"/>
      <c r="AW669" s="1111"/>
      <c r="AX669" s="1112"/>
      <c r="AY669" s="1075"/>
      <c r="AZ669" s="1076"/>
      <c r="BA669" s="1076"/>
      <c r="BB669" s="1076"/>
      <c r="BC669" s="1076"/>
      <c r="BD669" s="1076"/>
      <c r="BE669" s="1076"/>
      <c r="BF669" s="1076"/>
      <c r="BG669" s="1126"/>
      <c r="BH669" s="1126"/>
      <c r="BI669" s="1127">
        <v>18.260000000000002</v>
      </c>
      <c r="BJ669" s="1126">
        <v>17.55</v>
      </c>
      <c r="BK669" s="1126">
        <v>16.829999999999998</v>
      </c>
      <c r="BL669" s="1126">
        <v>16.11</v>
      </c>
      <c r="BM669" s="1126">
        <v>15.39</v>
      </c>
      <c r="BN669" s="1075"/>
      <c r="BO669" s="1076"/>
      <c r="BP669" s="1076"/>
      <c r="BQ669" s="1076"/>
      <c r="BR669" s="1076"/>
      <c r="BS669" s="1115"/>
      <c r="BT669" s="1076"/>
      <c r="BU669" s="1076"/>
      <c r="BV669" s="1076"/>
      <c r="BW669" s="1116"/>
      <c r="BX669" s="1115"/>
      <c r="BY669" s="1076"/>
      <c r="BZ669" s="1076"/>
      <c r="CA669" s="1076"/>
      <c r="CB669" s="1116"/>
      <c r="CC669" s="1117"/>
      <c r="CD669" s="1118" t="s">
        <v>168</v>
      </c>
      <c r="CE669" s="1119" t="s">
        <v>168</v>
      </c>
      <c r="CF669" s="1119" t="s">
        <v>168</v>
      </c>
      <c r="CG669" s="1119" t="s">
        <v>168</v>
      </c>
      <c r="CH669" s="1120" t="s">
        <v>168</v>
      </c>
      <c r="CI669" s="1075" t="s">
        <v>1942</v>
      </c>
      <c r="CJ669" s="1076" t="s">
        <v>1942</v>
      </c>
      <c r="CK669" s="1076" t="s">
        <v>1942</v>
      </c>
      <c r="CL669" s="1076" t="s">
        <v>1942</v>
      </c>
      <c r="CM669" s="1117" t="s">
        <v>1942</v>
      </c>
      <c r="CN669" s="1075" t="s">
        <v>1942</v>
      </c>
      <c r="CO669" s="1076" t="s">
        <v>1942</v>
      </c>
      <c r="CP669" s="1076" t="s">
        <v>1942</v>
      </c>
      <c r="CQ669" s="1076" t="s">
        <v>1942</v>
      </c>
      <c r="CR669" s="1117" t="s">
        <v>1942</v>
      </c>
      <c r="CS669" s="1075" t="s">
        <v>1942</v>
      </c>
      <c r="CT669" s="1076" t="s">
        <v>1942</v>
      </c>
      <c r="CU669" s="1076" t="s">
        <v>1942</v>
      </c>
      <c r="CV669" s="1076" t="s">
        <v>1942</v>
      </c>
      <c r="CW669" s="1117" t="s">
        <v>1942</v>
      </c>
      <c r="CX669" s="1075" t="s">
        <v>1942</v>
      </c>
      <c r="CY669" s="1076" t="s">
        <v>1942</v>
      </c>
      <c r="CZ669" s="1076" t="s">
        <v>1942</v>
      </c>
      <c r="DA669" s="1076" t="s">
        <v>1942</v>
      </c>
      <c r="DB669" s="1117" t="s">
        <v>1942</v>
      </c>
      <c r="DC669" s="1076" t="s">
        <v>1942</v>
      </c>
      <c r="DD669" s="1076" t="s">
        <v>1942</v>
      </c>
      <c r="DE669" s="1076" t="s">
        <v>1942</v>
      </c>
      <c r="DF669" s="1076" t="s">
        <v>1942</v>
      </c>
      <c r="DG669" s="1117" t="s">
        <v>1942</v>
      </c>
      <c r="DH669" s="1075" t="s">
        <v>1942</v>
      </c>
      <c r="DI669" s="1076" t="s">
        <v>1942</v>
      </c>
      <c r="DJ669" s="1076" t="s">
        <v>1942</v>
      </c>
      <c r="DK669" s="1076" t="s">
        <v>1942</v>
      </c>
      <c r="DL669" s="1117" t="s">
        <v>1942</v>
      </c>
      <c r="DM669" s="1121">
        <v>-0.221</v>
      </c>
      <c r="DN669" s="1122" t="s">
        <v>1942</v>
      </c>
      <c r="DO669" s="1122" t="s">
        <v>1942</v>
      </c>
      <c r="DP669" s="1123" t="s">
        <v>1942</v>
      </c>
      <c r="DQ669" s="1122" t="s">
        <v>1942</v>
      </c>
      <c r="DR669" s="1122" t="s">
        <v>1942</v>
      </c>
      <c r="DS669" s="1122" t="s">
        <v>1942</v>
      </c>
      <c r="DT669" s="1123" t="s">
        <v>1942</v>
      </c>
      <c r="DU669" s="1119" t="s">
        <v>1942</v>
      </c>
      <c r="DV669" s="1124">
        <v>1</v>
      </c>
      <c r="DW669" s="1125" t="s">
        <v>1942</v>
      </c>
    </row>
    <row r="670" spans="1:127" s="397" customFormat="1" ht="15.75" hidden="1" customHeight="1">
      <c r="A670" s="1097" t="s">
        <v>1057</v>
      </c>
      <c r="B670" s="1057">
        <v>661</v>
      </c>
      <c r="C670" s="1018"/>
      <c r="D670" s="1018"/>
      <c r="E670" s="1018"/>
      <c r="F670" s="1018"/>
      <c r="G670" s="1018"/>
      <c r="H670" s="1018"/>
      <c r="I670" s="1018"/>
      <c r="J670" s="1018"/>
      <c r="K670" s="1018"/>
      <c r="L670" s="1018"/>
      <c r="M670" s="1057"/>
      <c r="N670" s="1018"/>
      <c r="O670" s="1018"/>
      <c r="P670" s="1018"/>
      <c r="Q670" s="1018"/>
      <c r="R670" s="1018"/>
      <c r="S670" s="1018"/>
      <c r="T670" s="1019"/>
      <c r="U670" s="1098" t="s">
        <v>4713</v>
      </c>
      <c r="V670" s="1099" t="s">
        <v>4597</v>
      </c>
      <c r="W670" s="1099" t="s">
        <v>1907</v>
      </c>
      <c r="X670" s="1100">
        <v>34</v>
      </c>
      <c r="Y670" s="1101" t="s">
        <v>839</v>
      </c>
      <c r="Z670" s="1102" t="s">
        <v>4714</v>
      </c>
      <c r="AA670" s="1103">
        <v>0</v>
      </c>
      <c r="AB670" s="1104">
        <v>0</v>
      </c>
      <c r="AC670" s="1104">
        <v>1</v>
      </c>
      <c r="AD670" s="1104">
        <v>0</v>
      </c>
      <c r="AE670" s="1104">
        <v>0</v>
      </c>
      <c r="AF670" s="1104">
        <v>0</v>
      </c>
      <c r="AG670" s="1104">
        <v>0</v>
      </c>
      <c r="AH670" s="1104">
        <v>0</v>
      </c>
      <c r="AI670" s="1105">
        <f t="shared" si="10"/>
        <v>1</v>
      </c>
      <c r="AJ670" s="1106" t="s">
        <v>1007</v>
      </c>
      <c r="AK670" s="1106" t="s">
        <v>1942</v>
      </c>
      <c r="AL670" s="1106" t="s">
        <v>1942</v>
      </c>
      <c r="AM670" s="1107" t="s">
        <v>1910</v>
      </c>
      <c r="AN670" s="1018" t="s">
        <v>278</v>
      </c>
      <c r="AO670" s="1018" t="s">
        <v>4792</v>
      </c>
      <c r="AP670" s="1313">
        <v>2</v>
      </c>
      <c r="AQ670" s="1076" t="s">
        <v>1020</v>
      </c>
      <c r="AR670" s="1109" t="s">
        <v>839</v>
      </c>
      <c r="AS670" s="1110"/>
      <c r="AT670" s="1100"/>
      <c r="AU670" s="1100"/>
      <c r="AV670" s="1100"/>
      <c r="AW670" s="1111"/>
      <c r="AX670" s="1112"/>
      <c r="AY670" s="1075"/>
      <c r="AZ670" s="1076"/>
      <c r="BA670" s="1076"/>
      <c r="BB670" s="1076"/>
      <c r="BC670" s="1076"/>
      <c r="BD670" s="1076"/>
      <c r="BE670" s="1076"/>
      <c r="BF670" s="1076"/>
      <c r="BG670" s="1126"/>
      <c r="BH670" s="1126"/>
      <c r="BI670" s="1127">
        <v>22.2</v>
      </c>
      <c r="BJ670" s="1126">
        <v>22.2</v>
      </c>
      <c r="BK670" s="1126">
        <v>22.2</v>
      </c>
      <c r="BL670" s="1126">
        <v>22.2</v>
      </c>
      <c r="BM670" s="1126">
        <v>22.2</v>
      </c>
      <c r="BN670" s="1075"/>
      <c r="BO670" s="1076"/>
      <c r="BP670" s="1076"/>
      <c r="BQ670" s="1076"/>
      <c r="BR670" s="1076"/>
      <c r="BS670" s="1115"/>
      <c r="BT670" s="1076"/>
      <c r="BU670" s="1076"/>
      <c r="BV670" s="1076"/>
      <c r="BW670" s="1116"/>
      <c r="BX670" s="1115"/>
      <c r="BY670" s="1076"/>
      <c r="BZ670" s="1076"/>
      <c r="CA670" s="1076"/>
      <c r="CB670" s="1116"/>
      <c r="CC670" s="1117"/>
      <c r="CD670" s="1118" t="s">
        <v>1942</v>
      </c>
      <c r="CE670" s="1119" t="s">
        <v>1942</v>
      </c>
      <c r="CF670" s="1119" t="s">
        <v>1942</v>
      </c>
      <c r="CG670" s="1119" t="s">
        <v>1942</v>
      </c>
      <c r="CH670" s="1120" t="s">
        <v>1942</v>
      </c>
      <c r="CI670" s="1075" t="s">
        <v>1942</v>
      </c>
      <c r="CJ670" s="1076" t="s">
        <v>1942</v>
      </c>
      <c r="CK670" s="1076" t="s">
        <v>1942</v>
      </c>
      <c r="CL670" s="1076" t="s">
        <v>1942</v>
      </c>
      <c r="CM670" s="1117" t="s">
        <v>1942</v>
      </c>
      <c r="CN670" s="1075" t="s">
        <v>1942</v>
      </c>
      <c r="CO670" s="1076" t="s">
        <v>1942</v>
      </c>
      <c r="CP670" s="1076" t="s">
        <v>1942</v>
      </c>
      <c r="CQ670" s="1076" t="s">
        <v>1942</v>
      </c>
      <c r="CR670" s="1117" t="s">
        <v>1942</v>
      </c>
      <c r="CS670" s="1075" t="s">
        <v>1942</v>
      </c>
      <c r="CT670" s="1076" t="s">
        <v>1942</v>
      </c>
      <c r="CU670" s="1076" t="s">
        <v>1942</v>
      </c>
      <c r="CV670" s="1076" t="s">
        <v>1942</v>
      </c>
      <c r="CW670" s="1117" t="s">
        <v>1942</v>
      </c>
      <c r="CX670" s="1075" t="s">
        <v>1942</v>
      </c>
      <c r="CY670" s="1076" t="s">
        <v>1942</v>
      </c>
      <c r="CZ670" s="1076" t="s">
        <v>1942</v>
      </c>
      <c r="DA670" s="1076" t="s">
        <v>1942</v>
      </c>
      <c r="DB670" s="1117" t="s">
        <v>1942</v>
      </c>
      <c r="DC670" s="1076" t="s">
        <v>1942</v>
      </c>
      <c r="DD670" s="1076" t="s">
        <v>1942</v>
      </c>
      <c r="DE670" s="1076" t="s">
        <v>1942</v>
      </c>
      <c r="DF670" s="1076" t="s">
        <v>1942</v>
      </c>
      <c r="DG670" s="1117" t="s">
        <v>1942</v>
      </c>
      <c r="DH670" s="1075" t="s">
        <v>1942</v>
      </c>
      <c r="DI670" s="1076" t="s">
        <v>1942</v>
      </c>
      <c r="DJ670" s="1076" t="s">
        <v>1942</v>
      </c>
      <c r="DK670" s="1076" t="s">
        <v>1942</v>
      </c>
      <c r="DL670" s="1117" t="s">
        <v>1942</v>
      </c>
      <c r="DM670" s="1121" t="s">
        <v>1942</v>
      </c>
      <c r="DN670" s="1122" t="s">
        <v>1942</v>
      </c>
      <c r="DO670" s="1122" t="s">
        <v>1942</v>
      </c>
      <c r="DP670" s="1123" t="s">
        <v>1942</v>
      </c>
      <c r="DQ670" s="1122" t="s">
        <v>1942</v>
      </c>
      <c r="DR670" s="1122" t="s">
        <v>1942</v>
      </c>
      <c r="DS670" s="1122" t="s">
        <v>1942</v>
      </c>
      <c r="DT670" s="1123" t="s">
        <v>1942</v>
      </c>
      <c r="DU670" s="1119" t="s">
        <v>1942</v>
      </c>
      <c r="DV670" s="1124">
        <v>1</v>
      </c>
      <c r="DW670" s="1125" t="s">
        <v>1942</v>
      </c>
    </row>
    <row r="671" spans="1:127" s="397" customFormat="1" ht="15.75" hidden="1" customHeight="1">
      <c r="A671" s="1097" t="s">
        <v>1057</v>
      </c>
      <c r="B671" s="1057">
        <v>662</v>
      </c>
      <c r="C671" s="1018"/>
      <c r="D671" s="1018"/>
      <c r="E671" s="1018"/>
      <c r="F671" s="1018"/>
      <c r="G671" s="1018"/>
      <c r="H671" s="1018"/>
      <c r="I671" s="1018"/>
      <c r="J671" s="1018"/>
      <c r="K671" s="1018"/>
      <c r="L671" s="1018"/>
      <c r="M671" s="1057"/>
      <c r="N671" s="1018"/>
      <c r="O671" s="1018"/>
      <c r="P671" s="1018"/>
      <c r="Q671" s="1018"/>
      <c r="R671" s="1018"/>
      <c r="S671" s="1018"/>
      <c r="T671" s="1019"/>
      <c r="U671" s="1098" t="s">
        <v>4716</v>
      </c>
      <c r="V671" s="1099" t="s">
        <v>4597</v>
      </c>
      <c r="W671" s="1099" t="s">
        <v>1889</v>
      </c>
      <c r="X671" s="1100">
        <v>35</v>
      </c>
      <c r="Y671" s="1101" t="s">
        <v>2098</v>
      </c>
      <c r="Z671" s="1102" t="s">
        <v>4717</v>
      </c>
      <c r="AA671" s="1103">
        <v>0</v>
      </c>
      <c r="AB671" s="1104">
        <v>0</v>
      </c>
      <c r="AC671" s="1104">
        <v>1</v>
      </c>
      <c r="AD671" s="1104">
        <v>0</v>
      </c>
      <c r="AE671" s="1104">
        <v>0</v>
      </c>
      <c r="AF671" s="1104">
        <v>0</v>
      </c>
      <c r="AG671" s="1104">
        <v>0</v>
      </c>
      <c r="AH671" s="1104">
        <v>0</v>
      </c>
      <c r="AI671" s="1105">
        <f t="shared" si="10"/>
        <v>1</v>
      </c>
      <c r="AJ671" s="1106" t="s">
        <v>1030</v>
      </c>
      <c r="AK671" s="1106" t="s">
        <v>1008</v>
      </c>
      <c r="AL671" s="1106" t="s">
        <v>1009</v>
      </c>
      <c r="AM671" s="1107" t="s">
        <v>2058</v>
      </c>
      <c r="AN671" s="1018" t="s">
        <v>2177</v>
      </c>
      <c r="AO671" s="1018" t="s">
        <v>4492</v>
      </c>
      <c r="AP671" s="833">
        <v>0</v>
      </c>
      <c r="AQ671" s="1076" t="s">
        <v>1020</v>
      </c>
      <c r="AR671" s="1109"/>
      <c r="AS671" s="1110"/>
      <c r="AT671" s="1100"/>
      <c r="AU671" s="1100"/>
      <c r="AV671" s="1100"/>
      <c r="AW671" s="1111"/>
      <c r="AX671" s="1112"/>
      <c r="AY671" s="1075"/>
      <c r="AZ671" s="1076"/>
      <c r="BA671" s="1076"/>
      <c r="BB671" s="1076"/>
      <c r="BC671" s="1076"/>
      <c r="BD671" s="1076"/>
      <c r="BE671" s="1076"/>
      <c r="BF671" s="1076"/>
      <c r="BG671" s="1076"/>
      <c r="BH671" s="1076"/>
      <c r="BI671" s="1420"/>
      <c r="BJ671" s="1368"/>
      <c r="BK671" s="1368"/>
      <c r="BL671" s="1368"/>
      <c r="BM671" s="1368"/>
      <c r="BN671" s="1075"/>
      <c r="BO671" s="1076"/>
      <c r="BP671" s="1076"/>
      <c r="BQ671" s="1076"/>
      <c r="BR671" s="1076"/>
      <c r="BS671" s="1115"/>
      <c r="BT671" s="1076"/>
      <c r="BU671" s="1076"/>
      <c r="BV671" s="1076"/>
      <c r="BW671" s="1116"/>
      <c r="BX671" s="1115"/>
      <c r="BY671" s="1076"/>
      <c r="BZ671" s="1076"/>
      <c r="CA671" s="1076"/>
      <c r="CB671" s="1116"/>
      <c r="CC671" s="1117"/>
      <c r="CD671" s="1376"/>
      <c r="CE671" s="1377"/>
      <c r="CF671" s="1377"/>
      <c r="CG671" s="1377"/>
      <c r="CH671" s="1440"/>
      <c r="CI671" s="1420"/>
      <c r="CJ671" s="1368"/>
      <c r="CK671" s="1368"/>
      <c r="CL671" s="1368"/>
      <c r="CM671" s="1369"/>
      <c r="CN671" s="1420"/>
      <c r="CO671" s="1368"/>
      <c r="CP671" s="1368"/>
      <c r="CQ671" s="1368"/>
      <c r="CR671" s="1369"/>
      <c r="CS671" s="1420"/>
      <c r="CT671" s="1368"/>
      <c r="CU671" s="1368"/>
      <c r="CV671" s="1368"/>
      <c r="CW671" s="1369"/>
      <c r="CX671" s="1420"/>
      <c r="CY671" s="1368"/>
      <c r="CZ671" s="1368"/>
      <c r="DA671" s="1368"/>
      <c r="DB671" s="1369"/>
      <c r="DC671" s="1368"/>
      <c r="DD671" s="1368"/>
      <c r="DE671" s="1368"/>
      <c r="DF671" s="1368"/>
      <c r="DG671" s="1369"/>
      <c r="DH671" s="1420"/>
      <c r="DI671" s="1368"/>
      <c r="DJ671" s="1368"/>
      <c r="DK671" s="1368"/>
      <c r="DL671" s="1369"/>
      <c r="DM671" s="1808"/>
      <c r="DN671" s="1809"/>
      <c r="DO671" s="1809"/>
      <c r="DP671" s="1810"/>
      <c r="DQ671" s="1809"/>
      <c r="DR671" s="1809"/>
      <c r="DS671" s="1809"/>
      <c r="DT671" s="1810"/>
      <c r="DU671" s="1377"/>
      <c r="DV671" s="1729"/>
      <c r="DW671" s="1811"/>
    </row>
    <row r="672" spans="1:127" s="397" customFormat="1" ht="15.75" hidden="1" customHeight="1">
      <c r="A672" s="1097" t="s">
        <v>1057</v>
      </c>
      <c r="B672" s="1057">
        <v>663</v>
      </c>
      <c r="C672" s="1018"/>
      <c r="D672" s="1018"/>
      <c r="E672" s="1018"/>
      <c r="F672" s="1018"/>
      <c r="G672" s="1018"/>
      <c r="H672" s="1018"/>
      <c r="I672" s="1018"/>
      <c r="J672" s="1018"/>
      <c r="K672" s="1018"/>
      <c r="L672" s="1018"/>
      <c r="M672" s="1057"/>
      <c r="N672" s="1018"/>
      <c r="O672" s="1018"/>
      <c r="P672" s="1018"/>
      <c r="Q672" s="1018"/>
      <c r="R672" s="1018"/>
      <c r="S672" s="1018"/>
      <c r="T672" s="1019"/>
      <c r="U672" s="1098" t="s">
        <v>4719</v>
      </c>
      <c r="V672" s="1099" t="s">
        <v>4597</v>
      </c>
      <c r="W672" s="1099" t="s">
        <v>1896</v>
      </c>
      <c r="X672" s="1100">
        <v>36</v>
      </c>
      <c r="Y672" s="1101" t="s">
        <v>3728</v>
      </c>
      <c r="Z672" s="1102" t="s">
        <v>4720</v>
      </c>
      <c r="AA672" s="1103">
        <v>0</v>
      </c>
      <c r="AB672" s="1104">
        <v>0</v>
      </c>
      <c r="AC672" s="1104">
        <v>1</v>
      </c>
      <c r="AD672" s="1104">
        <v>0</v>
      </c>
      <c r="AE672" s="1104">
        <v>0</v>
      </c>
      <c r="AF672" s="1104">
        <v>0</v>
      </c>
      <c r="AG672" s="1104">
        <v>0</v>
      </c>
      <c r="AH672" s="1104">
        <v>0</v>
      </c>
      <c r="AI672" s="1105">
        <f t="shared" si="10"/>
        <v>1</v>
      </c>
      <c r="AJ672" s="1106" t="s">
        <v>1030</v>
      </c>
      <c r="AK672" s="1106" t="s">
        <v>1008</v>
      </c>
      <c r="AL672" s="1106" t="s">
        <v>1009</v>
      </c>
      <c r="AM672" s="1107" t="s">
        <v>2106</v>
      </c>
      <c r="AN672" s="1018" t="s">
        <v>1033</v>
      </c>
      <c r="AO672" s="1018" t="s">
        <v>4721</v>
      </c>
      <c r="AP672" s="833">
        <v>0</v>
      </c>
      <c r="AQ672" s="1076" t="s">
        <v>1010</v>
      </c>
      <c r="AR672" s="1109" t="s">
        <v>1942</v>
      </c>
      <c r="AS672" s="1110"/>
      <c r="AT672" s="1100"/>
      <c r="AU672" s="1100"/>
      <c r="AV672" s="1100"/>
      <c r="AW672" s="1111"/>
      <c r="AX672" s="1112"/>
      <c r="AY672" s="1075"/>
      <c r="AZ672" s="1076"/>
      <c r="BA672" s="1076"/>
      <c r="BB672" s="1076"/>
      <c r="BC672" s="1076"/>
      <c r="BD672" s="1076"/>
      <c r="BE672" s="1076"/>
      <c r="BF672" s="1076"/>
      <c r="BG672" s="1076"/>
      <c r="BH672" s="1076"/>
      <c r="BI672" s="1420"/>
      <c r="BJ672" s="1368"/>
      <c r="BK672" s="1368"/>
      <c r="BL672" s="1368"/>
      <c r="BM672" s="1368"/>
      <c r="BN672" s="1075"/>
      <c r="BO672" s="1076"/>
      <c r="BP672" s="1076"/>
      <c r="BQ672" s="1076"/>
      <c r="BR672" s="1076"/>
      <c r="BS672" s="1115"/>
      <c r="BT672" s="1076"/>
      <c r="BU672" s="1076"/>
      <c r="BV672" s="1076"/>
      <c r="BW672" s="1116"/>
      <c r="BX672" s="1115"/>
      <c r="BY672" s="1076"/>
      <c r="BZ672" s="1076"/>
      <c r="CA672" s="1076"/>
      <c r="CB672" s="1116"/>
      <c r="CC672" s="1117"/>
      <c r="CD672" s="1376"/>
      <c r="CE672" s="1377"/>
      <c r="CF672" s="1377"/>
      <c r="CG672" s="1377"/>
      <c r="CH672" s="1440"/>
      <c r="CI672" s="1420"/>
      <c r="CJ672" s="1368"/>
      <c r="CK672" s="1368"/>
      <c r="CL672" s="1368"/>
      <c r="CM672" s="1369"/>
      <c r="CN672" s="1420"/>
      <c r="CO672" s="1368"/>
      <c r="CP672" s="1368"/>
      <c r="CQ672" s="1368"/>
      <c r="CR672" s="1369"/>
      <c r="CS672" s="1420"/>
      <c r="CT672" s="1368"/>
      <c r="CU672" s="1368"/>
      <c r="CV672" s="1368"/>
      <c r="CW672" s="1369"/>
      <c r="CX672" s="1420"/>
      <c r="CY672" s="1368"/>
      <c r="CZ672" s="1368"/>
      <c r="DA672" s="1368"/>
      <c r="DB672" s="1369"/>
      <c r="DC672" s="1368"/>
      <c r="DD672" s="1368"/>
      <c r="DE672" s="1368"/>
      <c r="DF672" s="1368"/>
      <c r="DG672" s="1369"/>
      <c r="DH672" s="1420"/>
      <c r="DI672" s="1368"/>
      <c r="DJ672" s="1368"/>
      <c r="DK672" s="1368"/>
      <c r="DL672" s="1369"/>
      <c r="DM672" s="1808"/>
      <c r="DN672" s="1809"/>
      <c r="DO672" s="1809"/>
      <c r="DP672" s="1810"/>
      <c r="DQ672" s="1809"/>
      <c r="DR672" s="1809"/>
      <c r="DS672" s="1809"/>
      <c r="DT672" s="1810"/>
      <c r="DU672" s="1377"/>
      <c r="DV672" s="1729"/>
      <c r="DW672" s="1811"/>
    </row>
    <row r="673" spans="1:127" s="397" customFormat="1" ht="15.75" hidden="1" customHeight="1">
      <c r="A673" s="1097" t="s">
        <v>1057</v>
      </c>
      <c r="B673" s="1057">
        <v>664</v>
      </c>
      <c r="C673" s="1018"/>
      <c r="D673" s="1018"/>
      <c r="E673" s="1018"/>
      <c r="F673" s="1018"/>
      <c r="G673" s="1018"/>
      <c r="H673" s="1018"/>
      <c r="I673" s="1018"/>
      <c r="J673" s="1018"/>
      <c r="K673" s="1018"/>
      <c r="L673" s="1018"/>
      <c r="M673" s="1057"/>
      <c r="N673" s="1018"/>
      <c r="O673" s="1018"/>
      <c r="P673" s="1018"/>
      <c r="Q673" s="1018"/>
      <c r="R673" s="1018"/>
      <c r="S673" s="1018"/>
      <c r="T673" s="1019"/>
      <c r="U673" s="1098" t="s">
        <v>4722</v>
      </c>
      <c r="V673" s="1099" t="s">
        <v>4597</v>
      </c>
      <c r="W673" s="1099" t="s">
        <v>1907</v>
      </c>
      <c r="X673" s="1100">
        <v>37</v>
      </c>
      <c r="Y673" s="1101" t="s">
        <v>3198</v>
      </c>
      <c r="Z673" s="1102" t="s">
        <v>4723</v>
      </c>
      <c r="AA673" s="1103">
        <v>0</v>
      </c>
      <c r="AB673" s="1104">
        <v>0.16</v>
      </c>
      <c r="AC673" s="1104">
        <v>0.84</v>
      </c>
      <c r="AD673" s="1104">
        <v>0</v>
      </c>
      <c r="AE673" s="1104">
        <v>0</v>
      </c>
      <c r="AF673" s="1104">
        <v>0</v>
      </c>
      <c r="AG673" s="1104">
        <v>0</v>
      </c>
      <c r="AH673" s="1104">
        <v>0</v>
      </c>
      <c r="AI673" s="1105">
        <f t="shared" si="10"/>
        <v>1</v>
      </c>
      <c r="AJ673" s="1106" t="s">
        <v>1030</v>
      </c>
      <c r="AK673" s="1106" t="s">
        <v>1008</v>
      </c>
      <c r="AL673" s="1106" t="s">
        <v>1009</v>
      </c>
      <c r="AM673" s="1107" t="s">
        <v>2106</v>
      </c>
      <c r="AN673" s="1018" t="s">
        <v>1033</v>
      </c>
      <c r="AO673" s="1018" t="s">
        <v>4724</v>
      </c>
      <c r="AP673" s="833">
        <v>0</v>
      </c>
      <c r="AQ673" s="1076" t="s">
        <v>1010</v>
      </c>
      <c r="AR673" s="1109" t="s">
        <v>1942</v>
      </c>
      <c r="AS673" s="1110"/>
      <c r="AT673" s="1100"/>
      <c r="AU673" s="1100"/>
      <c r="AV673" s="1100"/>
      <c r="AW673" s="1111"/>
      <c r="AX673" s="1112"/>
      <c r="AY673" s="1075"/>
      <c r="AZ673" s="1076"/>
      <c r="BA673" s="1076"/>
      <c r="BB673" s="1076"/>
      <c r="BC673" s="1076"/>
      <c r="BD673" s="1076"/>
      <c r="BE673" s="1076"/>
      <c r="BF673" s="1076"/>
      <c r="BG673" s="1076"/>
      <c r="BH673" s="1076"/>
      <c r="BI673" s="1420"/>
      <c r="BJ673" s="1368"/>
      <c r="BK673" s="1368"/>
      <c r="BL673" s="1368"/>
      <c r="BM673" s="1368"/>
      <c r="BN673" s="1075"/>
      <c r="BO673" s="1076"/>
      <c r="BP673" s="1076"/>
      <c r="BQ673" s="1076"/>
      <c r="BR673" s="1076"/>
      <c r="BS673" s="1115"/>
      <c r="BT673" s="1076"/>
      <c r="BU673" s="1076"/>
      <c r="BV673" s="1076"/>
      <c r="BW673" s="1116"/>
      <c r="BX673" s="1115"/>
      <c r="BY673" s="1076"/>
      <c r="BZ673" s="1076"/>
      <c r="CA673" s="1076"/>
      <c r="CB673" s="1116"/>
      <c r="CC673" s="1117"/>
      <c r="CD673" s="1376"/>
      <c r="CE673" s="1377"/>
      <c r="CF673" s="1377"/>
      <c r="CG673" s="1377"/>
      <c r="CH673" s="1440"/>
      <c r="CI673" s="1420"/>
      <c r="CJ673" s="1368"/>
      <c r="CK673" s="1368"/>
      <c r="CL673" s="1368"/>
      <c r="CM673" s="1369"/>
      <c r="CN673" s="1420"/>
      <c r="CO673" s="1368"/>
      <c r="CP673" s="1368"/>
      <c r="CQ673" s="1368"/>
      <c r="CR673" s="1369"/>
      <c r="CS673" s="1420"/>
      <c r="CT673" s="1368"/>
      <c r="CU673" s="1368"/>
      <c r="CV673" s="1368"/>
      <c r="CW673" s="1369"/>
      <c r="CX673" s="1420"/>
      <c r="CY673" s="1368"/>
      <c r="CZ673" s="1368"/>
      <c r="DA673" s="1368"/>
      <c r="DB673" s="1369"/>
      <c r="DC673" s="1368"/>
      <c r="DD673" s="1368"/>
      <c r="DE673" s="1368"/>
      <c r="DF673" s="1368"/>
      <c r="DG673" s="1369"/>
      <c r="DH673" s="1420"/>
      <c r="DI673" s="1368"/>
      <c r="DJ673" s="1368"/>
      <c r="DK673" s="1368"/>
      <c r="DL673" s="1369"/>
      <c r="DM673" s="1808"/>
      <c r="DN673" s="1809"/>
      <c r="DO673" s="1809"/>
      <c r="DP673" s="1810"/>
      <c r="DQ673" s="1809"/>
      <c r="DR673" s="1809"/>
      <c r="DS673" s="1809"/>
      <c r="DT673" s="1810"/>
      <c r="DU673" s="1377"/>
      <c r="DV673" s="1729"/>
      <c r="DW673" s="1811"/>
    </row>
    <row r="674" spans="1:127" s="397" customFormat="1" ht="15.75" hidden="1" customHeight="1">
      <c r="A674" s="1097" t="s">
        <v>1057</v>
      </c>
      <c r="B674" s="1057">
        <v>665</v>
      </c>
      <c r="C674" s="1018"/>
      <c r="D674" s="1018"/>
      <c r="E674" s="1018"/>
      <c r="F674" s="1018"/>
      <c r="G674" s="1018"/>
      <c r="H674" s="1018"/>
      <c r="I674" s="1018"/>
      <c r="J674" s="1018"/>
      <c r="K674" s="1018"/>
      <c r="L674" s="1018"/>
      <c r="M674" s="1057"/>
      <c r="N674" s="1018"/>
      <c r="O674" s="1018"/>
      <c r="P674" s="1018"/>
      <c r="Q674" s="1018"/>
      <c r="R674" s="1018"/>
      <c r="S674" s="1018"/>
      <c r="T674" s="1019"/>
      <c r="U674" s="1098" t="s">
        <v>4725</v>
      </c>
      <c r="V674" s="1099" t="s">
        <v>4622</v>
      </c>
      <c r="W674" s="1099" t="s">
        <v>1907</v>
      </c>
      <c r="X674" s="1100">
        <v>38</v>
      </c>
      <c r="Y674" s="1101" t="s">
        <v>535</v>
      </c>
      <c r="Z674" s="1102" t="s">
        <v>4726</v>
      </c>
      <c r="AA674" s="1103">
        <v>1</v>
      </c>
      <c r="AB674" s="1104">
        <v>0</v>
      </c>
      <c r="AC674" s="1104">
        <v>0</v>
      </c>
      <c r="AD674" s="1104">
        <v>0</v>
      </c>
      <c r="AE674" s="1104">
        <v>0</v>
      </c>
      <c r="AF674" s="1104">
        <v>0</v>
      </c>
      <c r="AG674" s="1104">
        <v>0</v>
      </c>
      <c r="AH674" s="1104">
        <v>0</v>
      </c>
      <c r="AI674" s="1105">
        <f t="shared" si="10"/>
        <v>1</v>
      </c>
      <c r="AJ674" s="1106" t="s">
        <v>1007</v>
      </c>
      <c r="AK674" s="1106" t="s">
        <v>1942</v>
      </c>
      <c r="AL674" s="1106" t="s">
        <v>1942</v>
      </c>
      <c r="AM674" s="1107" t="s">
        <v>1910</v>
      </c>
      <c r="AN674" s="1018" t="s">
        <v>278</v>
      </c>
      <c r="AO674" s="1018" t="s">
        <v>4792</v>
      </c>
      <c r="AP674" s="1313">
        <v>1</v>
      </c>
      <c r="AQ674" s="1076" t="s">
        <v>1020</v>
      </c>
      <c r="AR674" s="1109" t="s">
        <v>535</v>
      </c>
      <c r="AS674" s="1110"/>
      <c r="AT674" s="1100"/>
      <c r="AU674" s="1100"/>
      <c r="AV674" s="1100"/>
      <c r="AW674" s="1111"/>
      <c r="AX674" s="1112"/>
      <c r="AY674" s="1075"/>
      <c r="AZ674" s="1076"/>
      <c r="BA674" s="1076"/>
      <c r="BB674" s="1076"/>
      <c r="BC674" s="1076"/>
      <c r="BD674" s="1076"/>
      <c r="BE674" s="1076"/>
      <c r="BF674" s="1076"/>
      <c r="BG674" s="1113"/>
      <c r="BH674" s="1113"/>
      <c r="BI674" s="1114">
        <v>0</v>
      </c>
      <c r="BJ674" s="1113">
        <v>0</v>
      </c>
      <c r="BK674" s="1113">
        <v>0</v>
      </c>
      <c r="BL674" s="1113">
        <v>0</v>
      </c>
      <c r="BM674" s="1113">
        <v>0</v>
      </c>
      <c r="BN674" s="1075"/>
      <c r="BO674" s="1076"/>
      <c r="BP674" s="1076"/>
      <c r="BQ674" s="1076"/>
      <c r="BR674" s="1076"/>
      <c r="BS674" s="1115"/>
      <c r="BT674" s="1076"/>
      <c r="BU674" s="1076"/>
      <c r="BV674" s="1076"/>
      <c r="BW674" s="1116"/>
      <c r="BX674" s="1115"/>
      <c r="BY674" s="1076"/>
      <c r="BZ674" s="1076"/>
      <c r="CA674" s="1076"/>
      <c r="CB674" s="1116"/>
      <c r="CC674" s="1117"/>
      <c r="CD674" s="1118" t="s">
        <v>1942</v>
      </c>
      <c r="CE674" s="1119" t="s">
        <v>1942</v>
      </c>
      <c r="CF674" s="1119" t="s">
        <v>1942</v>
      </c>
      <c r="CG674" s="1119" t="s">
        <v>1942</v>
      </c>
      <c r="CH674" s="1120" t="s">
        <v>1942</v>
      </c>
      <c r="CI674" s="1075" t="s">
        <v>1942</v>
      </c>
      <c r="CJ674" s="1076" t="s">
        <v>1942</v>
      </c>
      <c r="CK674" s="1076" t="s">
        <v>1942</v>
      </c>
      <c r="CL674" s="1076" t="s">
        <v>1942</v>
      </c>
      <c r="CM674" s="1117" t="s">
        <v>1942</v>
      </c>
      <c r="CN674" s="1075" t="s">
        <v>1942</v>
      </c>
      <c r="CO674" s="1076" t="s">
        <v>1942</v>
      </c>
      <c r="CP674" s="1076" t="s">
        <v>1942</v>
      </c>
      <c r="CQ674" s="1076" t="s">
        <v>1942</v>
      </c>
      <c r="CR674" s="1117" t="s">
        <v>1942</v>
      </c>
      <c r="CS674" s="1075" t="s">
        <v>1942</v>
      </c>
      <c r="CT674" s="1076" t="s">
        <v>1942</v>
      </c>
      <c r="CU674" s="1076" t="s">
        <v>1942</v>
      </c>
      <c r="CV674" s="1076" t="s">
        <v>1942</v>
      </c>
      <c r="CW674" s="1117" t="s">
        <v>1942</v>
      </c>
      <c r="CX674" s="1075" t="s">
        <v>1942</v>
      </c>
      <c r="CY674" s="1076" t="s">
        <v>1942</v>
      </c>
      <c r="CZ674" s="1076" t="s">
        <v>1942</v>
      </c>
      <c r="DA674" s="1076" t="s">
        <v>1942</v>
      </c>
      <c r="DB674" s="1117" t="s">
        <v>1942</v>
      </c>
      <c r="DC674" s="1076" t="s">
        <v>1942</v>
      </c>
      <c r="DD674" s="1076" t="s">
        <v>1942</v>
      </c>
      <c r="DE674" s="1076" t="s">
        <v>1942</v>
      </c>
      <c r="DF674" s="1076" t="s">
        <v>1942</v>
      </c>
      <c r="DG674" s="1117" t="s">
        <v>1942</v>
      </c>
      <c r="DH674" s="1075" t="s">
        <v>1942</v>
      </c>
      <c r="DI674" s="1076" t="s">
        <v>1942</v>
      </c>
      <c r="DJ674" s="1076" t="s">
        <v>1942</v>
      </c>
      <c r="DK674" s="1076" t="s">
        <v>1942</v>
      </c>
      <c r="DL674" s="1117" t="s">
        <v>1942</v>
      </c>
      <c r="DM674" s="1121" t="s">
        <v>1942</v>
      </c>
      <c r="DN674" s="1122" t="s">
        <v>1942</v>
      </c>
      <c r="DO674" s="1122" t="s">
        <v>1942</v>
      </c>
      <c r="DP674" s="1123" t="s">
        <v>1942</v>
      </c>
      <c r="DQ674" s="1122" t="s">
        <v>1942</v>
      </c>
      <c r="DR674" s="1122" t="s">
        <v>1942</v>
      </c>
      <c r="DS674" s="1122" t="s">
        <v>1942</v>
      </c>
      <c r="DT674" s="1123" t="s">
        <v>1942</v>
      </c>
      <c r="DU674" s="1119" t="s">
        <v>1942</v>
      </c>
      <c r="DV674" s="1124">
        <v>1</v>
      </c>
      <c r="DW674" s="1125" t="s">
        <v>1942</v>
      </c>
    </row>
    <row r="675" spans="1:127" s="397" customFormat="1" ht="15.75" hidden="1" customHeight="1">
      <c r="A675" s="1097" t="s">
        <v>1057</v>
      </c>
      <c r="B675" s="1057">
        <v>666</v>
      </c>
      <c r="C675" s="1018"/>
      <c r="D675" s="1018"/>
      <c r="E675" s="1018"/>
      <c r="F675" s="1018"/>
      <c r="G675" s="1018"/>
      <c r="H675" s="1018"/>
      <c r="I675" s="1018"/>
      <c r="J675" s="1018"/>
      <c r="K675" s="1018"/>
      <c r="L675" s="1018"/>
      <c r="M675" s="1057"/>
      <c r="N675" s="1018"/>
      <c r="O675" s="1018"/>
      <c r="P675" s="1018"/>
      <c r="Q675" s="1018"/>
      <c r="R675" s="1018"/>
      <c r="S675" s="1018"/>
      <c r="T675" s="1019"/>
      <c r="U675" s="1098" t="s">
        <v>4728</v>
      </c>
      <c r="V675" s="1099" t="s">
        <v>4597</v>
      </c>
      <c r="W675" s="1099" t="s">
        <v>1907</v>
      </c>
      <c r="X675" s="1100">
        <v>40</v>
      </c>
      <c r="Y675" s="1101" t="s">
        <v>4729</v>
      </c>
      <c r="Z675" s="1102" t="s">
        <v>4730</v>
      </c>
      <c r="AA675" s="1103">
        <v>0</v>
      </c>
      <c r="AB675" s="1104">
        <v>0</v>
      </c>
      <c r="AC675" s="1104">
        <v>0</v>
      </c>
      <c r="AD675" s="1104">
        <v>1</v>
      </c>
      <c r="AE675" s="1104">
        <v>0</v>
      </c>
      <c r="AF675" s="1104">
        <v>0</v>
      </c>
      <c r="AG675" s="1104">
        <v>0</v>
      </c>
      <c r="AH675" s="1104">
        <v>0</v>
      </c>
      <c r="AI675" s="1105">
        <f t="shared" si="10"/>
        <v>1</v>
      </c>
      <c r="AJ675" s="1106" t="s">
        <v>1026</v>
      </c>
      <c r="AK675" s="1106" t="s">
        <v>1008</v>
      </c>
      <c r="AL675" s="1106" t="s">
        <v>1009</v>
      </c>
      <c r="AM675" s="1107" t="s">
        <v>763</v>
      </c>
      <c r="AN675" s="1018" t="s">
        <v>278</v>
      </c>
      <c r="AO675" s="1018" t="s">
        <v>4731</v>
      </c>
      <c r="AP675" s="833">
        <v>0</v>
      </c>
      <c r="AQ675" s="1076" t="s">
        <v>1010</v>
      </c>
      <c r="AR675" s="1109" t="s">
        <v>1942</v>
      </c>
      <c r="AS675" s="1110"/>
      <c r="AT675" s="1100"/>
      <c r="AU675" s="1100"/>
      <c r="AV675" s="1100"/>
      <c r="AW675" s="1111"/>
      <c r="AX675" s="1112"/>
      <c r="AY675" s="1075"/>
      <c r="AZ675" s="1076"/>
      <c r="BA675" s="1076"/>
      <c r="BB675" s="1076"/>
      <c r="BC675" s="1076"/>
      <c r="BD675" s="1076"/>
      <c r="BE675" s="1076"/>
      <c r="BF675" s="1076"/>
      <c r="BG675" s="1076"/>
      <c r="BH675" s="1076"/>
      <c r="BI675" s="1420"/>
      <c r="BJ675" s="1368"/>
      <c r="BK675" s="1368"/>
      <c r="BL675" s="1368"/>
      <c r="BM675" s="1368"/>
      <c r="BN675" s="1075"/>
      <c r="BO675" s="1076"/>
      <c r="BP675" s="1076"/>
      <c r="BQ675" s="1076"/>
      <c r="BR675" s="1076"/>
      <c r="BS675" s="1115"/>
      <c r="BT675" s="1076"/>
      <c r="BU675" s="1076"/>
      <c r="BV675" s="1076"/>
      <c r="BW675" s="1116"/>
      <c r="BX675" s="1115"/>
      <c r="BY675" s="1076"/>
      <c r="BZ675" s="1076"/>
      <c r="CA675" s="1076"/>
      <c r="CB675" s="1116"/>
      <c r="CC675" s="1117"/>
      <c r="CD675" s="1376"/>
      <c r="CE675" s="1377"/>
      <c r="CF675" s="1377"/>
      <c r="CG675" s="1377"/>
      <c r="CH675" s="1440"/>
      <c r="CI675" s="1420"/>
      <c r="CJ675" s="1368"/>
      <c r="CK675" s="1368"/>
      <c r="CL675" s="1368"/>
      <c r="CM675" s="1369"/>
      <c r="CN675" s="1420"/>
      <c r="CO675" s="1368"/>
      <c r="CP675" s="1368"/>
      <c r="CQ675" s="1368"/>
      <c r="CR675" s="1369"/>
      <c r="CS675" s="1420"/>
      <c r="CT675" s="1368"/>
      <c r="CU675" s="1368"/>
      <c r="CV675" s="1368"/>
      <c r="CW675" s="1369"/>
      <c r="CX675" s="1420"/>
      <c r="CY675" s="1368"/>
      <c r="CZ675" s="1368"/>
      <c r="DA675" s="1368"/>
      <c r="DB675" s="1369"/>
      <c r="DC675" s="1368"/>
      <c r="DD675" s="1368"/>
      <c r="DE675" s="1368"/>
      <c r="DF675" s="1368"/>
      <c r="DG675" s="1369"/>
      <c r="DH675" s="1420"/>
      <c r="DI675" s="1368"/>
      <c r="DJ675" s="1368"/>
      <c r="DK675" s="1368"/>
      <c r="DL675" s="1369"/>
      <c r="DM675" s="1808"/>
      <c r="DN675" s="1809"/>
      <c r="DO675" s="1809"/>
      <c r="DP675" s="1810"/>
      <c r="DQ675" s="1809"/>
      <c r="DR675" s="1809"/>
      <c r="DS675" s="1809"/>
      <c r="DT675" s="1810"/>
      <c r="DU675" s="1377"/>
      <c r="DV675" s="1729"/>
      <c r="DW675" s="1811"/>
    </row>
    <row r="676" spans="1:127" s="397" customFormat="1" ht="15.75" hidden="1" customHeight="1">
      <c r="A676" s="1097" t="s">
        <v>1057</v>
      </c>
      <c r="B676" s="1057">
        <v>667</v>
      </c>
      <c r="C676" s="1018"/>
      <c r="D676" s="1018"/>
      <c r="E676" s="1018"/>
      <c r="F676" s="1018"/>
      <c r="G676" s="1018"/>
      <c r="H676" s="1018"/>
      <c r="I676" s="1018"/>
      <c r="J676" s="1018"/>
      <c r="K676" s="1018"/>
      <c r="L676" s="1018"/>
      <c r="M676" s="1057"/>
      <c r="N676" s="1018"/>
      <c r="O676" s="1018"/>
      <c r="P676" s="1018"/>
      <c r="Q676" s="1018"/>
      <c r="R676" s="1018"/>
      <c r="S676" s="1018"/>
      <c r="T676" s="1019"/>
      <c r="U676" s="1098" t="s">
        <v>4732</v>
      </c>
      <c r="V676" s="1099" t="s">
        <v>4597</v>
      </c>
      <c r="W676" s="1099" t="s">
        <v>1889</v>
      </c>
      <c r="X676" s="1100">
        <v>41</v>
      </c>
      <c r="Y676" s="1101" t="s">
        <v>4733</v>
      </c>
      <c r="Z676" s="1102" t="s">
        <v>4734</v>
      </c>
      <c r="AA676" s="1103">
        <v>0</v>
      </c>
      <c r="AB676" s="1104">
        <v>0</v>
      </c>
      <c r="AC676" s="1104">
        <v>0</v>
      </c>
      <c r="AD676" s="1104">
        <v>1</v>
      </c>
      <c r="AE676" s="1104">
        <v>0</v>
      </c>
      <c r="AF676" s="1104">
        <v>0</v>
      </c>
      <c r="AG676" s="1104">
        <v>0</v>
      </c>
      <c r="AH676" s="1104">
        <v>0</v>
      </c>
      <c r="AI676" s="1105">
        <f t="shared" si="10"/>
        <v>1</v>
      </c>
      <c r="AJ676" s="1106" t="s">
        <v>1007</v>
      </c>
      <c r="AK676" s="1106" t="s">
        <v>1942</v>
      </c>
      <c r="AL676" s="1106" t="s">
        <v>1942</v>
      </c>
      <c r="AM676" s="1107" t="s">
        <v>2132</v>
      </c>
      <c r="AN676" s="1018" t="s">
        <v>1033</v>
      </c>
      <c r="AO676" s="1018" t="s">
        <v>4735</v>
      </c>
      <c r="AP676" s="833">
        <v>0</v>
      </c>
      <c r="AQ676" s="1076" t="s">
        <v>1010</v>
      </c>
      <c r="AR676" s="1109" t="s">
        <v>1942</v>
      </c>
      <c r="AS676" s="1110"/>
      <c r="AT676" s="1100"/>
      <c r="AU676" s="1100"/>
      <c r="AV676" s="1100"/>
      <c r="AW676" s="1111"/>
      <c r="AX676" s="1112"/>
      <c r="AY676" s="1075"/>
      <c r="AZ676" s="1076"/>
      <c r="BA676" s="1076"/>
      <c r="BB676" s="1076"/>
      <c r="BC676" s="1076"/>
      <c r="BD676" s="1076"/>
      <c r="BE676" s="1076"/>
      <c r="BF676" s="1076"/>
      <c r="BG676" s="1076"/>
      <c r="BH676" s="1076"/>
      <c r="BI676" s="1420"/>
      <c r="BJ676" s="1368"/>
      <c r="BK676" s="1368"/>
      <c r="BL676" s="1368"/>
      <c r="BM676" s="1368"/>
      <c r="BN676" s="1075"/>
      <c r="BO676" s="1076"/>
      <c r="BP676" s="1076"/>
      <c r="BQ676" s="1076"/>
      <c r="BR676" s="1076"/>
      <c r="BS676" s="1115"/>
      <c r="BT676" s="1076"/>
      <c r="BU676" s="1076"/>
      <c r="BV676" s="1076"/>
      <c r="BW676" s="1116"/>
      <c r="BX676" s="1115"/>
      <c r="BY676" s="1076"/>
      <c r="BZ676" s="1076"/>
      <c r="CA676" s="1076"/>
      <c r="CB676" s="1116"/>
      <c r="CC676" s="1117"/>
      <c r="CD676" s="1376"/>
      <c r="CE676" s="1377"/>
      <c r="CF676" s="1377"/>
      <c r="CG676" s="1377"/>
      <c r="CH676" s="1440"/>
      <c r="CI676" s="1420"/>
      <c r="CJ676" s="1368"/>
      <c r="CK676" s="1368"/>
      <c r="CL676" s="1368"/>
      <c r="CM676" s="1369"/>
      <c r="CN676" s="1420"/>
      <c r="CO676" s="1368"/>
      <c r="CP676" s="1368"/>
      <c r="CQ676" s="1368"/>
      <c r="CR676" s="1369"/>
      <c r="CS676" s="1420"/>
      <c r="CT676" s="1368"/>
      <c r="CU676" s="1368"/>
      <c r="CV676" s="1368"/>
      <c r="CW676" s="1369"/>
      <c r="CX676" s="1420"/>
      <c r="CY676" s="1368"/>
      <c r="CZ676" s="1368"/>
      <c r="DA676" s="1368"/>
      <c r="DB676" s="1369"/>
      <c r="DC676" s="1368"/>
      <c r="DD676" s="1368"/>
      <c r="DE676" s="1368"/>
      <c r="DF676" s="1368"/>
      <c r="DG676" s="1369"/>
      <c r="DH676" s="1420"/>
      <c r="DI676" s="1368"/>
      <c r="DJ676" s="1368"/>
      <c r="DK676" s="1368"/>
      <c r="DL676" s="1369"/>
      <c r="DM676" s="1808"/>
      <c r="DN676" s="1809"/>
      <c r="DO676" s="1809"/>
      <c r="DP676" s="1810"/>
      <c r="DQ676" s="1809"/>
      <c r="DR676" s="1809"/>
      <c r="DS676" s="1809"/>
      <c r="DT676" s="1810"/>
      <c r="DU676" s="1377"/>
      <c r="DV676" s="1729"/>
      <c r="DW676" s="1811"/>
    </row>
    <row r="677" spans="1:127" s="397" customFormat="1" ht="15.75" hidden="1" customHeight="1">
      <c r="A677" s="1097" t="s">
        <v>1057</v>
      </c>
      <c r="B677" s="1057">
        <v>668</v>
      </c>
      <c r="C677" s="1019"/>
      <c r="D677" s="1019"/>
      <c r="E677" s="1019"/>
      <c r="F677" s="1019"/>
      <c r="G677" s="1019"/>
      <c r="H677" s="1019"/>
      <c r="I677" s="1019"/>
      <c r="J677" s="1019"/>
      <c r="K677" s="1019"/>
      <c r="L677" s="1019"/>
      <c r="M677" s="1019"/>
      <c r="N677" s="1019"/>
      <c r="O677" s="1019"/>
      <c r="P677" s="1019"/>
      <c r="Q677" s="1019"/>
      <c r="R677" s="1019"/>
      <c r="S677" s="1019"/>
      <c r="T677" s="1019"/>
      <c r="U677" s="1098" t="s">
        <v>4736</v>
      </c>
      <c r="V677" s="1099" t="s">
        <v>1942</v>
      </c>
      <c r="W677" s="1099" t="s">
        <v>1942</v>
      </c>
      <c r="X677" s="1100" t="s">
        <v>2032</v>
      </c>
      <c r="Y677" s="1101" t="s">
        <v>2033</v>
      </c>
      <c r="Z677" s="1102" t="s">
        <v>1942</v>
      </c>
      <c r="AA677" s="1103" t="s">
        <v>1942</v>
      </c>
      <c r="AB677" s="1104" t="s">
        <v>1942</v>
      </c>
      <c r="AC677" s="1104" t="s">
        <v>1942</v>
      </c>
      <c r="AD677" s="1104" t="s">
        <v>1942</v>
      </c>
      <c r="AE677" s="1104" t="s">
        <v>1942</v>
      </c>
      <c r="AF677" s="1104" t="s">
        <v>1942</v>
      </c>
      <c r="AG677" s="1104" t="s">
        <v>1942</v>
      </c>
      <c r="AH677" s="1104" t="s">
        <v>1942</v>
      </c>
      <c r="AI677" s="1105">
        <f t="shared" si="10"/>
        <v>0</v>
      </c>
      <c r="AJ677" s="1106" t="s">
        <v>1007</v>
      </c>
      <c r="AK677" s="1106" t="s">
        <v>1942</v>
      </c>
      <c r="AL677" s="1106" t="s">
        <v>1942</v>
      </c>
      <c r="AM677" s="1107" t="s">
        <v>1942</v>
      </c>
      <c r="AN677" s="1018" t="s">
        <v>1942</v>
      </c>
      <c r="AO677" s="1018" t="s">
        <v>2034</v>
      </c>
      <c r="AP677" s="1313">
        <v>0</v>
      </c>
      <c r="AQ677" s="1076" t="s">
        <v>1942</v>
      </c>
      <c r="AR677" s="1109" t="s">
        <v>1942</v>
      </c>
      <c r="AS677" s="1110"/>
      <c r="AT677" s="1100"/>
      <c r="AU677" s="1100"/>
      <c r="AV677" s="1100"/>
      <c r="AW677" s="1111"/>
      <c r="AX677" s="1112"/>
      <c r="AY677" s="1158"/>
      <c r="AZ677" s="1159"/>
      <c r="BA677" s="1159"/>
      <c r="BB677" s="1159"/>
      <c r="BC677" s="1159"/>
      <c r="BD677" s="1159"/>
      <c r="BE677" s="1159"/>
      <c r="BF677" s="1159"/>
      <c r="BG677" s="1159"/>
      <c r="BH677" s="1160"/>
      <c r="BI677" s="1420"/>
      <c r="BJ677" s="1368"/>
      <c r="BK677" s="1368"/>
      <c r="BL677" s="1368"/>
      <c r="BM677" s="1369"/>
      <c r="BN677" s="1400"/>
      <c r="BO677" s="1400"/>
      <c r="BP677" s="1400"/>
      <c r="BQ677" s="1400"/>
      <c r="BR677" s="1400"/>
      <c r="BS677" s="1401"/>
      <c r="BT677" s="1400"/>
      <c r="BU677" s="1400"/>
      <c r="BV677" s="1400"/>
      <c r="BW677" s="1402"/>
      <c r="BX677" s="1401"/>
      <c r="BY677" s="1400"/>
      <c r="BZ677" s="1400"/>
      <c r="CA677" s="1400"/>
      <c r="CB677" s="1402"/>
      <c r="CC677" s="1400"/>
      <c r="CD677" s="1376"/>
      <c r="CE677" s="1377"/>
      <c r="CF677" s="1377"/>
      <c r="CG677" s="1377"/>
      <c r="CH677" s="1440"/>
      <c r="CI677" s="1420"/>
      <c r="CJ677" s="1368"/>
      <c r="CK677" s="1368"/>
      <c r="CL677" s="1368"/>
      <c r="CM677" s="1369"/>
      <c r="CN677" s="1420"/>
      <c r="CO677" s="1368"/>
      <c r="CP677" s="1368"/>
      <c r="CQ677" s="1368"/>
      <c r="CR677" s="1369"/>
      <c r="CS677" s="1420"/>
      <c r="CT677" s="1368"/>
      <c r="CU677" s="1368"/>
      <c r="CV677" s="1368"/>
      <c r="CW677" s="1369"/>
      <c r="CX677" s="1420"/>
      <c r="CY677" s="1368"/>
      <c r="CZ677" s="1368"/>
      <c r="DA677" s="1368"/>
      <c r="DB677" s="1369"/>
      <c r="DC677" s="1368"/>
      <c r="DD677" s="1368"/>
      <c r="DE677" s="1368"/>
      <c r="DF677" s="1368"/>
      <c r="DG677" s="1369"/>
      <c r="DH677" s="1420"/>
      <c r="DI677" s="1368"/>
      <c r="DJ677" s="1368"/>
      <c r="DK677" s="1368"/>
      <c r="DL677" s="1369"/>
      <c r="DM677" s="1808"/>
      <c r="DN677" s="1809"/>
      <c r="DO677" s="1809"/>
      <c r="DP677" s="1810"/>
      <c r="DQ677" s="1809"/>
      <c r="DR677" s="1809"/>
      <c r="DS677" s="1809"/>
      <c r="DT677" s="1810"/>
      <c r="DU677" s="1377"/>
      <c r="DV677" s="1729"/>
      <c r="DW677" s="1811"/>
    </row>
    <row r="678" spans="1:127" s="397" customFormat="1" ht="15.75" hidden="1" customHeight="1" thickBot="1">
      <c r="A678" s="1161" t="s">
        <v>1057</v>
      </c>
      <c r="B678" s="1162">
        <v>669</v>
      </c>
      <c r="C678" s="1403"/>
      <c r="D678" s="1019"/>
      <c r="E678" s="1019"/>
      <c r="F678" s="1019"/>
      <c r="G678" s="1019"/>
      <c r="H678" s="1019"/>
      <c r="I678" s="1019"/>
      <c r="J678" s="1019"/>
      <c r="K678" s="1019"/>
      <c r="L678" s="1019"/>
      <c r="M678" s="1019"/>
      <c r="N678" s="1019"/>
      <c r="O678" s="1019"/>
      <c r="P678" s="1019"/>
      <c r="Q678" s="1019"/>
      <c r="R678" s="1019"/>
      <c r="S678" s="1019"/>
      <c r="T678" s="1019"/>
      <c r="U678" s="1163" t="s">
        <v>4737</v>
      </c>
      <c r="V678" s="1164" t="s">
        <v>4635</v>
      </c>
      <c r="W678" s="1164" t="s">
        <v>1907</v>
      </c>
      <c r="X678" s="1165">
        <v>42</v>
      </c>
      <c r="Y678" s="1166" t="s">
        <v>703</v>
      </c>
      <c r="Z678" s="1167" t="s">
        <v>4738</v>
      </c>
      <c r="AA678" s="1168">
        <v>0</v>
      </c>
      <c r="AB678" s="1169">
        <v>0</v>
      </c>
      <c r="AC678" s="1169">
        <v>0</v>
      </c>
      <c r="AD678" s="1169">
        <v>0</v>
      </c>
      <c r="AE678" s="1169">
        <v>1</v>
      </c>
      <c r="AF678" s="1169">
        <v>0</v>
      </c>
      <c r="AG678" s="1169">
        <v>0</v>
      </c>
      <c r="AH678" s="1169">
        <v>0</v>
      </c>
      <c r="AI678" s="1170">
        <f t="shared" si="10"/>
        <v>1</v>
      </c>
      <c r="AJ678" s="1171" t="s">
        <v>1007</v>
      </c>
      <c r="AK678" s="1171" t="s">
        <v>1942</v>
      </c>
      <c r="AL678" s="1171" t="s">
        <v>1942</v>
      </c>
      <c r="AM678" s="1172" t="s">
        <v>2677</v>
      </c>
      <c r="AN678" s="1173" t="s">
        <v>278</v>
      </c>
      <c r="AO678" s="1173" t="s">
        <v>4799</v>
      </c>
      <c r="AP678" s="1174">
        <v>1</v>
      </c>
      <c r="AQ678" s="1174" t="s">
        <v>1010</v>
      </c>
      <c r="AR678" s="1175" t="s">
        <v>703</v>
      </c>
      <c r="AS678" s="1176"/>
      <c r="AT678" s="1165"/>
      <c r="AU678" s="1165"/>
      <c r="AV678" s="1165"/>
      <c r="AW678" s="1177"/>
      <c r="AX678" s="1178"/>
      <c r="AY678" s="1179"/>
      <c r="AZ678" s="1180"/>
      <c r="BA678" s="1180"/>
      <c r="BB678" s="1180"/>
      <c r="BC678" s="1180"/>
      <c r="BD678" s="1180"/>
      <c r="BE678" s="1180"/>
      <c r="BF678" s="1180"/>
      <c r="BG678" s="1174"/>
      <c r="BH678" s="1181"/>
      <c r="BI678" s="1174" t="s">
        <v>4871</v>
      </c>
      <c r="BJ678" s="1174" t="s">
        <v>4889</v>
      </c>
      <c r="BK678" s="1174" t="s">
        <v>4859</v>
      </c>
      <c r="BL678" s="1174" t="s">
        <v>4890</v>
      </c>
      <c r="BM678" s="1181" t="s">
        <v>4834</v>
      </c>
      <c r="BN678" s="1404"/>
      <c r="BO678" s="1404"/>
      <c r="BP678" s="1404"/>
      <c r="BQ678" s="1404"/>
      <c r="BR678" s="1404"/>
      <c r="BS678" s="1405"/>
      <c r="BT678" s="1404"/>
      <c r="BU678" s="1404"/>
      <c r="BV678" s="1404"/>
      <c r="BW678" s="1406"/>
      <c r="BX678" s="1405"/>
      <c r="BY678" s="1404"/>
      <c r="BZ678" s="1404"/>
      <c r="CA678" s="1404"/>
      <c r="CB678" s="1406"/>
      <c r="CC678" s="1404"/>
      <c r="CD678" s="1182" t="s">
        <v>1942</v>
      </c>
      <c r="CE678" s="1183" t="s">
        <v>1942</v>
      </c>
      <c r="CF678" s="1183" t="s">
        <v>1942</v>
      </c>
      <c r="CG678" s="1183" t="s">
        <v>1942</v>
      </c>
      <c r="CH678" s="1184" t="s">
        <v>1942</v>
      </c>
      <c r="CI678" s="1185" t="s">
        <v>1942</v>
      </c>
      <c r="CJ678" s="1174" t="s">
        <v>1942</v>
      </c>
      <c r="CK678" s="1174" t="s">
        <v>1942</v>
      </c>
      <c r="CL678" s="1174" t="s">
        <v>1942</v>
      </c>
      <c r="CM678" s="1181" t="s">
        <v>1942</v>
      </c>
      <c r="CN678" s="1185" t="s">
        <v>1942</v>
      </c>
      <c r="CO678" s="1174" t="s">
        <v>1942</v>
      </c>
      <c r="CP678" s="1174" t="s">
        <v>1942</v>
      </c>
      <c r="CQ678" s="1174" t="s">
        <v>1942</v>
      </c>
      <c r="CR678" s="1181" t="s">
        <v>1942</v>
      </c>
      <c r="CS678" s="1185" t="s">
        <v>1942</v>
      </c>
      <c r="CT678" s="1174" t="s">
        <v>1942</v>
      </c>
      <c r="CU678" s="1174" t="s">
        <v>1942</v>
      </c>
      <c r="CV678" s="1174" t="s">
        <v>1942</v>
      </c>
      <c r="CW678" s="1181" t="s">
        <v>1942</v>
      </c>
      <c r="CX678" s="1185" t="s">
        <v>1942</v>
      </c>
      <c r="CY678" s="1174" t="s">
        <v>1942</v>
      </c>
      <c r="CZ678" s="1174" t="s">
        <v>1942</v>
      </c>
      <c r="DA678" s="1174" t="s">
        <v>1942</v>
      </c>
      <c r="DB678" s="1181" t="s">
        <v>1942</v>
      </c>
      <c r="DC678" s="1174" t="s">
        <v>1942</v>
      </c>
      <c r="DD678" s="1174" t="s">
        <v>1942</v>
      </c>
      <c r="DE678" s="1174" t="s">
        <v>1942</v>
      </c>
      <c r="DF678" s="1174" t="s">
        <v>1942</v>
      </c>
      <c r="DG678" s="1181" t="s">
        <v>1942</v>
      </c>
      <c r="DH678" s="1185" t="s">
        <v>1942</v>
      </c>
      <c r="DI678" s="1174" t="s">
        <v>1942</v>
      </c>
      <c r="DJ678" s="1174" t="s">
        <v>1942</v>
      </c>
      <c r="DK678" s="1174" t="s">
        <v>1942</v>
      </c>
      <c r="DL678" s="1181" t="s">
        <v>1942</v>
      </c>
      <c r="DM678" s="1186" t="s">
        <v>1942</v>
      </c>
      <c r="DN678" s="1187" t="s">
        <v>1942</v>
      </c>
      <c r="DO678" s="1187" t="s">
        <v>1942</v>
      </c>
      <c r="DP678" s="1188" t="s">
        <v>1942</v>
      </c>
      <c r="DQ678" s="1187" t="s">
        <v>1942</v>
      </c>
      <c r="DR678" s="1187" t="s">
        <v>1942</v>
      </c>
      <c r="DS678" s="1187" t="s">
        <v>1942</v>
      </c>
      <c r="DT678" s="1188" t="s">
        <v>1942</v>
      </c>
      <c r="DU678" s="1183"/>
      <c r="DV678" s="1189"/>
      <c r="DW678" s="1190"/>
    </row>
    <row r="679" spans="1:127" ht="15.75" hidden="1" customHeight="1">
      <c r="D679" s="81"/>
      <c r="E679" s="81"/>
      <c r="F679" s="81"/>
      <c r="G679" s="81"/>
      <c r="H679" s="81"/>
      <c r="I679" s="81"/>
      <c r="J679" s="81"/>
      <c r="K679" s="81"/>
      <c r="L679" s="81"/>
      <c r="M679" s="81"/>
      <c r="N679" s="81"/>
      <c r="O679" s="81"/>
      <c r="P679" s="81"/>
      <c r="Q679" s="81"/>
      <c r="R679" s="81"/>
      <c r="S679" s="81"/>
      <c r="T679" s="81"/>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2"/>
      <c r="AZ679" s="82"/>
      <c r="BA679" s="82"/>
      <c r="BB679" s="82"/>
      <c r="BC679" s="82"/>
      <c r="BD679" s="82"/>
      <c r="BE679" s="82"/>
      <c r="BF679" s="82"/>
      <c r="BG679" s="80"/>
      <c r="BH679" s="80"/>
      <c r="BI679" s="80"/>
      <c r="BJ679" s="80"/>
      <c r="BK679" s="80"/>
      <c r="BL679" s="80"/>
      <c r="BM679" s="80"/>
      <c r="BN679" s="80"/>
      <c r="BO679" s="80"/>
      <c r="BP679" s="80"/>
      <c r="BQ679" s="80"/>
      <c r="BR679" s="80"/>
      <c r="BS679" s="80"/>
      <c r="BT679" s="80"/>
      <c r="BU679" s="80"/>
      <c r="BV679" s="80"/>
      <c r="BW679" s="80"/>
      <c r="BX679" s="80"/>
      <c r="BY679" s="80"/>
      <c r="BZ679" s="80"/>
      <c r="CA679" s="80"/>
      <c r="CB679" s="80"/>
      <c r="CC679" s="80"/>
      <c r="CD679" s="80"/>
      <c r="CE679" s="80"/>
      <c r="CF679" s="80"/>
      <c r="CG679" s="80"/>
      <c r="CH679" s="80"/>
      <c r="CI679" s="80"/>
      <c r="CJ679" s="80"/>
      <c r="CK679" s="80"/>
      <c r="CL679" s="80"/>
      <c r="CM679" s="80"/>
      <c r="CN679" s="80"/>
      <c r="CO679" s="80"/>
      <c r="CP679" s="80"/>
      <c r="CQ679" s="80"/>
      <c r="CR679" s="80"/>
      <c r="CS679" s="80"/>
      <c r="CT679" s="80"/>
      <c r="CU679" s="80"/>
      <c r="CV679" s="80"/>
      <c r="CW679" s="80"/>
      <c r="CX679" s="80"/>
      <c r="CY679" s="80"/>
      <c r="CZ679" s="80"/>
      <c r="DA679" s="80"/>
      <c r="DB679" s="80"/>
      <c r="DC679" s="80"/>
      <c r="DD679" s="80"/>
      <c r="DE679" s="80"/>
      <c r="DF679" s="80"/>
      <c r="DG679" s="80"/>
      <c r="DH679" s="80"/>
      <c r="DI679" s="80"/>
      <c r="DJ679" s="80"/>
      <c r="DK679" s="80"/>
      <c r="DL679" s="80"/>
      <c r="DM679" s="80"/>
      <c r="DN679" s="80"/>
      <c r="DO679" s="80"/>
      <c r="DP679" s="80"/>
      <c r="DQ679" s="80"/>
      <c r="DR679" s="80"/>
      <c r="DS679" s="80"/>
      <c r="DT679" s="80"/>
      <c r="DU679" s="80"/>
      <c r="DV679" s="80"/>
      <c r="DW679" s="80"/>
    </row>
    <row r="680" spans="1:127">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c r="BK680" s="80"/>
      <c r="BL680" s="80"/>
      <c r="BM680" s="80"/>
      <c r="BN680" s="80"/>
      <c r="BO680" s="80"/>
      <c r="BP680" s="80"/>
      <c r="BQ680" s="80"/>
      <c r="BR680" s="80"/>
      <c r="BS680" s="80"/>
      <c r="BT680" s="80"/>
      <c r="BU680" s="80"/>
      <c r="BV680" s="80"/>
      <c r="BW680" s="80"/>
      <c r="BX680" s="80"/>
      <c r="BY680" s="80"/>
      <c r="BZ680" s="80"/>
      <c r="CA680" s="80"/>
      <c r="CB680" s="80"/>
      <c r="CC680" s="80"/>
      <c r="CD680" s="80"/>
      <c r="CE680" s="80"/>
      <c r="CF680" s="80"/>
      <c r="CG680" s="80"/>
      <c r="CH680" s="80"/>
      <c r="CI680" s="80"/>
      <c r="CJ680" s="80"/>
      <c r="CK680" s="80"/>
      <c r="CL680" s="80"/>
      <c r="CM680" s="80"/>
      <c r="CN680" s="80"/>
      <c r="CO680" s="80"/>
      <c r="CP680" s="80"/>
      <c r="CQ680" s="80"/>
      <c r="CR680" s="80"/>
      <c r="CS680" s="80"/>
      <c r="CT680" s="80"/>
      <c r="CU680" s="80"/>
      <c r="CV680" s="80"/>
      <c r="CW680" s="80"/>
      <c r="CX680" s="80"/>
      <c r="CY680" s="80"/>
      <c r="CZ680" s="80"/>
      <c r="DA680" s="80"/>
      <c r="DB680" s="80"/>
      <c r="DC680" s="80"/>
      <c r="DD680" s="80"/>
      <c r="DE680" s="80"/>
      <c r="DF680" s="80"/>
      <c r="DG680" s="80"/>
      <c r="DH680" s="80"/>
      <c r="DI680" s="80"/>
      <c r="DJ680" s="80"/>
      <c r="DK680" s="80"/>
      <c r="DL680" s="80"/>
      <c r="DM680" s="80"/>
      <c r="DN680" s="80"/>
      <c r="DO680" s="80"/>
      <c r="DP680" s="80"/>
      <c r="DQ680" s="80"/>
      <c r="DR680" s="80"/>
      <c r="DS680" s="80"/>
      <c r="DT680" s="80"/>
      <c r="DU680" s="80"/>
      <c r="DV680" s="80"/>
      <c r="DW680" s="80"/>
    </row>
    <row r="681" spans="1:127">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c r="BK681" s="80"/>
      <c r="BL681" s="80"/>
      <c r="BM681" s="80"/>
      <c r="BN681" s="80"/>
      <c r="BO681" s="80"/>
      <c r="BP681" s="80"/>
      <c r="BQ681" s="80"/>
      <c r="BR681" s="80"/>
      <c r="BS681" s="80"/>
      <c r="BT681" s="80"/>
      <c r="BU681" s="80"/>
      <c r="BV681" s="80"/>
      <c r="BW681" s="80"/>
      <c r="BX681" s="80"/>
      <c r="BY681" s="80"/>
      <c r="BZ681" s="80"/>
      <c r="CA681" s="80"/>
      <c r="CB681" s="80"/>
      <c r="CC681" s="80"/>
      <c r="CD681" s="80"/>
      <c r="CE681" s="80"/>
      <c r="CF681" s="80"/>
      <c r="CG681" s="80"/>
      <c r="CH681" s="80"/>
      <c r="CI681" s="80"/>
      <c r="CJ681" s="80"/>
      <c r="CK681" s="80"/>
      <c r="CL681" s="80"/>
      <c r="CM681" s="80"/>
      <c r="CN681" s="80"/>
      <c r="CO681" s="80"/>
      <c r="CP681" s="80"/>
      <c r="CQ681" s="80"/>
      <c r="CR681" s="80"/>
      <c r="CS681" s="80"/>
      <c r="CT681" s="80"/>
      <c r="CU681" s="80"/>
      <c r="CV681" s="80"/>
      <c r="CW681" s="80"/>
      <c r="CX681" s="80"/>
      <c r="CY681" s="80"/>
      <c r="CZ681" s="80"/>
      <c r="DA681" s="80"/>
      <c r="DB681" s="80"/>
      <c r="DC681" s="80"/>
      <c r="DD681" s="80"/>
      <c r="DE681" s="80"/>
      <c r="DF681" s="80"/>
      <c r="DG681" s="80"/>
      <c r="DH681" s="80"/>
      <c r="DI681" s="80"/>
      <c r="DJ681" s="80"/>
      <c r="DK681" s="80"/>
      <c r="DL681" s="80"/>
      <c r="DM681" s="80"/>
      <c r="DN681" s="80"/>
      <c r="DO681" s="80"/>
      <c r="DP681" s="80"/>
      <c r="DQ681" s="80"/>
      <c r="DR681" s="80"/>
      <c r="DS681" s="80"/>
      <c r="DT681" s="80"/>
      <c r="DU681" s="80"/>
      <c r="DV681" s="80"/>
      <c r="DW681" s="80"/>
    </row>
    <row r="682" spans="1:127" s="59" customFormat="1" ht="15">
      <c r="A682" s="80"/>
      <c r="B682" s="80"/>
      <c r="C682" s="80"/>
      <c r="D682" s="83"/>
      <c r="E682" s="83"/>
      <c r="F682" s="83"/>
      <c r="G682" s="83"/>
      <c r="H682" s="83"/>
      <c r="I682" s="83"/>
      <c r="J682" s="83"/>
      <c r="K682" s="83"/>
      <c r="L682" s="83"/>
      <c r="M682" s="83"/>
      <c r="N682" s="83"/>
      <c r="O682" s="83"/>
      <c r="P682" s="83"/>
      <c r="Q682" s="83"/>
      <c r="R682" s="83"/>
      <c r="S682" s="83"/>
      <c r="T682" s="83"/>
      <c r="U682" s="84"/>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c r="BK682" s="80"/>
      <c r="BL682" s="80"/>
      <c r="BM682" s="80"/>
      <c r="BN682" s="80"/>
      <c r="BO682" s="80"/>
      <c r="BP682" s="80"/>
      <c r="BQ682" s="80"/>
      <c r="BR682" s="80"/>
      <c r="BS682" s="80"/>
      <c r="BT682" s="80"/>
      <c r="BU682" s="80"/>
      <c r="BV682" s="80"/>
      <c r="BW682" s="80"/>
      <c r="BX682" s="80"/>
      <c r="BY682" s="80"/>
      <c r="BZ682" s="80"/>
      <c r="CA682" s="80"/>
      <c r="CB682" s="80"/>
      <c r="CC682" s="80"/>
      <c r="CD682" s="80"/>
      <c r="CE682" s="80"/>
      <c r="CF682" s="80"/>
      <c r="CG682" s="80"/>
      <c r="CH682" s="80"/>
      <c r="CI682" s="80"/>
      <c r="CJ682" s="80"/>
      <c r="CK682" s="80"/>
      <c r="CL682" s="80"/>
      <c r="CM682" s="80"/>
      <c r="CN682" s="80"/>
      <c r="CO682" s="80"/>
      <c r="CP682" s="80"/>
      <c r="CQ682" s="80"/>
      <c r="CR682" s="80"/>
      <c r="CS682" s="80"/>
      <c r="CT682" s="80"/>
      <c r="CU682" s="80"/>
      <c r="CV682" s="80"/>
      <c r="CW682" s="80"/>
      <c r="CX682" s="80"/>
      <c r="CY682" s="80"/>
      <c r="CZ682" s="80"/>
      <c r="DA682" s="80"/>
      <c r="DB682" s="80"/>
      <c r="DC682" s="80"/>
      <c r="DD682" s="80"/>
      <c r="DE682" s="80"/>
      <c r="DF682" s="80"/>
      <c r="DG682" s="80"/>
      <c r="DH682" s="80"/>
      <c r="DI682" s="80"/>
      <c r="DJ682" s="80"/>
      <c r="DK682" s="80"/>
      <c r="DL682" s="80"/>
      <c r="DM682" s="80"/>
      <c r="DN682" s="80"/>
      <c r="DO682" s="80"/>
      <c r="DP682" s="80"/>
      <c r="DQ682" s="80"/>
      <c r="DR682" s="80"/>
      <c r="DS682" s="80"/>
      <c r="DT682" s="80"/>
      <c r="DU682" s="80"/>
      <c r="DV682" s="80"/>
      <c r="DW682" s="80"/>
    </row>
    <row r="683" spans="1:127" s="59" customFormat="1" ht="15">
      <c r="A683" s="80"/>
      <c r="B683" s="80"/>
      <c r="C683" s="80"/>
      <c r="D683" s="85"/>
      <c r="E683" s="85"/>
      <c r="F683" s="85"/>
      <c r="G683" s="85"/>
      <c r="H683" s="85"/>
      <c r="I683" s="85"/>
      <c r="J683" s="85"/>
      <c r="K683" s="85"/>
      <c r="L683" s="85"/>
      <c r="M683" s="85"/>
      <c r="N683" s="85"/>
      <c r="O683" s="85"/>
      <c r="P683" s="85"/>
      <c r="Q683" s="85"/>
      <c r="R683" s="85"/>
      <c r="S683" s="85"/>
      <c r="T683" s="85"/>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6"/>
      <c r="BJ683" s="317"/>
      <c r="BK683" s="88"/>
      <c r="BL683" s="80"/>
      <c r="BM683" s="80"/>
      <c r="BN683" s="80"/>
      <c r="BO683" s="80"/>
      <c r="BP683" s="80"/>
      <c r="BQ683" s="80"/>
      <c r="BR683" s="80"/>
      <c r="BS683" s="80"/>
      <c r="BT683" s="80"/>
      <c r="BU683" s="80"/>
      <c r="BV683" s="80"/>
      <c r="BW683" s="80"/>
      <c r="BX683" s="80"/>
      <c r="BY683" s="80"/>
      <c r="BZ683" s="80"/>
      <c r="CA683" s="80"/>
      <c r="CB683" s="80"/>
      <c r="CC683" s="80"/>
      <c r="CD683" s="80"/>
      <c r="CE683" s="80"/>
      <c r="CF683" s="80"/>
      <c r="CG683" s="80"/>
      <c r="CH683" s="80"/>
      <c r="CI683" s="80"/>
      <c r="CJ683" s="80"/>
      <c r="CK683" s="80"/>
      <c r="CL683" s="80"/>
      <c r="CM683" s="80"/>
      <c r="CN683" s="80"/>
      <c r="CO683" s="80"/>
      <c r="CP683" s="80"/>
      <c r="CQ683" s="80"/>
      <c r="CR683" s="80"/>
      <c r="CS683" s="80"/>
      <c r="CT683" s="80"/>
      <c r="CU683" s="80"/>
      <c r="CV683" s="80"/>
      <c r="CW683" s="80"/>
      <c r="CX683" s="80"/>
      <c r="CY683" s="80"/>
      <c r="CZ683" s="80"/>
      <c r="DA683" s="80"/>
      <c r="DB683" s="80"/>
      <c r="DC683" s="80"/>
      <c r="DD683" s="80"/>
      <c r="DE683" s="80"/>
      <c r="DF683" s="80"/>
      <c r="DG683" s="80"/>
      <c r="DH683" s="80"/>
      <c r="DI683" s="80"/>
      <c r="DJ683" s="80"/>
      <c r="DK683" s="80"/>
      <c r="DL683" s="80"/>
      <c r="DM683" s="80"/>
      <c r="DN683" s="80"/>
      <c r="DO683" s="80"/>
      <c r="DP683" s="80"/>
      <c r="DQ683" s="80"/>
      <c r="DR683" s="80"/>
      <c r="DS683" s="80"/>
      <c r="DT683" s="80"/>
      <c r="DU683" s="80"/>
      <c r="DV683" s="80"/>
      <c r="DW683" s="80"/>
    </row>
    <row r="684" spans="1:127" s="59" customFormat="1" ht="15">
      <c r="A684" s="80"/>
      <c r="B684" s="80"/>
      <c r="C684" s="80"/>
      <c r="D684" s="85"/>
      <c r="E684" s="85"/>
      <c r="F684" s="85"/>
      <c r="G684" s="85"/>
      <c r="H684" s="85"/>
      <c r="I684" s="85"/>
      <c r="J684" s="85"/>
      <c r="K684" s="85"/>
      <c r="L684" s="85"/>
      <c r="M684" s="85"/>
      <c r="N684" s="85"/>
      <c r="O684" s="85"/>
      <c r="P684" s="85"/>
      <c r="Q684" s="85"/>
      <c r="R684" s="85"/>
      <c r="S684" s="85"/>
      <c r="T684" s="85"/>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6"/>
      <c r="BJ684" s="317"/>
      <c r="BK684" s="87"/>
      <c r="BL684" s="80"/>
      <c r="BM684" s="80"/>
      <c r="BN684" s="80"/>
      <c r="BO684" s="80"/>
      <c r="BP684" s="80"/>
      <c r="BQ684" s="80"/>
      <c r="BR684" s="80"/>
      <c r="BS684" s="80"/>
      <c r="BT684" s="80"/>
      <c r="BU684" s="80"/>
      <c r="BV684" s="80"/>
      <c r="BW684" s="80"/>
      <c r="BX684" s="80"/>
      <c r="BY684" s="80"/>
      <c r="BZ684" s="80"/>
      <c r="CA684" s="80"/>
      <c r="CB684" s="80"/>
      <c r="CC684" s="80"/>
      <c r="CD684" s="80"/>
      <c r="CE684" s="80"/>
      <c r="CF684" s="80"/>
      <c r="CG684" s="80"/>
      <c r="CH684" s="80"/>
      <c r="CI684" s="80"/>
      <c r="CJ684" s="80"/>
      <c r="CK684" s="80"/>
      <c r="CL684" s="80"/>
      <c r="CM684" s="80"/>
      <c r="CN684" s="80"/>
      <c r="CO684" s="80"/>
      <c r="CP684" s="80"/>
      <c r="CQ684" s="80"/>
      <c r="CR684" s="80"/>
      <c r="CS684" s="80"/>
      <c r="CT684" s="80"/>
      <c r="CU684" s="80"/>
      <c r="CV684" s="80"/>
      <c r="CW684" s="80"/>
      <c r="CX684" s="80"/>
      <c r="CY684" s="80"/>
      <c r="CZ684" s="80"/>
      <c r="DA684" s="80"/>
      <c r="DB684" s="80"/>
      <c r="DC684" s="80"/>
      <c r="DD684" s="80"/>
      <c r="DE684" s="80"/>
      <c r="DF684" s="80"/>
      <c r="DG684" s="80"/>
      <c r="DH684" s="80"/>
      <c r="DI684" s="80"/>
      <c r="DJ684" s="80"/>
      <c r="DK684" s="80"/>
      <c r="DL684" s="80"/>
      <c r="DM684" s="80"/>
      <c r="DN684" s="80"/>
      <c r="DO684" s="80"/>
      <c r="DP684" s="80"/>
      <c r="DQ684" s="80"/>
      <c r="DR684" s="80"/>
      <c r="DS684" s="80"/>
      <c r="DT684" s="80"/>
      <c r="DU684" s="80"/>
      <c r="DV684" s="80"/>
      <c r="DW684" s="80"/>
    </row>
    <row r="685" spans="1:127" s="59" customFormat="1" ht="15">
      <c r="A685" s="80"/>
      <c r="B685" s="80"/>
      <c r="C685" s="80"/>
      <c r="D685" s="85"/>
      <c r="E685" s="85"/>
      <c r="F685" s="85"/>
      <c r="G685" s="85"/>
      <c r="H685" s="85"/>
      <c r="I685" s="85"/>
      <c r="J685" s="85"/>
      <c r="K685" s="85"/>
      <c r="L685" s="85"/>
      <c r="M685" s="85"/>
      <c r="N685" s="85"/>
      <c r="O685" s="85"/>
      <c r="P685" s="85"/>
      <c r="Q685" s="85"/>
      <c r="R685" s="85"/>
      <c r="S685" s="85"/>
      <c r="T685" s="85"/>
      <c r="V685" s="80"/>
      <c r="W685" s="80"/>
      <c r="X685" s="80"/>
      <c r="Y685" s="80"/>
      <c r="Z685" s="80"/>
      <c r="AA685" s="80"/>
      <c r="AB685" s="80"/>
      <c r="AC685" s="80"/>
      <c r="AD685" s="80"/>
      <c r="AE685" s="80"/>
      <c r="AF685" s="80"/>
      <c r="AG685" s="80"/>
      <c r="AH685" s="80"/>
      <c r="AI685" s="80"/>
      <c r="AJ685" s="80"/>
      <c r="AK685" s="80"/>
      <c r="AL685" s="80"/>
      <c r="AM685" s="80"/>
      <c r="AN685" s="80"/>
      <c r="AO685" s="80"/>
      <c r="AP685" s="80"/>
      <c r="AQ685" s="356"/>
      <c r="AR685" s="80"/>
      <c r="AS685" s="80"/>
      <c r="AT685" s="80"/>
      <c r="AU685" s="80"/>
      <c r="AV685" s="80"/>
      <c r="AW685" s="80"/>
      <c r="AX685" s="80"/>
      <c r="AY685" s="80"/>
      <c r="AZ685" s="80"/>
      <c r="BA685" s="80"/>
      <c r="BB685" s="80"/>
      <c r="BC685" s="80"/>
      <c r="BD685" s="80"/>
      <c r="BE685" s="80"/>
      <c r="BF685" s="80"/>
      <c r="BG685" s="80"/>
      <c r="BH685" s="80"/>
      <c r="BI685" s="86"/>
      <c r="BJ685" s="87"/>
      <c r="BK685" s="87"/>
      <c r="BL685" s="80"/>
      <c r="BM685" s="80"/>
      <c r="BN685" s="80"/>
      <c r="BO685" s="80"/>
      <c r="BP685" s="80"/>
      <c r="BQ685" s="80"/>
      <c r="BR685" s="80"/>
      <c r="BS685" s="80"/>
      <c r="BT685" s="80"/>
      <c r="BU685" s="80"/>
      <c r="BV685" s="80"/>
      <c r="BW685" s="80"/>
      <c r="BX685" s="80"/>
      <c r="BY685" s="80"/>
      <c r="BZ685" s="80"/>
      <c r="CA685" s="80"/>
      <c r="CB685" s="80"/>
      <c r="CC685" s="80"/>
      <c r="CD685" s="80"/>
      <c r="CE685" s="80"/>
      <c r="CF685" s="80"/>
      <c r="CG685" s="80"/>
      <c r="CH685" s="80"/>
      <c r="CI685" s="80"/>
      <c r="CJ685" s="80"/>
      <c r="CK685" s="80"/>
      <c r="CL685" s="80"/>
      <c r="CM685" s="80"/>
      <c r="CN685" s="80"/>
      <c r="CO685" s="80"/>
      <c r="CP685" s="80"/>
      <c r="CQ685" s="80"/>
      <c r="CR685" s="80"/>
      <c r="CS685" s="80"/>
      <c r="CT685" s="80"/>
      <c r="CU685" s="80"/>
      <c r="CV685" s="80"/>
      <c r="CW685" s="80"/>
      <c r="CX685" s="80"/>
      <c r="CY685" s="80"/>
      <c r="CZ685" s="80"/>
      <c r="DA685" s="80"/>
      <c r="DB685" s="80"/>
      <c r="DC685" s="80"/>
      <c r="DD685" s="80"/>
      <c r="DE685" s="80"/>
      <c r="DF685" s="80"/>
      <c r="DG685" s="80"/>
      <c r="DH685" s="80"/>
      <c r="DI685" s="80"/>
      <c r="DJ685" s="80"/>
      <c r="DK685" s="80"/>
      <c r="DL685" s="80"/>
      <c r="DM685" s="80"/>
      <c r="DN685" s="80"/>
      <c r="DO685" s="80"/>
      <c r="DP685" s="80"/>
      <c r="DQ685" s="80"/>
      <c r="DR685" s="80"/>
      <c r="DS685" s="80"/>
      <c r="DT685" s="80"/>
      <c r="DU685" s="80"/>
      <c r="DV685" s="80"/>
      <c r="DW685" s="80"/>
    </row>
    <row r="686" spans="1:127" s="59" customFormat="1" ht="15">
      <c r="A686" s="80"/>
      <c r="B686" s="80"/>
      <c r="C686" s="80"/>
      <c r="D686" s="85"/>
      <c r="E686" s="85"/>
      <c r="F686" s="85"/>
      <c r="G686" s="85"/>
      <c r="H686" s="85"/>
      <c r="I686" s="85"/>
      <c r="J686" s="85"/>
      <c r="K686" s="85"/>
      <c r="L686" s="85"/>
      <c r="M686" s="85"/>
      <c r="N686" s="85"/>
      <c r="O686" s="85"/>
      <c r="P686" s="85"/>
      <c r="Q686" s="85"/>
      <c r="R686" s="85"/>
      <c r="S686" s="85"/>
      <c r="T686" s="85"/>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6"/>
      <c r="BJ686" s="87"/>
      <c r="BK686" s="87"/>
      <c r="BL686" s="80"/>
      <c r="BM686" s="80"/>
      <c r="BN686" s="80"/>
      <c r="BO686" s="80"/>
      <c r="BP686" s="80"/>
      <c r="BQ686" s="80"/>
      <c r="BR686" s="80"/>
      <c r="BS686" s="80"/>
      <c r="BT686" s="80"/>
      <c r="BU686" s="80"/>
      <c r="BV686" s="80"/>
      <c r="BW686" s="80"/>
      <c r="BX686" s="80"/>
      <c r="BY686" s="80"/>
      <c r="BZ686" s="80"/>
      <c r="CA686" s="80"/>
      <c r="CB686" s="80"/>
      <c r="CC686" s="80"/>
      <c r="CD686" s="80"/>
      <c r="CE686" s="80"/>
      <c r="CF686" s="80"/>
      <c r="CG686" s="80"/>
      <c r="CH686" s="80"/>
      <c r="CI686" s="80"/>
      <c r="CJ686" s="80"/>
      <c r="CK686" s="80"/>
      <c r="CL686" s="80"/>
      <c r="CM686" s="80"/>
      <c r="CN686" s="80"/>
      <c r="CO686" s="80"/>
      <c r="CP686" s="80"/>
      <c r="CQ686" s="80"/>
      <c r="CR686" s="80"/>
      <c r="CS686" s="80"/>
      <c r="CT686" s="80"/>
      <c r="CU686" s="80"/>
      <c r="CV686" s="80"/>
      <c r="CW686" s="80"/>
      <c r="CX686" s="80"/>
      <c r="CY686" s="80"/>
      <c r="CZ686" s="80"/>
      <c r="DA686" s="80"/>
      <c r="DB686" s="80"/>
      <c r="DC686" s="80"/>
      <c r="DD686" s="80"/>
      <c r="DE686" s="80"/>
      <c r="DF686" s="80"/>
      <c r="DG686" s="80"/>
      <c r="DH686" s="80"/>
      <c r="DI686" s="80"/>
      <c r="DJ686" s="80"/>
      <c r="DK686" s="80"/>
      <c r="DL686" s="80"/>
      <c r="DM686" s="80"/>
      <c r="DN686" s="80"/>
      <c r="DO686" s="80"/>
      <c r="DP686" s="80"/>
      <c r="DQ686" s="80"/>
      <c r="DR686" s="80"/>
      <c r="DS686" s="80"/>
      <c r="DT686" s="80"/>
      <c r="DU686" s="80"/>
      <c r="DV686" s="80"/>
      <c r="DW686" s="80"/>
    </row>
    <row r="687" spans="1:127" s="59" customFormat="1" ht="15">
      <c r="A687" s="80"/>
      <c r="B687" s="80"/>
      <c r="C687" s="80"/>
      <c r="D687" s="89"/>
      <c r="E687" s="89"/>
      <c r="F687" s="89"/>
      <c r="G687" s="89"/>
      <c r="H687" s="89"/>
      <c r="I687" s="89"/>
      <c r="J687" s="89"/>
      <c r="K687" s="89"/>
      <c r="L687" s="89"/>
      <c r="M687" s="89"/>
      <c r="N687" s="89"/>
      <c r="O687" s="89"/>
      <c r="P687" s="89"/>
      <c r="Q687" s="89"/>
      <c r="R687" s="89"/>
      <c r="S687" s="89"/>
      <c r="T687" s="89"/>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6"/>
      <c r="BJ687" s="87"/>
      <c r="BK687" s="87"/>
      <c r="BL687" s="80"/>
      <c r="BM687" s="80"/>
      <c r="BN687" s="80"/>
      <c r="BO687" s="80"/>
      <c r="BP687" s="80"/>
      <c r="BQ687" s="80"/>
      <c r="BR687" s="80"/>
      <c r="BS687" s="80"/>
      <c r="BT687" s="80"/>
      <c r="BU687" s="80"/>
      <c r="BV687" s="80"/>
      <c r="BW687" s="80"/>
      <c r="BX687" s="80"/>
      <c r="BY687" s="80"/>
      <c r="BZ687" s="80"/>
      <c r="CA687" s="80"/>
      <c r="CB687" s="80"/>
      <c r="CC687" s="80"/>
      <c r="CD687" s="80"/>
      <c r="CE687" s="80"/>
      <c r="CF687" s="80"/>
      <c r="CG687" s="80"/>
      <c r="CH687" s="80"/>
      <c r="CI687" s="80"/>
      <c r="CJ687" s="80"/>
      <c r="CK687" s="80"/>
      <c r="CL687" s="80"/>
      <c r="CM687" s="80"/>
      <c r="CN687" s="80"/>
      <c r="CO687" s="80"/>
      <c r="CP687" s="80"/>
      <c r="CQ687" s="80"/>
      <c r="CR687" s="80"/>
      <c r="CS687" s="80"/>
      <c r="CT687" s="80"/>
      <c r="CU687" s="80"/>
      <c r="CV687" s="80"/>
      <c r="CW687" s="80"/>
      <c r="CX687" s="80"/>
      <c r="CY687" s="80"/>
      <c r="CZ687" s="80"/>
      <c r="DA687" s="80"/>
      <c r="DB687" s="80"/>
      <c r="DC687" s="80"/>
      <c r="DD687" s="80"/>
      <c r="DE687" s="80"/>
      <c r="DF687" s="80"/>
      <c r="DG687" s="80"/>
      <c r="DH687" s="80"/>
      <c r="DI687" s="80"/>
      <c r="DJ687" s="80"/>
      <c r="DK687" s="80"/>
      <c r="DL687" s="80"/>
      <c r="DM687" s="80"/>
      <c r="DN687" s="80"/>
      <c r="DO687" s="80"/>
      <c r="DP687" s="80"/>
      <c r="DQ687" s="80"/>
      <c r="DR687" s="80"/>
      <c r="DS687" s="80"/>
      <c r="DT687" s="80"/>
      <c r="DU687" s="80"/>
      <c r="DV687" s="80"/>
      <c r="DW687" s="80"/>
    </row>
    <row r="688" spans="1:127" s="59" customFormat="1" ht="15">
      <c r="A688" s="80"/>
      <c r="B688" s="80"/>
      <c r="C688" s="80"/>
      <c r="D688" s="89"/>
      <c r="E688" s="89"/>
      <c r="F688" s="89"/>
      <c r="G688" s="89"/>
      <c r="H688" s="89"/>
      <c r="I688" s="89"/>
      <c r="J688" s="89"/>
      <c r="K688" s="89"/>
      <c r="L688" s="89"/>
      <c r="M688" s="89"/>
      <c r="N688" s="89"/>
      <c r="O688" s="89"/>
      <c r="P688" s="89"/>
      <c r="Q688" s="89"/>
      <c r="R688" s="89"/>
      <c r="S688" s="89"/>
      <c r="T688" s="89"/>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6"/>
      <c r="BJ688" s="87"/>
      <c r="BK688" s="87"/>
      <c r="BL688" s="80"/>
      <c r="BM688" s="80"/>
      <c r="BN688" s="80"/>
      <c r="BO688" s="80"/>
      <c r="BP688" s="80"/>
      <c r="BQ688" s="80"/>
      <c r="BR688" s="80"/>
      <c r="BS688" s="80"/>
      <c r="BT688" s="80"/>
      <c r="BU688" s="80"/>
      <c r="BV688" s="80"/>
      <c r="BW688" s="80"/>
      <c r="BX688" s="80"/>
      <c r="BY688" s="80"/>
      <c r="BZ688" s="80"/>
      <c r="CA688" s="80"/>
      <c r="CB688" s="80"/>
      <c r="CC688" s="80"/>
      <c r="CD688" s="80"/>
      <c r="CE688" s="80"/>
      <c r="CF688" s="80"/>
      <c r="CG688" s="80"/>
      <c r="CH688" s="80"/>
      <c r="CI688" s="80"/>
      <c r="CJ688" s="80"/>
      <c r="CK688" s="80"/>
      <c r="CL688" s="80"/>
      <c r="CM688" s="80"/>
      <c r="CN688" s="80"/>
      <c r="CO688" s="80"/>
      <c r="CP688" s="80"/>
      <c r="CQ688" s="80"/>
      <c r="CR688" s="80"/>
      <c r="CS688" s="80"/>
      <c r="CT688" s="80"/>
      <c r="CU688" s="80"/>
      <c r="CV688" s="80"/>
      <c r="CW688" s="80"/>
      <c r="CX688" s="80"/>
      <c r="CY688" s="80"/>
      <c r="CZ688" s="80"/>
      <c r="DA688" s="80"/>
      <c r="DB688" s="80"/>
      <c r="DC688" s="80"/>
      <c r="DD688" s="80"/>
      <c r="DE688" s="80"/>
      <c r="DF688" s="80"/>
      <c r="DG688" s="80"/>
      <c r="DH688" s="80"/>
      <c r="DI688" s="80"/>
      <c r="DJ688" s="80"/>
      <c r="DK688" s="80"/>
      <c r="DL688" s="80"/>
      <c r="DM688" s="80"/>
      <c r="DN688" s="80"/>
      <c r="DO688" s="80"/>
      <c r="DP688" s="80"/>
      <c r="DQ688" s="80"/>
      <c r="DR688" s="80"/>
      <c r="DS688" s="80"/>
      <c r="DT688" s="80"/>
      <c r="DU688" s="80"/>
      <c r="DV688" s="80"/>
      <c r="DW688" s="80"/>
    </row>
    <row r="689" spans="4:127">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c r="BK689" s="80"/>
      <c r="BL689" s="80"/>
      <c r="BM689" s="80"/>
      <c r="BN689" s="80"/>
      <c r="BO689" s="80"/>
      <c r="BP689" s="80"/>
      <c r="BQ689" s="80"/>
      <c r="BR689" s="80"/>
      <c r="BS689" s="80"/>
      <c r="BT689" s="80"/>
      <c r="BU689" s="80"/>
      <c r="BV689" s="80"/>
      <c r="BW689" s="80"/>
      <c r="BX689" s="80"/>
      <c r="BY689" s="80"/>
      <c r="BZ689" s="80"/>
      <c r="CA689" s="80"/>
      <c r="CB689" s="80"/>
      <c r="CC689" s="80"/>
      <c r="CD689" s="80"/>
      <c r="CE689" s="80"/>
      <c r="CF689" s="80"/>
      <c r="CG689" s="80"/>
      <c r="CH689" s="80"/>
      <c r="CI689" s="80"/>
      <c r="CJ689" s="80"/>
      <c r="CK689" s="80"/>
      <c r="CL689" s="80"/>
      <c r="CM689" s="80"/>
      <c r="CN689" s="80"/>
      <c r="CO689" s="80"/>
      <c r="CP689" s="80"/>
      <c r="CQ689" s="80"/>
      <c r="CR689" s="80"/>
      <c r="CS689" s="80"/>
      <c r="CT689" s="80"/>
      <c r="CU689" s="80"/>
      <c r="CV689" s="80"/>
      <c r="CW689" s="80"/>
      <c r="CX689" s="80"/>
      <c r="CY689" s="80"/>
      <c r="CZ689" s="80"/>
      <c r="DA689" s="80"/>
      <c r="DB689" s="80"/>
      <c r="DC689" s="80"/>
      <c r="DD689" s="80"/>
      <c r="DE689" s="80"/>
      <c r="DF689" s="80"/>
      <c r="DG689" s="80"/>
      <c r="DH689" s="80"/>
      <c r="DI689" s="80"/>
      <c r="DJ689" s="80"/>
      <c r="DK689" s="80"/>
      <c r="DL689" s="80"/>
      <c r="DM689" s="80"/>
      <c r="DN689" s="80"/>
      <c r="DO689" s="80"/>
      <c r="DP689" s="80"/>
      <c r="DQ689" s="80"/>
      <c r="DR689" s="80"/>
      <c r="DS689" s="80"/>
      <c r="DT689" s="80"/>
      <c r="DU689" s="80"/>
      <c r="DV689" s="80"/>
      <c r="DW689" s="80"/>
    </row>
    <row r="690" spans="4:127" hidden="1">
      <c r="V690" s="90"/>
      <c r="W690" s="90"/>
      <c r="X690" s="91"/>
      <c r="Y690" s="77"/>
      <c r="Z690" s="77"/>
      <c r="AA690" s="92"/>
      <c r="AB690" s="93"/>
      <c r="AC690" s="93"/>
      <c r="AD690" s="93"/>
      <c r="AE690" s="93"/>
      <c r="AF690" s="93"/>
      <c r="AG690" s="93"/>
      <c r="AH690" s="94"/>
      <c r="AI690" s="60"/>
      <c r="AJ690" s="95"/>
      <c r="AK690" s="90"/>
      <c r="AL690" s="96"/>
      <c r="AM690" s="90"/>
      <c r="AN690" s="90"/>
      <c r="AO690" s="90"/>
      <c r="AP690" s="97"/>
      <c r="AQ690" s="98"/>
      <c r="AR690" s="99"/>
      <c r="AS690" s="91"/>
      <c r="AT690" s="91"/>
      <c r="AU690" s="91"/>
      <c r="AV690" s="91"/>
      <c r="AW690" s="91"/>
      <c r="AX690" s="100"/>
      <c r="AY690" s="78"/>
      <c r="AZ690" s="101"/>
      <c r="BA690" s="101"/>
      <c r="BB690" s="101"/>
      <c r="BC690" s="101"/>
      <c r="BD690" s="101"/>
      <c r="BE690" s="101"/>
      <c r="BF690" s="101"/>
      <c r="BG690" s="101"/>
      <c r="BH690" s="101"/>
      <c r="BI690" s="101"/>
      <c r="BJ690" s="101"/>
      <c r="BK690" s="101"/>
      <c r="BL690" s="101"/>
      <c r="BM690" s="101"/>
      <c r="BN690" s="78"/>
      <c r="BO690" s="78"/>
      <c r="BP690" s="78"/>
      <c r="BQ690" s="78"/>
      <c r="BR690" s="78"/>
      <c r="BS690" s="102"/>
      <c r="BT690" s="102"/>
      <c r="BU690" s="102"/>
      <c r="BV690" s="102"/>
      <c r="BW690" s="102"/>
      <c r="BX690" s="102"/>
      <c r="BY690" s="102"/>
      <c r="BZ690" s="102"/>
      <c r="CA690" s="102"/>
      <c r="CB690" s="102"/>
      <c r="CC690" s="103"/>
      <c r="CD690" s="95"/>
      <c r="CE690" s="91"/>
      <c r="CF690" s="91"/>
      <c r="CG690" s="91"/>
      <c r="CH690" s="96"/>
      <c r="CI690" s="74"/>
      <c r="CJ690" s="97"/>
      <c r="CK690" s="97"/>
      <c r="CL690" s="97"/>
      <c r="CM690" s="75"/>
      <c r="CN690" s="74"/>
      <c r="CO690" s="97"/>
      <c r="CP690" s="97"/>
      <c r="CQ690" s="97"/>
      <c r="CR690" s="75"/>
      <c r="CS690" s="74"/>
      <c r="CT690" s="97"/>
      <c r="CU690" s="97"/>
      <c r="CV690" s="97"/>
      <c r="CW690" s="75"/>
      <c r="CX690" s="74"/>
      <c r="CY690" s="97"/>
      <c r="CZ690" s="97"/>
      <c r="DA690" s="97"/>
      <c r="DB690" s="75"/>
      <c r="DC690" s="74"/>
      <c r="DD690" s="97"/>
      <c r="DE690" s="97"/>
      <c r="DF690" s="97"/>
      <c r="DG690" s="75"/>
      <c r="DH690" s="74"/>
      <c r="DI690" s="97"/>
      <c r="DJ690" s="97"/>
      <c r="DK690" s="97"/>
      <c r="DL690" s="75"/>
      <c r="DM690" s="76"/>
      <c r="DN690" s="104"/>
      <c r="DO690" s="104"/>
      <c r="DP690" s="105"/>
      <c r="DQ690" s="104"/>
      <c r="DR690" s="104"/>
      <c r="DS690" s="104"/>
      <c r="DT690" s="105"/>
      <c r="DU690" s="91"/>
      <c r="DV690" s="106"/>
      <c r="DW690" s="107"/>
    </row>
    <row r="691" spans="4:127" hidden="1">
      <c r="V691" s="90"/>
      <c r="W691" s="90"/>
      <c r="X691" s="91"/>
      <c r="Y691" s="77"/>
      <c r="Z691" s="77"/>
      <c r="AA691" s="92"/>
      <c r="AB691" s="93"/>
      <c r="AC691" s="93"/>
      <c r="AD691" s="93"/>
      <c r="AE691" s="93"/>
      <c r="AF691" s="93"/>
      <c r="AG691" s="93"/>
      <c r="AH691" s="94"/>
      <c r="AI691" s="60"/>
      <c r="AJ691" s="95"/>
      <c r="AK691" s="90"/>
      <c r="AL691" s="96"/>
      <c r="AM691" s="90"/>
      <c r="AN691" s="90"/>
      <c r="AO691" s="90"/>
      <c r="AP691" s="97"/>
      <c r="AQ691" s="98"/>
      <c r="AR691" s="99"/>
      <c r="AS691" s="91"/>
      <c r="AT691" s="91"/>
      <c r="AU691" s="91"/>
      <c r="AV691" s="91"/>
      <c r="AW691" s="91"/>
      <c r="AX691" s="100"/>
      <c r="AY691" s="78"/>
      <c r="AZ691" s="101"/>
      <c r="BA691" s="101"/>
      <c r="BB691" s="101"/>
      <c r="BC691" s="101"/>
      <c r="BD691" s="101"/>
      <c r="BE691" s="101"/>
      <c r="BF691" s="101"/>
      <c r="BG691" s="101"/>
      <c r="BH691" s="101"/>
      <c r="BI691" s="101"/>
      <c r="BJ691" s="101"/>
      <c r="BK691" s="101"/>
      <c r="BL691" s="101"/>
      <c r="BM691" s="101"/>
      <c r="BN691" s="78"/>
      <c r="BO691" s="78"/>
      <c r="BP691" s="78"/>
      <c r="BQ691" s="78"/>
      <c r="BR691" s="78"/>
      <c r="BS691" s="102"/>
      <c r="BT691" s="102"/>
      <c r="BU691" s="102"/>
      <c r="BV691" s="102"/>
      <c r="BW691" s="102"/>
      <c r="BX691" s="102"/>
      <c r="BY691" s="102"/>
      <c r="BZ691" s="102"/>
      <c r="CA691" s="102"/>
      <c r="CB691" s="102"/>
      <c r="CC691" s="79"/>
      <c r="CD691" s="95"/>
      <c r="CE691" s="91"/>
      <c r="CF691" s="91"/>
      <c r="CG691" s="91"/>
      <c r="CH691" s="96"/>
      <c r="CI691" s="74"/>
      <c r="CJ691" s="97"/>
      <c r="CK691" s="97"/>
      <c r="CL691" s="97"/>
      <c r="CM691" s="75"/>
      <c r="CN691" s="74"/>
      <c r="CO691" s="97"/>
      <c r="CP691" s="97"/>
      <c r="CQ691" s="97"/>
      <c r="CR691" s="75"/>
      <c r="CS691" s="74"/>
      <c r="CT691" s="97"/>
      <c r="CU691" s="97"/>
      <c r="CV691" s="97"/>
      <c r="CW691" s="75"/>
      <c r="CX691" s="74"/>
      <c r="CY691" s="97"/>
      <c r="CZ691" s="97"/>
      <c r="DA691" s="97"/>
      <c r="DB691" s="75"/>
      <c r="DC691" s="74"/>
      <c r="DD691" s="97"/>
      <c r="DE691" s="97"/>
      <c r="DF691" s="97"/>
      <c r="DG691" s="75"/>
      <c r="DH691" s="74"/>
      <c r="DI691" s="97"/>
      <c r="DJ691" s="97"/>
      <c r="DK691" s="97"/>
      <c r="DL691" s="75"/>
      <c r="DM691" s="76"/>
      <c r="DN691" s="104"/>
      <c r="DO691" s="104"/>
      <c r="DP691" s="105"/>
      <c r="DQ691" s="104"/>
      <c r="DR691" s="104"/>
      <c r="DS691" s="104"/>
      <c r="DT691" s="105"/>
      <c r="DU691" s="91"/>
      <c r="DV691" s="106"/>
      <c r="DW691" s="107"/>
    </row>
    <row r="692" spans="4:127" hidden="1">
      <c r="V692" s="90"/>
      <c r="W692" s="90"/>
      <c r="X692" s="91"/>
      <c r="Y692" s="77"/>
      <c r="Z692" s="77"/>
      <c r="AA692" s="92"/>
      <c r="AB692" s="93"/>
      <c r="AC692" s="93"/>
      <c r="AD692" s="93"/>
      <c r="AE692" s="93"/>
      <c r="AF692" s="93"/>
      <c r="AG692" s="93"/>
      <c r="AH692" s="94"/>
      <c r="AI692" s="60"/>
      <c r="AJ692" s="95"/>
      <c r="AK692" s="90"/>
      <c r="AL692" s="96"/>
      <c r="AM692" s="90"/>
      <c r="AN692" s="90"/>
      <c r="AO692" s="90"/>
      <c r="AP692" s="97"/>
      <c r="AQ692" s="98"/>
      <c r="AR692" s="99"/>
      <c r="AS692" s="91"/>
      <c r="AT692" s="91"/>
      <c r="AU692" s="91"/>
      <c r="AV692" s="91"/>
      <c r="AW692" s="91"/>
      <c r="AX692" s="100"/>
      <c r="AY692" s="78"/>
      <c r="AZ692" s="101"/>
      <c r="BA692" s="101"/>
      <c r="BB692" s="101"/>
      <c r="BC692" s="101"/>
      <c r="BD692" s="101"/>
      <c r="BE692" s="101"/>
      <c r="BF692" s="101"/>
      <c r="BG692" s="101"/>
      <c r="BH692" s="101"/>
      <c r="BI692" s="101"/>
      <c r="BJ692" s="101"/>
      <c r="BK692" s="101"/>
      <c r="BL692" s="101"/>
      <c r="BM692" s="101"/>
      <c r="BN692" s="108"/>
      <c r="BO692" s="108"/>
      <c r="BP692" s="108"/>
      <c r="BQ692" s="108"/>
      <c r="BR692" s="108"/>
      <c r="BS692" s="108"/>
      <c r="BT692" s="108"/>
      <c r="BU692" s="108"/>
      <c r="BV692" s="108"/>
      <c r="BW692" s="108"/>
      <c r="BX692" s="108"/>
      <c r="BY692" s="108"/>
      <c r="BZ692" s="108"/>
      <c r="CA692" s="108"/>
      <c r="CB692" s="108"/>
      <c r="CC692" s="108"/>
      <c r="CD692" s="95"/>
      <c r="CE692" s="91"/>
      <c r="CF692" s="91"/>
      <c r="CG692" s="91"/>
      <c r="CH692" s="96"/>
      <c r="CI692" s="74"/>
      <c r="CJ692" s="97"/>
      <c r="CK692" s="97"/>
      <c r="CL692" s="97"/>
      <c r="CM692" s="75"/>
      <c r="CN692" s="74"/>
      <c r="CO692" s="97"/>
      <c r="CP692" s="97"/>
      <c r="CQ692" s="97"/>
      <c r="CR692" s="75"/>
      <c r="CS692" s="74"/>
      <c r="CT692" s="97"/>
      <c r="CU692" s="97"/>
      <c r="CV692" s="97"/>
      <c r="CW692" s="75"/>
      <c r="CX692" s="74"/>
      <c r="CY692" s="97"/>
      <c r="CZ692" s="97"/>
      <c r="DA692" s="97"/>
      <c r="DB692" s="75"/>
      <c r="DC692" s="74"/>
      <c r="DD692" s="97"/>
      <c r="DE692" s="97"/>
      <c r="DF692" s="97"/>
      <c r="DG692" s="75"/>
      <c r="DH692" s="74"/>
      <c r="DI692" s="97"/>
      <c r="DJ692" s="97"/>
      <c r="DK692" s="97"/>
      <c r="DL692" s="75"/>
      <c r="DM692" s="76"/>
      <c r="DN692" s="104"/>
      <c r="DO692" s="104"/>
      <c r="DP692" s="105"/>
      <c r="DQ692" s="104"/>
      <c r="DR692" s="104"/>
      <c r="DS692" s="104"/>
      <c r="DT692" s="105"/>
      <c r="DU692" s="91"/>
      <c r="DV692" s="106"/>
      <c r="DW692" s="107"/>
    </row>
    <row r="693" spans="4:127" hidden="1">
      <c r="V693" s="90"/>
      <c r="W693" s="90"/>
      <c r="X693" s="91"/>
      <c r="Y693" s="77"/>
      <c r="Z693" s="77"/>
      <c r="AA693" s="92"/>
      <c r="AB693" s="93"/>
      <c r="AC693" s="93"/>
      <c r="AD693" s="93"/>
      <c r="AE693" s="93"/>
      <c r="AF693" s="93"/>
      <c r="AG693" s="93"/>
      <c r="AH693" s="94"/>
      <c r="AI693" s="60"/>
      <c r="AJ693" s="95"/>
      <c r="AK693" s="90"/>
      <c r="AL693" s="96"/>
      <c r="AM693" s="90"/>
      <c r="AN693" s="90"/>
      <c r="AO693" s="90"/>
      <c r="AP693" s="97"/>
      <c r="AQ693" s="98"/>
      <c r="AR693" s="99"/>
      <c r="AS693" s="91"/>
      <c r="AT693" s="91"/>
      <c r="AU693" s="91"/>
      <c r="AV693" s="91"/>
      <c r="AW693" s="91"/>
      <c r="AX693" s="100"/>
      <c r="AY693" s="78"/>
      <c r="AZ693" s="101"/>
      <c r="BA693" s="101"/>
      <c r="BB693" s="101"/>
      <c r="BC693" s="101"/>
      <c r="BD693" s="101"/>
      <c r="BE693" s="101"/>
      <c r="BF693" s="101"/>
      <c r="BG693" s="101"/>
      <c r="BH693" s="79"/>
      <c r="BI693" s="101"/>
      <c r="BJ693" s="101"/>
      <c r="BK693" s="101"/>
      <c r="BL693" s="101"/>
      <c r="BM693" s="101"/>
      <c r="BN693" s="108"/>
      <c r="BO693" s="108"/>
      <c r="BP693" s="108"/>
      <c r="BQ693" s="108"/>
      <c r="BR693" s="108"/>
      <c r="BS693" s="109"/>
      <c r="BT693" s="109"/>
      <c r="BU693" s="109"/>
      <c r="BV693" s="109"/>
      <c r="BW693" s="109"/>
      <c r="BX693" s="109"/>
      <c r="BY693" s="109"/>
      <c r="BZ693" s="109"/>
      <c r="CA693" s="109"/>
      <c r="CB693" s="109"/>
      <c r="CC693" s="110"/>
      <c r="CD693" s="95"/>
      <c r="CE693" s="91"/>
      <c r="CF693" s="91"/>
      <c r="CG693" s="91"/>
      <c r="CH693" s="96"/>
      <c r="CI693" s="74"/>
      <c r="CJ693" s="97"/>
      <c r="CK693" s="97"/>
      <c r="CL693" s="97"/>
      <c r="CM693" s="75"/>
      <c r="CN693" s="74"/>
      <c r="CO693" s="97"/>
      <c r="CP693" s="97"/>
      <c r="CQ693" s="97"/>
      <c r="CR693" s="75"/>
      <c r="CS693" s="74"/>
      <c r="CT693" s="97"/>
      <c r="CU693" s="97"/>
      <c r="CV693" s="97"/>
      <c r="CW693" s="75"/>
      <c r="CX693" s="74"/>
      <c r="CY693" s="97"/>
      <c r="CZ693" s="97"/>
      <c r="DA693" s="97"/>
      <c r="DB693" s="75"/>
      <c r="DC693" s="74"/>
      <c r="DD693" s="97"/>
      <c r="DE693" s="97"/>
      <c r="DF693" s="97"/>
      <c r="DG693" s="75"/>
      <c r="DH693" s="74"/>
      <c r="DI693" s="97"/>
      <c r="DJ693" s="97"/>
      <c r="DK693" s="97"/>
      <c r="DL693" s="75"/>
      <c r="DM693" s="76"/>
      <c r="DN693" s="104"/>
      <c r="DO693" s="104"/>
      <c r="DP693" s="105"/>
      <c r="DQ693" s="104"/>
      <c r="DR693" s="104"/>
      <c r="DS693" s="104"/>
      <c r="DT693" s="105"/>
      <c r="DU693" s="91"/>
      <c r="DV693" s="106"/>
      <c r="DW693" s="107"/>
    </row>
    <row r="694" spans="4:127" hidden="1">
      <c r="V694" s="90"/>
      <c r="W694" s="90"/>
      <c r="X694" s="91"/>
      <c r="Y694" s="77"/>
      <c r="Z694" s="77"/>
      <c r="AA694" s="92"/>
      <c r="AB694" s="93"/>
      <c r="AC694" s="93"/>
      <c r="AD694" s="93"/>
      <c r="AE694" s="93"/>
      <c r="AF694" s="93"/>
      <c r="AG694" s="93"/>
      <c r="AH694" s="94"/>
      <c r="AI694" s="60"/>
      <c r="AJ694" s="95"/>
      <c r="AK694" s="90"/>
      <c r="AL694" s="96"/>
      <c r="AM694" s="90"/>
      <c r="AN694" s="90"/>
      <c r="AO694" s="90"/>
      <c r="AP694" s="97"/>
      <c r="AQ694" s="111"/>
      <c r="AR694" s="99"/>
      <c r="AS694" s="91"/>
      <c r="AT694" s="91"/>
      <c r="AU694" s="91"/>
      <c r="AV694" s="91"/>
      <c r="AW694" s="91"/>
      <c r="AX694" s="100"/>
      <c r="AY694" s="78"/>
      <c r="AZ694" s="101"/>
      <c r="BA694" s="101"/>
      <c r="BB694" s="101"/>
      <c r="BC694" s="101"/>
      <c r="BD694" s="101"/>
      <c r="BE694" s="101"/>
      <c r="BF694" s="101"/>
      <c r="BG694" s="101"/>
      <c r="BH694" s="79"/>
      <c r="BI694" s="101"/>
      <c r="BJ694" s="79"/>
      <c r="BK694" s="101"/>
      <c r="BL694" s="79"/>
      <c r="BM694" s="101"/>
      <c r="BN694" s="78"/>
      <c r="BO694" s="78"/>
      <c r="BP694" s="78"/>
      <c r="BQ694" s="78"/>
      <c r="BR694" s="78"/>
      <c r="BS694" s="102"/>
      <c r="BT694" s="102"/>
      <c r="BU694" s="102"/>
      <c r="BV694" s="102"/>
      <c r="BW694" s="102"/>
      <c r="BX694" s="102"/>
      <c r="BY694" s="102"/>
      <c r="BZ694" s="102"/>
      <c r="CA694" s="102"/>
      <c r="CB694" s="102"/>
      <c r="CC694" s="79"/>
      <c r="CD694" s="95"/>
      <c r="CE694" s="91"/>
      <c r="CF694" s="91"/>
      <c r="CG694" s="91"/>
      <c r="CH694" s="96"/>
      <c r="CI694" s="74"/>
      <c r="CJ694" s="97"/>
      <c r="CK694" s="97"/>
      <c r="CL694" s="97"/>
      <c r="CM694" s="75"/>
      <c r="CN694" s="74"/>
      <c r="CO694" s="97"/>
      <c r="CP694" s="97"/>
      <c r="CQ694" s="97"/>
      <c r="CR694" s="75"/>
      <c r="CS694" s="74"/>
      <c r="CT694" s="97"/>
      <c r="CU694" s="97"/>
      <c r="CV694" s="97"/>
      <c r="CW694" s="75"/>
      <c r="CX694" s="74"/>
      <c r="CY694" s="97"/>
      <c r="CZ694" s="97"/>
      <c r="DA694" s="97"/>
      <c r="DB694" s="75"/>
      <c r="DC694" s="74"/>
      <c r="DD694" s="97"/>
      <c r="DE694" s="97"/>
      <c r="DF694" s="97"/>
      <c r="DG694" s="75"/>
      <c r="DH694" s="74"/>
      <c r="DI694" s="97"/>
      <c r="DJ694" s="97"/>
      <c r="DK694" s="97"/>
      <c r="DL694" s="75"/>
      <c r="DM694" s="76"/>
      <c r="DN694" s="104"/>
      <c r="DO694" s="104"/>
      <c r="DP694" s="105"/>
      <c r="DQ694" s="104"/>
      <c r="DR694" s="104"/>
      <c r="DS694" s="104"/>
      <c r="DT694" s="105"/>
      <c r="DU694" s="91"/>
      <c r="DV694" s="106"/>
      <c r="DW694" s="107"/>
    </row>
    <row r="695" spans="4:127" hidden="1">
      <c r="V695" s="90"/>
      <c r="W695" s="90"/>
      <c r="X695" s="91"/>
      <c r="Y695" s="77"/>
      <c r="Z695" s="77"/>
      <c r="AA695" s="92"/>
      <c r="AB695" s="93"/>
      <c r="AC695" s="93"/>
      <c r="AD695" s="93"/>
      <c r="AE695" s="93"/>
      <c r="AF695" s="93"/>
      <c r="AG695" s="93"/>
      <c r="AH695" s="94"/>
      <c r="AI695" s="60"/>
      <c r="AJ695" s="95"/>
      <c r="AK695" s="90"/>
      <c r="AL695" s="96"/>
      <c r="AM695" s="90"/>
      <c r="AN695" s="90"/>
      <c r="AO695" s="90"/>
      <c r="AP695" s="112"/>
      <c r="AQ695" s="111"/>
      <c r="AR695" s="99"/>
      <c r="AS695" s="91"/>
      <c r="AT695" s="91"/>
      <c r="AU695" s="91"/>
      <c r="AV695" s="91"/>
      <c r="AW695" s="91"/>
      <c r="AX695" s="100"/>
      <c r="AY695" s="78"/>
      <c r="AZ695" s="101"/>
      <c r="BA695" s="101"/>
      <c r="BB695" s="101"/>
      <c r="BC695" s="101"/>
      <c r="BD695" s="101"/>
      <c r="BE695" s="101"/>
      <c r="BF695" s="101"/>
      <c r="BG695" s="101"/>
      <c r="BH695" s="79"/>
      <c r="BI695" s="101"/>
      <c r="BJ695" s="101"/>
      <c r="BK695" s="101"/>
      <c r="BL695" s="101"/>
      <c r="BM695" s="101"/>
      <c r="BN695" s="101"/>
      <c r="BO695" s="101"/>
      <c r="BP695" s="101"/>
      <c r="BQ695" s="101"/>
      <c r="BR695" s="101"/>
      <c r="BS695" s="101"/>
      <c r="BT695" s="101"/>
      <c r="BU695" s="101"/>
      <c r="BV695" s="101"/>
      <c r="BW695" s="101"/>
      <c r="BX695" s="101"/>
      <c r="BY695" s="101"/>
      <c r="BZ695" s="101"/>
      <c r="CA695" s="101"/>
      <c r="CB695" s="101"/>
      <c r="CC695" s="101"/>
      <c r="CD695" s="95"/>
      <c r="CE695" s="91"/>
      <c r="CF695" s="91"/>
      <c r="CG695" s="91"/>
      <c r="CH695" s="96"/>
      <c r="CI695" s="74"/>
      <c r="CJ695" s="97"/>
      <c r="CK695" s="97"/>
      <c r="CL695" s="97"/>
      <c r="CM695" s="75"/>
      <c r="CN695" s="74"/>
      <c r="CO695" s="97"/>
      <c r="CP695" s="97"/>
      <c r="CQ695" s="97"/>
      <c r="CR695" s="75"/>
      <c r="CS695" s="74"/>
      <c r="CT695" s="97"/>
      <c r="CU695" s="97"/>
      <c r="CV695" s="97"/>
      <c r="CW695" s="75"/>
      <c r="CX695" s="74"/>
      <c r="CY695" s="97"/>
      <c r="CZ695" s="97"/>
      <c r="DA695" s="97"/>
      <c r="DB695" s="75"/>
      <c r="DC695" s="74"/>
      <c r="DD695" s="97"/>
      <c r="DE695" s="97"/>
      <c r="DF695" s="97"/>
      <c r="DG695" s="75"/>
      <c r="DH695" s="74"/>
      <c r="DI695" s="97"/>
      <c r="DJ695" s="97"/>
      <c r="DK695" s="97"/>
      <c r="DL695" s="75"/>
      <c r="DM695" s="76"/>
      <c r="DN695" s="104"/>
      <c r="DO695" s="104"/>
      <c r="DP695" s="105"/>
      <c r="DQ695" s="104"/>
      <c r="DR695" s="104"/>
      <c r="DS695" s="104"/>
      <c r="DT695" s="105"/>
      <c r="DU695" s="91"/>
      <c r="DV695" s="106"/>
      <c r="DW695" s="107"/>
    </row>
    <row r="696" spans="4:127" hidden="1">
      <c r="V696" s="90"/>
      <c r="W696" s="90"/>
      <c r="X696" s="91"/>
      <c r="Y696" s="77"/>
      <c r="Z696" s="77"/>
      <c r="AA696" s="92"/>
      <c r="AB696" s="93"/>
      <c r="AC696" s="93"/>
      <c r="AD696" s="93"/>
      <c r="AE696" s="93"/>
      <c r="AF696" s="93"/>
      <c r="AG696" s="93"/>
      <c r="AH696" s="94"/>
      <c r="AI696" s="60"/>
      <c r="AJ696" s="95"/>
      <c r="AK696" s="90"/>
      <c r="AL696" s="96"/>
      <c r="AM696" s="90"/>
      <c r="AN696" s="90"/>
      <c r="AO696" s="90"/>
      <c r="AP696" s="97"/>
      <c r="AQ696" s="111"/>
      <c r="AR696" s="99"/>
      <c r="AS696" s="91"/>
      <c r="AT696" s="91"/>
      <c r="AU696" s="91"/>
      <c r="AV696" s="91"/>
      <c r="AW696" s="91"/>
      <c r="AX696" s="100"/>
      <c r="AY696" s="78"/>
      <c r="AZ696" s="101"/>
      <c r="BA696" s="101"/>
      <c r="BB696" s="101"/>
      <c r="BC696" s="101"/>
      <c r="BD696" s="101"/>
      <c r="BE696" s="101"/>
      <c r="BF696" s="101"/>
      <c r="BG696" s="101"/>
      <c r="BH696" s="79"/>
      <c r="BI696" s="101"/>
      <c r="BJ696" s="101"/>
      <c r="BK696" s="101"/>
      <c r="BL696" s="101"/>
      <c r="BM696" s="101"/>
      <c r="BN696" s="78"/>
      <c r="BO696" s="78"/>
      <c r="BP696" s="78"/>
      <c r="BQ696" s="78"/>
      <c r="BR696" s="78"/>
      <c r="BS696" s="78"/>
      <c r="BT696" s="78"/>
      <c r="BU696" s="78"/>
      <c r="BV696" s="78"/>
      <c r="BW696" s="78"/>
      <c r="BX696" s="78"/>
      <c r="BY696" s="78"/>
      <c r="BZ696" s="78"/>
      <c r="CA696" s="78"/>
      <c r="CB696" s="78"/>
      <c r="CC696" s="78"/>
      <c r="CD696" s="95"/>
      <c r="CE696" s="91"/>
      <c r="CF696" s="91"/>
      <c r="CG696" s="91"/>
      <c r="CH696" s="96"/>
      <c r="CI696" s="74"/>
      <c r="CJ696" s="97"/>
      <c r="CK696" s="97"/>
      <c r="CL696" s="97"/>
      <c r="CM696" s="75"/>
      <c r="CN696" s="74"/>
      <c r="CO696" s="97"/>
      <c r="CP696" s="97"/>
      <c r="CQ696" s="97"/>
      <c r="CR696" s="75"/>
      <c r="CS696" s="74"/>
      <c r="CT696" s="97"/>
      <c r="CU696" s="97"/>
      <c r="CV696" s="97"/>
      <c r="CW696" s="75"/>
      <c r="CX696" s="74"/>
      <c r="CY696" s="97"/>
      <c r="CZ696" s="97"/>
      <c r="DA696" s="97"/>
      <c r="DB696" s="75"/>
      <c r="DC696" s="74"/>
      <c r="DD696" s="97"/>
      <c r="DE696" s="97"/>
      <c r="DF696" s="97"/>
      <c r="DG696" s="75"/>
      <c r="DH696" s="74"/>
      <c r="DI696" s="97"/>
      <c r="DJ696" s="97"/>
      <c r="DK696" s="97"/>
      <c r="DL696" s="75"/>
      <c r="DM696" s="76"/>
      <c r="DN696" s="104"/>
      <c r="DO696" s="104"/>
      <c r="DP696" s="105"/>
      <c r="DQ696" s="104"/>
      <c r="DR696" s="104"/>
      <c r="DS696" s="104"/>
      <c r="DT696" s="105"/>
      <c r="DU696" s="91"/>
      <c r="DV696" s="106"/>
      <c r="DW696" s="107"/>
    </row>
    <row r="697" spans="4:127"/>
    <row r="698" spans="4:127"/>
    <row r="699" spans="4:127"/>
    <row r="700" spans="4:127" s="80" customFormat="1">
      <c r="D700" s="58"/>
      <c r="E700" s="58"/>
      <c r="F700" s="58"/>
      <c r="G700" s="58"/>
      <c r="H700" s="58"/>
      <c r="I700" s="58"/>
      <c r="J700" s="58"/>
      <c r="K700" s="58"/>
      <c r="L700" s="58"/>
      <c r="M700" s="58"/>
      <c r="N700" s="58"/>
      <c r="O700" s="58"/>
      <c r="P700" s="58"/>
      <c r="Q700" s="58"/>
      <c r="R700" s="58"/>
      <c r="S700" s="58"/>
      <c r="T700" s="58"/>
      <c r="U700" s="58"/>
      <c r="V700" s="61"/>
      <c r="W700" s="61"/>
      <c r="X700" s="62"/>
      <c r="Y700" s="61"/>
      <c r="Z700" s="61"/>
      <c r="AA700" s="61"/>
      <c r="AB700" s="61"/>
      <c r="AC700" s="61"/>
      <c r="AD700" s="61"/>
      <c r="AE700" s="61"/>
      <c r="AF700" s="61"/>
      <c r="AG700" s="61"/>
      <c r="AH700" s="61"/>
      <c r="AI700" s="61"/>
      <c r="AJ700" s="62"/>
      <c r="AK700" s="61"/>
      <c r="AL700" s="62"/>
      <c r="AM700" s="61"/>
      <c r="AN700" s="61"/>
      <c r="AO700" s="61"/>
      <c r="AP700" s="63"/>
      <c r="AQ700" s="64"/>
      <c r="AR700" s="61"/>
      <c r="AS700" s="62"/>
      <c r="AT700" s="62"/>
      <c r="AU700" s="62"/>
      <c r="AV700" s="62"/>
      <c r="AW700" s="62"/>
      <c r="AX700" s="62"/>
      <c r="AY700" s="61"/>
      <c r="AZ700" s="61"/>
      <c r="BA700" s="61"/>
      <c r="BB700" s="61"/>
      <c r="BC700" s="61"/>
      <c r="BD700" s="61"/>
      <c r="BE700" s="61"/>
      <c r="BF700" s="61"/>
      <c r="BG700" s="61"/>
      <c r="BH700" s="61"/>
      <c r="BI700" s="61"/>
      <c r="BJ700" s="61"/>
      <c r="BK700" s="61"/>
      <c r="BL700" s="61"/>
      <c r="BM700" s="61"/>
      <c r="BN700" s="61"/>
      <c r="BO700" s="61"/>
      <c r="BP700" s="61"/>
      <c r="BQ700" s="61"/>
      <c r="BR700" s="61"/>
      <c r="BS700" s="61"/>
      <c r="BT700" s="61"/>
      <c r="BU700" s="61"/>
      <c r="BV700" s="61"/>
      <c r="BW700" s="61"/>
      <c r="BX700" s="61"/>
      <c r="BY700" s="61"/>
      <c r="BZ700" s="61"/>
      <c r="CA700" s="61"/>
      <c r="CB700" s="61"/>
      <c r="CC700" s="61"/>
      <c r="CD700" s="65"/>
      <c r="CE700" s="65"/>
      <c r="CF700" s="65"/>
      <c r="CG700" s="65"/>
      <c r="CH700" s="65"/>
      <c r="CI700" s="66"/>
      <c r="CJ700" s="66"/>
      <c r="CK700" s="66"/>
      <c r="CL700" s="66"/>
      <c r="CM700" s="66"/>
      <c r="CN700" s="66"/>
      <c r="CO700" s="66"/>
      <c r="CP700" s="66"/>
      <c r="CQ700" s="66"/>
      <c r="CR700" s="66"/>
      <c r="CS700" s="66"/>
      <c r="CT700" s="66"/>
      <c r="CU700" s="66"/>
      <c r="CV700" s="66"/>
      <c r="CW700" s="66"/>
      <c r="CX700" s="66"/>
      <c r="CY700" s="66"/>
      <c r="CZ700" s="66"/>
      <c r="DA700" s="66"/>
      <c r="DB700" s="66"/>
      <c r="DC700" s="66"/>
      <c r="DD700" s="66"/>
      <c r="DE700" s="66"/>
      <c r="DF700" s="66"/>
      <c r="DG700" s="66"/>
      <c r="DH700" s="66"/>
      <c r="DI700" s="66"/>
      <c r="DJ700" s="66"/>
      <c r="DK700" s="66"/>
      <c r="DL700" s="66"/>
      <c r="DM700" s="66"/>
      <c r="DN700" s="66"/>
      <c r="DO700" s="66"/>
      <c r="DP700" s="66"/>
      <c r="DQ700" s="66"/>
      <c r="DR700" s="66"/>
      <c r="DS700" s="66"/>
      <c r="DT700" s="66"/>
      <c r="DU700" s="65"/>
      <c r="DV700" s="67"/>
      <c r="DW700" s="68"/>
    </row>
    <row r="701" spans="4:127" s="80" customFormat="1">
      <c r="D701" s="58"/>
      <c r="E701" s="58"/>
      <c r="F701" s="58"/>
      <c r="G701" s="58"/>
      <c r="H701" s="58"/>
      <c r="I701" s="58"/>
      <c r="J701" s="58"/>
      <c r="K701" s="58"/>
      <c r="L701" s="58"/>
      <c r="M701" s="58"/>
      <c r="N701" s="58"/>
      <c r="O701" s="58"/>
      <c r="P701" s="58"/>
      <c r="Q701" s="58"/>
      <c r="R701" s="58"/>
      <c r="S701" s="58"/>
      <c r="T701" s="58"/>
      <c r="U701" s="58"/>
      <c r="V701" s="61"/>
      <c r="W701" s="61"/>
      <c r="X701" s="62"/>
      <c r="Y701" s="61"/>
      <c r="Z701" s="61"/>
      <c r="AA701" s="61"/>
      <c r="AB701" s="61"/>
      <c r="AC701" s="61"/>
      <c r="AD701" s="61"/>
      <c r="AE701" s="61"/>
      <c r="AF701" s="61"/>
      <c r="AG701" s="61"/>
      <c r="AH701" s="61"/>
      <c r="AI701" s="61"/>
      <c r="AJ701" s="62"/>
      <c r="AK701" s="61"/>
      <c r="AL701" s="62"/>
      <c r="AM701" s="61"/>
      <c r="AN701" s="61"/>
      <c r="AO701" s="61"/>
      <c r="AP701" s="63"/>
      <c r="AQ701" s="64"/>
      <c r="AR701" s="61"/>
      <c r="AS701" s="62"/>
      <c r="AT701" s="62"/>
      <c r="AU701" s="62"/>
      <c r="AV701" s="62"/>
      <c r="AW701" s="62"/>
      <c r="AX701" s="62"/>
      <c r="AY701" s="61"/>
      <c r="AZ701" s="61"/>
      <c r="BA701" s="61"/>
      <c r="BB701" s="61"/>
      <c r="BC701" s="61"/>
      <c r="BD701" s="61"/>
      <c r="BE701" s="61"/>
      <c r="BF701" s="61"/>
      <c r="BG701" s="61"/>
      <c r="BH701" s="61"/>
      <c r="BI701" s="61"/>
      <c r="BJ701" s="61"/>
      <c r="BK701" s="61"/>
      <c r="BL701" s="61"/>
      <c r="BM701" s="61"/>
      <c r="BN701" s="61"/>
      <c r="BO701" s="61"/>
      <c r="BP701" s="61"/>
      <c r="BQ701" s="61"/>
      <c r="BR701" s="61"/>
      <c r="BS701" s="61"/>
      <c r="BT701" s="61"/>
      <c r="BU701" s="61"/>
      <c r="BV701" s="61"/>
      <c r="BW701" s="61"/>
      <c r="BX701" s="61"/>
      <c r="BY701" s="61"/>
      <c r="BZ701" s="61"/>
      <c r="CA701" s="61"/>
      <c r="CB701" s="61"/>
      <c r="CC701" s="61"/>
      <c r="CD701" s="65"/>
      <c r="CE701" s="65"/>
      <c r="CF701" s="65"/>
      <c r="CG701" s="65"/>
      <c r="CH701" s="65"/>
      <c r="CI701" s="66"/>
      <c r="CJ701" s="66"/>
      <c r="CK701" s="66"/>
      <c r="CL701" s="66"/>
      <c r="CM701" s="66"/>
      <c r="CN701" s="66"/>
      <c r="CO701" s="66"/>
      <c r="CP701" s="66"/>
      <c r="CQ701" s="66"/>
      <c r="CR701" s="66"/>
      <c r="CS701" s="66"/>
      <c r="CT701" s="66"/>
      <c r="CU701" s="66"/>
      <c r="CV701" s="66"/>
      <c r="CW701" s="66"/>
      <c r="CX701" s="66"/>
      <c r="CY701" s="66"/>
      <c r="CZ701" s="66"/>
      <c r="DA701" s="66"/>
      <c r="DB701" s="66"/>
      <c r="DC701" s="66"/>
      <c r="DD701" s="66"/>
      <c r="DE701" s="66"/>
      <c r="DF701" s="66"/>
      <c r="DG701" s="66"/>
      <c r="DH701" s="66"/>
      <c r="DI701" s="66"/>
      <c r="DJ701" s="66"/>
      <c r="DK701" s="66"/>
      <c r="DL701" s="66"/>
      <c r="DM701" s="66"/>
      <c r="DN701" s="66"/>
      <c r="DO701" s="66"/>
      <c r="DP701" s="66"/>
      <c r="DQ701" s="66"/>
      <c r="DR701" s="66"/>
      <c r="DS701" s="66"/>
      <c r="DT701" s="66"/>
      <c r="DU701" s="65"/>
      <c r="DV701" s="67"/>
      <c r="DW701" s="68"/>
    </row>
    <row r="702" spans="4:127" s="80" customFormat="1">
      <c r="D702" s="58"/>
      <c r="E702" s="58"/>
      <c r="F702" s="58"/>
      <c r="G702" s="58"/>
      <c r="H702" s="58"/>
      <c r="I702" s="58"/>
      <c r="J702" s="58"/>
      <c r="K702" s="58"/>
      <c r="L702" s="58"/>
      <c r="M702" s="58"/>
      <c r="N702" s="58"/>
      <c r="O702" s="58"/>
      <c r="P702" s="58"/>
      <c r="Q702" s="58"/>
      <c r="R702" s="58"/>
      <c r="S702" s="58"/>
      <c r="T702" s="58"/>
      <c r="U702" s="58"/>
      <c r="V702" s="61"/>
      <c r="W702" s="61"/>
      <c r="X702" s="62"/>
      <c r="Y702" s="61"/>
      <c r="Z702" s="61"/>
      <c r="AA702" s="61"/>
      <c r="AB702" s="61"/>
      <c r="AC702" s="61"/>
      <c r="AD702" s="61"/>
      <c r="AE702" s="61"/>
      <c r="AF702" s="61"/>
      <c r="AG702" s="61"/>
      <c r="AH702" s="61"/>
      <c r="AI702" s="61"/>
      <c r="AJ702" s="62"/>
      <c r="AK702" s="61"/>
      <c r="AL702" s="62"/>
      <c r="AM702" s="61"/>
      <c r="AN702" s="61"/>
      <c r="AO702" s="61"/>
      <c r="AP702" s="63"/>
      <c r="AQ702" s="64"/>
      <c r="AR702" s="61"/>
      <c r="AS702" s="62"/>
      <c r="AT702" s="62"/>
      <c r="AU702" s="62"/>
      <c r="AV702" s="62"/>
      <c r="AW702" s="62"/>
      <c r="AX702" s="62"/>
      <c r="AY702" s="61"/>
      <c r="AZ702" s="61"/>
      <c r="BA702" s="61"/>
      <c r="BB702" s="61"/>
      <c r="BC702" s="61"/>
      <c r="BD702" s="61"/>
      <c r="BE702" s="61"/>
      <c r="BF702" s="61"/>
      <c r="BG702" s="61"/>
      <c r="BH702" s="61"/>
      <c r="BI702" s="61"/>
      <c r="BJ702" s="61"/>
      <c r="BK702" s="61"/>
      <c r="BL702" s="61"/>
      <c r="BM702" s="61"/>
      <c r="BN702" s="61"/>
      <c r="BO702" s="61"/>
      <c r="BP702" s="61"/>
      <c r="BQ702" s="61"/>
      <c r="BR702" s="61"/>
      <c r="BS702" s="61"/>
      <c r="BT702" s="61"/>
      <c r="BU702" s="61"/>
      <c r="BV702" s="61"/>
      <c r="BW702" s="61"/>
      <c r="BX702" s="61"/>
      <c r="BY702" s="61"/>
      <c r="BZ702" s="61"/>
      <c r="CA702" s="61"/>
      <c r="CB702" s="61"/>
      <c r="CC702" s="61"/>
      <c r="CD702" s="65"/>
      <c r="CE702" s="65"/>
      <c r="CF702" s="65"/>
      <c r="CG702" s="65"/>
      <c r="CH702" s="65"/>
      <c r="CI702" s="66"/>
      <c r="CJ702" s="66"/>
      <c r="CK702" s="66"/>
      <c r="CL702" s="66"/>
      <c r="CM702" s="66"/>
      <c r="CN702" s="66"/>
      <c r="CO702" s="66"/>
      <c r="CP702" s="66"/>
      <c r="CQ702" s="66"/>
      <c r="CR702" s="66"/>
      <c r="CS702" s="66"/>
      <c r="CT702" s="66"/>
      <c r="CU702" s="66"/>
      <c r="CV702" s="66"/>
      <c r="CW702" s="66"/>
      <c r="CX702" s="66"/>
      <c r="CY702" s="66"/>
      <c r="CZ702" s="66"/>
      <c r="DA702" s="66"/>
      <c r="DB702" s="66"/>
      <c r="DC702" s="66"/>
      <c r="DD702" s="66"/>
      <c r="DE702" s="66"/>
      <c r="DF702" s="66"/>
      <c r="DG702" s="66"/>
      <c r="DH702" s="66"/>
      <c r="DI702" s="66"/>
      <c r="DJ702" s="66"/>
      <c r="DK702" s="66"/>
      <c r="DL702" s="66"/>
      <c r="DM702" s="66"/>
      <c r="DN702" s="66"/>
      <c r="DO702" s="66"/>
      <c r="DP702" s="66"/>
      <c r="DQ702" s="66"/>
      <c r="DR702" s="66"/>
      <c r="DS702" s="66"/>
      <c r="DT702" s="66"/>
      <c r="DU702" s="65"/>
      <c r="DV702" s="67"/>
      <c r="DW702" s="68"/>
    </row>
    <row r="703" spans="4:127" s="80" customFormat="1">
      <c r="D703" s="58"/>
      <c r="E703" s="58"/>
      <c r="F703" s="58"/>
      <c r="G703" s="58"/>
      <c r="H703" s="58"/>
      <c r="I703" s="58"/>
      <c r="J703" s="58"/>
      <c r="K703" s="58"/>
      <c r="L703" s="58"/>
      <c r="M703" s="58"/>
      <c r="N703" s="58"/>
      <c r="O703" s="58"/>
      <c r="P703" s="58"/>
      <c r="Q703" s="58"/>
      <c r="R703" s="58"/>
      <c r="S703" s="58"/>
      <c r="T703" s="58"/>
      <c r="U703" s="58"/>
      <c r="V703" s="61"/>
      <c r="W703" s="61"/>
      <c r="X703" s="62"/>
      <c r="Y703" s="61"/>
      <c r="Z703" s="61"/>
      <c r="AA703" s="61"/>
      <c r="AB703" s="61"/>
      <c r="AC703" s="61"/>
      <c r="AD703" s="61"/>
      <c r="AE703" s="61"/>
      <c r="AF703" s="61"/>
      <c r="AG703" s="61"/>
      <c r="AH703" s="61"/>
      <c r="AI703" s="61"/>
      <c r="AJ703" s="62"/>
      <c r="AK703" s="61"/>
      <c r="AL703" s="62"/>
      <c r="AM703" s="61"/>
      <c r="AN703" s="61"/>
      <c r="AO703" s="61"/>
      <c r="AP703" s="63"/>
      <c r="AQ703" s="64"/>
      <c r="AR703" s="61"/>
      <c r="AS703" s="62"/>
      <c r="AT703" s="62"/>
      <c r="AU703" s="62"/>
      <c r="AV703" s="62"/>
      <c r="AW703" s="62"/>
      <c r="AX703" s="62"/>
      <c r="AY703" s="61"/>
      <c r="AZ703" s="61"/>
      <c r="BA703" s="61"/>
      <c r="BB703" s="61"/>
      <c r="BC703" s="61"/>
      <c r="BD703" s="61"/>
      <c r="BE703" s="61"/>
      <c r="BF703" s="61"/>
      <c r="BG703" s="61"/>
      <c r="BH703" s="61"/>
      <c r="BI703" s="61"/>
      <c r="BJ703" s="61"/>
      <c r="BK703" s="61"/>
      <c r="BL703" s="61"/>
      <c r="BM703" s="61"/>
      <c r="BN703" s="61"/>
      <c r="BO703" s="61"/>
      <c r="BP703" s="61"/>
      <c r="BQ703" s="61"/>
      <c r="BR703" s="61"/>
      <c r="BS703" s="61"/>
      <c r="BT703" s="61"/>
      <c r="BU703" s="61"/>
      <c r="BV703" s="61"/>
      <c r="BW703" s="61"/>
      <c r="BX703" s="61"/>
      <c r="BY703" s="61"/>
      <c r="BZ703" s="61"/>
      <c r="CA703" s="61"/>
      <c r="CB703" s="61"/>
      <c r="CC703" s="61"/>
      <c r="CD703" s="65"/>
      <c r="CE703" s="65"/>
      <c r="CF703" s="65"/>
      <c r="CG703" s="65"/>
      <c r="CH703" s="65"/>
      <c r="CI703" s="66"/>
      <c r="CJ703" s="66"/>
      <c r="CK703" s="66"/>
      <c r="CL703" s="66"/>
      <c r="CM703" s="66"/>
      <c r="CN703" s="66"/>
      <c r="CO703" s="66"/>
      <c r="CP703" s="66"/>
      <c r="CQ703" s="66"/>
      <c r="CR703" s="66"/>
      <c r="CS703" s="66"/>
      <c r="CT703" s="66"/>
      <c r="CU703" s="66"/>
      <c r="CV703" s="66"/>
      <c r="CW703" s="66"/>
      <c r="CX703" s="66"/>
      <c r="CY703" s="66"/>
      <c r="CZ703" s="66"/>
      <c r="DA703" s="66"/>
      <c r="DB703" s="66"/>
      <c r="DC703" s="66"/>
      <c r="DD703" s="66"/>
      <c r="DE703" s="66"/>
      <c r="DF703" s="66"/>
      <c r="DG703" s="66"/>
      <c r="DH703" s="66"/>
      <c r="DI703" s="66"/>
      <c r="DJ703" s="66"/>
      <c r="DK703" s="66"/>
      <c r="DL703" s="66"/>
      <c r="DM703" s="66"/>
      <c r="DN703" s="66"/>
      <c r="DO703" s="66"/>
      <c r="DP703" s="66"/>
      <c r="DQ703" s="66"/>
      <c r="DR703" s="66"/>
      <c r="DS703" s="66"/>
      <c r="DT703" s="66"/>
      <c r="DU703" s="65"/>
      <c r="DV703" s="67"/>
      <c r="DW703" s="68"/>
    </row>
    <row r="704" spans="4:127" s="80" customFormat="1">
      <c r="D704" s="58"/>
      <c r="E704" s="58"/>
      <c r="F704" s="58"/>
      <c r="G704" s="58"/>
      <c r="H704" s="58"/>
      <c r="I704" s="58"/>
      <c r="J704" s="58"/>
      <c r="K704" s="58"/>
      <c r="L704" s="58"/>
      <c r="M704" s="58"/>
      <c r="N704" s="58"/>
      <c r="O704" s="58"/>
      <c r="P704" s="58"/>
      <c r="Q704" s="58"/>
      <c r="R704" s="58"/>
      <c r="S704" s="58"/>
      <c r="T704" s="58"/>
      <c r="U704" s="58"/>
      <c r="V704" s="61"/>
      <c r="W704" s="61"/>
      <c r="X704" s="62"/>
      <c r="Y704" s="61"/>
      <c r="Z704" s="61"/>
      <c r="AA704" s="61"/>
      <c r="AB704" s="61"/>
      <c r="AC704" s="61"/>
      <c r="AD704" s="61"/>
      <c r="AE704" s="61"/>
      <c r="AF704" s="61"/>
      <c r="AG704" s="61"/>
      <c r="AH704" s="61"/>
      <c r="AI704" s="61"/>
      <c r="AJ704" s="62"/>
      <c r="AK704" s="61"/>
      <c r="AL704" s="62"/>
      <c r="AM704" s="61"/>
      <c r="AN704" s="61"/>
      <c r="AO704" s="61"/>
      <c r="AP704" s="63"/>
      <c r="AQ704" s="64"/>
      <c r="AR704" s="61"/>
      <c r="AS704" s="62"/>
      <c r="AT704" s="62"/>
      <c r="AU704" s="62"/>
      <c r="AV704" s="62"/>
      <c r="AW704" s="62"/>
      <c r="AX704" s="62"/>
      <c r="AY704" s="61"/>
      <c r="AZ704" s="61"/>
      <c r="BA704" s="61"/>
      <c r="BB704" s="61"/>
      <c r="BC704" s="61"/>
      <c r="BD704" s="61"/>
      <c r="BE704" s="61"/>
      <c r="BF704" s="61"/>
      <c r="BG704" s="61"/>
      <c r="BH704" s="61"/>
      <c r="BI704" s="61"/>
      <c r="BJ704" s="61"/>
      <c r="BK704" s="61"/>
      <c r="BL704" s="61"/>
      <c r="BM704" s="61"/>
      <c r="BN704" s="61"/>
      <c r="BO704" s="61"/>
      <c r="BP704" s="61"/>
      <c r="BQ704" s="61"/>
      <c r="BR704" s="61"/>
      <c r="BS704" s="61"/>
      <c r="BT704" s="61"/>
      <c r="BU704" s="61"/>
      <c r="BV704" s="61"/>
      <c r="BW704" s="61"/>
      <c r="BX704" s="61"/>
      <c r="BY704" s="61"/>
      <c r="BZ704" s="61"/>
      <c r="CA704" s="61"/>
      <c r="CB704" s="61"/>
      <c r="CC704" s="61"/>
      <c r="CD704" s="65"/>
      <c r="CE704" s="65"/>
      <c r="CF704" s="65"/>
      <c r="CG704" s="65"/>
      <c r="CH704" s="65"/>
      <c r="CI704" s="66"/>
      <c r="CJ704" s="66"/>
      <c r="CK704" s="66"/>
      <c r="CL704" s="66"/>
      <c r="CM704" s="66"/>
      <c r="CN704" s="66"/>
      <c r="CO704" s="66"/>
      <c r="CP704" s="66"/>
      <c r="CQ704" s="66"/>
      <c r="CR704" s="66"/>
      <c r="CS704" s="66"/>
      <c r="CT704" s="66"/>
      <c r="CU704" s="66"/>
      <c r="CV704" s="66"/>
      <c r="CW704" s="66"/>
      <c r="CX704" s="66"/>
      <c r="CY704" s="66"/>
      <c r="CZ704" s="66"/>
      <c r="DA704" s="66"/>
      <c r="DB704" s="66"/>
      <c r="DC704" s="66"/>
      <c r="DD704" s="66"/>
      <c r="DE704" s="66"/>
      <c r="DF704" s="66"/>
      <c r="DG704" s="66"/>
      <c r="DH704" s="66"/>
      <c r="DI704" s="66"/>
      <c r="DJ704" s="66"/>
      <c r="DK704" s="66"/>
      <c r="DL704" s="66"/>
      <c r="DM704" s="66"/>
      <c r="DN704" s="66"/>
      <c r="DO704" s="66"/>
      <c r="DP704" s="66"/>
      <c r="DQ704" s="66"/>
      <c r="DR704" s="66"/>
      <c r="DS704" s="66"/>
      <c r="DT704" s="66"/>
      <c r="DU704" s="65"/>
      <c r="DV704" s="67"/>
      <c r="DW704" s="68"/>
    </row>
    <row r="705" spans="4:127" s="80" customFormat="1">
      <c r="D705" s="58"/>
      <c r="E705" s="58"/>
      <c r="F705" s="58"/>
      <c r="G705" s="58"/>
      <c r="H705" s="58"/>
      <c r="I705" s="58"/>
      <c r="J705" s="58"/>
      <c r="K705" s="58"/>
      <c r="L705" s="58"/>
      <c r="M705" s="58"/>
      <c r="N705" s="58"/>
      <c r="O705" s="58"/>
      <c r="P705" s="58"/>
      <c r="Q705" s="58"/>
      <c r="R705" s="58"/>
      <c r="S705" s="58"/>
      <c r="T705" s="58"/>
      <c r="U705" s="58"/>
      <c r="V705" s="61"/>
      <c r="W705" s="61"/>
      <c r="X705" s="62"/>
      <c r="Y705" s="61"/>
      <c r="Z705" s="61"/>
      <c r="AA705" s="61"/>
      <c r="AB705" s="61"/>
      <c r="AC705" s="61"/>
      <c r="AD705" s="61"/>
      <c r="AE705" s="61"/>
      <c r="AF705" s="61"/>
      <c r="AG705" s="61"/>
      <c r="AH705" s="61"/>
      <c r="AI705" s="61"/>
      <c r="AJ705" s="62"/>
      <c r="AK705" s="61"/>
      <c r="AL705" s="62"/>
      <c r="AM705" s="61"/>
      <c r="AN705" s="61"/>
      <c r="AO705" s="61"/>
      <c r="AP705" s="63"/>
      <c r="AQ705" s="64"/>
      <c r="AR705" s="61"/>
      <c r="AS705" s="62"/>
      <c r="AT705" s="62"/>
      <c r="AU705" s="62"/>
      <c r="AV705" s="62"/>
      <c r="AW705" s="62"/>
      <c r="AX705" s="62"/>
      <c r="AY705" s="61"/>
      <c r="AZ705" s="61"/>
      <c r="BA705" s="61"/>
      <c r="BB705" s="61"/>
      <c r="BC705" s="61"/>
      <c r="BD705" s="61"/>
      <c r="BE705" s="61"/>
      <c r="BF705" s="61"/>
      <c r="BG705" s="61"/>
      <c r="BH705" s="61"/>
      <c r="BI705" s="61"/>
      <c r="BJ705" s="61"/>
      <c r="BK705" s="61"/>
      <c r="BL705" s="61"/>
      <c r="BM705" s="61"/>
      <c r="BN705" s="61"/>
      <c r="BO705" s="61"/>
      <c r="BP705" s="61"/>
      <c r="BQ705" s="61"/>
      <c r="BR705" s="61"/>
      <c r="BS705" s="61"/>
      <c r="BT705" s="61"/>
      <c r="BU705" s="61"/>
      <c r="BV705" s="61"/>
      <c r="BW705" s="61"/>
      <c r="BX705" s="61"/>
      <c r="BY705" s="61"/>
      <c r="BZ705" s="61"/>
      <c r="CA705" s="61"/>
      <c r="CB705" s="61"/>
      <c r="CC705" s="61"/>
      <c r="CD705" s="65"/>
      <c r="CE705" s="65"/>
      <c r="CF705" s="65"/>
      <c r="CG705" s="65"/>
      <c r="CH705" s="65"/>
      <c r="CI705" s="66"/>
      <c r="CJ705" s="66"/>
      <c r="CK705" s="66"/>
      <c r="CL705" s="66"/>
      <c r="CM705" s="66"/>
      <c r="CN705" s="66"/>
      <c r="CO705" s="66"/>
      <c r="CP705" s="66"/>
      <c r="CQ705" s="66"/>
      <c r="CR705" s="66"/>
      <c r="CS705" s="66"/>
      <c r="CT705" s="66"/>
      <c r="CU705" s="66"/>
      <c r="CV705" s="66"/>
      <c r="CW705" s="66"/>
      <c r="CX705" s="66"/>
      <c r="CY705" s="66"/>
      <c r="CZ705" s="66"/>
      <c r="DA705" s="66"/>
      <c r="DB705" s="66"/>
      <c r="DC705" s="66"/>
      <c r="DD705" s="66"/>
      <c r="DE705" s="66"/>
      <c r="DF705" s="66"/>
      <c r="DG705" s="66"/>
      <c r="DH705" s="66"/>
      <c r="DI705" s="66"/>
      <c r="DJ705" s="66"/>
      <c r="DK705" s="66"/>
      <c r="DL705" s="66"/>
      <c r="DM705" s="66"/>
      <c r="DN705" s="66"/>
      <c r="DO705" s="66"/>
      <c r="DP705" s="66"/>
      <c r="DQ705" s="66"/>
      <c r="DR705" s="66"/>
      <c r="DS705" s="66"/>
      <c r="DT705" s="66"/>
      <c r="DU705" s="65"/>
      <c r="DV705" s="67"/>
      <c r="DW705" s="68"/>
    </row>
    <row r="706" spans="4:127" s="80" customFormat="1">
      <c r="D706" s="58"/>
      <c r="E706" s="58"/>
      <c r="F706" s="58"/>
      <c r="G706" s="58"/>
      <c r="H706" s="58"/>
      <c r="I706" s="58"/>
      <c r="J706" s="58"/>
      <c r="K706" s="58"/>
      <c r="L706" s="58"/>
      <c r="M706" s="58"/>
      <c r="N706" s="58"/>
      <c r="O706" s="58"/>
      <c r="P706" s="58"/>
      <c r="Q706" s="58"/>
      <c r="R706" s="58"/>
      <c r="S706" s="58"/>
      <c r="T706" s="58"/>
      <c r="U706" s="58"/>
      <c r="V706" s="61"/>
      <c r="W706" s="61"/>
      <c r="X706" s="62"/>
      <c r="Y706" s="61"/>
      <c r="Z706" s="61"/>
      <c r="AA706" s="61"/>
      <c r="AB706" s="61"/>
      <c r="AC706" s="61"/>
      <c r="AD706" s="61"/>
      <c r="AE706" s="61"/>
      <c r="AF706" s="61"/>
      <c r="AG706" s="61"/>
      <c r="AH706" s="61"/>
      <c r="AI706" s="61"/>
      <c r="AJ706" s="62"/>
      <c r="AK706" s="61"/>
      <c r="AL706" s="62"/>
      <c r="AM706" s="61"/>
      <c r="AN706" s="61"/>
      <c r="AO706" s="61"/>
      <c r="AP706" s="63"/>
      <c r="AQ706" s="64"/>
      <c r="AR706" s="61"/>
      <c r="AS706" s="62"/>
      <c r="AT706" s="62"/>
      <c r="AU706" s="62"/>
      <c r="AV706" s="62"/>
      <c r="AW706" s="62"/>
      <c r="AX706" s="62"/>
      <c r="AY706" s="61"/>
      <c r="AZ706" s="61"/>
      <c r="BA706" s="61"/>
      <c r="BB706" s="61"/>
      <c r="BC706" s="61"/>
      <c r="BD706" s="61"/>
      <c r="BE706" s="61"/>
      <c r="BF706" s="61"/>
      <c r="BG706" s="61"/>
      <c r="BH706" s="61"/>
      <c r="BI706" s="61"/>
      <c r="BJ706" s="61"/>
      <c r="BK706" s="61"/>
      <c r="BL706" s="61"/>
      <c r="BM706" s="61"/>
      <c r="BN706" s="61"/>
      <c r="BO706" s="61"/>
      <c r="BP706" s="61"/>
      <c r="BQ706" s="61"/>
      <c r="BR706" s="61"/>
      <c r="BS706" s="61"/>
      <c r="BT706" s="61"/>
      <c r="BU706" s="61"/>
      <c r="BV706" s="61"/>
      <c r="BW706" s="61"/>
      <c r="BX706" s="61"/>
      <c r="BY706" s="61"/>
      <c r="BZ706" s="61"/>
      <c r="CA706" s="61"/>
      <c r="CB706" s="61"/>
      <c r="CC706" s="61"/>
      <c r="CD706" s="65"/>
      <c r="CE706" s="65"/>
      <c r="CF706" s="65"/>
      <c r="CG706" s="65"/>
      <c r="CH706" s="65"/>
      <c r="CI706" s="66"/>
      <c r="CJ706" s="66"/>
      <c r="CK706" s="66"/>
      <c r="CL706" s="66"/>
      <c r="CM706" s="66"/>
      <c r="CN706" s="66"/>
      <c r="CO706" s="66"/>
      <c r="CP706" s="66"/>
      <c r="CQ706" s="66"/>
      <c r="CR706" s="66"/>
      <c r="CS706" s="66"/>
      <c r="CT706" s="66"/>
      <c r="CU706" s="66"/>
      <c r="CV706" s="66"/>
      <c r="CW706" s="66"/>
      <c r="CX706" s="66"/>
      <c r="CY706" s="66"/>
      <c r="CZ706" s="66"/>
      <c r="DA706" s="66"/>
      <c r="DB706" s="66"/>
      <c r="DC706" s="66"/>
      <c r="DD706" s="66"/>
      <c r="DE706" s="66"/>
      <c r="DF706" s="66"/>
      <c r="DG706" s="66"/>
      <c r="DH706" s="66"/>
      <c r="DI706" s="66"/>
      <c r="DJ706" s="66"/>
      <c r="DK706" s="66"/>
      <c r="DL706" s="66"/>
      <c r="DM706" s="66"/>
      <c r="DN706" s="66"/>
      <c r="DO706" s="66"/>
      <c r="DP706" s="66"/>
      <c r="DQ706" s="66"/>
      <c r="DR706" s="66"/>
      <c r="DS706" s="66"/>
      <c r="DT706" s="66"/>
      <c r="DU706" s="65"/>
      <c r="DV706" s="67"/>
      <c r="DW706" s="68"/>
    </row>
    <row r="707" spans="4:127" s="80" customFormat="1">
      <c r="D707" s="58"/>
      <c r="E707" s="58"/>
      <c r="F707" s="58"/>
      <c r="G707" s="58"/>
      <c r="H707" s="58"/>
      <c r="I707" s="58"/>
      <c r="J707" s="58"/>
      <c r="K707" s="58"/>
      <c r="L707" s="58"/>
      <c r="M707" s="58"/>
      <c r="N707" s="58"/>
      <c r="O707" s="58"/>
      <c r="P707" s="58"/>
      <c r="Q707" s="58"/>
      <c r="R707" s="58"/>
      <c r="S707" s="58"/>
      <c r="T707" s="58"/>
      <c r="U707" s="58"/>
      <c r="V707" s="61"/>
      <c r="W707" s="61"/>
      <c r="X707" s="62"/>
      <c r="Y707" s="61"/>
      <c r="Z707" s="61"/>
      <c r="AA707" s="61"/>
      <c r="AB707" s="61"/>
      <c r="AC707" s="61"/>
      <c r="AD707" s="61"/>
      <c r="AE707" s="61"/>
      <c r="AF707" s="61"/>
      <c r="AG707" s="61"/>
      <c r="AH707" s="61"/>
      <c r="AI707" s="61"/>
      <c r="AJ707" s="62"/>
      <c r="AK707" s="61"/>
      <c r="AL707" s="62"/>
      <c r="AM707" s="61"/>
      <c r="AN707" s="61"/>
      <c r="AO707" s="61"/>
      <c r="AP707" s="63"/>
      <c r="AQ707" s="64"/>
      <c r="AR707" s="61"/>
      <c r="AS707" s="62"/>
      <c r="AT707" s="62"/>
      <c r="AU707" s="62"/>
      <c r="AV707" s="62"/>
      <c r="AW707" s="62"/>
      <c r="AX707" s="62"/>
      <c r="AY707" s="61"/>
      <c r="AZ707" s="61"/>
      <c r="BA707" s="61"/>
      <c r="BB707" s="61"/>
      <c r="BC707" s="61"/>
      <c r="BD707" s="61"/>
      <c r="BE707" s="61"/>
      <c r="BF707" s="61"/>
      <c r="BG707" s="61"/>
      <c r="BH707" s="61"/>
      <c r="BI707" s="61"/>
      <c r="BJ707" s="61"/>
      <c r="BK707" s="61"/>
      <c r="BL707" s="61"/>
      <c r="BM707" s="61"/>
      <c r="BN707" s="61"/>
      <c r="BO707" s="61"/>
      <c r="BP707" s="61"/>
      <c r="BQ707" s="61"/>
      <c r="BR707" s="61"/>
      <c r="BS707" s="61"/>
      <c r="BT707" s="61"/>
      <c r="BU707" s="61"/>
      <c r="BV707" s="61"/>
      <c r="BW707" s="61"/>
      <c r="BX707" s="61"/>
      <c r="BY707" s="61"/>
      <c r="BZ707" s="61"/>
      <c r="CA707" s="61"/>
      <c r="CB707" s="61"/>
      <c r="CC707" s="61"/>
      <c r="CD707" s="65"/>
      <c r="CE707" s="65"/>
      <c r="CF707" s="65"/>
      <c r="CG707" s="65"/>
      <c r="CH707" s="65"/>
      <c r="CI707" s="66"/>
      <c r="CJ707" s="66"/>
      <c r="CK707" s="66"/>
      <c r="CL707" s="66"/>
      <c r="CM707" s="66"/>
      <c r="CN707" s="66"/>
      <c r="CO707" s="66"/>
      <c r="CP707" s="66"/>
      <c r="CQ707" s="66"/>
      <c r="CR707" s="66"/>
      <c r="CS707" s="66"/>
      <c r="CT707" s="66"/>
      <c r="CU707" s="66"/>
      <c r="CV707" s="66"/>
      <c r="CW707" s="66"/>
      <c r="CX707" s="66"/>
      <c r="CY707" s="66"/>
      <c r="CZ707" s="66"/>
      <c r="DA707" s="66"/>
      <c r="DB707" s="66"/>
      <c r="DC707" s="66"/>
      <c r="DD707" s="66"/>
      <c r="DE707" s="66"/>
      <c r="DF707" s="66"/>
      <c r="DG707" s="66"/>
      <c r="DH707" s="66"/>
      <c r="DI707" s="66"/>
      <c r="DJ707" s="66"/>
      <c r="DK707" s="66"/>
      <c r="DL707" s="66"/>
      <c r="DM707" s="66"/>
      <c r="DN707" s="66"/>
      <c r="DO707" s="66"/>
      <c r="DP707" s="66"/>
      <c r="DQ707" s="66"/>
      <c r="DR707" s="66"/>
      <c r="DS707" s="66"/>
      <c r="DT707" s="66"/>
      <c r="DU707" s="65"/>
      <c r="DV707" s="67"/>
      <c r="DW707" s="68"/>
    </row>
    <row r="708" spans="4:127" s="80" customFormat="1">
      <c r="D708" s="58"/>
      <c r="E708" s="58"/>
      <c r="F708" s="58"/>
      <c r="G708" s="58"/>
      <c r="H708" s="58"/>
      <c r="I708" s="58"/>
      <c r="J708" s="58"/>
      <c r="K708" s="58"/>
      <c r="L708" s="58"/>
      <c r="M708" s="58"/>
      <c r="N708" s="58"/>
      <c r="O708" s="58"/>
      <c r="P708" s="58"/>
      <c r="Q708" s="58"/>
      <c r="R708" s="58"/>
      <c r="S708" s="58"/>
      <c r="T708" s="58"/>
      <c r="U708" s="58"/>
      <c r="V708" s="61"/>
      <c r="W708" s="61"/>
      <c r="X708" s="62"/>
      <c r="Y708" s="61"/>
      <c r="Z708" s="61"/>
      <c r="AA708" s="61"/>
      <c r="AB708" s="61"/>
      <c r="AC708" s="61"/>
      <c r="AD708" s="61"/>
      <c r="AE708" s="61"/>
      <c r="AF708" s="61"/>
      <c r="AG708" s="61"/>
      <c r="AH708" s="61"/>
      <c r="AI708" s="61"/>
      <c r="AJ708" s="62"/>
      <c r="AK708" s="61"/>
      <c r="AL708" s="62"/>
      <c r="AM708" s="61"/>
      <c r="AN708" s="61"/>
      <c r="AO708" s="61"/>
      <c r="AP708" s="63"/>
      <c r="AQ708" s="64"/>
      <c r="AR708" s="61"/>
      <c r="AS708" s="62"/>
      <c r="AT708" s="62"/>
      <c r="AU708" s="62"/>
      <c r="AV708" s="62"/>
      <c r="AW708" s="62"/>
      <c r="AX708" s="62"/>
      <c r="AY708" s="61"/>
      <c r="AZ708" s="61"/>
      <c r="BA708" s="61"/>
      <c r="BB708" s="61"/>
      <c r="BC708" s="61"/>
      <c r="BD708" s="61"/>
      <c r="BE708" s="61"/>
      <c r="BF708" s="61"/>
      <c r="BG708" s="61"/>
      <c r="BH708" s="61"/>
      <c r="BI708" s="61"/>
      <c r="BJ708" s="61"/>
      <c r="BK708" s="61"/>
      <c r="BL708" s="61"/>
      <c r="BM708" s="61"/>
      <c r="BN708" s="61"/>
      <c r="BO708" s="61"/>
      <c r="BP708" s="61"/>
      <c r="BQ708" s="61"/>
      <c r="BR708" s="61"/>
      <c r="BS708" s="61"/>
      <c r="BT708" s="61"/>
      <c r="BU708" s="61"/>
      <c r="BV708" s="61"/>
      <c r="BW708" s="61"/>
      <c r="BX708" s="61"/>
      <c r="BY708" s="61"/>
      <c r="BZ708" s="61"/>
      <c r="CA708" s="61"/>
      <c r="CB708" s="61"/>
      <c r="CC708" s="61"/>
      <c r="CD708" s="65"/>
      <c r="CE708" s="65"/>
      <c r="CF708" s="65"/>
      <c r="CG708" s="65"/>
      <c r="CH708" s="65"/>
      <c r="CI708" s="66"/>
      <c r="CJ708" s="66"/>
      <c r="CK708" s="66"/>
      <c r="CL708" s="66"/>
      <c r="CM708" s="66"/>
      <c r="CN708" s="66"/>
      <c r="CO708" s="66"/>
      <c r="CP708" s="66"/>
      <c r="CQ708" s="66"/>
      <c r="CR708" s="66"/>
      <c r="CS708" s="66"/>
      <c r="CT708" s="66"/>
      <c r="CU708" s="66"/>
      <c r="CV708" s="66"/>
      <c r="CW708" s="66"/>
      <c r="CX708" s="66"/>
      <c r="CY708" s="66"/>
      <c r="CZ708" s="66"/>
      <c r="DA708" s="66"/>
      <c r="DB708" s="66"/>
      <c r="DC708" s="66"/>
      <c r="DD708" s="66"/>
      <c r="DE708" s="66"/>
      <c r="DF708" s="66"/>
      <c r="DG708" s="66"/>
      <c r="DH708" s="66"/>
      <c r="DI708" s="66"/>
      <c r="DJ708" s="66"/>
      <c r="DK708" s="66"/>
      <c r="DL708" s="66"/>
      <c r="DM708" s="66"/>
      <c r="DN708" s="66"/>
      <c r="DO708" s="66"/>
      <c r="DP708" s="66"/>
      <c r="DQ708" s="66"/>
      <c r="DR708" s="66"/>
      <c r="DS708" s="66"/>
      <c r="DT708" s="66"/>
      <c r="DU708" s="65"/>
      <c r="DV708" s="67"/>
      <c r="DW708" s="68"/>
    </row>
    <row r="709" spans="4:127" s="80" customFormat="1">
      <c r="D709" s="58"/>
      <c r="E709" s="58"/>
      <c r="F709" s="58"/>
      <c r="G709" s="58"/>
      <c r="H709" s="58"/>
      <c r="I709" s="58"/>
      <c r="J709" s="58"/>
      <c r="K709" s="58"/>
      <c r="L709" s="58"/>
      <c r="M709" s="58"/>
      <c r="N709" s="58"/>
      <c r="O709" s="58"/>
      <c r="P709" s="58"/>
      <c r="Q709" s="58"/>
      <c r="R709" s="58"/>
      <c r="S709" s="58"/>
      <c r="T709" s="58"/>
      <c r="U709" s="58"/>
      <c r="V709" s="61"/>
      <c r="W709" s="61"/>
      <c r="X709" s="62"/>
      <c r="Y709" s="61"/>
      <c r="Z709" s="61"/>
      <c r="AA709" s="61"/>
      <c r="AB709" s="61"/>
      <c r="AC709" s="61"/>
      <c r="AD709" s="61"/>
      <c r="AE709" s="61"/>
      <c r="AF709" s="61"/>
      <c r="AG709" s="61"/>
      <c r="AH709" s="61"/>
      <c r="AI709" s="61"/>
      <c r="AJ709" s="62"/>
      <c r="AK709" s="61"/>
      <c r="AL709" s="62"/>
      <c r="AM709" s="61"/>
      <c r="AN709" s="61"/>
      <c r="AO709" s="61"/>
      <c r="AP709" s="63"/>
      <c r="AQ709" s="64"/>
      <c r="AR709" s="61"/>
      <c r="AS709" s="62"/>
      <c r="AT709" s="62"/>
      <c r="AU709" s="62"/>
      <c r="AV709" s="62"/>
      <c r="AW709" s="62"/>
      <c r="AX709" s="62"/>
      <c r="AY709" s="61"/>
      <c r="AZ709" s="61"/>
      <c r="BA709" s="61"/>
      <c r="BB709" s="61"/>
      <c r="BC709" s="61"/>
      <c r="BD709" s="61"/>
      <c r="BE709" s="61"/>
      <c r="BF709" s="61"/>
      <c r="BG709" s="61"/>
      <c r="BH709" s="61"/>
      <c r="BI709" s="61"/>
      <c r="BJ709" s="61"/>
      <c r="BK709" s="61"/>
      <c r="BL709" s="61"/>
      <c r="BM709" s="61"/>
      <c r="BN709" s="61"/>
      <c r="BO709" s="61"/>
      <c r="BP709" s="61"/>
      <c r="BQ709" s="61"/>
      <c r="BR709" s="61"/>
      <c r="BS709" s="61"/>
      <c r="BT709" s="61"/>
      <c r="BU709" s="61"/>
      <c r="BV709" s="61"/>
      <c r="BW709" s="61"/>
      <c r="BX709" s="61"/>
      <c r="BY709" s="61"/>
      <c r="BZ709" s="61"/>
      <c r="CA709" s="61"/>
      <c r="CB709" s="61"/>
      <c r="CC709" s="61"/>
      <c r="CD709" s="65"/>
      <c r="CE709" s="65"/>
      <c r="CF709" s="65"/>
      <c r="CG709" s="65"/>
      <c r="CH709" s="65"/>
      <c r="CI709" s="66"/>
      <c r="CJ709" s="66"/>
      <c r="CK709" s="66"/>
      <c r="CL709" s="66"/>
      <c r="CM709" s="66"/>
      <c r="CN709" s="66"/>
      <c r="CO709" s="66"/>
      <c r="CP709" s="66"/>
      <c r="CQ709" s="66"/>
      <c r="CR709" s="66"/>
      <c r="CS709" s="66"/>
      <c r="CT709" s="66"/>
      <c r="CU709" s="66"/>
      <c r="CV709" s="66"/>
      <c r="CW709" s="66"/>
      <c r="CX709" s="66"/>
      <c r="CY709" s="66"/>
      <c r="CZ709" s="66"/>
      <c r="DA709" s="66"/>
      <c r="DB709" s="66"/>
      <c r="DC709" s="66"/>
      <c r="DD709" s="66"/>
      <c r="DE709" s="66"/>
      <c r="DF709" s="66"/>
      <c r="DG709" s="66"/>
      <c r="DH709" s="66"/>
      <c r="DI709" s="66"/>
      <c r="DJ709" s="66"/>
      <c r="DK709" s="66"/>
      <c r="DL709" s="66"/>
      <c r="DM709" s="66"/>
      <c r="DN709" s="66"/>
      <c r="DO709" s="66"/>
      <c r="DP709" s="66"/>
      <c r="DQ709" s="66"/>
      <c r="DR709" s="66"/>
      <c r="DS709" s="66"/>
      <c r="DT709" s="66"/>
      <c r="DU709" s="65"/>
      <c r="DV709" s="67"/>
      <c r="DW709" s="68"/>
    </row>
    <row r="710" spans="4:127" s="80" customFormat="1">
      <c r="D710" s="58"/>
      <c r="E710" s="58"/>
      <c r="F710" s="58"/>
      <c r="G710" s="58"/>
      <c r="H710" s="58"/>
      <c r="I710" s="58"/>
      <c r="J710" s="58"/>
      <c r="K710" s="58"/>
      <c r="L710" s="58"/>
      <c r="M710" s="58"/>
      <c r="N710" s="58"/>
      <c r="O710" s="58"/>
      <c r="P710" s="58"/>
      <c r="Q710" s="58"/>
      <c r="R710" s="58"/>
      <c r="S710" s="58"/>
      <c r="T710" s="58"/>
      <c r="U710" s="58"/>
      <c r="V710" s="61"/>
      <c r="W710" s="61"/>
      <c r="X710" s="62"/>
      <c r="Y710" s="61"/>
      <c r="Z710" s="61"/>
      <c r="AA710" s="61"/>
      <c r="AB710" s="61"/>
      <c r="AC710" s="61"/>
      <c r="AD710" s="61"/>
      <c r="AE710" s="61"/>
      <c r="AF710" s="61"/>
      <c r="AG710" s="61"/>
      <c r="AH710" s="61"/>
      <c r="AI710" s="61"/>
      <c r="AJ710" s="62"/>
      <c r="AK710" s="61"/>
      <c r="AL710" s="62"/>
      <c r="AM710" s="61"/>
      <c r="AN710" s="61"/>
      <c r="AO710" s="61"/>
      <c r="AP710" s="63"/>
      <c r="AQ710" s="64"/>
      <c r="AR710" s="61"/>
      <c r="AS710" s="62"/>
      <c r="AT710" s="62"/>
      <c r="AU710" s="62"/>
      <c r="AV710" s="62"/>
      <c r="AW710" s="62"/>
      <c r="AX710" s="62"/>
      <c r="AY710" s="61"/>
      <c r="AZ710" s="61"/>
      <c r="BA710" s="61"/>
      <c r="BB710" s="61"/>
      <c r="BC710" s="61"/>
      <c r="BD710" s="61"/>
      <c r="BE710" s="61"/>
      <c r="BF710" s="61"/>
      <c r="BG710" s="61"/>
      <c r="BH710" s="61"/>
      <c r="BI710" s="61"/>
      <c r="BJ710" s="61"/>
      <c r="BK710" s="61"/>
      <c r="BL710" s="61"/>
      <c r="BM710" s="61"/>
      <c r="BN710" s="61"/>
      <c r="BO710" s="61"/>
      <c r="BP710" s="61"/>
      <c r="BQ710" s="61"/>
      <c r="BR710" s="61"/>
      <c r="BS710" s="61"/>
      <c r="BT710" s="61"/>
      <c r="BU710" s="61"/>
      <c r="BV710" s="61"/>
      <c r="BW710" s="61"/>
      <c r="BX710" s="61"/>
      <c r="BY710" s="61"/>
      <c r="BZ710" s="61"/>
      <c r="CA710" s="61"/>
      <c r="CB710" s="61"/>
      <c r="CC710" s="61"/>
      <c r="CD710" s="65"/>
      <c r="CE710" s="65"/>
      <c r="CF710" s="65"/>
      <c r="CG710" s="65"/>
      <c r="CH710" s="65"/>
      <c r="CI710" s="66"/>
      <c r="CJ710" s="66"/>
      <c r="CK710" s="66"/>
      <c r="CL710" s="66"/>
      <c r="CM710" s="66"/>
      <c r="CN710" s="66"/>
      <c r="CO710" s="66"/>
      <c r="CP710" s="66"/>
      <c r="CQ710" s="66"/>
      <c r="CR710" s="66"/>
      <c r="CS710" s="66"/>
      <c r="CT710" s="66"/>
      <c r="CU710" s="66"/>
      <c r="CV710" s="66"/>
      <c r="CW710" s="66"/>
      <c r="CX710" s="66"/>
      <c r="CY710" s="66"/>
      <c r="CZ710" s="66"/>
      <c r="DA710" s="66"/>
      <c r="DB710" s="66"/>
      <c r="DC710" s="66"/>
      <c r="DD710" s="66"/>
      <c r="DE710" s="66"/>
      <c r="DF710" s="66"/>
      <c r="DG710" s="66"/>
      <c r="DH710" s="66"/>
      <c r="DI710" s="66"/>
      <c r="DJ710" s="66"/>
      <c r="DK710" s="66"/>
      <c r="DL710" s="66"/>
      <c r="DM710" s="66"/>
      <c r="DN710" s="66"/>
      <c r="DO710" s="66"/>
      <c r="DP710" s="66"/>
      <c r="DQ710" s="66"/>
      <c r="DR710" s="66"/>
      <c r="DS710" s="66"/>
      <c r="DT710" s="66"/>
      <c r="DU710" s="65"/>
      <c r="DV710" s="67"/>
      <c r="DW710" s="68"/>
    </row>
    <row r="711" spans="4:127" s="80" customFormat="1">
      <c r="D711" s="58"/>
      <c r="E711" s="58"/>
      <c r="F711" s="58"/>
      <c r="G711" s="58"/>
      <c r="H711" s="58"/>
      <c r="I711" s="58"/>
      <c r="J711" s="58"/>
      <c r="K711" s="58"/>
      <c r="L711" s="58"/>
      <c r="M711" s="58"/>
      <c r="N711" s="58"/>
      <c r="O711" s="58"/>
      <c r="P711" s="58"/>
      <c r="Q711" s="58"/>
      <c r="R711" s="58"/>
      <c r="S711" s="58"/>
      <c r="T711" s="58"/>
      <c r="U711" s="58"/>
      <c r="V711" s="61"/>
      <c r="W711" s="61"/>
      <c r="X711" s="62"/>
      <c r="Y711" s="61"/>
      <c r="Z711" s="61"/>
      <c r="AA711" s="61"/>
      <c r="AB711" s="61"/>
      <c r="AC711" s="61"/>
      <c r="AD711" s="61"/>
      <c r="AE711" s="61"/>
      <c r="AF711" s="61"/>
      <c r="AG711" s="61"/>
      <c r="AH711" s="61"/>
      <c r="AI711" s="61"/>
      <c r="AJ711" s="62"/>
      <c r="AK711" s="61"/>
      <c r="AL711" s="62"/>
      <c r="AM711" s="61"/>
      <c r="AN711" s="61"/>
      <c r="AO711" s="61"/>
      <c r="AP711" s="63"/>
      <c r="AQ711" s="64"/>
      <c r="AR711" s="61"/>
      <c r="AS711" s="62"/>
      <c r="AT711" s="62"/>
      <c r="AU711" s="62"/>
      <c r="AV711" s="62"/>
      <c r="AW711" s="62"/>
      <c r="AX711" s="62"/>
      <c r="AY711" s="61"/>
      <c r="AZ711" s="61"/>
      <c r="BA711" s="61"/>
      <c r="BB711" s="61"/>
      <c r="BC711" s="61"/>
      <c r="BD711" s="61"/>
      <c r="BE711" s="61"/>
      <c r="BF711" s="61"/>
      <c r="BG711" s="61"/>
      <c r="BH711" s="61"/>
      <c r="BI711" s="61"/>
      <c r="BJ711" s="61"/>
      <c r="BK711" s="61"/>
      <c r="BL711" s="61"/>
      <c r="BM711" s="61"/>
      <c r="BN711" s="61"/>
      <c r="BO711" s="61"/>
      <c r="BP711" s="61"/>
      <c r="BQ711" s="61"/>
      <c r="BR711" s="61"/>
      <c r="BS711" s="61"/>
      <c r="BT711" s="61"/>
      <c r="BU711" s="61"/>
      <c r="BV711" s="61"/>
      <c r="BW711" s="61"/>
      <c r="BX711" s="61"/>
      <c r="BY711" s="61"/>
      <c r="BZ711" s="61"/>
      <c r="CA711" s="61"/>
      <c r="CB711" s="61"/>
      <c r="CC711" s="61"/>
      <c r="CD711" s="65"/>
      <c r="CE711" s="65"/>
      <c r="CF711" s="65"/>
      <c r="CG711" s="65"/>
      <c r="CH711" s="65"/>
      <c r="CI711" s="66"/>
      <c r="CJ711" s="66"/>
      <c r="CK711" s="66"/>
      <c r="CL711" s="66"/>
      <c r="CM711" s="66"/>
      <c r="CN711" s="66"/>
      <c r="CO711" s="66"/>
      <c r="CP711" s="66"/>
      <c r="CQ711" s="66"/>
      <c r="CR711" s="66"/>
      <c r="CS711" s="66"/>
      <c r="CT711" s="66"/>
      <c r="CU711" s="66"/>
      <c r="CV711" s="66"/>
      <c r="CW711" s="66"/>
      <c r="CX711" s="66"/>
      <c r="CY711" s="66"/>
      <c r="CZ711" s="66"/>
      <c r="DA711" s="66"/>
      <c r="DB711" s="66"/>
      <c r="DC711" s="66"/>
      <c r="DD711" s="66"/>
      <c r="DE711" s="66"/>
      <c r="DF711" s="66"/>
      <c r="DG711" s="66"/>
      <c r="DH711" s="66"/>
      <c r="DI711" s="66"/>
      <c r="DJ711" s="66"/>
      <c r="DK711" s="66"/>
      <c r="DL711" s="66"/>
      <c r="DM711" s="66"/>
      <c r="DN711" s="66"/>
      <c r="DO711" s="66"/>
      <c r="DP711" s="66"/>
      <c r="DQ711" s="66"/>
      <c r="DR711" s="66"/>
      <c r="DS711" s="66"/>
      <c r="DT711" s="66"/>
      <c r="DU711" s="65"/>
      <c r="DV711" s="67"/>
      <c r="DW711" s="68"/>
    </row>
    <row r="712" spans="4:127" s="80" customFormat="1">
      <c r="D712" s="58"/>
      <c r="E712" s="58"/>
      <c r="F712" s="58"/>
      <c r="G712" s="58"/>
      <c r="H712" s="58"/>
      <c r="I712" s="58"/>
      <c r="J712" s="58"/>
      <c r="K712" s="58"/>
      <c r="L712" s="58"/>
      <c r="M712" s="58"/>
      <c r="N712" s="58"/>
      <c r="O712" s="58"/>
      <c r="P712" s="58"/>
      <c r="Q712" s="58"/>
      <c r="R712" s="58"/>
      <c r="S712" s="58"/>
      <c r="T712" s="58"/>
      <c r="U712" s="58"/>
      <c r="V712" s="61"/>
      <c r="W712" s="61"/>
      <c r="X712" s="62"/>
      <c r="Y712" s="61"/>
      <c r="Z712" s="61"/>
      <c r="AA712" s="61"/>
      <c r="AB712" s="61"/>
      <c r="AC712" s="61"/>
      <c r="AD712" s="61"/>
      <c r="AE712" s="61"/>
      <c r="AF712" s="61"/>
      <c r="AG712" s="61"/>
      <c r="AH712" s="61"/>
      <c r="AI712" s="61"/>
      <c r="AJ712" s="62"/>
      <c r="AK712" s="61"/>
      <c r="AL712" s="62"/>
      <c r="AM712" s="61"/>
      <c r="AN712" s="61"/>
      <c r="AO712" s="61"/>
      <c r="AP712" s="63"/>
      <c r="AQ712" s="64"/>
      <c r="AR712" s="61"/>
      <c r="AS712" s="62"/>
      <c r="AT712" s="62"/>
      <c r="AU712" s="62"/>
      <c r="AV712" s="62"/>
      <c r="AW712" s="62"/>
      <c r="AX712" s="62"/>
      <c r="AY712" s="61"/>
      <c r="AZ712" s="61"/>
      <c r="BA712" s="61"/>
      <c r="BB712" s="61"/>
      <c r="BC712" s="61"/>
      <c r="BD712" s="61"/>
      <c r="BE712" s="61"/>
      <c r="BF712" s="61"/>
      <c r="BG712" s="61"/>
      <c r="BH712" s="61"/>
      <c r="BI712" s="61"/>
      <c r="BJ712" s="61"/>
      <c r="BK712" s="61"/>
      <c r="BL712" s="61"/>
      <c r="BM712" s="61"/>
      <c r="BN712" s="61"/>
      <c r="BO712" s="61"/>
      <c r="BP712" s="61"/>
      <c r="BQ712" s="61"/>
      <c r="BR712" s="61"/>
      <c r="BS712" s="61"/>
      <c r="BT712" s="61"/>
      <c r="BU712" s="61"/>
      <c r="BV712" s="61"/>
      <c r="BW712" s="61"/>
      <c r="BX712" s="61"/>
      <c r="BY712" s="61"/>
      <c r="BZ712" s="61"/>
      <c r="CA712" s="61"/>
      <c r="CB712" s="61"/>
      <c r="CC712" s="61"/>
      <c r="CD712" s="65"/>
      <c r="CE712" s="65"/>
      <c r="CF712" s="65"/>
      <c r="CG712" s="65"/>
      <c r="CH712" s="65"/>
      <c r="CI712" s="66"/>
      <c r="CJ712" s="66"/>
      <c r="CK712" s="66"/>
      <c r="CL712" s="66"/>
      <c r="CM712" s="66"/>
      <c r="CN712" s="66"/>
      <c r="CO712" s="66"/>
      <c r="CP712" s="66"/>
      <c r="CQ712" s="66"/>
      <c r="CR712" s="66"/>
      <c r="CS712" s="66"/>
      <c r="CT712" s="66"/>
      <c r="CU712" s="66"/>
      <c r="CV712" s="66"/>
      <c r="CW712" s="66"/>
      <c r="CX712" s="66"/>
      <c r="CY712" s="66"/>
      <c r="CZ712" s="66"/>
      <c r="DA712" s="66"/>
      <c r="DB712" s="66"/>
      <c r="DC712" s="66"/>
      <c r="DD712" s="66"/>
      <c r="DE712" s="66"/>
      <c r="DF712" s="66"/>
      <c r="DG712" s="66"/>
      <c r="DH712" s="66"/>
      <c r="DI712" s="66"/>
      <c r="DJ712" s="66"/>
      <c r="DK712" s="66"/>
      <c r="DL712" s="66"/>
      <c r="DM712" s="66"/>
      <c r="DN712" s="66"/>
      <c r="DO712" s="66"/>
      <c r="DP712" s="66"/>
      <c r="DQ712" s="66"/>
      <c r="DR712" s="66"/>
      <c r="DS712" s="66"/>
      <c r="DT712" s="66"/>
      <c r="DU712" s="65"/>
      <c r="DV712" s="67"/>
      <c r="DW712" s="68"/>
    </row>
    <row r="713" spans="4:127" s="80" customFormat="1">
      <c r="D713" s="58"/>
      <c r="E713" s="58"/>
      <c r="F713" s="58"/>
      <c r="G713" s="58"/>
      <c r="H713" s="58"/>
      <c r="I713" s="58"/>
      <c r="J713" s="58"/>
      <c r="K713" s="58"/>
      <c r="L713" s="58"/>
      <c r="M713" s="58"/>
      <c r="N713" s="58"/>
      <c r="O713" s="58"/>
      <c r="P713" s="58"/>
      <c r="Q713" s="58"/>
      <c r="R713" s="58"/>
      <c r="S713" s="58"/>
      <c r="T713" s="58"/>
      <c r="U713" s="58"/>
      <c r="V713" s="61"/>
      <c r="W713" s="61"/>
      <c r="X713" s="62"/>
      <c r="Y713" s="61"/>
      <c r="Z713" s="61"/>
      <c r="AA713" s="61"/>
      <c r="AB713" s="61"/>
      <c r="AC713" s="61"/>
      <c r="AD713" s="61"/>
      <c r="AE713" s="61"/>
      <c r="AF713" s="61"/>
      <c r="AG713" s="61"/>
      <c r="AH713" s="61"/>
      <c r="AI713" s="61"/>
      <c r="AJ713" s="62"/>
      <c r="AK713" s="61"/>
      <c r="AL713" s="62"/>
      <c r="AM713" s="61"/>
      <c r="AN713" s="61"/>
      <c r="AO713" s="61"/>
      <c r="AP713" s="63"/>
      <c r="AQ713" s="64"/>
      <c r="AR713" s="61"/>
      <c r="AS713" s="62"/>
      <c r="AT713" s="62"/>
      <c r="AU713" s="62"/>
      <c r="AV713" s="62"/>
      <c r="AW713" s="62"/>
      <c r="AX713" s="62"/>
      <c r="AY713" s="61"/>
      <c r="AZ713" s="61"/>
      <c r="BA713" s="61"/>
      <c r="BB713" s="61"/>
      <c r="BC713" s="61"/>
      <c r="BD713" s="61"/>
      <c r="BE713" s="61"/>
      <c r="BF713" s="61"/>
      <c r="BG713" s="61"/>
      <c r="BH713" s="61"/>
      <c r="BI713" s="61"/>
      <c r="BJ713" s="61"/>
      <c r="BK713" s="61"/>
      <c r="BL713" s="61"/>
      <c r="BM713" s="61"/>
      <c r="BN713" s="61"/>
      <c r="BO713" s="61"/>
      <c r="BP713" s="61"/>
      <c r="BQ713" s="61"/>
      <c r="BR713" s="61"/>
      <c r="BS713" s="61"/>
      <c r="BT713" s="61"/>
      <c r="BU713" s="61"/>
      <c r="BV713" s="61"/>
      <c r="BW713" s="61"/>
      <c r="BX713" s="61"/>
      <c r="BY713" s="61"/>
      <c r="BZ713" s="61"/>
      <c r="CA713" s="61"/>
      <c r="CB713" s="61"/>
      <c r="CC713" s="61"/>
      <c r="CD713" s="65"/>
      <c r="CE713" s="65"/>
      <c r="CF713" s="65"/>
      <c r="CG713" s="65"/>
      <c r="CH713" s="65"/>
      <c r="CI713" s="66"/>
      <c r="CJ713" s="66"/>
      <c r="CK713" s="66"/>
      <c r="CL713" s="66"/>
      <c r="CM713" s="66"/>
      <c r="CN713" s="66"/>
      <c r="CO713" s="66"/>
      <c r="CP713" s="66"/>
      <c r="CQ713" s="66"/>
      <c r="CR713" s="66"/>
      <c r="CS713" s="66"/>
      <c r="CT713" s="66"/>
      <c r="CU713" s="66"/>
      <c r="CV713" s="66"/>
      <c r="CW713" s="66"/>
      <c r="CX713" s="66"/>
      <c r="CY713" s="66"/>
      <c r="CZ713" s="66"/>
      <c r="DA713" s="66"/>
      <c r="DB713" s="66"/>
      <c r="DC713" s="66"/>
      <c r="DD713" s="66"/>
      <c r="DE713" s="66"/>
      <c r="DF713" s="66"/>
      <c r="DG713" s="66"/>
      <c r="DH713" s="66"/>
      <c r="DI713" s="66"/>
      <c r="DJ713" s="66"/>
      <c r="DK713" s="66"/>
      <c r="DL713" s="66"/>
      <c r="DM713" s="66"/>
      <c r="DN713" s="66"/>
      <c r="DO713" s="66"/>
      <c r="DP713" s="66"/>
      <c r="DQ713" s="66"/>
      <c r="DR713" s="66"/>
      <c r="DS713" s="66"/>
      <c r="DT713" s="66"/>
      <c r="DU713" s="65"/>
      <c r="DV713" s="67"/>
      <c r="DW713" s="68"/>
    </row>
    <row r="714" spans="4:127" s="80" customFormat="1">
      <c r="D714" s="58"/>
      <c r="E714" s="58"/>
      <c r="F714" s="58"/>
      <c r="G714" s="58"/>
      <c r="H714" s="58"/>
      <c r="I714" s="58"/>
      <c r="J714" s="58"/>
      <c r="K714" s="58"/>
      <c r="L714" s="58"/>
      <c r="M714" s="58"/>
      <c r="N714" s="58"/>
      <c r="O714" s="58"/>
      <c r="P714" s="58"/>
      <c r="Q714" s="58"/>
      <c r="R714" s="58"/>
      <c r="S714" s="58"/>
      <c r="T714" s="58"/>
      <c r="U714" s="58"/>
      <c r="V714" s="61"/>
      <c r="W714" s="61"/>
      <c r="X714" s="62"/>
      <c r="Y714" s="61"/>
      <c r="Z714" s="61"/>
      <c r="AA714" s="61"/>
      <c r="AB714" s="61"/>
      <c r="AC714" s="61"/>
      <c r="AD714" s="61"/>
      <c r="AE714" s="61"/>
      <c r="AF714" s="61"/>
      <c r="AG714" s="61"/>
      <c r="AH714" s="61"/>
      <c r="AI714" s="61"/>
      <c r="AJ714" s="62"/>
      <c r="AK714" s="61"/>
      <c r="AL714" s="62"/>
      <c r="AM714" s="61"/>
      <c r="AN714" s="61"/>
      <c r="AO714" s="61"/>
      <c r="AP714" s="63"/>
      <c r="AQ714" s="64"/>
      <c r="AR714" s="61"/>
      <c r="AS714" s="62"/>
      <c r="AT714" s="62"/>
      <c r="AU714" s="62"/>
      <c r="AV714" s="62"/>
      <c r="AW714" s="62"/>
      <c r="AX714" s="62"/>
      <c r="AY714" s="61"/>
      <c r="AZ714" s="61"/>
      <c r="BA714" s="61"/>
      <c r="BB714" s="61"/>
      <c r="BC714" s="61"/>
      <c r="BD714" s="61"/>
      <c r="BE714" s="61"/>
      <c r="BF714" s="61"/>
      <c r="BG714" s="61"/>
      <c r="BH714" s="61"/>
      <c r="BI714" s="61"/>
      <c r="BJ714" s="61"/>
      <c r="BK714" s="61"/>
      <c r="BL714" s="61"/>
      <c r="BM714" s="61"/>
      <c r="BN714" s="61"/>
      <c r="BO714" s="61"/>
      <c r="BP714" s="61"/>
      <c r="BQ714" s="61"/>
      <c r="BR714" s="61"/>
      <c r="BS714" s="61"/>
      <c r="BT714" s="61"/>
      <c r="BU714" s="61"/>
      <c r="BV714" s="61"/>
      <c r="BW714" s="61"/>
      <c r="BX714" s="61"/>
      <c r="BY714" s="61"/>
      <c r="BZ714" s="61"/>
      <c r="CA714" s="61"/>
      <c r="CB714" s="61"/>
      <c r="CC714" s="61"/>
      <c r="CD714" s="65"/>
      <c r="CE714" s="65"/>
      <c r="CF714" s="65"/>
      <c r="CG714" s="65"/>
      <c r="CH714" s="65"/>
      <c r="CI714" s="66"/>
      <c r="CJ714" s="66"/>
      <c r="CK714" s="66"/>
      <c r="CL714" s="66"/>
      <c r="CM714" s="66"/>
      <c r="CN714" s="66"/>
      <c r="CO714" s="66"/>
      <c r="CP714" s="66"/>
      <c r="CQ714" s="66"/>
      <c r="CR714" s="66"/>
      <c r="CS714" s="66"/>
      <c r="CT714" s="66"/>
      <c r="CU714" s="66"/>
      <c r="CV714" s="66"/>
      <c r="CW714" s="66"/>
      <c r="CX714" s="66"/>
      <c r="CY714" s="66"/>
      <c r="CZ714" s="66"/>
      <c r="DA714" s="66"/>
      <c r="DB714" s="66"/>
      <c r="DC714" s="66"/>
      <c r="DD714" s="66"/>
      <c r="DE714" s="66"/>
      <c r="DF714" s="66"/>
      <c r="DG714" s="66"/>
      <c r="DH714" s="66"/>
      <c r="DI714" s="66"/>
      <c r="DJ714" s="66"/>
      <c r="DK714" s="66"/>
      <c r="DL714" s="66"/>
      <c r="DM714" s="66"/>
      <c r="DN714" s="66"/>
      <c r="DO714" s="66"/>
      <c r="DP714" s="66"/>
      <c r="DQ714" s="66"/>
      <c r="DR714" s="66"/>
      <c r="DS714" s="66"/>
      <c r="DT714" s="66"/>
      <c r="DU714" s="65"/>
      <c r="DV714" s="67"/>
      <c r="DW714" s="68"/>
    </row>
    <row r="715" spans="4:127" s="80" customFormat="1">
      <c r="D715" s="58"/>
      <c r="E715" s="58"/>
      <c r="F715" s="58"/>
      <c r="G715" s="58"/>
      <c r="H715" s="58"/>
      <c r="I715" s="58"/>
      <c r="J715" s="58"/>
      <c r="K715" s="58"/>
      <c r="L715" s="58"/>
      <c r="M715" s="58"/>
      <c r="N715" s="58"/>
      <c r="O715" s="58"/>
      <c r="P715" s="58"/>
      <c r="Q715" s="58"/>
      <c r="R715" s="58"/>
      <c r="S715" s="58"/>
      <c r="T715" s="58"/>
      <c r="U715" s="58"/>
      <c r="V715" s="61"/>
      <c r="W715" s="61"/>
      <c r="X715" s="62"/>
      <c r="Y715" s="61"/>
      <c r="Z715" s="61"/>
      <c r="AA715" s="61"/>
      <c r="AB715" s="61"/>
      <c r="AC715" s="61"/>
      <c r="AD715" s="61"/>
      <c r="AE715" s="61"/>
      <c r="AF715" s="61"/>
      <c r="AG715" s="61"/>
      <c r="AH715" s="61"/>
      <c r="AI715" s="61"/>
      <c r="AJ715" s="62"/>
      <c r="AK715" s="61"/>
      <c r="AL715" s="62"/>
      <c r="AM715" s="61"/>
      <c r="AN715" s="61"/>
      <c r="AO715" s="61"/>
      <c r="AP715" s="63"/>
      <c r="AQ715" s="64"/>
      <c r="AR715" s="61"/>
      <c r="AS715" s="62"/>
      <c r="AT715" s="62"/>
      <c r="AU715" s="62"/>
      <c r="AV715" s="62"/>
      <c r="AW715" s="62"/>
      <c r="AX715" s="62"/>
      <c r="AY715" s="61"/>
      <c r="AZ715" s="61"/>
      <c r="BA715" s="61"/>
      <c r="BB715" s="61"/>
      <c r="BC715" s="61"/>
      <c r="BD715" s="61"/>
      <c r="BE715" s="61"/>
      <c r="BF715" s="61"/>
      <c r="BG715" s="61"/>
      <c r="BH715" s="61"/>
      <c r="BI715" s="61"/>
      <c r="BJ715" s="61"/>
      <c r="BK715" s="61"/>
      <c r="BL715" s="61"/>
      <c r="BM715" s="61"/>
      <c r="BN715" s="61"/>
      <c r="BO715" s="61"/>
      <c r="BP715" s="61"/>
      <c r="BQ715" s="61"/>
      <c r="BR715" s="61"/>
      <c r="BS715" s="61"/>
      <c r="BT715" s="61"/>
      <c r="BU715" s="61"/>
      <c r="BV715" s="61"/>
      <c r="BW715" s="61"/>
      <c r="BX715" s="61"/>
      <c r="BY715" s="61"/>
      <c r="BZ715" s="61"/>
      <c r="CA715" s="61"/>
      <c r="CB715" s="61"/>
      <c r="CC715" s="61"/>
      <c r="CD715" s="65"/>
      <c r="CE715" s="65"/>
      <c r="CF715" s="65"/>
      <c r="CG715" s="65"/>
      <c r="CH715" s="65"/>
      <c r="CI715" s="66"/>
      <c r="CJ715" s="66"/>
      <c r="CK715" s="66"/>
      <c r="CL715" s="66"/>
      <c r="CM715" s="66"/>
      <c r="CN715" s="66"/>
      <c r="CO715" s="66"/>
      <c r="CP715" s="66"/>
      <c r="CQ715" s="66"/>
      <c r="CR715" s="66"/>
      <c r="CS715" s="66"/>
      <c r="CT715" s="66"/>
      <c r="CU715" s="66"/>
      <c r="CV715" s="66"/>
      <c r="CW715" s="66"/>
      <c r="CX715" s="66"/>
      <c r="CY715" s="66"/>
      <c r="CZ715" s="66"/>
      <c r="DA715" s="66"/>
      <c r="DB715" s="66"/>
      <c r="DC715" s="66"/>
      <c r="DD715" s="66"/>
      <c r="DE715" s="66"/>
      <c r="DF715" s="66"/>
      <c r="DG715" s="66"/>
      <c r="DH715" s="66"/>
      <c r="DI715" s="66"/>
      <c r="DJ715" s="66"/>
      <c r="DK715" s="66"/>
      <c r="DL715" s="66"/>
      <c r="DM715" s="66"/>
      <c r="DN715" s="66"/>
      <c r="DO715" s="66"/>
      <c r="DP715" s="66"/>
      <c r="DQ715" s="66"/>
      <c r="DR715" s="66"/>
      <c r="DS715" s="66"/>
      <c r="DT715" s="66"/>
      <c r="DU715" s="65"/>
      <c r="DV715" s="67"/>
      <c r="DW715" s="68"/>
    </row>
    <row r="716" spans="4:127" s="80" customFormat="1">
      <c r="D716" s="58"/>
      <c r="E716" s="58"/>
      <c r="F716" s="58"/>
      <c r="G716" s="58"/>
      <c r="H716" s="58"/>
      <c r="I716" s="58"/>
      <c r="J716" s="58"/>
      <c r="K716" s="58"/>
      <c r="L716" s="58"/>
      <c r="M716" s="58"/>
      <c r="N716" s="58"/>
      <c r="O716" s="58"/>
      <c r="P716" s="58"/>
      <c r="Q716" s="58"/>
      <c r="R716" s="58"/>
      <c r="S716" s="58"/>
      <c r="T716" s="58"/>
      <c r="U716" s="58"/>
      <c r="V716" s="61"/>
      <c r="W716" s="61"/>
      <c r="X716" s="62"/>
      <c r="Y716" s="61"/>
      <c r="Z716" s="61"/>
      <c r="AA716" s="61"/>
      <c r="AB716" s="61"/>
      <c r="AC716" s="61"/>
      <c r="AD716" s="61"/>
      <c r="AE716" s="61"/>
      <c r="AF716" s="61"/>
      <c r="AG716" s="61"/>
      <c r="AH716" s="61"/>
      <c r="AI716" s="61"/>
      <c r="AJ716" s="62"/>
      <c r="AK716" s="61"/>
      <c r="AL716" s="62"/>
      <c r="AM716" s="61"/>
      <c r="AN716" s="61"/>
      <c r="AO716" s="61"/>
      <c r="AP716" s="63"/>
      <c r="AQ716" s="64"/>
      <c r="AR716" s="61"/>
      <c r="AS716" s="62"/>
      <c r="AT716" s="62"/>
      <c r="AU716" s="62"/>
      <c r="AV716" s="62"/>
      <c r="AW716" s="62"/>
      <c r="AX716" s="62"/>
      <c r="AY716" s="61"/>
      <c r="AZ716" s="61"/>
      <c r="BA716" s="61"/>
      <c r="BB716" s="61"/>
      <c r="BC716" s="61"/>
      <c r="BD716" s="61"/>
      <c r="BE716" s="61"/>
      <c r="BF716" s="61"/>
      <c r="BG716" s="61"/>
      <c r="BH716" s="61"/>
      <c r="BI716" s="61"/>
      <c r="BJ716" s="61"/>
      <c r="BK716" s="61"/>
      <c r="BL716" s="61"/>
      <c r="BM716" s="61"/>
      <c r="BN716" s="61"/>
      <c r="BO716" s="61"/>
      <c r="BP716" s="61"/>
      <c r="BQ716" s="61"/>
      <c r="BR716" s="61"/>
      <c r="BS716" s="61"/>
      <c r="BT716" s="61"/>
      <c r="BU716" s="61"/>
      <c r="BV716" s="61"/>
      <c r="BW716" s="61"/>
      <c r="BX716" s="61"/>
      <c r="BY716" s="61"/>
      <c r="BZ716" s="61"/>
      <c r="CA716" s="61"/>
      <c r="CB716" s="61"/>
      <c r="CC716" s="61"/>
      <c r="CD716" s="65"/>
      <c r="CE716" s="65"/>
      <c r="CF716" s="65"/>
      <c r="CG716" s="65"/>
      <c r="CH716" s="65"/>
      <c r="CI716" s="66"/>
      <c r="CJ716" s="66"/>
      <c r="CK716" s="66"/>
      <c r="CL716" s="66"/>
      <c r="CM716" s="66"/>
      <c r="CN716" s="66"/>
      <c r="CO716" s="66"/>
      <c r="CP716" s="66"/>
      <c r="CQ716" s="66"/>
      <c r="CR716" s="66"/>
      <c r="CS716" s="66"/>
      <c r="CT716" s="66"/>
      <c r="CU716" s="66"/>
      <c r="CV716" s="66"/>
      <c r="CW716" s="66"/>
      <c r="CX716" s="66"/>
      <c r="CY716" s="66"/>
      <c r="CZ716" s="66"/>
      <c r="DA716" s="66"/>
      <c r="DB716" s="66"/>
      <c r="DC716" s="66"/>
      <c r="DD716" s="66"/>
      <c r="DE716" s="66"/>
      <c r="DF716" s="66"/>
      <c r="DG716" s="66"/>
      <c r="DH716" s="66"/>
      <c r="DI716" s="66"/>
      <c r="DJ716" s="66"/>
      <c r="DK716" s="66"/>
      <c r="DL716" s="66"/>
      <c r="DM716" s="66"/>
      <c r="DN716" s="66"/>
      <c r="DO716" s="66"/>
      <c r="DP716" s="66"/>
      <c r="DQ716" s="66"/>
      <c r="DR716" s="66"/>
      <c r="DS716" s="66"/>
      <c r="DT716" s="66"/>
      <c r="DU716" s="65"/>
      <c r="DV716" s="67"/>
      <c r="DW716" s="68"/>
    </row>
    <row r="717" spans="4:127" s="80" customFormat="1">
      <c r="D717" s="58"/>
      <c r="E717" s="58"/>
      <c r="F717" s="58"/>
      <c r="G717" s="58"/>
      <c r="H717" s="58"/>
      <c r="I717" s="58"/>
      <c r="J717" s="58"/>
      <c r="K717" s="58"/>
      <c r="L717" s="58"/>
      <c r="M717" s="58"/>
      <c r="N717" s="58"/>
      <c r="O717" s="58"/>
      <c r="P717" s="58"/>
      <c r="Q717" s="58"/>
      <c r="R717" s="58"/>
      <c r="S717" s="58"/>
      <c r="T717" s="58"/>
      <c r="U717" s="58"/>
      <c r="V717" s="61"/>
      <c r="W717" s="61"/>
      <c r="X717" s="62"/>
      <c r="Y717" s="61"/>
      <c r="Z717" s="61"/>
      <c r="AA717" s="61"/>
      <c r="AB717" s="61"/>
      <c r="AC717" s="61"/>
      <c r="AD717" s="61"/>
      <c r="AE717" s="61"/>
      <c r="AF717" s="61"/>
      <c r="AG717" s="61"/>
      <c r="AH717" s="61"/>
      <c r="AI717" s="61"/>
      <c r="AJ717" s="62"/>
      <c r="AK717" s="61"/>
      <c r="AL717" s="62"/>
      <c r="AM717" s="61"/>
      <c r="AN717" s="61"/>
      <c r="AO717" s="61"/>
      <c r="AP717" s="63"/>
      <c r="AQ717" s="64"/>
      <c r="AR717" s="61"/>
      <c r="AS717" s="62"/>
      <c r="AT717" s="62"/>
      <c r="AU717" s="62"/>
      <c r="AV717" s="62"/>
      <c r="AW717" s="62"/>
      <c r="AX717" s="62"/>
      <c r="AY717" s="61"/>
      <c r="AZ717" s="61"/>
      <c r="BA717" s="61"/>
      <c r="BB717" s="61"/>
      <c r="BC717" s="61"/>
      <c r="BD717" s="61"/>
      <c r="BE717" s="61"/>
      <c r="BF717" s="61"/>
      <c r="BG717" s="61"/>
      <c r="BH717" s="61"/>
      <c r="BI717" s="61"/>
      <c r="BJ717" s="61"/>
      <c r="BK717" s="61"/>
      <c r="BL717" s="61"/>
      <c r="BM717" s="61"/>
      <c r="BN717" s="61"/>
      <c r="BO717" s="61"/>
      <c r="BP717" s="61"/>
      <c r="BQ717" s="61"/>
      <c r="BR717" s="61"/>
      <c r="BS717" s="61"/>
      <c r="BT717" s="61"/>
      <c r="BU717" s="61"/>
      <c r="BV717" s="61"/>
      <c r="BW717" s="61"/>
      <c r="BX717" s="61"/>
      <c r="BY717" s="61"/>
      <c r="BZ717" s="61"/>
      <c r="CA717" s="61"/>
      <c r="CB717" s="61"/>
      <c r="CC717" s="61"/>
      <c r="CD717" s="65"/>
      <c r="CE717" s="65"/>
      <c r="CF717" s="65"/>
      <c r="CG717" s="65"/>
      <c r="CH717" s="65"/>
      <c r="CI717" s="66"/>
      <c r="CJ717" s="66"/>
      <c r="CK717" s="66"/>
      <c r="CL717" s="66"/>
      <c r="CM717" s="66"/>
      <c r="CN717" s="66"/>
      <c r="CO717" s="66"/>
      <c r="CP717" s="66"/>
      <c r="CQ717" s="66"/>
      <c r="CR717" s="66"/>
      <c r="CS717" s="66"/>
      <c r="CT717" s="66"/>
      <c r="CU717" s="66"/>
      <c r="CV717" s="66"/>
      <c r="CW717" s="66"/>
      <c r="CX717" s="66"/>
      <c r="CY717" s="66"/>
      <c r="CZ717" s="66"/>
      <c r="DA717" s="66"/>
      <c r="DB717" s="66"/>
      <c r="DC717" s="66"/>
      <c r="DD717" s="66"/>
      <c r="DE717" s="66"/>
      <c r="DF717" s="66"/>
      <c r="DG717" s="66"/>
      <c r="DH717" s="66"/>
      <c r="DI717" s="66"/>
      <c r="DJ717" s="66"/>
      <c r="DK717" s="66"/>
      <c r="DL717" s="66"/>
      <c r="DM717" s="66"/>
      <c r="DN717" s="66"/>
      <c r="DO717" s="66"/>
      <c r="DP717" s="66"/>
      <c r="DQ717" s="66"/>
      <c r="DR717" s="66"/>
      <c r="DS717" s="66"/>
      <c r="DT717" s="66"/>
      <c r="DU717" s="65"/>
      <c r="DV717" s="67"/>
      <c r="DW717" s="68"/>
    </row>
    <row r="718" spans="4:127" s="80" customFormat="1">
      <c r="D718" s="58"/>
      <c r="E718" s="58"/>
      <c r="F718" s="58"/>
      <c r="G718" s="58"/>
      <c r="H718" s="58"/>
      <c r="I718" s="58"/>
      <c r="J718" s="58"/>
      <c r="K718" s="58"/>
      <c r="L718" s="58"/>
      <c r="M718" s="58"/>
      <c r="N718" s="58"/>
      <c r="O718" s="58"/>
      <c r="P718" s="58"/>
      <c r="Q718" s="58"/>
      <c r="R718" s="58"/>
      <c r="S718" s="58"/>
      <c r="T718" s="58"/>
      <c r="U718" s="58"/>
      <c r="V718" s="61"/>
      <c r="W718" s="61"/>
      <c r="X718" s="62"/>
      <c r="Y718" s="61"/>
      <c r="Z718" s="61"/>
      <c r="AA718" s="61"/>
      <c r="AB718" s="61"/>
      <c r="AC718" s="61"/>
      <c r="AD718" s="61"/>
      <c r="AE718" s="61"/>
      <c r="AF718" s="61"/>
      <c r="AG718" s="61"/>
      <c r="AH718" s="61"/>
      <c r="AI718" s="61"/>
      <c r="AJ718" s="62"/>
      <c r="AK718" s="61"/>
      <c r="AL718" s="62"/>
      <c r="AM718" s="61"/>
      <c r="AN718" s="61"/>
      <c r="AO718" s="61"/>
      <c r="AP718" s="63"/>
      <c r="AQ718" s="64"/>
      <c r="AR718" s="61"/>
      <c r="AS718" s="62"/>
      <c r="AT718" s="62"/>
      <c r="AU718" s="62"/>
      <c r="AV718" s="62"/>
      <c r="AW718" s="62"/>
      <c r="AX718" s="62"/>
      <c r="AY718" s="61"/>
      <c r="AZ718" s="61"/>
      <c r="BA718" s="61"/>
      <c r="BB718" s="61"/>
      <c r="BC718" s="61"/>
      <c r="BD718" s="61"/>
      <c r="BE718" s="61"/>
      <c r="BF718" s="61"/>
      <c r="BG718" s="61"/>
      <c r="BH718" s="61"/>
      <c r="BI718" s="61"/>
      <c r="BJ718" s="61"/>
      <c r="BK718" s="61"/>
      <c r="BL718" s="61"/>
      <c r="BM718" s="61"/>
      <c r="BN718" s="61"/>
      <c r="BO718" s="61"/>
      <c r="BP718" s="61"/>
      <c r="BQ718" s="61"/>
      <c r="BR718" s="61"/>
      <c r="BS718" s="61"/>
      <c r="BT718" s="61"/>
      <c r="BU718" s="61"/>
      <c r="BV718" s="61"/>
      <c r="BW718" s="61"/>
      <c r="BX718" s="61"/>
      <c r="BY718" s="61"/>
      <c r="BZ718" s="61"/>
      <c r="CA718" s="61"/>
      <c r="CB718" s="61"/>
      <c r="CC718" s="61"/>
      <c r="CD718" s="65"/>
      <c r="CE718" s="65"/>
      <c r="CF718" s="65"/>
      <c r="CG718" s="65"/>
      <c r="CH718" s="65"/>
      <c r="CI718" s="66"/>
      <c r="CJ718" s="66"/>
      <c r="CK718" s="66"/>
      <c r="CL718" s="66"/>
      <c r="CM718" s="66"/>
      <c r="CN718" s="66"/>
      <c r="CO718" s="66"/>
      <c r="CP718" s="66"/>
      <c r="CQ718" s="66"/>
      <c r="CR718" s="66"/>
      <c r="CS718" s="66"/>
      <c r="CT718" s="66"/>
      <c r="CU718" s="66"/>
      <c r="CV718" s="66"/>
      <c r="CW718" s="66"/>
      <c r="CX718" s="66"/>
      <c r="CY718" s="66"/>
      <c r="CZ718" s="66"/>
      <c r="DA718" s="66"/>
      <c r="DB718" s="66"/>
      <c r="DC718" s="66"/>
      <c r="DD718" s="66"/>
      <c r="DE718" s="66"/>
      <c r="DF718" s="66"/>
      <c r="DG718" s="66"/>
      <c r="DH718" s="66"/>
      <c r="DI718" s="66"/>
      <c r="DJ718" s="66"/>
      <c r="DK718" s="66"/>
      <c r="DL718" s="66"/>
      <c r="DM718" s="66"/>
      <c r="DN718" s="66"/>
      <c r="DO718" s="66"/>
      <c r="DP718" s="66"/>
      <c r="DQ718" s="66"/>
      <c r="DR718" s="66"/>
      <c r="DS718" s="66"/>
      <c r="DT718" s="66"/>
      <c r="DU718" s="65"/>
      <c r="DV718" s="67"/>
      <c r="DW718" s="68"/>
    </row>
    <row r="719" spans="4:127" s="80" customFormat="1">
      <c r="D719" s="58"/>
      <c r="E719" s="58"/>
      <c r="F719" s="58"/>
      <c r="G719" s="58"/>
      <c r="H719" s="58"/>
      <c r="I719" s="58"/>
      <c r="J719" s="58"/>
      <c r="K719" s="58"/>
      <c r="L719" s="58"/>
      <c r="M719" s="58"/>
      <c r="N719" s="58"/>
      <c r="O719" s="58"/>
      <c r="P719" s="58"/>
      <c r="Q719" s="58"/>
      <c r="R719" s="58"/>
      <c r="S719" s="58"/>
      <c r="T719" s="58"/>
      <c r="U719" s="58"/>
      <c r="V719" s="61"/>
      <c r="W719" s="61"/>
      <c r="X719" s="62"/>
      <c r="Y719" s="61"/>
      <c r="Z719" s="61"/>
      <c r="AA719" s="61"/>
      <c r="AB719" s="61"/>
      <c r="AC719" s="61"/>
      <c r="AD719" s="61"/>
      <c r="AE719" s="61"/>
      <c r="AF719" s="61"/>
      <c r="AG719" s="61"/>
      <c r="AH719" s="61"/>
      <c r="AI719" s="61"/>
      <c r="AJ719" s="62"/>
      <c r="AK719" s="61"/>
      <c r="AL719" s="62"/>
      <c r="AM719" s="61"/>
      <c r="AN719" s="61"/>
      <c r="AO719" s="61"/>
      <c r="AP719" s="63"/>
      <c r="AQ719" s="64"/>
      <c r="AR719" s="61"/>
      <c r="AS719" s="62"/>
      <c r="AT719" s="62"/>
      <c r="AU719" s="62"/>
      <c r="AV719" s="62"/>
      <c r="AW719" s="62"/>
      <c r="AX719" s="62"/>
      <c r="AY719" s="61"/>
      <c r="AZ719" s="61"/>
      <c r="BA719" s="61"/>
      <c r="BB719" s="61"/>
      <c r="BC719" s="61"/>
      <c r="BD719" s="61"/>
      <c r="BE719" s="61"/>
      <c r="BF719" s="61"/>
      <c r="BG719" s="61"/>
      <c r="BH719" s="61"/>
      <c r="BI719" s="61"/>
      <c r="BJ719" s="61"/>
      <c r="BK719" s="61"/>
      <c r="BL719" s="61"/>
      <c r="BM719" s="61"/>
      <c r="BN719" s="61"/>
      <c r="BO719" s="61"/>
      <c r="BP719" s="61"/>
      <c r="BQ719" s="61"/>
      <c r="BR719" s="61"/>
      <c r="BS719" s="61"/>
      <c r="BT719" s="61"/>
      <c r="BU719" s="61"/>
      <c r="BV719" s="61"/>
      <c r="BW719" s="61"/>
      <c r="BX719" s="61"/>
      <c r="BY719" s="61"/>
      <c r="BZ719" s="61"/>
      <c r="CA719" s="61"/>
      <c r="CB719" s="61"/>
      <c r="CC719" s="61"/>
      <c r="CD719" s="65"/>
      <c r="CE719" s="65"/>
      <c r="CF719" s="65"/>
      <c r="CG719" s="65"/>
      <c r="CH719" s="65"/>
      <c r="CI719" s="66"/>
      <c r="CJ719" s="66"/>
      <c r="CK719" s="66"/>
      <c r="CL719" s="66"/>
      <c r="CM719" s="66"/>
      <c r="CN719" s="66"/>
      <c r="CO719" s="66"/>
      <c r="CP719" s="66"/>
      <c r="CQ719" s="66"/>
      <c r="CR719" s="66"/>
      <c r="CS719" s="66"/>
      <c r="CT719" s="66"/>
      <c r="CU719" s="66"/>
      <c r="CV719" s="66"/>
      <c r="CW719" s="66"/>
      <c r="CX719" s="66"/>
      <c r="CY719" s="66"/>
      <c r="CZ719" s="66"/>
      <c r="DA719" s="66"/>
      <c r="DB719" s="66"/>
      <c r="DC719" s="66"/>
      <c r="DD719" s="66"/>
      <c r="DE719" s="66"/>
      <c r="DF719" s="66"/>
      <c r="DG719" s="66"/>
      <c r="DH719" s="66"/>
      <c r="DI719" s="66"/>
      <c r="DJ719" s="66"/>
      <c r="DK719" s="66"/>
      <c r="DL719" s="66"/>
      <c r="DM719" s="66"/>
      <c r="DN719" s="66"/>
      <c r="DO719" s="66"/>
      <c r="DP719" s="66"/>
      <c r="DQ719" s="66"/>
      <c r="DR719" s="66"/>
      <c r="DS719" s="66"/>
      <c r="DT719" s="66"/>
      <c r="DU719" s="65"/>
      <c r="DV719" s="67"/>
      <c r="DW719" s="68"/>
    </row>
    <row r="720" spans="4:127" s="80" customFormat="1">
      <c r="D720" s="58"/>
      <c r="E720" s="58"/>
      <c r="F720" s="58"/>
      <c r="G720" s="58"/>
      <c r="H720" s="58"/>
      <c r="I720" s="58"/>
      <c r="J720" s="58"/>
      <c r="K720" s="58"/>
      <c r="L720" s="58"/>
      <c r="M720" s="58"/>
      <c r="N720" s="58"/>
      <c r="O720" s="58"/>
      <c r="P720" s="58"/>
      <c r="Q720" s="58"/>
      <c r="R720" s="58"/>
      <c r="S720" s="58"/>
      <c r="T720" s="58"/>
      <c r="U720" s="58"/>
      <c r="V720" s="61"/>
      <c r="W720" s="61"/>
      <c r="X720" s="62"/>
      <c r="Y720" s="61"/>
      <c r="Z720" s="61"/>
      <c r="AA720" s="61"/>
      <c r="AB720" s="61"/>
      <c r="AC720" s="61"/>
      <c r="AD720" s="61"/>
      <c r="AE720" s="61"/>
      <c r="AF720" s="61"/>
      <c r="AG720" s="61"/>
      <c r="AH720" s="61"/>
      <c r="AI720" s="61"/>
      <c r="AJ720" s="62"/>
      <c r="AK720" s="61"/>
      <c r="AL720" s="62"/>
      <c r="AM720" s="61"/>
      <c r="AN720" s="61"/>
      <c r="AO720" s="61"/>
      <c r="AP720" s="63"/>
      <c r="AQ720" s="64"/>
      <c r="AR720" s="61"/>
      <c r="AS720" s="62"/>
      <c r="AT720" s="62"/>
      <c r="AU720" s="62"/>
      <c r="AV720" s="62"/>
      <c r="AW720" s="62"/>
      <c r="AX720" s="62"/>
      <c r="AY720" s="61"/>
      <c r="AZ720" s="61"/>
      <c r="BA720" s="61"/>
      <c r="BB720" s="61"/>
      <c r="BC720" s="61"/>
      <c r="BD720" s="61"/>
      <c r="BE720" s="61"/>
      <c r="BF720" s="61"/>
      <c r="BG720" s="61"/>
      <c r="BH720" s="61"/>
      <c r="BI720" s="61"/>
      <c r="BJ720" s="61"/>
      <c r="BK720" s="61"/>
      <c r="BL720" s="61"/>
      <c r="BM720" s="61"/>
      <c r="BN720" s="61"/>
      <c r="BO720" s="61"/>
      <c r="BP720" s="61"/>
      <c r="BQ720" s="61"/>
      <c r="BR720" s="61"/>
      <c r="BS720" s="61"/>
      <c r="BT720" s="61"/>
      <c r="BU720" s="61"/>
      <c r="BV720" s="61"/>
      <c r="BW720" s="61"/>
      <c r="BX720" s="61"/>
      <c r="BY720" s="61"/>
      <c r="BZ720" s="61"/>
      <c r="CA720" s="61"/>
      <c r="CB720" s="61"/>
      <c r="CC720" s="61"/>
      <c r="CD720" s="65"/>
      <c r="CE720" s="65"/>
      <c r="CF720" s="65"/>
      <c r="CG720" s="65"/>
      <c r="CH720" s="65"/>
      <c r="CI720" s="66"/>
      <c r="CJ720" s="66"/>
      <c r="CK720" s="66"/>
      <c r="CL720" s="66"/>
      <c r="CM720" s="66"/>
      <c r="CN720" s="66"/>
      <c r="CO720" s="66"/>
      <c r="CP720" s="66"/>
      <c r="CQ720" s="66"/>
      <c r="CR720" s="66"/>
      <c r="CS720" s="66"/>
      <c r="CT720" s="66"/>
      <c r="CU720" s="66"/>
      <c r="CV720" s="66"/>
      <c r="CW720" s="66"/>
      <c r="CX720" s="66"/>
      <c r="CY720" s="66"/>
      <c r="CZ720" s="66"/>
      <c r="DA720" s="66"/>
      <c r="DB720" s="66"/>
      <c r="DC720" s="66"/>
      <c r="DD720" s="66"/>
      <c r="DE720" s="66"/>
      <c r="DF720" s="66"/>
      <c r="DG720" s="66"/>
      <c r="DH720" s="66"/>
      <c r="DI720" s="66"/>
      <c r="DJ720" s="66"/>
      <c r="DK720" s="66"/>
      <c r="DL720" s="66"/>
      <c r="DM720" s="66"/>
      <c r="DN720" s="66"/>
      <c r="DO720" s="66"/>
      <c r="DP720" s="66"/>
      <c r="DQ720" s="66"/>
      <c r="DR720" s="66"/>
      <c r="DS720" s="66"/>
      <c r="DT720" s="66"/>
      <c r="DU720" s="65"/>
      <c r="DV720" s="67"/>
      <c r="DW720" s="68"/>
    </row>
    <row r="721" spans="4:127" s="80" customFormat="1">
      <c r="D721" s="58"/>
      <c r="E721" s="58"/>
      <c r="F721" s="58"/>
      <c r="G721" s="58"/>
      <c r="H721" s="58"/>
      <c r="I721" s="58"/>
      <c r="J721" s="58"/>
      <c r="K721" s="58"/>
      <c r="L721" s="58"/>
      <c r="M721" s="58"/>
      <c r="N721" s="58"/>
      <c r="O721" s="58"/>
      <c r="P721" s="58"/>
      <c r="Q721" s="58"/>
      <c r="R721" s="58"/>
      <c r="S721" s="58"/>
      <c r="T721" s="58"/>
      <c r="U721" s="58"/>
      <c r="V721" s="61"/>
      <c r="W721" s="61"/>
      <c r="X721" s="62"/>
      <c r="Y721" s="61"/>
      <c r="Z721" s="61"/>
      <c r="AA721" s="61"/>
      <c r="AB721" s="61"/>
      <c r="AC721" s="61"/>
      <c r="AD721" s="61"/>
      <c r="AE721" s="61"/>
      <c r="AF721" s="61"/>
      <c r="AG721" s="61"/>
      <c r="AH721" s="61"/>
      <c r="AI721" s="61"/>
      <c r="AJ721" s="62"/>
      <c r="AK721" s="61"/>
      <c r="AL721" s="62"/>
      <c r="AM721" s="61"/>
      <c r="AN721" s="61"/>
      <c r="AO721" s="61"/>
      <c r="AP721" s="63"/>
      <c r="AQ721" s="64"/>
      <c r="AR721" s="61"/>
      <c r="AS721" s="62"/>
      <c r="AT721" s="62"/>
      <c r="AU721" s="62"/>
      <c r="AV721" s="62"/>
      <c r="AW721" s="62"/>
      <c r="AX721" s="62"/>
      <c r="AY721" s="61"/>
      <c r="AZ721" s="61"/>
      <c r="BA721" s="61"/>
      <c r="BB721" s="61"/>
      <c r="BC721" s="61"/>
      <c r="BD721" s="61"/>
      <c r="BE721" s="61"/>
      <c r="BF721" s="61"/>
      <c r="BG721" s="61"/>
      <c r="BH721" s="61"/>
      <c r="BI721" s="61"/>
      <c r="BJ721" s="61"/>
      <c r="BK721" s="61"/>
      <c r="BL721" s="61"/>
      <c r="BM721" s="61"/>
      <c r="BN721" s="61"/>
      <c r="BO721" s="61"/>
      <c r="BP721" s="61"/>
      <c r="BQ721" s="61"/>
      <c r="BR721" s="61"/>
      <c r="BS721" s="61"/>
      <c r="BT721" s="61"/>
      <c r="BU721" s="61"/>
      <c r="BV721" s="61"/>
      <c r="BW721" s="61"/>
      <c r="BX721" s="61"/>
      <c r="BY721" s="61"/>
      <c r="BZ721" s="61"/>
      <c r="CA721" s="61"/>
      <c r="CB721" s="61"/>
      <c r="CC721" s="61"/>
      <c r="CD721" s="65"/>
      <c r="CE721" s="65"/>
      <c r="CF721" s="65"/>
      <c r="CG721" s="65"/>
      <c r="CH721" s="65"/>
      <c r="CI721" s="66"/>
      <c r="CJ721" s="66"/>
      <c r="CK721" s="66"/>
      <c r="CL721" s="66"/>
      <c r="CM721" s="66"/>
      <c r="CN721" s="66"/>
      <c r="CO721" s="66"/>
      <c r="CP721" s="66"/>
      <c r="CQ721" s="66"/>
      <c r="CR721" s="66"/>
      <c r="CS721" s="66"/>
      <c r="CT721" s="66"/>
      <c r="CU721" s="66"/>
      <c r="CV721" s="66"/>
      <c r="CW721" s="66"/>
      <c r="CX721" s="66"/>
      <c r="CY721" s="66"/>
      <c r="CZ721" s="66"/>
      <c r="DA721" s="66"/>
      <c r="DB721" s="66"/>
      <c r="DC721" s="66"/>
      <c r="DD721" s="66"/>
      <c r="DE721" s="66"/>
      <c r="DF721" s="66"/>
      <c r="DG721" s="66"/>
      <c r="DH721" s="66"/>
      <c r="DI721" s="66"/>
      <c r="DJ721" s="66"/>
      <c r="DK721" s="66"/>
      <c r="DL721" s="66"/>
      <c r="DM721" s="66"/>
      <c r="DN721" s="66"/>
      <c r="DO721" s="66"/>
      <c r="DP721" s="66"/>
      <c r="DQ721" s="66"/>
      <c r="DR721" s="66"/>
      <c r="DS721" s="66"/>
      <c r="DT721" s="66"/>
      <c r="DU721" s="65"/>
      <c r="DV721" s="67"/>
      <c r="DW721" s="68"/>
    </row>
    <row r="722" spans="4:127" s="80" customFormat="1">
      <c r="D722" s="58"/>
      <c r="E722" s="58"/>
      <c r="F722" s="58"/>
      <c r="G722" s="58"/>
      <c r="H722" s="58"/>
      <c r="I722" s="58"/>
      <c r="J722" s="58"/>
      <c r="K722" s="58"/>
      <c r="L722" s="58"/>
      <c r="M722" s="58"/>
      <c r="N722" s="58"/>
      <c r="O722" s="58"/>
      <c r="P722" s="58"/>
      <c r="Q722" s="58"/>
      <c r="R722" s="58"/>
      <c r="S722" s="58"/>
      <c r="T722" s="58"/>
      <c r="U722" s="58"/>
      <c r="V722" s="61"/>
      <c r="W722" s="61"/>
      <c r="X722" s="62"/>
      <c r="Y722" s="61"/>
      <c r="Z722" s="61"/>
      <c r="AA722" s="61"/>
      <c r="AB722" s="61"/>
      <c r="AC722" s="61"/>
      <c r="AD722" s="61"/>
      <c r="AE722" s="61"/>
      <c r="AF722" s="61"/>
      <c r="AG722" s="61"/>
      <c r="AH722" s="61"/>
      <c r="AI722" s="61"/>
      <c r="AJ722" s="62"/>
      <c r="AK722" s="61"/>
      <c r="AL722" s="62"/>
      <c r="AM722" s="61"/>
      <c r="AN722" s="61"/>
      <c r="AO722" s="61"/>
      <c r="AP722" s="63"/>
      <c r="AQ722" s="64"/>
      <c r="AR722" s="61"/>
      <c r="AS722" s="62"/>
      <c r="AT722" s="62"/>
      <c r="AU722" s="62"/>
      <c r="AV722" s="62"/>
      <c r="AW722" s="62"/>
      <c r="AX722" s="62"/>
      <c r="AY722" s="61"/>
      <c r="AZ722" s="61"/>
      <c r="BA722" s="61"/>
      <c r="BB722" s="61"/>
      <c r="BC722" s="61"/>
      <c r="BD722" s="61"/>
      <c r="BE722" s="61"/>
      <c r="BF722" s="61"/>
      <c r="BG722" s="61"/>
      <c r="BH722" s="61"/>
      <c r="BI722" s="61"/>
      <c r="BJ722" s="61"/>
      <c r="BK722" s="61"/>
      <c r="BL722" s="61"/>
      <c r="BM722" s="61"/>
      <c r="BN722" s="61"/>
      <c r="BO722" s="61"/>
      <c r="BP722" s="61"/>
      <c r="BQ722" s="61"/>
      <c r="BR722" s="61"/>
      <c r="BS722" s="61"/>
      <c r="BT722" s="61"/>
      <c r="BU722" s="61"/>
      <c r="BV722" s="61"/>
      <c r="BW722" s="61"/>
      <c r="BX722" s="61"/>
      <c r="BY722" s="61"/>
      <c r="BZ722" s="61"/>
      <c r="CA722" s="61"/>
      <c r="CB722" s="61"/>
      <c r="CC722" s="61"/>
      <c r="CD722" s="65"/>
      <c r="CE722" s="65"/>
      <c r="CF722" s="65"/>
      <c r="CG722" s="65"/>
      <c r="CH722" s="65"/>
      <c r="CI722" s="66"/>
      <c r="CJ722" s="66"/>
      <c r="CK722" s="66"/>
      <c r="CL722" s="66"/>
      <c r="CM722" s="66"/>
      <c r="CN722" s="66"/>
      <c r="CO722" s="66"/>
      <c r="CP722" s="66"/>
      <c r="CQ722" s="66"/>
      <c r="CR722" s="66"/>
      <c r="CS722" s="66"/>
      <c r="CT722" s="66"/>
      <c r="CU722" s="66"/>
      <c r="CV722" s="66"/>
      <c r="CW722" s="66"/>
      <c r="CX722" s="66"/>
      <c r="CY722" s="66"/>
      <c r="CZ722" s="66"/>
      <c r="DA722" s="66"/>
      <c r="DB722" s="66"/>
      <c r="DC722" s="66"/>
      <c r="DD722" s="66"/>
      <c r="DE722" s="66"/>
      <c r="DF722" s="66"/>
      <c r="DG722" s="66"/>
      <c r="DH722" s="66"/>
      <c r="DI722" s="66"/>
      <c r="DJ722" s="66"/>
      <c r="DK722" s="66"/>
      <c r="DL722" s="66"/>
      <c r="DM722" s="66"/>
      <c r="DN722" s="66"/>
      <c r="DO722" s="66"/>
      <c r="DP722" s="66"/>
      <c r="DQ722" s="66"/>
      <c r="DR722" s="66"/>
      <c r="DS722" s="66"/>
      <c r="DT722" s="66"/>
      <c r="DU722" s="65"/>
      <c r="DV722" s="67"/>
      <c r="DW722" s="68"/>
    </row>
    <row r="723" spans="4:127" s="80" customFormat="1">
      <c r="D723" s="58"/>
      <c r="E723" s="58"/>
      <c r="F723" s="58"/>
      <c r="G723" s="58"/>
      <c r="H723" s="58"/>
      <c r="I723" s="58"/>
      <c r="J723" s="58"/>
      <c r="K723" s="58"/>
      <c r="L723" s="58"/>
      <c r="M723" s="58"/>
      <c r="N723" s="58"/>
      <c r="O723" s="58"/>
      <c r="P723" s="58"/>
      <c r="Q723" s="58"/>
      <c r="R723" s="58"/>
      <c r="S723" s="58"/>
      <c r="T723" s="58"/>
      <c r="U723" s="58"/>
      <c r="V723" s="61"/>
      <c r="W723" s="61"/>
      <c r="X723" s="62"/>
      <c r="Y723" s="61"/>
      <c r="Z723" s="61"/>
      <c r="AA723" s="61"/>
      <c r="AB723" s="61"/>
      <c r="AC723" s="61"/>
      <c r="AD723" s="61"/>
      <c r="AE723" s="61"/>
      <c r="AF723" s="61"/>
      <c r="AG723" s="61"/>
      <c r="AH723" s="61"/>
      <c r="AI723" s="61"/>
      <c r="AJ723" s="62"/>
      <c r="AK723" s="61"/>
      <c r="AL723" s="62"/>
      <c r="AM723" s="61"/>
      <c r="AN723" s="61"/>
      <c r="AO723" s="61"/>
      <c r="AP723" s="63"/>
      <c r="AQ723" s="64"/>
      <c r="AR723" s="61"/>
      <c r="AS723" s="62"/>
      <c r="AT723" s="62"/>
      <c r="AU723" s="62"/>
      <c r="AV723" s="62"/>
      <c r="AW723" s="62"/>
      <c r="AX723" s="62"/>
      <c r="AY723" s="61"/>
      <c r="AZ723" s="61"/>
      <c r="BA723" s="61"/>
      <c r="BB723" s="61"/>
      <c r="BC723" s="61"/>
      <c r="BD723" s="61"/>
      <c r="BE723" s="61"/>
      <c r="BF723" s="61"/>
      <c r="BG723" s="61"/>
      <c r="BH723" s="61"/>
      <c r="BI723" s="61"/>
      <c r="BJ723" s="61"/>
      <c r="BK723" s="61"/>
      <c r="BL723" s="61"/>
      <c r="BM723" s="61"/>
      <c r="BN723" s="61"/>
      <c r="BO723" s="61"/>
      <c r="BP723" s="61"/>
      <c r="BQ723" s="61"/>
      <c r="BR723" s="61"/>
      <c r="BS723" s="61"/>
      <c r="BT723" s="61"/>
      <c r="BU723" s="61"/>
      <c r="BV723" s="61"/>
      <c r="BW723" s="61"/>
      <c r="BX723" s="61"/>
      <c r="BY723" s="61"/>
      <c r="BZ723" s="61"/>
      <c r="CA723" s="61"/>
      <c r="CB723" s="61"/>
      <c r="CC723" s="61"/>
      <c r="CD723" s="65"/>
      <c r="CE723" s="65"/>
      <c r="CF723" s="65"/>
      <c r="CG723" s="65"/>
      <c r="CH723" s="65"/>
      <c r="CI723" s="66"/>
      <c r="CJ723" s="66"/>
      <c r="CK723" s="66"/>
      <c r="CL723" s="66"/>
      <c r="CM723" s="66"/>
      <c r="CN723" s="66"/>
      <c r="CO723" s="66"/>
      <c r="CP723" s="66"/>
      <c r="CQ723" s="66"/>
      <c r="CR723" s="66"/>
      <c r="CS723" s="66"/>
      <c r="CT723" s="66"/>
      <c r="CU723" s="66"/>
      <c r="CV723" s="66"/>
      <c r="CW723" s="66"/>
      <c r="CX723" s="66"/>
      <c r="CY723" s="66"/>
      <c r="CZ723" s="66"/>
      <c r="DA723" s="66"/>
      <c r="DB723" s="66"/>
      <c r="DC723" s="66"/>
      <c r="DD723" s="66"/>
      <c r="DE723" s="66"/>
      <c r="DF723" s="66"/>
      <c r="DG723" s="66"/>
      <c r="DH723" s="66"/>
      <c r="DI723" s="66"/>
      <c r="DJ723" s="66"/>
      <c r="DK723" s="66"/>
      <c r="DL723" s="66"/>
      <c r="DM723" s="66"/>
      <c r="DN723" s="66"/>
      <c r="DO723" s="66"/>
      <c r="DP723" s="66"/>
      <c r="DQ723" s="66"/>
      <c r="DR723" s="66"/>
      <c r="DS723" s="66"/>
      <c r="DT723" s="66"/>
      <c r="DU723" s="65"/>
      <c r="DV723" s="67"/>
      <c r="DW723" s="68"/>
    </row>
    <row r="724" spans="4:127" s="80" customFormat="1">
      <c r="D724" s="58"/>
      <c r="E724" s="58"/>
      <c r="F724" s="58"/>
      <c r="G724" s="58"/>
      <c r="H724" s="58"/>
      <c r="I724" s="58"/>
      <c r="J724" s="58"/>
      <c r="K724" s="58"/>
      <c r="L724" s="58"/>
      <c r="M724" s="58"/>
      <c r="N724" s="58"/>
      <c r="O724" s="58"/>
      <c r="P724" s="58"/>
      <c r="Q724" s="58"/>
      <c r="R724" s="58"/>
      <c r="S724" s="58"/>
      <c r="T724" s="58"/>
      <c r="U724" s="58"/>
      <c r="V724" s="61"/>
      <c r="W724" s="61"/>
      <c r="X724" s="62"/>
      <c r="Y724" s="61"/>
      <c r="Z724" s="61"/>
      <c r="AA724" s="61"/>
      <c r="AB724" s="61"/>
      <c r="AC724" s="61"/>
      <c r="AD724" s="61"/>
      <c r="AE724" s="61"/>
      <c r="AF724" s="61"/>
      <c r="AG724" s="61"/>
      <c r="AH724" s="61"/>
      <c r="AI724" s="61"/>
      <c r="AJ724" s="62"/>
      <c r="AK724" s="61"/>
      <c r="AL724" s="62"/>
      <c r="AM724" s="61"/>
      <c r="AN724" s="61"/>
      <c r="AO724" s="61"/>
      <c r="AP724" s="63"/>
      <c r="AQ724" s="64"/>
      <c r="AR724" s="61"/>
      <c r="AS724" s="62"/>
      <c r="AT724" s="62"/>
      <c r="AU724" s="62"/>
      <c r="AV724" s="62"/>
      <c r="AW724" s="62"/>
      <c r="AX724" s="62"/>
      <c r="AY724" s="61"/>
      <c r="AZ724" s="61"/>
      <c r="BA724" s="61"/>
      <c r="BB724" s="61"/>
      <c r="BC724" s="61"/>
      <c r="BD724" s="61"/>
      <c r="BE724" s="61"/>
      <c r="BF724" s="61"/>
      <c r="BG724" s="61"/>
      <c r="BH724" s="61"/>
      <c r="BI724" s="61"/>
      <c r="BJ724" s="61"/>
      <c r="BK724" s="61"/>
      <c r="BL724" s="61"/>
      <c r="BM724" s="61"/>
      <c r="BN724" s="61"/>
      <c r="BO724" s="61"/>
      <c r="BP724" s="61"/>
      <c r="BQ724" s="61"/>
      <c r="BR724" s="61"/>
      <c r="BS724" s="61"/>
      <c r="BT724" s="61"/>
      <c r="BU724" s="61"/>
      <c r="BV724" s="61"/>
      <c r="BW724" s="61"/>
      <c r="BX724" s="61"/>
      <c r="BY724" s="61"/>
      <c r="BZ724" s="61"/>
      <c r="CA724" s="61"/>
      <c r="CB724" s="61"/>
      <c r="CC724" s="61"/>
      <c r="CD724" s="65"/>
      <c r="CE724" s="65"/>
      <c r="CF724" s="65"/>
      <c r="CG724" s="65"/>
      <c r="CH724" s="65"/>
      <c r="CI724" s="66"/>
      <c r="CJ724" s="66"/>
      <c r="CK724" s="66"/>
      <c r="CL724" s="66"/>
      <c r="CM724" s="66"/>
      <c r="CN724" s="66"/>
      <c r="CO724" s="66"/>
      <c r="CP724" s="66"/>
      <c r="CQ724" s="66"/>
      <c r="CR724" s="66"/>
      <c r="CS724" s="66"/>
      <c r="CT724" s="66"/>
      <c r="CU724" s="66"/>
      <c r="CV724" s="66"/>
      <c r="CW724" s="66"/>
      <c r="CX724" s="66"/>
      <c r="CY724" s="66"/>
      <c r="CZ724" s="66"/>
      <c r="DA724" s="66"/>
      <c r="DB724" s="66"/>
      <c r="DC724" s="66"/>
      <c r="DD724" s="66"/>
      <c r="DE724" s="66"/>
      <c r="DF724" s="66"/>
      <c r="DG724" s="66"/>
      <c r="DH724" s="66"/>
      <c r="DI724" s="66"/>
      <c r="DJ724" s="66"/>
      <c r="DK724" s="66"/>
      <c r="DL724" s="66"/>
      <c r="DM724" s="66"/>
      <c r="DN724" s="66"/>
      <c r="DO724" s="66"/>
      <c r="DP724" s="66"/>
      <c r="DQ724" s="66"/>
      <c r="DR724" s="66"/>
      <c r="DS724" s="66"/>
      <c r="DT724" s="66"/>
      <c r="DU724" s="65"/>
      <c r="DV724" s="67"/>
      <c r="DW724" s="68"/>
    </row>
    <row r="725" spans="4:127" s="80" customFormat="1">
      <c r="D725" s="58"/>
      <c r="E725" s="58"/>
      <c r="F725" s="58"/>
      <c r="G725" s="58"/>
      <c r="H725" s="58"/>
      <c r="I725" s="58"/>
      <c r="J725" s="58"/>
      <c r="K725" s="58"/>
      <c r="L725" s="58"/>
      <c r="M725" s="58"/>
      <c r="N725" s="58"/>
      <c r="O725" s="58"/>
      <c r="P725" s="58"/>
      <c r="Q725" s="58"/>
      <c r="R725" s="58"/>
      <c r="S725" s="58"/>
      <c r="T725" s="58"/>
      <c r="U725" s="58"/>
      <c r="V725" s="61"/>
      <c r="W725" s="61"/>
      <c r="X725" s="62"/>
      <c r="Y725" s="61"/>
      <c r="Z725" s="61"/>
      <c r="AA725" s="61"/>
      <c r="AB725" s="61"/>
      <c r="AC725" s="61"/>
      <c r="AD725" s="61"/>
      <c r="AE725" s="61"/>
      <c r="AF725" s="61"/>
      <c r="AG725" s="61"/>
      <c r="AH725" s="61"/>
      <c r="AI725" s="61"/>
      <c r="AJ725" s="62"/>
      <c r="AK725" s="61"/>
      <c r="AL725" s="62"/>
      <c r="AM725" s="61"/>
      <c r="AN725" s="61"/>
      <c r="AO725" s="61"/>
      <c r="AP725" s="63"/>
      <c r="AQ725" s="64"/>
      <c r="AR725" s="61"/>
      <c r="AS725" s="62"/>
      <c r="AT725" s="62"/>
      <c r="AU725" s="62"/>
      <c r="AV725" s="62"/>
      <c r="AW725" s="62"/>
      <c r="AX725" s="62"/>
      <c r="AY725" s="61"/>
      <c r="AZ725" s="61"/>
      <c r="BA725" s="61"/>
      <c r="BB725" s="61"/>
      <c r="BC725" s="61"/>
      <c r="BD725" s="61"/>
      <c r="BE725" s="61"/>
      <c r="BF725" s="61"/>
      <c r="BG725" s="61"/>
      <c r="BH725" s="61"/>
      <c r="BI725" s="61"/>
      <c r="BJ725" s="61"/>
      <c r="BK725" s="61"/>
      <c r="BL725" s="61"/>
      <c r="BM725" s="61"/>
      <c r="BN725" s="61"/>
      <c r="BO725" s="61"/>
      <c r="BP725" s="61"/>
      <c r="BQ725" s="61"/>
      <c r="BR725" s="61"/>
      <c r="BS725" s="61"/>
      <c r="BT725" s="61"/>
      <c r="BU725" s="61"/>
      <c r="BV725" s="61"/>
      <c r="BW725" s="61"/>
      <c r="BX725" s="61"/>
      <c r="BY725" s="61"/>
      <c r="BZ725" s="61"/>
      <c r="CA725" s="61"/>
      <c r="CB725" s="61"/>
      <c r="CC725" s="61"/>
      <c r="CD725" s="65"/>
      <c r="CE725" s="65"/>
      <c r="CF725" s="65"/>
      <c r="CG725" s="65"/>
      <c r="CH725" s="65"/>
      <c r="CI725" s="66"/>
      <c r="CJ725" s="66"/>
      <c r="CK725" s="66"/>
      <c r="CL725" s="66"/>
      <c r="CM725" s="66"/>
      <c r="CN725" s="66"/>
      <c r="CO725" s="66"/>
      <c r="CP725" s="66"/>
      <c r="CQ725" s="66"/>
      <c r="CR725" s="66"/>
      <c r="CS725" s="66"/>
      <c r="CT725" s="66"/>
      <c r="CU725" s="66"/>
      <c r="CV725" s="66"/>
      <c r="CW725" s="66"/>
      <c r="CX725" s="66"/>
      <c r="CY725" s="66"/>
      <c r="CZ725" s="66"/>
      <c r="DA725" s="66"/>
      <c r="DB725" s="66"/>
      <c r="DC725" s="66"/>
      <c r="DD725" s="66"/>
      <c r="DE725" s="66"/>
      <c r="DF725" s="66"/>
      <c r="DG725" s="66"/>
      <c r="DH725" s="66"/>
      <c r="DI725" s="66"/>
      <c r="DJ725" s="66"/>
      <c r="DK725" s="66"/>
      <c r="DL725" s="66"/>
      <c r="DM725" s="66"/>
      <c r="DN725" s="66"/>
      <c r="DO725" s="66"/>
      <c r="DP725" s="66"/>
      <c r="DQ725" s="66"/>
      <c r="DR725" s="66"/>
      <c r="DS725" s="66"/>
      <c r="DT725" s="66"/>
      <c r="DU725" s="65"/>
      <c r="DV725" s="67"/>
      <c r="DW725" s="68"/>
    </row>
    <row r="726" spans="4:127" s="80" customFormat="1">
      <c r="D726" s="58"/>
      <c r="E726" s="58"/>
      <c r="F726" s="58"/>
      <c r="G726" s="58"/>
      <c r="H726" s="58"/>
      <c r="I726" s="58"/>
      <c r="J726" s="58"/>
      <c r="K726" s="58"/>
      <c r="L726" s="58"/>
      <c r="M726" s="58"/>
      <c r="N726" s="58"/>
      <c r="O726" s="58"/>
      <c r="P726" s="58"/>
      <c r="Q726" s="58"/>
      <c r="R726" s="58"/>
      <c r="S726" s="58"/>
      <c r="T726" s="58"/>
      <c r="U726" s="58"/>
      <c r="V726" s="61"/>
      <c r="W726" s="61"/>
      <c r="X726" s="62"/>
      <c r="Y726" s="61"/>
      <c r="Z726" s="61"/>
      <c r="AA726" s="61"/>
      <c r="AB726" s="61"/>
      <c r="AC726" s="61"/>
      <c r="AD726" s="61"/>
      <c r="AE726" s="61"/>
      <c r="AF726" s="61"/>
      <c r="AG726" s="61"/>
      <c r="AH726" s="61"/>
      <c r="AI726" s="61"/>
      <c r="AJ726" s="62"/>
      <c r="AK726" s="61"/>
      <c r="AL726" s="62"/>
      <c r="AM726" s="61"/>
      <c r="AN726" s="61"/>
      <c r="AO726" s="61"/>
      <c r="AP726" s="63"/>
      <c r="AQ726" s="64"/>
      <c r="AR726" s="61"/>
      <c r="AS726" s="62"/>
      <c r="AT726" s="62"/>
      <c r="AU726" s="62"/>
      <c r="AV726" s="62"/>
      <c r="AW726" s="62"/>
      <c r="AX726" s="62"/>
      <c r="AY726" s="61"/>
      <c r="AZ726" s="61"/>
      <c r="BA726" s="61"/>
      <c r="BB726" s="61"/>
      <c r="BC726" s="61"/>
      <c r="BD726" s="61"/>
      <c r="BE726" s="61"/>
      <c r="BF726" s="61"/>
      <c r="BG726" s="61"/>
      <c r="BH726" s="61"/>
      <c r="BI726" s="61"/>
      <c r="BJ726" s="61"/>
      <c r="BK726" s="61"/>
      <c r="BL726" s="61"/>
      <c r="BM726" s="61"/>
      <c r="BN726" s="61"/>
      <c r="BO726" s="61"/>
      <c r="BP726" s="61"/>
      <c r="BQ726" s="61"/>
      <c r="BR726" s="61"/>
      <c r="BS726" s="61"/>
      <c r="BT726" s="61"/>
      <c r="BU726" s="61"/>
      <c r="BV726" s="61"/>
      <c r="BW726" s="61"/>
      <c r="BX726" s="61"/>
      <c r="BY726" s="61"/>
      <c r="BZ726" s="61"/>
      <c r="CA726" s="61"/>
      <c r="CB726" s="61"/>
      <c r="CC726" s="61"/>
      <c r="CD726" s="65"/>
      <c r="CE726" s="65"/>
      <c r="CF726" s="65"/>
      <c r="CG726" s="65"/>
      <c r="CH726" s="65"/>
      <c r="CI726" s="66"/>
      <c r="CJ726" s="66"/>
      <c r="CK726" s="66"/>
      <c r="CL726" s="66"/>
      <c r="CM726" s="66"/>
      <c r="CN726" s="66"/>
      <c r="CO726" s="66"/>
      <c r="CP726" s="66"/>
      <c r="CQ726" s="66"/>
      <c r="CR726" s="66"/>
      <c r="CS726" s="66"/>
      <c r="CT726" s="66"/>
      <c r="CU726" s="66"/>
      <c r="CV726" s="66"/>
      <c r="CW726" s="66"/>
      <c r="CX726" s="66"/>
      <c r="CY726" s="66"/>
      <c r="CZ726" s="66"/>
      <c r="DA726" s="66"/>
      <c r="DB726" s="66"/>
      <c r="DC726" s="66"/>
      <c r="DD726" s="66"/>
      <c r="DE726" s="66"/>
      <c r="DF726" s="66"/>
      <c r="DG726" s="66"/>
      <c r="DH726" s="66"/>
      <c r="DI726" s="66"/>
      <c r="DJ726" s="66"/>
      <c r="DK726" s="66"/>
      <c r="DL726" s="66"/>
      <c r="DM726" s="66"/>
      <c r="DN726" s="66"/>
      <c r="DO726" s="66"/>
      <c r="DP726" s="66"/>
      <c r="DQ726" s="66"/>
      <c r="DR726" s="66"/>
      <c r="DS726" s="66"/>
      <c r="DT726" s="66"/>
      <c r="DU726" s="65"/>
      <c r="DV726" s="67"/>
      <c r="DW726" s="68"/>
    </row>
    <row r="727" spans="4:127" s="80" customFormat="1">
      <c r="D727" s="58"/>
      <c r="E727" s="58"/>
      <c r="F727" s="58"/>
      <c r="G727" s="58"/>
      <c r="H727" s="58"/>
      <c r="I727" s="58"/>
      <c r="J727" s="58"/>
      <c r="K727" s="58"/>
      <c r="L727" s="58"/>
      <c r="M727" s="58"/>
      <c r="N727" s="58"/>
      <c r="O727" s="58"/>
      <c r="P727" s="58"/>
      <c r="Q727" s="58"/>
      <c r="R727" s="58"/>
      <c r="S727" s="58"/>
      <c r="T727" s="58"/>
      <c r="U727" s="58"/>
      <c r="V727" s="61"/>
      <c r="W727" s="61"/>
      <c r="X727" s="62"/>
      <c r="Y727" s="61"/>
      <c r="Z727" s="61"/>
      <c r="AA727" s="61"/>
      <c r="AB727" s="61"/>
      <c r="AC727" s="61"/>
      <c r="AD727" s="61"/>
      <c r="AE727" s="61"/>
      <c r="AF727" s="61"/>
      <c r="AG727" s="61"/>
      <c r="AH727" s="61"/>
      <c r="AI727" s="61"/>
      <c r="AJ727" s="62"/>
      <c r="AK727" s="61"/>
      <c r="AL727" s="62"/>
      <c r="AM727" s="61"/>
      <c r="AN727" s="61"/>
      <c r="AO727" s="61"/>
      <c r="AP727" s="63"/>
      <c r="AQ727" s="64"/>
      <c r="AR727" s="61"/>
      <c r="AS727" s="62"/>
      <c r="AT727" s="62"/>
      <c r="AU727" s="62"/>
      <c r="AV727" s="62"/>
      <c r="AW727" s="62"/>
      <c r="AX727" s="62"/>
      <c r="AY727" s="61"/>
      <c r="AZ727" s="61"/>
      <c r="BA727" s="61"/>
      <c r="BB727" s="61"/>
      <c r="BC727" s="61"/>
      <c r="BD727" s="61"/>
      <c r="BE727" s="61"/>
      <c r="BF727" s="61"/>
      <c r="BG727" s="61"/>
      <c r="BH727" s="61"/>
      <c r="BI727" s="61"/>
      <c r="BJ727" s="61"/>
      <c r="BK727" s="61"/>
      <c r="BL727" s="61"/>
      <c r="BM727" s="61"/>
      <c r="BN727" s="61"/>
      <c r="BO727" s="61"/>
      <c r="BP727" s="61"/>
      <c r="BQ727" s="61"/>
      <c r="BR727" s="61"/>
      <c r="BS727" s="61"/>
      <c r="BT727" s="61"/>
      <c r="BU727" s="61"/>
      <c r="BV727" s="61"/>
      <c r="BW727" s="61"/>
      <c r="BX727" s="61"/>
      <c r="BY727" s="61"/>
      <c r="BZ727" s="61"/>
      <c r="CA727" s="61"/>
      <c r="CB727" s="61"/>
      <c r="CC727" s="61"/>
      <c r="CD727" s="65"/>
      <c r="CE727" s="65"/>
      <c r="CF727" s="65"/>
      <c r="CG727" s="65"/>
      <c r="CH727" s="65"/>
      <c r="CI727" s="66"/>
      <c r="CJ727" s="66"/>
      <c r="CK727" s="66"/>
      <c r="CL727" s="66"/>
      <c r="CM727" s="66"/>
      <c r="CN727" s="66"/>
      <c r="CO727" s="66"/>
      <c r="CP727" s="66"/>
      <c r="CQ727" s="66"/>
      <c r="CR727" s="66"/>
      <c r="CS727" s="66"/>
      <c r="CT727" s="66"/>
      <c r="CU727" s="66"/>
      <c r="CV727" s="66"/>
      <c r="CW727" s="66"/>
      <c r="CX727" s="66"/>
      <c r="CY727" s="66"/>
      <c r="CZ727" s="66"/>
      <c r="DA727" s="66"/>
      <c r="DB727" s="66"/>
      <c r="DC727" s="66"/>
      <c r="DD727" s="66"/>
      <c r="DE727" s="66"/>
      <c r="DF727" s="66"/>
      <c r="DG727" s="66"/>
      <c r="DH727" s="66"/>
      <c r="DI727" s="66"/>
      <c r="DJ727" s="66"/>
      <c r="DK727" s="66"/>
      <c r="DL727" s="66"/>
      <c r="DM727" s="66"/>
      <c r="DN727" s="66"/>
      <c r="DO727" s="66"/>
      <c r="DP727" s="66"/>
      <c r="DQ727" s="66"/>
      <c r="DR727" s="66"/>
      <c r="DS727" s="66"/>
      <c r="DT727" s="66"/>
      <c r="DU727" s="65"/>
      <c r="DV727" s="67"/>
      <c r="DW727" s="68"/>
    </row>
    <row r="728" spans="4:127" s="80" customFormat="1">
      <c r="D728" s="58"/>
      <c r="E728" s="58"/>
      <c r="F728" s="58"/>
      <c r="G728" s="58"/>
      <c r="H728" s="58"/>
      <c r="I728" s="58"/>
      <c r="J728" s="58"/>
      <c r="K728" s="58"/>
      <c r="L728" s="58"/>
      <c r="M728" s="58"/>
      <c r="N728" s="58"/>
      <c r="O728" s="58"/>
      <c r="P728" s="58"/>
      <c r="Q728" s="58"/>
      <c r="R728" s="58"/>
      <c r="S728" s="58"/>
      <c r="T728" s="58"/>
      <c r="U728" s="58"/>
      <c r="V728" s="61"/>
      <c r="W728" s="61"/>
      <c r="X728" s="62"/>
      <c r="Y728" s="61"/>
      <c r="Z728" s="61"/>
      <c r="AA728" s="61"/>
      <c r="AB728" s="61"/>
      <c r="AC728" s="61"/>
      <c r="AD728" s="61"/>
      <c r="AE728" s="61"/>
      <c r="AF728" s="61"/>
      <c r="AG728" s="61"/>
      <c r="AH728" s="61"/>
      <c r="AI728" s="61"/>
      <c r="AJ728" s="62"/>
      <c r="AK728" s="61"/>
      <c r="AL728" s="62"/>
      <c r="AM728" s="61"/>
      <c r="AN728" s="61"/>
      <c r="AO728" s="61"/>
      <c r="AP728" s="63"/>
      <c r="AQ728" s="64"/>
      <c r="AR728" s="61"/>
      <c r="AS728" s="62"/>
      <c r="AT728" s="62"/>
      <c r="AU728" s="62"/>
      <c r="AV728" s="62"/>
      <c r="AW728" s="62"/>
      <c r="AX728" s="62"/>
      <c r="AY728" s="61"/>
      <c r="AZ728" s="61"/>
      <c r="BA728" s="61"/>
      <c r="BB728" s="61"/>
      <c r="BC728" s="61"/>
      <c r="BD728" s="61"/>
      <c r="BE728" s="61"/>
      <c r="BF728" s="61"/>
      <c r="BG728" s="61"/>
      <c r="BH728" s="61"/>
      <c r="BI728" s="61"/>
      <c r="BJ728" s="61"/>
      <c r="BK728" s="61"/>
      <c r="BL728" s="61"/>
      <c r="BM728" s="61"/>
      <c r="BN728" s="61"/>
      <c r="BO728" s="61"/>
      <c r="BP728" s="61"/>
      <c r="BQ728" s="61"/>
      <c r="BR728" s="61"/>
      <c r="BS728" s="61"/>
      <c r="BT728" s="61"/>
      <c r="BU728" s="61"/>
      <c r="BV728" s="61"/>
      <c r="BW728" s="61"/>
      <c r="BX728" s="61"/>
      <c r="BY728" s="61"/>
      <c r="BZ728" s="61"/>
      <c r="CA728" s="61"/>
      <c r="CB728" s="61"/>
      <c r="CC728" s="61"/>
      <c r="CD728" s="65"/>
      <c r="CE728" s="65"/>
      <c r="CF728" s="65"/>
      <c r="CG728" s="65"/>
      <c r="CH728" s="65"/>
      <c r="CI728" s="66"/>
      <c r="CJ728" s="66"/>
      <c r="CK728" s="66"/>
      <c r="CL728" s="66"/>
      <c r="CM728" s="66"/>
      <c r="CN728" s="66"/>
      <c r="CO728" s="66"/>
      <c r="CP728" s="66"/>
      <c r="CQ728" s="66"/>
      <c r="CR728" s="66"/>
      <c r="CS728" s="66"/>
      <c r="CT728" s="66"/>
      <c r="CU728" s="66"/>
      <c r="CV728" s="66"/>
      <c r="CW728" s="66"/>
      <c r="CX728" s="66"/>
      <c r="CY728" s="66"/>
      <c r="CZ728" s="66"/>
      <c r="DA728" s="66"/>
      <c r="DB728" s="66"/>
      <c r="DC728" s="66"/>
      <c r="DD728" s="66"/>
      <c r="DE728" s="66"/>
      <c r="DF728" s="66"/>
      <c r="DG728" s="66"/>
      <c r="DH728" s="66"/>
      <c r="DI728" s="66"/>
      <c r="DJ728" s="66"/>
      <c r="DK728" s="66"/>
      <c r="DL728" s="66"/>
      <c r="DM728" s="66"/>
      <c r="DN728" s="66"/>
      <c r="DO728" s="66"/>
      <c r="DP728" s="66"/>
      <c r="DQ728" s="66"/>
      <c r="DR728" s="66"/>
      <c r="DS728" s="66"/>
      <c r="DT728" s="66"/>
      <c r="DU728" s="65"/>
      <c r="DV728" s="67"/>
      <c r="DW728" s="68"/>
    </row>
    <row r="729" spans="4:127" s="80" customFormat="1">
      <c r="D729" s="58"/>
      <c r="E729" s="58"/>
      <c r="F729" s="58"/>
      <c r="G729" s="58"/>
      <c r="H729" s="58"/>
      <c r="I729" s="58"/>
      <c r="J729" s="58"/>
      <c r="K729" s="58"/>
      <c r="L729" s="58"/>
      <c r="M729" s="58"/>
      <c r="N729" s="58"/>
      <c r="O729" s="58"/>
      <c r="P729" s="58"/>
      <c r="Q729" s="58"/>
      <c r="R729" s="58"/>
      <c r="S729" s="58"/>
      <c r="T729" s="58"/>
      <c r="U729" s="58"/>
      <c r="V729" s="61"/>
      <c r="W729" s="61"/>
      <c r="X729" s="62"/>
      <c r="Y729" s="61"/>
      <c r="Z729" s="61"/>
      <c r="AA729" s="61"/>
      <c r="AB729" s="61"/>
      <c r="AC729" s="61"/>
      <c r="AD729" s="61"/>
      <c r="AE729" s="61"/>
      <c r="AF729" s="61"/>
      <c r="AG729" s="61"/>
      <c r="AH729" s="61"/>
      <c r="AI729" s="61"/>
      <c r="AJ729" s="62"/>
      <c r="AK729" s="61"/>
      <c r="AL729" s="62"/>
      <c r="AM729" s="61"/>
      <c r="AN729" s="61"/>
      <c r="AO729" s="61"/>
      <c r="AP729" s="63"/>
      <c r="AQ729" s="64"/>
      <c r="AR729" s="61"/>
      <c r="AS729" s="62"/>
      <c r="AT729" s="62"/>
      <c r="AU729" s="62"/>
      <c r="AV729" s="62"/>
      <c r="AW729" s="62"/>
      <c r="AX729" s="62"/>
      <c r="AY729" s="61"/>
      <c r="AZ729" s="61"/>
      <c r="BA729" s="61"/>
      <c r="BB729" s="61"/>
      <c r="BC729" s="61"/>
      <c r="BD729" s="61"/>
      <c r="BE729" s="61"/>
      <c r="BF729" s="61"/>
      <c r="BG729" s="61"/>
      <c r="BH729" s="61"/>
      <c r="BI729" s="61"/>
      <c r="BJ729" s="61"/>
      <c r="BK729" s="61"/>
      <c r="BL729" s="61"/>
      <c r="BM729" s="61"/>
      <c r="BN729" s="61"/>
      <c r="BO729" s="61"/>
      <c r="BP729" s="61"/>
      <c r="BQ729" s="61"/>
      <c r="BR729" s="61"/>
      <c r="BS729" s="61"/>
      <c r="BT729" s="61"/>
      <c r="BU729" s="61"/>
      <c r="BV729" s="61"/>
      <c r="BW729" s="61"/>
      <c r="BX729" s="61"/>
      <c r="BY729" s="61"/>
      <c r="BZ729" s="61"/>
      <c r="CA729" s="61"/>
      <c r="CB729" s="61"/>
      <c r="CC729" s="61"/>
      <c r="CD729" s="65"/>
      <c r="CE729" s="65"/>
      <c r="CF729" s="65"/>
      <c r="CG729" s="65"/>
      <c r="CH729" s="65"/>
      <c r="CI729" s="66"/>
      <c r="CJ729" s="66"/>
      <c r="CK729" s="66"/>
      <c r="CL729" s="66"/>
      <c r="CM729" s="66"/>
      <c r="CN729" s="66"/>
      <c r="CO729" s="66"/>
      <c r="CP729" s="66"/>
      <c r="CQ729" s="66"/>
      <c r="CR729" s="66"/>
      <c r="CS729" s="66"/>
      <c r="CT729" s="66"/>
      <c r="CU729" s="66"/>
      <c r="CV729" s="66"/>
      <c r="CW729" s="66"/>
      <c r="CX729" s="66"/>
      <c r="CY729" s="66"/>
      <c r="CZ729" s="66"/>
      <c r="DA729" s="66"/>
      <c r="DB729" s="66"/>
      <c r="DC729" s="66"/>
      <c r="DD729" s="66"/>
      <c r="DE729" s="66"/>
      <c r="DF729" s="66"/>
      <c r="DG729" s="66"/>
      <c r="DH729" s="66"/>
      <c r="DI729" s="66"/>
      <c r="DJ729" s="66"/>
      <c r="DK729" s="66"/>
      <c r="DL729" s="66"/>
      <c r="DM729" s="66"/>
      <c r="DN729" s="66"/>
      <c r="DO729" s="66"/>
      <c r="DP729" s="66"/>
      <c r="DQ729" s="66"/>
      <c r="DR729" s="66"/>
      <c r="DS729" s="66"/>
      <c r="DT729" s="66"/>
      <c r="DU729" s="65"/>
      <c r="DV729" s="67"/>
      <c r="DW729" s="68"/>
    </row>
    <row r="730" spans="4:127" s="80" customFormat="1">
      <c r="D730" s="58"/>
      <c r="E730" s="58"/>
      <c r="F730" s="58"/>
      <c r="G730" s="58"/>
      <c r="H730" s="58"/>
      <c r="I730" s="58"/>
      <c r="J730" s="58"/>
      <c r="K730" s="58"/>
      <c r="L730" s="58"/>
      <c r="M730" s="58"/>
      <c r="N730" s="58"/>
      <c r="O730" s="58"/>
      <c r="P730" s="58"/>
      <c r="Q730" s="58"/>
      <c r="R730" s="58"/>
      <c r="S730" s="58"/>
      <c r="T730" s="58"/>
      <c r="U730" s="58"/>
      <c r="V730" s="61"/>
      <c r="W730" s="61"/>
      <c r="X730" s="62"/>
      <c r="Y730" s="61"/>
      <c r="Z730" s="61"/>
      <c r="AA730" s="61"/>
      <c r="AB730" s="61"/>
      <c r="AC730" s="61"/>
      <c r="AD730" s="61"/>
      <c r="AE730" s="61"/>
      <c r="AF730" s="61"/>
      <c r="AG730" s="61"/>
      <c r="AH730" s="61"/>
      <c r="AI730" s="61"/>
      <c r="AJ730" s="62"/>
      <c r="AK730" s="61"/>
      <c r="AL730" s="62"/>
      <c r="AM730" s="61"/>
      <c r="AN730" s="61"/>
      <c r="AO730" s="61"/>
      <c r="AP730" s="63"/>
      <c r="AQ730" s="64"/>
      <c r="AR730" s="61"/>
      <c r="AS730" s="62"/>
      <c r="AT730" s="62"/>
      <c r="AU730" s="62"/>
      <c r="AV730" s="62"/>
      <c r="AW730" s="62"/>
      <c r="AX730" s="62"/>
      <c r="AY730" s="61"/>
      <c r="AZ730" s="61"/>
      <c r="BA730" s="61"/>
      <c r="BB730" s="61"/>
      <c r="BC730" s="61"/>
      <c r="BD730" s="61"/>
      <c r="BE730" s="61"/>
      <c r="BF730" s="61"/>
      <c r="BG730" s="61"/>
      <c r="BH730" s="61"/>
      <c r="BI730" s="61"/>
      <c r="BJ730" s="61"/>
      <c r="BK730" s="61"/>
      <c r="BL730" s="61"/>
      <c r="BM730" s="61"/>
      <c r="BN730" s="61"/>
      <c r="BO730" s="61"/>
      <c r="BP730" s="61"/>
      <c r="BQ730" s="61"/>
      <c r="BR730" s="61"/>
      <c r="BS730" s="61"/>
      <c r="BT730" s="61"/>
      <c r="BU730" s="61"/>
      <c r="BV730" s="61"/>
      <c r="BW730" s="61"/>
      <c r="BX730" s="61"/>
      <c r="BY730" s="61"/>
      <c r="BZ730" s="61"/>
      <c r="CA730" s="61"/>
      <c r="CB730" s="61"/>
      <c r="CC730" s="61"/>
      <c r="CD730" s="65"/>
      <c r="CE730" s="65"/>
      <c r="CF730" s="65"/>
      <c r="CG730" s="65"/>
      <c r="CH730" s="65"/>
      <c r="CI730" s="66"/>
      <c r="CJ730" s="66"/>
      <c r="CK730" s="66"/>
      <c r="CL730" s="66"/>
      <c r="CM730" s="66"/>
      <c r="CN730" s="66"/>
      <c r="CO730" s="66"/>
      <c r="CP730" s="66"/>
      <c r="CQ730" s="66"/>
      <c r="CR730" s="66"/>
      <c r="CS730" s="66"/>
      <c r="CT730" s="66"/>
      <c r="CU730" s="66"/>
      <c r="CV730" s="66"/>
      <c r="CW730" s="66"/>
      <c r="CX730" s="66"/>
      <c r="CY730" s="66"/>
      <c r="CZ730" s="66"/>
      <c r="DA730" s="66"/>
      <c r="DB730" s="66"/>
      <c r="DC730" s="66"/>
      <c r="DD730" s="66"/>
      <c r="DE730" s="66"/>
      <c r="DF730" s="66"/>
      <c r="DG730" s="66"/>
      <c r="DH730" s="66"/>
      <c r="DI730" s="66"/>
      <c r="DJ730" s="66"/>
      <c r="DK730" s="66"/>
      <c r="DL730" s="66"/>
      <c r="DM730" s="66"/>
      <c r="DN730" s="66"/>
      <c r="DO730" s="66"/>
      <c r="DP730" s="66"/>
      <c r="DQ730" s="66"/>
      <c r="DR730" s="66"/>
      <c r="DS730" s="66"/>
      <c r="DT730" s="66"/>
      <c r="DU730" s="65"/>
      <c r="DV730" s="67"/>
      <c r="DW730" s="68"/>
    </row>
    <row r="731" spans="4:127" s="80" customFormat="1">
      <c r="D731" s="58"/>
      <c r="E731" s="58"/>
      <c r="F731" s="58"/>
      <c r="G731" s="58"/>
      <c r="H731" s="58"/>
      <c r="I731" s="58"/>
      <c r="J731" s="58"/>
      <c r="K731" s="58"/>
      <c r="L731" s="58"/>
      <c r="M731" s="58"/>
      <c r="N731" s="58"/>
      <c r="O731" s="58"/>
      <c r="P731" s="58"/>
      <c r="Q731" s="58"/>
      <c r="R731" s="58"/>
      <c r="S731" s="58"/>
      <c r="T731" s="58"/>
      <c r="U731" s="58"/>
      <c r="V731" s="61"/>
      <c r="W731" s="61"/>
      <c r="X731" s="62"/>
      <c r="Y731" s="61"/>
      <c r="Z731" s="61"/>
      <c r="AA731" s="61"/>
      <c r="AB731" s="61"/>
      <c r="AC731" s="61"/>
      <c r="AD731" s="61"/>
      <c r="AE731" s="61"/>
      <c r="AF731" s="61"/>
      <c r="AG731" s="61"/>
      <c r="AH731" s="61"/>
      <c r="AI731" s="61"/>
      <c r="AJ731" s="62"/>
      <c r="AK731" s="61"/>
      <c r="AL731" s="62"/>
      <c r="AM731" s="61"/>
      <c r="AN731" s="61"/>
      <c r="AO731" s="61"/>
      <c r="AP731" s="63"/>
      <c r="AQ731" s="64"/>
      <c r="AR731" s="61"/>
      <c r="AS731" s="62"/>
      <c r="AT731" s="62"/>
      <c r="AU731" s="62"/>
      <c r="AV731" s="62"/>
      <c r="AW731" s="62"/>
      <c r="AX731" s="62"/>
      <c r="AY731" s="61"/>
      <c r="AZ731" s="61"/>
      <c r="BA731" s="61"/>
      <c r="BB731" s="61"/>
      <c r="BC731" s="61"/>
      <c r="BD731" s="61"/>
      <c r="BE731" s="61"/>
      <c r="BF731" s="61"/>
      <c r="BG731" s="61"/>
      <c r="BH731" s="61"/>
      <c r="BI731" s="61"/>
      <c r="BJ731" s="61"/>
      <c r="BK731" s="61"/>
      <c r="BL731" s="61"/>
      <c r="BM731" s="61"/>
      <c r="BN731" s="61"/>
      <c r="BO731" s="61"/>
      <c r="BP731" s="61"/>
      <c r="BQ731" s="61"/>
      <c r="BR731" s="61"/>
      <c r="BS731" s="61"/>
      <c r="BT731" s="61"/>
      <c r="BU731" s="61"/>
      <c r="BV731" s="61"/>
      <c r="BW731" s="61"/>
      <c r="BX731" s="61"/>
      <c r="BY731" s="61"/>
      <c r="BZ731" s="61"/>
      <c r="CA731" s="61"/>
      <c r="CB731" s="61"/>
      <c r="CC731" s="61"/>
      <c r="CD731" s="65"/>
      <c r="CE731" s="65"/>
      <c r="CF731" s="65"/>
      <c r="CG731" s="65"/>
      <c r="CH731" s="65"/>
      <c r="CI731" s="66"/>
      <c r="CJ731" s="66"/>
      <c r="CK731" s="66"/>
      <c r="CL731" s="66"/>
      <c r="CM731" s="66"/>
      <c r="CN731" s="66"/>
      <c r="CO731" s="66"/>
      <c r="CP731" s="66"/>
      <c r="CQ731" s="66"/>
      <c r="CR731" s="66"/>
      <c r="CS731" s="66"/>
      <c r="CT731" s="66"/>
      <c r="CU731" s="66"/>
      <c r="CV731" s="66"/>
      <c r="CW731" s="66"/>
      <c r="CX731" s="66"/>
      <c r="CY731" s="66"/>
      <c r="CZ731" s="66"/>
      <c r="DA731" s="66"/>
      <c r="DB731" s="66"/>
      <c r="DC731" s="66"/>
      <c r="DD731" s="66"/>
      <c r="DE731" s="66"/>
      <c r="DF731" s="66"/>
      <c r="DG731" s="66"/>
      <c r="DH731" s="66"/>
      <c r="DI731" s="66"/>
      <c r="DJ731" s="66"/>
      <c r="DK731" s="66"/>
      <c r="DL731" s="66"/>
      <c r="DM731" s="66"/>
      <c r="DN731" s="66"/>
      <c r="DO731" s="66"/>
      <c r="DP731" s="66"/>
      <c r="DQ731" s="66"/>
      <c r="DR731" s="66"/>
      <c r="DS731" s="66"/>
      <c r="DT731" s="66"/>
      <c r="DU731" s="65"/>
      <c r="DV731" s="67"/>
      <c r="DW731" s="68"/>
    </row>
    <row r="732" spans="4:127" s="80" customFormat="1">
      <c r="D732" s="58"/>
      <c r="E732" s="58"/>
      <c r="F732" s="58"/>
      <c r="G732" s="58"/>
      <c r="H732" s="58"/>
      <c r="I732" s="58"/>
      <c r="J732" s="58"/>
      <c r="K732" s="58"/>
      <c r="L732" s="58"/>
      <c r="M732" s="58"/>
      <c r="N732" s="58"/>
      <c r="O732" s="58"/>
      <c r="P732" s="58"/>
      <c r="Q732" s="58"/>
      <c r="R732" s="58"/>
      <c r="S732" s="58"/>
      <c r="T732" s="58"/>
      <c r="U732" s="58"/>
      <c r="V732" s="61"/>
      <c r="W732" s="61"/>
      <c r="X732" s="62"/>
      <c r="Y732" s="61"/>
      <c r="Z732" s="61"/>
      <c r="AA732" s="61"/>
      <c r="AB732" s="61"/>
      <c r="AC732" s="61"/>
      <c r="AD732" s="61"/>
      <c r="AE732" s="61"/>
      <c r="AF732" s="61"/>
      <c r="AG732" s="61"/>
      <c r="AH732" s="61"/>
      <c r="AI732" s="61"/>
      <c r="AJ732" s="62"/>
      <c r="AK732" s="61"/>
      <c r="AL732" s="62"/>
      <c r="AM732" s="61"/>
      <c r="AN732" s="61"/>
      <c r="AO732" s="61"/>
      <c r="AP732" s="63"/>
      <c r="AQ732" s="64"/>
      <c r="AR732" s="61"/>
      <c r="AS732" s="62"/>
      <c r="AT732" s="62"/>
      <c r="AU732" s="62"/>
      <c r="AV732" s="62"/>
      <c r="AW732" s="62"/>
      <c r="AX732" s="62"/>
      <c r="AY732" s="61"/>
      <c r="AZ732" s="61"/>
      <c r="BA732" s="61"/>
      <c r="BB732" s="61"/>
      <c r="BC732" s="61"/>
      <c r="BD732" s="61"/>
      <c r="BE732" s="61"/>
      <c r="BF732" s="61"/>
      <c r="BG732" s="61"/>
      <c r="BH732" s="61"/>
      <c r="BI732" s="61"/>
      <c r="BJ732" s="61"/>
      <c r="BK732" s="61"/>
      <c r="BL732" s="61"/>
      <c r="BM732" s="61"/>
      <c r="BN732" s="61"/>
      <c r="BO732" s="61"/>
      <c r="BP732" s="61"/>
      <c r="BQ732" s="61"/>
      <c r="BR732" s="61"/>
      <c r="BS732" s="61"/>
      <c r="BT732" s="61"/>
      <c r="BU732" s="61"/>
      <c r="BV732" s="61"/>
      <c r="BW732" s="61"/>
      <c r="BX732" s="61"/>
      <c r="BY732" s="61"/>
      <c r="BZ732" s="61"/>
      <c r="CA732" s="61"/>
      <c r="CB732" s="61"/>
      <c r="CC732" s="61"/>
      <c r="CD732" s="65"/>
      <c r="CE732" s="65"/>
      <c r="CF732" s="65"/>
      <c r="CG732" s="65"/>
      <c r="CH732" s="65"/>
      <c r="CI732" s="66"/>
      <c r="CJ732" s="66"/>
      <c r="CK732" s="66"/>
      <c r="CL732" s="66"/>
      <c r="CM732" s="66"/>
      <c r="CN732" s="66"/>
      <c r="CO732" s="66"/>
      <c r="CP732" s="66"/>
      <c r="CQ732" s="66"/>
      <c r="CR732" s="66"/>
      <c r="CS732" s="66"/>
      <c r="CT732" s="66"/>
      <c r="CU732" s="66"/>
      <c r="CV732" s="66"/>
      <c r="CW732" s="66"/>
      <c r="CX732" s="66"/>
      <c r="CY732" s="66"/>
      <c r="CZ732" s="66"/>
      <c r="DA732" s="66"/>
      <c r="DB732" s="66"/>
      <c r="DC732" s="66"/>
      <c r="DD732" s="66"/>
      <c r="DE732" s="66"/>
      <c r="DF732" s="66"/>
      <c r="DG732" s="66"/>
      <c r="DH732" s="66"/>
      <c r="DI732" s="66"/>
      <c r="DJ732" s="66"/>
      <c r="DK732" s="66"/>
      <c r="DL732" s="66"/>
      <c r="DM732" s="66"/>
      <c r="DN732" s="66"/>
      <c r="DO732" s="66"/>
      <c r="DP732" s="66"/>
      <c r="DQ732" s="66"/>
      <c r="DR732" s="66"/>
      <c r="DS732" s="66"/>
      <c r="DT732" s="66"/>
      <c r="DU732" s="65"/>
      <c r="DV732" s="67"/>
      <c r="DW732" s="68"/>
    </row>
    <row r="733" spans="4:127" s="80" customFormat="1">
      <c r="D733" s="58"/>
      <c r="E733" s="58"/>
      <c r="F733" s="58"/>
      <c r="G733" s="58"/>
      <c r="H733" s="58"/>
      <c r="I733" s="58"/>
      <c r="J733" s="58"/>
      <c r="K733" s="58"/>
      <c r="L733" s="58"/>
      <c r="M733" s="58"/>
      <c r="N733" s="58"/>
      <c r="O733" s="58"/>
      <c r="P733" s="58"/>
      <c r="Q733" s="58"/>
      <c r="R733" s="58"/>
      <c r="S733" s="58"/>
      <c r="T733" s="58"/>
      <c r="U733" s="58"/>
      <c r="V733" s="61"/>
      <c r="W733" s="61"/>
      <c r="X733" s="62"/>
      <c r="Y733" s="61"/>
      <c r="Z733" s="61"/>
      <c r="AA733" s="61"/>
      <c r="AB733" s="61"/>
      <c r="AC733" s="61"/>
      <c r="AD733" s="61"/>
      <c r="AE733" s="61"/>
      <c r="AF733" s="61"/>
      <c r="AG733" s="61"/>
      <c r="AH733" s="61"/>
      <c r="AI733" s="61"/>
      <c r="AJ733" s="62"/>
      <c r="AK733" s="61"/>
      <c r="AL733" s="62"/>
      <c r="AM733" s="61"/>
      <c r="AN733" s="61"/>
      <c r="AO733" s="61"/>
      <c r="AP733" s="63"/>
      <c r="AQ733" s="64"/>
      <c r="AR733" s="61"/>
      <c r="AS733" s="62"/>
      <c r="AT733" s="62"/>
      <c r="AU733" s="62"/>
      <c r="AV733" s="62"/>
      <c r="AW733" s="62"/>
      <c r="AX733" s="62"/>
      <c r="AY733" s="61"/>
      <c r="AZ733" s="61"/>
      <c r="BA733" s="61"/>
      <c r="BB733" s="61"/>
      <c r="BC733" s="61"/>
      <c r="BD733" s="61"/>
      <c r="BE733" s="61"/>
      <c r="BF733" s="61"/>
      <c r="BG733" s="61"/>
      <c r="BH733" s="61"/>
      <c r="BI733" s="61"/>
      <c r="BJ733" s="61"/>
      <c r="BK733" s="61"/>
      <c r="BL733" s="61"/>
      <c r="BM733" s="61"/>
      <c r="BN733" s="61"/>
      <c r="BO733" s="61"/>
      <c r="BP733" s="61"/>
      <c r="BQ733" s="61"/>
      <c r="BR733" s="61"/>
      <c r="BS733" s="61"/>
      <c r="BT733" s="61"/>
      <c r="BU733" s="61"/>
      <c r="BV733" s="61"/>
      <c r="BW733" s="61"/>
      <c r="BX733" s="61"/>
      <c r="BY733" s="61"/>
      <c r="BZ733" s="61"/>
      <c r="CA733" s="61"/>
      <c r="CB733" s="61"/>
      <c r="CC733" s="61"/>
      <c r="CD733" s="65"/>
      <c r="CE733" s="65"/>
      <c r="CF733" s="65"/>
      <c r="CG733" s="65"/>
      <c r="CH733" s="65"/>
      <c r="CI733" s="66"/>
      <c r="CJ733" s="66"/>
      <c r="CK733" s="66"/>
      <c r="CL733" s="66"/>
      <c r="CM733" s="66"/>
      <c r="CN733" s="66"/>
      <c r="CO733" s="66"/>
      <c r="CP733" s="66"/>
      <c r="CQ733" s="66"/>
      <c r="CR733" s="66"/>
      <c r="CS733" s="66"/>
      <c r="CT733" s="66"/>
      <c r="CU733" s="66"/>
      <c r="CV733" s="66"/>
      <c r="CW733" s="66"/>
      <c r="CX733" s="66"/>
      <c r="CY733" s="66"/>
      <c r="CZ733" s="66"/>
      <c r="DA733" s="66"/>
      <c r="DB733" s="66"/>
      <c r="DC733" s="66"/>
      <c r="DD733" s="66"/>
      <c r="DE733" s="66"/>
      <c r="DF733" s="66"/>
      <c r="DG733" s="66"/>
      <c r="DH733" s="66"/>
      <c r="DI733" s="66"/>
      <c r="DJ733" s="66"/>
      <c r="DK733" s="66"/>
      <c r="DL733" s="66"/>
      <c r="DM733" s="66"/>
      <c r="DN733" s="66"/>
      <c r="DO733" s="66"/>
      <c r="DP733" s="66"/>
      <c r="DQ733" s="66"/>
      <c r="DR733" s="66"/>
      <c r="DS733" s="66"/>
      <c r="DT733" s="66"/>
      <c r="DU733" s="65"/>
      <c r="DV733" s="67"/>
      <c r="DW733" s="68"/>
    </row>
    <row r="734" spans="4:127" s="80" customFormat="1">
      <c r="D734" s="58"/>
      <c r="E734" s="58"/>
      <c r="F734" s="58"/>
      <c r="G734" s="58"/>
      <c r="H734" s="58"/>
      <c r="I734" s="58"/>
      <c r="J734" s="58"/>
      <c r="K734" s="58"/>
      <c r="L734" s="58"/>
      <c r="M734" s="58"/>
      <c r="N734" s="58"/>
      <c r="O734" s="58"/>
      <c r="P734" s="58"/>
      <c r="Q734" s="58"/>
      <c r="R734" s="58"/>
      <c r="S734" s="58"/>
      <c r="T734" s="58"/>
      <c r="U734" s="58"/>
      <c r="V734" s="61"/>
      <c r="W734" s="61"/>
      <c r="X734" s="62"/>
      <c r="Y734" s="61"/>
      <c r="Z734" s="61"/>
      <c r="AA734" s="61"/>
      <c r="AB734" s="61"/>
      <c r="AC734" s="61"/>
      <c r="AD734" s="61"/>
      <c r="AE734" s="61"/>
      <c r="AF734" s="61"/>
      <c r="AG734" s="61"/>
      <c r="AH734" s="61"/>
      <c r="AI734" s="61"/>
      <c r="AJ734" s="62"/>
      <c r="AK734" s="61"/>
      <c r="AL734" s="62"/>
      <c r="AM734" s="61"/>
      <c r="AN734" s="61"/>
      <c r="AO734" s="61"/>
      <c r="AP734" s="63"/>
      <c r="AQ734" s="64"/>
      <c r="AR734" s="61"/>
      <c r="AS734" s="62"/>
      <c r="AT734" s="62"/>
      <c r="AU734" s="62"/>
      <c r="AV734" s="62"/>
      <c r="AW734" s="62"/>
      <c r="AX734" s="62"/>
      <c r="AY734" s="61"/>
      <c r="AZ734" s="61"/>
      <c r="BA734" s="61"/>
      <c r="BB734" s="61"/>
      <c r="BC734" s="61"/>
      <c r="BD734" s="61"/>
      <c r="BE734" s="61"/>
      <c r="BF734" s="61"/>
      <c r="BG734" s="61"/>
      <c r="BH734" s="61"/>
      <c r="BI734" s="61"/>
      <c r="BJ734" s="61"/>
      <c r="BK734" s="61"/>
      <c r="BL734" s="61"/>
      <c r="BM734" s="61"/>
      <c r="BN734" s="61"/>
      <c r="BO734" s="61"/>
      <c r="BP734" s="61"/>
      <c r="BQ734" s="61"/>
      <c r="BR734" s="61"/>
      <c r="BS734" s="61"/>
      <c r="BT734" s="61"/>
      <c r="BU734" s="61"/>
      <c r="BV734" s="61"/>
      <c r="BW734" s="61"/>
      <c r="BX734" s="61"/>
      <c r="BY734" s="61"/>
      <c r="BZ734" s="61"/>
      <c r="CA734" s="61"/>
      <c r="CB734" s="61"/>
      <c r="CC734" s="61"/>
      <c r="CD734" s="65"/>
      <c r="CE734" s="65"/>
      <c r="CF734" s="65"/>
      <c r="CG734" s="65"/>
      <c r="CH734" s="65"/>
      <c r="CI734" s="66"/>
      <c r="CJ734" s="66"/>
      <c r="CK734" s="66"/>
      <c r="CL734" s="66"/>
      <c r="CM734" s="66"/>
      <c r="CN734" s="66"/>
      <c r="CO734" s="66"/>
      <c r="CP734" s="66"/>
      <c r="CQ734" s="66"/>
      <c r="CR734" s="66"/>
      <c r="CS734" s="66"/>
      <c r="CT734" s="66"/>
      <c r="CU734" s="66"/>
      <c r="CV734" s="66"/>
      <c r="CW734" s="66"/>
      <c r="CX734" s="66"/>
      <c r="CY734" s="66"/>
      <c r="CZ734" s="66"/>
      <c r="DA734" s="66"/>
      <c r="DB734" s="66"/>
      <c r="DC734" s="66"/>
      <c r="DD734" s="66"/>
      <c r="DE734" s="66"/>
      <c r="DF734" s="66"/>
      <c r="DG734" s="66"/>
      <c r="DH734" s="66"/>
      <c r="DI734" s="66"/>
      <c r="DJ734" s="66"/>
      <c r="DK734" s="66"/>
      <c r="DL734" s="66"/>
      <c r="DM734" s="66"/>
      <c r="DN734" s="66"/>
      <c r="DO734" s="66"/>
      <c r="DP734" s="66"/>
      <c r="DQ734" s="66"/>
      <c r="DR734" s="66"/>
      <c r="DS734" s="66"/>
      <c r="DT734" s="66"/>
      <c r="DU734" s="65"/>
      <c r="DV734" s="67"/>
      <c r="DW734" s="68"/>
    </row>
    <row r="735" spans="4:127" s="80" customFormat="1">
      <c r="D735" s="58"/>
      <c r="E735" s="58"/>
      <c r="F735" s="58"/>
      <c r="G735" s="58"/>
      <c r="H735" s="58"/>
      <c r="I735" s="58"/>
      <c r="J735" s="58"/>
      <c r="K735" s="58"/>
      <c r="L735" s="58"/>
      <c r="M735" s="58"/>
      <c r="N735" s="58"/>
      <c r="O735" s="58"/>
      <c r="P735" s="58"/>
      <c r="Q735" s="58"/>
      <c r="R735" s="58"/>
      <c r="S735" s="58"/>
      <c r="T735" s="58"/>
      <c r="U735" s="58"/>
      <c r="V735" s="61"/>
      <c r="W735" s="61"/>
      <c r="X735" s="62"/>
      <c r="Y735" s="61"/>
      <c r="Z735" s="61"/>
      <c r="AA735" s="61"/>
      <c r="AB735" s="61"/>
      <c r="AC735" s="61"/>
      <c r="AD735" s="61"/>
      <c r="AE735" s="61"/>
      <c r="AF735" s="61"/>
      <c r="AG735" s="61"/>
      <c r="AH735" s="61"/>
      <c r="AI735" s="61"/>
      <c r="AJ735" s="62"/>
      <c r="AK735" s="61"/>
      <c r="AL735" s="62"/>
      <c r="AM735" s="61"/>
      <c r="AN735" s="61"/>
      <c r="AO735" s="61"/>
      <c r="AP735" s="63"/>
      <c r="AQ735" s="64"/>
      <c r="AR735" s="61"/>
      <c r="AS735" s="62"/>
      <c r="AT735" s="62"/>
      <c r="AU735" s="62"/>
      <c r="AV735" s="62"/>
      <c r="AW735" s="62"/>
      <c r="AX735" s="62"/>
      <c r="AY735" s="61"/>
      <c r="AZ735" s="61"/>
      <c r="BA735" s="61"/>
      <c r="BB735" s="61"/>
      <c r="BC735" s="61"/>
      <c r="BD735" s="61"/>
      <c r="BE735" s="61"/>
      <c r="BF735" s="61"/>
      <c r="BG735" s="61"/>
      <c r="BH735" s="61"/>
      <c r="BI735" s="61"/>
      <c r="BJ735" s="61"/>
      <c r="BK735" s="61"/>
      <c r="BL735" s="61"/>
      <c r="BM735" s="61"/>
      <c r="BN735" s="61"/>
      <c r="BO735" s="61"/>
      <c r="BP735" s="61"/>
      <c r="BQ735" s="61"/>
      <c r="BR735" s="61"/>
      <c r="BS735" s="61"/>
      <c r="BT735" s="61"/>
      <c r="BU735" s="61"/>
      <c r="BV735" s="61"/>
      <c r="BW735" s="61"/>
      <c r="BX735" s="61"/>
      <c r="BY735" s="61"/>
      <c r="BZ735" s="61"/>
      <c r="CA735" s="61"/>
      <c r="CB735" s="61"/>
      <c r="CC735" s="61"/>
      <c r="CD735" s="65"/>
      <c r="CE735" s="65"/>
      <c r="CF735" s="65"/>
      <c r="CG735" s="65"/>
      <c r="CH735" s="65"/>
      <c r="CI735" s="66"/>
      <c r="CJ735" s="66"/>
      <c r="CK735" s="66"/>
      <c r="CL735" s="66"/>
      <c r="CM735" s="66"/>
      <c r="CN735" s="66"/>
      <c r="CO735" s="66"/>
      <c r="CP735" s="66"/>
      <c r="CQ735" s="66"/>
      <c r="CR735" s="66"/>
      <c r="CS735" s="66"/>
      <c r="CT735" s="66"/>
      <c r="CU735" s="66"/>
      <c r="CV735" s="66"/>
      <c r="CW735" s="66"/>
      <c r="CX735" s="66"/>
      <c r="CY735" s="66"/>
      <c r="CZ735" s="66"/>
      <c r="DA735" s="66"/>
      <c r="DB735" s="66"/>
      <c r="DC735" s="66"/>
      <c r="DD735" s="66"/>
      <c r="DE735" s="66"/>
      <c r="DF735" s="66"/>
      <c r="DG735" s="66"/>
      <c r="DH735" s="66"/>
      <c r="DI735" s="66"/>
      <c r="DJ735" s="66"/>
      <c r="DK735" s="66"/>
      <c r="DL735" s="66"/>
      <c r="DM735" s="66"/>
      <c r="DN735" s="66"/>
      <c r="DO735" s="66"/>
      <c r="DP735" s="66"/>
      <c r="DQ735" s="66"/>
      <c r="DR735" s="66"/>
      <c r="DS735" s="66"/>
      <c r="DT735" s="66"/>
      <c r="DU735" s="65"/>
      <c r="DV735" s="67"/>
      <c r="DW735" s="68"/>
    </row>
    <row r="736" spans="4:127" s="80" customFormat="1">
      <c r="D736" s="58"/>
      <c r="E736" s="58"/>
      <c r="F736" s="58"/>
      <c r="G736" s="58"/>
      <c r="H736" s="58"/>
      <c r="I736" s="58"/>
      <c r="J736" s="58"/>
      <c r="K736" s="58"/>
      <c r="L736" s="58"/>
      <c r="M736" s="58"/>
      <c r="N736" s="58"/>
      <c r="O736" s="58"/>
      <c r="P736" s="58"/>
      <c r="Q736" s="58"/>
      <c r="R736" s="58"/>
      <c r="S736" s="58"/>
      <c r="T736" s="58"/>
      <c r="U736" s="58"/>
      <c r="V736" s="61"/>
      <c r="W736" s="61"/>
      <c r="X736" s="62"/>
      <c r="Y736" s="61"/>
      <c r="Z736" s="61"/>
      <c r="AA736" s="61"/>
      <c r="AB736" s="61"/>
      <c r="AC736" s="61"/>
      <c r="AD736" s="61"/>
      <c r="AE736" s="61"/>
      <c r="AF736" s="61"/>
      <c r="AG736" s="61"/>
      <c r="AH736" s="61"/>
      <c r="AI736" s="61"/>
      <c r="AJ736" s="62"/>
      <c r="AK736" s="61"/>
      <c r="AL736" s="62"/>
      <c r="AM736" s="61"/>
      <c r="AN736" s="61"/>
      <c r="AO736" s="61"/>
      <c r="AP736" s="63"/>
      <c r="AQ736" s="64"/>
      <c r="AR736" s="61"/>
      <c r="AS736" s="62"/>
      <c r="AT736" s="62"/>
      <c r="AU736" s="62"/>
      <c r="AV736" s="62"/>
      <c r="AW736" s="62"/>
      <c r="AX736" s="62"/>
      <c r="AY736" s="61"/>
      <c r="AZ736" s="61"/>
      <c r="BA736" s="61"/>
      <c r="BB736" s="61"/>
      <c r="BC736" s="61"/>
      <c r="BD736" s="61"/>
      <c r="BE736" s="61"/>
      <c r="BF736" s="61"/>
      <c r="BG736" s="61"/>
      <c r="BH736" s="61"/>
      <c r="BI736" s="61"/>
      <c r="BJ736" s="61"/>
      <c r="BK736" s="61"/>
      <c r="BL736" s="61"/>
      <c r="BM736" s="61"/>
      <c r="BN736" s="61"/>
      <c r="BO736" s="61"/>
      <c r="BP736" s="61"/>
      <c r="BQ736" s="61"/>
      <c r="BR736" s="61"/>
      <c r="BS736" s="61"/>
      <c r="BT736" s="61"/>
      <c r="BU736" s="61"/>
      <c r="BV736" s="61"/>
      <c r="BW736" s="61"/>
      <c r="BX736" s="61"/>
      <c r="BY736" s="61"/>
      <c r="BZ736" s="61"/>
      <c r="CA736" s="61"/>
      <c r="CB736" s="61"/>
      <c r="CC736" s="61"/>
      <c r="CD736" s="65"/>
      <c r="CE736" s="65"/>
      <c r="CF736" s="65"/>
      <c r="CG736" s="65"/>
      <c r="CH736" s="65"/>
      <c r="CI736" s="66"/>
      <c r="CJ736" s="66"/>
      <c r="CK736" s="66"/>
      <c r="CL736" s="66"/>
      <c r="CM736" s="66"/>
      <c r="CN736" s="66"/>
      <c r="CO736" s="66"/>
      <c r="CP736" s="66"/>
      <c r="CQ736" s="66"/>
      <c r="CR736" s="66"/>
      <c r="CS736" s="66"/>
      <c r="CT736" s="66"/>
      <c r="CU736" s="66"/>
      <c r="CV736" s="66"/>
      <c r="CW736" s="66"/>
      <c r="CX736" s="66"/>
      <c r="CY736" s="66"/>
      <c r="CZ736" s="66"/>
      <c r="DA736" s="66"/>
      <c r="DB736" s="66"/>
      <c r="DC736" s="66"/>
      <c r="DD736" s="66"/>
      <c r="DE736" s="66"/>
      <c r="DF736" s="66"/>
      <c r="DG736" s="66"/>
      <c r="DH736" s="66"/>
      <c r="DI736" s="66"/>
      <c r="DJ736" s="66"/>
      <c r="DK736" s="66"/>
      <c r="DL736" s="66"/>
      <c r="DM736" s="66"/>
      <c r="DN736" s="66"/>
      <c r="DO736" s="66"/>
      <c r="DP736" s="66"/>
      <c r="DQ736" s="66"/>
      <c r="DR736" s="66"/>
      <c r="DS736" s="66"/>
      <c r="DT736" s="66"/>
      <c r="DU736" s="65"/>
      <c r="DV736" s="67"/>
      <c r="DW736" s="68"/>
    </row>
    <row r="737" spans="4:127" s="80" customFormat="1">
      <c r="D737" s="58"/>
      <c r="E737" s="58"/>
      <c r="F737" s="58"/>
      <c r="G737" s="58"/>
      <c r="H737" s="58"/>
      <c r="I737" s="58"/>
      <c r="J737" s="58"/>
      <c r="K737" s="58"/>
      <c r="L737" s="58"/>
      <c r="M737" s="58"/>
      <c r="N737" s="58"/>
      <c r="O737" s="58"/>
      <c r="P737" s="58"/>
      <c r="Q737" s="58"/>
      <c r="R737" s="58"/>
      <c r="S737" s="58"/>
      <c r="T737" s="58"/>
      <c r="U737" s="58"/>
      <c r="V737" s="61"/>
      <c r="W737" s="61"/>
      <c r="X737" s="62"/>
      <c r="Y737" s="61"/>
      <c r="Z737" s="61"/>
      <c r="AA737" s="61"/>
      <c r="AB737" s="61"/>
      <c r="AC737" s="61"/>
      <c r="AD737" s="61"/>
      <c r="AE737" s="61"/>
      <c r="AF737" s="61"/>
      <c r="AG737" s="61"/>
      <c r="AH737" s="61"/>
      <c r="AI737" s="61"/>
      <c r="AJ737" s="62"/>
      <c r="AK737" s="61"/>
      <c r="AL737" s="62"/>
      <c r="AM737" s="61"/>
      <c r="AN737" s="61"/>
      <c r="AO737" s="61"/>
      <c r="AP737" s="63"/>
      <c r="AQ737" s="64"/>
      <c r="AR737" s="61"/>
      <c r="AS737" s="62"/>
      <c r="AT737" s="62"/>
      <c r="AU737" s="62"/>
      <c r="AV737" s="62"/>
      <c r="AW737" s="62"/>
      <c r="AX737" s="62"/>
      <c r="AY737" s="61"/>
      <c r="AZ737" s="61"/>
      <c r="BA737" s="61"/>
      <c r="BB737" s="61"/>
      <c r="BC737" s="61"/>
      <c r="BD737" s="61"/>
      <c r="BE737" s="61"/>
      <c r="BF737" s="61"/>
      <c r="BG737" s="61"/>
      <c r="BH737" s="61"/>
      <c r="BI737" s="61"/>
      <c r="BJ737" s="61"/>
      <c r="BK737" s="61"/>
      <c r="BL737" s="61"/>
      <c r="BM737" s="61"/>
      <c r="BN737" s="61"/>
      <c r="BO737" s="61"/>
      <c r="BP737" s="61"/>
      <c r="BQ737" s="61"/>
      <c r="BR737" s="61"/>
      <c r="BS737" s="61"/>
      <c r="BT737" s="61"/>
      <c r="BU737" s="61"/>
      <c r="BV737" s="61"/>
      <c r="BW737" s="61"/>
      <c r="BX737" s="61"/>
      <c r="BY737" s="61"/>
      <c r="BZ737" s="61"/>
      <c r="CA737" s="61"/>
      <c r="CB737" s="61"/>
      <c r="CC737" s="61"/>
      <c r="CD737" s="65"/>
      <c r="CE737" s="65"/>
      <c r="CF737" s="65"/>
      <c r="CG737" s="65"/>
      <c r="CH737" s="65"/>
      <c r="CI737" s="66"/>
      <c r="CJ737" s="66"/>
      <c r="CK737" s="66"/>
      <c r="CL737" s="66"/>
      <c r="CM737" s="66"/>
      <c r="CN737" s="66"/>
      <c r="CO737" s="66"/>
      <c r="CP737" s="66"/>
      <c r="CQ737" s="66"/>
      <c r="CR737" s="66"/>
      <c r="CS737" s="66"/>
      <c r="CT737" s="66"/>
      <c r="CU737" s="66"/>
      <c r="CV737" s="66"/>
      <c r="CW737" s="66"/>
      <c r="CX737" s="66"/>
      <c r="CY737" s="66"/>
      <c r="CZ737" s="66"/>
      <c r="DA737" s="66"/>
      <c r="DB737" s="66"/>
      <c r="DC737" s="66"/>
      <c r="DD737" s="66"/>
      <c r="DE737" s="66"/>
      <c r="DF737" s="66"/>
      <c r="DG737" s="66"/>
      <c r="DH737" s="66"/>
      <c r="DI737" s="66"/>
      <c r="DJ737" s="66"/>
      <c r="DK737" s="66"/>
      <c r="DL737" s="66"/>
      <c r="DM737" s="66"/>
      <c r="DN737" s="66"/>
      <c r="DO737" s="66"/>
      <c r="DP737" s="66"/>
      <c r="DQ737" s="66"/>
      <c r="DR737" s="66"/>
      <c r="DS737" s="66"/>
      <c r="DT737" s="66"/>
      <c r="DU737" s="65"/>
      <c r="DV737" s="67"/>
      <c r="DW737" s="68"/>
    </row>
    <row r="738" spans="4:127" s="80" customFormat="1">
      <c r="D738" s="58"/>
      <c r="E738" s="58"/>
      <c r="F738" s="58"/>
      <c r="G738" s="58"/>
      <c r="H738" s="58"/>
      <c r="I738" s="58"/>
      <c r="J738" s="58"/>
      <c r="K738" s="58"/>
      <c r="L738" s="58"/>
      <c r="M738" s="58"/>
      <c r="N738" s="58"/>
      <c r="O738" s="58"/>
      <c r="P738" s="58"/>
      <c r="Q738" s="58"/>
      <c r="R738" s="58"/>
      <c r="S738" s="58"/>
      <c r="T738" s="58"/>
      <c r="U738" s="58"/>
      <c r="V738" s="61"/>
      <c r="W738" s="61"/>
      <c r="X738" s="62"/>
      <c r="Y738" s="61"/>
      <c r="Z738" s="61"/>
      <c r="AA738" s="61"/>
      <c r="AB738" s="61"/>
      <c r="AC738" s="61"/>
      <c r="AD738" s="61"/>
      <c r="AE738" s="61"/>
      <c r="AF738" s="61"/>
      <c r="AG738" s="61"/>
      <c r="AH738" s="61"/>
      <c r="AI738" s="61"/>
      <c r="AJ738" s="62"/>
      <c r="AK738" s="61"/>
      <c r="AL738" s="62"/>
      <c r="AM738" s="61"/>
      <c r="AN738" s="61"/>
      <c r="AO738" s="61"/>
      <c r="AP738" s="63"/>
      <c r="AQ738" s="64"/>
      <c r="AR738" s="61"/>
      <c r="AS738" s="62"/>
      <c r="AT738" s="62"/>
      <c r="AU738" s="62"/>
      <c r="AV738" s="62"/>
      <c r="AW738" s="62"/>
      <c r="AX738" s="62"/>
      <c r="AY738" s="61"/>
      <c r="AZ738" s="61"/>
      <c r="BA738" s="61"/>
      <c r="BB738" s="61"/>
      <c r="BC738" s="61"/>
      <c r="BD738" s="61"/>
      <c r="BE738" s="61"/>
      <c r="BF738" s="61"/>
      <c r="BG738" s="61"/>
      <c r="BH738" s="61"/>
      <c r="BI738" s="61"/>
      <c r="BJ738" s="61"/>
      <c r="BK738" s="61"/>
      <c r="BL738" s="61"/>
      <c r="BM738" s="61"/>
      <c r="BN738" s="61"/>
      <c r="BO738" s="61"/>
      <c r="BP738" s="61"/>
      <c r="BQ738" s="61"/>
      <c r="BR738" s="61"/>
      <c r="BS738" s="61"/>
      <c r="BT738" s="61"/>
      <c r="BU738" s="61"/>
      <c r="BV738" s="61"/>
      <c r="BW738" s="61"/>
      <c r="BX738" s="61"/>
      <c r="BY738" s="61"/>
      <c r="BZ738" s="61"/>
      <c r="CA738" s="61"/>
      <c r="CB738" s="61"/>
      <c r="CC738" s="61"/>
      <c r="CD738" s="65"/>
      <c r="CE738" s="65"/>
      <c r="CF738" s="65"/>
      <c r="CG738" s="65"/>
      <c r="CH738" s="65"/>
      <c r="CI738" s="66"/>
      <c r="CJ738" s="66"/>
      <c r="CK738" s="66"/>
      <c r="CL738" s="66"/>
      <c r="CM738" s="66"/>
      <c r="CN738" s="66"/>
      <c r="CO738" s="66"/>
      <c r="CP738" s="66"/>
      <c r="CQ738" s="66"/>
      <c r="CR738" s="66"/>
      <c r="CS738" s="66"/>
      <c r="CT738" s="66"/>
      <c r="CU738" s="66"/>
      <c r="CV738" s="66"/>
      <c r="CW738" s="66"/>
      <c r="CX738" s="66"/>
      <c r="CY738" s="66"/>
      <c r="CZ738" s="66"/>
      <c r="DA738" s="66"/>
      <c r="DB738" s="66"/>
      <c r="DC738" s="66"/>
      <c r="DD738" s="66"/>
      <c r="DE738" s="66"/>
      <c r="DF738" s="66"/>
      <c r="DG738" s="66"/>
      <c r="DH738" s="66"/>
      <c r="DI738" s="66"/>
      <c r="DJ738" s="66"/>
      <c r="DK738" s="66"/>
      <c r="DL738" s="66"/>
      <c r="DM738" s="66"/>
      <c r="DN738" s="66"/>
      <c r="DO738" s="66"/>
      <c r="DP738" s="66"/>
      <c r="DQ738" s="66"/>
      <c r="DR738" s="66"/>
      <c r="DS738" s="66"/>
      <c r="DT738" s="66"/>
      <c r="DU738" s="65"/>
      <c r="DV738" s="67"/>
      <c r="DW738" s="68"/>
    </row>
    <row r="739" spans="4:127" s="80" customFormat="1">
      <c r="D739" s="58"/>
      <c r="E739" s="58"/>
      <c r="F739" s="58"/>
      <c r="G739" s="58"/>
      <c r="H739" s="58"/>
      <c r="I739" s="58"/>
      <c r="J739" s="58"/>
      <c r="K739" s="58"/>
      <c r="L739" s="58"/>
      <c r="M739" s="58"/>
      <c r="N739" s="58"/>
      <c r="O739" s="58"/>
      <c r="P739" s="58"/>
      <c r="Q739" s="58"/>
      <c r="R739" s="58"/>
      <c r="S739" s="58"/>
      <c r="T739" s="58"/>
      <c r="U739" s="58"/>
      <c r="V739" s="61"/>
      <c r="W739" s="61"/>
      <c r="X739" s="62"/>
      <c r="Y739" s="61"/>
      <c r="Z739" s="61"/>
      <c r="AA739" s="61"/>
      <c r="AB739" s="61"/>
      <c r="AC739" s="61"/>
      <c r="AD739" s="61"/>
      <c r="AE739" s="61"/>
      <c r="AF739" s="61"/>
      <c r="AG739" s="61"/>
      <c r="AH739" s="61"/>
      <c r="AI739" s="61"/>
      <c r="AJ739" s="62"/>
      <c r="AK739" s="61"/>
      <c r="AL739" s="62"/>
      <c r="AM739" s="61"/>
      <c r="AN739" s="61"/>
      <c r="AO739" s="61"/>
      <c r="AP739" s="63"/>
      <c r="AQ739" s="64"/>
      <c r="AR739" s="61"/>
      <c r="AS739" s="62"/>
      <c r="AT739" s="62"/>
      <c r="AU739" s="62"/>
      <c r="AV739" s="62"/>
      <c r="AW739" s="62"/>
      <c r="AX739" s="62"/>
      <c r="AY739" s="61"/>
      <c r="AZ739" s="61"/>
      <c r="BA739" s="61"/>
      <c r="BB739" s="61"/>
      <c r="BC739" s="61"/>
      <c r="BD739" s="61"/>
      <c r="BE739" s="61"/>
      <c r="BF739" s="61"/>
      <c r="BG739" s="61"/>
      <c r="BH739" s="61"/>
      <c r="BI739" s="61"/>
      <c r="BJ739" s="61"/>
      <c r="BK739" s="61"/>
      <c r="BL739" s="61"/>
      <c r="BM739" s="61"/>
      <c r="BN739" s="61"/>
      <c r="BO739" s="61"/>
      <c r="BP739" s="61"/>
      <c r="BQ739" s="61"/>
      <c r="BR739" s="61"/>
      <c r="BS739" s="61"/>
      <c r="BT739" s="61"/>
      <c r="BU739" s="61"/>
      <c r="BV739" s="61"/>
      <c r="BW739" s="61"/>
      <c r="BX739" s="61"/>
      <c r="BY739" s="61"/>
      <c r="BZ739" s="61"/>
      <c r="CA739" s="61"/>
      <c r="CB739" s="61"/>
      <c r="CC739" s="61"/>
      <c r="CD739" s="65"/>
      <c r="CE739" s="65"/>
      <c r="CF739" s="65"/>
      <c r="CG739" s="65"/>
      <c r="CH739" s="65"/>
      <c r="CI739" s="66"/>
      <c r="CJ739" s="66"/>
      <c r="CK739" s="66"/>
      <c r="CL739" s="66"/>
      <c r="CM739" s="66"/>
      <c r="CN739" s="66"/>
      <c r="CO739" s="66"/>
      <c r="CP739" s="66"/>
      <c r="CQ739" s="66"/>
      <c r="CR739" s="66"/>
      <c r="CS739" s="66"/>
      <c r="CT739" s="66"/>
      <c r="CU739" s="66"/>
      <c r="CV739" s="66"/>
      <c r="CW739" s="66"/>
      <c r="CX739" s="66"/>
      <c r="CY739" s="66"/>
      <c r="CZ739" s="66"/>
      <c r="DA739" s="66"/>
      <c r="DB739" s="66"/>
      <c r="DC739" s="66"/>
      <c r="DD739" s="66"/>
      <c r="DE739" s="66"/>
      <c r="DF739" s="66"/>
      <c r="DG739" s="66"/>
      <c r="DH739" s="66"/>
      <c r="DI739" s="66"/>
      <c r="DJ739" s="66"/>
      <c r="DK739" s="66"/>
      <c r="DL739" s="66"/>
      <c r="DM739" s="66"/>
      <c r="DN739" s="66"/>
      <c r="DO739" s="66"/>
      <c r="DP739" s="66"/>
      <c r="DQ739" s="66"/>
      <c r="DR739" s="66"/>
      <c r="DS739" s="66"/>
      <c r="DT739" s="66"/>
      <c r="DU739" s="65"/>
      <c r="DV739" s="67"/>
      <c r="DW739" s="68"/>
    </row>
    <row r="740" spans="4:127" s="80" customFormat="1">
      <c r="D740" s="58"/>
      <c r="E740" s="58"/>
      <c r="F740" s="58"/>
      <c r="G740" s="58"/>
      <c r="H740" s="58"/>
      <c r="I740" s="58"/>
      <c r="J740" s="58"/>
      <c r="K740" s="58"/>
      <c r="L740" s="58"/>
      <c r="M740" s="58"/>
      <c r="N740" s="58"/>
      <c r="O740" s="58"/>
      <c r="P740" s="58"/>
      <c r="Q740" s="58"/>
      <c r="R740" s="58"/>
      <c r="S740" s="58"/>
      <c r="T740" s="58"/>
      <c r="U740" s="58"/>
      <c r="V740" s="61"/>
      <c r="W740" s="61"/>
      <c r="X740" s="62"/>
      <c r="Y740" s="61"/>
      <c r="Z740" s="61"/>
      <c r="AA740" s="61"/>
      <c r="AB740" s="61"/>
      <c r="AC740" s="61"/>
      <c r="AD740" s="61"/>
      <c r="AE740" s="61"/>
      <c r="AF740" s="61"/>
      <c r="AG740" s="61"/>
      <c r="AH740" s="61"/>
      <c r="AI740" s="61"/>
      <c r="AJ740" s="62"/>
      <c r="AK740" s="61"/>
      <c r="AL740" s="62"/>
      <c r="AM740" s="61"/>
      <c r="AN740" s="61"/>
      <c r="AO740" s="61"/>
      <c r="AP740" s="63"/>
      <c r="AQ740" s="64"/>
      <c r="AR740" s="61"/>
      <c r="AS740" s="62"/>
      <c r="AT740" s="62"/>
      <c r="AU740" s="62"/>
      <c r="AV740" s="62"/>
      <c r="AW740" s="62"/>
      <c r="AX740" s="62"/>
      <c r="AY740" s="61"/>
      <c r="AZ740" s="61"/>
      <c r="BA740" s="61"/>
      <c r="BB740" s="61"/>
      <c r="BC740" s="61"/>
      <c r="BD740" s="61"/>
      <c r="BE740" s="61"/>
      <c r="BF740" s="61"/>
      <c r="BG740" s="61"/>
      <c r="BH740" s="61"/>
      <c r="BI740" s="61"/>
      <c r="BJ740" s="61"/>
      <c r="BK740" s="61"/>
      <c r="BL740" s="61"/>
      <c r="BM740" s="61"/>
      <c r="BN740" s="61"/>
      <c r="BO740" s="61"/>
      <c r="BP740" s="61"/>
      <c r="BQ740" s="61"/>
      <c r="BR740" s="61"/>
      <c r="BS740" s="61"/>
      <c r="BT740" s="61"/>
      <c r="BU740" s="61"/>
      <c r="BV740" s="61"/>
      <c r="BW740" s="61"/>
      <c r="BX740" s="61"/>
      <c r="BY740" s="61"/>
      <c r="BZ740" s="61"/>
      <c r="CA740" s="61"/>
      <c r="CB740" s="61"/>
      <c r="CC740" s="61"/>
      <c r="CD740" s="65"/>
      <c r="CE740" s="65"/>
      <c r="CF740" s="65"/>
      <c r="CG740" s="65"/>
      <c r="CH740" s="65"/>
      <c r="CI740" s="66"/>
      <c r="CJ740" s="66"/>
      <c r="CK740" s="66"/>
      <c r="CL740" s="66"/>
      <c r="CM740" s="66"/>
      <c r="CN740" s="66"/>
      <c r="CO740" s="66"/>
      <c r="CP740" s="66"/>
      <c r="CQ740" s="66"/>
      <c r="CR740" s="66"/>
      <c r="CS740" s="66"/>
      <c r="CT740" s="66"/>
      <c r="CU740" s="66"/>
      <c r="CV740" s="66"/>
      <c r="CW740" s="66"/>
      <c r="CX740" s="66"/>
      <c r="CY740" s="66"/>
      <c r="CZ740" s="66"/>
      <c r="DA740" s="66"/>
      <c r="DB740" s="66"/>
      <c r="DC740" s="66"/>
      <c r="DD740" s="66"/>
      <c r="DE740" s="66"/>
      <c r="DF740" s="66"/>
      <c r="DG740" s="66"/>
      <c r="DH740" s="66"/>
      <c r="DI740" s="66"/>
      <c r="DJ740" s="66"/>
      <c r="DK740" s="66"/>
      <c r="DL740" s="66"/>
      <c r="DM740" s="66"/>
      <c r="DN740" s="66"/>
      <c r="DO740" s="66"/>
      <c r="DP740" s="66"/>
      <c r="DQ740" s="66"/>
      <c r="DR740" s="66"/>
      <c r="DS740" s="66"/>
      <c r="DT740" s="66"/>
      <c r="DU740" s="65"/>
      <c r="DV740" s="67"/>
      <c r="DW740" s="68"/>
    </row>
    <row r="741" spans="4:127" s="80" customFormat="1">
      <c r="D741" s="58"/>
      <c r="E741" s="58"/>
      <c r="F741" s="58"/>
      <c r="G741" s="58"/>
      <c r="H741" s="58"/>
      <c r="I741" s="58"/>
      <c r="J741" s="58"/>
      <c r="K741" s="58"/>
      <c r="L741" s="58"/>
      <c r="M741" s="58"/>
      <c r="N741" s="58"/>
      <c r="O741" s="58"/>
      <c r="P741" s="58"/>
      <c r="Q741" s="58"/>
      <c r="R741" s="58"/>
      <c r="S741" s="58"/>
      <c r="T741" s="58"/>
      <c r="U741" s="58"/>
      <c r="V741" s="61"/>
      <c r="W741" s="61"/>
      <c r="X741" s="62"/>
      <c r="Y741" s="61"/>
      <c r="Z741" s="61"/>
      <c r="AA741" s="61"/>
      <c r="AB741" s="61"/>
      <c r="AC741" s="61"/>
      <c r="AD741" s="61"/>
      <c r="AE741" s="61"/>
      <c r="AF741" s="61"/>
      <c r="AG741" s="61"/>
      <c r="AH741" s="61"/>
      <c r="AI741" s="61"/>
      <c r="AJ741" s="62"/>
      <c r="AK741" s="61"/>
      <c r="AL741" s="62"/>
      <c r="AM741" s="61"/>
      <c r="AN741" s="61"/>
      <c r="AO741" s="61"/>
      <c r="AP741" s="63"/>
      <c r="AQ741" s="64"/>
      <c r="AR741" s="61"/>
      <c r="AS741" s="62"/>
      <c r="AT741" s="62"/>
      <c r="AU741" s="62"/>
      <c r="AV741" s="62"/>
      <c r="AW741" s="62"/>
      <c r="AX741" s="62"/>
      <c r="AY741" s="61"/>
      <c r="AZ741" s="61"/>
      <c r="BA741" s="61"/>
      <c r="BB741" s="61"/>
      <c r="BC741" s="61"/>
      <c r="BD741" s="61"/>
      <c r="BE741" s="61"/>
      <c r="BF741" s="61"/>
      <c r="BG741" s="61"/>
      <c r="BH741" s="61"/>
      <c r="BI741" s="61"/>
      <c r="BJ741" s="61"/>
      <c r="BK741" s="61"/>
      <c r="BL741" s="61"/>
      <c r="BM741" s="61"/>
      <c r="BN741" s="61"/>
      <c r="BO741" s="61"/>
      <c r="BP741" s="61"/>
      <c r="BQ741" s="61"/>
      <c r="BR741" s="61"/>
      <c r="BS741" s="61"/>
      <c r="BT741" s="61"/>
      <c r="BU741" s="61"/>
      <c r="BV741" s="61"/>
      <c r="BW741" s="61"/>
      <c r="BX741" s="61"/>
      <c r="BY741" s="61"/>
      <c r="BZ741" s="61"/>
      <c r="CA741" s="61"/>
      <c r="CB741" s="61"/>
      <c r="CC741" s="61"/>
      <c r="CD741" s="65"/>
      <c r="CE741" s="65"/>
      <c r="CF741" s="65"/>
      <c r="CG741" s="65"/>
      <c r="CH741" s="65"/>
      <c r="CI741" s="66"/>
      <c r="CJ741" s="66"/>
      <c r="CK741" s="66"/>
      <c r="CL741" s="66"/>
      <c r="CM741" s="66"/>
      <c r="CN741" s="66"/>
      <c r="CO741" s="66"/>
      <c r="CP741" s="66"/>
      <c r="CQ741" s="66"/>
      <c r="CR741" s="66"/>
      <c r="CS741" s="66"/>
      <c r="CT741" s="66"/>
      <c r="CU741" s="66"/>
      <c r="CV741" s="66"/>
      <c r="CW741" s="66"/>
      <c r="CX741" s="66"/>
      <c r="CY741" s="66"/>
      <c r="CZ741" s="66"/>
      <c r="DA741" s="66"/>
      <c r="DB741" s="66"/>
      <c r="DC741" s="66"/>
      <c r="DD741" s="66"/>
      <c r="DE741" s="66"/>
      <c r="DF741" s="66"/>
      <c r="DG741" s="66"/>
      <c r="DH741" s="66"/>
      <c r="DI741" s="66"/>
      <c r="DJ741" s="66"/>
      <c r="DK741" s="66"/>
      <c r="DL741" s="66"/>
      <c r="DM741" s="66"/>
      <c r="DN741" s="66"/>
      <c r="DO741" s="66"/>
      <c r="DP741" s="66"/>
      <c r="DQ741" s="66"/>
      <c r="DR741" s="66"/>
      <c r="DS741" s="66"/>
      <c r="DT741" s="66"/>
      <c r="DU741" s="65"/>
      <c r="DV741" s="67"/>
      <c r="DW741" s="68"/>
    </row>
    <row r="742" spans="4:127" s="80" customFormat="1">
      <c r="D742" s="58"/>
      <c r="E742" s="58"/>
      <c r="F742" s="58"/>
      <c r="G742" s="58"/>
      <c r="H742" s="58"/>
      <c r="I742" s="58"/>
      <c r="J742" s="58"/>
      <c r="K742" s="58"/>
      <c r="L742" s="58"/>
      <c r="M742" s="58"/>
      <c r="N742" s="58"/>
      <c r="O742" s="58"/>
      <c r="P742" s="58"/>
      <c r="Q742" s="58"/>
      <c r="R742" s="58"/>
      <c r="S742" s="58"/>
      <c r="T742" s="58"/>
      <c r="U742" s="58"/>
      <c r="V742" s="61"/>
      <c r="W742" s="61"/>
      <c r="X742" s="62"/>
      <c r="Y742" s="61"/>
      <c r="Z742" s="61"/>
      <c r="AA742" s="61"/>
      <c r="AB742" s="61"/>
      <c r="AC742" s="61"/>
      <c r="AD742" s="61"/>
      <c r="AE742" s="61"/>
      <c r="AF742" s="61"/>
      <c r="AG742" s="61"/>
      <c r="AH742" s="61"/>
      <c r="AI742" s="61"/>
      <c r="AJ742" s="62"/>
      <c r="AK742" s="61"/>
      <c r="AL742" s="62"/>
      <c r="AM742" s="61"/>
      <c r="AN742" s="61"/>
      <c r="AO742" s="61"/>
      <c r="AP742" s="63"/>
      <c r="AQ742" s="64"/>
      <c r="AR742" s="61"/>
      <c r="AS742" s="62"/>
      <c r="AT742" s="62"/>
      <c r="AU742" s="62"/>
      <c r="AV742" s="62"/>
      <c r="AW742" s="62"/>
      <c r="AX742" s="62"/>
      <c r="AY742" s="61"/>
      <c r="AZ742" s="61"/>
      <c r="BA742" s="61"/>
      <c r="BB742" s="61"/>
      <c r="BC742" s="61"/>
      <c r="BD742" s="61"/>
      <c r="BE742" s="61"/>
      <c r="BF742" s="61"/>
      <c r="BG742" s="61"/>
      <c r="BH742" s="61"/>
      <c r="BI742" s="61"/>
      <c r="BJ742" s="61"/>
      <c r="BK742" s="61"/>
      <c r="BL742" s="61"/>
      <c r="BM742" s="61"/>
      <c r="BN742" s="61"/>
      <c r="BO742" s="61"/>
      <c r="BP742" s="61"/>
      <c r="BQ742" s="61"/>
      <c r="BR742" s="61"/>
      <c r="BS742" s="61"/>
      <c r="BT742" s="61"/>
      <c r="BU742" s="61"/>
      <c r="BV742" s="61"/>
      <c r="BW742" s="61"/>
      <c r="BX742" s="61"/>
      <c r="BY742" s="61"/>
      <c r="BZ742" s="61"/>
      <c r="CA742" s="61"/>
      <c r="CB742" s="61"/>
      <c r="CC742" s="61"/>
      <c r="CD742" s="65"/>
      <c r="CE742" s="65"/>
      <c r="CF742" s="65"/>
      <c r="CG742" s="65"/>
      <c r="CH742" s="65"/>
      <c r="CI742" s="66"/>
      <c r="CJ742" s="66"/>
      <c r="CK742" s="66"/>
      <c r="CL742" s="66"/>
      <c r="CM742" s="66"/>
      <c r="CN742" s="66"/>
      <c r="CO742" s="66"/>
      <c r="CP742" s="66"/>
      <c r="CQ742" s="66"/>
      <c r="CR742" s="66"/>
      <c r="CS742" s="66"/>
      <c r="CT742" s="66"/>
      <c r="CU742" s="66"/>
      <c r="CV742" s="66"/>
      <c r="CW742" s="66"/>
      <c r="CX742" s="66"/>
      <c r="CY742" s="66"/>
      <c r="CZ742" s="66"/>
      <c r="DA742" s="66"/>
      <c r="DB742" s="66"/>
      <c r="DC742" s="66"/>
      <c r="DD742" s="66"/>
      <c r="DE742" s="66"/>
      <c r="DF742" s="66"/>
      <c r="DG742" s="66"/>
      <c r="DH742" s="66"/>
      <c r="DI742" s="66"/>
      <c r="DJ742" s="66"/>
      <c r="DK742" s="66"/>
      <c r="DL742" s="66"/>
      <c r="DM742" s="66"/>
      <c r="DN742" s="66"/>
      <c r="DO742" s="66"/>
      <c r="DP742" s="66"/>
      <c r="DQ742" s="66"/>
      <c r="DR742" s="66"/>
      <c r="DS742" s="66"/>
      <c r="DT742" s="66"/>
      <c r="DU742" s="65"/>
      <c r="DV742" s="67"/>
      <c r="DW742" s="68"/>
    </row>
    <row r="743" spans="4:127" s="80" customFormat="1">
      <c r="D743" s="58"/>
      <c r="E743" s="58"/>
      <c r="F743" s="58"/>
      <c r="G743" s="58"/>
      <c r="H743" s="58"/>
      <c r="I743" s="58"/>
      <c r="J743" s="58"/>
      <c r="K743" s="58"/>
      <c r="L743" s="58"/>
      <c r="M743" s="58"/>
      <c r="N743" s="58"/>
      <c r="O743" s="58"/>
      <c r="P743" s="58"/>
      <c r="Q743" s="58"/>
      <c r="R743" s="58"/>
      <c r="S743" s="58"/>
      <c r="T743" s="58"/>
      <c r="U743" s="58"/>
      <c r="V743" s="61"/>
      <c r="W743" s="61"/>
      <c r="X743" s="62"/>
      <c r="Y743" s="61"/>
      <c r="Z743" s="61"/>
      <c r="AA743" s="61"/>
      <c r="AB743" s="61"/>
      <c r="AC743" s="61"/>
      <c r="AD743" s="61"/>
      <c r="AE743" s="61"/>
      <c r="AF743" s="61"/>
      <c r="AG743" s="61"/>
      <c r="AH743" s="61"/>
      <c r="AI743" s="61"/>
      <c r="AJ743" s="62"/>
      <c r="AK743" s="61"/>
      <c r="AL743" s="62"/>
      <c r="AM743" s="61"/>
      <c r="AN743" s="61"/>
      <c r="AO743" s="61"/>
      <c r="AP743" s="63"/>
      <c r="AQ743" s="64"/>
      <c r="AR743" s="61"/>
      <c r="AS743" s="62"/>
      <c r="AT743" s="62"/>
      <c r="AU743" s="62"/>
      <c r="AV743" s="62"/>
      <c r="AW743" s="62"/>
      <c r="AX743" s="62"/>
      <c r="AY743" s="61"/>
      <c r="AZ743" s="61"/>
      <c r="BA743" s="61"/>
      <c r="BB743" s="61"/>
      <c r="BC743" s="61"/>
      <c r="BD743" s="61"/>
      <c r="BE743" s="61"/>
      <c r="BF743" s="61"/>
      <c r="BG743" s="61"/>
      <c r="BH743" s="61"/>
      <c r="BI743" s="61"/>
      <c r="BJ743" s="61"/>
      <c r="BK743" s="61"/>
      <c r="BL743" s="61"/>
      <c r="BM743" s="61"/>
      <c r="BN743" s="61"/>
      <c r="BO743" s="61"/>
      <c r="BP743" s="61"/>
      <c r="BQ743" s="61"/>
      <c r="BR743" s="61"/>
      <c r="BS743" s="61"/>
      <c r="BT743" s="61"/>
      <c r="BU743" s="61"/>
      <c r="BV743" s="61"/>
      <c r="BW743" s="61"/>
      <c r="BX743" s="61"/>
      <c r="BY743" s="61"/>
      <c r="BZ743" s="61"/>
      <c r="CA743" s="61"/>
      <c r="CB743" s="61"/>
      <c r="CC743" s="61"/>
      <c r="CD743" s="65"/>
      <c r="CE743" s="65"/>
      <c r="CF743" s="65"/>
      <c r="CG743" s="65"/>
      <c r="CH743" s="65"/>
      <c r="CI743" s="66"/>
      <c r="CJ743" s="66"/>
      <c r="CK743" s="66"/>
      <c r="CL743" s="66"/>
      <c r="CM743" s="66"/>
      <c r="CN743" s="66"/>
      <c r="CO743" s="66"/>
      <c r="CP743" s="66"/>
      <c r="CQ743" s="66"/>
      <c r="CR743" s="66"/>
      <c r="CS743" s="66"/>
      <c r="CT743" s="66"/>
      <c r="CU743" s="66"/>
      <c r="CV743" s="66"/>
      <c r="CW743" s="66"/>
      <c r="CX743" s="66"/>
      <c r="CY743" s="66"/>
      <c r="CZ743" s="66"/>
      <c r="DA743" s="66"/>
      <c r="DB743" s="66"/>
      <c r="DC743" s="66"/>
      <c r="DD743" s="66"/>
      <c r="DE743" s="66"/>
      <c r="DF743" s="66"/>
      <c r="DG743" s="66"/>
      <c r="DH743" s="66"/>
      <c r="DI743" s="66"/>
      <c r="DJ743" s="66"/>
      <c r="DK743" s="66"/>
      <c r="DL743" s="66"/>
      <c r="DM743" s="66"/>
      <c r="DN743" s="66"/>
      <c r="DO743" s="66"/>
      <c r="DP743" s="66"/>
      <c r="DQ743" s="66"/>
      <c r="DR743" s="66"/>
      <c r="DS743" s="66"/>
      <c r="DT743" s="66"/>
      <c r="DU743" s="65"/>
      <c r="DV743" s="67"/>
      <c r="DW743" s="68"/>
    </row>
    <row r="744" spans="4:127" s="80" customFormat="1">
      <c r="D744" s="58"/>
      <c r="E744" s="58"/>
      <c r="F744" s="58"/>
      <c r="G744" s="58"/>
      <c r="H744" s="58"/>
      <c r="I744" s="58"/>
      <c r="J744" s="58"/>
      <c r="K744" s="58"/>
      <c r="L744" s="58"/>
      <c r="M744" s="58"/>
      <c r="N744" s="58"/>
      <c r="O744" s="58"/>
      <c r="P744" s="58"/>
      <c r="Q744" s="58"/>
      <c r="R744" s="58"/>
      <c r="S744" s="58"/>
      <c r="T744" s="58"/>
      <c r="U744" s="58"/>
      <c r="V744" s="61"/>
      <c r="W744" s="61"/>
      <c r="X744" s="62"/>
      <c r="Y744" s="61"/>
      <c r="Z744" s="61"/>
      <c r="AA744" s="61"/>
      <c r="AB744" s="61"/>
      <c r="AC744" s="61"/>
      <c r="AD744" s="61"/>
      <c r="AE744" s="61"/>
      <c r="AF744" s="61"/>
      <c r="AG744" s="61"/>
      <c r="AH744" s="61"/>
      <c r="AI744" s="61"/>
      <c r="AJ744" s="62"/>
      <c r="AK744" s="61"/>
      <c r="AL744" s="62"/>
      <c r="AM744" s="61"/>
      <c r="AN744" s="61"/>
      <c r="AO744" s="61"/>
      <c r="AP744" s="63"/>
      <c r="AQ744" s="64"/>
      <c r="AR744" s="61"/>
      <c r="AS744" s="62"/>
      <c r="AT744" s="62"/>
      <c r="AU744" s="62"/>
      <c r="AV744" s="62"/>
      <c r="AW744" s="62"/>
      <c r="AX744" s="62"/>
      <c r="AY744" s="61"/>
      <c r="AZ744" s="61"/>
      <c r="BA744" s="61"/>
      <c r="BB744" s="61"/>
      <c r="BC744" s="61"/>
      <c r="BD744" s="61"/>
      <c r="BE744" s="61"/>
      <c r="BF744" s="61"/>
      <c r="BG744" s="61"/>
      <c r="BH744" s="61"/>
      <c r="BI744" s="61"/>
      <c r="BJ744" s="61"/>
      <c r="BK744" s="61"/>
      <c r="BL744" s="61"/>
      <c r="BM744" s="61"/>
      <c r="BN744" s="61"/>
      <c r="BO744" s="61"/>
      <c r="BP744" s="61"/>
      <c r="BQ744" s="61"/>
      <c r="BR744" s="61"/>
      <c r="BS744" s="61"/>
      <c r="BT744" s="61"/>
      <c r="BU744" s="61"/>
      <c r="BV744" s="61"/>
      <c r="BW744" s="61"/>
      <c r="BX744" s="61"/>
      <c r="BY744" s="61"/>
      <c r="BZ744" s="61"/>
      <c r="CA744" s="61"/>
      <c r="CB744" s="61"/>
      <c r="CC744" s="61"/>
      <c r="CD744" s="65"/>
      <c r="CE744" s="65"/>
      <c r="CF744" s="65"/>
      <c r="CG744" s="65"/>
      <c r="CH744" s="65"/>
      <c r="CI744" s="66"/>
      <c r="CJ744" s="66"/>
      <c r="CK744" s="66"/>
      <c r="CL744" s="66"/>
      <c r="CM744" s="66"/>
      <c r="CN744" s="66"/>
      <c r="CO744" s="66"/>
      <c r="CP744" s="66"/>
      <c r="CQ744" s="66"/>
      <c r="CR744" s="66"/>
      <c r="CS744" s="66"/>
      <c r="CT744" s="66"/>
      <c r="CU744" s="66"/>
      <c r="CV744" s="66"/>
      <c r="CW744" s="66"/>
      <c r="CX744" s="66"/>
      <c r="CY744" s="66"/>
      <c r="CZ744" s="66"/>
      <c r="DA744" s="66"/>
      <c r="DB744" s="66"/>
      <c r="DC744" s="66"/>
      <c r="DD744" s="66"/>
      <c r="DE744" s="66"/>
      <c r="DF744" s="66"/>
      <c r="DG744" s="66"/>
      <c r="DH744" s="66"/>
      <c r="DI744" s="66"/>
      <c r="DJ744" s="66"/>
      <c r="DK744" s="66"/>
      <c r="DL744" s="66"/>
      <c r="DM744" s="66"/>
      <c r="DN744" s="66"/>
      <c r="DO744" s="66"/>
      <c r="DP744" s="66"/>
      <c r="DQ744" s="66"/>
      <c r="DR744" s="66"/>
      <c r="DS744" s="66"/>
      <c r="DT744" s="66"/>
      <c r="DU744" s="65"/>
      <c r="DV744" s="67"/>
      <c r="DW744" s="68"/>
    </row>
    <row r="745" spans="4:127" s="80" customFormat="1">
      <c r="D745" s="58"/>
      <c r="E745" s="58"/>
      <c r="F745" s="58"/>
      <c r="G745" s="58"/>
      <c r="H745" s="58"/>
      <c r="I745" s="58"/>
      <c r="J745" s="58"/>
      <c r="K745" s="58"/>
      <c r="L745" s="58"/>
      <c r="M745" s="58"/>
      <c r="N745" s="58"/>
      <c r="O745" s="58"/>
      <c r="P745" s="58"/>
      <c r="Q745" s="58"/>
      <c r="R745" s="58"/>
      <c r="S745" s="58"/>
      <c r="T745" s="58"/>
      <c r="U745" s="58"/>
      <c r="V745" s="61"/>
      <c r="W745" s="61"/>
      <c r="X745" s="62"/>
      <c r="Y745" s="61"/>
      <c r="Z745" s="61"/>
      <c r="AA745" s="61"/>
      <c r="AB745" s="61"/>
      <c r="AC745" s="61"/>
      <c r="AD745" s="61"/>
      <c r="AE745" s="61"/>
      <c r="AF745" s="61"/>
      <c r="AG745" s="61"/>
      <c r="AH745" s="61"/>
      <c r="AI745" s="61"/>
      <c r="AJ745" s="62"/>
      <c r="AK745" s="61"/>
      <c r="AL745" s="62"/>
      <c r="AM745" s="61"/>
      <c r="AN745" s="61"/>
      <c r="AO745" s="61"/>
      <c r="AP745" s="63"/>
      <c r="AQ745" s="64"/>
      <c r="AR745" s="61"/>
      <c r="AS745" s="62"/>
      <c r="AT745" s="62"/>
      <c r="AU745" s="62"/>
      <c r="AV745" s="62"/>
      <c r="AW745" s="62"/>
      <c r="AX745" s="62"/>
      <c r="AY745" s="61"/>
      <c r="AZ745" s="61"/>
      <c r="BA745" s="61"/>
      <c r="BB745" s="61"/>
      <c r="BC745" s="61"/>
      <c r="BD745" s="61"/>
      <c r="BE745" s="61"/>
      <c r="BF745" s="61"/>
      <c r="BG745" s="61"/>
      <c r="BH745" s="61"/>
      <c r="BI745" s="61"/>
      <c r="BJ745" s="61"/>
      <c r="BK745" s="61"/>
      <c r="BL745" s="61"/>
      <c r="BM745" s="61"/>
      <c r="BN745" s="61"/>
      <c r="BO745" s="61"/>
      <c r="BP745" s="61"/>
      <c r="BQ745" s="61"/>
      <c r="BR745" s="61"/>
      <c r="BS745" s="61"/>
      <c r="BT745" s="61"/>
      <c r="BU745" s="61"/>
      <c r="BV745" s="61"/>
      <c r="BW745" s="61"/>
      <c r="BX745" s="61"/>
      <c r="BY745" s="61"/>
      <c r="BZ745" s="61"/>
      <c r="CA745" s="61"/>
      <c r="CB745" s="61"/>
      <c r="CC745" s="61"/>
      <c r="CD745" s="65"/>
      <c r="CE745" s="65"/>
      <c r="CF745" s="65"/>
      <c r="CG745" s="65"/>
      <c r="CH745" s="65"/>
      <c r="CI745" s="66"/>
      <c r="CJ745" s="66"/>
      <c r="CK745" s="66"/>
      <c r="CL745" s="66"/>
      <c r="CM745" s="66"/>
      <c r="CN745" s="66"/>
      <c r="CO745" s="66"/>
      <c r="CP745" s="66"/>
      <c r="CQ745" s="66"/>
      <c r="CR745" s="66"/>
      <c r="CS745" s="66"/>
      <c r="CT745" s="66"/>
      <c r="CU745" s="66"/>
      <c r="CV745" s="66"/>
      <c r="CW745" s="66"/>
      <c r="CX745" s="66"/>
      <c r="CY745" s="66"/>
      <c r="CZ745" s="66"/>
      <c r="DA745" s="66"/>
      <c r="DB745" s="66"/>
      <c r="DC745" s="66"/>
      <c r="DD745" s="66"/>
      <c r="DE745" s="66"/>
      <c r="DF745" s="66"/>
      <c r="DG745" s="66"/>
      <c r="DH745" s="66"/>
      <c r="DI745" s="66"/>
      <c r="DJ745" s="66"/>
      <c r="DK745" s="66"/>
      <c r="DL745" s="66"/>
      <c r="DM745" s="66"/>
      <c r="DN745" s="66"/>
      <c r="DO745" s="66"/>
      <c r="DP745" s="66"/>
      <c r="DQ745" s="66"/>
      <c r="DR745" s="66"/>
      <c r="DS745" s="66"/>
      <c r="DT745" s="66"/>
      <c r="DU745" s="65"/>
      <c r="DV745" s="67"/>
      <c r="DW745" s="68"/>
    </row>
    <row r="746" spans="4:127" s="80" customFormat="1">
      <c r="D746" s="58"/>
      <c r="E746" s="58"/>
      <c r="F746" s="58"/>
      <c r="G746" s="58"/>
      <c r="H746" s="58"/>
      <c r="I746" s="58"/>
      <c r="J746" s="58"/>
      <c r="K746" s="58"/>
      <c r="L746" s="58"/>
      <c r="M746" s="58"/>
      <c r="N746" s="58"/>
      <c r="O746" s="58"/>
      <c r="P746" s="58"/>
      <c r="Q746" s="58"/>
      <c r="R746" s="58"/>
      <c r="S746" s="58"/>
      <c r="T746" s="58"/>
      <c r="U746" s="58"/>
      <c r="V746" s="61"/>
      <c r="W746" s="61"/>
      <c r="X746" s="62"/>
      <c r="Y746" s="61"/>
      <c r="Z746" s="61"/>
      <c r="AA746" s="61"/>
      <c r="AB746" s="61"/>
      <c r="AC746" s="61"/>
      <c r="AD746" s="61"/>
      <c r="AE746" s="61"/>
      <c r="AF746" s="61"/>
      <c r="AG746" s="61"/>
      <c r="AH746" s="61"/>
      <c r="AI746" s="61"/>
      <c r="AJ746" s="62"/>
      <c r="AK746" s="61"/>
      <c r="AL746" s="62"/>
      <c r="AM746" s="61"/>
      <c r="AN746" s="61"/>
      <c r="AO746" s="61"/>
      <c r="AP746" s="63"/>
      <c r="AQ746" s="64"/>
      <c r="AR746" s="61"/>
      <c r="AS746" s="62"/>
      <c r="AT746" s="62"/>
      <c r="AU746" s="62"/>
      <c r="AV746" s="62"/>
      <c r="AW746" s="62"/>
      <c r="AX746" s="62"/>
      <c r="AY746" s="61"/>
      <c r="AZ746" s="61"/>
      <c r="BA746" s="61"/>
      <c r="BB746" s="61"/>
      <c r="BC746" s="61"/>
      <c r="BD746" s="61"/>
      <c r="BE746" s="61"/>
      <c r="BF746" s="61"/>
      <c r="BG746" s="61"/>
      <c r="BH746" s="61"/>
      <c r="BI746" s="61"/>
      <c r="BJ746" s="61"/>
      <c r="BK746" s="61"/>
      <c r="BL746" s="61"/>
      <c r="BM746" s="61"/>
      <c r="BN746" s="61"/>
      <c r="BO746" s="61"/>
      <c r="BP746" s="61"/>
      <c r="BQ746" s="61"/>
      <c r="BR746" s="61"/>
      <c r="BS746" s="61"/>
      <c r="BT746" s="61"/>
      <c r="BU746" s="61"/>
      <c r="BV746" s="61"/>
      <c r="BW746" s="61"/>
      <c r="BX746" s="61"/>
      <c r="BY746" s="61"/>
      <c r="BZ746" s="61"/>
      <c r="CA746" s="61"/>
      <c r="CB746" s="61"/>
      <c r="CC746" s="61"/>
      <c r="CD746" s="65"/>
      <c r="CE746" s="65"/>
      <c r="CF746" s="65"/>
      <c r="CG746" s="65"/>
      <c r="CH746" s="65"/>
      <c r="CI746" s="66"/>
      <c r="CJ746" s="66"/>
      <c r="CK746" s="66"/>
      <c r="CL746" s="66"/>
      <c r="CM746" s="66"/>
      <c r="CN746" s="66"/>
      <c r="CO746" s="66"/>
      <c r="CP746" s="66"/>
      <c r="CQ746" s="66"/>
      <c r="CR746" s="66"/>
      <c r="CS746" s="66"/>
      <c r="CT746" s="66"/>
      <c r="CU746" s="66"/>
      <c r="CV746" s="66"/>
      <c r="CW746" s="66"/>
      <c r="CX746" s="66"/>
      <c r="CY746" s="66"/>
      <c r="CZ746" s="66"/>
      <c r="DA746" s="66"/>
      <c r="DB746" s="66"/>
      <c r="DC746" s="66"/>
      <c r="DD746" s="66"/>
      <c r="DE746" s="66"/>
      <c r="DF746" s="66"/>
      <c r="DG746" s="66"/>
      <c r="DH746" s="66"/>
      <c r="DI746" s="66"/>
      <c r="DJ746" s="66"/>
      <c r="DK746" s="66"/>
      <c r="DL746" s="66"/>
      <c r="DM746" s="66"/>
      <c r="DN746" s="66"/>
      <c r="DO746" s="66"/>
      <c r="DP746" s="66"/>
      <c r="DQ746" s="66"/>
      <c r="DR746" s="66"/>
      <c r="DS746" s="66"/>
      <c r="DT746" s="66"/>
      <c r="DU746" s="65"/>
      <c r="DV746" s="67"/>
      <c r="DW746" s="68"/>
    </row>
    <row r="747" spans="4:127" s="80" customFormat="1">
      <c r="D747" s="58"/>
      <c r="E747" s="58"/>
      <c r="F747" s="58"/>
      <c r="G747" s="58"/>
      <c r="H747" s="58"/>
      <c r="I747" s="58"/>
      <c r="J747" s="58"/>
      <c r="K747" s="58"/>
      <c r="L747" s="58"/>
      <c r="M747" s="58"/>
      <c r="N747" s="58"/>
      <c r="O747" s="58"/>
      <c r="P747" s="58"/>
      <c r="Q747" s="58"/>
      <c r="R747" s="58"/>
      <c r="S747" s="58"/>
      <c r="T747" s="58"/>
      <c r="U747" s="58"/>
      <c r="V747" s="61"/>
      <c r="W747" s="61"/>
      <c r="X747" s="62"/>
      <c r="Y747" s="61"/>
      <c r="Z747" s="61"/>
      <c r="AA747" s="61"/>
      <c r="AB747" s="61"/>
      <c r="AC747" s="61"/>
      <c r="AD747" s="61"/>
      <c r="AE747" s="61"/>
      <c r="AF747" s="61"/>
      <c r="AG747" s="61"/>
      <c r="AH747" s="61"/>
      <c r="AI747" s="61"/>
      <c r="AJ747" s="62"/>
      <c r="AK747" s="61"/>
      <c r="AL747" s="62"/>
      <c r="AM747" s="61"/>
      <c r="AN747" s="61"/>
      <c r="AO747" s="61"/>
      <c r="AP747" s="63"/>
      <c r="AQ747" s="64"/>
      <c r="AR747" s="61"/>
      <c r="AS747" s="62"/>
      <c r="AT747" s="62"/>
      <c r="AU747" s="62"/>
      <c r="AV747" s="62"/>
      <c r="AW747" s="62"/>
      <c r="AX747" s="62"/>
      <c r="AY747" s="61"/>
      <c r="AZ747" s="61"/>
      <c r="BA747" s="61"/>
      <c r="BB747" s="61"/>
      <c r="BC747" s="61"/>
      <c r="BD747" s="61"/>
      <c r="BE747" s="61"/>
      <c r="BF747" s="61"/>
      <c r="BG747" s="61"/>
      <c r="BH747" s="61"/>
      <c r="BI747" s="61"/>
      <c r="BJ747" s="61"/>
      <c r="BK747" s="61"/>
      <c r="BL747" s="61"/>
      <c r="BM747" s="61"/>
      <c r="BN747" s="61"/>
      <c r="BO747" s="61"/>
      <c r="BP747" s="61"/>
      <c r="BQ747" s="61"/>
      <c r="BR747" s="61"/>
      <c r="BS747" s="61"/>
      <c r="BT747" s="61"/>
      <c r="BU747" s="61"/>
      <c r="BV747" s="61"/>
      <c r="BW747" s="61"/>
      <c r="BX747" s="61"/>
      <c r="BY747" s="61"/>
      <c r="BZ747" s="61"/>
      <c r="CA747" s="61"/>
      <c r="CB747" s="61"/>
      <c r="CC747" s="61"/>
      <c r="CD747" s="65"/>
      <c r="CE747" s="65"/>
      <c r="CF747" s="65"/>
      <c r="CG747" s="65"/>
      <c r="CH747" s="65"/>
      <c r="CI747" s="66"/>
      <c r="CJ747" s="66"/>
      <c r="CK747" s="66"/>
      <c r="CL747" s="66"/>
      <c r="CM747" s="66"/>
      <c r="CN747" s="66"/>
      <c r="CO747" s="66"/>
      <c r="CP747" s="66"/>
      <c r="CQ747" s="66"/>
      <c r="CR747" s="66"/>
      <c r="CS747" s="66"/>
      <c r="CT747" s="66"/>
      <c r="CU747" s="66"/>
      <c r="CV747" s="66"/>
      <c r="CW747" s="66"/>
      <c r="CX747" s="66"/>
      <c r="CY747" s="66"/>
      <c r="CZ747" s="66"/>
      <c r="DA747" s="66"/>
      <c r="DB747" s="66"/>
      <c r="DC747" s="66"/>
      <c r="DD747" s="66"/>
      <c r="DE747" s="66"/>
      <c r="DF747" s="66"/>
      <c r="DG747" s="66"/>
      <c r="DH747" s="66"/>
      <c r="DI747" s="66"/>
      <c r="DJ747" s="66"/>
      <c r="DK747" s="66"/>
      <c r="DL747" s="66"/>
      <c r="DM747" s="66"/>
      <c r="DN747" s="66"/>
      <c r="DO747" s="66"/>
      <c r="DP747" s="66"/>
      <c r="DQ747" s="66"/>
      <c r="DR747" s="66"/>
      <c r="DS747" s="66"/>
      <c r="DT747" s="66"/>
      <c r="DU747" s="65"/>
      <c r="DV747" s="67"/>
      <c r="DW747" s="68"/>
    </row>
    <row r="748" spans="4:127" s="80" customFormat="1">
      <c r="D748" s="58"/>
      <c r="E748" s="58"/>
      <c r="F748" s="58"/>
      <c r="G748" s="58"/>
      <c r="H748" s="58"/>
      <c r="I748" s="58"/>
      <c r="J748" s="58"/>
      <c r="K748" s="58"/>
      <c r="L748" s="58"/>
      <c r="M748" s="58"/>
      <c r="N748" s="58"/>
      <c r="O748" s="58"/>
      <c r="P748" s="58"/>
      <c r="Q748" s="58"/>
      <c r="R748" s="58"/>
      <c r="S748" s="58"/>
      <c r="T748" s="58"/>
      <c r="U748" s="58"/>
      <c r="V748" s="61"/>
      <c r="W748" s="61"/>
      <c r="X748" s="62"/>
      <c r="Y748" s="61"/>
      <c r="Z748" s="61"/>
      <c r="AA748" s="61"/>
      <c r="AB748" s="61"/>
      <c r="AC748" s="61"/>
      <c r="AD748" s="61"/>
      <c r="AE748" s="61"/>
      <c r="AF748" s="61"/>
      <c r="AG748" s="61"/>
      <c r="AH748" s="61"/>
      <c r="AI748" s="61"/>
      <c r="AJ748" s="62"/>
      <c r="AK748" s="61"/>
      <c r="AL748" s="62"/>
      <c r="AM748" s="61"/>
      <c r="AN748" s="61"/>
      <c r="AO748" s="61"/>
      <c r="AP748" s="63"/>
      <c r="AQ748" s="64"/>
      <c r="AR748" s="61"/>
      <c r="AS748" s="62"/>
      <c r="AT748" s="62"/>
      <c r="AU748" s="62"/>
      <c r="AV748" s="62"/>
      <c r="AW748" s="62"/>
      <c r="AX748" s="62"/>
      <c r="AY748" s="61"/>
      <c r="AZ748" s="61"/>
      <c r="BA748" s="61"/>
      <c r="BB748" s="61"/>
      <c r="BC748" s="61"/>
      <c r="BD748" s="61"/>
      <c r="BE748" s="61"/>
      <c r="BF748" s="61"/>
      <c r="BG748" s="61"/>
      <c r="BH748" s="61"/>
      <c r="BI748" s="61"/>
      <c r="BJ748" s="61"/>
      <c r="BK748" s="61"/>
      <c r="BL748" s="61"/>
      <c r="BM748" s="61"/>
      <c r="BN748" s="61"/>
      <c r="BO748" s="61"/>
      <c r="BP748" s="61"/>
      <c r="BQ748" s="61"/>
      <c r="BR748" s="61"/>
      <c r="BS748" s="61"/>
      <c r="BT748" s="61"/>
      <c r="BU748" s="61"/>
      <c r="BV748" s="61"/>
      <c r="BW748" s="61"/>
      <c r="BX748" s="61"/>
      <c r="BY748" s="61"/>
      <c r="BZ748" s="61"/>
      <c r="CA748" s="61"/>
      <c r="CB748" s="61"/>
      <c r="CC748" s="61"/>
      <c r="CD748" s="65"/>
      <c r="CE748" s="65"/>
      <c r="CF748" s="65"/>
      <c r="CG748" s="65"/>
      <c r="CH748" s="65"/>
      <c r="CI748" s="66"/>
      <c r="CJ748" s="66"/>
      <c r="CK748" s="66"/>
      <c r="CL748" s="66"/>
      <c r="CM748" s="66"/>
      <c r="CN748" s="66"/>
      <c r="CO748" s="66"/>
      <c r="CP748" s="66"/>
      <c r="CQ748" s="66"/>
      <c r="CR748" s="66"/>
      <c r="CS748" s="66"/>
      <c r="CT748" s="66"/>
      <c r="CU748" s="66"/>
      <c r="CV748" s="66"/>
      <c r="CW748" s="66"/>
      <c r="CX748" s="66"/>
      <c r="CY748" s="66"/>
      <c r="CZ748" s="66"/>
      <c r="DA748" s="66"/>
      <c r="DB748" s="66"/>
      <c r="DC748" s="66"/>
      <c r="DD748" s="66"/>
      <c r="DE748" s="66"/>
      <c r="DF748" s="66"/>
      <c r="DG748" s="66"/>
      <c r="DH748" s="66"/>
      <c r="DI748" s="66"/>
      <c r="DJ748" s="66"/>
      <c r="DK748" s="66"/>
      <c r="DL748" s="66"/>
      <c r="DM748" s="66"/>
      <c r="DN748" s="66"/>
      <c r="DO748" s="66"/>
      <c r="DP748" s="66"/>
      <c r="DQ748" s="66"/>
      <c r="DR748" s="66"/>
      <c r="DS748" s="66"/>
      <c r="DT748" s="66"/>
      <c r="DU748" s="65"/>
      <c r="DV748" s="67"/>
      <c r="DW748" s="68"/>
    </row>
    <row r="749" spans="4:127" s="80" customFormat="1">
      <c r="D749" s="58"/>
      <c r="E749" s="58"/>
      <c r="F749" s="58"/>
      <c r="G749" s="58"/>
      <c r="H749" s="58"/>
      <c r="I749" s="58"/>
      <c r="J749" s="58"/>
      <c r="K749" s="58"/>
      <c r="L749" s="58"/>
      <c r="M749" s="58"/>
      <c r="N749" s="58"/>
      <c r="O749" s="58"/>
      <c r="P749" s="58"/>
      <c r="Q749" s="58"/>
      <c r="R749" s="58"/>
      <c r="S749" s="58"/>
      <c r="T749" s="58"/>
      <c r="U749" s="58"/>
      <c r="V749" s="61"/>
      <c r="W749" s="61"/>
      <c r="X749" s="62"/>
      <c r="Y749" s="61"/>
      <c r="Z749" s="61"/>
      <c r="AA749" s="61"/>
      <c r="AB749" s="61"/>
      <c r="AC749" s="61"/>
      <c r="AD749" s="61"/>
      <c r="AE749" s="61"/>
      <c r="AF749" s="61"/>
      <c r="AG749" s="61"/>
      <c r="AH749" s="61"/>
      <c r="AI749" s="61"/>
      <c r="AJ749" s="62"/>
      <c r="AK749" s="61"/>
      <c r="AL749" s="62"/>
      <c r="AM749" s="61"/>
      <c r="AN749" s="61"/>
      <c r="AO749" s="61"/>
      <c r="AP749" s="63"/>
      <c r="AQ749" s="64"/>
      <c r="AR749" s="61"/>
      <c r="AS749" s="62"/>
      <c r="AT749" s="62"/>
      <c r="AU749" s="62"/>
      <c r="AV749" s="62"/>
      <c r="AW749" s="62"/>
      <c r="AX749" s="62"/>
      <c r="AY749" s="61"/>
      <c r="AZ749" s="61"/>
      <c r="BA749" s="61"/>
      <c r="BB749" s="61"/>
      <c r="BC749" s="61"/>
      <c r="BD749" s="61"/>
      <c r="BE749" s="61"/>
      <c r="BF749" s="61"/>
      <c r="BG749" s="61"/>
      <c r="BH749" s="61"/>
      <c r="BI749" s="61"/>
      <c r="BJ749" s="61"/>
      <c r="BK749" s="61"/>
      <c r="BL749" s="61"/>
      <c r="BM749" s="61"/>
      <c r="BN749" s="61"/>
      <c r="BO749" s="61"/>
      <c r="BP749" s="61"/>
      <c r="BQ749" s="61"/>
      <c r="BR749" s="61"/>
      <c r="BS749" s="61"/>
      <c r="BT749" s="61"/>
      <c r="BU749" s="61"/>
      <c r="BV749" s="61"/>
      <c r="BW749" s="61"/>
      <c r="BX749" s="61"/>
      <c r="BY749" s="61"/>
      <c r="BZ749" s="61"/>
      <c r="CA749" s="61"/>
      <c r="CB749" s="61"/>
      <c r="CC749" s="61"/>
      <c r="CD749" s="65"/>
      <c r="CE749" s="65"/>
      <c r="CF749" s="65"/>
      <c r="CG749" s="65"/>
      <c r="CH749" s="65"/>
      <c r="CI749" s="66"/>
      <c r="CJ749" s="66"/>
      <c r="CK749" s="66"/>
      <c r="CL749" s="66"/>
      <c r="CM749" s="66"/>
      <c r="CN749" s="66"/>
      <c r="CO749" s="66"/>
      <c r="CP749" s="66"/>
      <c r="CQ749" s="66"/>
      <c r="CR749" s="66"/>
      <c r="CS749" s="66"/>
      <c r="CT749" s="66"/>
      <c r="CU749" s="66"/>
      <c r="CV749" s="66"/>
      <c r="CW749" s="66"/>
      <c r="CX749" s="66"/>
      <c r="CY749" s="66"/>
      <c r="CZ749" s="66"/>
      <c r="DA749" s="66"/>
      <c r="DB749" s="66"/>
      <c r="DC749" s="66"/>
      <c r="DD749" s="66"/>
      <c r="DE749" s="66"/>
      <c r="DF749" s="66"/>
      <c r="DG749" s="66"/>
      <c r="DH749" s="66"/>
      <c r="DI749" s="66"/>
      <c r="DJ749" s="66"/>
      <c r="DK749" s="66"/>
      <c r="DL749" s="66"/>
      <c r="DM749" s="66"/>
      <c r="DN749" s="66"/>
      <c r="DO749" s="66"/>
      <c r="DP749" s="66"/>
      <c r="DQ749" s="66"/>
      <c r="DR749" s="66"/>
      <c r="DS749" s="66"/>
      <c r="DT749" s="66"/>
      <c r="DU749" s="65"/>
      <c r="DV749" s="67"/>
      <c r="DW749" s="68"/>
    </row>
    <row r="750" spans="4:127" s="80" customFormat="1">
      <c r="D750" s="58"/>
      <c r="E750" s="58"/>
      <c r="F750" s="58"/>
      <c r="G750" s="58"/>
      <c r="H750" s="58"/>
      <c r="I750" s="58"/>
      <c r="J750" s="58"/>
      <c r="K750" s="58"/>
      <c r="L750" s="58"/>
      <c r="M750" s="58"/>
      <c r="N750" s="58"/>
      <c r="O750" s="58"/>
      <c r="P750" s="58"/>
      <c r="Q750" s="58"/>
      <c r="R750" s="58"/>
      <c r="S750" s="58"/>
      <c r="T750" s="58"/>
      <c r="U750" s="58"/>
      <c r="V750" s="61"/>
      <c r="W750" s="61"/>
      <c r="X750" s="62"/>
      <c r="Y750" s="61"/>
      <c r="Z750" s="61"/>
      <c r="AA750" s="61"/>
      <c r="AB750" s="61"/>
      <c r="AC750" s="61"/>
      <c r="AD750" s="61"/>
      <c r="AE750" s="61"/>
      <c r="AF750" s="61"/>
      <c r="AG750" s="61"/>
      <c r="AH750" s="61"/>
      <c r="AI750" s="61"/>
      <c r="AJ750" s="62"/>
      <c r="AK750" s="61"/>
      <c r="AL750" s="62"/>
      <c r="AM750" s="61"/>
      <c r="AN750" s="61"/>
      <c r="AO750" s="61"/>
      <c r="AP750" s="63"/>
      <c r="AQ750" s="64"/>
      <c r="AR750" s="61"/>
      <c r="AS750" s="62"/>
      <c r="AT750" s="62"/>
      <c r="AU750" s="62"/>
      <c r="AV750" s="62"/>
      <c r="AW750" s="62"/>
      <c r="AX750" s="62"/>
      <c r="AY750" s="61"/>
      <c r="AZ750" s="61"/>
      <c r="BA750" s="61"/>
      <c r="BB750" s="61"/>
      <c r="BC750" s="61"/>
      <c r="BD750" s="61"/>
      <c r="BE750" s="61"/>
      <c r="BF750" s="61"/>
      <c r="BG750" s="61"/>
      <c r="BH750" s="61"/>
      <c r="BI750" s="61"/>
      <c r="BJ750" s="61"/>
      <c r="BK750" s="61"/>
      <c r="BL750" s="61"/>
      <c r="BM750" s="61"/>
      <c r="BN750" s="61"/>
      <c r="BO750" s="61"/>
      <c r="BP750" s="61"/>
      <c r="BQ750" s="61"/>
      <c r="BR750" s="61"/>
      <c r="BS750" s="61"/>
      <c r="BT750" s="61"/>
      <c r="BU750" s="61"/>
      <c r="BV750" s="61"/>
      <c r="BW750" s="61"/>
      <c r="BX750" s="61"/>
      <c r="BY750" s="61"/>
      <c r="BZ750" s="61"/>
      <c r="CA750" s="61"/>
      <c r="CB750" s="61"/>
      <c r="CC750" s="61"/>
      <c r="CD750" s="65"/>
      <c r="CE750" s="65"/>
      <c r="CF750" s="65"/>
      <c r="CG750" s="65"/>
      <c r="CH750" s="65"/>
      <c r="CI750" s="66"/>
      <c r="CJ750" s="66"/>
      <c r="CK750" s="66"/>
      <c r="CL750" s="66"/>
      <c r="CM750" s="66"/>
      <c r="CN750" s="66"/>
      <c r="CO750" s="66"/>
      <c r="CP750" s="66"/>
      <c r="CQ750" s="66"/>
      <c r="CR750" s="66"/>
      <c r="CS750" s="66"/>
      <c r="CT750" s="66"/>
      <c r="CU750" s="66"/>
      <c r="CV750" s="66"/>
      <c r="CW750" s="66"/>
      <c r="CX750" s="66"/>
      <c r="CY750" s="66"/>
      <c r="CZ750" s="66"/>
      <c r="DA750" s="66"/>
      <c r="DB750" s="66"/>
      <c r="DC750" s="66"/>
      <c r="DD750" s="66"/>
      <c r="DE750" s="66"/>
      <c r="DF750" s="66"/>
      <c r="DG750" s="66"/>
      <c r="DH750" s="66"/>
      <c r="DI750" s="66"/>
      <c r="DJ750" s="66"/>
      <c r="DK750" s="66"/>
      <c r="DL750" s="66"/>
      <c r="DM750" s="66"/>
      <c r="DN750" s="66"/>
      <c r="DO750" s="66"/>
      <c r="DP750" s="66"/>
      <c r="DQ750" s="66"/>
      <c r="DR750" s="66"/>
      <c r="DS750" s="66"/>
      <c r="DT750" s="66"/>
      <c r="DU750" s="65"/>
      <c r="DV750" s="67"/>
      <c r="DW750" s="68"/>
    </row>
    <row r="751" spans="4:127" s="80" customFormat="1">
      <c r="D751" s="58"/>
      <c r="E751" s="58"/>
      <c r="F751" s="58"/>
      <c r="G751" s="58"/>
      <c r="H751" s="58"/>
      <c r="I751" s="58"/>
      <c r="J751" s="58"/>
      <c r="K751" s="58"/>
      <c r="L751" s="58"/>
      <c r="M751" s="58"/>
      <c r="N751" s="58"/>
      <c r="O751" s="58"/>
      <c r="P751" s="58"/>
      <c r="Q751" s="58"/>
      <c r="R751" s="58"/>
      <c r="S751" s="58"/>
      <c r="T751" s="58"/>
      <c r="U751" s="58"/>
      <c r="V751" s="61"/>
      <c r="W751" s="61"/>
      <c r="X751" s="62"/>
      <c r="Y751" s="61"/>
      <c r="Z751" s="61"/>
      <c r="AA751" s="61"/>
      <c r="AB751" s="61"/>
      <c r="AC751" s="61"/>
      <c r="AD751" s="61"/>
      <c r="AE751" s="61"/>
      <c r="AF751" s="61"/>
      <c r="AG751" s="61"/>
      <c r="AH751" s="61"/>
      <c r="AI751" s="61"/>
      <c r="AJ751" s="62"/>
      <c r="AK751" s="61"/>
      <c r="AL751" s="62"/>
      <c r="AM751" s="61"/>
      <c r="AN751" s="61"/>
      <c r="AO751" s="61"/>
      <c r="AP751" s="63"/>
      <c r="AQ751" s="64"/>
      <c r="AR751" s="61"/>
      <c r="AS751" s="62"/>
      <c r="AT751" s="62"/>
      <c r="AU751" s="62"/>
      <c r="AV751" s="62"/>
      <c r="AW751" s="62"/>
      <c r="AX751" s="62"/>
      <c r="AY751" s="61"/>
      <c r="AZ751" s="61"/>
      <c r="BA751" s="61"/>
      <c r="BB751" s="61"/>
      <c r="BC751" s="61"/>
      <c r="BD751" s="61"/>
      <c r="BE751" s="61"/>
      <c r="BF751" s="61"/>
      <c r="BG751" s="61"/>
      <c r="BH751" s="61"/>
      <c r="BI751" s="61"/>
      <c r="BJ751" s="61"/>
      <c r="BK751" s="61"/>
      <c r="BL751" s="61"/>
      <c r="BM751" s="61"/>
      <c r="BN751" s="61"/>
      <c r="BO751" s="61"/>
      <c r="BP751" s="61"/>
      <c r="BQ751" s="61"/>
      <c r="BR751" s="61"/>
      <c r="BS751" s="61"/>
      <c r="BT751" s="61"/>
      <c r="BU751" s="61"/>
      <c r="BV751" s="61"/>
      <c r="BW751" s="61"/>
      <c r="BX751" s="61"/>
      <c r="BY751" s="61"/>
      <c r="BZ751" s="61"/>
      <c r="CA751" s="61"/>
      <c r="CB751" s="61"/>
      <c r="CC751" s="61"/>
      <c r="CD751" s="65"/>
      <c r="CE751" s="65"/>
      <c r="CF751" s="65"/>
      <c r="CG751" s="65"/>
      <c r="CH751" s="65"/>
      <c r="CI751" s="66"/>
      <c r="CJ751" s="66"/>
      <c r="CK751" s="66"/>
      <c r="CL751" s="66"/>
      <c r="CM751" s="66"/>
      <c r="CN751" s="66"/>
      <c r="CO751" s="66"/>
      <c r="CP751" s="66"/>
      <c r="CQ751" s="66"/>
      <c r="CR751" s="66"/>
      <c r="CS751" s="66"/>
      <c r="CT751" s="66"/>
      <c r="CU751" s="66"/>
      <c r="CV751" s="66"/>
      <c r="CW751" s="66"/>
      <c r="CX751" s="66"/>
      <c r="CY751" s="66"/>
      <c r="CZ751" s="66"/>
      <c r="DA751" s="66"/>
      <c r="DB751" s="66"/>
      <c r="DC751" s="66"/>
      <c r="DD751" s="66"/>
      <c r="DE751" s="66"/>
      <c r="DF751" s="66"/>
      <c r="DG751" s="66"/>
      <c r="DH751" s="66"/>
      <c r="DI751" s="66"/>
      <c r="DJ751" s="66"/>
      <c r="DK751" s="66"/>
      <c r="DL751" s="66"/>
      <c r="DM751" s="66"/>
      <c r="DN751" s="66"/>
      <c r="DO751" s="66"/>
      <c r="DP751" s="66"/>
      <c r="DQ751" s="66"/>
      <c r="DR751" s="66"/>
      <c r="DS751" s="66"/>
      <c r="DT751" s="66"/>
      <c r="DU751" s="65"/>
      <c r="DV751" s="67"/>
      <c r="DW751" s="68"/>
    </row>
    <row r="752" spans="4:127" s="80" customFormat="1">
      <c r="D752" s="58"/>
      <c r="E752" s="58"/>
      <c r="F752" s="58"/>
      <c r="G752" s="58"/>
      <c r="H752" s="58"/>
      <c r="I752" s="58"/>
      <c r="J752" s="58"/>
      <c r="K752" s="58"/>
      <c r="L752" s="58"/>
      <c r="M752" s="58"/>
      <c r="N752" s="58"/>
      <c r="O752" s="58"/>
      <c r="P752" s="58"/>
      <c r="Q752" s="58"/>
      <c r="R752" s="58"/>
      <c r="S752" s="58"/>
      <c r="T752" s="58"/>
      <c r="U752" s="58"/>
      <c r="V752" s="61"/>
      <c r="W752" s="61"/>
      <c r="X752" s="62"/>
      <c r="Y752" s="61"/>
      <c r="Z752" s="61"/>
      <c r="AA752" s="61"/>
      <c r="AB752" s="61"/>
      <c r="AC752" s="61"/>
      <c r="AD752" s="61"/>
      <c r="AE752" s="61"/>
      <c r="AF752" s="61"/>
      <c r="AG752" s="61"/>
      <c r="AH752" s="61"/>
      <c r="AI752" s="61"/>
      <c r="AJ752" s="62"/>
      <c r="AK752" s="61"/>
      <c r="AL752" s="62"/>
      <c r="AM752" s="61"/>
      <c r="AN752" s="61"/>
      <c r="AO752" s="61"/>
      <c r="AP752" s="63"/>
      <c r="AQ752" s="64"/>
      <c r="AR752" s="61"/>
      <c r="AS752" s="62"/>
      <c r="AT752" s="62"/>
      <c r="AU752" s="62"/>
      <c r="AV752" s="62"/>
      <c r="AW752" s="62"/>
      <c r="AX752" s="62"/>
      <c r="AY752" s="61"/>
      <c r="AZ752" s="61"/>
      <c r="BA752" s="61"/>
      <c r="BB752" s="61"/>
      <c r="BC752" s="61"/>
      <c r="BD752" s="61"/>
      <c r="BE752" s="61"/>
      <c r="BF752" s="61"/>
      <c r="BG752" s="61"/>
      <c r="BH752" s="61"/>
      <c r="BI752" s="61"/>
      <c r="BJ752" s="61"/>
      <c r="BK752" s="61"/>
      <c r="BL752" s="61"/>
      <c r="BM752" s="61"/>
      <c r="BN752" s="61"/>
      <c r="BO752" s="61"/>
      <c r="BP752" s="61"/>
      <c r="BQ752" s="61"/>
      <c r="BR752" s="61"/>
      <c r="BS752" s="61"/>
      <c r="BT752" s="61"/>
      <c r="BU752" s="61"/>
      <c r="BV752" s="61"/>
      <c r="BW752" s="61"/>
      <c r="BX752" s="61"/>
      <c r="BY752" s="61"/>
      <c r="BZ752" s="61"/>
      <c r="CA752" s="61"/>
      <c r="CB752" s="61"/>
      <c r="CC752" s="61"/>
      <c r="CD752" s="65"/>
      <c r="CE752" s="65"/>
      <c r="CF752" s="65"/>
      <c r="CG752" s="65"/>
      <c r="CH752" s="65"/>
      <c r="CI752" s="66"/>
      <c r="CJ752" s="66"/>
      <c r="CK752" s="66"/>
      <c r="CL752" s="66"/>
      <c r="CM752" s="66"/>
      <c r="CN752" s="66"/>
      <c r="CO752" s="66"/>
      <c r="CP752" s="66"/>
      <c r="CQ752" s="66"/>
      <c r="CR752" s="66"/>
      <c r="CS752" s="66"/>
      <c r="CT752" s="66"/>
      <c r="CU752" s="66"/>
      <c r="CV752" s="66"/>
      <c r="CW752" s="66"/>
      <c r="CX752" s="66"/>
      <c r="CY752" s="66"/>
      <c r="CZ752" s="66"/>
      <c r="DA752" s="66"/>
      <c r="DB752" s="66"/>
      <c r="DC752" s="66"/>
      <c r="DD752" s="66"/>
      <c r="DE752" s="66"/>
      <c r="DF752" s="66"/>
      <c r="DG752" s="66"/>
      <c r="DH752" s="66"/>
      <c r="DI752" s="66"/>
      <c r="DJ752" s="66"/>
      <c r="DK752" s="66"/>
      <c r="DL752" s="66"/>
      <c r="DM752" s="66"/>
      <c r="DN752" s="66"/>
      <c r="DO752" s="66"/>
      <c r="DP752" s="66"/>
      <c r="DQ752" s="66"/>
      <c r="DR752" s="66"/>
      <c r="DS752" s="66"/>
      <c r="DT752" s="66"/>
      <c r="DU752" s="65"/>
      <c r="DV752" s="67"/>
      <c r="DW752" s="68"/>
    </row>
    <row r="753" spans="4:127" s="80" customFormat="1">
      <c r="D753" s="58"/>
      <c r="E753" s="58"/>
      <c r="F753" s="58"/>
      <c r="G753" s="58"/>
      <c r="H753" s="58"/>
      <c r="I753" s="58"/>
      <c r="J753" s="58"/>
      <c r="K753" s="58"/>
      <c r="L753" s="58"/>
      <c r="M753" s="58"/>
      <c r="N753" s="58"/>
      <c r="O753" s="58"/>
      <c r="P753" s="58"/>
      <c r="Q753" s="58"/>
      <c r="R753" s="58"/>
      <c r="S753" s="58"/>
      <c r="T753" s="58"/>
      <c r="U753" s="58"/>
      <c r="V753" s="61"/>
      <c r="W753" s="61"/>
      <c r="X753" s="62"/>
      <c r="Y753" s="61"/>
      <c r="Z753" s="61"/>
      <c r="AA753" s="61"/>
      <c r="AB753" s="61"/>
      <c r="AC753" s="61"/>
      <c r="AD753" s="61"/>
      <c r="AE753" s="61"/>
      <c r="AF753" s="61"/>
      <c r="AG753" s="61"/>
      <c r="AH753" s="61"/>
      <c r="AI753" s="61"/>
      <c r="AJ753" s="62"/>
      <c r="AK753" s="61"/>
      <c r="AL753" s="62"/>
      <c r="AM753" s="61"/>
      <c r="AN753" s="61"/>
      <c r="AO753" s="61"/>
      <c r="AP753" s="63"/>
      <c r="AQ753" s="64"/>
      <c r="AR753" s="61"/>
      <c r="AS753" s="62"/>
      <c r="AT753" s="62"/>
      <c r="AU753" s="62"/>
      <c r="AV753" s="62"/>
      <c r="AW753" s="62"/>
      <c r="AX753" s="62"/>
      <c r="AY753" s="61"/>
      <c r="AZ753" s="61"/>
      <c r="BA753" s="61"/>
      <c r="BB753" s="61"/>
      <c r="BC753" s="61"/>
      <c r="BD753" s="61"/>
      <c r="BE753" s="61"/>
      <c r="BF753" s="61"/>
      <c r="BG753" s="61"/>
      <c r="BH753" s="61"/>
      <c r="BI753" s="61"/>
      <c r="BJ753" s="61"/>
      <c r="BK753" s="61"/>
      <c r="BL753" s="61"/>
      <c r="BM753" s="61"/>
      <c r="BN753" s="61"/>
      <c r="BO753" s="61"/>
      <c r="BP753" s="61"/>
      <c r="BQ753" s="61"/>
      <c r="BR753" s="61"/>
      <c r="BS753" s="61"/>
      <c r="BT753" s="61"/>
      <c r="BU753" s="61"/>
      <c r="BV753" s="61"/>
      <c r="BW753" s="61"/>
      <c r="BX753" s="61"/>
      <c r="BY753" s="61"/>
      <c r="BZ753" s="61"/>
      <c r="CA753" s="61"/>
      <c r="CB753" s="61"/>
      <c r="CC753" s="61"/>
      <c r="CD753" s="65"/>
      <c r="CE753" s="65"/>
      <c r="CF753" s="65"/>
      <c r="CG753" s="65"/>
      <c r="CH753" s="65"/>
      <c r="CI753" s="66"/>
      <c r="CJ753" s="66"/>
      <c r="CK753" s="66"/>
      <c r="CL753" s="66"/>
      <c r="CM753" s="66"/>
      <c r="CN753" s="66"/>
      <c r="CO753" s="66"/>
      <c r="CP753" s="66"/>
      <c r="CQ753" s="66"/>
      <c r="CR753" s="66"/>
      <c r="CS753" s="66"/>
      <c r="CT753" s="66"/>
      <c r="CU753" s="66"/>
      <c r="CV753" s="66"/>
      <c r="CW753" s="66"/>
      <c r="CX753" s="66"/>
      <c r="CY753" s="66"/>
      <c r="CZ753" s="66"/>
      <c r="DA753" s="66"/>
      <c r="DB753" s="66"/>
      <c r="DC753" s="66"/>
      <c r="DD753" s="66"/>
      <c r="DE753" s="66"/>
      <c r="DF753" s="66"/>
      <c r="DG753" s="66"/>
      <c r="DH753" s="66"/>
      <c r="DI753" s="66"/>
      <c r="DJ753" s="66"/>
      <c r="DK753" s="66"/>
      <c r="DL753" s="66"/>
      <c r="DM753" s="66"/>
      <c r="DN753" s="66"/>
      <c r="DO753" s="66"/>
      <c r="DP753" s="66"/>
      <c r="DQ753" s="66"/>
      <c r="DR753" s="66"/>
      <c r="DS753" s="66"/>
      <c r="DT753" s="66"/>
      <c r="DU753" s="65"/>
      <c r="DV753" s="67"/>
      <c r="DW753" s="68"/>
    </row>
    <row r="754" spans="4:127" s="80" customFormat="1">
      <c r="D754" s="58"/>
      <c r="E754" s="58"/>
      <c r="F754" s="58"/>
      <c r="G754" s="58"/>
      <c r="H754" s="58"/>
      <c r="I754" s="58"/>
      <c r="J754" s="58"/>
      <c r="K754" s="58"/>
      <c r="L754" s="58"/>
      <c r="M754" s="58"/>
      <c r="N754" s="58"/>
      <c r="O754" s="58"/>
      <c r="P754" s="58"/>
      <c r="Q754" s="58"/>
      <c r="R754" s="58"/>
      <c r="S754" s="58"/>
      <c r="T754" s="58"/>
      <c r="U754" s="58"/>
      <c r="V754" s="61"/>
      <c r="W754" s="61"/>
      <c r="X754" s="62"/>
      <c r="Y754" s="61"/>
      <c r="Z754" s="61"/>
      <c r="AA754" s="61"/>
      <c r="AB754" s="61"/>
      <c r="AC754" s="61"/>
      <c r="AD754" s="61"/>
      <c r="AE754" s="61"/>
      <c r="AF754" s="61"/>
      <c r="AG754" s="61"/>
      <c r="AH754" s="61"/>
      <c r="AI754" s="61"/>
      <c r="AJ754" s="62"/>
      <c r="AK754" s="61"/>
      <c r="AL754" s="62"/>
      <c r="AM754" s="61"/>
      <c r="AN754" s="61"/>
      <c r="AO754" s="61"/>
      <c r="AP754" s="63"/>
      <c r="AQ754" s="64"/>
      <c r="AR754" s="61"/>
      <c r="AS754" s="62"/>
      <c r="AT754" s="62"/>
      <c r="AU754" s="62"/>
      <c r="AV754" s="62"/>
      <c r="AW754" s="62"/>
      <c r="AX754" s="62"/>
      <c r="AY754" s="61"/>
      <c r="AZ754" s="61"/>
      <c r="BA754" s="61"/>
      <c r="BB754" s="61"/>
      <c r="BC754" s="61"/>
      <c r="BD754" s="61"/>
      <c r="BE754" s="61"/>
      <c r="BF754" s="61"/>
      <c r="BG754" s="61"/>
      <c r="BH754" s="61"/>
      <c r="BI754" s="61"/>
      <c r="BJ754" s="61"/>
      <c r="BK754" s="61"/>
      <c r="BL754" s="61"/>
      <c r="BM754" s="61"/>
      <c r="BN754" s="61"/>
      <c r="BO754" s="61"/>
      <c r="BP754" s="61"/>
      <c r="BQ754" s="61"/>
      <c r="BR754" s="61"/>
      <c r="BS754" s="61"/>
      <c r="BT754" s="61"/>
      <c r="BU754" s="61"/>
      <c r="BV754" s="61"/>
      <c r="BW754" s="61"/>
      <c r="BX754" s="61"/>
      <c r="BY754" s="61"/>
      <c r="BZ754" s="61"/>
      <c r="CA754" s="61"/>
      <c r="CB754" s="61"/>
      <c r="CC754" s="61"/>
      <c r="CD754" s="65"/>
      <c r="CE754" s="65"/>
      <c r="CF754" s="65"/>
      <c r="CG754" s="65"/>
      <c r="CH754" s="65"/>
      <c r="CI754" s="66"/>
      <c r="CJ754" s="66"/>
      <c r="CK754" s="66"/>
      <c r="CL754" s="66"/>
      <c r="CM754" s="66"/>
      <c r="CN754" s="66"/>
      <c r="CO754" s="66"/>
      <c r="CP754" s="66"/>
      <c r="CQ754" s="66"/>
      <c r="CR754" s="66"/>
      <c r="CS754" s="66"/>
      <c r="CT754" s="66"/>
      <c r="CU754" s="66"/>
      <c r="CV754" s="66"/>
      <c r="CW754" s="66"/>
      <c r="CX754" s="66"/>
      <c r="CY754" s="66"/>
      <c r="CZ754" s="66"/>
      <c r="DA754" s="66"/>
      <c r="DB754" s="66"/>
      <c r="DC754" s="66"/>
      <c r="DD754" s="66"/>
      <c r="DE754" s="66"/>
      <c r="DF754" s="66"/>
      <c r="DG754" s="66"/>
      <c r="DH754" s="66"/>
      <c r="DI754" s="66"/>
      <c r="DJ754" s="66"/>
      <c r="DK754" s="66"/>
      <c r="DL754" s="66"/>
      <c r="DM754" s="66"/>
      <c r="DN754" s="66"/>
      <c r="DO754" s="66"/>
      <c r="DP754" s="66"/>
      <c r="DQ754" s="66"/>
      <c r="DR754" s="66"/>
      <c r="DS754" s="66"/>
      <c r="DT754" s="66"/>
      <c r="DU754" s="65"/>
      <c r="DV754" s="67"/>
      <c r="DW754" s="68"/>
    </row>
    <row r="755" spans="4:127" s="80" customFormat="1">
      <c r="D755" s="58"/>
      <c r="E755" s="58"/>
      <c r="F755" s="58"/>
      <c r="G755" s="58"/>
      <c r="H755" s="58"/>
      <c r="I755" s="58"/>
      <c r="J755" s="58"/>
      <c r="K755" s="58"/>
      <c r="L755" s="58"/>
      <c r="M755" s="58"/>
      <c r="N755" s="58"/>
      <c r="O755" s="58"/>
      <c r="P755" s="58"/>
      <c r="Q755" s="58"/>
      <c r="R755" s="58"/>
      <c r="S755" s="58"/>
      <c r="T755" s="58"/>
      <c r="U755" s="58"/>
      <c r="V755" s="61"/>
      <c r="W755" s="61"/>
      <c r="X755" s="62"/>
      <c r="Y755" s="61"/>
      <c r="Z755" s="61"/>
      <c r="AA755" s="61"/>
      <c r="AB755" s="61"/>
      <c r="AC755" s="61"/>
      <c r="AD755" s="61"/>
      <c r="AE755" s="61"/>
      <c r="AF755" s="61"/>
      <c r="AG755" s="61"/>
      <c r="AH755" s="61"/>
      <c r="AI755" s="61"/>
      <c r="AJ755" s="62"/>
      <c r="AK755" s="61"/>
      <c r="AL755" s="62"/>
      <c r="AM755" s="61"/>
      <c r="AN755" s="61"/>
      <c r="AO755" s="61"/>
      <c r="AP755" s="63"/>
      <c r="AQ755" s="64"/>
      <c r="AR755" s="61"/>
      <c r="AS755" s="62"/>
      <c r="AT755" s="62"/>
      <c r="AU755" s="62"/>
      <c r="AV755" s="62"/>
      <c r="AW755" s="62"/>
      <c r="AX755" s="62"/>
      <c r="AY755" s="61"/>
      <c r="AZ755" s="61"/>
      <c r="BA755" s="61"/>
      <c r="BB755" s="61"/>
      <c r="BC755" s="61"/>
      <c r="BD755" s="61"/>
      <c r="BE755" s="61"/>
      <c r="BF755" s="61"/>
      <c r="BG755" s="61"/>
      <c r="BH755" s="61"/>
      <c r="BI755" s="61"/>
      <c r="BJ755" s="61"/>
      <c r="BK755" s="61"/>
      <c r="BL755" s="61"/>
      <c r="BM755" s="61"/>
      <c r="BN755" s="61"/>
      <c r="BO755" s="61"/>
      <c r="BP755" s="61"/>
      <c r="BQ755" s="61"/>
      <c r="BR755" s="61"/>
      <c r="BS755" s="61"/>
      <c r="BT755" s="61"/>
      <c r="BU755" s="61"/>
      <c r="BV755" s="61"/>
      <c r="BW755" s="61"/>
      <c r="BX755" s="61"/>
      <c r="BY755" s="61"/>
      <c r="BZ755" s="61"/>
      <c r="CA755" s="61"/>
      <c r="CB755" s="61"/>
      <c r="CC755" s="61"/>
      <c r="CD755" s="65"/>
      <c r="CE755" s="65"/>
      <c r="CF755" s="65"/>
      <c r="CG755" s="65"/>
      <c r="CH755" s="65"/>
      <c r="CI755" s="66"/>
      <c r="CJ755" s="66"/>
      <c r="CK755" s="66"/>
      <c r="CL755" s="66"/>
      <c r="CM755" s="66"/>
      <c r="CN755" s="66"/>
      <c r="CO755" s="66"/>
      <c r="CP755" s="66"/>
      <c r="CQ755" s="66"/>
      <c r="CR755" s="66"/>
      <c r="CS755" s="66"/>
      <c r="CT755" s="66"/>
      <c r="CU755" s="66"/>
      <c r="CV755" s="66"/>
      <c r="CW755" s="66"/>
      <c r="CX755" s="66"/>
      <c r="CY755" s="66"/>
      <c r="CZ755" s="66"/>
      <c r="DA755" s="66"/>
      <c r="DB755" s="66"/>
      <c r="DC755" s="66"/>
      <c r="DD755" s="66"/>
      <c r="DE755" s="66"/>
      <c r="DF755" s="66"/>
      <c r="DG755" s="66"/>
      <c r="DH755" s="66"/>
      <c r="DI755" s="66"/>
      <c r="DJ755" s="66"/>
      <c r="DK755" s="66"/>
      <c r="DL755" s="66"/>
      <c r="DM755" s="66"/>
      <c r="DN755" s="66"/>
      <c r="DO755" s="66"/>
      <c r="DP755" s="66"/>
      <c r="DQ755" s="66"/>
      <c r="DR755" s="66"/>
      <c r="DS755" s="66"/>
      <c r="DT755" s="66"/>
      <c r="DU755" s="65"/>
      <c r="DV755" s="67"/>
      <c r="DW755" s="68"/>
    </row>
    <row r="756" spans="4:127" s="80" customFormat="1">
      <c r="D756" s="58"/>
      <c r="E756" s="58"/>
      <c r="F756" s="58"/>
      <c r="G756" s="58"/>
      <c r="H756" s="58"/>
      <c r="I756" s="58"/>
      <c r="J756" s="58"/>
      <c r="K756" s="58"/>
      <c r="L756" s="58"/>
      <c r="M756" s="58"/>
      <c r="N756" s="58"/>
      <c r="O756" s="58"/>
      <c r="P756" s="58"/>
      <c r="Q756" s="58"/>
      <c r="R756" s="58"/>
      <c r="S756" s="58"/>
      <c r="T756" s="58"/>
      <c r="U756" s="58"/>
      <c r="V756" s="61"/>
      <c r="W756" s="61"/>
      <c r="X756" s="62"/>
      <c r="Y756" s="61"/>
      <c r="Z756" s="61"/>
      <c r="AA756" s="61"/>
      <c r="AB756" s="61"/>
      <c r="AC756" s="61"/>
      <c r="AD756" s="61"/>
      <c r="AE756" s="61"/>
      <c r="AF756" s="61"/>
      <c r="AG756" s="61"/>
      <c r="AH756" s="61"/>
      <c r="AI756" s="61"/>
      <c r="AJ756" s="62"/>
      <c r="AK756" s="61"/>
      <c r="AL756" s="62"/>
      <c r="AM756" s="61"/>
      <c r="AN756" s="61"/>
      <c r="AO756" s="61"/>
      <c r="AP756" s="63"/>
      <c r="AQ756" s="64"/>
      <c r="AR756" s="61"/>
      <c r="AS756" s="62"/>
      <c r="AT756" s="62"/>
      <c r="AU756" s="62"/>
      <c r="AV756" s="62"/>
      <c r="AW756" s="62"/>
      <c r="AX756" s="62"/>
      <c r="AY756" s="61"/>
      <c r="AZ756" s="61"/>
      <c r="BA756" s="61"/>
      <c r="BB756" s="61"/>
      <c r="BC756" s="61"/>
      <c r="BD756" s="61"/>
      <c r="BE756" s="61"/>
      <c r="BF756" s="61"/>
      <c r="BG756" s="61"/>
      <c r="BH756" s="61"/>
      <c r="BI756" s="61"/>
      <c r="BJ756" s="61"/>
      <c r="BK756" s="61"/>
      <c r="BL756" s="61"/>
      <c r="BM756" s="61"/>
      <c r="BN756" s="61"/>
      <c r="BO756" s="61"/>
      <c r="BP756" s="61"/>
      <c r="BQ756" s="61"/>
      <c r="BR756" s="61"/>
      <c r="BS756" s="61"/>
      <c r="BT756" s="61"/>
      <c r="BU756" s="61"/>
      <c r="BV756" s="61"/>
      <c r="BW756" s="61"/>
      <c r="BX756" s="61"/>
      <c r="BY756" s="61"/>
      <c r="BZ756" s="61"/>
      <c r="CA756" s="61"/>
      <c r="CB756" s="61"/>
      <c r="CC756" s="61"/>
      <c r="CD756" s="65"/>
      <c r="CE756" s="65"/>
      <c r="CF756" s="65"/>
      <c r="CG756" s="65"/>
      <c r="CH756" s="65"/>
      <c r="CI756" s="66"/>
      <c r="CJ756" s="66"/>
      <c r="CK756" s="66"/>
      <c r="CL756" s="66"/>
      <c r="CM756" s="66"/>
      <c r="CN756" s="66"/>
      <c r="CO756" s="66"/>
      <c r="CP756" s="66"/>
      <c r="CQ756" s="66"/>
      <c r="CR756" s="66"/>
      <c r="CS756" s="66"/>
      <c r="CT756" s="66"/>
      <c r="CU756" s="66"/>
      <c r="CV756" s="66"/>
      <c r="CW756" s="66"/>
      <c r="CX756" s="66"/>
      <c r="CY756" s="66"/>
      <c r="CZ756" s="66"/>
      <c r="DA756" s="66"/>
      <c r="DB756" s="66"/>
      <c r="DC756" s="66"/>
      <c r="DD756" s="66"/>
      <c r="DE756" s="66"/>
      <c r="DF756" s="66"/>
      <c r="DG756" s="66"/>
      <c r="DH756" s="66"/>
      <c r="DI756" s="66"/>
      <c r="DJ756" s="66"/>
      <c r="DK756" s="66"/>
      <c r="DL756" s="66"/>
      <c r="DM756" s="66"/>
      <c r="DN756" s="66"/>
      <c r="DO756" s="66"/>
      <c r="DP756" s="66"/>
      <c r="DQ756" s="66"/>
      <c r="DR756" s="66"/>
      <c r="DS756" s="66"/>
      <c r="DT756" s="66"/>
      <c r="DU756" s="65"/>
      <c r="DV756" s="67"/>
      <c r="DW756" s="68"/>
    </row>
    <row r="757" spans="4:127" s="80" customFormat="1">
      <c r="D757" s="58"/>
      <c r="E757" s="58"/>
      <c r="F757" s="58"/>
      <c r="G757" s="58"/>
      <c r="H757" s="58"/>
      <c r="I757" s="58"/>
      <c r="J757" s="58"/>
      <c r="K757" s="58"/>
      <c r="L757" s="58"/>
      <c r="M757" s="58"/>
      <c r="N757" s="58"/>
      <c r="O757" s="58"/>
      <c r="P757" s="58"/>
      <c r="Q757" s="58"/>
      <c r="R757" s="58"/>
      <c r="S757" s="58"/>
      <c r="T757" s="58"/>
      <c r="U757" s="58"/>
      <c r="V757" s="61"/>
      <c r="W757" s="61"/>
      <c r="X757" s="62"/>
      <c r="Y757" s="61"/>
      <c r="Z757" s="61"/>
      <c r="AA757" s="61"/>
      <c r="AB757" s="61"/>
      <c r="AC757" s="61"/>
      <c r="AD757" s="61"/>
      <c r="AE757" s="61"/>
      <c r="AF757" s="61"/>
      <c r="AG757" s="61"/>
      <c r="AH757" s="61"/>
      <c r="AI757" s="61"/>
      <c r="AJ757" s="62"/>
      <c r="AK757" s="61"/>
      <c r="AL757" s="62"/>
      <c r="AM757" s="61"/>
      <c r="AN757" s="61"/>
      <c r="AO757" s="61"/>
      <c r="AP757" s="63"/>
      <c r="AQ757" s="64"/>
      <c r="AR757" s="61"/>
      <c r="AS757" s="62"/>
      <c r="AT757" s="62"/>
      <c r="AU757" s="62"/>
      <c r="AV757" s="62"/>
      <c r="AW757" s="62"/>
      <c r="AX757" s="62"/>
      <c r="AY757" s="61"/>
      <c r="AZ757" s="61"/>
      <c r="BA757" s="61"/>
      <c r="BB757" s="61"/>
      <c r="BC757" s="61"/>
      <c r="BD757" s="61"/>
      <c r="BE757" s="61"/>
      <c r="BF757" s="61"/>
      <c r="BG757" s="61"/>
      <c r="BH757" s="61"/>
      <c r="BI757" s="61"/>
      <c r="BJ757" s="61"/>
      <c r="BK757" s="61"/>
      <c r="BL757" s="61"/>
      <c r="BM757" s="61"/>
      <c r="BN757" s="61"/>
      <c r="BO757" s="61"/>
      <c r="BP757" s="61"/>
      <c r="BQ757" s="61"/>
      <c r="BR757" s="61"/>
      <c r="BS757" s="61"/>
      <c r="BT757" s="61"/>
      <c r="BU757" s="61"/>
      <c r="BV757" s="61"/>
      <c r="BW757" s="61"/>
      <c r="BX757" s="61"/>
      <c r="BY757" s="61"/>
      <c r="BZ757" s="61"/>
      <c r="CA757" s="61"/>
      <c r="CB757" s="61"/>
      <c r="CC757" s="61"/>
      <c r="CD757" s="65"/>
      <c r="CE757" s="65"/>
      <c r="CF757" s="65"/>
      <c r="CG757" s="65"/>
      <c r="CH757" s="65"/>
      <c r="CI757" s="66"/>
      <c r="CJ757" s="66"/>
      <c r="CK757" s="66"/>
      <c r="CL757" s="66"/>
      <c r="CM757" s="66"/>
      <c r="CN757" s="66"/>
      <c r="CO757" s="66"/>
      <c r="CP757" s="66"/>
      <c r="CQ757" s="66"/>
      <c r="CR757" s="66"/>
      <c r="CS757" s="66"/>
      <c r="CT757" s="66"/>
      <c r="CU757" s="66"/>
      <c r="CV757" s="66"/>
      <c r="CW757" s="66"/>
      <c r="CX757" s="66"/>
      <c r="CY757" s="66"/>
      <c r="CZ757" s="66"/>
      <c r="DA757" s="66"/>
      <c r="DB757" s="66"/>
      <c r="DC757" s="66"/>
      <c r="DD757" s="66"/>
      <c r="DE757" s="66"/>
      <c r="DF757" s="66"/>
      <c r="DG757" s="66"/>
      <c r="DH757" s="66"/>
      <c r="DI757" s="66"/>
      <c r="DJ757" s="66"/>
      <c r="DK757" s="66"/>
      <c r="DL757" s="66"/>
      <c r="DM757" s="66"/>
      <c r="DN757" s="66"/>
      <c r="DO757" s="66"/>
      <c r="DP757" s="66"/>
      <c r="DQ757" s="66"/>
      <c r="DR757" s="66"/>
      <c r="DS757" s="66"/>
      <c r="DT757" s="66"/>
      <c r="DU757" s="65"/>
      <c r="DV757" s="67"/>
      <c r="DW757" s="68"/>
    </row>
    <row r="758" spans="4:127" s="80" customFormat="1">
      <c r="D758" s="58"/>
      <c r="E758" s="58"/>
      <c r="F758" s="58"/>
      <c r="G758" s="58"/>
      <c r="H758" s="58"/>
      <c r="I758" s="58"/>
      <c r="J758" s="58"/>
      <c r="K758" s="58"/>
      <c r="L758" s="58"/>
      <c r="M758" s="58"/>
      <c r="N758" s="58"/>
      <c r="O758" s="58"/>
      <c r="P758" s="58"/>
      <c r="Q758" s="58"/>
      <c r="R758" s="58"/>
      <c r="S758" s="58"/>
      <c r="T758" s="58"/>
      <c r="U758" s="58"/>
      <c r="V758" s="61"/>
      <c r="W758" s="61"/>
      <c r="X758" s="62"/>
      <c r="Y758" s="61"/>
      <c r="Z758" s="61"/>
      <c r="AA758" s="61"/>
      <c r="AB758" s="61"/>
      <c r="AC758" s="61"/>
      <c r="AD758" s="61"/>
      <c r="AE758" s="61"/>
      <c r="AF758" s="61"/>
      <c r="AG758" s="61"/>
      <c r="AH758" s="61"/>
      <c r="AI758" s="61"/>
      <c r="AJ758" s="62"/>
      <c r="AK758" s="61"/>
      <c r="AL758" s="62"/>
      <c r="AM758" s="61"/>
      <c r="AN758" s="61"/>
      <c r="AO758" s="61"/>
      <c r="AP758" s="63"/>
      <c r="AQ758" s="64"/>
      <c r="AR758" s="61"/>
      <c r="AS758" s="62"/>
      <c r="AT758" s="62"/>
      <c r="AU758" s="62"/>
      <c r="AV758" s="62"/>
      <c r="AW758" s="62"/>
      <c r="AX758" s="62"/>
      <c r="AY758" s="61"/>
      <c r="AZ758" s="61"/>
      <c r="BA758" s="61"/>
      <c r="BB758" s="61"/>
      <c r="BC758" s="61"/>
      <c r="BD758" s="61"/>
      <c r="BE758" s="61"/>
      <c r="BF758" s="61"/>
      <c r="BG758" s="61"/>
      <c r="BH758" s="61"/>
      <c r="BI758" s="61"/>
      <c r="BJ758" s="61"/>
      <c r="BK758" s="61"/>
      <c r="BL758" s="61"/>
      <c r="BM758" s="61"/>
      <c r="BN758" s="61"/>
      <c r="BO758" s="61"/>
      <c r="BP758" s="61"/>
      <c r="BQ758" s="61"/>
      <c r="BR758" s="61"/>
      <c r="BS758" s="61"/>
      <c r="BT758" s="61"/>
      <c r="BU758" s="61"/>
      <c r="BV758" s="61"/>
      <c r="BW758" s="61"/>
      <c r="BX758" s="61"/>
      <c r="BY758" s="61"/>
      <c r="BZ758" s="61"/>
      <c r="CA758" s="61"/>
      <c r="CB758" s="61"/>
      <c r="CC758" s="61"/>
      <c r="CD758" s="65"/>
      <c r="CE758" s="65"/>
      <c r="CF758" s="65"/>
      <c r="CG758" s="65"/>
      <c r="CH758" s="65"/>
      <c r="CI758" s="66"/>
      <c r="CJ758" s="66"/>
      <c r="CK758" s="66"/>
      <c r="CL758" s="66"/>
      <c r="CM758" s="66"/>
      <c r="CN758" s="66"/>
      <c r="CO758" s="66"/>
      <c r="CP758" s="66"/>
      <c r="CQ758" s="66"/>
      <c r="CR758" s="66"/>
      <c r="CS758" s="66"/>
      <c r="CT758" s="66"/>
      <c r="CU758" s="66"/>
      <c r="CV758" s="66"/>
      <c r="CW758" s="66"/>
      <c r="CX758" s="66"/>
      <c r="CY758" s="66"/>
      <c r="CZ758" s="66"/>
      <c r="DA758" s="66"/>
      <c r="DB758" s="66"/>
      <c r="DC758" s="66"/>
      <c r="DD758" s="66"/>
      <c r="DE758" s="66"/>
      <c r="DF758" s="66"/>
      <c r="DG758" s="66"/>
      <c r="DH758" s="66"/>
      <c r="DI758" s="66"/>
      <c r="DJ758" s="66"/>
      <c r="DK758" s="66"/>
      <c r="DL758" s="66"/>
      <c r="DM758" s="66"/>
      <c r="DN758" s="66"/>
      <c r="DO758" s="66"/>
      <c r="DP758" s="66"/>
      <c r="DQ758" s="66"/>
      <c r="DR758" s="66"/>
      <c r="DS758" s="66"/>
      <c r="DT758" s="66"/>
      <c r="DU758" s="65"/>
      <c r="DV758" s="67"/>
      <c r="DW758" s="68"/>
    </row>
    <row r="759" spans="4:127" s="80" customFormat="1">
      <c r="D759" s="58"/>
      <c r="E759" s="58"/>
      <c r="F759" s="58"/>
      <c r="G759" s="58"/>
      <c r="H759" s="58"/>
      <c r="I759" s="58"/>
      <c r="J759" s="58"/>
      <c r="K759" s="58"/>
      <c r="L759" s="58"/>
      <c r="M759" s="58"/>
      <c r="N759" s="58"/>
      <c r="O759" s="58"/>
      <c r="P759" s="58"/>
      <c r="Q759" s="58"/>
      <c r="R759" s="58"/>
      <c r="S759" s="58"/>
      <c r="T759" s="58"/>
      <c r="U759" s="58"/>
      <c r="V759" s="61"/>
      <c r="W759" s="61"/>
      <c r="X759" s="62"/>
      <c r="Y759" s="61"/>
      <c r="Z759" s="61"/>
      <c r="AA759" s="61"/>
      <c r="AB759" s="61"/>
      <c r="AC759" s="61"/>
      <c r="AD759" s="61"/>
      <c r="AE759" s="61"/>
      <c r="AF759" s="61"/>
      <c r="AG759" s="61"/>
      <c r="AH759" s="61"/>
      <c r="AI759" s="61"/>
      <c r="AJ759" s="62"/>
      <c r="AK759" s="61"/>
      <c r="AL759" s="62"/>
      <c r="AM759" s="61"/>
      <c r="AN759" s="61"/>
      <c r="AO759" s="61"/>
      <c r="AP759" s="63"/>
      <c r="AQ759" s="64"/>
      <c r="AR759" s="61"/>
      <c r="AS759" s="62"/>
      <c r="AT759" s="62"/>
      <c r="AU759" s="62"/>
      <c r="AV759" s="62"/>
      <c r="AW759" s="62"/>
      <c r="AX759" s="62"/>
      <c r="AY759" s="61"/>
      <c r="AZ759" s="61"/>
      <c r="BA759" s="61"/>
      <c r="BB759" s="61"/>
      <c r="BC759" s="61"/>
      <c r="BD759" s="61"/>
      <c r="BE759" s="61"/>
      <c r="BF759" s="61"/>
      <c r="BG759" s="61"/>
      <c r="BH759" s="61"/>
      <c r="BI759" s="61"/>
      <c r="BJ759" s="61"/>
      <c r="BK759" s="61"/>
      <c r="BL759" s="61"/>
      <c r="BM759" s="61"/>
      <c r="BN759" s="61"/>
      <c r="BO759" s="61"/>
      <c r="BP759" s="61"/>
      <c r="BQ759" s="61"/>
      <c r="BR759" s="61"/>
      <c r="BS759" s="61"/>
      <c r="BT759" s="61"/>
      <c r="BU759" s="61"/>
      <c r="BV759" s="61"/>
      <c r="BW759" s="61"/>
      <c r="BX759" s="61"/>
      <c r="BY759" s="61"/>
      <c r="BZ759" s="61"/>
      <c r="CA759" s="61"/>
      <c r="CB759" s="61"/>
      <c r="CC759" s="61"/>
      <c r="CD759" s="65"/>
      <c r="CE759" s="65"/>
      <c r="CF759" s="65"/>
      <c r="CG759" s="65"/>
      <c r="CH759" s="65"/>
      <c r="CI759" s="66"/>
      <c r="CJ759" s="66"/>
      <c r="CK759" s="66"/>
      <c r="CL759" s="66"/>
      <c r="CM759" s="66"/>
      <c r="CN759" s="66"/>
      <c r="CO759" s="66"/>
      <c r="CP759" s="66"/>
      <c r="CQ759" s="66"/>
      <c r="CR759" s="66"/>
      <c r="CS759" s="66"/>
      <c r="CT759" s="66"/>
      <c r="CU759" s="66"/>
      <c r="CV759" s="66"/>
      <c r="CW759" s="66"/>
      <c r="CX759" s="66"/>
      <c r="CY759" s="66"/>
      <c r="CZ759" s="66"/>
      <c r="DA759" s="66"/>
      <c r="DB759" s="66"/>
      <c r="DC759" s="66"/>
      <c r="DD759" s="66"/>
      <c r="DE759" s="66"/>
      <c r="DF759" s="66"/>
      <c r="DG759" s="66"/>
      <c r="DH759" s="66"/>
      <c r="DI759" s="66"/>
      <c r="DJ759" s="66"/>
      <c r="DK759" s="66"/>
      <c r="DL759" s="66"/>
      <c r="DM759" s="66"/>
      <c r="DN759" s="66"/>
      <c r="DO759" s="66"/>
      <c r="DP759" s="66"/>
      <c r="DQ759" s="66"/>
      <c r="DR759" s="66"/>
      <c r="DS759" s="66"/>
      <c r="DT759" s="66"/>
      <c r="DU759" s="65"/>
      <c r="DV759" s="67"/>
      <c r="DW759" s="68"/>
    </row>
    <row r="760" spans="4:127" s="80" customFormat="1">
      <c r="D760" s="58"/>
      <c r="E760" s="58"/>
      <c r="F760" s="58"/>
      <c r="G760" s="58"/>
      <c r="H760" s="58"/>
      <c r="I760" s="58"/>
      <c r="J760" s="58"/>
      <c r="K760" s="58"/>
      <c r="L760" s="58"/>
      <c r="M760" s="58"/>
      <c r="N760" s="58"/>
      <c r="O760" s="58"/>
      <c r="P760" s="58"/>
      <c r="Q760" s="58"/>
      <c r="R760" s="58"/>
      <c r="S760" s="58"/>
      <c r="T760" s="58"/>
      <c r="U760" s="58"/>
      <c r="V760" s="61"/>
      <c r="W760" s="61"/>
      <c r="X760" s="62"/>
      <c r="Y760" s="61"/>
      <c r="Z760" s="61"/>
      <c r="AA760" s="61"/>
      <c r="AB760" s="61"/>
      <c r="AC760" s="61"/>
      <c r="AD760" s="61"/>
      <c r="AE760" s="61"/>
      <c r="AF760" s="61"/>
      <c r="AG760" s="61"/>
      <c r="AH760" s="61"/>
      <c r="AI760" s="61"/>
      <c r="AJ760" s="62"/>
      <c r="AK760" s="61"/>
      <c r="AL760" s="62"/>
      <c r="AM760" s="61"/>
      <c r="AN760" s="61"/>
      <c r="AO760" s="61"/>
      <c r="AP760" s="63"/>
      <c r="AQ760" s="64"/>
      <c r="AR760" s="61"/>
      <c r="AS760" s="62"/>
      <c r="AT760" s="62"/>
      <c r="AU760" s="62"/>
      <c r="AV760" s="62"/>
      <c r="AW760" s="62"/>
      <c r="AX760" s="62"/>
      <c r="AY760" s="61"/>
      <c r="AZ760" s="61"/>
      <c r="BA760" s="61"/>
      <c r="BB760" s="61"/>
      <c r="BC760" s="61"/>
      <c r="BD760" s="61"/>
      <c r="BE760" s="61"/>
      <c r="BF760" s="61"/>
      <c r="BG760" s="61"/>
      <c r="BH760" s="61"/>
      <c r="BI760" s="61"/>
      <c r="BJ760" s="61"/>
      <c r="BK760" s="61"/>
      <c r="BL760" s="61"/>
      <c r="BM760" s="61"/>
      <c r="BN760" s="61"/>
      <c r="BO760" s="61"/>
      <c r="BP760" s="61"/>
      <c r="BQ760" s="61"/>
      <c r="BR760" s="61"/>
      <c r="BS760" s="61"/>
      <c r="BT760" s="61"/>
      <c r="BU760" s="61"/>
      <c r="BV760" s="61"/>
      <c r="BW760" s="61"/>
      <c r="BX760" s="61"/>
      <c r="BY760" s="61"/>
      <c r="BZ760" s="61"/>
      <c r="CA760" s="61"/>
      <c r="CB760" s="61"/>
      <c r="CC760" s="61"/>
      <c r="CD760" s="65"/>
      <c r="CE760" s="65"/>
      <c r="CF760" s="65"/>
      <c r="CG760" s="65"/>
      <c r="CH760" s="65"/>
      <c r="CI760" s="66"/>
      <c r="CJ760" s="66"/>
      <c r="CK760" s="66"/>
      <c r="CL760" s="66"/>
      <c r="CM760" s="66"/>
      <c r="CN760" s="66"/>
      <c r="CO760" s="66"/>
      <c r="CP760" s="66"/>
      <c r="CQ760" s="66"/>
      <c r="CR760" s="66"/>
      <c r="CS760" s="66"/>
      <c r="CT760" s="66"/>
      <c r="CU760" s="66"/>
      <c r="CV760" s="66"/>
      <c r="CW760" s="66"/>
      <c r="CX760" s="66"/>
      <c r="CY760" s="66"/>
      <c r="CZ760" s="66"/>
      <c r="DA760" s="66"/>
      <c r="DB760" s="66"/>
      <c r="DC760" s="66"/>
      <c r="DD760" s="66"/>
      <c r="DE760" s="66"/>
      <c r="DF760" s="66"/>
      <c r="DG760" s="66"/>
      <c r="DH760" s="66"/>
      <c r="DI760" s="66"/>
      <c r="DJ760" s="66"/>
      <c r="DK760" s="66"/>
      <c r="DL760" s="66"/>
      <c r="DM760" s="66"/>
      <c r="DN760" s="66"/>
      <c r="DO760" s="66"/>
      <c r="DP760" s="66"/>
      <c r="DQ760" s="66"/>
      <c r="DR760" s="66"/>
      <c r="DS760" s="66"/>
      <c r="DT760" s="66"/>
      <c r="DU760" s="65"/>
      <c r="DV760" s="67"/>
      <c r="DW760" s="68"/>
    </row>
    <row r="761" spans="4:127" s="80" customFormat="1">
      <c r="D761" s="58"/>
      <c r="E761" s="58"/>
      <c r="F761" s="58"/>
      <c r="G761" s="58"/>
      <c r="H761" s="58"/>
      <c r="I761" s="58"/>
      <c r="J761" s="58"/>
      <c r="K761" s="58"/>
      <c r="L761" s="58"/>
      <c r="M761" s="58"/>
      <c r="N761" s="58"/>
      <c r="O761" s="58"/>
      <c r="P761" s="58"/>
      <c r="Q761" s="58"/>
      <c r="R761" s="58"/>
      <c r="S761" s="58"/>
      <c r="T761" s="58"/>
      <c r="U761" s="58"/>
      <c r="V761" s="61"/>
      <c r="W761" s="61"/>
      <c r="X761" s="62"/>
      <c r="Y761" s="61"/>
      <c r="Z761" s="61"/>
      <c r="AA761" s="61"/>
      <c r="AB761" s="61"/>
      <c r="AC761" s="61"/>
      <c r="AD761" s="61"/>
      <c r="AE761" s="61"/>
      <c r="AF761" s="61"/>
      <c r="AG761" s="61"/>
      <c r="AH761" s="61"/>
      <c r="AI761" s="61"/>
      <c r="AJ761" s="62"/>
      <c r="AK761" s="61"/>
      <c r="AL761" s="62"/>
      <c r="AM761" s="61"/>
      <c r="AN761" s="61"/>
      <c r="AO761" s="61"/>
      <c r="AP761" s="63"/>
      <c r="AQ761" s="64"/>
      <c r="AR761" s="61"/>
      <c r="AS761" s="62"/>
      <c r="AT761" s="62"/>
      <c r="AU761" s="62"/>
      <c r="AV761" s="62"/>
      <c r="AW761" s="62"/>
      <c r="AX761" s="62"/>
      <c r="AY761" s="61"/>
      <c r="AZ761" s="61"/>
      <c r="BA761" s="61"/>
      <c r="BB761" s="61"/>
      <c r="BC761" s="61"/>
      <c r="BD761" s="61"/>
      <c r="BE761" s="61"/>
      <c r="BF761" s="61"/>
      <c r="BG761" s="61"/>
      <c r="BH761" s="61"/>
      <c r="BI761" s="61"/>
      <c r="BJ761" s="61"/>
      <c r="BK761" s="61"/>
      <c r="BL761" s="61"/>
      <c r="BM761" s="61"/>
      <c r="BN761" s="61"/>
      <c r="BO761" s="61"/>
      <c r="BP761" s="61"/>
      <c r="BQ761" s="61"/>
      <c r="BR761" s="61"/>
      <c r="BS761" s="61"/>
      <c r="BT761" s="61"/>
      <c r="BU761" s="61"/>
      <c r="BV761" s="61"/>
      <c r="BW761" s="61"/>
      <c r="BX761" s="61"/>
      <c r="BY761" s="61"/>
      <c r="BZ761" s="61"/>
      <c r="CA761" s="61"/>
      <c r="CB761" s="61"/>
      <c r="CC761" s="61"/>
      <c r="CD761" s="65"/>
      <c r="CE761" s="65"/>
      <c r="CF761" s="65"/>
      <c r="CG761" s="65"/>
      <c r="CH761" s="65"/>
      <c r="CI761" s="66"/>
      <c r="CJ761" s="66"/>
      <c r="CK761" s="66"/>
      <c r="CL761" s="66"/>
      <c r="CM761" s="66"/>
      <c r="CN761" s="66"/>
      <c r="CO761" s="66"/>
      <c r="CP761" s="66"/>
      <c r="CQ761" s="66"/>
      <c r="CR761" s="66"/>
      <c r="CS761" s="66"/>
      <c r="CT761" s="66"/>
      <c r="CU761" s="66"/>
      <c r="CV761" s="66"/>
      <c r="CW761" s="66"/>
      <c r="CX761" s="66"/>
      <c r="CY761" s="66"/>
      <c r="CZ761" s="66"/>
      <c r="DA761" s="66"/>
      <c r="DB761" s="66"/>
      <c r="DC761" s="66"/>
      <c r="DD761" s="66"/>
      <c r="DE761" s="66"/>
      <c r="DF761" s="66"/>
      <c r="DG761" s="66"/>
      <c r="DH761" s="66"/>
      <c r="DI761" s="66"/>
      <c r="DJ761" s="66"/>
      <c r="DK761" s="66"/>
      <c r="DL761" s="66"/>
      <c r="DM761" s="66"/>
      <c r="DN761" s="66"/>
      <c r="DO761" s="66"/>
      <c r="DP761" s="66"/>
      <c r="DQ761" s="66"/>
      <c r="DR761" s="66"/>
      <c r="DS761" s="66"/>
      <c r="DT761" s="66"/>
      <c r="DU761" s="65"/>
      <c r="DV761" s="67"/>
      <c r="DW761" s="68"/>
    </row>
    <row r="762" spans="4:127" s="80" customFormat="1">
      <c r="D762" s="58"/>
      <c r="E762" s="58"/>
      <c r="F762" s="58"/>
      <c r="G762" s="58"/>
      <c r="H762" s="58"/>
      <c r="I762" s="58"/>
      <c r="J762" s="58"/>
      <c r="K762" s="58"/>
      <c r="L762" s="58"/>
      <c r="M762" s="58"/>
      <c r="N762" s="58"/>
      <c r="O762" s="58"/>
      <c r="P762" s="58"/>
      <c r="Q762" s="58"/>
      <c r="R762" s="58"/>
      <c r="S762" s="58"/>
      <c r="T762" s="58"/>
      <c r="U762" s="58"/>
      <c r="V762" s="61"/>
      <c r="W762" s="61"/>
      <c r="X762" s="62"/>
      <c r="Y762" s="61"/>
      <c r="Z762" s="61"/>
      <c r="AA762" s="61"/>
      <c r="AB762" s="61"/>
      <c r="AC762" s="61"/>
      <c r="AD762" s="61"/>
      <c r="AE762" s="61"/>
      <c r="AF762" s="61"/>
      <c r="AG762" s="61"/>
      <c r="AH762" s="61"/>
      <c r="AI762" s="61"/>
      <c r="AJ762" s="62"/>
      <c r="AK762" s="61"/>
      <c r="AL762" s="62"/>
      <c r="AM762" s="61"/>
      <c r="AN762" s="61"/>
      <c r="AO762" s="61"/>
      <c r="AP762" s="63"/>
      <c r="AQ762" s="64"/>
      <c r="AR762" s="61"/>
      <c r="AS762" s="62"/>
      <c r="AT762" s="62"/>
      <c r="AU762" s="62"/>
      <c r="AV762" s="62"/>
      <c r="AW762" s="62"/>
      <c r="AX762" s="62"/>
      <c r="AY762" s="61"/>
      <c r="AZ762" s="61"/>
      <c r="BA762" s="61"/>
      <c r="BB762" s="61"/>
      <c r="BC762" s="61"/>
      <c r="BD762" s="61"/>
      <c r="BE762" s="61"/>
      <c r="BF762" s="61"/>
      <c r="BG762" s="61"/>
      <c r="BH762" s="61"/>
      <c r="BI762" s="61"/>
      <c r="BJ762" s="61"/>
      <c r="BK762" s="61"/>
      <c r="BL762" s="61"/>
      <c r="BM762" s="61"/>
      <c r="BN762" s="61"/>
      <c r="BO762" s="61"/>
      <c r="BP762" s="61"/>
      <c r="BQ762" s="61"/>
      <c r="BR762" s="61"/>
      <c r="BS762" s="61"/>
      <c r="BT762" s="61"/>
      <c r="BU762" s="61"/>
      <c r="BV762" s="61"/>
      <c r="BW762" s="61"/>
      <c r="BX762" s="61"/>
      <c r="BY762" s="61"/>
      <c r="BZ762" s="61"/>
      <c r="CA762" s="61"/>
      <c r="CB762" s="61"/>
      <c r="CC762" s="61"/>
      <c r="CD762" s="65"/>
      <c r="CE762" s="65"/>
      <c r="CF762" s="65"/>
      <c r="CG762" s="65"/>
      <c r="CH762" s="65"/>
      <c r="CI762" s="66"/>
      <c r="CJ762" s="66"/>
      <c r="CK762" s="66"/>
      <c r="CL762" s="66"/>
      <c r="CM762" s="66"/>
      <c r="CN762" s="66"/>
      <c r="CO762" s="66"/>
      <c r="CP762" s="66"/>
      <c r="CQ762" s="66"/>
      <c r="CR762" s="66"/>
      <c r="CS762" s="66"/>
      <c r="CT762" s="66"/>
      <c r="CU762" s="66"/>
      <c r="CV762" s="66"/>
      <c r="CW762" s="66"/>
      <c r="CX762" s="66"/>
      <c r="CY762" s="66"/>
      <c r="CZ762" s="66"/>
      <c r="DA762" s="66"/>
      <c r="DB762" s="66"/>
      <c r="DC762" s="66"/>
      <c r="DD762" s="66"/>
      <c r="DE762" s="66"/>
      <c r="DF762" s="66"/>
      <c r="DG762" s="66"/>
      <c r="DH762" s="66"/>
      <c r="DI762" s="66"/>
      <c r="DJ762" s="66"/>
      <c r="DK762" s="66"/>
      <c r="DL762" s="66"/>
      <c r="DM762" s="66"/>
      <c r="DN762" s="66"/>
      <c r="DO762" s="66"/>
      <c r="DP762" s="66"/>
      <c r="DQ762" s="66"/>
      <c r="DR762" s="66"/>
      <c r="DS762" s="66"/>
      <c r="DT762" s="66"/>
      <c r="DU762" s="65"/>
      <c r="DV762" s="67"/>
      <c r="DW762" s="68"/>
    </row>
    <row r="763" spans="4:127" s="80" customFormat="1">
      <c r="D763" s="58"/>
      <c r="E763" s="58"/>
      <c r="F763" s="58"/>
      <c r="G763" s="58"/>
      <c r="H763" s="58"/>
      <c r="I763" s="58"/>
      <c r="J763" s="58"/>
      <c r="K763" s="58"/>
      <c r="L763" s="58"/>
      <c r="M763" s="58"/>
      <c r="N763" s="58"/>
      <c r="O763" s="58"/>
      <c r="P763" s="58"/>
      <c r="Q763" s="58"/>
      <c r="R763" s="58"/>
      <c r="S763" s="58"/>
      <c r="T763" s="58"/>
      <c r="U763" s="58"/>
      <c r="V763" s="61"/>
      <c r="W763" s="61"/>
      <c r="X763" s="62"/>
      <c r="Y763" s="61"/>
      <c r="Z763" s="61"/>
      <c r="AA763" s="61"/>
      <c r="AB763" s="61"/>
      <c r="AC763" s="61"/>
      <c r="AD763" s="61"/>
      <c r="AE763" s="61"/>
      <c r="AF763" s="61"/>
      <c r="AG763" s="61"/>
      <c r="AH763" s="61"/>
      <c r="AI763" s="61"/>
      <c r="AJ763" s="62"/>
      <c r="AK763" s="61"/>
      <c r="AL763" s="62"/>
      <c r="AM763" s="61"/>
      <c r="AN763" s="61"/>
      <c r="AO763" s="61"/>
      <c r="AP763" s="63"/>
      <c r="AQ763" s="64"/>
      <c r="AR763" s="61"/>
      <c r="AS763" s="62"/>
      <c r="AT763" s="62"/>
      <c r="AU763" s="62"/>
      <c r="AV763" s="62"/>
      <c r="AW763" s="62"/>
      <c r="AX763" s="62"/>
      <c r="AY763" s="61"/>
      <c r="AZ763" s="61"/>
      <c r="BA763" s="61"/>
      <c r="BB763" s="61"/>
      <c r="BC763" s="61"/>
      <c r="BD763" s="61"/>
      <c r="BE763" s="61"/>
      <c r="BF763" s="61"/>
      <c r="BG763" s="61"/>
      <c r="BH763" s="61"/>
      <c r="BI763" s="61"/>
      <c r="BJ763" s="61"/>
      <c r="BK763" s="61"/>
      <c r="BL763" s="61"/>
      <c r="BM763" s="61"/>
      <c r="BN763" s="61"/>
      <c r="BO763" s="61"/>
      <c r="BP763" s="61"/>
      <c r="BQ763" s="61"/>
      <c r="BR763" s="61"/>
      <c r="BS763" s="61"/>
      <c r="BT763" s="61"/>
      <c r="BU763" s="61"/>
      <c r="BV763" s="61"/>
      <c r="BW763" s="61"/>
      <c r="BX763" s="61"/>
      <c r="BY763" s="61"/>
      <c r="BZ763" s="61"/>
      <c r="CA763" s="61"/>
      <c r="CB763" s="61"/>
      <c r="CC763" s="61"/>
      <c r="CD763" s="65"/>
      <c r="CE763" s="65"/>
      <c r="CF763" s="65"/>
      <c r="CG763" s="65"/>
      <c r="CH763" s="65"/>
      <c r="CI763" s="66"/>
      <c r="CJ763" s="66"/>
      <c r="CK763" s="66"/>
      <c r="CL763" s="66"/>
      <c r="CM763" s="66"/>
      <c r="CN763" s="66"/>
      <c r="CO763" s="66"/>
      <c r="CP763" s="66"/>
      <c r="CQ763" s="66"/>
      <c r="CR763" s="66"/>
      <c r="CS763" s="66"/>
      <c r="CT763" s="66"/>
      <c r="CU763" s="66"/>
      <c r="CV763" s="66"/>
      <c r="CW763" s="66"/>
      <c r="CX763" s="66"/>
      <c r="CY763" s="66"/>
      <c r="CZ763" s="66"/>
      <c r="DA763" s="66"/>
      <c r="DB763" s="66"/>
      <c r="DC763" s="66"/>
      <c r="DD763" s="66"/>
      <c r="DE763" s="66"/>
      <c r="DF763" s="66"/>
      <c r="DG763" s="66"/>
      <c r="DH763" s="66"/>
      <c r="DI763" s="66"/>
      <c r="DJ763" s="66"/>
      <c r="DK763" s="66"/>
      <c r="DL763" s="66"/>
      <c r="DM763" s="66"/>
      <c r="DN763" s="66"/>
      <c r="DO763" s="66"/>
      <c r="DP763" s="66"/>
      <c r="DQ763" s="66"/>
      <c r="DR763" s="66"/>
      <c r="DS763" s="66"/>
      <c r="DT763" s="66"/>
      <c r="DU763" s="65"/>
      <c r="DV763" s="67"/>
      <c r="DW763" s="68"/>
    </row>
    <row r="764" spans="4:127" s="80" customFormat="1">
      <c r="D764" s="58"/>
      <c r="E764" s="58"/>
      <c r="F764" s="58"/>
      <c r="G764" s="58"/>
      <c r="H764" s="58"/>
      <c r="I764" s="58"/>
      <c r="J764" s="58"/>
      <c r="K764" s="58"/>
      <c r="L764" s="58"/>
      <c r="M764" s="58"/>
      <c r="N764" s="58"/>
      <c r="O764" s="58"/>
      <c r="P764" s="58"/>
      <c r="Q764" s="58"/>
      <c r="R764" s="58"/>
      <c r="S764" s="58"/>
      <c r="T764" s="58"/>
      <c r="U764" s="58"/>
      <c r="V764" s="61"/>
      <c r="W764" s="61"/>
      <c r="X764" s="62"/>
      <c r="Y764" s="61"/>
      <c r="Z764" s="61"/>
      <c r="AA764" s="61"/>
      <c r="AB764" s="61"/>
      <c r="AC764" s="61"/>
      <c r="AD764" s="61"/>
      <c r="AE764" s="61"/>
      <c r="AF764" s="61"/>
      <c r="AG764" s="61"/>
      <c r="AH764" s="61"/>
      <c r="AI764" s="61"/>
      <c r="AJ764" s="62"/>
      <c r="AK764" s="61"/>
      <c r="AL764" s="62"/>
      <c r="AM764" s="61"/>
      <c r="AN764" s="61"/>
      <c r="AO764" s="61"/>
      <c r="AP764" s="63"/>
      <c r="AQ764" s="64"/>
      <c r="AR764" s="61"/>
      <c r="AS764" s="62"/>
      <c r="AT764" s="62"/>
      <c r="AU764" s="62"/>
      <c r="AV764" s="62"/>
      <c r="AW764" s="62"/>
      <c r="AX764" s="62"/>
      <c r="AY764" s="61"/>
      <c r="AZ764" s="61"/>
      <c r="BA764" s="61"/>
      <c r="BB764" s="61"/>
      <c r="BC764" s="61"/>
      <c r="BD764" s="61"/>
      <c r="BE764" s="61"/>
      <c r="BF764" s="61"/>
      <c r="BG764" s="61"/>
      <c r="BH764" s="61"/>
      <c r="BI764" s="61"/>
      <c r="BJ764" s="61"/>
      <c r="BK764" s="61"/>
      <c r="BL764" s="61"/>
      <c r="BM764" s="61"/>
      <c r="BN764" s="61"/>
      <c r="BO764" s="61"/>
      <c r="BP764" s="61"/>
      <c r="BQ764" s="61"/>
      <c r="BR764" s="61"/>
      <c r="BS764" s="61"/>
      <c r="BT764" s="61"/>
      <c r="BU764" s="61"/>
      <c r="BV764" s="61"/>
      <c r="BW764" s="61"/>
      <c r="BX764" s="61"/>
      <c r="BY764" s="61"/>
      <c r="BZ764" s="61"/>
      <c r="CA764" s="61"/>
      <c r="CB764" s="61"/>
      <c r="CC764" s="61"/>
      <c r="CD764" s="65"/>
      <c r="CE764" s="65"/>
      <c r="CF764" s="65"/>
      <c r="CG764" s="65"/>
      <c r="CH764" s="65"/>
      <c r="CI764" s="66"/>
      <c r="CJ764" s="66"/>
      <c r="CK764" s="66"/>
      <c r="CL764" s="66"/>
      <c r="CM764" s="66"/>
      <c r="CN764" s="66"/>
      <c r="CO764" s="66"/>
      <c r="CP764" s="66"/>
      <c r="CQ764" s="66"/>
      <c r="CR764" s="66"/>
      <c r="CS764" s="66"/>
      <c r="CT764" s="66"/>
      <c r="CU764" s="66"/>
      <c r="CV764" s="66"/>
      <c r="CW764" s="66"/>
      <c r="CX764" s="66"/>
      <c r="CY764" s="66"/>
      <c r="CZ764" s="66"/>
      <c r="DA764" s="66"/>
      <c r="DB764" s="66"/>
      <c r="DC764" s="66"/>
      <c r="DD764" s="66"/>
      <c r="DE764" s="66"/>
      <c r="DF764" s="66"/>
      <c r="DG764" s="66"/>
      <c r="DH764" s="66"/>
      <c r="DI764" s="66"/>
      <c r="DJ764" s="66"/>
      <c r="DK764" s="66"/>
      <c r="DL764" s="66"/>
      <c r="DM764" s="66"/>
      <c r="DN764" s="66"/>
      <c r="DO764" s="66"/>
      <c r="DP764" s="66"/>
      <c r="DQ764" s="66"/>
      <c r="DR764" s="66"/>
      <c r="DS764" s="66"/>
      <c r="DT764" s="66"/>
      <c r="DU764" s="65"/>
      <c r="DV764" s="67"/>
      <c r="DW764" s="68"/>
    </row>
    <row r="765" spans="4:127" s="80" customFormat="1">
      <c r="D765" s="58"/>
      <c r="E765" s="58"/>
      <c r="F765" s="58"/>
      <c r="G765" s="58"/>
      <c r="H765" s="58"/>
      <c r="I765" s="58"/>
      <c r="J765" s="58"/>
      <c r="K765" s="58"/>
      <c r="L765" s="58"/>
      <c r="M765" s="58"/>
      <c r="N765" s="58"/>
      <c r="O765" s="58"/>
      <c r="P765" s="58"/>
      <c r="Q765" s="58"/>
      <c r="R765" s="58"/>
      <c r="S765" s="58"/>
      <c r="T765" s="58"/>
      <c r="U765" s="58"/>
      <c r="V765" s="61"/>
      <c r="W765" s="61"/>
      <c r="X765" s="62"/>
      <c r="Y765" s="61"/>
      <c r="Z765" s="61"/>
      <c r="AA765" s="61"/>
      <c r="AB765" s="61"/>
      <c r="AC765" s="61"/>
      <c r="AD765" s="61"/>
      <c r="AE765" s="61"/>
      <c r="AF765" s="61"/>
      <c r="AG765" s="61"/>
      <c r="AH765" s="61"/>
      <c r="AI765" s="61"/>
      <c r="AJ765" s="62"/>
      <c r="AK765" s="61"/>
      <c r="AL765" s="62"/>
      <c r="AM765" s="61"/>
      <c r="AN765" s="61"/>
      <c r="AO765" s="61"/>
      <c r="AP765" s="63"/>
      <c r="AQ765" s="64"/>
      <c r="AR765" s="61"/>
      <c r="AS765" s="62"/>
      <c r="AT765" s="62"/>
      <c r="AU765" s="62"/>
      <c r="AV765" s="62"/>
      <c r="AW765" s="62"/>
      <c r="AX765" s="62"/>
      <c r="AY765" s="61"/>
      <c r="AZ765" s="61"/>
      <c r="BA765" s="61"/>
      <c r="BB765" s="61"/>
      <c r="BC765" s="61"/>
      <c r="BD765" s="61"/>
      <c r="BE765" s="61"/>
      <c r="BF765" s="61"/>
      <c r="BG765" s="61"/>
      <c r="BH765" s="61"/>
      <c r="BI765" s="61"/>
      <c r="BJ765" s="61"/>
      <c r="BK765" s="61"/>
      <c r="BL765" s="61"/>
      <c r="BM765" s="61"/>
      <c r="BN765" s="61"/>
      <c r="BO765" s="61"/>
      <c r="BP765" s="61"/>
      <c r="BQ765" s="61"/>
      <c r="BR765" s="61"/>
      <c r="BS765" s="61"/>
      <c r="BT765" s="61"/>
      <c r="BU765" s="61"/>
      <c r="BV765" s="61"/>
      <c r="BW765" s="61"/>
      <c r="BX765" s="61"/>
      <c r="BY765" s="61"/>
      <c r="BZ765" s="61"/>
      <c r="CA765" s="61"/>
      <c r="CB765" s="61"/>
      <c r="CC765" s="61"/>
      <c r="CD765" s="65"/>
      <c r="CE765" s="65"/>
      <c r="CF765" s="65"/>
      <c r="CG765" s="65"/>
      <c r="CH765" s="65"/>
      <c r="CI765" s="66"/>
      <c r="CJ765" s="66"/>
      <c r="CK765" s="66"/>
      <c r="CL765" s="66"/>
      <c r="CM765" s="66"/>
      <c r="CN765" s="66"/>
      <c r="CO765" s="66"/>
      <c r="CP765" s="66"/>
      <c r="CQ765" s="66"/>
      <c r="CR765" s="66"/>
      <c r="CS765" s="66"/>
      <c r="CT765" s="66"/>
      <c r="CU765" s="66"/>
      <c r="CV765" s="66"/>
      <c r="CW765" s="66"/>
      <c r="CX765" s="66"/>
      <c r="CY765" s="66"/>
      <c r="CZ765" s="66"/>
      <c r="DA765" s="66"/>
      <c r="DB765" s="66"/>
      <c r="DC765" s="66"/>
      <c r="DD765" s="66"/>
      <c r="DE765" s="66"/>
      <c r="DF765" s="66"/>
      <c r="DG765" s="66"/>
      <c r="DH765" s="66"/>
      <c r="DI765" s="66"/>
      <c r="DJ765" s="66"/>
      <c r="DK765" s="66"/>
      <c r="DL765" s="66"/>
      <c r="DM765" s="66"/>
      <c r="DN765" s="66"/>
      <c r="DO765" s="66"/>
      <c r="DP765" s="66"/>
      <c r="DQ765" s="66"/>
      <c r="DR765" s="66"/>
      <c r="DS765" s="66"/>
      <c r="DT765" s="66"/>
      <c r="DU765" s="65"/>
      <c r="DV765" s="67"/>
      <c r="DW765" s="68"/>
    </row>
    <row r="766" spans="4:127" s="80" customFormat="1">
      <c r="D766" s="58"/>
      <c r="E766" s="58"/>
      <c r="F766" s="58"/>
      <c r="G766" s="58"/>
      <c r="H766" s="58"/>
      <c r="I766" s="58"/>
      <c r="J766" s="58"/>
      <c r="K766" s="58"/>
      <c r="L766" s="58"/>
      <c r="M766" s="58"/>
      <c r="N766" s="58"/>
      <c r="O766" s="58"/>
      <c r="P766" s="58"/>
      <c r="Q766" s="58"/>
      <c r="R766" s="58"/>
      <c r="S766" s="58"/>
      <c r="T766" s="58"/>
      <c r="U766" s="58"/>
      <c r="V766" s="61"/>
      <c r="W766" s="61"/>
      <c r="X766" s="62"/>
      <c r="Y766" s="61"/>
      <c r="Z766" s="61"/>
      <c r="AA766" s="61"/>
      <c r="AB766" s="61"/>
      <c r="AC766" s="61"/>
      <c r="AD766" s="61"/>
      <c r="AE766" s="61"/>
      <c r="AF766" s="61"/>
      <c r="AG766" s="61"/>
      <c r="AH766" s="61"/>
      <c r="AI766" s="61"/>
      <c r="AJ766" s="62"/>
      <c r="AK766" s="61"/>
      <c r="AL766" s="62"/>
      <c r="AM766" s="61"/>
      <c r="AN766" s="61"/>
      <c r="AO766" s="61"/>
      <c r="AP766" s="63"/>
      <c r="AQ766" s="64"/>
      <c r="AR766" s="61"/>
      <c r="AS766" s="62"/>
      <c r="AT766" s="62"/>
      <c r="AU766" s="62"/>
      <c r="AV766" s="62"/>
      <c r="AW766" s="62"/>
      <c r="AX766" s="62"/>
      <c r="AY766" s="61"/>
      <c r="AZ766" s="61"/>
      <c r="BA766" s="61"/>
      <c r="BB766" s="61"/>
      <c r="BC766" s="61"/>
      <c r="BD766" s="61"/>
      <c r="BE766" s="61"/>
      <c r="BF766" s="61"/>
      <c r="BG766" s="61"/>
      <c r="BH766" s="61"/>
      <c r="BI766" s="61"/>
      <c r="BJ766" s="61"/>
      <c r="BK766" s="61"/>
      <c r="BL766" s="61"/>
      <c r="BM766" s="61"/>
      <c r="BN766" s="61"/>
      <c r="BO766" s="61"/>
      <c r="BP766" s="61"/>
      <c r="BQ766" s="61"/>
      <c r="BR766" s="61"/>
      <c r="BS766" s="61"/>
      <c r="BT766" s="61"/>
      <c r="BU766" s="61"/>
      <c r="BV766" s="61"/>
      <c r="BW766" s="61"/>
      <c r="BX766" s="61"/>
      <c r="BY766" s="61"/>
      <c r="BZ766" s="61"/>
      <c r="CA766" s="61"/>
      <c r="CB766" s="61"/>
      <c r="CC766" s="61"/>
      <c r="CD766" s="65"/>
      <c r="CE766" s="65"/>
      <c r="CF766" s="65"/>
      <c r="CG766" s="65"/>
      <c r="CH766" s="65"/>
      <c r="CI766" s="66"/>
      <c r="CJ766" s="66"/>
      <c r="CK766" s="66"/>
      <c r="CL766" s="66"/>
      <c r="CM766" s="66"/>
      <c r="CN766" s="66"/>
      <c r="CO766" s="66"/>
      <c r="CP766" s="66"/>
      <c r="CQ766" s="66"/>
      <c r="CR766" s="66"/>
      <c r="CS766" s="66"/>
      <c r="CT766" s="66"/>
      <c r="CU766" s="66"/>
      <c r="CV766" s="66"/>
      <c r="CW766" s="66"/>
      <c r="CX766" s="66"/>
      <c r="CY766" s="66"/>
      <c r="CZ766" s="66"/>
      <c r="DA766" s="66"/>
      <c r="DB766" s="66"/>
      <c r="DC766" s="66"/>
      <c r="DD766" s="66"/>
      <c r="DE766" s="66"/>
      <c r="DF766" s="66"/>
      <c r="DG766" s="66"/>
      <c r="DH766" s="66"/>
      <c r="DI766" s="66"/>
      <c r="DJ766" s="66"/>
      <c r="DK766" s="66"/>
      <c r="DL766" s="66"/>
      <c r="DM766" s="66"/>
      <c r="DN766" s="66"/>
      <c r="DO766" s="66"/>
      <c r="DP766" s="66"/>
      <c r="DQ766" s="66"/>
      <c r="DR766" s="66"/>
      <c r="DS766" s="66"/>
      <c r="DT766" s="66"/>
      <c r="DU766" s="65"/>
      <c r="DV766" s="67"/>
      <c r="DW766" s="68"/>
    </row>
    <row r="767" spans="4:127" s="80" customFormat="1">
      <c r="D767" s="58"/>
      <c r="E767" s="58"/>
      <c r="F767" s="58"/>
      <c r="G767" s="58"/>
      <c r="H767" s="58"/>
      <c r="I767" s="58"/>
      <c r="J767" s="58"/>
      <c r="K767" s="58"/>
      <c r="L767" s="58"/>
      <c r="M767" s="58"/>
      <c r="N767" s="58"/>
      <c r="O767" s="58"/>
      <c r="P767" s="58"/>
      <c r="Q767" s="58"/>
      <c r="R767" s="58"/>
      <c r="S767" s="58"/>
      <c r="T767" s="58"/>
      <c r="U767" s="58"/>
      <c r="V767" s="61"/>
      <c r="W767" s="61"/>
      <c r="X767" s="62"/>
      <c r="Y767" s="61"/>
      <c r="Z767" s="61"/>
      <c r="AA767" s="61"/>
      <c r="AB767" s="61"/>
      <c r="AC767" s="61"/>
      <c r="AD767" s="61"/>
      <c r="AE767" s="61"/>
      <c r="AF767" s="61"/>
      <c r="AG767" s="61"/>
      <c r="AH767" s="61"/>
      <c r="AI767" s="61"/>
      <c r="AJ767" s="62"/>
      <c r="AK767" s="61"/>
      <c r="AL767" s="62"/>
      <c r="AM767" s="61"/>
      <c r="AN767" s="61"/>
      <c r="AO767" s="61"/>
      <c r="AP767" s="63"/>
      <c r="AQ767" s="64"/>
      <c r="AR767" s="61"/>
      <c r="AS767" s="62"/>
      <c r="AT767" s="62"/>
      <c r="AU767" s="62"/>
      <c r="AV767" s="62"/>
      <c r="AW767" s="62"/>
      <c r="AX767" s="62"/>
      <c r="AY767" s="61"/>
      <c r="AZ767" s="61"/>
      <c r="BA767" s="61"/>
      <c r="BB767" s="61"/>
      <c r="BC767" s="61"/>
      <c r="BD767" s="61"/>
      <c r="BE767" s="61"/>
      <c r="BF767" s="61"/>
      <c r="BG767" s="61"/>
      <c r="BH767" s="61"/>
      <c r="BI767" s="61"/>
      <c r="BJ767" s="61"/>
      <c r="BK767" s="61"/>
      <c r="BL767" s="61"/>
      <c r="BM767" s="61"/>
      <c r="BN767" s="61"/>
      <c r="BO767" s="61"/>
      <c r="BP767" s="61"/>
      <c r="BQ767" s="61"/>
      <c r="BR767" s="61"/>
      <c r="BS767" s="61"/>
      <c r="BT767" s="61"/>
      <c r="BU767" s="61"/>
      <c r="BV767" s="61"/>
      <c r="BW767" s="61"/>
      <c r="BX767" s="61"/>
      <c r="BY767" s="61"/>
      <c r="BZ767" s="61"/>
      <c r="CA767" s="61"/>
      <c r="CB767" s="61"/>
      <c r="CC767" s="61"/>
      <c r="CD767" s="65"/>
      <c r="CE767" s="65"/>
      <c r="CF767" s="65"/>
      <c r="CG767" s="65"/>
      <c r="CH767" s="65"/>
      <c r="CI767" s="66"/>
      <c r="CJ767" s="66"/>
      <c r="CK767" s="66"/>
      <c r="CL767" s="66"/>
      <c r="CM767" s="66"/>
      <c r="CN767" s="66"/>
      <c r="CO767" s="66"/>
      <c r="CP767" s="66"/>
      <c r="CQ767" s="66"/>
      <c r="CR767" s="66"/>
      <c r="CS767" s="66"/>
      <c r="CT767" s="66"/>
      <c r="CU767" s="66"/>
      <c r="CV767" s="66"/>
      <c r="CW767" s="66"/>
      <c r="CX767" s="66"/>
      <c r="CY767" s="66"/>
      <c r="CZ767" s="66"/>
      <c r="DA767" s="66"/>
      <c r="DB767" s="66"/>
      <c r="DC767" s="66"/>
      <c r="DD767" s="66"/>
      <c r="DE767" s="66"/>
      <c r="DF767" s="66"/>
      <c r="DG767" s="66"/>
      <c r="DH767" s="66"/>
      <c r="DI767" s="66"/>
      <c r="DJ767" s="66"/>
      <c r="DK767" s="66"/>
      <c r="DL767" s="66"/>
      <c r="DM767" s="66"/>
      <c r="DN767" s="66"/>
      <c r="DO767" s="66"/>
      <c r="DP767" s="66"/>
      <c r="DQ767" s="66"/>
      <c r="DR767" s="66"/>
      <c r="DS767" s="66"/>
      <c r="DT767" s="66"/>
      <c r="DU767" s="65"/>
      <c r="DV767" s="67"/>
      <c r="DW767" s="68"/>
    </row>
    <row r="768" spans="4:127" s="80" customFormat="1">
      <c r="D768" s="58"/>
      <c r="E768" s="58"/>
      <c r="F768" s="58"/>
      <c r="G768" s="58"/>
      <c r="H768" s="58"/>
      <c r="I768" s="58"/>
      <c r="J768" s="58"/>
      <c r="K768" s="58"/>
      <c r="L768" s="58"/>
      <c r="M768" s="58"/>
      <c r="N768" s="58"/>
      <c r="O768" s="58"/>
      <c r="P768" s="58"/>
      <c r="Q768" s="58"/>
      <c r="R768" s="58"/>
      <c r="S768" s="58"/>
      <c r="T768" s="58"/>
      <c r="U768" s="58"/>
      <c r="V768" s="61"/>
      <c r="W768" s="61"/>
      <c r="X768" s="62"/>
      <c r="Y768" s="61"/>
      <c r="Z768" s="61"/>
      <c r="AA768" s="61"/>
      <c r="AB768" s="61"/>
      <c r="AC768" s="61"/>
      <c r="AD768" s="61"/>
      <c r="AE768" s="61"/>
      <c r="AF768" s="61"/>
      <c r="AG768" s="61"/>
      <c r="AH768" s="61"/>
      <c r="AI768" s="61"/>
      <c r="AJ768" s="62"/>
      <c r="AK768" s="61"/>
      <c r="AL768" s="62"/>
      <c r="AM768" s="61"/>
      <c r="AN768" s="61"/>
      <c r="AO768" s="61"/>
      <c r="AP768" s="63"/>
      <c r="AQ768" s="64"/>
      <c r="AR768" s="61"/>
      <c r="AS768" s="62"/>
      <c r="AT768" s="62"/>
      <c r="AU768" s="62"/>
      <c r="AV768" s="62"/>
      <c r="AW768" s="62"/>
      <c r="AX768" s="62"/>
      <c r="AY768" s="61"/>
      <c r="AZ768" s="61"/>
      <c r="BA768" s="61"/>
      <c r="BB768" s="61"/>
      <c r="BC768" s="61"/>
      <c r="BD768" s="61"/>
      <c r="BE768" s="61"/>
      <c r="BF768" s="61"/>
      <c r="BG768" s="61"/>
      <c r="BH768" s="61"/>
      <c r="BI768" s="61"/>
      <c r="BJ768" s="61"/>
      <c r="BK768" s="61"/>
      <c r="BL768" s="61"/>
      <c r="BM768" s="61"/>
      <c r="BN768" s="61"/>
      <c r="BO768" s="61"/>
      <c r="BP768" s="61"/>
      <c r="BQ768" s="61"/>
      <c r="BR768" s="61"/>
      <c r="BS768" s="61"/>
      <c r="BT768" s="61"/>
      <c r="BU768" s="61"/>
      <c r="BV768" s="61"/>
      <c r="BW768" s="61"/>
      <c r="BX768" s="61"/>
      <c r="BY768" s="61"/>
      <c r="BZ768" s="61"/>
      <c r="CA768" s="61"/>
      <c r="CB768" s="61"/>
      <c r="CC768" s="61"/>
      <c r="CD768" s="65"/>
      <c r="CE768" s="65"/>
      <c r="CF768" s="65"/>
      <c r="CG768" s="65"/>
      <c r="CH768" s="65"/>
      <c r="CI768" s="66"/>
      <c r="CJ768" s="66"/>
      <c r="CK768" s="66"/>
      <c r="CL768" s="66"/>
      <c r="CM768" s="66"/>
      <c r="CN768" s="66"/>
      <c r="CO768" s="66"/>
      <c r="CP768" s="66"/>
      <c r="CQ768" s="66"/>
      <c r="CR768" s="66"/>
      <c r="CS768" s="66"/>
      <c r="CT768" s="66"/>
      <c r="CU768" s="66"/>
      <c r="CV768" s="66"/>
      <c r="CW768" s="66"/>
      <c r="CX768" s="66"/>
      <c r="CY768" s="66"/>
      <c r="CZ768" s="66"/>
      <c r="DA768" s="66"/>
      <c r="DB768" s="66"/>
      <c r="DC768" s="66"/>
      <c r="DD768" s="66"/>
      <c r="DE768" s="66"/>
      <c r="DF768" s="66"/>
      <c r="DG768" s="66"/>
      <c r="DH768" s="66"/>
      <c r="DI768" s="66"/>
      <c r="DJ768" s="66"/>
      <c r="DK768" s="66"/>
      <c r="DL768" s="66"/>
      <c r="DM768" s="66"/>
      <c r="DN768" s="66"/>
      <c r="DO768" s="66"/>
      <c r="DP768" s="66"/>
      <c r="DQ768" s="66"/>
      <c r="DR768" s="66"/>
      <c r="DS768" s="66"/>
      <c r="DT768" s="66"/>
      <c r="DU768" s="65"/>
      <c r="DV768" s="67"/>
      <c r="DW768" s="68"/>
    </row>
    <row r="769" spans="4:127" s="80" customFormat="1">
      <c r="D769" s="58"/>
      <c r="E769" s="58"/>
      <c r="F769" s="58"/>
      <c r="G769" s="58"/>
      <c r="H769" s="58"/>
      <c r="I769" s="58"/>
      <c r="J769" s="58"/>
      <c r="K769" s="58"/>
      <c r="L769" s="58"/>
      <c r="M769" s="58"/>
      <c r="N769" s="58"/>
      <c r="O769" s="58"/>
      <c r="P769" s="58"/>
      <c r="Q769" s="58"/>
      <c r="R769" s="58"/>
      <c r="S769" s="58"/>
      <c r="T769" s="58"/>
      <c r="U769" s="58"/>
      <c r="V769" s="61"/>
      <c r="W769" s="61"/>
      <c r="X769" s="62"/>
      <c r="Y769" s="61"/>
      <c r="Z769" s="61"/>
      <c r="AA769" s="61"/>
      <c r="AB769" s="61"/>
      <c r="AC769" s="61"/>
      <c r="AD769" s="61"/>
      <c r="AE769" s="61"/>
      <c r="AF769" s="61"/>
      <c r="AG769" s="61"/>
      <c r="AH769" s="61"/>
      <c r="AI769" s="61"/>
      <c r="AJ769" s="62"/>
      <c r="AK769" s="61"/>
      <c r="AL769" s="62"/>
      <c r="AM769" s="61"/>
      <c r="AN769" s="61"/>
      <c r="AO769" s="61"/>
      <c r="AP769" s="63"/>
      <c r="AQ769" s="64"/>
      <c r="AR769" s="61"/>
      <c r="AS769" s="62"/>
      <c r="AT769" s="62"/>
      <c r="AU769" s="62"/>
      <c r="AV769" s="62"/>
      <c r="AW769" s="62"/>
      <c r="AX769" s="62"/>
      <c r="AY769" s="61"/>
      <c r="AZ769" s="61"/>
      <c r="BA769" s="61"/>
      <c r="BB769" s="61"/>
      <c r="BC769" s="61"/>
      <c r="BD769" s="61"/>
      <c r="BE769" s="61"/>
      <c r="BF769" s="61"/>
      <c r="BG769" s="61"/>
      <c r="BH769" s="61"/>
      <c r="BI769" s="61"/>
      <c r="BJ769" s="61"/>
      <c r="BK769" s="61"/>
      <c r="BL769" s="61"/>
      <c r="BM769" s="61"/>
      <c r="BN769" s="61"/>
      <c r="BO769" s="61"/>
      <c r="BP769" s="61"/>
      <c r="BQ769" s="61"/>
      <c r="BR769" s="61"/>
      <c r="BS769" s="61"/>
      <c r="BT769" s="61"/>
      <c r="BU769" s="61"/>
      <c r="BV769" s="61"/>
      <c r="BW769" s="61"/>
      <c r="BX769" s="61"/>
      <c r="BY769" s="61"/>
      <c r="BZ769" s="61"/>
      <c r="CA769" s="61"/>
      <c r="CB769" s="61"/>
      <c r="CC769" s="61"/>
      <c r="CD769" s="65"/>
      <c r="CE769" s="65"/>
      <c r="CF769" s="65"/>
      <c r="CG769" s="65"/>
      <c r="CH769" s="65"/>
      <c r="CI769" s="66"/>
      <c r="CJ769" s="66"/>
      <c r="CK769" s="66"/>
      <c r="CL769" s="66"/>
      <c r="CM769" s="66"/>
      <c r="CN769" s="66"/>
      <c r="CO769" s="66"/>
      <c r="CP769" s="66"/>
      <c r="CQ769" s="66"/>
      <c r="CR769" s="66"/>
      <c r="CS769" s="66"/>
      <c r="CT769" s="66"/>
      <c r="CU769" s="66"/>
      <c r="CV769" s="66"/>
      <c r="CW769" s="66"/>
      <c r="CX769" s="66"/>
      <c r="CY769" s="66"/>
      <c r="CZ769" s="66"/>
      <c r="DA769" s="66"/>
      <c r="DB769" s="66"/>
      <c r="DC769" s="66"/>
      <c r="DD769" s="66"/>
      <c r="DE769" s="66"/>
      <c r="DF769" s="66"/>
      <c r="DG769" s="66"/>
      <c r="DH769" s="66"/>
      <c r="DI769" s="66"/>
      <c r="DJ769" s="66"/>
      <c r="DK769" s="66"/>
      <c r="DL769" s="66"/>
      <c r="DM769" s="66"/>
      <c r="DN769" s="66"/>
      <c r="DO769" s="66"/>
      <c r="DP769" s="66"/>
      <c r="DQ769" s="66"/>
      <c r="DR769" s="66"/>
      <c r="DS769" s="66"/>
      <c r="DT769" s="66"/>
      <c r="DU769" s="65"/>
      <c r="DV769" s="67"/>
      <c r="DW769" s="68"/>
    </row>
    <row r="770" spans="4:127" s="80" customFormat="1">
      <c r="D770" s="58"/>
      <c r="E770" s="58"/>
      <c r="F770" s="58"/>
      <c r="G770" s="58"/>
      <c r="H770" s="58"/>
      <c r="I770" s="58"/>
      <c r="J770" s="58"/>
      <c r="K770" s="58"/>
      <c r="L770" s="58"/>
      <c r="M770" s="58"/>
      <c r="N770" s="58"/>
      <c r="O770" s="58"/>
      <c r="P770" s="58"/>
      <c r="Q770" s="58"/>
      <c r="R770" s="58"/>
      <c r="S770" s="58"/>
      <c r="T770" s="58"/>
      <c r="U770" s="58"/>
      <c r="V770" s="61"/>
      <c r="W770" s="61"/>
      <c r="X770" s="62"/>
      <c r="Y770" s="61"/>
      <c r="Z770" s="61"/>
      <c r="AA770" s="61"/>
      <c r="AB770" s="61"/>
      <c r="AC770" s="61"/>
      <c r="AD770" s="61"/>
      <c r="AE770" s="61"/>
      <c r="AF770" s="61"/>
      <c r="AG770" s="61"/>
      <c r="AH770" s="61"/>
      <c r="AI770" s="61"/>
      <c r="AJ770" s="62"/>
      <c r="AK770" s="61"/>
      <c r="AL770" s="62"/>
      <c r="AM770" s="61"/>
      <c r="AN770" s="61"/>
      <c r="AO770" s="61"/>
      <c r="AP770" s="63"/>
      <c r="AQ770" s="64"/>
      <c r="AR770" s="61"/>
      <c r="AS770" s="62"/>
      <c r="AT770" s="62"/>
      <c r="AU770" s="62"/>
      <c r="AV770" s="62"/>
      <c r="AW770" s="62"/>
      <c r="AX770" s="62"/>
      <c r="AY770" s="61"/>
      <c r="AZ770" s="61"/>
      <c r="BA770" s="61"/>
      <c r="BB770" s="61"/>
      <c r="BC770" s="61"/>
      <c r="BD770" s="61"/>
      <c r="BE770" s="61"/>
      <c r="BF770" s="61"/>
      <c r="BG770" s="61"/>
      <c r="BH770" s="61"/>
      <c r="BI770" s="61"/>
      <c r="BJ770" s="61"/>
      <c r="BK770" s="61"/>
      <c r="BL770" s="61"/>
      <c r="BM770" s="61"/>
      <c r="BN770" s="61"/>
      <c r="BO770" s="61"/>
      <c r="BP770" s="61"/>
      <c r="BQ770" s="61"/>
      <c r="BR770" s="61"/>
      <c r="BS770" s="61"/>
      <c r="BT770" s="61"/>
      <c r="BU770" s="61"/>
      <c r="BV770" s="61"/>
      <c r="BW770" s="61"/>
      <c r="BX770" s="61"/>
      <c r="BY770" s="61"/>
      <c r="BZ770" s="61"/>
      <c r="CA770" s="61"/>
      <c r="CB770" s="61"/>
      <c r="CC770" s="61"/>
      <c r="CD770" s="65"/>
      <c r="CE770" s="65"/>
      <c r="CF770" s="65"/>
      <c r="CG770" s="65"/>
      <c r="CH770" s="65"/>
      <c r="CI770" s="66"/>
      <c r="CJ770" s="66"/>
      <c r="CK770" s="66"/>
      <c r="CL770" s="66"/>
      <c r="CM770" s="66"/>
      <c r="CN770" s="66"/>
      <c r="CO770" s="66"/>
      <c r="CP770" s="66"/>
      <c r="CQ770" s="66"/>
      <c r="CR770" s="66"/>
      <c r="CS770" s="66"/>
      <c r="CT770" s="66"/>
      <c r="CU770" s="66"/>
      <c r="CV770" s="66"/>
      <c r="CW770" s="66"/>
      <c r="CX770" s="66"/>
      <c r="CY770" s="66"/>
      <c r="CZ770" s="66"/>
      <c r="DA770" s="66"/>
      <c r="DB770" s="66"/>
      <c r="DC770" s="66"/>
      <c r="DD770" s="66"/>
      <c r="DE770" s="66"/>
      <c r="DF770" s="66"/>
      <c r="DG770" s="66"/>
      <c r="DH770" s="66"/>
      <c r="DI770" s="66"/>
      <c r="DJ770" s="66"/>
      <c r="DK770" s="66"/>
      <c r="DL770" s="66"/>
      <c r="DM770" s="66"/>
      <c r="DN770" s="66"/>
      <c r="DO770" s="66"/>
      <c r="DP770" s="66"/>
      <c r="DQ770" s="66"/>
      <c r="DR770" s="66"/>
      <c r="DS770" s="66"/>
      <c r="DT770" s="66"/>
      <c r="DU770" s="65"/>
      <c r="DV770" s="67"/>
      <c r="DW770" s="68"/>
    </row>
    <row r="771" spans="4:127" s="80" customFormat="1">
      <c r="D771" s="58"/>
      <c r="E771" s="58"/>
      <c r="F771" s="58"/>
      <c r="G771" s="58"/>
      <c r="H771" s="58"/>
      <c r="I771" s="58"/>
      <c r="J771" s="58"/>
      <c r="K771" s="58"/>
      <c r="L771" s="58"/>
      <c r="M771" s="58"/>
      <c r="N771" s="58"/>
      <c r="O771" s="58"/>
      <c r="P771" s="58"/>
      <c r="Q771" s="58"/>
      <c r="R771" s="58"/>
      <c r="S771" s="58"/>
      <c r="T771" s="58"/>
      <c r="U771" s="58"/>
      <c r="V771" s="61"/>
      <c r="W771" s="61"/>
      <c r="X771" s="62"/>
      <c r="Y771" s="61"/>
      <c r="Z771" s="61"/>
      <c r="AA771" s="61"/>
      <c r="AB771" s="61"/>
      <c r="AC771" s="61"/>
      <c r="AD771" s="61"/>
      <c r="AE771" s="61"/>
      <c r="AF771" s="61"/>
      <c r="AG771" s="61"/>
      <c r="AH771" s="61"/>
      <c r="AI771" s="61"/>
      <c r="AJ771" s="62"/>
      <c r="AK771" s="61"/>
      <c r="AL771" s="62"/>
      <c r="AM771" s="61"/>
      <c r="AN771" s="61"/>
      <c r="AO771" s="61"/>
      <c r="AP771" s="63"/>
      <c r="AQ771" s="64"/>
      <c r="AR771" s="61"/>
      <c r="AS771" s="62"/>
      <c r="AT771" s="62"/>
      <c r="AU771" s="62"/>
      <c r="AV771" s="62"/>
      <c r="AW771" s="62"/>
      <c r="AX771" s="62"/>
      <c r="AY771" s="61"/>
      <c r="AZ771" s="61"/>
      <c r="BA771" s="61"/>
      <c r="BB771" s="61"/>
      <c r="BC771" s="61"/>
      <c r="BD771" s="61"/>
      <c r="BE771" s="61"/>
      <c r="BF771" s="61"/>
      <c r="BG771" s="61"/>
      <c r="BH771" s="61"/>
      <c r="BI771" s="61"/>
      <c r="BJ771" s="61"/>
      <c r="BK771" s="61"/>
      <c r="BL771" s="61"/>
      <c r="BM771" s="61"/>
      <c r="BN771" s="61"/>
      <c r="BO771" s="61"/>
      <c r="BP771" s="61"/>
      <c r="BQ771" s="61"/>
      <c r="BR771" s="61"/>
      <c r="BS771" s="61"/>
      <c r="BT771" s="61"/>
      <c r="BU771" s="61"/>
      <c r="BV771" s="61"/>
      <c r="BW771" s="61"/>
      <c r="BX771" s="61"/>
      <c r="BY771" s="61"/>
      <c r="BZ771" s="61"/>
      <c r="CA771" s="61"/>
      <c r="CB771" s="61"/>
      <c r="CC771" s="61"/>
      <c r="CD771" s="65"/>
      <c r="CE771" s="65"/>
      <c r="CF771" s="65"/>
      <c r="CG771" s="65"/>
      <c r="CH771" s="65"/>
      <c r="CI771" s="66"/>
      <c r="CJ771" s="66"/>
      <c r="CK771" s="66"/>
      <c r="CL771" s="66"/>
      <c r="CM771" s="66"/>
      <c r="CN771" s="66"/>
      <c r="CO771" s="66"/>
      <c r="CP771" s="66"/>
      <c r="CQ771" s="66"/>
      <c r="CR771" s="66"/>
      <c r="CS771" s="66"/>
      <c r="CT771" s="66"/>
      <c r="CU771" s="66"/>
      <c r="CV771" s="66"/>
      <c r="CW771" s="66"/>
      <c r="CX771" s="66"/>
      <c r="CY771" s="66"/>
      <c r="CZ771" s="66"/>
      <c r="DA771" s="66"/>
      <c r="DB771" s="66"/>
      <c r="DC771" s="66"/>
      <c r="DD771" s="66"/>
      <c r="DE771" s="66"/>
      <c r="DF771" s="66"/>
      <c r="DG771" s="66"/>
      <c r="DH771" s="66"/>
      <c r="DI771" s="66"/>
      <c r="DJ771" s="66"/>
      <c r="DK771" s="66"/>
      <c r="DL771" s="66"/>
      <c r="DM771" s="66"/>
      <c r="DN771" s="66"/>
      <c r="DO771" s="66"/>
      <c r="DP771" s="66"/>
      <c r="DQ771" s="66"/>
      <c r="DR771" s="66"/>
      <c r="DS771" s="66"/>
      <c r="DT771" s="66"/>
      <c r="DU771" s="65"/>
      <c r="DV771" s="67"/>
      <c r="DW771" s="68"/>
    </row>
    <row r="772" spans="4:127" s="80" customFormat="1">
      <c r="D772" s="58"/>
      <c r="E772" s="58"/>
      <c r="F772" s="58"/>
      <c r="G772" s="58"/>
      <c r="H772" s="58"/>
      <c r="I772" s="58"/>
      <c r="J772" s="58"/>
      <c r="K772" s="58"/>
      <c r="L772" s="58"/>
      <c r="M772" s="58"/>
      <c r="N772" s="58"/>
      <c r="O772" s="58"/>
      <c r="P772" s="58"/>
      <c r="Q772" s="58"/>
      <c r="R772" s="58"/>
      <c r="S772" s="58"/>
      <c r="T772" s="58"/>
      <c r="U772" s="58"/>
      <c r="V772" s="61"/>
      <c r="W772" s="61"/>
      <c r="X772" s="62"/>
      <c r="Y772" s="61"/>
      <c r="Z772" s="61"/>
      <c r="AA772" s="61"/>
      <c r="AB772" s="61"/>
      <c r="AC772" s="61"/>
      <c r="AD772" s="61"/>
      <c r="AE772" s="61"/>
      <c r="AF772" s="61"/>
      <c r="AG772" s="61"/>
      <c r="AH772" s="61"/>
      <c r="AI772" s="61"/>
      <c r="AJ772" s="62"/>
      <c r="AK772" s="61"/>
      <c r="AL772" s="62"/>
      <c r="AM772" s="61"/>
      <c r="AN772" s="61"/>
      <c r="AO772" s="61"/>
      <c r="AP772" s="63"/>
      <c r="AQ772" s="64"/>
      <c r="AR772" s="61"/>
      <c r="AS772" s="62"/>
      <c r="AT772" s="62"/>
      <c r="AU772" s="62"/>
      <c r="AV772" s="62"/>
      <c r="AW772" s="62"/>
      <c r="AX772" s="62"/>
      <c r="AY772" s="61"/>
      <c r="AZ772" s="61"/>
      <c r="BA772" s="61"/>
      <c r="BB772" s="61"/>
      <c r="BC772" s="61"/>
      <c r="BD772" s="61"/>
      <c r="BE772" s="61"/>
      <c r="BF772" s="61"/>
      <c r="BG772" s="61"/>
      <c r="BH772" s="61"/>
      <c r="BI772" s="61"/>
      <c r="BJ772" s="61"/>
      <c r="BK772" s="61"/>
      <c r="BL772" s="61"/>
      <c r="BM772" s="61"/>
      <c r="BN772" s="61"/>
      <c r="BO772" s="61"/>
      <c r="BP772" s="61"/>
      <c r="BQ772" s="61"/>
      <c r="BR772" s="61"/>
      <c r="BS772" s="61"/>
      <c r="BT772" s="61"/>
      <c r="BU772" s="61"/>
      <c r="BV772" s="61"/>
      <c r="BW772" s="61"/>
      <c r="BX772" s="61"/>
      <c r="BY772" s="61"/>
      <c r="BZ772" s="61"/>
      <c r="CA772" s="61"/>
      <c r="CB772" s="61"/>
      <c r="CC772" s="61"/>
      <c r="CD772" s="65"/>
      <c r="CE772" s="65"/>
      <c r="CF772" s="65"/>
      <c r="CG772" s="65"/>
      <c r="CH772" s="65"/>
      <c r="CI772" s="66"/>
      <c r="CJ772" s="66"/>
      <c r="CK772" s="66"/>
      <c r="CL772" s="66"/>
      <c r="CM772" s="66"/>
      <c r="CN772" s="66"/>
      <c r="CO772" s="66"/>
      <c r="CP772" s="66"/>
      <c r="CQ772" s="66"/>
      <c r="CR772" s="66"/>
      <c r="CS772" s="66"/>
      <c r="CT772" s="66"/>
      <c r="CU772" s="66"/>
      <c r="CV772" s="66"/>
      <c r="CW772" s="66"/>
      <c r="CX772" s="66"/>
      <c r="CY772" s="66"/>
      <c r="CZ772" s="66"/>
      <c r="DA772" s="66"/>
      <c r="DB772" s="66"/>
      <c r="DC772" s="66"/>
      <c r="DD772" s="66"/>
      <c r="DE772" s="66"/>
      <c r="DF772" s="66"/>
      <c r="DG772" s="66"/>
      <c r="DH772" s="66"/>
      <c r="DI772" s="66"/>
      <c r="DJ772" s="66"/>
      <c r="DK772" s="66"/>
      <c r="DL772" s="66"/>
      <c r="DM772" s="66"/>
      <c r="DN772" s="66"/>
      <c r="DO772" s="66"/>
      <c r="DP772" s="66"/>
      <c r="DQ772" s="66"/>
      <c r="DR772" s="66"/>
      <c r="DS772" s="66"/>
      <c r="DT772" s="66"/>
      <c r="DU772" s="65"/>
      <c r="DV772" s="67"/>
      <c r="DW772" s="68"/>
    </row>
    <row r="773" spans="4:127" s="80" customFormat="1">
      <c r="D773" s="58"/>
      <c r="E773" s="58"/>
      <c r="F773" s="58"/>
      <c r="G773" s="58"/>
      <c r="H773" s="58"/>
      <c r="I773" s="58"/>
      <c r="J773" s="58"/>
      <c r="K773" s="58"/>
      <c r="L773" s="58"/>
      <c r="M773" s="58"/>
      <c r="N773" s="58"/>
      <c r="O773" s="58"/>
      <c r="P773" s="58"/>
      <c r="Q773" s="58"/>
      <c r="R773" s="58"/>
      <c r="S773" s="58"/>
      <c r="T773" s="58"/>
      <c r="U773" s="58"/>
      <c r="V773" s="61"/>
      <c r="W773" s="61"/>
      <c r="X773" s="62"/>
      <c r="Y773" s="61"/>
      <c r="Z773" s="61"/>
      <c r="AA773" s="61"/>
      <c r="AB773" s="61"/>
      <c r="AC773" s="61"/>
      <c r="AD773" s="61"/>
      <c r="AE773" s="61"/>
      <c r="AF773" s="61"/>
      <c r="AG773" s="61"/>
      <c r="AH773" s="61"/>
      <c r="AI773" s="61"/>
      <c r="AJ773" s="62"/>
      <c r="AK773" s="61"/>
      <c r="AL773" s="62"/>
      <c r="AM773" s="61"/>
      <c r="AN773" s="61"/>
      <c r="AO773" s="61"/>
      <c r="AP773" s="63"/>
      <c r="AQ773" s="64"/>
      <c r="AR773" s="61"/>
      <c r="AS773" s="62"/>
      <c r="AT773" s="62"/>
      <c r="AU773" s="62"/>
      <c r="AV773" s="62"/>
      <c r="AW773" s="62"/>
      <c r="AX773" s="62"/>
      <c r="AY773" s="61"/>
      <c r="AZ773" s="61"/>
      <c r="BA773" s="61"/>
      <c r="BB773" s="61"/>
      <c r="BC773" s="61"/>
      <c r="BD773" s="61"/>
      <c r="BE773" s="61"/>
      <c r="BF773" s="61"/>
      <c r="BG773" s="61"/>
      <c r="BH773" s="61"/>
      <c r="BI773" s="61"/>
      <c r="BJ773" s="61"/>
      <c r="BK773" s="61"/>
      <c r="BL773" s="61"/>
      <c r="BM773" s="61"/>
      <c r="BN773" s="61"/>
      <c r="BO773" s="61"/>
      <c r="BP773" s="61"/>
      <c r="BQ773" s="61"/>
      <c r="BR773" s="61"/>
      <c r="BS773" s="61"/>
      <c r="BT773" s="61"/>
      <c r="BU773" s="61"/>
      <c r="BV773" s="61"/>
      <c r="BW773" s="61"/>
      <c r="BX773" s="61"/>
      <c r="BY773" s="61"/>
      <c r="BZ773" s="61"/>
      <c r="CA773" s="61"/>
      <c r="CB773" s="61"/>
      <c r="CC773" s="61"/>
      <c r="CD773" s="65"/>
      <c r="CE773" s="65"/>
      <c r="CF773" s="65"/>
      <c r="CG773" s="65"/>
      <c r="CH773" s="65"/>
      <c r="CI773" s="66"/>
      <c r="CJ773" s="66"/>
      <c r="CK773" s="66"/>
      <c r="CL773" s="66"/>
      <c r="CM773" s="66"/>
      <c r="CN773" s="66"/>
      <c r="CO773" s="66"/>
      <c r="CP773" s="66"/>
      <c r="CQ773" s="66"/>
      <c r="CR773" s="66"/>
      <c r="CS773" s="66"/>
      <c r="CT773" s="66"/>
      <c r="CU773" s="66"/>
      <c r="CV773" s="66"/>
      <c r="CW773" s="66"/>
      <c r="CX773" s="66"/>
      <c r="CY773" s="66"/>
      <c r="CZ773" s="66"/>
      <c r="DA773" s="66"/>
      <c r="DB773" s="66"/>
      <c r="DC773" s="66"/>
      <c r="DD773" s="66"/>
      <c r="DE773" s="66"/>
      <c r="DF773" s="66"/>
      <c r="DG773" s="66"/>
      <c r="DH773" s="66"/>
      <c r="DI773" s="66"/>
      <c r="DJ773" s="66"/>
      <c r="DK773" s="66"/>
      <c r="DL773" s="66"/>
      <c r="DM773" s="66"/>
      <c r="DN773" s="66"/>
      <c r="DO773" s="66"/>
      <c r="DP773" s="66"/>
      <c r="DQ773" s="66"/>
      <c r="DR773" s="66"/>
      <c r="DS773" s="66"/>
      <c r="DT773" s="66"/>
      <c r="DU773" s="65"/>
      <c r="DV773" s="67"/>
      <c r="DW773" s="68"/>
    </row>
    <row r="774" spans="4:127" s="80" customFormat="1">
      <c r="D774" s="58"/>
      <c r="E774" s="58"/>
      <c r="F774" s="58"/>
      <c r="G774" s="58"/>
      <c r="H774" s="58"/>
      <c r="I774" s="58"/>
      <c r="J774" s="58"/>
      <c r="K774" s="58"/>
      <c r="L774" s="58"/>
      <c r="M774" s="58"/>
      <c r="N774" s="58"/>
      <c r="O774" s="58"/>
      <c r="P774" s="58"/>
      <c r="Q774" s="58"/>
      <c r="R774" s="58"/>
      <c r="S774" s="58"/>
      <c r="T774" s="58"/>
      <c r="U774" s="58"/>
      <c r="V774" s="61"/>
      <c r="W774" s="61"/>
      <c r="X774" s="62"/>
      <c r="Y774" s="61"/>
      <c r="Z774" s="61"/>
      <c r="AA774" s="61"/>
      <c r="AB774" s="61"/>
      <c r="AC774" s="61"/>
      <c r="AD774" s="61"/>
      <c r="AE774" s="61"/>
      <c r="AF774" s="61"/>
      <c r="AG774" s="61"/>
      <c r="AH774" s="61"/>
      <c r="AI774" s="61"/>
      <c r="AJ774" s="62"/>
      <c r="AK774" s="61"/>
      <c r="AL774" s="62"/>
      <c r="AM774" s="61"/>
      <c r="AN774" s="61"/>
      <c r="AO774" s="61"/>
      <c r="AP774" s="63"/>
      <c r="AQ774" s="64"/>
      <c r="AR774" s="61"/>
      <c r="AS774" s="62"/>
      <c r="AT774" s="62"/>
      <c r="AU774" s="62"/>
      <c r="AV774" s="62"/>
      <c r="AW774" s="62"/>
      <c r="AX774" s="62"/>
      <c r="AY774" s="61"/>
      <c r="AZ774" s="61"/>
      <c r="BA774" s="61"/>
      <c r="BB774" s="61"/>
      <c r="BC774" s="61"/>
      <c r="BD774" s="61"/>
      <c r="BE774" s="61"/>
      <c r="BF774" s="61"/>
      <c r="BG774" s="61"/>
      <c r="BH774" s="61"/>
      <c r="BI774" s="61"/>
      <c r="BJ774" s="61"/>
      <c r="BK774" s="61"/>
      <c r="BL774" s="61"/>
      <c r="BM774" s="61"/>
      <c r="BN774" s="61"/>
      <c r="BO774" s="61"/>
      <c r="BP774" s="61"/>
      <c r="BQ774" s="61"/>
      <c r="BR774" s="61"/>
      <c r="BS774" s="61"/>
      <c r="BT774" s="61"/>
      <c r="BU774" s="61"/>
      <c r="BV774" s="61"/>
      <c r="BW774" s="61"/>
      <c r="BX774" s="61"/>
      <c r="BY774" s="61"/>
      <c r="BZ774" s="61"/>
      <c r="CA774" s="61"/>
      <c r="CB774" s="61"/>
      <c r="CC774" s="61"/>
      <c r="CD774" s="65"/>
      <c r="CE774" s="65"/>
      <c r="CF774" s="65"/>
      <c r="CG774" s="65"/>
      <c r="CH774" s="65"/>
      <c r="CI774" s="66"/>
      <c r="CJ774" s="66"/>
      <c r="CK774" s="66"/>
      <c r="CL774" s="66"/>
      <c r="CM774" s="66"/>
      <c r="CN774" s="66"/>
      <c r="CO774" s="66"/>
      <c r="CP774" s="66"/>
      <c r="CQ774" s="66"/>
      <c r="CR774" s="66"/>
      <c r="CS774" s="66"/>
      <c r="CT774" s="66"/>
      <c r="CU774" s="66"/>
      <c r="CV774" s="66"/>
      <c r="CW774" s="66"/>
      <c r="CX774" s="66"/>
      <c r="CY774" s="66"/>
      <c r="CZ774" s="66"/>
      <c r="DA774" s="66"/>
      <c r="DB774" s="66"/>
      <c r="DC774" s="66"/>
      <c r="DD774" s="66"/>
      <c r="DE774" s="66"/>
      <c r="DF774" s="66"/>
      <c r="DG774" s="66"/>
      <c r="DH774" s="66"/>
      <c r="DI774" s="66"/>
      <c r="DJ774" s="66"/>
      <c r="DK774" s="66"/>
      <c r="DL774" s="66"/>
      <c r="DM774" s="66"/>
      <c r="DN774" s="66"/>
      <c r="DO774" s="66"/>
      <c r="DP774" s="66"/>
      <c r="DQ774" s="66"/>
      <c r="DR774" s="66"/>
      <c r="DS774" s="66"/>
      <c r="DT774" s="66"/>
      <c r="DU774" s="65"/>
      <c r="DV774" s="67"/>
      <c r="DW774" s="68"/>
    </row>
    <row r="775" spans="4:127" s="80" customFormat="1">
      <c r="D775" s="58"/>
      <c r="E775" s="58"/>
      <c r="F775" s="58"/>
      <c r="G775" s="58"/>
      <c r="H775" s="58"/>
      <c r="I775" s="58"/>
      <c r="J775" s="58"/>
      <c r="K775" s="58"/>
      <c r="L775" s="58"/>
      <c r="M775" s="58"/>
      <c r="N775" s="58"/>
      <c r="O775" s="58"/>
      <c r="P775" s="58"/>
      <c r="Q775" s="58"/>
      <c r="R775" s="58"/>
      <c r="S775" s="58"/>
      <c r="T775" s="58"/>
      <c r="U775" s="58"/>
      <c r="V775" s="61"/>
      <c r="W775" s="61"/>
      <c r="X775" s="62"/>
      <c r="Y775" s="61"/>
      <c r="Z775" s="61"/>
      <c r="AA775" s="61"/>
      <c r="AB775" s="61"/>
      <c r="AC775" s="61"/>
      <c r="AD775" s="61"/>
      <c r="AE775" s="61"/>
      <c r="AF775" s="61"/>
      <c r="AG775" s="61"/>
      <c r="AH775" s="61"/>
      <c r="AI775" s="61"/>
      <c r="AJ775" s="62"/>
      <c r="AK775" s="61"/>
      <c r="AL775" s="62"/>
      <c r="AM775" s="61"/>
      <c r="AN775" s="61"/>
      <c r="AO775" s="61"/>
      <c r="AP775" s="63"/>
      <c r="AQ775" s="64"/>
      <c r="AR775" s="61"/>
      <c r="AS775" s="62"/>
      <c r="AT775" s="62"/>
      <c r="AU775" s="62"/>
      <c r="AV775" s="62"/>
      <c r="AW775" s="62"/>
      <c r="AX775" s="62"/>
      <c r="AY775" s="61"/>
      <c r="AZ775" s="61"/>
      <c r="BA775" s="61"/>
      <c r="BB775" s="61"/>
      <c r="BC775" s="61"/>
      <c r="BD775" s="61"/>
      <c r="BE775" s="61"/>
      <c r="BF775" s="61"/>
      <c r="BG775" s="61"/>
      <c r="BH775" s="61"/>
      <c r="BI775" s="61"/>
      <c r="BJ775" s="61"/>
      <c r="BK775" s="61"/>
      <c r="BL775" s="61"/>
      <c r="BM775" s="61"/>
      <c r="BN775" s="61"/>
      <c r="BO775" s="61"/>
      <c r="BP775" s="61"/>
      <c r="BQ775" s="61"/>
      <c r="BR775" s="61"/>
      <c r="BS775" s="61"/>
      <c r="BT775" s="61"/>
      <c r="BU775" s="61"/>
      <c r="BV775" s="61"/>
      <c r="BW775" s="61"/>
      <c r="BX775" s="61"/>
      <c r="BY775" s="61"/>
      <c r="BZ775" s="61"/>
      <c r="CA775" s="61"/>
      <c r="CB775" s="61"/>
      <c r="CC775" s="61"/>
      <c r="CD775" s="65"/>
      <c r="CE775" s="65"/>
      <c r="CF775" s="65"/>
      <c r="CG775" s="65"/>
      <c r="CH775" s="65"/>
      <c r="CI775" s="66"/>
      <c r="CJ775" s="66"/>
      <c r="CK775" s="66"/>
      <c r="CL775" s="66"/>
      <c r="CM775" s="66"/>
      <c r="CN775" s="66"/>
      <c r="CO775" s="66"/>
      <c r="CP775" s="66"/>
      <c r="CQ775" s="66"/>
      <c r="CR775" s="66"/>
      <c r="CS775" s="66"/>
      <c r="CT775" s="66"/>
      <c r="CU775" s="66"/>
      <c r="CV775" s="66"/>
      <c r="CW775" s="66"/>
      <c r="CX775" s="66"/>
      <c r="CY775" s="66"/>
      <c r="CZ775" s="66"/>
      <c r="DA775" s="66"/>
      <c r="DB775" s="66"/>
      <c r="DC775" s="66"/>
      <c r="DD775" s="66"/>
      <c r="DE775" s="66"/>
      <c r="DF775" s="66"/>
      <c r="DG775" s="66"/>
      <c r="DH775" s="66"/>
      <c r="DI775" s="66"/>
      <c r="DJ775" s="66"/>
      <c r="DK775" s="66"/>
      <c r="DL775" s="66"/>
      <c r="DM775" s="66"/>
      <c r="DN775" s="66"/>
      <c r="DO775" s="66"/>
      <c r="DP775" s="66"/>
      <c r="DQ775" s="66"/>
      <c r="DR775" s="66"/>
      <c r="DS775" s="66"/>
      <c r="DT775" s="66"/>
      <c r="DU775" s="65"/>
      <c r="DV775" s="67"/>
      <c r="DW775" s="68"/>
    </row>
    <row r="776" spans="4:127" s="80" customFormat="1">
      <c r="D776" s="58"/>
      <c r="E776" s="58"/>
      <c r="F776" s="58"/>
      <c r="G776" s="58"/>
      <c r="H776" s="58"/>
      <c r="I776" s="58"/>
      <c r="J776" s="58"/>
      <c r="K776" s="58"/>
      <c r="L776" s="58"/>
      <c r="M776" s="58"/>
      <c r="N776" s="58"/>
      <c r="O776" s="58"/>
      <c r="P776" s="58"/>
      <c r="Q776" s="58"/>
      <c r="R776" s="58"/>
      <c r="S776" s="58"/>
      <c r="T776" s="58"/>
      <c r="U776" s="58"/>
      <c r="V776" s="61"/>
      <c r="W776" s="61"/>
      <c r="X776" s="62"/>
      <c r="Y776" s="61"/>
      <c r="Z776" s="61"/>
      <c r="AA776" s="61"/>
      <c r="AB776" s="61"/>
      <c r="AC776" s="61"/>
      <c r="AD776" s="61"/>
      <c r="AE776" s="61"/>
      <c r="AF776" s="61"/>
      <c r="AG776" s="61"/>
      <c r="AH776" s="61"/>
      <c r="AI776" s="61"/>
      <c r="AJ776" s="62"/>
      <c r="AK776" s="61"/>
      <c r="AL776" s="62"/>
      <c r="AM776" s="61"/>
      <c r="AN776" s="61"/>
      <c r="AO776" s="61"/>
      <c r="AP776" s="63"/>
      <c r="AQ776" s="64"/>
      <c r="AR776" s="61"/>
      <c r="AS776" s="62"/>
      <c r="AT776" s="62"/>
      <c r="AU776" s="62"/>
      <c r="AV776" s="62"/>
      <c r="AW776" s="62"/>
      <c r="AX776" s="62"/>
      <c r="AY776" s="61"/>
      <c r="AZ776" s="61"/>
      <c r="BA776" s="61"/>
      <c r="BB776" s="61"/>
      <c r="BC776" s="61"/>
      <c r="BD776" s="61"/>
      <c r="BE776" s="61"/>
      <c r="BF776" s="61"/>
      <c r="BG776" s="61"/>
      <c r="BH776" s="61"/>
      <c r="BI776" s="61"/>
      <c r="BJ776" s="61"/>
      <c r="BK776" s="61"/>
      <c r="BL776" s="61"/>
      <c r="BM776" s="61"/>
      <c r="BN776" s="61"/>
      <c r="BO776" s="61"/>
      <c r="BP776" s="61"/>
      <c r="BQ776" s="61"/>
      <c r="BR776" s="61"/>
      <c r="BS776" s="61"/>
      <c r="BT776" s="61"/>
      <c r="BU776" s="61"/>
      <c r="BV776" s="61"/>
      <c r="BW776" s="61"/>
      <c r="BX776" s="61"/>
      <c r="BY776" s="61"/>
      <c r="BZ776" s="61"/>
      <c r="CA776" s="61"/>
      <c r="CB776" s="61"/>
      <c r="CC776" s="61"/>
      <c r="CD776" s="65"/>
      <c r="CE776" s="65"/>
      <c r="CF776" s="65"/>
      <c r="CG776" s="65"/>
      <c r="CH776" s="65"/>
      <c r="CI776" s="66"/>
      <c r="CJ776" s="66"/>
      <c r="CK776" s="66"/>
      <c r="CL776" s="66"/>
      <c r="CM776" s="66"/>
      <c r="CN776" s="66"/>
      <c r="CO776" s="66"/>
      <c r="CP776" s="66"/>
      <c r="CQ776" s="66"/>
      <c r="CR776" s="66"/>
      <c r="CS776" s="66"/>
      <c r="CT776" s="66"/>
      <c r="CU776" s="66"/>
      <c r="CV776" s="66"/>
      <c r="CW776" s="66"/>
      <c r="CX776" s="66"/>
      <c r="CY776" s="66"/>
      <c r="CZ776" s="66"/>
      <c r="DA776" s="66"/>
      <c r="DB776" s="66"/>
      <c r="DC776" s="66"/>
      <c r="DD776" s="66"/>
      <c r="DE776" s="66"/>
      <c r="DF776" s="66"/>
      <c r="DG776" s="66"/>
      <c r="DH776" s="66"/>
      <c r="DI776" s="66"/>
      <c r="DJ776" s="66"/>
      <c r="DK776" s="66"/>
      <c r="DL776" s="66"/>
      <c r="DM776" s="66"/>
      <c r="DN776" s="66"/>
      <c r="DO776" s="66"/>
      <c r="DP776" s="66"/>
      <c r="DQ776" s="66"/>
      <c r="DR776" s="66"/>
      <c r="DS776" s="66"/>
      <c r="DT776" s="66"/>
      <c r="DU776" s="65"/>
      <c r="DV776" s="67"/>
      <c r="DW776" s="68"/>
    </row>
    <row r="777" spans="4:127" s="80" customFormat="1">
      <c r="D777" s="58"/>
      <c r="E777" s="58"/>
      <c r="F777" s="58"/>
      <c r="G777" s="58"/>
      <c r="H777" s="58"/>
      <c r="I777" s="58"/>
      <c r="J777" s="58"/>
      <c r="K777" s="58"/>
      <c r="L777" s="58"/>
      <c r="M777" s="58"/>
      <c r="N777" s="58"/>
      <c r="O777" s="58"/>
      <c r="P777" s="58"/>
      <c r="Q777" s="58"/>
      <c r="R777" s="58"/>
      <c r="S777" s="58"/>
      <c r="T777" s="58"/>
      <c r="U777" s="58"/>
      <c r="V777" s="61"/>
      <c r="W777" s="61"/>
      <c r="X777" s="62"/>
      <c r="Y777" s="61"/>
      <c r="Z777" s="61"/>
      <c r="AA777" s="61"/>
      <c r="AB777" s="61"/>
      <c r="AC777" s="61"/>
      <c r="AD777" s="61"/>
      <c r="AE777" s="61"/>
      <c r="AF777" s="61"/>
      <c r="AG777" s="61"/>
      <c r="AH777" s="61"/>
      <c r="AI777" s="61"/>
      <c r="AJ777" s="62"/>
      <c r="AK777" s="61"/>
      <c r="AL777" s="62"/>
      <c r="AM777" s="61"/>
      <c r="AN777" s="61"/>
      <c r="AO777" s="61"/>
      <c r="AP777" s="63"/>
      <c r="AQ777" s="64"/>
      <c r="AR777" s="61"/>
      <c r="AS777" s="62"/>
      <c r="AT777" s="62"/>
      <c r="AU777" s="62"/>
      <c r="AV777" s="62"/>
      <c r="AW777" s="62"/>
      <c r="AX777" s="62"/>
      <c r="AY777" s="61"/>
      <c r="AZ777" s="61"/>
      <c r="BA777" s="61"/>
      <c r="BB777" s="61"/>
      <c r="BC777" s="61"/>
      <c r="BD777" s="61"/>
      <c r="BE777" s="61"/>
      <c r="BF777" s="61"/>
      <c r="BG777" s="61"/>
      <c r="BH777" s="61"/>
      <c r="BI777" s="61"/>
      <c r="BJ777" s="61"/>
      <c r="BK777" s="61"/>
      <c r="BL777" s="61"/>
      <c r="BM777" s="61"/>
      <c r="BN777" s="61"/>
      <c r="BO777" s="61"/>
      <c r="BP777" s="61"/>
      <c r="BQ777" s="61"/>
      <c r="BR777" s="61"/>
      <c r="BS777" s="61"/>
      <c r="BT777" s="61"/>
      <c r="BU777" s="61"/>
      <c r="BV777" s="61"/>
      <c r="BW777" s="61"/>
      <c r="BX777" s="61"/>
      <c r="BY777" s="61"/>
      <c r="BZ777" s="61"/>
      <c r="CA777" s="61"/>
      <c r="CB777" s="61"/>
      <c r="CC777" s="61"/>
      <c r="CD777" s="65"/>
      <c r="CE777" s="65"/>
      <c r="CF777" s="65"/>
      <c r="CG777" s="65"/>
      <c r="CH777" s="65"/>
      <c r="CI777" s="66"/>
      <c r="CJ777" s="66"/>
      <c r="CK777" s="66"/>
      <c r="CL777" s="66"/>
      <c r="CM777" s="66"/>
      <c r="CN777" s="66"/>
      <c r="CO777" s="66"/>
      <c r="CP777" s="66"/>
      <c r="CQ777" s="66"/>
      <c r="CR777" s="66"/>
      <c r="CS777" s="66"/>
      <c r="CT777" s="66"/>
      <c r="CU777" s="66"/>
      <c r="CV777" s="66"/>
      <c r="CW777" s="66"/>
      <c r="CX777" s="66"/>
      <c r="CY777" s="66"/>
      <c r="CZ777" s="66"/>
      <c r="DA777" s="66"/>
      <c r="DB777" s="66"/>
      <c r="DC777" s="66"/>
      <c r="DD777" s="66"/>
      <c r="DE777" s="66"/>
      <c r="DF777" s="66"/>
      <c r="DG777" s="66"/>
      <c r="DH777" s="66"/>
      <c r="DI777" s="66"/>
      <c r="DJ777" s="66"/>
      <c r="DK777" s="66"/>
      <c r="DL777" s="66"/>
      <c r="DM777" s="66"/>
      <c r="DN777" s="66"/>
      <c r="DO777" s="66"/>
      <c r="DP777" s="66"/>
      <c r="DQ777" s="66"/>
      <c r="DR777" s="66"/>
      <c r="DS777" s="66"/>
      <c r="DT777" s="66"/>
      <c r="DU777" s="65"/>
      <c r="DV777" s="67"/>
      <c r="DW777" s="68"/>
    </row>
    <row r="778" spans="4:127" s="80" customFormat="1">
      <c r="D778" s="58"/>
      <c r="E778" s="58"/>
      <c r="F778" s="58"/>
      <c r="G778" s="58"/>
      <c r="H778" s="58"/>
      <c r="I778" s="58"/>
      <c r="J778" s="58"/>
      <c r="K778" s="58"/>
      <c r="L778" s="58"/>
      <c r="M778" s="58"/>
      <c r="N778" s="58"/>
      <c r="O778" s="58"/>
      <c r="P778" s="58"/>
      <c r="Q778" s="58"/>
      <c r="R778" s="58"/>
      <c r="S778" s="58"/>
      <c r="T778" s="58"/>
      <c r="U778" s="58"/>
      <c r="V778" s="61"/>
      <c r="W778" s="61"/>
      <c r="X778" s="62"/>
      <c r="Y778" s="61"/>
      <c r="Z778" s="61"/>
      <c r="AA778" s="61"/>
      <c r="AB778" s="61"/>
      <c r="AC778" s="61"/>
      <c r="AD778" s="61"/>
      <c r="AE778" s="61"/>
      <c r="AF778" s="61"/>
      <c r="AG778" s="61"/>
      <c r="AH778" s="61"/>
      <c r="AI778" s="61"/>
      <c r="AJ778" s="62"/>
      <c r="AK778" s="61"/>
      <c r="AL778" s="62"/>
      <c r="AM778" s="61"/>
      <c r="AN778" s="61"/>
      <c r="AO778" s="61"/>
      <c r="AP778" s="63"/>
      <c r="AQ778" s="64"/>
      <c r="AR778" s="61"/>
      <c r="AS778" s="62"/>
      <c r="AT778" s="62"/>
      <c r="AU778" s="62"/>
      <c r="AV778" s="62"/>
      <c r="AW778" s="62"/>
      <c r="AX778" s="62"/>
      <c r="AY778" s="61"/>
      <c r="AZ778" s="61"/>
      <c r="BA778" s="61"/>
      <c r="BB778" s="61"/>
      <c r="BC778" s="61"/>
      <c r="BD778" s="61"/>
      <c r="BE778" s="61"/>
      <c r="BF778" s="61"/>
      <c r="BG778" s="61"/>
      <c r="BH778" s="61"/>
      <c r="BI778" s="61"/>
      <c r="BJ778" s="61"/>
      <c r="BK778" s="61"/>
      <c r="BL778" s="61"/>
      <c r="BM778" s="61"/>
      <c r="BN778" s="61"/>
      <c r="BO778" s="61"/>
      <c r="BP778" s="61"/>
      <c r="BQ778" s="61"/>
      <c r="BR778" s="61"/>
      <c r="BS778" s="61"/>
      <c r="BT778" s="61"/>
      <c r="BU778" s="61"/>
      <c r="BV778" s="61"/>
      <c r="BW778" s="61"/>
      <c r="BX778" s="61"/>
      <c r="BY778" s="61"/>
      <c r="BZ778" s="61"/>
      <c r="CA778" s="61"/>
      <c r="CB778" s="61"/>
      <c r="CC778" s="61"/>
      <c r="CD778" s="65"/>
      <c r="CE778" s="65"/>
      <c r="CF778" s="65"/>
      <c r="CG778" s="65"/>
      <c r="CH778" s="65"/>
      <c r="CI778" s="66"/>
      <c r="CJ778" s="66"/>
      <c r="CK778" s="66"/>
      <c r="CL778" s="66"/>
      <c r="CM778" s="66"/>
      <c r="CN778" s="66"/>
      <c r="CO778" s="66"/>
      <c r="CP778" s="66"/>
      <c r="CQ778" s="66"/>
      <c r="CR778" s="66"/>
      <c r="CS778" s="66"/>
      <c r="CT778" s="66"/>
      <c r="CU778" s="66"/>
      <c r="CV778" s="66"/>
      <c r="CW778" s="66"/>
      <c r="CX778" s="66"/>
      <c r="CY778" s="66"/>
      <c r="CZ778" s="66"/>
      <c r="DA778" s="66"/>
      <c r="DB778" s="66"/>
      <c r="DC778" s="66"/>
      <c r="DD778" s="66"/>
      <c r="DE778" s="66"/>
      <c r="DF778" s="66"/>
      <c r="DG778" s="66"/>
      <c r="DH778" s="66"/>
      <c r="DI778" s="66"/>
      <c r="DJ778" s="66"/>
      <c r="DK778" s="66"/>
      <c r="DL778" s="66"/>
      <c r="DM778" s="66"/>
      <c r="DN778" s="66"/>
      <c r="DO778" s="66"/>
      <c r="DP778" s="66"/>
      <c r="DQ778" s="66"/>
      <c r="DR778" s="66"/>
      <c r="DS778" s="66"/>
      <c r="DT778" s="66"/>
      <c r="DU778" s="65"/>
      <c r="DV778" s="67"/>
      <c r="DW778" s="68"/>
    </row>
    <row r="779" spans="4:127" s="80" customFormat="1">
      <c r="D779" s="58"/>
      <c r="E779" s="58"/>
      <c r="F779" s="58"/>
      <c r="G779" s="58"/>
      <c r="H779" s="58"/>
      <c r="I779" s="58"/>
      <c r="J779" s="58"/>
      <c r="K779" s="58"/>
      <c r="L779" s="58"/>
      <c r="M779" s="58"/>
      <c r="N779" s="58"/>
      <c r="O779" s="58"/>
      <c r="P779" s="58"/>
      <c r="Q779" s="58"/>
      <c r="R779" s="58"/>
      <c r="S779" s="58"/>
      <c r="T779" s="58"/>
      <c r="U779" s="58"/>
      <c r="V779" s="61"/>
      <c r="W779" s="61"/>
      <c r="X779" s="62"/>
      <c r="Y779" s="61"/>
      <c r="Z779" s="61"/>
      <c r="AA779" s="61"/>
      <c r="AB779" s="61"/>
      <c r="AC779" s="61"/>
      <c r="AD779" s="61"/>
      <c r="AE779" s="61"/>
      <c r="AF779" s="61"/>
      <c r="AG779" s="61"/>
      <c r="AH779" s="61"/>
      <c r="AI779" s="61"/>
      <c r="AJ779" s="62"/>
      <c r="AK779" s="61"/>
      <c r="AL779" s="62"/>
      <c r="AM779" s="61"/>
      <c r="AN779" s="61"/>
      <c r="AO779" s="61"/>
      <c r="AP779" s="63"/>
      <c r="AQ779" s="64"/>
      <c r="AR779" s="61"/>
      <c r="AS779" s="62"/>
      <c r="AT779" s="62"/>
      <c r="AU779" s="62"/>
      <c r="AV779" s="62"/>
      <c r="AW779" s="62"/>
      <c r="AX779" s="62"/>
      <c r="AY779" s="61"/>
      <c r="AZ779" s="61"/>
      <c r="BA779" s="61"/>
      <c r="BB779" s="61"/>
      <c r="BC779" s="61"/>
      <c r="BD779" s="61"/>
      <c r="BE779" s="61"/>
      <c r="BF779" s="61"/>
      <c r="BG779" s="61"/>
      <c r="BH779" s="61"/>
      <c r="BI779" s="61"/>
      <c r="BJ779" s="61"/>
      <c r="BK779" s="61"/>
      <c r="BL779" s="61"/>
      <c r="BM779" s="61"/>
      <c r="BN779" s="61"/>
      <c r="BO779" s="61"/>
      <c r="BP779" s="61"/>
      <c r="BQ779" s="61"/>
      <c r="BR779" s="61"/>
      <c r="BS779" s="61"/>
      <c r="BT779" s="61"/>
      <c r="BU779" s="61"/>
      <c r="BV779" s="61"/>
      <c r="BW779" s="61"/>
      <c r="BX779" s="61"/>
      <c r="BY779" s="61"/>
      <c r="BZ779" s="61"/>
      <c r="CA779" s="61"/>
      <c r="CB779" s="61"/>
      <c r="CC779" s="61"/>
      <c r="CD779" s="65"/>
      <c r="CE779" s="65"/>
      <c r="CF779" s="65"/>
      <c r="CG779" s="65"/>
      <c r="CH779" s="65"/>
      <c r="CI779" s="66"/>
      <c r="CJ779" s="66"/>
      <c r="CK779" s="66"/>
      <c r="CL779" s="66"/>
      <c r="CM779" s="66"/>
      <c r="CN779" s="66"/>
      <c r="CO779" s="66"/>
      <c r="CP779" s="66"/>
      <c r="CQ779" s="66"/>
      <c r="CR779" s="66"/>
      <c r="CS779" s="66"/>
      <c r="CT779" s="66"/>
      <c r="CU779" s="66"/>
      <c r="CV779" s="66"/>
      <c r="CW779" s="66"/>
      <c r="CX779" s="66"/>
      <c r="CY779" s="66"/>
      <c r="CZ779" s="66"/>
      <c r="DA779" s="66"/>
      <c r="DB779" s="66"/>
      <c r="DC779" s="66"/>
      <c r="DD779" s="66"/>
      <c r="DE779" s="66"/>
      <c r="DF779" s="66"/>
      <c r="DG779" s="66"/>
      <c r="DH779" s="66"/>
      <c r="DI779" s="66"/>
      <c r="DJ779" s="66"/>
      <c r="DK779" s="66"/>
      <c r="DL779" s="66"/>
      <c r="DM779" s="66"/>
      <c r="DN779" s="66"/>
      <c r="DO779" s="66"/>
      <c r="DP779" s="66"/>
      <c r="DQ779" s="66"/>
      <c r="DR779" s="66"/>
      <c r="DS779" s="66"/>
      <c r="DT779" s="66"/>
      <c r="DU779" s="65"/>
      <c r="DV779" s="67"/>
      <c r="DW779" s="68"/>
    </row>
    <row r="780" spans="4:127" s="80" customFormat="1">
      <c r="D780" s="58"/>
      <c r="E780" s="58"/>
      <c r="F780" s="58"/>
      <c r="G780" s="58"/>
      <c r="H780" s="58"/>
      <c r="I780" s="58"/>
      <c r="J780" s="58"/>
      <c r="K780" s="58"/>
      <c r="L780" s="58"/>
      <c r="M780" s="58"/>
      <c r="N780" s="58"/>
      <c r="O780" s="58"/>
      <c r="P780" s="58"/>
      <c r="Q780" s="58"/>
      <c r="R780" s="58"/>
      <c r="S780" s="58"/>
      <c r="T780" s="58"/>
      <c r="U780" s="58"/>
      <c r="V780" s="61"/>
      <c r="W780" s="61"/>
      <c r="X780" s="62"/>
      <c r="Y780" s="61"/>
      <c r="Z780" s="61"/>
      <c r="AA780" s="61"/>
      <c r="AB780" s="61"/>
      <c r="AC780" s="61"/>
      <c r="AD780" s="61"/>
      <c r="AE780" s="61"/>
      <c r="AF780" s="61"/>
      <c r="AG780" s="61"/>
      <c r="AH780" s="61"/>
      <c r="AI780" s="61"/>
      <c r="AJ780" s="62"/>
      <c r="AK780" s="61"/>
      <c r="AL780" s="62"/>
      <c r="AM780" s="61"/>
      <c r="AN780" s="61"/>
      <c r="AO780" s="61"/>
      <c r="AP780" s="63"/>
      <c r="AQ780" s="64"/>
      <c r="AR780" s="61"/>
      <c r="AS780" s="62"/>
      <c r="AT780" s="62"/>
      <c r="AU780" s="62"/>
      <c r="AV780" s="62"/>
      <c r="AW780" s="62"/>
      <c r="AX780" s="62"/>
      <c r="AY780" s="61"/>
      <c r="AZ780" s="61"/>
      <c r="BA780" s="61"/>
      <c r="BB780" s="61"/>
      <c r="BC780" s="61"/>
      <c r="BD780" s="61"/>
      <c r="BE780" s="61"/>
      <c r="BF780" s="61"/>
      <c r="BG780" s="61"/>
      <c r="BH780" s="61"/>
      <c r="BI780" s="61"/>
      <c r="BJ780" s="61"/>
      <c r="BK780" s="61"/>
      <c r="BL780" s="61"/>
      <c r="BM780" s="61"/>
      <c r="BN780" s="61"/>
      <c r="BO780" s="61"/>
      <c r="BP780" s="61"/>
      <c r="BQ780" s="61"/>
      <c r="BR780" s="61"/>
      <c r="BS780" s="61"/>
      <c r="BT780" s="61"/>
      <c r="BU780" s="61"/>
      <c r="BV780" s="61"/>
      <c r="BW780" s="61"/>
      <c r="BX780" s="61"/>
      <c r="BY780" s="61"/>
      <c r="BZ780" s="61"/>
      <c r="CA780" s="61"/>
      <c r="CB780" s="61"/>
      <c r="CC780" s="61"/>
      <c r="CD780" s="65"/>
      <c r="CE780" s="65"/>
      <c r="CF780" s="65"/>
      <c r="CG780" s="65"/>
      <c r="CH780" s="65"/>
      <c r="CI780" s="66"/>
      <c r="CJ780" s="66"/>
      <c r="CK780" s="66"/>
      <c r="CL780" s="66"/>
      <c r="CM780" s="66"/>
      <c r="CN780" s="66"/>
      <c r="CO780" s="66"/>
      <c r="CP780" s="66"/>
      <c r="CQ780" s="66"/>
      <c r="CR780" s="66"/>
      <c r="CS780" s="66"/>
      <c r="CT780" s="66"/>
      <c r="CU780" s="66"/>
      <c r="CV780" s="66"/>
      <c r="CW780" s="66"/>
      <c r="CX780" s="66"/>
      <c r="CY780" s="66"/>
      <c r="CZ780" s="66"/>
      <c r="DA780" s="66"/>
      <c r="DB780" s="66"/>
      <c r="DC780" s="66"/>
      <c r="DD780" s="66"/>
      <c r="DE780" s="66"/>
      <c r="DF780" s="66"/>
      <c r="DG780" s="66"/>
      <c r="DH780" s="66"/>
      <c r="DI780" s="66"/>
      <c r="DJ780" s="66"/>
      <c r="DK780" s="66"/>
      <c r="DL780" s="66"/>
      <c r="DM780" s="66"/>
      <c r="DN780" s="66"/>
      <c r="DO780" s="66"/>
      <c r="DP780" s="66"/>
      <c r="DQ780" s="66"/>
      <c r="DR780" s="66"/>
      <c r="DS780" s="66"/>
      <c r="DT780" s="66"/>
      <c r="DU780" s="65"/>
      <c r="DV780" s="67"/>
      <c r="DW780" s="68"/>
    </row>
    <row r="781" spans="4:127" s="80" customFormat="1">
      <c r="D781" s="58"/>
      <c r="E781" s="58"/>
      <c r="F781" s="58"/>
      <c r="G781" s="58"/>
      <c r="H781" s="58"/>
      <c r="I781" s="58"/>
      <c r="J781" s="58"/>
      <c r="K781" s="58"/>
      <c r="L781" s="58"/>
      <c r="M781" s="58"/>
      <c r="N781" s="58"/>
      <c r="O781" s="58"/>
      <c r="P781" s="58"/>
      <c r="Q781" s="58"/>
      <c r="R781" s="58"/>
      <c r="S781" s="58"/>
      <c r="T781" s="58"/>
      <c r="U781" s="58"/>
      <c r="V781" s="61"/>
      <c r="W781" s="61"/>
      <c r="X781" s="62"/>
      <c r="Y781" s="61"/>
      <c r="Z781" s="61"/>
      <c r="AA781" s="61"/>
      <c r="AB781" s="61"/>
      <c r="AC781" s="61"/>
      <c r="AD781" s="61"/>
      <c r="AE781" s="61"/>
      <c r="AF781" s="61"/>
      <c r="AG781" s="61"/>
      <c r="AH781" s="61"/>
      <c r="AI781" s="61"/>
      <c r="AJ781" s="62"/>
      <c r="AK781" s="61"/>
      <c r="AL781" s="62"/>
      <c r="AM781" s="61"/>
      <c r="AN781" s="61"/>
      <c r="AO781" s="61"/>
      <c r="AP781" s="63"/>
      <c r="AQ781" s="64"/>
      <c r="AR781" s="61"/>
      <c r="AS781" s="62"/>
      <c r="AT781" s="62"/>
      <c r="AU781" s="62"/>
      <c r="AV781" s="62"/>
      <c r="AW781" s="62"/>
      <c r="AX781" s="62"/>
      <c r="AY781" s="61"/>
      <c r="AZ781" s="61"/>
      <c r="BA781" s="61"/>
      <c r="BB781" s="61"/>
      <c r="BC781" s="61"/>
      <c r="BD781" s="61"/>
      <c r="BE781" s="61"/>
      <c r="BF781" s="61"/>
      <c r="BG781" s="61"/>
      <c r="BH781" s="61"/>
      <c r="BI781" s="61"/>
      <c r="BJ781" s="61"/>
      <c r="BK781" s="61"/>
      <c r="BL781" s="61"/>
      <c r="BM781" s="61"/>
      <c r="BN781" s="61"/>
      <c r="BO781" s="61"/>
      <c r="BP781" s="61"/>
      <c r="BQ781" s="61"/>
      <c r="BR781" s="61"/>
      <c r="BS781" s="61"/>
      <c r="BT781" s="61"/>
      <c r="BU781" s="61"/>
      <c r="BV781" s="61"/>
      <c r="BW781" s="61"/>
      <c r="BX781" s="61"/>
      <c r="BY781" s="61"/>
      <c r="BZ781" s="61"/>
      <c r="CA781" s="61"/>
      <c r="CB781" s="61"/>
      <c r="CC781" s="61"/>
      <c r="CD781" s="65"/>
      <c r="CE781" s="65"/>
      <c r="CF781" s="65"/>
      <c r="CG781" s="65"/>
      <c r="CH781" s="65"/>
      <c r="CI781" s="66"/>
      <c r="CJ781" s="66"/>
      <c r="CK781" s="66"/>
      <c r="CL781" s="66"/>
      <c r="CM781" s="66"/>
      <c r="CN781" s="66"/>
      <c r="CO781" s="66"/>
      <c r="CP781" s="66"/>
      <c r="CQ781" s="66"/>
      <c r="CR781" s="66"/>
      <c r="CS781" s="66"/>
      <c r="CT781" s="66"/>
      <c r="CU781" s="66"/>
      <c r="CV781" s="66"/>
      <c r="CW781" s="66"/>
      <c r="CX781" s="66"/>
      <c r="CY781" s="66"/>
      <c r="CZ781" s="66"/>
      <c r="DA781" s="66"/>
      <c r="DB781" s="66"/>
      <c r="DC781" s="66"/>
      <c r="DD781" s="66"/>
      <c r="DE781" s="66"/>
      <c r="DF781" s="66"/>
      <c r="DG781" s="66"/>
      <c r="DH781" s="66"/>
      <c r="DI781" s="66"/>
      <c r="DJ781" s="66"/>
      <c r="DK781" s="66"/>
      <c r="DL781" s="66"/>
      <c r="DM781" s="66"/>
      <c r="DN781" s="66"/>
      <c r="DO781" s="66"/>
      <c r="DP781" s="66"/>
      <c r="DQ781" s="66"/>
      <c r="DR781" s="66"/>
      <c r="DS781" s="66"/>
      <c r="DT781" s="66"/>
      <c r="DU781" s="65"/>
      <c r="DV781" s="67"/>
      <c r="DW781" s="68"/>
    </row>
    <row r="782" spans="4:127" s="80" customFormat="1">
      <c r="D782" s="58"/>
      <c r="E782" s="58"/>
      <c r="F782" s="58"/>
      <c r="G782" s="58"/>
      <c r="H782" s="58"/>
      <c r="I782" s="58"/>
      <c r="J782" s="58"/>
      <c r="K782" s="58"/>
      <c r="L782" s="58"/>
      <c r="M782" s="58"/>
      <c r="N782" s="58"/>
      <c r="O782" s="58"/>
      <c r="P782" s="58"/>
      <c r="Q782" s="58"/>
      <c r="R782" s="58"/>
      <c r="S782" s="58"/>
      <c r="T782" s="58"/>
      <c r="U782" s="58"/>
      <c r="V782" s="61"/>
      <c r="W782" s="61"/>
      <c r="X782" s="62"/>
      <c r="Y782" s="61"/>
      <c r="Z782" s="61"/>
      <c r="AA782" s="61"/>
      <c r="AB782" s="61"/>
      <c r="AC782" s="61"/>
      <c r="AD782" s="61"/>
      <c r="AE782" s="61"/>
      <c r="AF782" s="61"/>
      <c r="AG782" s="61"/>
      <c r="AH782" s="61"/>
      <c r="AI782" s="61"/>
      <c r="AJ782" s="62"/>
      <c r="AK782" s="61"/>
      <c r="AL782" s="62"/>
      <c r="AM782" s="61"/>
      <c r="AN782" s="61"/>
      <c r="AO782" s="61"/>
      <c r="AP782" s="63"/>
      <c r="AQ782" s="64"/>
      <c r="AR782" s="61"/>
      <c r="AS782" s="62"/>
      <c r="AT782" s="62"/>
      <c r="AU782" s="62"/>
      <c r="AV782" s="62"/>
      <c r="AW782" s="62"/>
      <c r="AX782" s="62"/>
      <c r="AY782" s="61"/>
      <c r="AZ782" s="61"/>
      <c r="BA782" s="61"/>
      <c r="BB782" s="61"/>
      <c r="BC782" s="61"/>
      <c r="BD782" s="61"/>
      <c r="BE782" s="61"/>
      <c r="BF782" s="61"/>
      <c r="BG782" s="61"/>
      <c r="BH782" s="61"/>
      <c r="BI782" s="61"/>
      <c r="BJ782" s="61"/>
      <c r="BK782" s="61"/>
      <c r="BL782" s="61"/>
      <c r="BM782" s="61"/>
      <c r="BN782" s="61"/>
      <c r="BO782" s="61"/>
      <c r="BP782" s="61"/>
      <c r="BQ782" s="61"/>
      <c r="BR782" s="61"/>
      <c r="BS782" s="61"/>
      <c r="BT782" s="61"/>
      <c r="BU782" s="61"/>
      <c r="BV782" s="61"/>
      <c r="BW782" s="61"/>
      <c r="BX782" s="61"/>
      <c r="BY782" s="61"/>
      <c r="BZ782" s="61"/>
      <c r="CA782" s="61"/>
      <c r="CB782" s="61"/>
      <c r="CC782" s="61"/>
      <c r="CD782" s="65"/>
      <c r="CE782" s="65"/>
      <c r="CF782" s="65"/>
      <c r="CG782" s="65"/>
      <c r="CH782" s="65"/>
      <c r="CI782" s="66"/>
      <c r="CJ782" s="66"/>
      <c r="CK782" s="66"/>
      <c r="CL782" s="66"/>
      <c r="CM782" s="66"/>
      <c r="CN782" s="66"/>
      <c r="CO782" s="66"/>
      <c r="CP782" s="66"/>
      <c r="CQ782" s="66"/>
      <c r="CR782" s="66"/>
      <c r="CS782" s="66"/>
      <c r="CT782" s="66"/>
      <c r="CU782" s="66"/>
      <c r="CV782" s="66"/>
      <c r="CW782" s="66"/>
      <c r="CX782" s="66"/>
      <c r="CY782" s="66"/>
      <c r="CZ782" s="66"/>
      <c r="DA782" s="66"/>
      <c r="DB782" s="66"/>
      <c r="DC782" s="66"/>
      <c r="DD782" s="66"/>
      <c r="DE782" s="66"/>
      <c r="DF782" s="66"/>
      <c r="DG782" s="66"/>
      <c r="DH782" s="66"/>
      <c r="DI782" s="66"/>
      <c r="DJ782" s="66"/>
      <c r="DK782" s="66"/>
      <c r="DL782" s="66"/>
      <c r="DM782" s="66"/>
      <c r="DN782" s="66"/>
      <c r="DO782" s="66"/>
      <c r="DP782" s="66"/>
      <c r="DQ782" s="66"/>
      <c r="DR782" s="66"/>
      <c r="DS782" s="66"/>
      <c r="DT782" s="66"/>
      <c r="DU782" s="65"/>
      <c r="DV782" s="67"/>
      <c r="DW782" s="68"/>
    </row>
    <row r="783" spans="4:127" s="80" customFormat="1">
      <c r="D783" s="58"/>
      <c r="E783" s="58"/>
      <c r="F783" s="58"/>
      <c r="G783" s="58"/>
      <c r="H783" s="58"/>
      <c r="I783" s="58"/>
      <c r="J783" s="58"/>
      <c r="K783" s="58"/>
      <c r="L783" s="58"/>
      <c r="M783" s="58"/>
      <c r="N783" s="58"/>
      <c r="O783" s="58"/>
      <c r="P783" s="58"/>
      <c r="Q783" s="58"/>
      <c r="R783" s="58"/>
      <c r="S783" s="58"/>
      <c r="T783" s="58"/>
      <c r="U783" s="58"/>
      <c r="V783" s="61"/>
      <c r="W783" s="61"/>
      <c r="X783" s="62"/>
      <c r="Y783" s="61"/>
      <c r="Z783" s="61"/>
      <c r="AA783" s="61"/>
      <c r="AB783" s="61"/>
      <c r="AC783" s="61"/>
      <c r="AD783" s="61"/>
      <c r="AE783" s="61"/>
      <c r="AF783" s="61"/>
      <c r="AG783" s="61"/>
      <c r="AH783" s="61"/>
      <c r="AI783" s="61"/>
      <c r="AJ783" s="62"/>
      <c r="AK783" s="61"/>
      <c r="AL783" s="62"/>
      <c r="AM783" s="61"/>
      <c r="AN783" s="61"/>
      <c r="AO783" s="61"/>
      <c r="AP783" s="63"/>
      <c r="AQ783" s="64"/>
      <c r="AR783" s="61"/>
      <c r="AS783" s="62"/>
      <c r="AT783" s="62"/>
      <c r="AU783" s="62"/>
      <c r="AV783" s="62"/>
      <c r="AW783" s="62"/>
      <c r="AX783" s="62"/>
      <c r="AY783" s="61"/>
      <c r="AZ783" s="61"/>
      <c r="BA783" s="61"/>
      <c r="BB783" s="61"/>
      <c r="BC783" s="61"/>
      <c r="BD783" s="61"/>
      <c r="BE783" s="61"/>
      <c r="BF783" s="61"/>
      <c r="BG783" s="61"/>
      <c r="BH783" s="61"/>
      <c r="BI783" s="61"/>
      <c r="BJ783" s="61"/>
      <c r="BK783" s="61"/>
      <c r="BL783" s="61"/>
      <c r="BM783" s="61"/>
      <c r="BN783" s="61"/>
      <c r="BO783" s="61"/>
      <c r="BP783" s="61"/>
      <c r="BQ783" s="61"/>
      <c r="BR783" s="61"/>
      <c r="BS783" s="61"/>
      <c r="BT783" s="61"/>
      <c r="BU783" s="61"/>
      <c r="BV783" s="61"/>
      <c r="BW783" s="61"/>
      <c r="BX783" s="61"/>
      <c r="BY783" s="61"/>
      <c r="BZ783" s="61"/>
      <c r="CA783" s="61"/>
      <c r="CB783" s="61"/>
      <c r="CC783" s="61"/>
      <c r="CD783" s="65"/>
      <c r="CE783" s="65"/>
      <c r="CF783" s="65"/>
      <c r="CG783" s="65"/>
      <c r="CH783" s="65"/>
      <c r="CI783" s="66"/>
      <c r="CJ783" s="66"/>
      <c r="CK783" s="66"/>
      <c r="CL783" s="66"/>
      <c r="CM783" s="66"/>
      <c r="CN783" s="66"/>
      <c r="CO783" s="66"/>
      <c r="CP783" s="66"/>
      <c r="CQ783" s="66"/>
      <c r="CR783" s="66"/>
      <c r="CS783" s="66"/>
      <c r="CT783" s="66"/>
      <c r="CU783" s="66"/>
      <c r="CV783" s="66"/>
      <c r="CW783" s="66"/>
      <c r="CX783" s="66"/>
      <c r="CY783" s="66"/>
      <c r="CZ783" s="66"/>
      <c r="DA783" s="66"/>
      <c r="DB783" s="66"/>
      <c r="DC783" s="66"/>
      <c r="DD783" s="66"/>
      <c r="DE783" s="66"/>
      <c r="DF783" s="66"/>
      <c r="DG783" s="66"/>
      <c r="DH783" s="66"/>
      <c r="DI783" s="66"/>
      <c r="DJ783" s="66"/>
      <c r="DK783" s="66"/>
      <c r="DL783" s="66"/>
      <c r="DM783" s="66"/>
      <c r="DN783" s="66"/>
      <c r="DO783" s="66"/>
      <c r="DP783" s="66"/>
      <c r="DQ783" s="66"/>
      <c r="DR783" s="66"/>
      <c r="DS783" s="66"/>
      <c r="DT783" s="66"/>
      <c r="DU783" s="65"/>
      <c r="DV783" s="67"/>
      <c r="DW783" s="68"/>
    </row>
    <row r="784" spans="4:127" s="80" customFormat="1">
      <c r="D784" s="58"/>
      <c r="E784" s="58"/>
      <c r="F784" s="58"/>
      <c r="G784" s="58"/>
      <c r="H784" s="58"/>
      <c r="I784" s="58"/>
      <c r="J784" s="58"/>
      <c r="K784" s="58"/>
      <c r="L784" s="58"/>
      <c r="M784" s="58"/>
      <c r="N784" s="58"/>
      <c r="O784" s="58"/>
      <c r="P784" s="58"/>
      <c r="Q784" s="58"/>
      <c r="R784" s="58"/>
      <c r="S784" s="58"/>
      <c r="T784" s="58"/>
      <c r="U784" s="58"/>
      <c r="V784" s="61"/>
      <c r="W784" s="61"/>
      <c r="X784" s="62"/>
      <c r="Y784" s="61"/>
      <c r="Z784" s="61"/>
      <c r="AA784" s="61"/>
      <c r="AB784" s="61"/>
      <c r="AC784" s="61"/>
      <c r="AD784" s="61"/>
      <c r="AE784" s="61"/>
      <c r="AF784" s="61"/>
      <c r="AG784" s="61"/>
      <c r="AH784" s="61"/>
      <c r="AI784" s="61"/>
      <c r="AJ784" s="62"/>
      <c r="AK784" s="61"/>
      <c r="AL784" s="62"/>
      <c r="AM784" s="61"/>
      <c r="AN784" s="61"/>
      <c r="AO784" s="61"/>
      <c r="AP784" s="63"/>
      <c r="AQ784" s="64"/>
      <c r="AR784" s="61"/>
      <c r="AS784" s="62"/>
      <c r="AT784" s="62"/>
      <c r="AU784" s="62"/>
      <c r="AV784" s="62"/>
      <c r="AW784" s="62"/>
      <c r="AX784" s="62"/>
      <c r="AY784" s="61"/>
      <c r="AZ784" s="61"/>
      <c r="BA784" s="61"/>
      <c r="BB784" s="61"/>
      <c r="BC784" s="61"/>
      <c r="BD784" s="61"/>
      <c r="BE784" s="61"/>
      <c r="BF784" s="61"/>
      <c r="BG784" s="61"/>
      <c r="BH784" s="61"/>
      <c r="BI784" s="61"/>
      <c r="BJ784" s="61"/>
      <c r="BK784" s="61"/>
      <c r="BL784" s="61"/>
      <c r="BM784" s="61"/>
      <c r="BN784" s="61"/>
      <c r="BO784" s="61"/>
      <c r="BP784" s="61"/>
      <c r="BQ784" s="61"/>
      <c r="BR784" s="61"/>
      <c r="BS784" s="61"/>
      <c r="BT784" s="61"/>
      <c r="BU784" s="61"/>
      <c r="BV784" s="61"/>
      <c r="BW784" s="61"/>
      <c r="BX784" s="61"/>
      <c r="BY784" s="61"/>
      <c r="BZ784" s="61"/>
      <c r="CA784" s="61"/>
      <c r="CB784" s="61"/>
      <c r="CC784" s="61"/>
      <c r="CD784" s="65"/>
      <c r="CE784" s="65"/>
      <c r="CF784" s="65"/>
      <c r="CG784" s="65"/>
      <c r="CH784" s="65"/>
      <c r="CI784" s="66"/>
      <c r="CJ784" s="66"/>
      <c r="CK784" s="66"/>
      <c r="CL784" s="66"/>
      <c r="CM784" s="66"/>
      <c r="CN784" s="66"/>
      <c r="CO784" s="66"/>
      <c r="CP784" s="66"/>
      <c r="CQ784" s="66"/>
      <c r="CR784" s="66"/>
      <c r="CS784" s="66"/>
      <c r="CT784" s="66"/>
      <c r="CU784" s="66"/>
      <c r="CV784" s="66"/>
      <c r="CW784" s="66"/>
      <c r="CX784" s="66"/>
      <c r="CY784" s="66"/>
      <c r="CZ784" s="66"/>
      <c r="DA784" s="66"/>
      <c r="DB784" s="66"/>
      <c r="DC784" s="66"/>
      <c r="DD784" s="66"/>
      <c r="DE784" s="66"/>
      <c r="DF784" s="66"/>
      <c r="DG784" s="66"/>
      <c r="DH784" s="66"/>
      <c r="DI784" s="66"/>
      <c r="DJ784" s="66"/>
      <c r="DK784" s="66"/>
      <c r="DL784" s="66"/>
      <c r="DM784" s="66"/>
      <c r="DN784" s="66"/>
      <c r="DO784" s="66"/>
      <c r="DP784" s="66"/>
      <c r="DQ784" s="66"/>
      <c r="DR784" s="66"/>
      <c r="DS784" s="66"/>
      <c r="DT784" s="66"/>
      <c r="DU784" s="65"/>
      <c r="DV784" s="67"/>
      <c r="DW784" s="68"/>
    </row>
    <row r="785" spans="4:127" s="80" customFormat="1">
      <c r="D785" s="58"/>
      <c r="E785" s="58"/>
      <c r="F785" s="58"/>
      <c r="G785" s="58"/>
      <c r="H785" s="58"/>
      <c r="I785" s="58"/>
      <c r="J785" s="58"/>
      <c r="K785" s="58"/>
      <c r="L785" s="58"/>
      <c r="M785" s="58"/>
      <c r="N785" s="58"/>
      <c r="O785" s="58"/>
      <c r="P785" s="58"/>
      <c r="Q785" s="58"/>
      <c r="R785" s="58"/>
      <c r="S785" s="58"/>
      <c r="T785" s="58"/>
      <c r="U785" s="58"/>
      <c r="V785" s="61"/>
      <c r="W785" s="61"/>
      <c r="X785" s="62"/>
      <c r="Y785" s="61"/>
      <c r="Z785" s="61"/>
      <c r="AA785" s="61"/>
      <c r="AB785" s="61"/>
      <c r="AC785" s="61"/>
      <c r="AD785" s="61"/>
      <c r="AE785" s="61"/>
      <c r="AF785" s="61"/>
      <c r="AG785" s="61"/>
      <c r="AH785" s="61"/>
      <c r="AI785" s="61"/>
      <c r="AJ785" s="62"/>
      <c r="AK785" s="61"/>
      <c r="AL785" s="62"/>
      <c r="AM785" s="61"/>
      <c r="AN785" s="61"/>
      <c r="AO785" s="61"/>
      <c r="AP785" s="63"/>
      <c r="AQ785" s="64"/>
      <c r="AR785" s="61"/>
      <c r="AS785" s="62"/>
      <c r="AT785" s="62"/>
      <c r="AU785" s="62"/>
      <c r="AV785" s="62"/>
      <c r="AW785" s="62"/>
      <c r="AX785" s="62"/>
      <c r="AY785" s="61"/>
      <c r="AZ785" s="61"/>
      <c r="BA785" s="61"/>
      <c r="BB785" s="61"/>
      <c r="BC785" s="61"/>
      <c r="BD785" s="61"/>
      <c r="BE785" s="61"/>
      <c r="BF785" s="61"/>
      <c r="BG785" s="61"/>
      <c r="BH785" s="61"/>
      <c r="BI785" s="61"/>
      <c r="BJ785" s="61"/>
      <c r="BK785" s="61"/>
      <c r="BL785" s="61"/>
      <c r="BM785" s="61"/>
      <c r="BN785" s="61"/>
      <c r="BO785" s="61"/>
      <c r="BP785" s="61"/>
      <c r="BQ785" s="61"/>
      <c r="BR785" s="61"/>
      <c r="BS785" s="61"/>
      <c r="BT785" s="61"/>
      <c r="BU785" s="61"/>
      <c r="BV785" s="61"/>
      <c r="BW785" s="61"/>
      <c r="BX785" s="61"/>
      <c r="BY785" s="61"/>
      <c r="BZ785" s="61"/>
      <c r="CA785" s="61"/>
      <c r="CB785" s="61"/>
      <c r="CC785" s="61"/>
      <c r="CD785" s="65"/>
      <c r="CE785" s="65"/>
      <c r="CF785" s="65"/>
      <c r="CG785" s="65"/>
      <c r="CH785" s="65"/>
      <c r="CI785" s="66"/>
      <c r="CJ785" s="66"/>
      <c r="CK785" s="66"/>
      <c r="CL785" s="66"/>
      <c r="CM785" s="66"/>
      <c r="CN785" s="66"/>
      <c r="CO785" s="66"/>
      <c r="CP785" s="66"/>
      <c r="CQ785" s="66"/>
      <c r="CR785" s="66"/>
      <c r="CS785" s="66"/>
      <c r="CT785" s="66"/>
      <c r="CU785" s="66"/>
      <c r="CV785" s="66"/>
      <c r="CW785" s="66"/>
      <c r="CX785" s="66"/>
      <c r="CY785" s="66"/>
      <c r="CZ785" s="66"/>
      <c r="DA785" s="66"/>
      <c r="DB785" s="66"/>
      <c r="DC785" s="66"/>
      <c r="DD785" s="66"/>
      <c r="DE785" s="66"/>
      <c r="DF785" s="66"/>
      <c r="DG785" s="66"/>
      <c r="DH785" s="66"/>
      <c r="DI785" s="66"/>
      <c r="DJ785" s="66"/>
      <c r="DK785" s="66"/>
      <c r="DL785" s="66"/>
      <c r="DM785" s="66"/>
      <c r="DN785" s="66"/>
      <c r="DO785" s="66"/>
      <c r="DP785" s="66"/>
      <c r="DQ785" s="66"/>
      <c r="DR785" s="66"/>
      <c r="DS785" s="66"/>
      <c r="DT785" s="66"/>
      <c r="DU785" s="65"/>
      <c r="DV785" s="67"/>
      <c r="DW785" s="68"/>
    </row>
    <row r="786" spans="4:127" s="80" customFormat="1">
      <c r="D786" s="58"/>
      <c r="E786" s="58"/>
      <c r="F786" s="58"/>
      <c r="G786" s="58"/>
      <c r="H786" s="58"/>
      <c r="I786" s="58"/>
      <c r="J786" s="58"/>
      <c r="K786" s="58"/>
      <c r="L786" s="58"/>
      <c r="M786" s="58"/>
      <c r="N786" s="58"/>
      <c r="O786" s="58"/>
      <c r="P786" s="58"/>
      <c r="Q786" s="58"/>
      <c r="R786" s="58"/>
      <c r="S786" s="58"/>
      <c r="T786" s="58"/>
      <c r="U786" s="58"/>
      <c r="V786" s="61"/>
      <c r="W786" s="61"/>
      <c r="X786" s="62"/>
      <c r="Y786" s="61"/>
      <c r="Z786" s="61"/>
      <c r="AA786" s="61"/>
      <c r="AB786" s="61"/>
      <c r="AC786" s="61"/>
      <c r="AD786" s="61"/>
      <c r="AE786" s="61"/>
      <c r="AF786" s="61"/>
      <c r="AG786" s="61"/>
      <c r="AH786" s="61"/>
      <c r="AI786" s="61"/>
      <c r="AJ786" s="62"/>
      <c r="AK786" s="61"/>
      <c r="AL786" s="62"/>
      <c r="AM786" s="61"/>
      <c r="AN786" s="61"/>
      <c r="AO786" s="61"/>
      <c r="AP786" s="63"/>
      <c r="AQ786" s="64"/>
      <c r="AR786" s="61"/>
      <c r="AS786" s="62"/>
      <c r="AT786" s="62"/>
      <c r="AU786" s="62"/>
      <c r="AV786" s="62"/>
      <c r="AW786" s="62"/>
      <c r="AX786" s="62"/>
      <c r="AY786" s="61"/>
      <c r="AZ786" s="61"/>
      <c r="BA786" s="61"/>
      <c r="BB786" s="61"/>
      <c r="BC786" s="61"/>
      <c r="BD786" s="61"/>
      <c r="BE786" s="61"/>
      <c r="BF786" s="61"/>
      <c r="BG786" s="61"/>
      <c r="BH786" s="61"/>
      <c r="BI786" s="61"/>
      <c r="BJ786" s="61"/>
      <c r="BK786" s="61"/>
      <c r="BL786" s="61"/>
      <c r="BM786" s="61"/>
      <c r="BN786" s="61"/>
      <c r="BO786" s="61"/>
      <c r="BP786" s="61"/>
      <c r="BQ786" s="61"/>
      <c r="BR786" s="61"/>
      <c r="BS786" s="61"/>
      <c r="BT786" s="61"/>
      <c r="BU786" s="61"/>
      <c r="BV786" s="61"/>
      <c r="BW786" s="61"/>
      <c r="BX786" s="61"/>
      <c r="BY786" s="61"/>
      <c r="BZ786" s="61"/>
      <c r="CA786" s="61"/>
      <c r="CB786" s="61"/>
      <c r="CC786" s="61"/>
      <c r="CD786" s="65"/>
      <c r="CE786" s="65"/>
      <c r="CF786" s="65"/>
      <c r="CG786" s="65"/>
      <c r="CH786" s="65"/>
      <c r="CI786" s="66"/>
      <c r="CJ786" s="66"/>
      <c r="CK786" s="66"/>
      <c r="CL786" s="66"/>
      <c r="CM786" s="66"/>
      <c r="CN786" s="66"/>
      <c r="CO786" s="66"/>
      <c r="CP786" s="66"/>
      <c r="CQ786" s="66"/>
      <c r="CR786" s="66"/>
      <c r="CS786" s="66"/>
      <c r="CT786" s="66"/>
      <c r="CU786" s="66"/>
      <c r="CV786" s="66"/>
      <c r="CW786" s="66"/>
      <c r="CX786" s="66"/>
      <c r="CY786" s="66"/>
      <c r="CZ786" s="66"/>
      <c r="DA786" s="66"/>
      <c r="DB786" s="66"/>
      <c r="DC786" s="66"/>
      <c r="DD786" s="66"/>
      <c r="DE786" s="66"/>
      <c r="DF786" s="66"/>
      <c r="DG786" s="66"/>
      <c r="DH786" s="66"/>
      <c r="DI786" s="66"/>
      <c r="DJ786" s="66"/>
      <c r="DK786" s="66"/>
      <c r="DL786" s="66"/>
      <c r="DM786" s="66"/>
      <c r="DN786" s="66"/>
      <c r="DO786" s="66"/>
      <c r="DP786" s="66"/>
      <c r="DQ786" s="66"/>
      <c r="DR786" s="66"/>
      <c r="DS786" s="66"/>
      <c r="DT786" s="66"/>
      <c r="DU786" s="65"/>
      <c r="DV786" s="67"/>
      <c r="DW786" s="68"/>
    </row>
    <row r="787" spans="4:127" s="80" customFormat="1">
      <c r="D787" s="58"/>
      <c r="E787" s="58"/>
      <c r="F787" s="58"/>
      <c r="G787" s="58"/>
      <c r="H787" s="58"/>
      <c r="I787" s="58"/>
      <c r="J787" s="58"/>
      <c r="K787" s="58"/>
      <c r="L787" s="58"/>
      <c r="M787" s="58"/>
      <c r="N787" s="58"/>
      <c r="O787" s="58"/>
      <c r="P787" s="58"/>
      <c r="Q787" s="58"/>
      <c r="R787" s="58"/>
      <c r="S787" s="58"/>
      <c r="T787" s="58"/>
      <c r="U787" s="58"/>
      <c r="V787" s="61"/>
      <c r="W787" s="61"/>
      <c r="X787" s="62"/>
      <c r="Y787" s="61"/>
      <c r="Z787" s="61"/>
      <c r="AA787" s="61"/>
      <c r="AB787" s="61"/>
      <c r="AC787" s="61"/>
      <c r="AD787" s="61"/>
      <c r="AE787" s="61"/>
      <c r="AF787" s="61"/>
      <c r="AG787" s="61"/>
      <c r="AH787" s="61"/>
      <c r="AI787" s="61"/>
      <c r="AJ787" s="62"/>
      <c r="AK787" s="61"/>
      <c r="AL787" s="62"/>
      <c r="AM787" s="61"/>
      <c r="AN787" s="61"/>
      <c r="AO787" s="61"/>
      <c r="AP787" s="63"/>
      <c r="AQ787" s="64"/>
      <c r="AR787" s="61"/>
      <c r="AS787" s="62"/>
      <c r="AT787" s="62"/>
      <c r="AU787" s="62"/>
      <c r="AV787" s="62"/>
      <c r="AW787" s="62"/>
      <c r="AX787" s="62"/>
      <c r="AY787" s="61"/>
      <c r="AZ787" s="61"/>
      <c r="BA787" s="61"/>
      <c r="BB787" s="61"/>
      <c r="BC787" s="61"/>
      <c r="BD787" s="61"/>
      <c r="BE787" s="61"/>
      <c r="BF787" s="61"/>
      <c r="BG787" s="61"/>
      <c r="BH787" s="61"/>
      <c r="BI787" s="61"/>
      <c r="BJ787" s="61"/>
      <c r="BK787" s="61"/>
      <c r="BL787" s="61"/>
      <c r="BM787" s="61"/>
      <c r="BN787" s="61"/>
      <c r="BO787" s="61"/>
      <c r="BP787" s="61"/>
      <c r="BQ787" s="61"/>
      <c r="BR787" s="61"/>
      <c r="BS787" s="61"/>
      <c r="BT787" s="61"/>
      <c r="BU787" s="61"/>
      <c r="BV787" s="61"/>
      <c r="BW787" s="61"/>
      <c r="BX787" s="61"/>
      <c r="BY787" s="61"/>
      <c r="BZ787" s="61"/>
      <c r="CA787" s="61"/>
      <c r="CB787" s="61"/>
      <c r="CC787" s="61"/>
      <c r="CD787" s="65"/>
      <c r="CE787" s="65"/>
      <c r="CF787" s="65"/>
      <c r="CG787" s="65"/>
      <c r="CH787" s="65"/>
      <c r="CI787" s="66"/>
      <c r="CJ787" s="66"/>
      <c r="CK787" s="66"/>
      <c r="CL787" s="66"/>
      <c r="CM787" s="66"/>
      <c r="CN787" s="66"/>
      <c r="CO787" s="66"/>
      <c r="CP787" s="66"/>
      <c r="CQ787" s="66"/>
      <c r="CR787" s="66"/>
      <c r="CS787" s="66"/>
      <c r="CT787" s="66"/>
      <c r="CU787" s="66"/>
      <c r="CV787" s="66"/>
      <c r="CW787" s="66"/>
      <c r="CX787" s="66"/>
      <c r="CY787" s="66"/>
      <c r="CZ787" s="66"/>
      <c r="DA787" s="66"/>
      <c r="DB787" s="66"/>
      <c r="DC787" s="66"/>
      <c r="DD787" s="66"/>
      <c r="DE787" s="66"/>
      <c r="DF787" s="66"/>
      <c r="DG787" s="66"/>
      <c r="DH787" s="66"/>
      <c r="DI787" s="66"/>
      <c r="DJ787" s="66"/>
      <c r="DK787" s="66"/>
      <c r="DL787" s="66"/>
      <c r="DM787" s="66"/>
      <c r="DN787" s="66"/>
      <c r="DO787" s="66"/>
      <c r="DP787" s="66"/>
      <c r="DQ787" s="66"/>
      <c r="DR787" s="66"/>
      <c r="DS787" s="66"/>
      <c r="DT787" s="66"/>
      <c r="DU787" s="65"/>
      <c r="DV787" s="67"/>
      <c r="DW787" s="68"/>
    </row>
    <row r="788" spans="4:127" s="80" customFormat="1">
      <c r="D788" s="58"/>
      <c r="E788" s="58"/>
      <c r="F788" s="58"/>
      <c r="G788" s="58"/>
      <c r="H788" s="58"/>
      <c r="I788" s="58"/>
      <c r="J788" s="58"/>
      <c r="K788" s="58"/>
      <c r="L788" s="58"/>
      <c r="M788" s="58"/>
      <c r="N788" s="58"/>
      <c r="O788" s="58"/>
      <c r="P788" s="58"/>
      <c r="Q788" s="58"/>
      <c r="R788" s="58"/>
      <c r="S788" s="58"/>
      <c r="T788" s="58"/>
      <c r="U788" s="58"/>
      <c r="V788" s="61"/>
      <c r="W788" s="61"/>
      <c r="X788" s="62"/>
      <c r="Y788" s="61"/>
      <c r="Z788" s="61"/>
      <c r="AA788" s="61"/>
      <c r="AB788" s="61"/>
      <c r="AC788" s="61"/>
      <c r="AD788" s="61"/>
      <c r="AE788" s="61"/>
      <c r="AF788" s="61"/>
      <c r="AG788" s="61"/>
      <c r="AH788" s="61"/>
      <c r="AI788" s="61"/>
      <c r="AJ788" s="62"/>
      <c r="AK788" s="61"/>
      <c r="AL788" s="62"/>
      <c r="AM788" s="61"/>
      <c r="AN788" s="61"/>
      <c r="AO788" s="61"/>
      <c r="AP788" s="63"/>
      <c r="AQ788" s="64"/>
      <c r="AR788" s="61"/>
      <c r="AS788" s="62"/>
      <c r="AT788" s="62"/>
      <c r="AU788" s="62"/>
      <c r="AV788" s="62"/>
      <c r="AW788" s="62"/>
      <c r="AX788" s="62"/>
      <c r="AY788" s="61"/>
      <c r="AZ788" s="61"/>
      <c r="BA788" s="61"/>
      <c r="BB788" s="61"/>
      <c r="BC788" s="61"/>
      <c r="BD788" s="61"/>
      <c r="BE788" s="61"/>
      <c r="BF788" s="61"/>
      <c r="BG788" s="61"/>
      <c r="BH788" s="61"/>
      <c r="BI788" s="61"/>
      <c r="BJ788" s="61"/>
      <c r="BK788" s="61"/>
      <c r="BL788" s="61"/>
      <c r="BM788" s="61"/>
      <c r="BN788" s="61"/>
      <c r="BO788" s="61"/>
      <c r="BP788" s="61"/>
      <c r="BQ788" s="61"/>
      <c r="BR788" s="61"/>
      <c r="BS788" s="61"/>
      <c r="BT788" s="61"/>
      <c r="BU788" s="61"/>
      <c r="BV788" s="61"/>
      <c r="BW788" s="61"/>
      <c r="BX788" s="61"/>
      <c r="BY788" s="61"/>
      <c r="BZ788" s="61"/>
      <c r="CA788" s="61"/>
      <c r="CB788" s="61"/>
      <c r="CC788" s="61"/>
      <c r="CD788" s="65"/>
      <c r="CE788" s="65"/>
      <c r="CF788" s="65"/>
      <c r="CG788" s="65"/>
      <c r="CH788" s="65"/>
      <c r="CI788" s="66"/>
      <c r="CJ788" s="66"/>
      <c r="CK788" s="66"/>
      <c r="CL788" s="66"/>
      <c r="CM788" s="66"/>
      <c r="CN788" s="66"/>
      <c r="CO788" s="66"/>
      <c r="CP788" s="66"/>
      <c r="CQ788" s="66"/>
      <c r="CR788" s="66"/>
      <c r="CS788" s="66"/>
      <c r="CT788" s="66"/>
      <c r="CU788" s="66"/>
      <c r="CV788" s="66"/>
      <c r="CW788" s="66"/>
      <c r="CX788" s="66"/>
      <c r="CY788" s="66"/>
      <c r="CZ788" s="66"/>
      <c r="DA788" s="66"/>
      <c r="DB788" s="66"/>
      <c r="DC788" s="66"/>
      <c r="DD788" s="66"/>
      <c r="DE788" s="66"/>
      <c r="DF788" s="66"/>
      <c r="DG788" s="66"/>
      <c r="DH788" s="66"/>
      <c r="DI788" s="66"/>
      <c r="DJ788" s="66"/>
      <c r="DK788" s="66"/>
      <c r="DL788" s="66"/>
      <c r="DM788" s="66"/>
      <c r="DN788" s="66"/>
      <c r="DO788" s="66"/>
      <c r="DP788" s="66"/>
      <c r="DQ788" s="66"/>
      <c r="DR788" s="66"/>
      <c r="DS788" s="66"/>
      <c r="DT788" s="66"/>
      <c r="DU788" s="65"/>
      <c r="DV788" s="67"/>
      <c r="DW788" s="68"/>
    </row>
    <row r="789" spans="4:127" s="80" customFormat="1">
      <c r="D789" s="58"/>
      <c r="E789" s="58"/>
      <c r="F789" s="58"/>
      <c r="G789" s="58"/>
      <c r="H789" s="58"/>
      <c r="I789" s="58"/>
      <c r="J789" s="58"/>
      <c r="K789" s="58"/>
      <c r="L789" s="58"/>
      <c r="M789" s="58"/>
      <c r="N789" s="58"/>
      <c r="O789" s="58"/>
      <c r="P789" s="58"/>
      <c r="Q789" s="58"/>
      <c r="R789" s="58"/>
      <c r="S789" s="58"/>
      <c r="T789" s="58"/>
      <c r="U789" s="58"/>
      <c r="V789" s="61"/>
      <c r="W789" s="61"/>
      <c r="X789" s="62"/>
      <c r="Y789" s="61"/>
      <c r="Z789" s="61"/>
      <c r="AA789" s="61"/>
      <c r="AB789" s="61"/>
      <c r="AC789" s="61"/>
      <c r="AD789" s="61"/>
      <c r="AE789" s="61"/>
      <c r="AF789" s="61"/>
      <c r="AG789" s="61"/>
      <c r="AH789" s="61"/>
      <c r="AI789" s="61"/>
      <c r="AJ789" s="62"/>
      <c r="AK789" s="61"/>
      <c r="AL789" s="62"/>
      <c r="AM789" s="61"/>
      <c r="AN789" s="61"/>
      <c r="AO789" s="61"/>
      <c r="AP789" s="63"/>
      <c r="AQ789" s="64"/>
      <c r="AR789" s="61"/>
      <c r="AS789" s="62"/>
      <c r="AT789" s="62"/>
      <c r="AU789" s="62"/>
      <c r="AV789" s="62"/>
      <c r="AW789" s="62"/>
      <c r="AX789" s="62"/>
      <c r="AY789" s="61"/>
      <c r="AZ789" s="61"/>
      <c r="BA789" s="61"/>
      <c r="BB789" s="61"/>
      <c r="BC789" s="61"/>
      <c r="BD789" s="61"/>
      <c r="BE789" s="61"/>
      <c r="BF789" s="61"/>
      <c r="BG789" s="61"/>
      <c r="BH789" s="61"/>
      <c r="BI789" s="61"/>
      <c r="BJ789" s="61"/>
      <c r="BK789" s="61"/>
      <c r="BL789" s="61"/>
      <c r="BM789" s="61"/>
      <c r="BN789" s="61"/>
      <c r="BO789" s="61"/>
      <c r="BP789" s="61"/>
      <c r="BQ789" s="61"/>
      <c r="BR789" s="61"/>
      <c r="BS789" s="61"/>
      <c r="BT789" s="61"/>
      <c r="BU789" s="61"/>
      <c r="BV789" s="61"/>
      <c r="BW789" s="61"/>
      <c r="BX789" s="61"/>
      <c r="BY789" s="61"/>
      <c r="BZ789" s="61"/>
      <c r="CA789" s="61"/>
      <c r="CB789" s="61"/>
      <c r="CC789" s="61"/>
      <c r="CD789" s="65"/>
      <c r="CE789" s="65"/>
      <c r="CF789" s="65"/>
      <c r="CG789" s="65"/>
      <c r="CH789" s="65"/>
      <c r="CI789" s="66"/>
      <c r="CJ789" s="66"/>
      <c r="CK789" s="66"/>
      <c r="CL789" s="66"/>
      <c r="CM789" s="66"/>
      <c r="CN789" s="66"/>
      <c r="CO789" s="66"/>
      <c r="CP789" s="66"/>
      <c r="CQ789" s="66"/>
      <c r="CR789" s="66"/>
      <c r="CS789" s="66"/>
      <c r="CT789" s="66"/>
      <c r="CU789" s="66"/>
      <c r="CV789" s="66"/>
      <c r="CW789" s="66"/>
      <c r="CX789" s="66"/>
      <c r="CY789" s="66"/>
      <c r="CZ789" s="66"/>
      <c r="DA789" s="66"/>
      <c r="DB789" s="66"/>
      <c r="DC789" s="66"/>
      <c r="DD789" s="66"/>
      <c r="DE789" s="66"/>
      <c r="DF789" s="66"/>
      <c r="DG789" s="66"/>
      <c r="DH789" s="66"/>
      <c r="DI789" s="66"/>
      <c r="DJ789" s="66"/>
      <c r="DK789" s="66"/>
      <c r="DL789" s="66"/>
      <c r="DM789" s="66"/>
      <c r="DN789" s="66"/>
      <c r="DO789" s="66"/>
      <c r="DP789" s="66"/>
      <c r="DQ789" s="66"/>
      <c r="DR789" s="66"/>
      <c r="DS789" s="66"/>
      <c r="DT789" s="66"/>
      <c r="DU789" s="65"/>
      <c r="DV789" s="67"/>
      <c r="DW789" s="68"/>
    </row>
    <row r="790" spans="4:127" s="80" customFormat="1">
      <c r="D790" s="58"/>
      <c r="E790" s="58"/>
      <c r="F790" s="58"/>
      <c r="G790" s="58"/>
      <c r="H790" s="58"/>
      <c r="I790" s="58"/>
      <c r="J790" s="58"/>
      <c r="K790" s="58"/>
      <c r="L790" s="58"/>
      <c r="M790" s="58"/>
      <c r="N790" s="58"/>
      <c r="O790" s="58"/>
      <c r="P790" s="58"/>
      <c r="Q790" s="58"/>
      <c r="R790" s="58"/>
      <c r="S790" s="58"/>
      <c r="T790" s="58"/>
      <c r="U790" s="58"/>
      <c r="V790" s="61"/>
      <c r="W790" s="61"/>
      <c r="X790" s="62"/>
      <c r="Y790" s="61"/>
      <c r="Z790" s="61"/>
      <c r="AA790" s="61"/>
      <c r="AB790" s="61"/>
      <c r="AC790" s="61"/>
      <c r="AD790" s="61"/>
      <c r="AE790" s="61"/>
      <c r="AF790" s="61"/>
      <c r="AG790" s="61"/>
      <c r="AH790" s="61"/>
      <c r="AI790" s="61"/>
      <c r="AJ790" s="62"/>
      <c r="AK790" s="61"/>
      <c r="AL790" s="62"/>
      <c r="AM790" s="61"/>
      <c r="AN790" s="61"/>
      <c r="AO790" s="61"/>
      <c r="AP790" s="63"/>
      <c r="AQ790" s="64"/>
      <c r="AR790" s="61"/>
      <c r="AS790" s="62"/>
      <c r="AT790" s="62"/>
      <c r="AU790" s="62"/>
      <c r="AV790" s="62"/>
      <c r="AW790" s="62"/>
      <c r="AX790" s="62"/>
      <c r="AY790" s="61"/>
      <c r="AZ790" s="61"/>
      <c r="BA790" s="61"/>
      <c r="BB790" s="61"/>
      <c r="BC790" s="61"/>
      <c r="BD790" s="61"/>
      <c r="BE790" s="61"/>
      <c r="BF790" s="61"/>
      <c r="BG790" s="61"/>
      <c r="BH790" s="61"/>
      <c r="BI790" s="61"/>
      <c r="BJ790" s="61"/>
      <c r="BK790" s="61"/>
      <c r="BL790" s="61"/>
      <c r="BM790" s="61"/>
      <c r="BN790" s="61"/>
      <c r="BO790" s="61"/>
      <c r="BP790" s="61"/>
      <c r="BQ790" s="61"/>
      <c r="BR790" s="61"/>
      <c r="BS790" s="61"/>
      <c r="BT790" s="61"/>
      <c r="BU790" s="61"/>
      <c r="BV790" s="61"/>
      <c r="BW790" s="61"/>
      <c r="BX790" s="61"/>
      <c r="BY790" s="61"/>
      <c r="BZ790" s="61"/>
      <c r="CA790" s="61"/>
      <c r="CB790" s="61"/>
      <c r="CC790" s="61"/>
      <c r="CD790" s="65"/>
      <c r="CE790" s="65"/>
      <c r="CF790" s="65"/>
      <c r="CG790" s="65"/>
      <c r="CH790" s="65"/>
      <c r="CI790" s="66"/>
      <c r="CJ790" s="66"/>
      <c r="CK790" s="66"/>
      <c r="CL790" s="66"/>
      <c r="CM790" s="66"/>
      <c r="CN790" s="66"/>
      <c r="CO790" s="66"/>
      <c r="CP790" s="66"/>
      <c r="CQ790" s="66"/>
      <c r="CR790" s="66"/>
      <c r="CS790" s="66"/>
      <c r="CT790" s="66"/>
      <c r="CU790" s="66"/>
      <c r="CV790" s="66"/>
      <c r="CW790" s="66"/>
      <c r="CX790" s="66"/>
      <c r="CY790" s="66"/>
      <c r="CZ790" s="66"/>
      <c r="DA790" s="66"/>
      <c r="DB790" s="66"/>
      <c r="DC790" s="66"/>
      <c r="DD790" s="66"/>
      <c r="DE790" s="66"/>
      <c r="DF790" s="66"/>
      <c r="DG790" s="66"/>
      <c r="DH790" s="66"/>
      <c r="DI790" s="66"/>
      <c r="DJ790" s="66"/>
      <c r="DK790" s="66"/>
      <c r="DL790" s="66"/>
      <c r="DM790" s="66"/>
      <c r="DN790" s="66"/>
      <c r="DO790" s="66"/>
      <c r="DP790" s="66"/>
      <c r="DQ790" s="66"/>
      <c r="DR790" s="66"/>
      <c r="DS790" s="66"/>
      <c r="DT790" s="66"/>
      <c r="DU790" s="65"/>
      <c r="DV790" s="67"/>
      <c r="DW790" s="68"/>
    </row>
    <row r="791" spans="4:127" s="80" customFormat="1">
      <c r="D791" s="58"/>
      <c r="E791" s="58"/>
      <c r="F791" s="58"/>
      <c r="G791" s="58"/>
      <c r="H791" s="58"/>
      <c r="I791" s="58"/>
      <c r="J791" s="58"/>
      <c r="K791" s="58"/>
      <c r="L791" s="58"/>
      <c r="M791" s="58"/>
      <c r="N791" s="58"/>
      <c r="O791" s="58"/>
      <c r="P791" s="58"/>
      <c r="Q791" s="58"/>
      <c r="R791" s="58"/>
      <c r="S791" s="58"/>
      <c r="T791" s="58"/>
      <c r="U791" s="58"/>
      <c r="V791" s="61"/>
      <c r="W791" s="61"/>
      <c r="X791" s="62"/>
      <c r="Y791" s="61"/>
      <c r="Z791" s="61"/>
      <c r="AA791" s="61"/>
      <c r="AB791" s="61"/>
      <c r="AC791" s="61"/>
      <c r="AD791" s="61"/>
      <c r="AE791" s="61"/>
      <c r="AF791" s="61"/>
      <c r="AG791" s="61"/>
      <c r="AH791" s="61"/>
      <c r="AI791" s="61"/>
      <c r="AJ791" s="62"/>
      <c r="AK791" s="61"/>
      <c r="AL791" s="62"/>
      <c r="AM791" s="61"/>
      <c r="AN791" s="61"/>
      <c r="AO791" s="61"/>
      <c r="AP791" s="63"/>
      <c r="AQ791" s="64"/>
      <c r="AR791" s="61"/>
      <c r="AS791" s="62"/>
      <c r="AT791" s="62"/>
      <c r="AU791" s="62"/>
      <c r="AV791" s="62"/>
      <c r="AW791" s="62"/>
      <c r="AX791" s="62"/>
      <c r="AY791" s="61"/>
      <c r="AZ791" s="61"/>
      <c r="BA791" s="61"/>
      <c r="BB791" s="61"/>
      <c r="BC791" s="61"/>
      <c r="BD791" s="61"/>
      <c r="BE791" s="61"/>
      <c r="BF791" s="61"/>
      <c r="BG791" s="61"/>
      <c r="BH791" s="61"/>
      <c r="BI791" s="61"/>
      <c r="BJ791" s="61"/>
      <c r="BK791" s="61"/>
      <c r="BL791" s="61"/>
      <c r="BM791" s="61"/>
      <c r="BN791" s="61"/>
      <c r="BO791" s="61"/>
      <c r="BP791" s="61"/>
      <c r="BQ791" s="61"/>
      <c r="BR791" s="61"/>
      <c r="BS791" s="61"/>
      <c r="BT791" s="61"/>
      <c r="BU791" s="61"/>
      <c r="BV791" s="61"/>
      <c r="BW791" s="61"/>
      <c r="BX791" s="61"/>
      <c r="BY791" s="61"/>
      <c r="BZ791" s="61"/>
      <c r="CA791" s="61"/>
      <c r="CB791" s="61"/>
      <c r="CC791" s="61"/>
      <c r="CD791" s="65"/>
      <c r="CE791" s="65"/>
      <c r="CF791" s="65"/>
      <c r="CG791" s="65"/>
      <c r="CH791" s="65"/>
      <c r="CI791" s="66"/>
      <c r="CJ791" s="66"/>
      <c r="CK791" s="66"/>
      <c r="CL791" s="66"/>
      <c r="CM791" s="66"/>
      <c r="CN791" s="66"/>
      <c r="CO791" s="66"/>
      <c r="CP791" s="66"/>
      <c r="CQ791" s="66"/>
      <c r="CR791" s="66"/>
      <c r="CS791" s="66"/>
      <c r="CT791" s="66"/>
      <c r="CU791" s="66"/>
      <c r="CV791" s="66"/>
      <c r="CW791" s="66"/>
      <c r="CX791" s="66"/>
      <c r="CY791" s="66"/>
      <c r="CZ791" s="66"/>
      <c r="DA791" s="66"/>
      <c r="DB791" s="66"/>
      <c r="DC791" s="66"/>
      <c r="DD791" s="66"/>
      <c r="DE791" s="66"/>
      <c r="DF791" s="66"/>
      <c r="DG791" s="66"/>
      <c r="DH791" s="66"/>
      <c r="DI791" s="66"/>
      <c r="DJ791" s="66"/>
      <c r="DK791" s="66"/>
      <c r="DL791" s="66"/>
      <c r="DM791" s="66"/>
      <c r="DN791" s="66"/>
      <c r="DO791" s="66"/>
      <c r="DP791" s="66"/>
      <c r="DQ791" s="66"/>
      <c r="DR791" s="66"/>
      <c r="DS791" s="66"/>
      <c r="DT791" s="66"/>
      <c r="DU791" s="65"/>
      <c r="DV791" s="67"/>
      <c r="DW791" s="68"/>
    </row>
    <row r="792" spans="4:127" s="80" customFormat="1">
      <c r="D792" s="58"/>
      <c r="E792" s="58"/>
      <c r="F792" s="58"/>
      <c r="G792" s="58"/>
      <c r="H792" s="58"/>
      <c r="I792" s="58"/>
      <c r="J792" s="58"/>
      <c r="K792" s="58"/>
      <c r="L792" s="58"/>
      <c r="M792" s="58"/>
      <c r="N792" s="58"/>
      <c r="O792" s="58"/>
      <c r="P792" s="58"/>
      <c r="Q792" s="58"/>
      <c r="R792" s="58"/>
      <c r="S792" s="58"/>
      <c r="T792" s="58"/>
      <c r="U792" s="58"/>
      <c r="V792" s="61"/>
      <c r="W792" s="61"/>
      <c r="X792" s="62"/>
      <c r="Y792" s="61"/>
      <c r="Z792" s="61"/>
      <c r="AA792" s="61"/>
      <c r="AB792" s="61"/>
      <c r="AC792" s="61"/>
      <c r="AD792" s="61"/>
      <c r="AE792" s="61"/>
      <c r="AF792" s="61"/>
      <c r="AG792" s="61"/>
      <c r="AH792" s="61"/>
      <c r="AI792" s="61"/>
      <c r="AJ792" s="62"/>
      <c r="AK792" s="61"/>
      <c r="AL792" s="62"/>
      <c r="AM792" s="61"/>
      <c r="AN792" s="61"/>
      <c r="AO792" s="61"/>
      <c r="AP792" s="63"/>
      <c r="AQ792" s="64"/>
      <c r="AR792" s="61"/>
      <c r="AS792" s="62"/>
      <c r="AT792" s="62"/>
      <c r="AU792" s="62"/>
      <c r="AV792" s="62"/>
      <c r="AW792" s="62"/>
      <c r="AX792" s="62"/>
      <c r="AY792" s="61"/>
      <c r="AZ792" s="61"/>
      <c r="BA792" s="61"/>
      <c r="BB792" s="61"/>
      <c r="BC792" s="61"/>
      <c r="BD792" s="61"/>
      <c r="BE792" s="61"/>
      <c r="BF792" s="61"/>
      <c r="BG792" s="61"/>
      <c r="BH792" s="61"/>
      <c r="BI792" s="61"/>
      <c r="BJ792" s="61"/>
      <c r="BK792" s="61"/>
      <c r="BL792" s="61"/>
      <c r="BM792" s="61"/>
      <c r="BN792" s="61"/>
      <c r="BO792" s="61"/>
      <c r="BP792" s="61"/>
      <c r="BQ792" s="61"/>
      <c r="BR792" s="61"/>
      <c r="BS792" s="61"/>
      <c r="BT792" s="61"/>
      <c r="BU792" s="61"/>
      <c r="BV792" s="61"/>
      <c r="BW792" s="61"/>
      <c r="BX792" s="61"/>
      <c r="BY792" s="61"/>
      <c r="BZ792" s="61"/>
      <c r="CA792" s="61"/>
      <c r="CB792" s="61"/>
      <c r="CC792" s="61"/>
      <c r="CD792" s="65"/>
      <c r="CE792" s="65"/>
      <c r="CF792" s="65"/>
      <c r="CG792" s="65"/>
      <c r="CH792" s="65"/>
      <c r="CI792" s="66"/>
      <c r="CJ792" s="66"/>
      <c r="CK792" s="66"/>
      <c r="CL792" s="66"/>
      <c r="CM792" s="66"/>
      <c r="CN792" s="66"/>
      <c r="CO792" s="66"/>
      <c r="CP792" s="66"/>
      <c r="CQ792" s="66"/>
      <c r="CR792" s="66"/>
      <c r="CS792" s="66"/>
      <c r="CT792" s="66"/>
      <c r="CU792" s="66"/>
      <c r="CV792" s="66"/>
      <c r="CW792" s="66"/>
      <c r="CX792" s="66"/>
      <c r="CY792" s="66"/>
      <c r="CZ792" s="66"/>
      <c r="DA792" s="66"/>
      <c r="DB792" s="66"/>
      <c r="DC792" s="66"/>
      <c r="DD792" s="66"/>
      <c r="DE792" s="66"/>
      <c r="DF792" s="66"/>
      <c r="DG792" s="66"/>
      <c r="DH792" s="66"/>
      <c r="DI792" s="66"/>
      <c r="DJ792" s="66"/>
      <c r="DK792" s="66"/>
      <c r="DL792" s="66"/>
      <c r="DM792" s="66"/>
      <c r="DN792" s="66"/>
      <c r="DO792" s="66"/>
      <c r="DP792" s="66"/>
      <c r="DQ792" s="66"/>
      <c r="DR792" s="66"/>
      <c r="DS792" s="66"/>
      <c r="DT792" s="66"/>
      <c r="DU792" s="65"/>
      <c r="DV792" s="67"/>
      <c r="DW792" s="68"/>
    </row>
    <row r="793" spans="4:127" s="80" customFormat="1">
      <c r="D793" s="58"/>
      <c r="E793" s="58"/>
      <c r="F793" s="58"/>
      <c r="G793" s="58"/>
      <c r="H793" s="58"/>
      <c r="I793" s="58"/>
      <c r="J793" s="58"/>
      <c r="K793" s="58"/>
      <c r="L793" s="58"/>
      <c r="M793" s="58"/>
      <c r="N793" s="58"/>
      <c r="O793" s="58"/>
      <c r="P793" s="58"/>
      <c r="Q793" s="58"/>
      <c r="R793" s="58"/>
      <c r="S793" s="58"/>
      <c r="T793" s="58"/>
      <c r="U793" s="58"/>
      <c r="V793" s="61"/>
      <c r="W793" s="61"/>
      <c r="X793" s="62"/>
      <c r="Y793" s="61"/>
      <c r="Z793" s="61"/>
      <c r="AA793" s="61"/>
      <c r="AB793" s="61"/>
      <c r="AC793" s="61"/>
      <c r="AD793" s="61"/>
      <c r="AE793" s="61"/>
      <c r="AF793" s="61"/>
      <c r="AG793" s="61"/>
      <c r="AH793" s="61"/>
      <c r="AI793" s="61"/>
      <c r="AJ793" s="62"/>
      <c r="AK793" s="61"/>
      <c r="AL793" s="62"/>
      <c r="AM793" s="61"/>
      <c r="AN793" s="61"/>
      <c r="AO793" s="61"/>
      <c r="AP793" s="63"/>
      <c r="AQ793" s="64"/>
      <c r="AR793" s="61"/>
      <c r="AS793" s="62"/>
      <c r="AT793" s="62"/>
      <c r="AU793" s="62"/>
      <c r="AV793" s="62"/>
      <c r="AW793" s="62"/>
      <c r="AX793" s="62"/>
      <c r="AY793" s="61"/>
      <c r="AZ793" s="61"/>
      <c r="BA793" s="61"/>
      <c r="BB793" s="61"/>
      <c r="BC793" s="61"/>
      <c r="BD793" s="61"/>
      <c r="BE793" s="61"/>
      <c r="BF793" s="61"/>
      <c r="BG793" s="61"/>
      <c r="BH793" s="61"/>
      <c r="BI793" s="61"/>
      <c r="BJ793" s="61"/>
      <c r="BK793" s="61"/>
      <c r="BL793" s="61"/>
      <c r="BM793" s="61"/>
      <c r="BN793" s="61"/>
      <c r="BO793" s="61"/>
      <c r="BP793" s="61"/>
      <c r="BQ793" s="61"/>
      <c r="BR793" s="61"/>
      <c r="BS793" s="61"/>
      <c r="BT793" s="61"/>
      <c r="BU793" s="61"/>
      <c r="BV793" s="61"/>
      <c r="BW793" s="61"/>
      <c r="BX793" s="61"/>
      <c r="BY793" s="61"/>
      <c r="BZ793" s="61"/>
      <c r="CA793" s="61"/>
      <c r="CB793" s="61"/>
      <c r="CC793" s="61"/>
      <c r="CD793" s="65"/>
      <c r="CE793" s="65"/>
      <c r="CF793" s="65"/>
      <c r="CG793" s="65"/>
      <c r="CH793" s="65"/>
      <c r="CI793" s="66"/>
      <c r="CJ793" s="66"/>
      <c r="CK793" s="66"/>
      <c r="CL793" s="66"/>
      <c r="CM793" s="66"/>
      <c r="CN793" s="66"/>
      <c r="CO793" s="66"/>
      <c r="CP793" s="66"/>
      <c r="CQ793" s="66"/>
      <c r="CR793" s="66"/>
      <c r="CS793" s="66"/>
      <c r="CT793" s="66"/>
      <c r="CU793" s="66"/>
      <c r="CV793" s="66"/>
      <c r="CW793" s="66"/>
      <c r="CX793" s="66"/>
      <c r="CY793" s="66"/>
      <c r="CZ793" s="66"/>
      <c r="DA793" s="66"/>
      <c r="DB793" s="66"/>
      <c r="DC793" s="66"/>
      <c r="DD793" s="66"/>
      <c r="DE793" s="66"/>
      <c r="DF793" s="66"/>
      <c r="DG793" s="66"/>
      <c r="DH793" s="66"/>
      <c r="DI793" s="66"/>
      <c r="DJ793" s="66"/>
      <c r="DK793" s="66"/>
      <c r="DL793" s="66"/>
      <c r="DM793" s="66"/>
      <c r="DN793" s="66"/>
      <c r="DO793" s="66"/>
      <c r="DP793" s="66"/>
      <c r="DQ793" s="66"/>
      <c r="DR793" s="66"/>
      <c r="DS793" s="66"/>
      <c r="DT793" s="66"/>
      <c r="DU793" s="65"/>
      <c r="DV793" s="67"/>
      <c r="DW793" s="68"/>
    </row>
    <row r="794" spans="4:127" s="80" customFormat="1">
      <c r="D794" s="58"/>
      <c r="E794" s="58"/>
      <c r="F794" s="58"/>
      <c r="G794" s="58"/>
      <c r="H794" s="58"/>
      <c r="I794" s="58"/>
      <c r="J794" s="58"/>
      <c r="K794" s="58"/>
      <c r="L794" s="58"/>
      <c r="M794" s="58"/>
      <c r="N794" s="58"/>
      <c r="O794" s="58"/>
      <c r="P794" s="58"/>
      <c r="Q794" s="58"/>
      <c r="R794" s="58"/>
      <c r="S794" s="58"/>
      <c r="T794" s="58"/>
      <c r="U794" s="58"/>
      <c r="V794" s="61"/>
      <c r="W794" s="61"/>
      <c r="X794" s="62"/>
      <c r="Y794" s="61"/>
      <c r="Z794" s="61"/>
      <c r="AA794" s="61"/>
      <c r="AB794" s="61"/>
      <c r="AC794" s="61"/>
      <c r="AD794" s="61"/>
      <c r="AE794" s="61"/>
      <c r="AF794" s="61"/>
      <c r="AG794" s="61"/>
      <c r="AH794" s="61"/>
      <c r="AI794" s="61"/>
      <c r="AJ794" s="62"/>
      <c r="AK794" s="61"/>
      <c r="AL794" s="62"/>
      <c r="AM794" s="61"/>
      <c r="AN794" s="61"/>
      <c r="AO794" s="61"/>
      <c r="AP794" s="63"/>
      <c r="AQ794" s="64"/>
      <c r="AR794" s="61"/>
      <c r="AS794" s="62"/>
      <c r="AT794" s="62"/>
      <c r="AU794" s="62"/>
      <c r="AV794" s="62"/>
      <c r="AW794" s="62"/>
      <c r="AX794" s="62"/>
      <c r="AY794" s="61"/>
      <c r="AZ794" s="61"/>
      <c r="BA794" s="61"/>
      <c r="BB794" s="61"/>
      <c r="BC794" s="61"/>
      <c r="BD794" s="61"/>
      <c r="BE794" s="61"/>
      <c r="BF794" s="61"/>
      <c r="BG794" s="61"/>
      <c r="BH794" s="61"/>
      <c r="BI794" s="61"/>
      <c r="BJ794" s="61"/>
      <c r="BK794" s="61"/>
      <c r="BL794" s="61"/>
      <c r="BM794" s="61"/>
      <c r="BN794" s="61"/>
      <c r="BO794" s="61"/>
      <c r="BP794" s="61"/>
      <c r="BQ794" s="61"/>
      <c r="BR794" s="61"/>
      <c r="BS794" s="61"/>
      <c r="BT794" s="61"/>
      <c r="BU794" s="61"/>
      <c r="BV794" s="61"/>
      <c r="BW794" s="61"/>
      <c r="BX794" s="61"/>
      <c r="BY794" s="61"/>
      <c r="BZ794" s="61"/>
      <c r="CA794" s="61"/>
      <c r="CB794" s="61"/>
      <c r="CC794" s="61"/>
      <c r="CD794" s="65"/>
      <c r="CE794" s="65"/>
      <c r="CF794" s="65"/>
      <c r="CG794" s="65"/>
      <c r="CH794" s="65"/>
      <c r="CI794" s="66"/>
      <c r="CJ794" s="66"/>
      <c r="CK794" s="66"/>
      <c r="CL794" s="66"/>
      <c r="CM794" s="66"/>
      <c r="CN794" s="66"/>
      <c r="CO794" s="66"/>
      <c r="CP794" s="66"/>
      <c r="CQ794" s="66"/>
      <c r="CR794" s="66"/>
      <c r="CS794" s="66"/>
      <c r="CT794" s="66"/>
      <c r="CU794" s="66"/>
      <c r="CV794" s="66"/>
      <c r="CW794" s="66"/>
      <c r="CX794" s="66"/>
      <c r="CY794" s="66"/>
      <c r="CZ794" s="66"/>
      <c r="DA794" s="66"/>
      <c r="DB794" s="66"/>
      <c r="DC794" s="66"/>
      <c r="DD794" s="66"/>
      <c r="DE794" s="66"/>
      <c r="DF794" s="66"/>
      <c r="DG794" s="66"/>
      <c r="DH794" s="66"/>
      <c r="DI794" s="66"/>
      <c r="DJ794" s="66"/>
      <c r="DK794" s="66"/>
      <c r="DL794" s="66"/>
      <c r="DM794" s="66"/>
      <c r="DN794" s="66"/>
      <c r="DO794" s="66"/>
      <c r="DP794" s="66"/>
      <c r="DQ794" s="66"/>
      <c r="DR794" s="66"/>
      <c r="DS794" s="66"/>
      <c r="DT794" s="66"/>
      <c r="DU794" s="65"/>
      <c r="DV794" s="67"/>
      <c r="DW794" s="68"/>
    </row>
    <row r="795" spans="4:127" s="80" customFormat="1">
      <c r="D795" s="58"/>
      <c r="E795" s="58"/>
      <c r="F795" s="58"/>
      <c r="G795" s="58"/>
      <c r="H795" s="58"/>
      <c r="I795" s="58"/>
      <c r="J795" s="58"/>
      <c r="K795" s="58"/>
      <c r="L795" s="58"/>
      <c r="M795" s="58"/>
      <c r="N795" s="58"/>
      <c r="O795" s="58"/>
      <c r="P795" s="58"/>
      <c r="Q795" s="58"/>
      <c r="R795" s="58"/>
      <c r="S795" s="58"/>
      <c r="T795" s="58"/>
      <c r="U795" s="58"/>
      <c r="V795" s="61"/>
      <c r="W795" s="61"/>
      <c r="X795" s="62"/>
      <c r="Y795" s="61"/>
      <c r="Z795" s="61"/>
      <c r="AA795" s="61"/>
      <c r="AB795" s="61"/>
      <c r="AC795" s="61"/>
      <c r="AD795" s="61"/>
      <c r="AE795" s="61"/>
      <c r="AF795" s="61"/>
      <c r="AG795" s="61"/>
      <c r="AH795" s="61"/>
      <c r="AI795" s="61"/>
      <c r="AJ795" s="62"/>
      <c r="AK795" s="61"/>
      <c r="AL795" s="62"/>
      <c r="AM795" s="61"/>
      <c r="AN795" s="61"/>
      <c r="AO795" s="61"/>
      <c r="AP795" s="63"/>
      <c r="AQ795" s="64"/>
      <c r="AR795" s="61"/>
      <c r="AS795" s="62"/>
      <c r="AT795" s="62"/>
      <c r="AU795" s="62"/>
      <c r="AV795" s="62"/>
      <c r="AW795" s="62"/>
      <c r="AX795" s="62"/>
      <c r="AY795" s="61"/>
      <c r="AZ795" s="61"/>
      <c r="BA795" s="61"/>
      <c r="BB795" s="61"/>
      <c r="BC795" s="61"/>
      <c r="BD795" s="61"/>
      <c r="BE795" s="61"/>
      <c r="BF795" s="61"/>
      <c r="BG795" s="61"/>
      <c r="BH795" s="61"/>
      <c r="BI795" s="61"/>
      <c r="BJ795" s="61"/>
      <c r="BK795" s="61"/>
      <c r="BL795" s="61"/>
      <c r="BM795" s="61"/>
      <c r="BN795" s="61"/>
      <c r="BO795" s="61"/>
      <c r="BP795" s="61"/>
      <c r="BQ795" s="61"/>
      <c r="BR795" s="61"/>
      <c r="BS795" s="61"/>
      <c r="BT795" s="61"/>
      <c r="BU795" s="61"/>
      <c r="BV795" s="61"/>
      <c r="BW795" s="61"/>
      <c r="BX795" s="61"/>
      <c r="BY795" s="61"/>
      <c r="BZ795" s="61"/>
      <c r="CA795" s="61"/>
      <c r="CB795" s="61"/>
      <c r="CC795" s="61"/>
      <c r="CD795" s="65"/>
      <c r="CE795" s="65"/>
      <c r="CF795" s="65"/>
      <c r="CG795" s="65"/>
      <c r="CH795" s="65"/>
      <c r="CI795" s="66"/>
      <c r="CJ795" s="66"/>
      <c r="CK795" s="66"/>
      <c r="CL795" s="66"/>
      <c r="CM795" s="66"/>
      <c r="CN795" s="66"/>
      <c r="CO795" s="66"/>
      <c r="CP795" s="66"/>
      <c r="CQ795" s="66"/>
      <c r="CR795" s="66"/>
      <c r="CS795" s="66"/>
      <c r="CT795" s="66"/>
      <c r="CU795" s="66"/>
      <c r="CV795" s="66"/>
      <c r="CW795" s="66"/>
      <c r="CX795" s="66"/>
      <c r="CY795" s="66"/>
      <c r="CZ795" s="66"/>
      <c r="DA795" s="66"/>
      <c r="DB795" s="66"/>
      <c r="DC795" s="66"/>
      <c r="DD795" s="66"/>
      <c r="DE795" s="66"/>
      <c r="DF795" s="66"/>
      <c r="DG795" s="66"/>
      <c r="DH795" s="66"/>
      <c r="DI795" s="66"/>
      <c r="DJ795" s="66"/>
      <c r="DK795" s="66"/>
      <c r="DL795" s="66"/>
      <c r="DM795" s="66"/>
      <c r="DN795" s="66"/>
      <c r="DO795" s="66"/>
      <c r="DP795" s="66"/>
      <c r="DQ795" s="66"/>
      <c r="DR795" s="66"/>
      <c r="DS795" s="66"/>
      <c r="DT795" s="66"/>
      <c r="DU795" s="65"/>
      <c r="DV795" s="67"/>
      <c r="DW795" s="68"/>
    </row>
    <row r="796" spans="4:127" s="80" customFormat="1">
      <c r="D796" s="58"/>
      <c r="E796" s="58"/>
      <c r="F796" s="58"/>
      <c r="G796" s="58"/>
      <c r="H796" s="58"/>
      <c r="I796" s="58"/>
      <c r="J796" s="58"/>
      <c r="K796" s="58"/>
      <c r="L796" s="58"/>
      <c r="M796" s="58"/>
      <c r="N796" s="58"/>
      <c r="O796" s="58"/>
      <c r="P796" s="58"/>
      <c r="Q796" s="58"/>
      <c r="R796" s="58"/>
      <c r="S796" s="58"/>
      <c r="T796" s="58"/>
      <c r="U796" s="58"/>
      <c r="V796" s="61"/>
      <c r="W796" s="61"/>
      <c r="X796" s="62"/>
      <c r="Y796" s="61"/>
      <c r="Z796" s="61"/>
      <c r="AA796" s="61"/>
      <c r="AB796" s="61"/>
      <c r="AC796" s="61"/>
      <c r="AD796" s="61"/>
      <c r="AE796" s="61"/>
      <c r="AF796" s="61"/>
      <c r="AG796" s="61"/>
      <c r="AH796" s="61"/>
      <c r="AI796" s="61"/>
      <c r="AJ796" s="62"/>
      <c r="AK796" s="61"/>
      <c r="AL796" s="62"/>
      <c r="AM796" s="61"/>
      <c r="AN796" s="61"/>
      <c r="AO796" s="61"/>
      <c r="AP796" s="63"/>
      <c r="AQ796" s="64"/>
      <c r="AR796" s="61"/>
      <c r="AS796" s="62"/>
      <c r="AT796" s="62"/>
      <c r="AU796" s="62"/>
      <c r="AV796" s="62"/>
      <c r="AW796" s="62"/>
      <c r="AX796" s="62"/>
      <c r="AY796" s="61"/>
      <c r="AZ796" s="61"/>
      <c r="BA796" s="61"/>
      <c r="BB796" s="61"/>
      <c r="BC796" s="61"/>
      <c r="BD796" s="61"/>
      <c r="BE796" s="61"/>
      <c r="BF796" s="61"/>
      <c r="BG796" s="61"/>
      <c r="BH796" s="61"/>
      <c r="BI796" s="61"/>
      <c r="BJ796" s="61"/>
      <c r="BK796" s="61"/>
      <c r="BL796" s="61"/>
      <c r="BM796" s="61"/>
      <c r="BN796" s="61"/>
      <c r="BO796" s="61"/>
      <c r="BP796" s="61"/>
      <c r="BQ796" s="61"/>
      <c r="BR796" s="61"/>
      <c r="BS796" s="61"/>
      <c r="BT796" s="61"/>
      <c r="BU796" s="61"/>
      <c r="BV796" s="61"/>
      <c r="BW796" s="61"/>
      <c r="BX796" s="61"/>
      <c r="BY796" s="61"/>
      <c r="BZ796" s="61"/>
      <c r="CA796" s="61"/>
      <c r="CB796" s="61"/>
      <c r="CC796" s="61"/>
      <c r="CD796" s="65"/>
      <c r="CE796" s="65"/>
      <c r="CF796" s="65"/>
      <c r="CG796" s="65"/>
      <c r="CH796" s="65"/>
      <c r="CI796" s="66"/>
      <c r="CJ796" s="66"/>
      <c r="CK796" s="66"/>
      <c r="CL796" s="66"/>
      <c r="CM796" s="66"/>
      <c r="CN796" s="66"/>
      <c r="CO796" s="66"/>
      <c r="CP796" s="66"/>
      <c r="CQ796" s="66"/>
      <c r="CR796" s="66"/>
      <c r="CS796" s="66"/>
      <c r="CT796" s="66"/>
      <c r="CU796" s="66"/>
      <c r="CV796" s="66"/>
      <c r="CW796" s="66"/>
      <c r="CX796" s="66"/>
      <c r="CY796" s="66"/>
      <c r="CZ796" s="66"/>
      <c r="DA796" s="66"/>
      <c r="DB796" s="66"/>
      <c r="DC796" s="66"/>
      <c r="DD796" s="66"/>
      <c r="DE796" s="66"/>
      <c r="DF796" s="66"/>
      <c r="DG796" s="66"/>
      <c r="DH796" s="66"/>
      <c r="DI796" s="66"/>
      <c r="DJ796" s="66"/>
      <c r="DK796" s="66"/>
      <c r="DL796" s="66"/>
      <c r="DM796" s="66"/>
      <c r="DN796" s="66"/>
      <c r="DO796" s="66"/>
      <c r="DP796" s="66"/>
      <c r="DQ796" s="66"/>
      <c r="DR796" s="66"/>
      <c r="DS796" s="66"/>
      <c r="DT796" s="66"/>
      <c r="DU796" s="65"/>
      <c r="DV796" s="67"/>
      <c r="DW796" s="68"/>
    </row>
    <row r="797" spans="4:127" s="80" customFormat="1">
      <c r="D797" s="58"/>
      <c r="E797" s="58"/>
      <c r="F797" s="58"/>
      <c r="G797" s="58"/>
      <c r="H797" s="58"/>
      <c r="I797" s="58"/>
      <c r="J797" s="58"/>
      <c r="K797" s="58"/>
      <c r="L797" s="58"/>
      <c r="M797" s="58"/>
      <c r="N797" s="58"/>
      <c r="O797" s="58"/>
      <c r="P797" s="58"/>
      <c r="Q797" s="58"/>
      <c r="R797" s="58"/>
      <c r="S797" s="58"/>
      <c r="T797" s="58"/>
      <c r="U797" s="58"/>
      <c r="V797" s="61"/>
      <c r="W797" s="61"/>
      <c r="X797" s="62"/>
      <c r="Y797" s="61"/>
      <c r="Z797" s="61"/>
      <c r="AA797" s="61"/>
      <c r="AB797" s="61"/>
      <c r="AC797" s="61"/>
      <c r="AD797" s="61"/>
      <c r="AE797" s="61"/>
      <c r="AF797" s="61"/>
      <c r="AG797" s="61"/>
      <c r="AH797" s="61"/>
      <c r="AI797" s="61"/>
      <c r="AJ797" s="62"/>
      <c r="AK797" s="61"/>
      <c r="AL797" s="62"/>
      <c r="AM797" s="61"/>
      <c r="AN797" s="61"/>
      <c r="AO797" s="61"/>
      <c r="AP797" s="63"/>
      <c r="AQ797" s="64"/>
      <c r="AR797" s="61"/>
      <c r="AS797" s="62"/>
      <c r="AT797" s="62"/>
      <c r="AU797" s="62"/>
      <c r="AV797" s="62"/>
      <c r="AW797" s="62"/>
      <c r="AX797" s="62"/>
      <c r="AY797" s="61"/>
      <c r="AZ797" s="61"/>
      <c r="BA797" s="61"/>
      <c r="BB797" s="61"/>
      <c r="BC797" s="61"/>
      <c r="BD797" s="61"/>
      <c r="BE797" s="61"/>
      <c r="BF797" s="61"/>
      <c r="BG797" s="61"/>
      <c r="BH797" s="61"/>
      <c r="BI797" s="61"/>
      <c r="BJ797" s="61"/>
      <c r="BK797" s="61"/>
      <c r="BL797" s="61"/>
      <c r="BM797" s="61"/>
      <c r="BN797" s="61"/>
      <c r="BO797" s="61"/>
      <c r="BP797" s="61"/>
      <c r="BQ797" s="61"/>
      <c r="BR797" s="61"/>
      <c r="BS797" s="61"/>
      <c r="BT797" s="61"/>
      <c r="BU797" s="61"/>
      <c r="BV797" s="61"/>
      <c r="BW797" s="61"/>
      <c r="BX797" s="61"/>
      <c r="BY797" s="61"/>
      <c r="BZ797" s="61"/>
      <c r="CA797" s="61"/>
      <c r="CB797" s="61"/>
      <c r="CC797" s="61"/>
      <c r="CD797" s="65"/>
      <c r="CE797" s="65"/>
      <c r="CF797" s="65"/>
      <c r="CG797" s="65"/>
      <c r="CH797" s="65"/>
      <c r="CI797" s="66"/>
      <c r="CJ797" s="66"/>
      <c r="CK797" s="66"/>
      <c r="CL797" s="66"/>
      <c r="CM797" s="66"/>
      <c r="CN797" s="66"/>
      <c r="CO797" s="66"/>
      <c r="CP797" s="66"/>
      <c r="CQ797" s="66"/>
      <c r="CR797" s="66"/>
      <c r="CS797" s="66"/>
      <c r="CT797" s="66"/>
      <c r="CU797" s="66"/>
      <c r="CV797" s="66"/>
      <c r="CW797" s="66"/>
      <c r="CX797" s="66"/>
      <c r="CY797" s="66"/>
      <c r="CZ797" s="66"/>
      <c r="DA797" s="66"/>
      <c r="DB797" s="66"/>
      <c r="DC797" s="66"/>
      <c r="DD797" s="66"/>
      <c r="DE797" s="66"/>
      <c r="DF797" s="66"/>
      <c r="DG797" s="66"/>
      <c r="DH797" s="66"/>
      <c r="DI797" s="66"/>
      <c r="DJ797" s="66"/>
      <c r="DK797" s="66"/>
      <c r="DL797" s="66"/>
      <c r="DM797" s="66"/>
      <c r="DN797" s="66"/>
      <c r="DO797" s="66"/>
      <c r="DP797" s="66"/>
      <c r="DQ797" s="66"/>
      <c r="DR797" s="66"/>
      <c r="DS797" s="66"/>
      <c r="DT797" s="66"/>
      <c r="DU797" s="65"/>
      <c r="DV797" s="67"/>
      <c r="DW797" s="68"/>
    </row>
    <row r="798" spans="4:127" s="80" customFormat="1">
      <c r="D798" s="58"/>
      <c r="E798" s="58"/>
      <c r="F798" s="58"/>
      <c r="G798" s="58"/>
      <c r="H798" s="58"/>
      <c r="I798" s="58"/>
      <c r="J798" s="58"/>
      <c r="K798" s="58"/>
      <c r="L798" s="58"/>
      <c r="M798" s="58"/>
      <c r="N798" s="58"/>
      <c r="O798" s="58"/>
      <c r="P798" s="58"/>
      <c r="Q798" s="58"/>
      <c r="R798" s="58"/>
      <c r="S798" s="58"/>
      <c r="T798" s="58"/>
      <c r="U798" s="58"/>
      <c r="V798" s="61"/>
      <c r="W798" s="61"/>
      <c r="X798" s="62"/>
      <c r="Y798" s="61"/>
      <c r="Z798" s="61"/>
      <c r="AA798" s="61"/>
      <c r="AB798" s="61"/>
      <c r="AC798" s="61"/>
      <c r="AD798" s="61"/>
      <c r="AE798" s="61"/>
      <c r="AF798" s="61"/>
      <c r="AG798" s="61"/>
      <c r="AH798" s="61"/>
      <c r="AI798" s="61"/>
      <c r="AJ798" s="62"/>
      <c r="AK798" s="61"/>
      <c r="AL798" s="62"/>
      <c r="AM798" s="61"/>
      <c r="AN798" s="61"/>
      <c r="AO798" s="61"/>
      <c r="AP798" s="63"/>
      <c r="AQ798" s="64"/>
      <c r="AR798" s="61"/>
      <c r="AS798" s="62"/>
      <c r="AT798" s="62"/>
      <c r="AU798" s="62"/>
      <c r="AV798" s="62"/>
      <c r="AW798" s="62"/>
      <c r="AX798" s="62"/>
      <c r="AY798" s="61"/>
      <c r="AZ798" s="61"/>
      <c r="BA798" s="61"/>
      <c r="BB798" s="61"/>
      <c r="BC798" s="61"/>
      <c r="BD798" s="61"/>
      <c r="BE798" s="61"/>
      <c r="BF798" s="61"/>
      <c r="BG798" s="61"/>
      <c r="BH798" s="61"/>
      <c r="BI798" s="61"/>
      <c r="BJ798" s="61"/>
      <c r="BK798" s="61"/>
      <c r="BL798" s="61"/>
      <c r="BM798" s="61"/>
      <c r="BN798" s="61"/>
      <c r="BO798" s="61"/>
      <c r="BP798" s="61"/>
      <c r="BQ798" s="61"/>
      <c r="BR798" s="61"/>
      <c r="BS798" s="61"/>
      <c r="BT798" s="61"/>
      <c r="BU798" s="61"/>
      <c r="BV798" s="61"/>
      <c r="BW798" s="61"/>
      <c r="BX798" s="61"/>
      <c r="BY798" s="61"/>
      <c r="BZ798" s="61"/>
      <c r="CA798" s="61"/>
      <c r="CB798" s="61"/>
      <c r="CC798" s="61"/>
      <c r="CD798" s="65"/>
      <c r="CE798" s="65"/>
      <c r="CF798" s="65"/>
      <c r="CG798" s="65"/>
      <c r="CH798" s="65"/>
      <c r="CI798" s="66"/>
      <c r="CJ798" s="66"/>
      <c r="CK798" s="66"/>
      <c r="CL798" s="66"/>
      <c r="CM798" s="66"/>
      <c r="CN798" s="66"/>
      <c r="CO798" s="66"/>
      <c r="CP798" s="66"/>
      <c r="CQ798" s="66"/>
      <c r="CR798" s="66"/>
      <c r="CS798" s="66"/>
      <c r="CT798" s="66"/>
      <c r="CU798" s="66"/>
      <c r="CV798" s="66"/>
      <c r="CW798" s="66"/>
      <c r="CX798" s="66"/>
      <c r="CY798" s="66"/>
      <c r="CZ798" s="66"/>
      <c r="DA798" s="66"/>
      <c r="DB798" s="66"/>
      <c r="DC798" s="66"/>
      <c r="DD798" s="66"/>
      <c r="DE798" s="66"/>
      <c r="DF798" s="66"/>
      <c r="DG798" s="66"/>
      <c r="DH798" s="66"/>
      <c r="DI798" s="66"/>
      <c r="DJ798" s="66"/>
      <c r="DK798" s="66"/>
      <c r="DL798" s="66"/>
      <c r="DM798" s="66"/>
      <c r="DN798" s="66"/>
      <c r="DO798" s="66"/>
      <c r="DP798" s="66"/>
      <c r="DQ798" s="66"/>
      <c r="DR798" s="66"/>
      <c r="DS798" s="66"/>
      <c r="DT798" s="66"/>
      <c r="DU798" s="65"/>
      <c r="DV798" s="67"/>
      <c r="DW798" s="68"/>
    </row>
    <row r="799" spans="4:127" s="80" customFormat="1">
      <c r="D799" s="58"/>
      <c r="E799" s="58"/>
      <c r="F799" s="58"/>
      <c r="G799" s="58"/>
      <c r="H799" s="58"/>
      <c r="I799" s="58"/>
      <c r="J799" s="58"/>
      <c r="K799" s="58"/>
      <c r="L799" s="58"/>
      <c r="M799" s="58"/>
      <c r="N799" s="58"/>
      <c r="O799" s="58"/>
      <c r="P799" s="58"/>
      <c r="Q799" s="58"/>
      <c r="R799" s="58"/>
      <c r="S799" s="58"/>
      <c r="T799" s="58"/>
      <c r="U799" s="58"/>
      <c r="V799" s="61"/>
      <c r="W799" s="61"/>
      <c r="X799" s="62"/>
      <c r="Y799" s="61"/>
      <c r="Z799" s="61"/>
      <c r="AA799" s="61"/>
      <c r="AB799" s="61"/>
      <c r="AC799" s="61"/>
      <c r="AD799" s="61"/>
      <c r="AE799" s="61"/>
      <c r="AF799" s="61"/>
      <c r="AG799" s="61"/>
      <c r="AH799" s="61"/>
      <c r="AI799" s="61"/>
      <c r="AJ799" s="62"/>
      <c r="AK799" s="61"/>
      <c r="AL799" s="62"/>
      <c r="AM799" s="61"/>
      <c r="AN799" s="61"/>
      <c r="AO799" s="61"/>
      <c r="AP799" s="63"/>
      <c r="AQ799" s="64"/>
      <c r="AR799" s="61"/>
      <c r="AS799" s="62"/>
      <c r="AT799" s="62"/>
      <c r="AU799" s="62"/>
      <c r="AV799" s="62"/>
      <c r="AW799" s="62"/>
      <c r="AX799" s="62"/>
      <c r="AY799" s="61"/>
      <c r="AZ799" s="61"/>
      <c r="BA799" s="61"/>
      <c r="BB799" s="61"/>
      <c r="BC799" s="61"/>
      <c r="BD799" s="61"/>
      <c r="BE799" s="61"/>
      <c r="BF799" s="61"/>
      <c r="BG799" s="61"/>
      <c r="BH799" s="61"/>
      <c r="BI799" s="61"/>
      <c r="BJ799" s="61"/>
      <c r="BK799" s="61"/>
      <c r="BL799" s="61"/>
      <c r="BM799" s="61"/>
      <c r="BN799" s="61"/>
      <c r="BO799" s="61"/>
      <c r="BP799" s="61"/>
      <c r="BQ799" s="61"/>
      <c r="BR799" s="61"/>
      <c r="BS799" s="61"/>
      <c r="BT799" s="61"/>
      <c r="BU799" s="61"/>
      <c r="BV799" s="61"/>
      <c r="BW799" s="61"/>
      <c r="BX799" s="61"/>
      <c r="BY799" s="61"/>
      <c r="BZ799" s="61"/>
      <c r="CA799" s="61"/>
      <c r="CB799" s="61"/>
      <c r="CC799" s="61"/>
      <c r="CD799" s="65"/>
      <c r="CE799" s="65"/>
      <c r="CF799" s="65"/>
      <c r="CG799" s="65"/>
      <c r="CH799" s="65"/>
      <c r="CI799" s="66"/>
      <c r="CJ799" s="66"/>
      <c r="CK799" s="66"/>
      <c r="CL799" s="66"/>
      <c r="CM799" s="66"/>
      <c r="CN799" s="66"/>
      <c r="CO799" s="66"/>
      <c r="CP799" s="66"/>
      <c r="CQ799" s="66"/>
      <c r="CR799" s="66"/>
      <c r="CS799" s="66"/>
      <c r="CT799" s="66"/>
      <c r="CU799" s="66"/>
      <c r="CV799" s="66"/>
      <c r="CW799" s="66"/>
      <c r="CX799" s="66"/>
      <c r="CY799" s="66"/>
      <c r="CZ799" s="66"/>
      <c r="DA799" s="66"/>
      <c r="DB799" s="66"/>
      <c r="DC799" s="66"/>
      <c r="DD799" s="66"/>
      <c r="DE799" s="66"/>
      <c r="DF799" s="66"/>
      <c r="DG799" s="66"/>
      <c r="DH799" s="66"/>
      <c r="DI799" s="66"/>
      <c r="DJ799" s="66"/>
      <c r="DK799" s="66"/>
      <c r="DL799" s="66"/>
      <c r="DM799" s="66"/>
      <c r="DN799" s="66"/>
      <c r="DO799" s="66"/>
      <c r="DP799" s="66"/>
      <c r="DQ799" s="66"/>
      <c r="DR799" s="66"/>
      <c r="DS799" s="66"/>
      <c r="DT799" s="66"/>
      <c r="DU799" s="65"/>
      <c r="DV799" s="67"/>
      <c r="DW799" s="68"/>
    </row>
    <row r="800" spans="4:127" s="80" customFormat="1">
      <c r="D800" s="58"/>
      <c r="E800" s="58"/>
      <c r="F800" s="58"/>
      <c r="G800" s="58"/>
      <c r="H800" s="58"/>
      <c r="I800" s="58"/>
      <c r="J800" s="58"/>
      <c r="K800" s="58"/>
      <c r="L800" s="58"/>
      <c r="M800" s="58"/>
      <c r="N800" s="58"/>
      <c r="O800" s="58"/>
      <c r="P800" s="58"/>
      <c r="Q800" s="58"/>
      <c r="R800" s="58"/>
      <c r="S800" s="58"/>
      <c r="T800" s="58"/>
      <c r="U800" s="58"/>
      <c r="V800" s="61"/>
      <c r="W800" s="61"/>
      <c r="X800" s="62"/>
      <c r="Y800" s="61"/>
      <c r="Z800" s="61"/>
      <c r="AA800" s="61"/>
      <c r="AB800" s="61"/>
      <c r="AC800" s="61"/>
      <c r="AD800" s="61"/>
      <c r="AE800" s="61"/>
      <c r="AF800" s="61"/>
      <c r="AG800" s="61"/>
      <c r="AH800" s="61"/>
      <c r="AI800" s="61"/>
      <c r="AJ800" s="62"/>
      <c r="AK800" s="61"/>
      <c r="AL800" s="62"/>
      <c r="AM800" s="61"/>
      <c r="AN800" s="61"/>
      <c r="AO800" s="61"/>
      <c r="AP800" s="63"/>
      <c r="AQ800" s="64"/>
      <c r="AR800" s="61"/>
      <c r="AS800" s="62"/>
      <c r="AT800" s="62"/>
      <c r="AU800" s="62"/>
      <c r="AV800" s="62"/>
      <c r="AW800" s="62"/>
      <c r="AX800" s="62"/>
      <c r="AY800" s="61"/>
      <c r="AZ800" s="61"/>
      <c r="BA800" s="61"/>
      <c r="BB800" s="61"/>
      <c r="BC800" s="61"/>
      <c r="BD800" s="61"/>
      <c r="BE800" s="61"/>
      <c r="BF800" s="61"/>
      <c r="BG800" s="61"/>
      <c r="BH800" s="61"/>
      <c r="BI800" s="61"/>
      <c r="BJ800" s="61"/>
      <c r="BK800" s="61"/>
      <c r="BL800" s="61"/>
      <c r="BM800" s="61"/>
      <c r="BN800" s="61"/>
      <c r="BO800" s="61"/>
      <c r="BP800" s="61"/>
      <c r="BQ800" s="61"/>
      <c r="BR800" s="61"/>
      <c r="BS800" s="61"/>
      <c r="BT800" s="61"/>
      <c r="BU800" s="61"/>
      <c r="BV800" s="61"/>
      <c r="BW800" s="61"/>
      <c r="BX800" s="61"/>
      <c r="BY800" s="61"/>
      <c r="BZ800" s="61"/>
      <c r="CA800" s="61"/>
      <c r="CB800" s="61"/>
      <c r="CC800" s="61"/>
      <c r="CD800" s="65"/>
      <c r="CE800" s="65"/>
      <c r="CF800" s="65"/>
      <c r="CG800" s="65"/>
      <c r="CH800" s="65"/>
      <c r="CI800" s="66"/>
      <c r="CJ800" s="66"/>
      <c r="CK800" s="66"/>
      <c r="CL800" s="66"/>
      <c r="CM800" s="66"/>
      <c r="CN800" s="66"/>
      <c r="CO800" s="66"/>
      <c r="CP800" s="66"/>
      <c r="CQ800" s="66"/>
      <c r="CR800" s="66"/>
      <c r="CS800" s="66"/>
      <c r="CT800" s="66"/>
      <c r="CU800" s="66"/>
      <c r="CV800" s="66"/>
      <c r="CW800" s="66"/>
      <c r="CX800" s="66"/>
      <c r="CY800" s="66"/>
      <c r="CZ800" s="66"/>
      <c r="DA800" s="66"/>
      <c r="DB800" s="66"/>
      <c r="DC800" s="66"/>
      <c r="DD800" s="66"/>
      <c r="DE800" s="66"/>
      <c r="DF800" s="66"/>
      <c r="DG800" s="66"/>
      <c r="DH800" s="66"/>
      <c r="DI800" s="66"/>
      <c r="DJ800" s="66"/>
      <c r="DK800" s="66"/>
      <c r="DL800" s="66"/>
      <c r="DM800" s="66"/>
      <c r="DN800" s="66"/>
      <c r="DO800" s="66"/>
      <c r="DP800" s="66"/>
      <c r="DQ800" s="66"/>
      <c r="DR800" s="66"/>
      <c r="DS800" s="66"/>
      <c r="DT800" s="66"/>
      <c r="DU800" s="65"/>
      <c r="DV800" s="67"/>
      <c r="DW800" s="68"/>
    </row>
    <row r="801" spans="4:127" s="80" customFormat="1">
      <c r="D801" s="58"/>
      <c r="E801" s="58"/>
      <c r="F801" s="58"/>
      <c r="G801" s="58"/>
      <c r="H801" s="58"/>
      <c r="I801" s="58"/>
      <c r="J801" s="58"/>
      <c r="K801" s="58"/>
      <c r="L801" s="58"/>
      <c r="M801" s="58"/>
      <c r="N801" s="58"/>
      <c r="O801" s="58"/>
      <c r="P801" s="58"/>
      <c r="Q801" s="58"/>
      <c r="R801" s="58"/>
      <c r="S801" s="58"/>
      <c r="T801" s="58"/>
      <c r="U801" s="58"/>
      <c r="V801" s="61"/>
      <c r="W801" s="61"/>
      <c r="X801" s="62"/>
      <c r="Y801" s="61"/>
      <c r="Z801" s="61"/>
      <c r="AA801" s="61"/>
      <c r="AB801" s="61"/>
      <c r="AC801" s="61"/>
      <c r="AD801" s="61"/>
      <c r="AE801" s="61"/>
      <c r="AF801" s="61"/>
      <c r="AG801" s="61"/>
      <c r="AH801" s="61"/>
      <c r="AI801" s="61"/>
      <c r="AJ801" s="62"/>
      <c r="AK801" s="61"/>
      <c r="AL801" s="62"/>
      <c r="AM801" s="61"/>
      <c r="AN801" s="61"/>
      <c r="AO801" s="61"/>
      <c r="AP801" s="63"/>
      <c r="AQ801" s="64"/>
      <c r="AR801" s="61"/>
      <c r="AS801" s="62"/>
      <c r="AT801" s="62"/>
      <c r="AU801" s="62"/>
      <c r="AV801" s="62"/>
      <c r="AW801" s="62"/>
      <c r="AX801" s="62"/>
      <c r="AY801" s="61"/>
      <c r="AZ801" s="61"/>
      <c r="BA801" s="61"/>
      <c r="BB801" s="61"/>
      <c r="BC801" s="61"/>
      <c r="BD801" s="61"/>
      <c r="BE801" s="61"/>
      <c r="BF801" s="61"/>
      <c r="BG801" s="61"/>
      <c r="BH801" s="61"/>
      <c r="BI801" s="61"/>
      <c r="BJ801" s="61"/>
      <c r="BK801" s="61"/>
      <c r="BL801" s="61"/>
      <c r="BM801" s="61"/>
      <c r="BN801" s="61"/>
      <c r="BO801" s="61"/>
      <c r="BP801" s="61"/>
      <c r="BQ801" s="61"/>
      <c r="BR801" s="61"/>
      <c r="BS801" s="61"/>
      <c r="BT801" s="61"/>
      <c r="BU801" s="61"/>
      <c r="BV801" s="61"/>
      <c r="BW801" s="61"/>
      <c r="BX801" s="61"/>
      <c r="BY801" s="61"/>
      <c r="BZ801" s="61"/>
      <c r="CA801" s="61"/>
      <c r="CB801" s="61"/>
      <c r="CC801" s="61"/>
      <c r="CD801" s="65"/>
      <c r="CE801" s="65"/>
      <c r="CF801" s="65"/>
      <c r="CG801" s="65"/>
      <c r="CH801" s="65"/>
      <c r="CI801" s="66"/>
      <c r="CJ801" s="66"/>
      <c r="CK801" s="66"/>
      <c r="CL801" s="66"/>
      <c r="CM801" s="66"/>
      <c r="CN801" s="66"/>
      <c r="CO801" s="66"/>
      <c r="CP801" s="66"/>
      <c r="CQ801" s="66"/>
      <c r="CR801" s="66"/>
      <c r="CS801" s="66"/>
      <c r="CT801" s="66"/>
      <c r="CU801" s="66"/>
      <c r="CV801" s="66"/>
      <c r="CW801" s="66"/>
      <c r="CX801" s="66"/>
      <c r="CY801" s="66"/>
      <c r="CZ801" s="66"/>
      <c r="DA801" s="66"/>
      <c r="DB801" s="66"/>
      <c r="DC801" s="66"/>
      <c r="DD801" s="66"/>
      <c r="DE801" s="66"/>
      <c r="DF801" s="66"/>
      <c r="DG801" s="66"/>
      <c r="DH801" s="66"/>
      <c r="DI801" s="66"/>
      <c r="DJ801" s="66"/>
      <c r="DK801" s="66"/>
      <c r="DL801" s="66"/>
      <c r="DM801" s="66"/>
      <c r="DN801" s="66"/>
      <c r="DO801" s="66"/>
      <c r="DP801" s="66"/>
      <c r="DQ801" s="66"/>
      <c r="DR801" s="66"/>
      <c r="DS801" s="66"/>
      <c r="DT801" s="66"/>
      <c r="DU801" s="65"/>
      <c r="DV801" s="67"/>
      <c r="DW801" s="68"/>
    </row>
    <row r="802" spans="4:127" s="80" customFormat="1">
      <c r="D802" s="58"/>
      <c r="E802" s="58"/>
      <c r="F802" s="58"/>
      <c r="G802" s="58"/>
      <c r="H802" s="58"/>
      <c r="I802" s="58"/>
      <c r="J802" s="58"/>
      <c r="K802" s="58"/>
      <c r="L802" s="58"/>
      <c r="M802" s="58"/>
      <c r="N802" s="58"/>
      <c r="O802" s="58"/>
      <c r="P802" s="58"/>
      <c r="Q802" s="58"/>
      <c r="R802" s="58"/>
      <c r="S802" s="58"/>
      <c r="T802" s="58"/>
      <c r="U802" s="58"/>
      <c r="V802" s="61"/>
      <c r="W802" s="61"/>
      <c r="X802" s="62"/>
      <c r="Y802" s="61"/>
      <c r="Z802" s="61"/>
      <c r="AA802" s="61"/>
      <c r="AB802" s="61"/>
      <c r="AC802" s="61"/>
      <c r="AD802" s="61"/>
      <c r="AE802" s="61"/>
      <c r="AF802" s="61"/>
      <c r="AG802" s="61"/>
      <c r="AH802" s="61"/>
      <c r="AI802" s="61"/>
      <c r="AJ802" s="62"/>
      <c r="AK802" s="61"/>
      <c r="AL802" s="62"/>
      <c r="AM802" s="61"/>
      <c r="AN802" s="61"/>
      <c r="AO802" s="61"/>
      <c r="AP802" s="63"/>
      <c r="AQ802" s="64"/>
      <c r="AR802" s="61"/>
      <c r="AS802" s="62"/>
      <c r="AT802" s="62"/>
      <c r="AU802" s="62"/>
      <c r="AV802" s="62"/>
      <c r="AW802" s="62"/>
      <c r="AX802" s="62"/>
      <c r="AY802" s="61"/>
      <c r="AZ802" s="61"/>
      <c r="BA802" s="61"/>
      <c r="BB802" s="61"/>
      <c r="BC802" s="61"/>
      <c r="BD802" s="61"/>
      <c r="BE802" s="61"/>
      <c r="BF802" s="61"/>
      <c r="BG802" s="61"/>
      <c r="BH802" s="61"/>
      <c r="BI802" s="61"/>
      <c r="BJ802" s="61"/>
      <c r="BK802" s="61"/>
      <c r="BL802" s="61"/>
      <c r="BM802" s="61"/>
      <c r="BN802" s="61"/>
      <c r="BO802" s="61"/>
      <c r="BP802" s="61"/>
      <c r="BQ802" s="61"/>
      <c r="BR802" s="61"/>
      <c r="BS802" s="61"/>
      <c r="BT802" s="61"/>
      <c r="BU802" s="61"/>
      <c r="BV802" s="61"/>
      <c r="BW802" s="61"/>
      <c r="BX802" s="61"/>
      <c r="BY802" s="61"/>
      <c r="BZ802" s="61"/>
      <c r="CA802" s="61"/>
      <c r="CB802" s="61"/>
      <c r="CC802" s="61"/>
      <c r="CD802" s="65"/>
      <c r="CE802" s="65"/>
      <c r="CF802" s="65"/>
      <c r="CG802" s="65"/>
      <c r="CH802" s="65"/>
      <c r="CI802" s="66"/>
      <c r="CJ802" s="66"/>
      <c r="CK802" s="66"/>
      <c r="CL802" s="66"/>
      <c r="CM802" s="66"/>
      <c r="CN802" s="66"/>
      <c r="CO802" s="66"/>
      <c r="CP802" s="66"/>
      <c r="CQ802" s="66"/>
      <c r="CR802" s="66"/>
      <c r="CS802" s="66"/>
      <c r="CT802" s="66"/>
      <c r="CU802" s="66"/>
      <c r="CV802" s="66"/>
      <c r="CW802" s="66"/>
      <c r="CX802" s="66"/>
      <c r="CY802" s="66"/>
      <c r="CZ802" s="66"/>
      <c r="DA802" s="66"/>
      <c r="DB802" s="66"/>
      <c r="DC802" s="66"/>
      <c r="DD802" s="66"/>
      <c r="DE802" s="66"/>
      <c r="DF802" s="66"/>
      <c r="DG802" s="66"/>
      <c r="DH802" s="66"/>
      <c r="DI802" s="66"/>
      <c r="DJ802" s="66"/>
      <c r="DK802" s="66"/>
      <c r="DL802" s="66"/>
      <c r="DM802" s="66"/>
      <c r="DN802" s="66"/>
      <c r="DO802" s="66"/>
      <c r="DP802" s="66"/>
      <c r="DQ802" s="66"/>
      <c r="DR802" s="66"/>
      <c r="DS802" s="66"/>
      <c r="DT802" s="66"/>
      <c r="DU802" s="65"/>
      <c r="DV802" s="67"/>
      <c r="DW802" s="68"/>
    </row>
    <row r="803" spans="4:127" s="80" customFormat="1">
      <c r="D803" s="58"/>
      <c r="E803" s="58"/>
      <c r="F803" s="58"/>
      <c r="G803" s="58"/>
      <c r="H803" s="58"/>
      <c r="I803" s="58"/>
      <c r="J803" s="58"/>
      <c r="K803" s="58"/>
      <c r="L803" s="58"/>
      <c r="M803" s="58"/>
      <c r="N803" s="58"/>
      <c r="O803" s="58"/>
      <c r="P803" s="58"/>
      <c r="Q803" s="58"/>
      <c r="R803" s="58"/>
      <c r="S803" s="58"/>
      <c r="T803" s="58"/>
      <c r="U803" s="58"/>
      <c r="V803" s="61"/>
      <c r="W803" s="61"/>
      <c r="X803" s="62"/>
      <c r="Y803" s="61"/>
      <c r="Z803" s="61"/>
      <c r="AA803" s="61"/>
      <c r="AB803" s="61"/>
      <c r="AC803" s="61"/>
      <c r="AD803" s="61"/>
      <c r="AE803" s="61"/>
      <c r="AF803" s="61"/>
      <c r="AG803" s="61"/>
      <c r="AH803" s="61"/>
      <c r="AI803" s="61"/>
      <c r="AJ803" s="62"/>
      <c r="AK803" s="61"/>
      <c r="AL803" s="62"/>
      <c r="AM803" s="61"/>
      <c r="AN803" s="61"/>
      <c r="AO803" s="61"/>
      <c r="AP803" s="63"/>
      <c r="AQ803" s="64"/>
      <c r="AR803" s="61"/>
      <c r="AS803" s="62"/>
      <c r="AT803" s="62"/>
      <c r="AU803" s="62"/>
      <c r="AV803" s="62"/>
      <c r="AW803" s="62"/>
      <c r="AX803" s="62"/>
      <c r="AY803" s="61"/>
      <c r="AZ803" s="61"/>
      <c r="BA803" s="61"/>
      <c r="BB803" s="61"/>
      <c r="BC803" s="61"/>
      <c r="BD803" s="61"/>
      <c r="BE803" s="61"/>
      <c r="BF803" s="61"/>
      <c r="BG803" s="61"/>
      <c r="BH803" s="61"/>
      <c r="BI803" s="61"/>
      <c r="BJ803" s="61"/>
      <c r="BK803" s="61"/>
      <c r="BL803" s="61"/>
      <c r="BM803" s="61"/>
      <c r="BN803" s="61"/>
      <c r="BO803" s="61"/>
      <c r="BP803" s="61"/>
      <c r="BQ803" s="61"/>
      <c r="BR803" s="61"/>
      <c r="BS803" s="61"/>
      <c r="BT803" s="61"/>
      <c r="BU803" s="61"/>
      <c r="BV803" s="61"/>
      <c r="BW803" s="61"/>
      <c r="BX803" s="61"/>
      <c r="BY803" s="61"/>
      <c r="BZ803" s="61"/>
      <c r="CA803" s="61"/>
      <c r="CB803" s="61"/>
      <c r="CC803" s="61"/>
      <c r="CD803" s="65"/>
      <c r="CE803" s="65"/>
      <c r="CF803" s="65"/>
      <c r="CG803" s="65"/>
      <c r="CH803" s="65"/>
      <c r="CI803" s="66"/>
      <c r="CJ803" s="66"/>
      <c r="CK803" s="66"/>
      <c r="CL803" s="66"/>
      <c r="CM803" s="66"/>
      <c r="CN803" s="66"/>
      <c r="CO803" s="66"/>
      <c r="CP803" s="66"/>
      <c r="CQ803" s="66"/>
      <c r="CR803" s="66"/>
      <c r="CS803" s="66"/>
      <c r="CT803" s="66"/>
      <c r="CU803" s="66"/>
      <c r="CV803" s="66"/>
      <c r="CW803" s="66"/>
      <c r="CX803" s="66"/>
      <c r="CY803" s="66"/>
      <c r="CZ803" s="66"/>
      <c r="DA803" s="66"/>
      <c r="DB803" s="66"/>
      <c r="DC803" s="66"/>
      <c r="DD803" s="66"/>
      <c r="DE803" s="66"/>
      <c r="DF803" s="66"/>
      <c r="DG803" s="66"/>
      <c r="DH803" s="66"/>
      <c r="DI803" s="66"/>
      <c r="DJ803" s="66"/>
      <c r="DK803" s="66"/>
      <c r="DL803" s="66"/>
      <c r="DM803" s="66"/>
      <c r="DN803" s="66"/>
      <c r="DO803" s="66"/>
      <c r="DP803" s="66"/>
      <c r="DQ803" s="66"/>
      <c r="DR803" s="66"/>
      <c r="DS803" s="66"/>
      <c r="DT803" s="66"/>
      <c r="DU803" s="65"/>
      <c r="DV803" s="67"/>
      <c r="DW803" s="68"/>
    </row>
    <row r="804" spans="4:127" s="80" customFormat="1">
      <c r="D804" s="58"/>
      <c r="E804" s="58"/>
      <c r="F804" s="58"/>
      <c r="G804" s="58"/>
      <c r="H804" s="58"/>
      <c r="I804" s="58"/>
      <c r="J804" s="58"/>
      <c r="K804" s="58"/>
      <c r="L804" s="58"/>
      <c r="M804" s="58"/>
      <c r="N804" s="58"/>
      <c r="O804" s="58"/>
      <c r="P804" s="58"/>
      <c r="Q804" s="58"/>
      <c r="R804" s="58"/>
      <c r="S804" s="58"/>
      <c r="T804" s="58"/>
      <c r="U804" s="58"/>
      <c r="V804" s="61"/>
      <c r="W804" s="61"/>
      <c r="X804" s="62"/>
      <c r="Y804" s="61"/>
      <c r="Z804" s="61"/>
      <c r="AA804" s="61"/>
      <c r="AB804" s="61"/>
      <c r="AC804" s="61"/>
      <c r="AD804" s="61"/>
      <c r="AE804" s="61"/>
      <c r="AF804" s="61"/>
      <c r="AG804" s="61"/>
      <c r="AH804" s="61"/>
      <c r="AI804" s="61"/>
      <c r="AJ804" s="62"/>
      <c r="AK804" s="61"/>
      <c r="AL804" s="62"/>
      <c r="AM804" s="61"/>
      <c r="AN804" s="61"/>
      <c r="AO804" s="61"/>
      <c r="AP804" s="63"/>
      <c r="AQ804" s="64"/>
      <c r="AR804" s="61"/>
      <c r="AS804" s="62"/>
      <c r="AT804" s="62"/>
      <c r="AU804" s="62"/>
      <c r="AV804" s="62"/>
      <c r="AW804" s="62"/>
      <c r="AX804" s="62"/>
      <c r="AY804" s="61"/>
      <c r="AZ804" s="61"/>
      <c r="BA804" s="61"/>
      <c r="BB804" s="61"/>
      <c r="BC804" s="61"/>
      <c r="BD804" s="61"/>
      <c r="BE804" s="61"/>
      <c r="BF804" s="61"/>
      <c r="BG804" s="61"/>
      <c r="BH804" s="61"/>
      <c r="BI804" s="61"/>
      <c r="BJ804" s="61"/>
      <c r="BK804" s="61"/>
      <c r="BL804" s="61"/>
      <c r="BM804" s="61"/>
      <c r="BN804" s="61"/>
      <c r="BO804" s="61"/>
      <c r="BP804" s="61"/>
      <c r="BQ804" s="61"/>
      <c r="BR804" s="61"/>
      <c r="BS804" s="61"/>
      <c r="BT804" s="61"/>
      <c r="BU804" s="61"/>
      <c r="BV804" s="61"/>
      <c r="BW804" s="61"/>
      <c r="BX804" s="61"/>
      <c r="BY804" s="61"/>
      <c r="BZ804" s="61"/>
      <c r="CA804" s="61"/>
      <c r="CB804" s="61"/>
      <c r="CC804" s="61"/>
      <c r="CD804" s="65"/>
      <c r="CE804" s="65"/>
      <c r="CF804" s="65"/>
      <c r="CG804" s="65"/>
      <c r="CH804" s="65"/>
      <c r="CI804" s="66"/>
      <c r="CJ804" s="66"/>
      <c r="CK804" s="66"/>
      <c r="CL804" s="66"/>
      <c r="CM804" s="66"/>
      <c r="CN804" s="66"/>
      <c r="CO804" s="66"/>
      <c r="CP804" s="66"/>
      <c r="CQ804" s="66"/>
      <c r="CR804" s="66"/>
      <c r="CS804" s="66"/>
      <c r="CT804" s="66"/>
      <c r="CU804" s="66"/>
      <c r="CV804" s="66"/>
      <c r="CW804" s="66"/>
      <c r="CX804" s="66"/>
      <c r="CY804" s="66"/>
      <c r="CZ804" s="66"/>
      <c r="DA804" s="66"/>
      <c r="DB804" s="66"/>
      <c r="DC804" s="66"/>
      <c r="DD804" s="66"/>
      <c r="DE804" s="66"/>
      <c r="DF804" s="66"/>
      <c r="DG804" s="66"/>
      <c r="DH804" s="66"/>
      <c r="DI804" s="66"/>
      <c r="DJ804" s="66"/>
      <c r="DK804" s="66"/>
      <c r="DL804" s="66"/>
      <c r="DM804" s="66"/>
      <c r="DN804" s="66"/>
      <c r="DO804" s="66"/>
      <c r="DP804" s="66"/>
      <c r="DQ804" s="66"/>
      <c r="DR804" s="66"/>
      <c r="DS804" s="66"/>
      <c r="DT804" s="66"/>
      <c r="DU804" s="65"/>
      <c r="DV804" s="67"/>
      <c r="DW804" s="68"/>
    </row>
    <row r="805" spans="4:127" s="80" customFormat="1">
      <c r="D805" s="58"/>
      <c r="E805" s="58"/>
      <c r="F805" s="58"/>
      <c r="G805" s="58"/>
      <c r="H805" s="58"/>
      <c r="I805" s="58"/>
      <c r="J805" s="58"/>
      <c r="K805" s="58"/>
      <c r="L805" s="58"/>
      <c r="M805" s="58"/>
      <c r="N805" s="58"/>
      <c r="O805" s="58"/>
      <c r="P805" s="58"/>
      <c r="Q805" s="58"/>
      <c r="R805" s="58"/>
      <c r="S805" s="58"/>
      <c r="T805" s="58"/>
      <c r="U805" s="58"/>
      <c r="V805" s="61"/>
      <c r="W805" s="61"/>
      <c r="X805" s="62"/>
      <c r="Y805" s="61"/>
      <c r="Z805" s="61"/>
      <c r="AA805" s="61"/>
      <c r="AB805" s="61"/>
      <c r="AC805" s="61"/>
      <c r="AD805" s="61"/>
      <c r="AE805" s="61"/>
      <c r="AF805" s="61"/>
      <c r="AG805" s="61"/>
      <c r="AH805" s="61"/>
      <c r="AI805" s="61"/>
      <c r="AJ805" s="62"/>
      <c r="AK805" s="61"/>
      <c r="AL805" s="62"/>
      <c r="AM805" s="61"/>
      <c r="AN805" s="61"/>
      <c r="AO805" s="61"/>
      <c r="AP805" s="63"/>
      <c r="AQ805" s="64"/>
      <c r="AR805" s="61"/>
      <c r="AS805" s="62"/>
      <c r="AT805" s="62"/>
      <c r="AU805" s="62"/>
      <c r="AV805" s="62"/>
      <c r="AW805" s="62"/>
      <c r="AX805" s="62"/>
      <c r="AY805" s="61"/>
      <c r="AZ805" s="61"/>
      <c r="BA805" s="61"/>
      <c r="BB805" s="61"/>
      <c r="BC805" s="61"/>
      <c r="BD805" s="61"/>
      <c r="BE805" s="61"/>
      <c r="BF805" s="61"/>
      <c r="BG805" s="61"/>
      <c r="BH805" s="61"/>
      <c r="BI805" s="61"/>
      <c r="BJ805" s="61"/>
      <c r="BK805" s="61"/>
      <c r="BL805" s="61"/>
      <c r="BM805" s="61"/>
      <c r="BN805" s="61"/>
      <c r="BO805" s="61"/>
      <c r="BP805" s="61"/>
      <c r="BQ805" s="61"/>
      <c r="BR805" s="61"/>
      <c r="BS805" s="61"/>
      <c r="BT805" s="61"/>
      <c r="BU805" s="61"/>
      <c r="BV805" s="61"/>
      <c r="BW805" s="61"/>
      <c r="BX805" s="61"/>
      <c r="BY805" s="61"/>
      <c r="BZ805" s="61"/>
      <c r="CA805" s="61"/>
      <c r="CB805" s="61"/>
      <c r="CC805" s="61"/>
      <c r="CD805" s="65"/>
      <c r="CE805" s="65"/>
      <c r="CF805" s="65"/>
      <c r="CG805" s="65"/>
      <c r="CH805" s="65"/>
      <c r="CI805" s="66"/>
      <c r="CJ805" s="66"/>
      <c r="CK805" s="66"/>
      <c r="CL805" s="66"/>
      <c r="CM805" s="66"/>
      <c r="CN805" s="66"/>
      <c r="CO805" s="66"/>
      <c r="CP805" s="66"/>
      <c r="CQ805" s="66"/>
      <c r="CR805" s="66"/>
      <c r="CS805" s="66"/>
      <c r="CT805" s="66"/>
      <c r="CU805" s="66"/>
      <c r="CV805" s="66"/>
      <c r="CW805" s="66"/>
      <c r="CX805" s="66"/>
      <c r="CY805" s="66"/>
      <c r="CZ805" s="66"/>
      <c r="DA805" s="66"/>
      <c r="DB805" s="66"/>
      <c r="DC805" s="66"/>
      <c r="DD805" s="66"/>
      <c r="DE805" s="66"/>
      <c r="DF805" s="66"/>
      <c r="DG805" s="66"/>
      <c r="DH805" s="66"/>
      <c r="DI805" s="66"/>
      <c r="DJ805" s="66"/>
      <c r="DK805" s="66"/>
      <c r="DL805" s="66"/>
      <c r="DM805" s="66"/>
      <c r="DN805" s="66"/>
      <c r="DO805" s="66"/>
      <c r="DP805" s="66"/>
      <c r="DQ805" s="66"/>
      <c r="DR805" s="66"/>
      <c r="DS805" s="66"/>
      <c r="DT805" s="66"/>
      <c r="DU805" s="65"/>
      <c r="DV805" s="67"/>
      <c r="DW805" s="68"/>
    </row>
    <row r="806" spans="4:127"/>
    <row r="807" spans="4:127"/>
    <row r="808" spans="4:127"/>
    <row r="809" spans="4:127"/>
    <row r="810" spans="4:127"/>
    <row r="811" spans="4:127"/>
    <row r="812" spans="4:127"/>
    <row r="813" spans="4:127"/>
    <row r="814" spans="4:127"/>
    <row r="815" spans="4:127"/>
    <row r="816" spans="4:127"/>
  </sheetData>
  <sheetProtection autoFilter="0"/>
  <autoFilter ref="A9:DW679" xr:uid="{00000000-0009-0000-0000-000020000000}">
    <filterColumn colId="0">
      <filters>
        <filter val="SRN"/>
      </filters>
    </filterColumn>
  </autoFilter>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AA10:AI678">
    <cfRule type="cellIs" dxfId="77" priority="49" operator="equal">
      <formula>0</formula>
    </cfRule>
  </conditionalFormatting>
  <conditionalFormatting sqref="AL12">
    <cfRule type="expression" dxfId="76" priority="20">
      <formula>$R12="NFI"</formula>
    </cfRule>
  </conditionalFormatting>
  <conditionalFormatting sqref="AL43">
    <cfRule type="expression" dxfId="75" priority="19">
      <formula>$R43="NFI"</formula>
    </cfRule>
  </conditionalFormatting>
  <conditionalFormatting sqref="AL98">
    <cfRule type="expression" dxfId="74" priority="18">
      <formula>$R98="NFI"</formula>
    </cfRule>
  </conditionalFormatting>
  <conditionalFormatting sqref="AL115">
    <cfRule type="expression" dxfId="73" priority="17">
      <formula>$R115="NFI"</formula>
    </cfRule>
  </conditionalFormatting>
  <conditionalFormatting sqref="AL147">
    <cfRule type="expression" dxfId="72" priority="16">
      <formula>$R147="NFI"</formula>
    </cfRule>
  </conditionalFormatting>
  <conditionalFormatting sqref="AL191">
    <cfRule type="expression" dxfId="71" priority="15">
      <formula>$R191="NFI"</formula>
    </cfRule>
  </conditionalFormatting>
  <conditionalFormatting sqref="AL231">
    <cfRule type="expression" dxfId="70" priority="14">
      <formula>$R231="NFI"</formula>
    </cfRule>
  </conditionalFormatting>
  <conditionalFormatting sqref="AL245">
    <cfRule type="expression" dxfId="69" priority="13">
      <formula>$R245="NFI"</formula>
    </cfRule>
  </conditionalFormatting>
  <conditionalFormatting sqref="AL265">
    <cfRule type="expression" dxfId="68" priority="3">
      <formula>$R265="NFI"</formula>
    </cfRule>
  </conditionalFormatting>
  <conditionalFormatting sqref="AL280">
    <cfRule type="expression" dxfId="67" priority="12">
      <formula>$R280="NFI"</formula>
    </cfRule>
  </conditionalFormatting>
  <conditionalFormatting sqref="AL334:AL335">
    <cfRule type="expression" dxfId="66" priority="10">
      <formula>$R334="NFI"</formula>
    </cfRule>
  </conditionalFormatting>
  <conditionalFormatting sqref="AL380">
    <cfRule type="expression" dxfId="65" priority="9">
      <formula>$R380="NFI"</formula>
    </cfRule>
  </conditionalFormatting>
  <conditionalFormatting sqref="AL447">
    <cfRule type="expression" dxfId="64" priority="8">
      <formula>$R447="NFI"</formula>
    </cfRule>
  </conditionalFormatting>
  <conditionalFormatting sqref="AL499">
    <cfRule type="expression" dxfId="63" priority="7">
      <formula>$R499="NFI"</formula>
    </cfRule>
  </conditionalFormatting>
  <conditionalFormatting sqref="AL549">
    <cfRule type="expression" dxfId="62" priority="6">
      <formula>$R549="NFI"</formula>
    </cfRule>
  </conditionalFormatting>
  <conditionalFormatting sqref="AL601">
    <cfRule type="expression" dxfId="61" priority="5">
      <formula>$R601="NFI"</formula>
    </cfRule>
  </conditionalFormatting>
  <conditionalFormatting sqref="AL661">
    <cfRule type="expression" dxfId="60" priority="4">
      <formula>$R661="NFI"</formula>
    </cfRule>
  </conditionalFormatting>
  <conditionalFormatting sqref="AO257">
    <cfRule type="expression" dxfId="59" priority="27">
      <formula>$R257="NFI"</formula>
    </cfRule>
  </conditionalFormatting>
  <conditionalFormatting sqref="AO262">
    <cfRule type="expression" dxfId="58" priority="26">
      <formula>$R262="NFI"</formula>
    </cfRule>
  </conditionalFormatting>
  <conditionalFormatting sqref="AP41">
    <cfRule type="expression" dxfId="57" priority="28">
      <formula>$R41="NFI"</formula>
    </cfRule>
  </conditionalFormatting>
  <conditionalFormatting sqref="BI207:BM207">
    <cfRule type="expression" dxfId="56" priority="25">
      <formula>$R207="NFI"</formula>
    </cfRule>
  </conditionalFormatting>
  <conditionalFormatting sqref="CD143:CT143 CX143:DW143 CD144:DW144 CD145:DB146 DM145:DM146 DO145:DO146 DQ145:DS146 DU145:DW146 CD147:DW151 CD152:CR153 CX152:DW153 CD656:CT656 CX656:DW656 CD657:DW657 CD658:DG658 DQ658:DS658 DU658:DW658 CD659:CR660 CX659:DW660">
    <cfRule type="expression" dxfId="55" priority="105">
      <formula>$AJ143="NFI"</formula>
    </cfRule>
    <cfRule type="expression" dxfId="54" priority="106">
      <formula>CD143=0</formula>
    </cfRule>
  </conditionalFormatting>
  <conditionalFormatting sqref="CD10:DW142">
    <cfRule type="expression" dxfId="53" priority="21">
      <formula>$AJ10="NFI"</formula>
    </cfRule>
    <cfRule type="expression" dxfId="52" priority="22">
      <formula>CD10=0</formula>
    </cfRule>
  </conditionalFormatting>
  <conditionalFormatting sqref="CD154:DW655">
    <cfRule type="expression" dxfId="51" priority="29">
      <formula>$AJ154="NFI"</formula>
    </cfRule>
    <cfRule type="expression" dxfId="50" priority="30">
      <formula>CD154=0</formula>
    </cfRule>
  </conditionalFormatting>
  <conditionalFormatting sqref="CD661:DW678">
    <cfRule type="expression" dxfId="49" priority="70">
      <formula>$AJ661="NFI"</formula>
    </cfRule>
    <cfRule type="expression" dxfId="48" priority="71">
      <formula>CD661=0</formula>
    </cfRule>
  </conditionalFormatting>
  <conditionalFormatting sqref="CS660">
    <cfRule type="expression" dxfId="47" priority="44">
      <formula>$AJ660="NFI"</formula>
    </cfRule>
    <cfRule type="expression" dxfId="46" priority="45">
      <formula>CS660=0</formula>
    </cfRule>
  </conditionalFormatting>
  <conditionalFormatting sqref="CS152:CW152">
    <cfRule type="expression" dxfId="45" priority="39">
      <formula>$R152="NFI"</formula>
    </cfRule>
  </conditionalFormatting>
  <conditionalFormatting sqref="CS153:CW153">
    <cfRule type="expression" dxfId="44" priority="37">
      <formula>$AJ153="NFI"</formula>
    </cfRule>
    <cfRule type="expression" dxfId="43" priority="38">
      <formula>CS153=0</formula>
    </cfRule>
  </conditionalFormatting>
  <conditionalFormatting sqref="CS659:CW659">
    <cfRule type="expression" dxfId="42" priority="43">
      <formula>$R659="NFI"</formula>
    </cfRule>
  </conditionalFormatting>
  <conditionalFormatting sqref="CT660:CW660">
    <cfRule type="expression" dxfId="41" priority="46">
      <formula>$R660="NFI"</formula>
    </cfRule>
  </conditionalFormatting>
  <conditionalFormatting sqref="CU143:CW143">
    <cfRule type="expression" dxfId="40" priority="48">
      <formula>$R143="NFI"</formula>
    </cfRule>
  </conditionalFormatting>
  <conditionalFormatting sqref="CU656:CW656">
    <cfRule type="expression" dxfId="39" priority="47">
      <formula>$R656="NFI"</formula>
    </cfRule>
  </conditionalFormatting>
  <conditionalFormatting sqref="DC145:DL146">
    <cfRule type="expression" dxfId="38" priority="36">
      <formula>$R145="NFI"</formula>
    </cfRule>
  </conditionalFormatting>
  <conditionalFormatting sqref="DH658:DL658">
    <cfRule type="expression" dxfId="37" priority="40">
      <formula>$R658="NFI"</formula>
    </cfRule>
  </conditionalFormatting>
  <conditionalFormatting sqref="DM658:DO658">
    <cfRule type="expression" dxfId="36" priority="2">
      <formula>DM658=0</formula>
    </cfRule>
    <cfRule type="expression" dxfId="35" priority="1">
      <formula>$AJ658="NFI"</formula>
    </cfRule>
  </conditionalFormatting>
  <conditionalFormatting sqref="DN145:DN146">
    <cfRule type="expression" dxfId="34" priority="33">
      <formula>$R145="NFI"</formula>
    </cfRule>
  </conditionalFormatting>
  <conditionalFormatting sqref="DP145:DP146">
    <cfRule type="expression" dxfId="33" priority="35">
      <formula>$R145="NFI"</formula>
    </cfRule>
  </conditionalFormatting>
  <conditionalFormatting sqref="DP658">
    <cfRule type="expression" dxfId="32" priority="42">
      <formula>$R658="NFI"</formula>
    </cfRule>
  </conditionalFormatting>
  <conditionalFormatting sqref="DT145:DT146">
    <cfRule type="expression" dxfId="31" priority="34">
      <formula>$R145="NFI"</formula>
    </cfRule>
  </conditionalFormatting>
  <conditionalFormatting sqref="DT658">
    <cfRule type="expression" dxfId="30" priority="41">
      <formula>$R658="NFI"</formula>
    </cfRule>
  </conditionalFormatting>
  <conditionalFormatting sqref="DU10">
    <cfRule type="expression" dxfId="29" priority="107">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00808-2DC9-439A-9260-D38C7AE328A1}">
  <sheetPr>
    <pageSetUpPr fitToPage="1"/>
  </sheetPr>
  <dimension ref="B2:AK119"/>
  <sheetViews>
    <sheetView topLeftCell="U102" zoomScale="85" zoomScaleNormal="85" workbookViewId="0">
      <selection activeCell="AK120" sqref="AK120"/>
    </sheetView>
  </sheetViews>
  <sheetFormatPr defaultColWidth="9" defaultRowHeight="13.15"/>
  <cols>
    <col min="1" max="1" width="2.625" style="113" customWidth="1"/>
    <col min="2" max="2" width="7.25" style="113" customWidth="1"/>
    <col min="3" max="3" width="22.625" style="113" customWidth="1"/>
    <col min="4" max="4" width="5.625" style="113" customWidth="1"/>
    <col min="5" max="5" width="22.625" style="113" customWidth="1"/>
    <col min="6" max="6" width="5.625" style="113" customWidth="1"/>
    <col min="7" max="7" width="22.625" style="113" customWidth="1"/>
    <col min="8" max="8" width="5.625" style="113" customWidth="1"/>
    <col min="9" max="9" width="24.75" style="113" bestFit="1" customWidth="1"/>
    <col min="10" max="10" width="5.625" style="113" customWidth="1"/>
    <col min="11" max="11" width="22.625" style="113" customWidth="1"/>
    <col min="12" max="12" width="5.625" style="113" customWidth="1"/>
    <col min="13" max="13" width="22.625" style="113" customWidth="1"/>
    <col min="14" max="14" width="5.625" style="113" customWidth="1"/>
    <col min="15" max="15" width="22.625" style="113" customWidth="1"/>
    <col min="16" max="16" width="6.25" style="113" customWidth="1"/>
    <col min="17" max="17" width="22.625" style="113" customWidth="1"/>
    <col min="18" max="18" width="5.625" style="113" customWidth="1"/>
    <col min="19" max="19" width="22.625" style="113" customWidth="1"/>
    <col min="20" max="20" width="5.625" style="113" customWidth="1"/>
    <col min="21" max="21" width="22.625" style="113" customWidth="1"/>
    <col min="22" max="22" width="5.625" style="113" customWidth="1"/>
    <col min="23" max="23" width="22.625" style="113" customWidth="1"/>
    <col min="24" max="24" width="5.625" style="113" customWidth="1"/>
    <col min="25" max="25" width="22.625" style="113" customWidth="1"/>
    <col min="26" max="26" width="5.625" style="113" customWidth="1"/>
    <col min="27" max="27" width="22.625" style="113" customWidth="1"/>
    <col min="28" max="28" width="5.625" style="113" customWidth="1"/>
    <col min="29" max="29" width="22.625" style="113" customWidth="1"/>
    <col min="30" max="30" width="5.625" style="113" customWidth="1"/>
    <col min="31" max="31" width="22.625" style="113" customWidth="1"/>
    <col min="32" max="32" width="5.625" style="113" customWidth="1"/>
    <col min="33" max="33" width="22.625" style="113" customWidth="1"/>
    <col min="34" max="34" width="5.625" style="113" customWidth="1"/>
    <col min="35" max="35" width="22.625" style="113" customWidth="1"/>
    <col min="36" max="36" width="2.625" style="113" customWidth="1"/>
    <col min="37" max="37" width="5.625" style="113" customWidth="1"/>
    <col min="38" max="38" width="22.625" style="113" customWidth="1"/>
    <col min="39" max="39" width="2.625" style="113" customWidth="1"/>
    <col min="40" max="40" width="5.625" style="113" customWidth="1"/>
    <col min="41" max="41" width="22.625" style="113" customWidth="1"/>
    <col min="42" max="42" width="2.625" style="113" customWidth="1"/>
    <col min="43" max="43" width="5.625" style="113" customWidth="1"/>
    <col min="44" max="44" width="22.625" style="113" customWidth="1"/>
    <col min="45" max="45" width="2.625" style="113" customWidth="1"/>
    <col min="46" max="46" width="5.625" style="113" customWidth="1"/>
    <col min="47" max="47" width="22.625" style="113" customWidth="1"/>
    <col min="48" max="48" width="2.625" style="113" customWidth="1"/>
    <col min="49" max="16384" width="9" style="113"/>
  </cols>
  <sheetData>
    <row r="2" spans="2:34">
      <c r="B2" s="114"/>
    </row>
    <row r="4" spans="2:34" ht="14.25">
      <c r="B4" s="115" t="s">
        <v>4891</v>
      </c>
    </row>
    <row r="6" spans="2:34" s="117" customFormat="1">
      <c r="B6" s="138" t="s">
        <v>130</v>
      </c>
      <c r="C6" s="139"/>
      <c r="D6" s="138" t="s">
        <v>137</v>
      </c>
      <c r="E6" s="139"/>
      <c r="F6" s="138" t="s">
        <v>669</v>
      </c>
      <c r="G6" s="139"/>
      <c r="H6" s="138" t="s">
        <v>1902</v>
      </c>
      <c r="I6" s="139"/>
      <c r="J6" s="138" t="s">
        <v>161</v>
      </c>
      <c r="K6" s="139"/>
      <c r="L6" s="138" t="s">
        <v>167</v>
      </c>
      <c r="M6" s="139"/>
      <c r="N6" s="139" t="s">
        <v>732</v>
      </c>
      <c r="O6" s="139"/>
      <c r="P6" s="139" t="s">
        <v>736</v>
      </c>
      <c r="Q6" s="139"/>
      <c r="R6" s="139" t="s">
        <v>743</v>
      </c>
      <c r="S6" s="139"/>
      <c r="T6" s="139" t="s">
        <v>1058</v>
      </c>
      <c r="U6" s="139"/>
      <c r="V6" s="157" t="s">
        <v>535</v>
      </c>
      <c r="W6" s="157"/>
      <c r="X6" s="157" t="s">
        <v>539</v>
      </c>
      <c r="Y6" s="157"/>
      <c r="Z6" s="157" t="s">
        <v>839</v>
      </c>
      <c r="AA6" s="157"/>
      <c r="AB6" s="139" t="s">
        <v>4892</v>
      </c>
      <c r="AC6" s="139"/>
      <c r="AD6" s="139"/>
      <c r="AE6" s="139" t="s">
        <v>4893</v>
      </c>
      <c r="AF6" s="139"/>
      <c r="AG6" s="139" t="s">
        <v>4894</v>
      </c>
      <c r="AH6" s="139"/>
    </row>
    <row r="7" spans="2:34">
      <c r="B7" s="140"/>
      <c r="C7" s="140"/>
      <c r="D7" s="140"/>
      <c r="E7" s="140"/>
      <c r="F7" s="140"/>
      <c r="G7" s="140"/>
      <c r="H7" s="140"/>
      <c r="I7" s="140"/>
      <c r="J7" s="140"/>
      <c r="K7" s="140"/>
      <c r="L7" s="140"/>
      <c r="M7" s="140"/>
      <c r="N7" s="140"/>
      <c r="O7" s="140"/>
      <c r="P7" s="140"/>
      <c r="Q7" s="140"/>
      <c r="R7" s="140"/>
      <c r="S7" s="140"/>
      <c r="T7" s="140"/>
      <c r="U7" s="140"/>
      <c r="V7" s="158"/>
      <c r="W7" s="158"/>
      <c r="X7" s="158"/>
      <c r="Y7" s="158"/>
      <c r="Z7" s="158"/>
      <c r="AA7" s="158"/>
      <c r="AB7" s="140"/>
      <c r="AC7" s="140"/>
      <c r="AD7" s="140"/>
      <c r="AE7" s="140"/>
      <c r="AF7" s="140"/>
      <c r="AG7" s="140"/>
      <c r="AH7" s="140"/>
    </row>
    <row r="8" spans="2:34">
      <c r="B8" s="142" t="str">
        <f t="shared" ref="B8:B24" si="0">MID(C8,5,3)</f>
        <v>AFW</v>
      </c>
      <c r="C8" s="142" t="s">
        <v>1922</v>
      </c>
      <c r="D8" s="142" t="str">
        <f t="shared" ref="D8:D24" si="1">MID(E8,5,3)</f>
        <v>AFW</v>
      </c>
      <c r="E8" s="142" t="s">
        <v>1887</v>
      </c>
      <c r="F8" s="142" t="str">
        <f t="shared" ref="F8:L26" si="2">MID(G8,5,3)</f>
        <v>AFW</v>
      </c>
      <c r="G8" s="254" t="s">
        <v>1894</v>
      </c>
      <c r="H8" s="142" t="str">
        <f t="shared" si="2"/>
        <v>AFW</v>
      </c>
      <c r="I8" s="254" t="s">
        <v>1900</v>
      </c>
      <c r="J8" s="142" t="str">
        <f t="shared" si="2"/>
        <v>AFW</v>
      </c>
      <c r="K8" s="142" t="s">
        <v>1917</v>
      </c>
      <c r="L8" s="142" t="str">
        <f t="shared" si="2"/>
        <v>AFW</v>
      </c>
      <c r="M8" s="142" t="s">
        <v>1912</v>
      </c>
      <c r="N8" s="142" t="str">
        <f t="shared" ref="N8:N18" si="3">MID(O8,5,3)</f>
        <v>ANH</v>
      </c>
      <c r="O8" s="143" t="s">
        <v>2056</v>
      </c>
      <c r="P8" s="142" t="str">
        <f t="shared" ref="P8:P19" si="4">MID(Q8,5,3)</f>
        <v>ANH</v>
      </c>
      <c r="Q8" s="143" t="s">
        <v>2060</v>
      </c>
      <c r="R8" s="142" t="str">
        <f t="shared" ref="R8:R18" si="5">MID(S8,5,3)</f>
        <v>ANH</v>
      </c>
      <c r="S8" s="143" t="s">
        <v>2079</v>
      </c>
      <c r="T8" s="142" t="str">
        <f t="shared" ref="T8:V23" si="6">MID(U8,5,3)</f>
        <v>ANH</v>
      </c>
      <c r="U8" s="143" t="s">
        <v>2083</v>
      </c>
      <c r="V8" s="159" t="str">
        <f t="shared" si="6"/>
        <v>AFW</v>
      </c>
      <c r="W8" s="158" t="s">
        <v>1906</v>
      </c>
      <c r="X8" s="159" t="str">
        <f t="shared" ref="X8:X23" si="7">MID(Y8,5,3)</f>
        <v>AFW</v>
      </c>
      <c r="Y8" s="158" t="s">
        <v>2003</v>
      </c>
      <c r="Z8" s="159" t="str">
        <f t="shared" ref="Z8:Z18" si="8">MID(AA8,5,3)</f>
        <v>ANH</v>
      </c>
      <c r="AA8" s="158" t="s">
        <v>2068</v>
      </c>
      <c r="AB8" s="139" t="s">
        <v>1015</v>
      </c>
      <c r="AC8" s="149">
        <f>COUNTIF($B$8:$AA$26,$AB8)</f>
        <v>13</v>
      </c>
      <c r="AD8" s="140"/>
      <c r="AE8" s="139" t="s">
        <v>1015</v>
      </c>
      <c r="AF8" s="149">
        <f>COUNTIF($B$8:$U$26,$AB8)</f>
        <v>10</v>
      </c>
      <c r="AG8" s="139" t="s">
        <v>1015</v>
      </c>
      <c r="AH8" s="149">
        <f>COUNTIF($V$8:$AA$26,$AB8)</f>
        <v>3</v>
      </c>
    </row>
    <row r="9" spans="2:34">
      <c r="B9" s="142" t="str">
        <f t="shared" si="0"/>
        <v>ANH</v>
      </c>
      <c r="C9" s="142" t="s">
        <v>2041</v>
      </c>
      <c r="D9" s="142" t="str">
        <f t="shared" si="1"/>
        <v>ANH</v>
      </c>
      <c r="E9" s="142" t="s">
        <v>2045</v>
      </c>
      <c r="F9" s="142" t="str">
        <f t="shared" si="2"/>
        <v>ANH</v>
      </c>
      <c r="G9" s="254" t="s">
        <v>2048</v>
      </c>
      <c r="H9" s="142" t="str">
        <f t="shared" si="2"/>
        <v>ANH</v>
      </c>
      <c r="I9" s="254" t="s">
        <v>2052</v>
      </c>
      <c r="J9" s="142" t="str">
        <f t="shared" si="2"/>
        <v>ANH</v>
      </c>
      <c r="K9" s="142" t="s">
        <v>2071</v>
      </c>
      <c r="L9" s="142" t="str">
        <f t="shared" si="2"/>
        <v>ANH</v>
      </c>
      <c r="M9" s="142" t="s">
        <v>2076</v>
      </c>
      <c r="N9" s="142" t="str">
        <f t="shared" si="3"/>
        <v>HDD</v>
      </c>
      <c r="O9" s="143" t="s">
        <v>2402</v>
      </c>
      <c r="P9" s="142" t="str">
        <f t="shared" si="4"/>
        <v>HDD</v>
      </c>
      <c r="Q9" s="143" t="s">
        <v>2407</v>
      </c>
      <c r="R9" s="142" t="str">
        <f t="shared" si="5"/>
        <v>HDD</v>
      </c>
      <c r="S9" s="143" t="s">
        <v>2421</v>
      </c>
      <c r="T9" s="142" t="str">
        <f t="shared" si="6"/>
        <v>HDD</v>
      </c>
      <c r="U9" s="143" t="s">
        <v>2391</v>
      </c>
      <c r="V9" s="159" t="str">
        <f t="shared" si="6"/>
        <v>ANH</v>
      </c>
      <c r="W9" s="158" t="s">
        <v>2064</v>
      </c>
      <c r="X9" s="159" t="str">
        <f t="shared" si="7"/>
        <v>ANH</v>
      </c>
      <c r="Y9" s="158" t="s">
        <v>2120</v>
      </c>
      <c r="Z9" s="159" t="str">
        <f t="shared" si="8"/>
        <v>HDD</v>
      </c>
      <c r="AA9" s="158" t="s">
        <v>2417</v>
      </c>
      <c r="AB9" s="139" t="s">
        <v>1024</v>
      </c>
      <c r="AC9" s="149">
        <f t="shared" ref="AC9:AC24" si="9">COUNTIF($B$8:$AA$26,$AB9)</f>
        <v>13</v>
      </c>
      <c r="AD9" s="140"/>
      <c r="AE9" s="139" t="s">
        <v>1024</v>
      </c>
      <c r="AF9" s="149">
        <f t="shared" ref="AF9:AF24" si="10">COUNTIF($B$8:$U$26,$AB9)</f>
        <v>10</v>
      </c>
      <c r="AG9" s="139" t="s">
        <v>1024</v>
      </c>
      <c r="AH9" s="149">
        <f t="shared" ref="AH9:AH24" si="11">COUNTIF($V$8:$AA$26,$AB9)</f>
        <v>3</v>
      </c>
    </row>
    <row r="10" spans="2:34">
      <c r="B10" s="142" t="str">
        <f t="shared" si="0"/>
        <v>BRL</v>
      </c>
      <c r="C10" s="142" t="s">
        <v>2196</v>
      </c>
      <c r="D10" s="142" t="str">
        <f t="shared" si="1"/>
        <v>BRL</v>
      </c>
      <c r="E10" s="142" t="s">
        <v>2201</v>
      </c>
      <c r="F10" s="142" t="str">
        <f t="shared" si="2"/>
        <v>BRL</v>
      </c>
      <c r="G10" s="254" t="s">
        <v>2266</v>
      </c>
      <c r="H10" s="142" t="str">
        <f t="shared" si="2"/>
        <v>BRL</v>
      </c>
      <c r="I10" s="254" t="s">
        <v>2271</v>
      </c>
      <c r="J10" s="142" t="str">
        <f t="shared" si="2"/>
        <v>BRL</v>
      </c>
      <c r="K10" s="142" t="s">
        <v>2204</v>
      </c>
      <c r="L10" s="142" t="str">
        <f t="shared" si="2"/>
        <v>BRL</v>
      </c>
      <c r="M10" s="142" t="s">
        <v>2208</v>
      </c>
      <c r="N10" s="142" t="str">
        <f t="shared" si="3"/>
        <v>NES</v>
      </c>
      <c r="O10" s="143" t="s">
        <v>2501</v>
      </c>
      <c r="P10" s="142" t="str">
        <f t="shared" si="4"/>
        <v>NES</v>
      </c>
      <c r="Q10" s="143" t="s">
        <v>2506</v>
      </c>
      <c r="R10" s="142" t="str">
        <f t="shared" si="5"/>
        <v>NES</v>
      </c>
      <c r="S10" s="143" t="s">
        <v>2529</v>
      </c>
      <c r="T10" s="142" t="str">
        <f t="shared" si="6"/>
        <v>NES</v>
      </c>
      <c r="U10" s="143" t="s">
        <v>2533</v>
      </c>
      <c r="V10" s="159" t="str">
        <f t="shared" si="6"/>
        <v>BRL</v>
      </c>
      <c r="W10" s="158" t="s">
        <v>2211</v>
      </c>
      <c r="X10" s="159" t="str">
        <f t="shared" si="7"/>
        <v>BRL</v>
      </c>
      <c r="Y10" s="158" t="s">
        <v>2314</v>
      </c>
      <c r="Z10" s="159" t="str">
        <f t="shared" si="8"/>
        <v>NES</v>
      </c>
      <c r="AA10" s="158" t="s">
        <v>2517</v>
      </c>
      <c r="AB10" s="139" t="s">
        <v>1013</v>
      </c>
      <c r="AC10" s="149">
        <f t="shared" si="9"/>
        <v>13</v>
      </c>
      <c r="AD10" s="140"/>
      <c r="AE10" s="139" t="s">
        <v>1013</v>
      </c>
      <c r="AF10" s="149">
        <f t="shared" si="10"/>
        <v>10</v>
      </c>
      <c r="AG10" s="139" t="s">
        <v>1013</v>
      </c>
      <c r="AH10" s="149">
        <f t="shared" si="11"/>
        <v>3</v>
      </c>
    </row>
    <row r="11" spans="2:34">
      <c r="B11" s="142" t="str">
        <f t="shared" si="0"/>
        <v>HDD</v>
      </c>
      <c r="C11" s="142" t="s">
        <v>2331</v>
      </c>
      <c r="D11" s="142" t="str">
        <f t="shared" si="1"/>
        <v>HDD</v>
      </c>
      <c r="E11" s="142" t="s">
        <v>2347</v>
      </c>
      <c r="F11" s="142" t="str">
        <f t="shared" si="2"/>
        <v>HDD</v>
      </c>
      <c r="G11" s="254" t="s">
        <v>2352</v>
      </c>
      <c r="H11" s="142" t="str">
        <f t="shared" si="2"/>
        <v>HDD</v>
      </c>
      <c r="I11" s="254" t="s">
        <v>2355</v>
      </c>
      <c r="J11" s="142" t="str">
        <f t="shared" si="2"/>
        <v>HDD</v>
      </c>
      <c r="K11" s="142" t="s">
        <v>2363</v>
      </c>
      <c r="L11" s="142" t="str">
        <f t="shared" si="2"/>
        <v>HDD</v>
      </c>
      <c r="M11" s="142" t="s">
        <v>2367</v>
      </c>
      <c r="N11" s="142" t="str">
        <f t="shared" si="3"/>
        <v>SRN</v>
      </c>
      <c r="O11" s="143" t="s">
        <v>3219</v>
      </c>
      <c r="P11" s="162"/>
      <c r="Q11" s="163"/>
      <c r="R11" s="142" t="str">
        <f t="shared" si="5"/>
        <v>SRN</v>
      </c>
      <c r="S11" s="143" t="s">
        <v>3246</v>
      </c>
      <c r="T11" s="142" t="str">
        <f t="shared" si="6"/>
        <v>SRN</v>
      </c>
      <c r="U11" s="143" t="s">
        <v>3251</v>
      </c>
      <c r="V11" s="159" t="str">
        <f t="shared" si="6"/>
        <v>HDD</v>
      </c>
      <c r="W11" s="158" t="s">
        <v>2359</v>
      </c>
      <c r="X11" s="159" t="str">
        <f t="shared" si="7"/>
        <v>HDD</v>
      </c>
      <c r="Y11" s="158" t="s">
        <v>2450</v>
      </c>
      <c r="Z11" s="159" t="str">
        <f t="shared" si="8"/>
        <v>SRN</v>
      </c>
      <c r="AA11" s="158" t="s">
        <v>3233</v>
      </c>
      <c r="AB11" s="139" t="s">
        <v>1032</v>
      </c>
      <c r="AC11" s="149">
        <f>COUNTIF($B$8:$AA$26,$AB11)+COUNTIF($B$8:$AA$26,"NES1")</f>
        <v>14</v>
      </c>
      <c r="AD11" s="140"/>
      <c r="AE11" s="139" t="s">
        <v>1032</v>
      </c>
      <c r="AF11" s="149">
        <f>COUNTIF($B$8:$U$26,$AB11)+COUNTIF($B$8:$U$26,"NES1")</f>
        <v>11</v>
      </c>
      <c r="AG11" s="139" t="s">
        <v>1032</v>
      </c>
      <c r="AH11" s="149">
        <f t="shared" si="11"/>
        <v>3</v>
      </c>
    </row>
    <row r="12" spans="2:34">
      <c r="B12" s="142" t="str">
        <f t="shared" si="0"/>
        <v>NES</v>
      </c>
      <c r="C12" s="142" t="s">
        <v>2480</v>
      </c>
      <c r="D12" s="142" t="str">
        <f t="shared" si="1"/>
        <v>NES</v>
      </c>
      <c r="E12" s="142" t="s">
        <v>2485</v>
      </c>
      <c r="F12" s="142" t="str">
        <f t="shared" si="2"/>
        <v>NES</v>
      </c>
      <c r="G12" s="254" t="s">
        <v>2489</v>
      </c>
      <c r="H12" s="142" t="str">
        <f t="shared" si="2"/>
        <v>NES</v>
      </c>
      <c r="I12" s="254" t="s">
        <v>2497</v>
      </c>
      <c r="J12" s="142" t="str">
        <f t="shared" si="2"/>
        <v>NES</v>
      </c>
      <c r="K12" s="142" t="s">
        <v>2521</v>
      </c>
      <c r="L12" s="142" t="str">
        <f t="shared" si="2"/>
        <v>NES</v>
      </c>
      <c r="M12" s="142" t="s">
        <v>2525</v>
      </c>
      <c r="N12" s="142" t="str">
        <f t="shared" si="3"/>
        <v>SVE</v>
      </c>
      <c r="O12" s="143" t="s">
        <v>3482</v>
      </c>
      <c r="P12" s="142" t="str">
        <f t="shared" si="4"/>
        <v>SRN</v>
      </c>
      <c r="Q12" s="143" t="s">
        <v>3223</v>
      </c>
      <c r="R12" s="142" t="str">
        <f t="shared" si="5"/>
        <v>SVE</v>
      </c>
      <c r="S12" s="143" t="s">
        <v>3488</v>
      </c>
      <c r="T12" s="142" t="str">
        <f t="shared" si="6"/>
        <v>SVE</v>
      </c>
      <c r="U12" s="143" t="s">
        <v>3451</v>
      </c>
      <c r="V12" s="159" t="str">
        <f t="shared" si="6"/>
        <v>NES</v>
      </c>
      <c r="W12" s="158" t="s">
        <v>2511</v>
      </c>
      <c r="X12" s="159" t="str">
        <f t="shared" si="7"/>
        <v>NES</v>
      </c>
      <c r="Y12" s="158" t="s">
        <v>2655</v>
      </c>
      <c r="Z12" s="159" t="str">
        <f t="shared" si="8"/>
        <v>SVE</v>
      </c>
      <c r="AA12" s="158" t="s">
        <v>3491</v>
      </c>
      <c r="AB12" s="139" t="s">
        <v>1036</v>
      </c>
      <c r="AC12" s="149">
        <f t="shared" si="9"/>
        <v>13</v>
      </c>
      <c r="AD12" s="140"/>
      <c r="AE12" s="139" t="s">
        <v>1036</v>
      </c>
      <c r="AF12" s="149">
        <f t="shared" si="10"/>
        <v>10</v>
      </c>
      <c r="AG12" s="139" t="s">
        <v>1036</v>
      </c>
      <c r="AH12" s="149">
        <f t="shared" si="11"/>
        <v>3</v>
      </c>
    </row>
    <row r="13" spans="2:34">
      <c r="B13" s="142" t="str">
        <f t="shared" si="0"/>
        <v>PRT</v>
      </c>
      <c r="C13" s="142" t="s">
        <v>2713</v>
      </c>
      <c r="D13" s="142" t="str">
        <f t="shared" si="1"/>
        <v>PRT</v>
      </c>
      <c r="E13" s="142" t="s">
        <v>2718</v>
      </c>
      <c r="F13" s="142" t="str">
        <f>MID(G13,5,3)&amp;"1"</f>
        <v>NES1</v>
      </c>
      <c r="G13" s="254" t="s">
        <v>2494</v>
      </c>
      <c r="H13" s="142" t="str">
        <f t="shared" si="2"/>
        <v>PRT</v>
      </c>
      <c r="I13" s="254" t="s">
        <v>2708</v>
      </c>
      <c r="J13" s="142" t="str">
        <f t="shared" si="2"/>
        <v>PRT</v>
      </c>
      <c r="K13" s="142" t="s">
        <v>2722</v>
      </c>
      <c r="L13" s="142" t="str">
        <f t="shared" si="2"/>
        <v>PRT</v>
      </c>
      <c r="M13" s="142" t="s">
        <v>2726</v>
      </c>
      <c r="N13" s="142" t="str">
        <f t="shared" si="3"/>
        <v>SWB</v>
      </c>
      <c r="O13" s="143" t="s">
        <v>3611</v>
      </c>
      <c r="P13" s="142" t="str">
        <f t="shared" si="4"/>
        <v>SVE</v>
      </c>
      <c r="Q13" s="143" t="s">
        <v>3485</v>
      </c>
      <c r="R13" s="142" t="str">
        <f t="shared" si="5"/>
        <v>SWB</v>
      </c>
      <c r="S13" s="143" t="s">
        <v>3620</v>
      </c>
      <c r="T13" s="142" t="str">
        <f t="shared" si="6"/>
        <v>SWB</v>
      </c>
      <c r="U13" s="143" t="s">
        <v>3632</v>
      </c>
      <c r="V13" s="159" t="str">
        <f t="shared" si="6"/>
        <v>PRT</v>
      </c>
      <c r="W13" s="158" t="s">
        <v>2782</v>
      </c>
      <c r="X13" s="159" t="str">
        <f t="shared" si="7"/>
        <v>PRT</v>
      </c>
      <c r="Y13" s="158" t="s">
        <v>2810</v>
      </c>
      <c r="Z13" s="159" t="str">
        <f t="shared" si="8"/>
        <v>SWB</v>
      </c>
      <c r="AA13" s="158" t="s">
        <v>3653</v>
      </c>
      <c r="AB13" s="139" t="s">
        <v>1041</v>
      </c>
      <c r="AC13" s="149">
        <f t="shared" si="9"/>
        <v>13</v>
      </c>
      <c r="AD13" s="140"/>
      <c r="AE13" s="139" t="s">
        <v>1041</v>
      </c>
      <c r="AF13" s="149">
        <f t="shared" si="10"/>
        <v>10</v>
      </c>
      <c r="AG13" s="139" t="s">
        <v>1041</v>
      </c>
      <c r="AH13" s="149">
        <f t="shared" si="11"/>
        <v>3</v>
      </c>
    </row>
    <row r="14" spans="2:34">
      <c r="B14" s="142" t="str">
        <f t="shared" si="0"/>
        <v>SES</v>
      </c>
      <c r="C14" s="142" t="s">
        <v>2831</v>
      </c>
      <c r="D14" s="142" t="str">
        <f t="shared" si="1"/>
        <v>SES</v>
      </c>
      <c r="E14" s="142" t="s">
        <v>2820</v>
      </c>
      <c r="F14" s="142" t="str">
        <f t="shared" si="2"/>
        <v>PRT</v>
      </c>
      <c r="G14" s="254" t="s">
        <v>2704</v>
      </c>
      <c r="H14" s="142" t="str">
        <f t="shared" si="2"/>
        <v>SES</v>
      </c>
      <c r="I14" s="254" t="s">
        <v>2876</v>
      </c>
      <c r="J14" s="142" t="str">
        <f t="shared" si="2"/>
        <v>SES</v>
      </c>
      <c r="K14" s="142" t="s">
        <v>2825</v>
      </c>
      <c r="L14" s="142" t="str">
        <f t="shared" si="2"/>
        <v>SES</v>
      </c>
      <c r="M14" s="142" t="s">
        <v>2859</v>
      </c>
      <c r="N14" s="142" t="str">
        <f t="shared" si="3"/>
        <v>TMS</v>
      </c>
      <c r="O14" s="143" t="s">
        <v>3840</v>
      </c>
      <c r="P14" s="142" t="str">
        <f t="shared" si="4"/>
        <v>SWB</v>
      </c>
      <c r="Q14" s="143" t="s">
        <v>3700</v>
      </c>
      <c r="R14" s="142" t="str">
        <f t="shared" si="5"/>
        <v>TMS</v>
      </c>
      <c r="S14" s="143" t="s">
        <v>3837</v>
      </c>
      <c r="T14" s="142" t="str">
        <f t="shared" si="6"/>
        <v>TMS</v>
      </c>
      <c r="U14" s="143" t="s">
        <v>3832</v>
      </c>
      <c r="V14" s="159" t="str">
        <f t="shared" si="6"/>
        <v>SES</v>
      </c>
      <c r="W14" s="158" t="s">
        <v>2855</v>
      </c>
      <c r="X14" s="159" t="str">
        <f t="shared" si="7"/>
        <v>SES</v>
      </c>
      <c r="Y14" s="158" t="s">
        <v>2852</v>
      </c>
      <c r="Z14" s="159" t="str">
        <f t="shared" si="8"/>
        <v>TMS</v>
      </c>
      <c r="AA14" s="158" t="s">
        <v>3852</v>
      </c>
      <c r="AB14" s="139" t="s">
        <v>1038</v>
      </c>
      <c r="AC14" s="149">
        <f t="shared" si="9"/>
        <v>13</v>
      </c>
      <c r="AD14" s="140"/>
      <c r="AE14" s="139" t="s">
        <v>1038</v>
      </c>
      <c r="AF14" s="149">
        <f t="shared" si="10"/>
        <v>10</v>
      </c>
      <c r="AG14" s="139" t="s">
        <v>1038</v>
      </c>
      <c r="AH14" s="149">
        <f t="shared" si="11"/>
        <v>3</v>
      </c>
    </row>
    <row r="15" spans="2:34">
      <c r="B15" s="142" t="str">
        <f t="shared" si="0"/>
        <v>SEW</v>
      </c>
      <c r="C15" s="142" t="s">
        <v>2925</v>
      </c>
      <c r="D15" s="142" t="str">
        <f t="shared" si="1"/>
        <v>SEW</v>
      </c>
      <c r="E15" s="142" t="s">
        <v>2929</v>
      </c>
      <c r="F15" s="142" t="str">
        <f t="shared" si="2"/>
        <v>SES</v>
      </c>
      <c r="G15" s="254" t="s">
        <v>2862</v>
      </c>
      <c r="H15" s="142" t="str">
        <f t="shared" si="2"/>
        <v>SEW</v>
      </c>
      <c r="I15" s="254" t="s">
        <v>2937</v>
      </c>
      <c r="J15" s="142" t="str">
        <f t="shared" si="2"/>
        <v>SEW</v>
      </c>
      <c r="K15" s="142" t="s">
        <v>2946</v>
      </c>
      <c r="L15" s="142" t="str">
        <f t="shared" si="2"/>
        <v>SEW</v>
      </c>
      <c r="M15" s="142" t="s">
        <v>2949</v>
      </c>
      <c r="N15" s="142" t="str">
        <f t="shared" si="3"/>
        <v>UUW</v>
      </c>
      <c r="O15" s="143" t="s">
        <v>4168</v>
      </c>
      <c r="P15" s="142" t="str">
        <f t="shared" si="4"/>
        <v>TMS</v>
      </c>
      <c r="Q15" s="143" t="s">
        <v>3897</v>
      </c>
      <c r="R15" s="142" t="str">
        <f t="shared" si="5"/>
        <v>UUW</v>
      </c>
      <c r="S15" s="143" t="s">
        <v>4156</v>
      </c>
      <c r="T15" s="142" t="str">
        <f t="shared" si="6"/>
        <v>UUW</v>
      </c>
      <c r="U15" s="143" t="s">
        <v>4061</v>
      </c>
      <c r="V15" s="159" t="str">
        <f t="shared" si="6"/>
        <v>SEW</v>
      </c>
      <c r="W15" s="158" t="s">
        <v>2941</v>
      </c>
      <c r="X15" s="159" t="str">
        <f t="shared" si="7"/>
        <v>SEW</v>
      </c>
      <c r="Y15" s="158" t="s">
        <v>2999</v>
      </c>
      <c r="Z15" s="159" t="str">
        <f t="shared" si="8"/>
        <v>UUW</v>
      </c>
      <c r="AA15" s="158" t="s">
        <v>4164</v>
      </c>
      <c r="AB15" s="139" t="s">
        <v>1045</v>
      </c>
      <c r="AC15" s="149">
        <f t="shared" si="9"/>
        <v>13</v>
      </c>
      <c r="AD15" s="140"/>
      <c r="AE15" s="139" t="s">
        <v>1045</v>
      </c>
      <c r="AF15" s="149">
        <f t="shared" si="10"/>
        <v>10</v>
      </c>
      <c r="AG15" s="139" t="s">
        <v>1045</v>
      </c>
      <c r="AH15" s="149">
        <f t="shared" si="11"/>
        <v>3</v>
      </c>
    </row>
    <row r="16" spans="2:34">
      <c r="B16" s="142" t="str">
        <f t="shared" si="0"/>
        <v>SRN</v>
      </c>
      <c r="C16" s="142" t="s">
        <v>3069</v>
      </c>
      <c r="D16" s="142" t="str">
        <f t="shared" si="1"/>
        <v>SRN</v>
      </c>
      <c r="E16" s="142" t="s">
        <v>3213</v>
      </c>
      <c r="F16" s="142" t="str">
        <f t="shared" si="2"/>
        <v>SEW</v>
      </c>
      <c r="G16" s="254" t="s">
        <v>2933</v>
      </c>
      <c r="H16" s="142" t="str">
        <f t="shared" si="2"/>
        <v>SRN</v>
      </c>
      <c r="I16" s="254" t="s">
        <v>3082</v>
      </c>
      <c r="J16" s="142" t="str">
        <f t="shared" si="2"/>
        <v>SRN</v>
      </c>
      <c r="K16" s="142" t="s">
        <v>3237</v>
      </c>
      <c r="L16" s="142" t="str">
        <f t="shared" si="2"/>
        <v>SRN</v>
      </c>
      <c r="M16" s="142" t="s">
        <v>3242</v>
      </c>
      <c r="N16" s="142" t="str">
        <f t="shared" si="3"/>
        <v>WSH</v>
      </c>
      <c r="O16" s="143" t="s">
        <v>4273</v>
      </c>
      <c r="P16" s="142" t="str">
        <f t="shared" si="4"/>
        <v>UUW</v>
      </c>
      <c r="Q16" s="143" t="s">
        <v>4057</v>
      </c>
      <c r="R16" s="142" t="str">
        <f t="shared" si="5"/>
        <v>WSH</v>
      </c>
      <c r="S16" s="143" t="s">
        <v>4281</v>
      </c>
      <c r="T16" s="142" t="str">
        <f t="shared" si="6"/>
        <v>WSH</v>
      </c>
      <c r="U16" s="143" t="s">
        <v>4221</v>
      </c>
      <c r="V16" s="159" t="str">
        <f t="shared" si="6"/>
        <v>SRN</v>
      </c>
      <c r="W16" s="158" t="s">
        <v>3228</v>
      </c>
      <c r="X16" s="159" t="str">
        <f t="shared" si="7"/>
        <v>SRN</v>
      </c>
      <c r="Y16" s="158" t="s">
        <v>3299</v>
      </c>
      <c r="Z16" s="159" t="str">
        <f t="shared" si="8"/>
        <v>WSH</v>
      </c>
      <c r="AA16" s="158" t="s">
        <v>4324</v>
      </c>
      <c r="AB16" s="139" t="s">
        <v>1050</v>
      </c>
      <c r="AC16" s="149">
        <f t="shared" si="9"/>
        <v>13</v>
      </c>
      <c r="AD16" s="140"/>
      <c r="AE16" s="139" t="s">
        <v>1050</v>
      </c>
      <c r="AF16" s="149">
        <f t="shared" si="10"/>
        <v>10</v>
      </c>
      <c r="AG16" s="139" t="s">
        <v>1050</v>
      </c>
      <c r="AH16" s="149">
        <f t="shared" si="11"/>
        <v>3</v>
      </c>
    </row>
    <row r="17" spans="2:37">
      <c r="B17" s="142" t="str">
        <f t="shared" si="0"/>
        <v>SSC</v>
      </c>
      <c r="C17" s="142" t="s">
        <v>3371</v>
      </c>
      <c r="D17" s="142" t="str">
        <f t="shared" si="1"/>
        <v>SSC</v>
      </c>
      <c r="E17" s="142" t="s">
        <v>3375</v>
      </c>
      <c r="F17" s="142" t="str">
        <f t="shared" si="2"/>
        <v>SRN</v>
      </c>
      <c r="G17" s="254" t="s">
        <v>3075</v>
      </c>
      <c r="H17" s="142" t="str">
        <f t="shared" si="2"/>
        <v>SSC</v>
      </c>
      <c r="I17" s="254" t="s">
        <v>3344</v>
      </c>
      <c r="J17" s="142" t="str">
        <f t="shared" si="2"/>
        <v>SSC</v>
      </c>
      <c r="K17" s="142" t="s">
        <v>3382</v>
      </c>
      <c r="L17" s="142" t="str">
        <f t="shared" si="2"/>
        <v>SSC</v>
      </c>
      <c r="M17" s="142" t="s">
        <v>3386</v>
      </c>
      <c r="N17" s="142" t="str">
        <f t="shared" si="3"/>
        <v>WSX</v>
      </c>
      <c r="O17" s="143" t="s">
        <v>4489</v>
      </c>
      <c r="P17" s="142" t="str">
        <f t="shared" si="4"/>
        <v>WSH</v>
      </c>
      <c r="Q17" s="143" t="s">
        <v>4228</v>
      </c>
      <c r="R17" s="142" t="str">
        <f t="shared" si="5"/>
        <v>WSX</v>
      </c>
      <c r="S17" s="143" t="s">
        <v>4523</v>
      </c>
      <c r="T17" s="142" t="str">
        <f t="shared" si="6"/>
        <v>WSX</v>
      </c>
      <c r="U17" s="143" t="s">
        <v>4532</v>
      </c>
      <c r="V17" s="159" t="str">
        <f t="shared" si="6"/>
        <v>SSC</v>
      </c>
      <c r="W17" s="158" t="s">
        <v>3379</v>
      </c>
      <c r="X17" s="159" t="str">
        <f t="shared" si="7"/>
        <v>SSC</v>
      </c>
      <c r="Y17" s="158" t="s">
        <v>3333</v>
      </c>
      <c r="Z17" s="159" t="str">
        <f t="shared" si="8"/>
        <v>WSX</v>
      </c>
      <c r="AA17" s="158" t="s">
        <v>4512</v>
      </c>
      <c r="AB17" s="139" t="s">
        <v>1054</v>
      </c>
      <c r="AC17" s="149">
        <f t="shared" si="9"/>
        <v>13</v>
      </c>
      <c r="AD17" s="140"/>
      <c r="AE17" s="139" t="s">
        <v>1054</v>
      </c>
      <c r="AF17" s="149">
        <f t="shared" si="10"/>
        <v>10</v>
      </c>
      <c r="AG17" s="139" t="s">
        <v>1054</v>
      </c>
      <c r="AH17" s="149">
        <f t="shared" si="11"/>
        <v>3</v>
      </c>
    </row>
    <row r="18" spans="2:37">
      <c r="B18" s="142" t="str">
        <f t="shared" si="0"/>
        <v>SVE</v>
      </c>
      <c r="C18" s="142" t="s">
        <v>3561</v>
      </c>
      <c r="D18" s="142" t="str">
        <f t="shared" si="1"/>
        <v>SVE</v>
      </c>
      <c r="E18" s="142" t="s">
        <v>3515</v>
      </c>
      <c r="F18" s="142" t="str">
        <f t="shared" si="2"/>
        <v>SSC</v>
      </c>
      <c r="G18" s="254" t="s">
        <v>3336</v>
      </c>
      <c r="H18" s="142" t="str">
        <f>MID(I18,5,3)&amp;"1"</f>
        <v>SSC1</v>
      </c>
      <c r="I18" s="254" t="s">
        <v>3348</v>
      </c>
      <c r="J18" s="142" t="str">
        <f t="shared" si="2"/>
        <v>SVE</v>
      </c>
      <c r="K18" s="142" t="s">
        <v>3521</v>
      </c>
      <c r="L18" s="142" t="str">
        <f t="shared" si="2"/>
        <v>SVE</v>
      </c>
      <c r="M18" s="142" t="s">
        <v>3525</v>
      </c>
      <c r="N18" s="142" t="str">
        <f t="shared" si="3"/>
        <v>YKY</v>
      </c>
      <c r="O18" s="143" t="s">
        <v>4704</v>
      </c>
      <c r="P18" s="142" t="str">
        <f t="shared" si="4"/>
        <v>WSX</v>
      </c>
      <c r="Q18" s="143" t="s">
        <v>4536</v>
      </c>
      <c r="R18" s="142" t="str">
        <f t="shared" si="5"/>
        <v>YKY</v>
      </c>
      <c r="S18" s="143" t="s">
        <v>4710</v>
      </c>
      <c r="T18" s="142" t="str">
        <f t="shared" si="6"/>
        <v>YKY</v>
      </c>
      <c r="U18" s="143" t="s">
        <v>4707</v>
      </c>
      <c r="V18" s="159" t="str">
        <f t="shared" si="6"/>
        <v>SVE</v>
      </c>
      <c r="W18" s="158" t="s">
        <v>3527</v>
      </c>
      <c r="X18" s="159" t="str">
        <f t="shared" si="7"/>
        <v>SVE</v>
      </c>
      <c r="Y18" s="158" t="s">
        <v>3479</v>
      </c>
      <c r="Z18" s="159" t="str">
        <f t="shared" si="8"/>
        <v>YKY</v>
      </c>
      <c r="AA18" s="158" t="s">
        <v>4713</v>
      </c>
      <c r="AB18" s="139" t="s">
        <v>1057</v>
      </c>
      <c r="AC18" s="149">
        <f t="shared" si="9"/>
        <v>13</v>
      </c>
      <c r="AD18" s="140"/>
      <c r="AE18" s="139" t="s">
        <v>1057</v>
      </c>
      <c r="AF18" s="149">
        <f t="shared" si="10"/>
        <v>10</v>
      </c>
      <c r="AG18" s="139" t="s">
        <v>1057</v>
      </c>
      <c r="AH18" s="149">
        <f t="shared" si="11"/>
        <v>3</v>
      </c>
    </row>
    <row r="19" spans="2:37">
      <c r="B19" s="142" t="str">
        <f t="shared" si="0"/>
        <v>SWB</v>
      </c>
      <c r="C19" s="142" t="s">
        <v>3578</v>
      </c>
      <c r="D19" s="142" t="str">
        <f t="shared" si="1"/>
        <v>SWB</v>
      </c>
      <c r="E19" s="142" t="s">
        <v>3582</v>
      </c>
      <c r="F19" s="142" t="str">
        <f>MID(G19,5,3)&amp;"1"</f>
        <v>SSC1</v>
      </c>
      <c r="G19" s="264" t="s">
        <v>3341</v>
      </c>
      <c r="H19" s="142" t="str">
        <f t="shared" si="2"/>
        <v>SVE</v>
      </c>
      <c r="I19" s="254" t="s">
        <v>3519</v>
      </c>
      <c r="J19" s="142" t="str">
        <f t="shared" si="2"/>
        <v>SWB</v>
      </c>
      <c r="K19" s="142" t="s">
        <v>3586</v>
      </c>
      <c r="L19" s="142" t="str">
        <f t="shared" si="2"/>
        <v>SWB</v>
      </c>
      <c r="M19" s="142" t="s">
        <v>3590</v>
      </c>
      <c r="N19" s="143"/>
      <c r="O19" s="143"/>
      <c r="P19" s="142" t="str">
        <f t="shared" si="4"/>
        <v>YKY</v>
      </c>
      <c r="Q19" s="143" t="s">
        <v>4701</v>
      </c>
      <c r="R19" s="143"/>
      <c r="S19" s="143"/>
      <c r="T19" s="143"/>
      <c r="U19" s="143"/>
      <c r="V19" s="159" t="str">
        <f t="shared" si="6"/>
        <v>SWB</v>
      </c>
      <c r="W19" s="158" t="s">
        <v>3649</v>
      </c>
      <c r="X19" s="159" t="str">
        <f t="shared" si="7"/>
        <v>SWB</v>
      </c>
      <c r="Y19" s="158" t="s">
        <v>3687</v>
      </c>
      <c r="Z19" s="158"/>
      <c r="AA19" s="158"/>
      <c r="AB19" s="139" t="s">
        <v>1060</v>
      </c>
      <c r="AC19" s="149">
        <f t="shared" si="9"/>
        <v>8</v>
      </c>
      <c r="AD19" s="140"/>
      <c r="AE19" s="139" t="s">
        <v>1060</v>
      </c>
      <c r="AF19" s="149">
        <f t="shared" si="10"/>
        <v>6</v>
      </c>
      <c r="AG19" s="139" t="s">
        <v>1060</v>
      </c>
      <c r="AH19" s="149">
        <f t="shared" si="11"/>
        <v>2</v>
      </c>
    </row>
    <row r="20" spans="2:37">
      <c r="B20" s="142" t="str">
        <f t="shared" si="0"/>
        <v>TMS</v>
      </c>
      <c r="C20" s="142" t="s">
        <v>3800</v>
      </c>
      <c r="D20" s="142" t="str">
        <f t="shared" si="1"/>
        <v>TMS</v>
      </c>
      <c r="E20" s="142" t="s">
        <v>3788</v>
      </c>
      <c r="F20" s="142" t="str">
        <f t="shared" si="2"/>
        <v>SVE</v>
      </c>
      <c r="G20" s="254" t="s">
        <v>3517</v>
      </c>
      <c r="H20" s="142" t="str">
        <f t="shared" si="2"/>
        <v>SWB</v>
      </c>
      <c r="I20" s="254" t="s">
        <v>3607</v>
      </c>
      <c r="J20" s="142" t="str">
        <f t="shared" si="2"/>
        <v>TMS</v>
      </c>
      <c r="K20" s="142" t="s">
        <v>3780</v>
      </c>
      <c r="L20" s="142" t="str">
        <f t="shared" si="2"/>
        <v>TMS</v>
      </c>
      <c r="M20" s="142" t="s">
        <v>3785</v>
      </c>
      <c r="N20" s="143"/>
      <c r="O20" s="143"/>
      <c r="P20" s="143"/>
      <c r="Q20" s="143"/>
      <c r="R20" s="143"/>
      <c r="S20" s="143"/>
      <c r="T20" s="143"/>
      <c r="U20" s="143"/>
      <c r="V20" s="159" t="str">
        <f t="shared" si="6"/>
        <v>TMS</v>
      </c>
      <c r="W20" s="158" t="s">
        <v>3860</v>
      </c>
      <c r="X20" s="159" t="str">
        <f t="shared" si="7"/>
        <v>TMS</v>
      </c>
      <c r="Y20" s="158" t="s">
        <v>3959</v>
      </c>
      <c r="Z20" s="158"/>
      <c r="AA20" s="158"/>
      <c r="AB20" s="139" t="s">
        <v>1064</v>
      </c>
      <c r="AC20" s="149">
        <f t="shared" si="9"/>
        <v>8</v>
      </c>
      <c r="AD20" s="140"/>
      <c r="AE20" s="139" t="s">
        <v>1064</v>
      </c>
      <c r="AF20" s="149">
        <f t="shared" si="10"/>
        <v>6</v>
      </c>
      <c r="AG20" s="139" t="s">
        <v>1064</v>
      </c>
      <c r="AH20" s="149">
        <f t="shared" si="11"/>
        <v>2</v>
      </c>
    </row>
    <row r="21" spans="2:37">
      <c r="B21" s="142" t="str">
        <f t="shared" si="0"/>
        <v>UUW</v>
      </c>
      <c r="C21" s="142" t="s">
        <v>3985</v>
      </c>
      <c r="D21" s="142" t="str">
        <f t="shared" si="1"/>
        <v>UUW</v>
      </c>
      <c r="E21" s="142" t="s">
        <v>4018</v>
      </c>
      <c r="F21" s="142" t="str">
        <f t="shared" si="2"/>
        <v>SWB</v>
      </c>
      <c r="G21" s="254" t="s">
        <v>3603</v>
      </c>
      <c r="H21" s="142" t="str">
        <f t="shared" si="2"/>
        <v>TMS</v>
      </c>
      <c r="I21" s="254" t="s">
        <v>3796</v>
      </c>
      <c r="J21" s="142" t="str">
        <f t="shared" si="2"/>
        <v>UUW</v>
      </c>
      <c r="K21" s="142" t="s">
        <v>4015</v>
      </c>
      <c r="L21" s="142" t="str">
        <f t="shared" si="2"/>
        <v>UUW</v>
      </c>
      <c r="M21" s="142" t="s">
        <v>4021</v>
      </c>
      <c r="N21" s="143"/>
      <c r="O21" s="143"/>
      <c r="P21" s="143"/>
      <c r="Q21" s="143"/>
      <c r="R21" s="143"/>
      <c r="S21" s="143"/>
      <c r="T21" s="143"/>
      <c r="U21" s="143"/>
      <c r="V21" s="159" t="str">
        <f t="shared" si="6"/>
        <v>UUW</v>
      </c>
      <c r="W21" s="158" t="s">
        <v>4026</v>
      </c>
      <c r="X21" s="159" t="str">
        <f t="shared" si="7"/>
        <v>UUW</v>
      </c>
      <c r="Y21" s="158" t="s">
        <v>4103</v>
      </c>
      <c r="Z21" s="158"/>
      <c r="AA21" s="158"/>
      <c r="AB21" s="139" t="s">
        <v>1068</v>
      </c>
      <c r="AC21" s="149">
        <f t="shared" si="9"/>
        <v>8</v>
      </c>
      <c r="AD21" s="140"/>
      <c r="AE21" s="139" t="s">
        <v>1068</v>
      </c>
      <c r="AF21" s="149">
        <f t="shared" si="10"/>
        <v>6</v>
      </c>
      <c r="AG21" s="139" t="s">
        <v>1068</v>
      </c>
      <c r="AH21" s="149">
        <f t="shared" si="11"/>
        <v>2</v>
      </c>
    </row>
    <row r="22" spans="2:37">
      <c r="B22" s="142" t="str">
        <f t="shared" si="0"/>
        <v>WSH</v>
      </c>
      <c r="C22" s="142" t="s">
        <v>4190</v>
      </c>
      <c r="D22" s="142" t="str">
        <f t="shared" si="1"/>
        <v>WSH</v>
      </c>
      <c r="E22" s="142" t="s">
        <v>4194</v>
      </c>
      <c r="F22" s="142" t="str">
        <f t="shared" si="2"/>
        <v>TMS</v>
      </c>
      <c r="G22" s="254" t="s">
        <v>3792</v>
      </c>
      <c r="H22" s="142" t="str">
        <f t="shared" si="2"/>
        <v>UUW</v>
      </c>
      <c r="I22" s="254" t="s">
        <v>4024</v>
      </c>
      <c r="J22" s="142" t="str">
        <f t="shared" si="2"/>
        <v>WSH</v>
      </c>
      <c r="K22" s="142" t="s">
        <v>4202</v>
      </c>
      <c r="L22" s="142" t="str">
        <f t="shared" si="2"/>
        <v>WSH</v>
      </c>
      <c r="M22" s="142" t="s">
        <v>4206</v>
      </c>
      <c r="N22" s="143"/>
      <c r="O22" s="143"/>
      <c r="P22" s="143"/>
      <c r="Q22" s="143"/>
      <c r="R22" s="143"/>
      <c r="S22" s="143"/>
      <c r="T22" s="143"/>
      <c r="U22" s="143"/>
      <c r="V22" s="159" t="str">
        <f t="shared" si="6"/>
        <v>WSH</v>
      </c>
      <c r="W22" s="158" t="s">
        <v>4320</v>
      </c>
      <c r="X22" s="159" t="str">
        <f t="shared" si="7"/>
        <v>WSH</v>
      </c>
      <c r="Y22" s="158" t="s">
        <v>4267</v>
      </c>
      <c r="Z22" s="158"/>
      <c r="AA22" s="158"/>
      <c r="AB22" s="139" t="s">
        <v>1075</v>
      </c>
      <c r="AC22" s="149">
        <f t="shared" si="9"/>
        <v>8</v>
      </c>
      <c r="AD22" s="140"/>
      <c r="AE22" s="139" t="s">
        <v>1075</v>
      </c>
      <c r="AF22" s="149">
        <f t="shared" si="10"/>
        <v>6</v>
      </c>
      <c r="AG22" s="139" t="s">
        <v>1075</v>
      </c>
      <c r="AH22" s="149">
        <f t="shared" si="11"/>
        <v>2</v>
      </c>
    </row>
    <row r="23" spans="2:37">
      <c r="B23" s="142" t="str">
        <f t="shared" si="0"/>
        <v>WSX</v>
      </c>
      <c r="C23" s="142" t="s">
        <v>4466</v>
      </c>
      <c r="D23" s="142" t="str">
        <f t="shared" si="1"/>
        <v>WSX</v>
      </c>
      <c r="E23" s="142" t="s">
        <v>4505</v>
      </c>
      <c r="F23" s="142" t="str">
        <f t="shared" si="2"/>
        <v>UUW</v>
      </c>
      <c r="G23" s="254" t="s">
        <v>4011</v>
      </c>
      <c r="H23" s="142" t="str">
        <f t="shared" si="2"/>
        <v>WSH</v>
      </c>
      <c r="I23" s="254" t="s">
        <v>4236</v>
      </c>
      <c r="J23" s="142" t="str">
        <f t="shared" si="2"/>
        <v>WSX</v>
      </c>
      <c r="K23" s="142" t="s">
        <v>4515</v>
      </c>
      <c r="L23" s="142" t="str">
        <f t="shared" si="2"/>
        <v>WSX</v>
      </c>
      <c r="M23" s="142" t="s">
        <v>4519</v>
      </c>
      <c r="N23" s="143"/>
      <c r="O23" s="143"/>
      <c r="P23" s="143"/>
      <c r="Q23" s="143"/>
      <c r="R23" s="143"/>
      <c r="S23" s="143"/>
      <c r="T23" s="143"/>
      <c r="U23" s="143"/>
      <c r="V23" s="159" t="str">
        <f t="shared" si="6"/>
        <v>WSX</v>
      </c>
      <c r="W23" s="158" t="s">
        <v>4509</v>
      </c>
      <c r="X23" s="159" t="str">
        <f t="shared" si="7"/>
        <v>WSX</v>
      </c>
      <c r="Y23" s="158" t="s">
        <v>4436</v>
      </c>
      <c r="Z23" s="158"/>
      <c r="AA23" s="158"/>
      <c r="AB23" s="139" t="s">
        <v>1078</v>
      </c>
      <c r="AC23" s="149">
        <f>COUNTIF($B$8:$AA$26,$AB23)+COUNTIF($B$8:$AA$26,"SSC1")</f>
        <v>10</v>
      </c>
      <c r="AD23" s="140"/>
      <c r="AE23" s="139" t="s">
        <v>1078</v>
      </c>
      <c r="AF23" s="149">
        <f>COUNTIF($B$8:$U$26,$AB23)+COUNTIF($B$8:$U$26,"SSC1")</f>
        <v>8</v>
      </c>
      <c r="AG23" s="139" t="s">
        <v>1078</v>
      </c>
      <c r="AH23" s="149">
        <f t="shared" si="11"/>
        <v>2</v>
      </c>
    </row>
    <row r="24" spans="2:37" ht="13.5" thickBot="1">
      <c r="B24" s="142" t="str">
        <f t="shared" si="0"/>
        <v>YKY</v>
      </c>
      <c r="C24" s="142" t="s">
        <v>4668</v>
      </c>
      <c r="D24" s="142" t="str">
        <f t="shared" si="1"/>
        <v>YKY</v>
      </c>
      <c r="E24" s="142" t="s">
        <v>4671</v>
      </c>
      <c r="F24" s="142" t="str">
        <f t="shared" si="2"/>
        <v>WSH</v>
      </c>
      <c r="G24" s="254" t="s">
        <v>4232</v>
      </c>
      <c r="H24" s="142" t="str">
        <f t="shared" si="2"/>
        <v>WSX</v>
      </c>
      <c r="I24" s="254" t="s">
        <v>4452</v>
      </c>
      <c r="J24" s="142" t="str">
        <f t="shared" si="2"/>
        <v>YKY</v>
      </c>
      <c r="K24" s="142" t="s">
        <v>4680</v>
      </c>
      <c r="L24" s="142" t="str">
        <f t="shared" si="2"/>
        <v>YKY</v>
      </c>
      <c r="M24" s="142" t="s">
        <v>4677</v>
      </c>
      <c r="N24" s="143"/>
      <c r="O24" s="143"/>
      <c r="P24" s="143"/>
      <c r="Q24" s="143"/>
      <c r="R24" s="143"/>
      <c r="S24" s="143"/>
      <c r="T24" s="143"/>
      <c r="U24" s="143"/>
      <c r="V24" s="159" t="str">
        <f>MID(W24,5,3)</f>
        <v>YKY</v>
      </c>
      <c r="W24" s="158" t="s">
        <v>4725</v>
      </c>
      <c r="X24" s="159" t="str">
        <f>MID(Y24,5,3)</f>
        <v>YKY</v>
      </c>
      <c r="Y24" s="158" t="s">
        <v>4737</v>
      </c>
      <c r="Z24" s="158"/>
      <c r="AA24" s="158"/>
      <c r="AB24" s="150" t="s">
        <v>1071</v>
      </c>
      <c r="AC24" s="151">
        <f t="shared" si="9"/>
        <v>8</v>
      </c>
      <c r="AD24" s="140"/>
      <c r="AE24" s="150" t="s">
        <v>1071</v>
      </c>
      <c r="AF24" s="151">
        <f t="shared" si="10"/>
        <v>6</v>
      </c>
      <c r="AG24" s="150" t="s">
        <v>1071</v>
      </c>
      <c r="AH24" s="151">
        <f t="shared" si="11"/>
        <v>2</v>
      </c>
    </row>
    <row r="25" spans="2:37" ht="13.5" thickTop="1">
      <c r="B25" s="143"/>
      <c r="C25" s="143"/>
      <c r="D25" s="143"/>
      <c r="E25" s="143"/>
      <c r="F25" s="142" t="str">
        <f t="shared" si="2"/>
        <v>WSX</v>
      </c>
      <c r="G25" s="254" t="s">
        <v>4447</v>
      </c>
      <c r="H25" s="142" t="str">
        <f t="shared" si="2"/>
        <v>YKY</v>
      </c>
      <c r="I25" s="254" t="s">
        <v>4683</v>
      </c>
      <c r="J25" s="142"/>
      <c r="K25" s="142"/>
      <c r="L25" s="142"/>
      <c r="M25" s="142"/>
      <c r="N25" s="143"/>
      <c r="O25" s="143"/>
      <c r="P25" s="143"/>
      <c r="Q25" s="143"/>
      <c r="R25" s="143"/>
      <c r="S25" s="143"/>
      <c r="T25" s="143"/>
      <c r="U25" s="143"/>
      <c r="V25" s="158"/>
      <c r="W25" s="158"/>
      <c r="X25" s="158"/>
      <c r="Y25" s="158"/>
      <c r="Z25" s="158"/>
      <c r="AA25" s="158"/>
      <c r="AB25" s="139" t="s">
        <v>1131</v>
      </c>
      <c r="AC25" s="149">
        <f>SUM(AC8:AC24)</f>
        <v>194</v>
      </c>
      <c r="AD25" s="140"/>
      <c r="AE25" s="139" t="s">
        <v>1131</v>
      </c>
      <c r="AF25" s="149">
        <f>SUM(AF8:AF24)</f>
        <v>149</v>
      </c>
      <c r="AG25" s="139" t="s">
        <v>1131</v>
      </c>
      <c r="AH25" s="149">
        <f>SUM(AH8:AH24)</f>
        <v>45</v>
      </c>
    </row>
    <row r="26" spans="2:37" ht="13.5" thickBot="1">
      <c r="B26" s="146"/>
      <c r="C26" s="146"/>
      <c r="D26" s="146"/>
      <c r="E26" s="146"/>
      <c r="F26" s="147" t="str">
        <f t="shared" si="2"/>
        <v>YKY</v>
      </c>
      <c r="G26" s="255" t="s">
        <v>4674</v>
      </c>
      <c r="H26" s="147"/>
      <c r="I26" s="147"/>
      <c r="J26" s="147"/>
      <c r="K26" s="147"/>
      <c r="L26" s="147"/>
      <c r="M26" s="147"/>
      <c r="N26" s="146"/>
      <c r="O26" s="146"/>
      <c r="P26" s="146"/>
      <c r="Q26" s="146"/>
      <c r="R26" s="146"/>
      <c r="S26" s="146"/>
      <c r="T26" s="146"/>
      <c r="U26" s="146"/>
      <c r="V26" s="160"/>
      <c r="W26" s="160"/>
      <c r="X26" s="160"/>
      <c r="Y26" s="160"/>
      <c r="Z26" s="160"/>
      <c r="AA26" s="160"/>
      <c r="AB26" s="152"/>
      <c r="AC26" s="152"/>
      <c r="AD26" s="152"/>
      <c r="AE26" s="152"/>
      <c r="AF26" s="152"/>
      <c r="AG26" s="152"/>
      <c r="AH26" s="152"/>
    </row>
    <row r="27" spans="2:37" ht="13.5" thickTop="1">
      <c r="B27" s="139" t="s">
        <v>1131</v>
      </c>
      <c r="C27" s="138">
        <f>COUNTA(C8:C26)</f>
        <v>17</v>
      </c>
      <c r="D27" s="140"/>
      <c r="E27" s="138">
        <f>COUNTA(E8:E26)</f>
        <v>17</v>
      </c>
      <c r="F27" s="141"/>
      <c r="G27" s="138">
        <f>COUNTA(G8:G26)</f>
        <v>19</v>
      </c>
      <c r="H27" s="141"/>
      <c r="I27" s="138">
        <f>COUNTA(I8:I26)</f>
        <v>18</v>
      </c>
      <c r="J27" s="141"/>
      <c r="K27" s="138">
        <f>COUNTA(K8:K26)</f>
        <v>17</v>
      </c>
      <c r="L27" s="141"/>
      <c r="M27" s="138">
        <f>COUNTA(M8:M26)</f>
        <v>17</v>
      </c>
      <c r="N27" s="140"/>
      <c r="O27" s="138">
        <f>COUNTA(O8:O26)</f>
        <v>11</v>
      </c>
      <c r="P27" s="140"/>
      <c r="Q27" s="138">
        <f>COUNTA(Q8:Q26)</f>
        <v>11</v>
      </c>
      <c r="R27" s="140"/>
      <c r="S27" s="138">
        <f>COUNTA(S8:S26)</f>
        <v>11</v>
      </c>
      <c r="T27" s="140"/>
      <c r="U27" s="138">
        <f>COUNTA(U8:U26)</f>
        <v>11</v>
      </c>
      <c r="V27" s="161"/>
      <c r="W27" s="161">
        <f>COUNTA(W8:W26)</f>
        <v>17</v>
      </c>
      <c r="X27" s="158"/>
      <c r="Y27" s="161">
        <f>COUNTA(Y8:Y26)</f>
        <v>17</v>
      </c>
      <c r="Z27" s="158"/>
      <c r="AA27" s="161">
        <f>COUNTA(AA8:AA26)</f>
        <v>11</v>
      </c>
      <c r="AB27" s="139"/>
      <c r="AC27" s="149">
        <f>SUM(C27:AA27)</f>
        <v>194</v>
      </c>
      <c r="AD27" s="140"/>
    </row>
    <row r="28" spans="2:37">
      <c r="F28" s="116"/>
      <c r="G28" s="116"/>
      <c r="H28" s="116"/>
      <c r="I28" s="116"/>
      <c r="J28" s="116"/>
      <c r="K28" s="116"/>
      <c r="L28" s="116"/>
      <c r="M28" s="116"/>
    </row>
    <row r="29" spans="2:37">
      <c r="F29" s="116"/>
      <c r="G29" s="116"/>
      <c r="H29" s="116"/>
      <c r="I29" s="116"/>
      <c r="J29" s="116"/>
      <c r="K29" s="116"/>
      <c r="L29" s="116"/>
      <c r="M29" s="116"/>
    </row>
    <row r="30" spans="2:37" ht="14.25">
      <c r="B30" s="121" t="s">
        <v>4895</v>
      </c>
      <c r="C30" s="119"/>
      <c r="D30" s="119"/>
      <c r="E30" s="119"/>
      <c r="F30" s="118"/>
      <c r="G30" s="118"/>
      <c r="H30" s="118"/>
      <c r="I30" s="118"/>
      <c r="J30" s="118"/>
      <c r="K30" s="118"/>
      <c r="L30" s="118"/>
      <c r="M30" s="254" t="s">
        <v>4896</v>
      </c>
      <c r="N30" s="118"/>
      <c r="O30" s="398"/>
      <c r="P30" s="398"/>
      <c r="Q30" s="398"/>
      <c r="R30" s="119"/>
      <c r="S30" s="119"/>
      <c r="T30" s="119"/>
      <c r="U30" s="119"/>
      <c r="V30" s="119"/>
      <c r="W30" s="119"/>
      <c r="X30" s="119"/>
      <c r="Y30" s="119"/>
      <c r="Z30" s="119"/>
      <c r="AA30" s="119"/>
      <c r="AB30" s="119"/>
      <c r="AC30" s="119"/>
      <c r="AD30" s="119"/>
      <c r="AE30" s="119"/>
      <c r="AF30" s="119"/>
      <c r="AG30" s="119"/>
      <c r="AH30" s="119"/>
      <c r="AI30" s="119"/>
      <c r="AJ30" s="119"/>
      <c r="AK30" s="119"/>
    </row>
    <row r="31" spans="2:37">
      <c r="B31" s="119"/>
      <c r="C31" s="119"/>
      <c r="D31" s="119"/>
      <c r="E31" s="119"/>
      <c r="F31" s="118"/>
      <c r="G31" s="118"/>
      <c r="H31" s="118"/>
      <c r="I31" s="118"/>
      <c r="J31" s="118"/>
      <c r="K31" s="118"/>
      <c r="L31" s="118"/>
      <c r="M31" s="118"/>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row>
    <row r="32" spans="2:37" s="117" customFormat="1">
      <c r="B32" s="122" t="s">
        <v>4897</v>
      </c>
      <c r="C32" s="134" t="s">
        <v>1060</v>
      </c>
      <c r="D32" s="134"/>
      <c r="E32" s="134" t="s">
        <v>1015</v>
      </c>
      <c r="F32" s="134"/>
      <c r="G32" s="134" t="s">
        <v>1064</v>
      </c>
      <c r="H32" s="134"/>
      <c r="I32" s="134" t="s">
        <v>1013</v>
      </c>
      <c r="J32" s="134"/>
      <c r="K32" s="134" t="s">
        <v>1032</v>
      </c>
      <c r="L32" s="134"/>
      <c r="M32" s="134" t="s">
        <v>1068</v>
      </c>
      <c r="N32" s="134"/>
      <c r="O32" s="134" t="s">
        <v>1071</v>
      </c>
      <c r="P32" s="134"/>
      <c r="Q32" s="134" t="s">
        <v>1075</v>
      </c>
      <c r="R32" s="134"/>
      <c r="S32" s="134" t="s">
        <v>1038</v>
      </c>
      <c r="T32" s="134"/>
      <c r="U32" s="134" t="s">
        <v>1078</v>
      </c>
      <c r="V32" s="134"/>
      <c r="W32" s="134" t="s">
        <v>1036</v>
      </c>
      <c r="X32" s="134"/>
      <c r="Y32" s="134" t="s">
        <v>1041</v>
      </c>
      <c r="Z32" s="134"/>
      <c r="AA32" s="134" t="s">
        <v>1045</v>
      </c>
      <c r="AB32" s="134"/>
      <c r="AC32" s="134" t="s">
        <v>1050</v>
      </c>
      <c r="AD32" s="134"/>
      <c r="AE32" s="134" t="s">
        <v>1024</v>
      </c>
      <c r="AF32" s="134"/>
      <c r="AG32" s="134" t="s">
        <v>1054</v>
      </c>
      <c r="AH32" s="134"/>
      <c r="AI32" s="134" t="s">
        <v>1057</v>
      </c>
      <c r="AJ32" s="122"/>
      <c r="AK32" s="122"/>
    </row>
    <row r="33" spans="2:37">
      <c r="B33" s="118">
        <v>2</v>
      </c>
      <c r="C33" s="118" t="s">
        <v>1953</v>
      </c>
      <c r="D33" s="118"/>
      <c r="E33" s="398" t="s">
        <v>2087</v>
      </c>
      <c r="F33" s="398"/>
      <c r="G33" s="398" t="s">
        <v>2215</v>
      </c>
      <c r="H33" s="398"/>
      <c r="I33" s="398" t="s">
        <v>2336</v>
      </c>
      <c r="J33" s="118"/>
      <c r="K33" s="118" t="s">
        <v>2555</v>
      </c>
      <c r="L33" s="118"/>
      <c r="M33" s="118" t="s">
        <v>2730</v>
      </c>
      <c r="N33" s="118"/>
      <c r="O33" s="118" t="s">
        <v>2827</v>
      </c>
      <c r="P33" s="118"/>
      <c r="Q33" s="118" t="s">
        <v>2987</v>
      </c>
      <c r="R33" s="118"/>
      <c r="S33" s="118" t="s">
        <v>3088</v>
      </c>
      <c r="T33" s="118"/>
      <c r="U33" s="118" t="s">
        <v>3322</v>
      </c>
      <c r="V33" s="118"/>
      <c r="W33" s="118" t="s">
        <v>3428</v>
      </c>
      <c r="X33" s="118"/>
      <c r="Y33" s="398" t="s">
        <v>3593</v>
      </c>
      <c r="Z33" s="398"/>
      <c r="AA33" s="398" t="s">
        <v>3803</v>
      </c>
      <c r="AB33" s="398"/>
      <c r="AC33" s="398" t="s">
        <v>3990</v>
      </c>
      <c r="AD33" s="398"/>
      <c r="AE33" s="398" t="s">
        <v>4197</v>
      </c>
      <c r="AF33" s="398"/>
      <c r="AG33" s="398" t="s">
        <v>4409</v>
      </c>
      <c r="AH33" s="398"/>
      <c r="AI33" s="398" t="s">
        <v>4591</v>
      </c>
      <c r="AJ33" s="119"/>
      <c r="AK33" s="119"/>
    </row>
    <row r="34" spans="2:37">
      <c r="B34" s="118">
        <f>B33+1</f>
        <v>3</v>
      </c>
      <c r="C34" s="118" t="s">
        <v>1958</v>
      </c>
      <c r="D34" s="118"/>
      <c r="E34" s="398" t="s">
        <v>2091</v>
      </c>
      <c r="F34" s="398"/>
      <c r="G34" s="398" t="s">
        <v>2220</v>
      </c>
      <c r="H34" s="398"/>
      <c r="I34" s="398" t="s">
        <v>2341</v>
      </c>
      <c r="J34" s="118"/>
      <c r="K34" s="118" t="s">
        <v>2577</v>
      </c>
      <c r="L34" s="118"/>
      <c r="M34" s="118" t="s">
        <v>2734</v>
      </c>
      <c r="N34" s="118"/>
      <c r="O34" s="118" t="s">
        <v>2834</v>
      </c>
      <c r="P34" s="118"/>
      <c r="Q34" s="118" t="s">
        <v>2991</v>
      </c>
      <c r="R34" s="118"/>
      <c r="S34" s="118" t="s">
        <v>3094</v>
      </c>
      <c r="T34" s="118"/>
      <c r="U34" s="118" t="s">
        <v>3327</v>
      </c>
      <c r="V34" s="118"/>
      <c r="W34" s="118" t="s">
        <v>3438</v>
      </c>
      <c r="X34" s="118"/>
      <c r="Y34" s="398" t="s">
        <v>3598</v>
      </c>
      <c r="Z34" s="398"/>
      <c r="AA34" s="398" t="s">
        <v>3807</v>
      </c>
      <c r="AB34" s="398"/>
      <c r="AC34" s="398" t="s">
        <v>3995</v>
      </c>
      <c r="AD34" s="398"/>
      <c r="AE34" s="398" t="s">
        <v>4217</v>
      </c>
      <c r="AF34" s="398"/>
      <c r="AG34" s="398" t="s">
        <v>4418</v>
      </c>
      <c r="AH34" s="398"/>
      <c r="AI34" s="398" t="s">
        <v>4596</v>
      </c>
      <c r="AJ34" s="119"/>
      <c r="AK34" s="119"/>
    </row>
    <row r="35" spans="2:37">
      <c r="B35" s="118">
        <f t="shared" ref="B35:B53" si="12">B34+1</f>
        <v>4</v>
      </c>
      <c r="C35" s="118" t="s">
        <v>1963</v>
      </c>
      <c r="D35" s="118"/>
      <c r="E35" s="398" t="s">
        <v>2109</v>
      </c>
      <c r="F35" s="398"/>
      <c r="G35" s="398" t="s">
        <v>2224</v>
      </c>
      <c r="H35" s="398"/>
      <c r="I35" s="398" t="s">
        <v>2371</v>
      </c>
      <c r="J35" s="118"/>
      <c r="K35" s="118" t="s">
        <v>2582</v>
      </c>
      <c r="L35" s="118"/>
      <c r="M35" s="118" t="s">
        <v>2738</v>
      </c>
      <c r="N35" s="118"/>
      <c r="O35" s="118" t="s">
        <v>2848</v>
      </c>
      <c r="P35" s="118"/>
      <c r="Q35" s="118" t="s">
        <v>3013</v>
      </c>
      <c r="R35" s="118"/>
      <c r="S35" s="118" t="s">
        <v>3124</v>
      </c>
      <c r="T35" s="118"/>
      <c r="U35" s="118" t="s">
        <v>3330</v>
      </c>
      <c r="V35" s="118"/>
      <c r="W35" s="118" t="s">
        <v>3447</v>
      </c>
      <c r="X35" s="118"/>
      <c r="Y35" s="398" t="s">
        <v>3661</v>
      </c>
      <c r="Z35" s="398"/>
      <c r="AA35" s="398" t="s">
        <v>3812</v>
      </c>
      <c r="AB35" s="398"/>
      <c r="AC35" s="398" t="s">
        <v>4001</v>
      </c>
      <c r="AD35" s="398"/>
      <c r="AE35" s="398" t="s">
        <v>4262</v>
      </c>
      <c r="AF35" s="398"/>
      <c r="AG35" s="398" t="s">
        <v>4422</v>
      </c>
      <c r="AH35" s="398"/>
      <c r="AI35" s="398" t="s">
        <v>4621</v>
      </c>
      <c r="AJ35" s="119"/>
      <c r="AK35" s="119"/>
    </row>
    <row r="36" spans="2:37">
      <c r="B36" s="118">
        <f t="shared" si="12"/>
        <v>5</v>
      </c>
      <c r="C36" s="118" t="s">
        <v>1970</v>
      </c>
      <c r="D36" s="118"/>
      <c r="E36" s="398" t="s">
        <v>2123</v>
      </c>
      <c r="F36" s="398"/>
      <c r="G36" s="398" t="s">
        <v>2227</v>
      </c>
      <c r="H36" s="398"/>
      <c r="I36" s="398" t="s">
        <v>2381</v>
      </c>
      <c r="J36" s="118"/>
      <c r="K36" s="118" t="s">
        <v>2587</v>
      </c>
      <c r="L36" s="118"/>
      <c r="M36" s="118" t="s">
        <v>2744</v>
      </c>
      <c r="N36" s="118"/>
      <c r="O36" s="118" t="s">
        <v>2865</v>
      </c>
      <c r="P36" s="118"/>
      <c r="Q36" s="118" t="s">
        <v>3018</v>
      </c>
      <c r="R36" s="118"/>
      <c r="S36" s="118" t="s">
        <v>3149</v>
      </c>
      <c r="T36" s="118"/>
      <c r="U36" s="118" t="s">
        <v>3351</v>
      </c>
      <c r="V36" s="118"/>
      <c r="W36" s="118" t="s">
        <v>3459</v>
      </c>
      <c r="X36" s="118"/>
      <c r="Y36" s="398" t="s">
        <v>3670</v>
      </c>
      <c r="Z36" s="398"/>
      <c r="AA36" s="398" t="s">
        <v>3817</v>
      </c>
      <c r="AB36" s="398"/>
      <c r="AC36" s="398" t="s">
        <v>4006</v>
      </c>
      <c r="AD36" s="398"/>
      <c r="AE36" s="398" t="s">
        <v>4312</v>
      </c>
      <c r="AF36" s="398"/>
      <c r="AG36" s="398" t="s">
        <v>4444</v>
      </c>
      <c r="AH36" s="398"/>
      <c r="AI36" s="398" t="s">
        <v>4660</v>
      </c>
      <c r="AJ36" s="119"/>
      <c r="AK36" s="119"/>
    </row>
    <row r="37" spans="2:37">
      <c r="B37" s="118">
        <f t="shared" si="12"/>
        <v>6</v>
      </c>
      <c r="C37" s="118" t="s">
        <v>1975</v>
      </c>
      <c r="D37" s="118"/>
      <c r="E37" s="398" t="s">
        <v>2146</v>
      </c>
      <c r="F37" s="398"/>
      <c r="G37" s="398" t="s">
        <v>2233</v>
      </c>
      <c r="H37" s="398"/>
      <c r="I37" s="398" t="s">
        <v>2425</v>
      </c>
      <c r="J37" s="118"/>
      <c r="K37" s="118" t="s">
        <v>2592</v>
      </c>
      <c r="L37" s="118"/>
      <c r="M37" s="398" t="s">
        <v>2747</v>
      </c>
      <c r="N37" s="398"/>
      <c r="O37" s="398" t="s">
        <v>2880</v>
      </c>
      <c r="P37" s="398"/>
      <c r="Q37" s="398" t="s">
        <v>3022</v>
      </c>
      <c r="R37" s="398"/>
      <c r="S37" s="398" t="s">
        <v>3171</v>
      </c>
      <c r="T37" s="118"/>
      <c r="U37" s="118" t="s">
        <v>3361</v>
      </c>
      <c r="V37" s="118"/>
      <c r="W37" s="118" t="s">
        <v>3530</v>
      </c>
      <c r="X37" s="118"/>
      <c r="Y37" s="398" t="s">
        <v>3705</v>
      </c>
      <c r="Z37" s="398"/>
      <c r="AA37" s="398" t="s">
        <v>3863</v>
      </c>
      <c r="AB37" s="398"/>
      <c r="AC37" s="398" t="s">
        <v>4029</v>
      </c>
      <c r="AD37" s="398"/>
      <c r="AE37" s="398" t="s">
        <v>4361</v>
      </c>
      <c r="AF37" s="398"/>
      <c r="AG37" s="398" t="s">
        <v>4456</v>
      </c>
      <c r="AH37" s="398"/>
      <c r="AI37" s="398" t="s">
        <v>4663</v>
      </c>
      <c r="AJ37" s="119"/>
      <c r="AK37" s="119"/>
    </row>
    <row r="38" spans="2:37">
      <c r="B38" s="118">
        <f t="shared" si="12"/>
        <v>7</v>
      </c>
      <c r="C38" s="118" t="s">
        <v>1981</v>
      </c>
      <c r="D38" s="118"/>
      <c r="E38" s="398" t="s">
        <v>2163</v>
      </c>
      <c r="F38" s="398"/>
      <c r="G38" s="398" t="s">
        <v>2261</v>
      </c>
      <c r="H38" s="398"/>
      <c r="I38" s="398" t="s">
        <v>2440</v>
      </c>
      <c r="J38" s="118"/>
      <c r="K38" s="118" t="s">
        <v>2597</v>
      </c>
      <c r="L38" s="118"/>
      <c r="M38" s="398" t="s">
        <v>2753</v>
      </c>
      <c r="N38" s="398"/>
      <c r="O38" s="398" t="s">
        <v>2898</v>
      </c>
      <c r="P38" s="398"/>
      <c r="Q38" s="398" t="s">
        <v>3028</v>
      </c>
      <c r="R38" s="398"/>
      <c r="S38" s="398" t="s">
        <v>3189</v>
      </c>
      <c r="T38" s="118"/>
      <c r="U38" s="118" t="s">
        <v>3389</v>
      </c>
      <c r="V38" s="118"/>
      <c r="W38" s="118" t="s">
        <v>3535</v>
      </c>
      <c r="X38" s="118"/>
      <c r="Y38" s="398" t="s">
        <v>3717</v>
      </c>
      <c r="Z38" s="398"/>
      <c r="AA38" s="398" t="s">
        <v>3868</v>
      </c>
      <c r="AB38" s="398"/>
      <c r="AC38" s="398" t="s">
        <v>4034</v>
      </c>
      <c r="AD38" s="398"/>
      <c r="AE38" s="398" t="s">
        <v>4379</v>
      </c>
      <c r="AF38" s="398"/>
      <c r="AG38" s="398" t="s">
        <v>4470</v>
      </c>
      <c r="AH38" s="398"/>
      <c r="AI38" s="398" t="s">
        <v>4686</v>
      </c>
      <c r="AJ38" s="119"/>
      <c r="AK38" s="119"/>
    </row>
    <row r="39" spans="2:37">
      <c r="B39" s="118">
        <f t="shared" si="12"/>
        <v>8</v>
      </c>
      <c r="C39" s="118" t="s">
        <v>1988</v>
      </c>
      <c r="D39" s="118"/>
      <c r="E39" s="398" t="s">
        <v>2167</v>
      </c>
      <c r="F39" s="398"/>
      <c r="G39" s="398" t="s">
        <v>2275</v>
      </c>
      <c r="H39" s="398"/>
      <c r="I39" s="398" t="s">
        <v>2469</v>
      </c>
      <c r="J39" s="118"/>
      <c r="K39" s="254" t="s">
        <v>2602</v>
      </c>
      <c r="L39" s="118"/>
      <c r="M39" s="398" t="s">
        <v>2758</v>
      </c>
      <c r="N39" s="398"/>
      <c r="O39" s="398" t="s">
        <v>2903</v>
      </c>
      <c r="P39" s="398"/>
      <c r="Q39" s="398" t="s">
        <v>3031</v>
      </c>
      <c r="R39" s="398"/>
      <c r="S39" s="398" t="s">
        <v>3261</v>
      </c>
      <c r="T39" s="118"/>
      <c r="U39" s="118" t="s">
        <v>3394</v>
      </c>
      <c r="V39" s="118"/>
      <c r="W39" s="118" t="s">
        <v>3540</v>
      </c>
      <c r="X39" s="118"/>
      <c r="Y39" s="398" t="s">
        <v>3730</v>
      </c>
      <c r="Z39" s="398"/>
      <c r="AA39" s="398" t="s">
        <v>3872</v>
      </c>
      <c r="AB39" s="398"/>
      <c r="AC39" s="398" t="s">
        <v>4039</v>
      </c>
      <c r="AD39" s="398"/>
      <c r="AE39" s="398" t="s">
        <v>4383</v>
      </c>
      <c r="AF39" s="398"/>
      <c r="AG39" s="398" t="s">
        <v>4475</v>
      </c>
      <c r="AH39" s="398"/>
      <c r="AI39" s="398" t="s">
        <v>4690</v>
      </c>
      <c r="AJ39" s="119"/>
      <c r="AK39" s="119"/>
    </row>
    <row r="40" spans="2:37">
      <c r="B40" s="118">
        <f t="shared" si="12"/>
        <v>9</v>
      </c>
      <c r="C40" s="118" t="s">
        <v>1992</v>
      </c>
      <c r="D40" s="118"/>
      <c r="E40" s="398" t="s">
        <v>2172</v>
      </c>
      <c r="F40" s="398"/>
      <c r="G40" s="398" t="s">
        <v>2280</v>
      </c>
      <c r="H40" s="398"/>
      <c r="I40" s="398"/>
      <c r="J40" s="118"/>
      <c r="K40" s="118" t="s">
        <v>2620</v>
      </c>
      <c r="L40" s="118"/>
      <c r="M40" s="398" t="s">
        <v>2764</v>
      </c>
      <c r="N40" s="398"/>
      <c r="O40" s="398" t="s">
        <v>2913</v>
      </c>
      <c r="P40" s="398"/>
      <c r="Q40" s="398" t="s">
        <v>3037</v>
      </c>
      <c r="R40" s="398"/>
      <c r="S40" s="398" t="s">
        <v>3303</v>
      </c>
      <c r="T40" s="118"/>
      <c r="U40" s="118" t="s">
        <v>3398</v>
      </c>
      <c r="V40" s="118"/>
      <c r="W40" s="118" t="s">
        <v>3543</v>
      </c>
      <c r="X40" s="118"/>
      <c r="Y40" s="398" t="s">
        <v>3751</v>
      </c>
      <c r="Z40" s="398"/>
      <c r="AA40" s="398" t="s">
        <v>3878</v>
      </c>
      <c r="AB40" s="398"/>
      <c r="AC40" s="398" t="s">
        <v>4046</v>
      </c>
      <c r="AD40" s="398"/>
      <c r="AE40" s="398" t="s">
        <v>4392</v>
      </c>
      <c r="AF40" s="398"/>
      <c r="AG40" s="398" t="s">
        <v>4480</v>
      </c>
      <c r="AH40" s="398"/>
      <c r="AI40" s="398" t="s">
        <v>4694</v>
      </c>
      <c r="AJ40" s="119"/>
      <c r="AK40" s="119"/>
    </row>
    <row r="41" spans="2:37">
      <c r="B41" s="118">
        <f t="shared" si="12"/>
        <v>10</v>
      </c>
      <c r="C41" s="118" t="s">
        <v>1997</v>
      </c>
      <c r="D41" s="118"/>
      <c r="E41" s="398" t="s">
        <v>2189</v>
      </c>
      <c r="F41" s="398"/>
      <c r="G41" s="398" t="s">
        <v>2285</v>
      </c>
      <c r="H41" s="398"/>
      <c r="I41" s="398"/>
      <c r="J41" s="118"/>
      <c r="K41" s="118" t="s">
        <v>2629</v>
      </c>
      <c r="L41" s="118"/>
      <c r="M41" s="398" t="s">
        <v>2814</v>
      </c>
      <c r="N41" s="398"/>
      <c r="O41" s="398"/>
      <c r="P41" s="398"/>
      <c r="Q41" s="398" t="s">
        <v>3042</v>
      </c>
      <c r="R41" s="398"/>
      <c r="S41" s="398" t="s">
        <v>3307</v>
      </c>
      <c r="T41" s="118"/>
      <c r="U41" s="118" t="s">
        <v>3407</v>
      </c>
      <c r="V41" s="118"/>
      <c r="W41" s="118" t="s">
        <v>3548</v>
      </c>
      <c r="X41" s="118"/>
      <c r="Y41" s="398" t="s">
        <v>3755</v>
      </c>
      <c r="Z41" s="398"/>
      <c r="AA41" s="398" t="s">
        <v>3881</v>
      </c>
      <c r="AB41" s="398"/>
      <c r="AC41" s="398" t="s">
        <v>4052</v>
      </c>
      <c r="AD41" s="398"/>
      <c r="AE41" s="398" t="s">
        <v>4397</v>
      </c>
      <c r="AF41" s="398"/>
      <c r="AG41" s="398" t="s">
        <v>4527</v>
      </c>
      <c r="AH41" s="398"/>
      <c r="AI41" s="398" t="s">
        <v>4697</v>
      </c>
      <c r="AJ41" s="119"/>
      <c r="AK41" s="119"/>
    </row>
    <row r="42" spans="2:37">
      <c r="B42" s="118">
        <f t="shared" si="12"/>
        <v>11</v>
      </c>
      <c r="C42" s="118"/>
      <c r="D42" s="118"/>
      <c r="E42" s="398" t="s">
        <v>2192</v>
      </c>
      <c r="F42" s="398"/>
      <c r="G42" s="398" t="s">
        <v>2291</v>
      </c>
      <c r="H42" s="398"/>
      <c r="I42" s="398"/>
      <c r="J42" s="118"/>
      <c r="K42" s="254" t="s">
        <v>2635</v>
      </c>
      <c r="L42" s="118"/>
      <c r="M42" s="398" t="s">
        <v>2817</v>
      </c>
      <c r="N42" s="398"/>
      <c r="O42" s="398"/>
      <c r="P42" s="398"/>
      <c r="Q42" s="398" t="s">
        <v>3050</v>
      </c>
      <c r="R42" s="398"/>
      <c r="S42" s="398"/>
      <c r="T42" s="118"/>
      <c r="U42" s="118"/>
      <c r="V42" s="118"/>
      <c r="W42" s="118" t="s">
        <v>3552</v>
      </c>
      <c r="X42" s="118"/>
      <c r="Y42" s="398" t="s">
        <v>3759</v>
      </c>
      <c r="Z42" s="398"/>
      <c r="AA42" s="398" t="s">
        <v>3887</v>
      </c>
      <c r="AB42" s="398"/>
      <c r="AC42" s="398" t="s">
        <v>4064</v>
      </c>
      <c r="AD42" s="398"/>
      <c r="AE42" s="398" t="s">
        <v>4401</v>
      </c>
      <c r="AF42" s="398"/>
      <c r="AG42" s="398" t="s">
        <v>4539</v>
      </c>
      <c r="AH42" s="398"/>
      <c r="AI42" s="398"/>
      <c r="AJ42" s="119"/>
      <c r="AK42" s="119"/>
    </row>
    <row r="43" spans="2:37">
      <c r="B43" s="118">
        <f t="shared" si="12"/>
        <v>12</v>
      </c>
      <c r="C43" s="118"/>
      <c r="D43" s="118"/>
      <c r="E43" s="398"/>
      <c r="F43" s="398"/>
      <c r="G43" s="398" t="s">
        <v>2297</v>
      </c>
      <c r="H43" s="398"/>
      <c r="I43" s="398"/>
      <c r="J43" s="118"/>
      <c r="K43" s="118" t="s">
        <v>2664</v>
      </c>
      <c r="L43" s="118"/>
      <c r="M43" s="398"/>
      <c r="N43" s="398"/>
      <c r="O43" s="398"/>
      <c r="P43" s="398"/>
      <c r="Q43" s="398" t="s">
        <v>3065</v>
      </c>
      <c r="R43" s="398"/>
      <c r="S43" s="398"/>
      <c r="T43" s="118"/>
      <c r="U43" s="118"/>
      <c r="V43" s="118"/>
      <c r="W43" s="118" t="s">
        <v>3556</v>
      </c>
      <c r="X43" s="118"/>
      <c r="Y43" s="398"/>
      <c r="Z43" s="398"/>
      <c r="AA43" s="398" t="s">
        <v>3931</v>
      </c>
      <c r="AB43" s="398"/>
      <c r="AC43" s="398" t="s">
        <v>4068</v>
      </c>
      <c r="AD43" s="398"/>
      <c r="AE43" s="398" t="s">
        <v>4405</v>
      </c>
      <c r="AF43" s="398"/>
      <c r="AG43" s="398" t="s">
        <v>4543</v>
      </c>
      <c r="AH43" s="398"/>
      <c r="AI43" s="398"/>
      <c r="AJ43" s="119"/>
      <c r="AK43" s="119"/>
    </row>
    <row r="44" spans="2:37">
      <c r="B44" s="118">
        <f t="shared" si="12"/>
        <v>13</v>
      </c>
      <c r="C44" s="118"/>
      <c r="D44" s="118"/>
      <c r="E44" s="398"/>
      <c r="F44" s="398"/>
      <c r="G44" s="398" t="s">
        <v>2302</v>
      </c>
      <c r="H44" s="398"/>
      <c r="I44" s="398"/>
      <c r="J44" s="118"/>
      <c r="K44" s="398" t="s">
        <v>2669</v>
      </c>
      <c r="L44" s="398"/>
      <c r="M44" s="398"/>
      <c r="N44" s="398"/>
      <c r="O44" s="398"/>
      <c r="P44" s="398"/>
      <c r="Q44" s="398"/>
      <c r="R44" s="118"/>
      <c r="S44" s="118"/>
      <c r="T44" s="118"/>
      <c r="U44" s="118"/>
      <c r="V44" s="118"/>
      <c r="W44" s="118" t="s">
        <v>3563</v>
      </c>
      <c r="X44" s="118"/>
      <c r="Y44" s="398"/>
      <c r="Z44" s="398"/>
      <c r="AA44" s="398" t="s">
        <v>3954</v>
      </c>
      <c r="AB44" s="398"/>
      <c r="AC44" s="398" t="s">
        <v>4117</v>
      </c>
      <c r="AD44" s="398"/>
      <c r="AE44" s="398"/>
      <c r="AF44" s="398"/>
      <c r="AG44" s="398" t="s">
        <v>4577</v>
      </c>
      <c r="AH44" s="398"/>
      <c r="AI44" s="398"/>
      <c r="AJ44" s="119"/>
      <c r="AK44" s="119"/>
    </row>
    <row r="45" spans="2:37">
      <c r="B45" s="118">
        <f t="shared" si="12"/>
        <v>14</v>
      </c>
      <c r="C45" s="118"/>
      <c r="D45" s="118"/>
      <c r="E45" s="398"/>
      <c r="F45" s="398"/>
      <c r="G45" s="398" t="s">
        <v>2308</v>
      </c>
      <c r="H45" s="398"/>
      <c r="I45" s="398"/>
      <c r="J45" s="118"/>
      <c r="K45" s="398" t="s">
        <v>2673</v>
      </c>
      <c r="L45" s="398"/>
      <c r="M45" s="398"/>
      <c r="N45" s="398"/>
      <c r="O45" s="398"/>
      <c r="P45" s="398"/>
      <c r="Q45" s="398"/>
      <c r="R45" s="118"/>
      <c r="S45" s="118"/>
      <c r="T45" s="118"/>
      <c r="U45" s="118"/>
      <c r="V45" s="118"/>
      <c r="W45" s="118" t="s">
        <v>3568</v>
      </c>
      <c r="X45" s="118"/>
      <c r="Y45" s="398"/>
      <c r="Z45" s="398"/>
      <c r="AA45" s="398" t="s">
        <v>3969</v>
      </c>
      <c r="AB45" s="398"/>
      <c r="AC45" s="398" t="s">
        <v>4123</v>
      </c>
      <c r="AD45" s="398"/>
      <c r="AE45" s="398"/>
      <c r="AF45" s="398"/>
      <c r="AG45" s="398" t="s">
        <v>4583</v>
      </c>
      <c r="AH45" s="398"/>
      <c r="AI45" s="398"/>
      <c r="AJ45" s="119"/>
      <c r="AK45" s="119"/>
    </row>
    <row r="46" spans="2:37">
      <c r="B46" s="118">
        <f t="shared" si="12"/>
        <v>15</v>
      </c>
      <c r="C46" s="118"/>
      <c r="D46" s="118"/>
      <c r="E46" s="398"/>
      <c r="F46" s="398"/>
      <c r="G46" s="398" t="s">
        <v>2317</v>
      </c>
      <c r="H46" s="398"/>
      <c r="I46" s="398"/>
      <c r="J46" s="118"/>
      <c r="K46" s="398" t="s">
        <v>2683</v>
      </c>
      <c r="L46" s="398"/>
      <c r="M46" s="398"/>
      <c r="N46" s="398"/>
      <c r="O46" s="398"/>
      <c r="P46" s="398"/>
      <c r="Q46" s="398"/>
      <c r="R46" s="118"/>
      <c r="S46" s="118"/>
      <c r="T46" s="118"/>
      <c r="U46" s="118"/>
      <c r="V46" s="118"/>
      <c r="W46" s="118" t="s">
        <v>3573</v>
      </c>
      <c r="X46" s="118"/>
      <c r="Y46" s="398"/>
      <c r="Z46" s="398"/>
      <c r="AA46" s="398" t="s">
        <v>3972</v>
      </c>
      <c r="AB46" s="398"/>
      <c r="AC46" s="398" t="s">
        <v>4126</v>
      </c>
      <c r="AD46" s="398"/>
      <c r="AE46" s="398"/>
      <c r="AF46" s="398"/>
      <c r="AG46" s="398"/>
      <c r="AH46" s="398"/>
      <c r="AI46" s="398"/>
      <c r="AJ46" s="119"/>
      <c r="AK46" s="119"/>
    </row>
    <row r="47" spans="2:37">
      <c r="B47" s="118">
        <f t="shared" si="12"/>
        <v>16</v>
      </c>
      <c r="C47" s="118"/>
      <c r="D47" s="118"/>
      <c r="E47" s="398"/>
      <c r="F47" s="398"/>
      <c r="G47" s="398"/>
      <c r="H47" s="398"/>
      <c r="I47" s="398"/>
      <c r="J47" s="118"/>
      <c r="K47" s="118"/>
      <c r="L47" s="118"/>
      <c r="M47" s="118"/>
      <c r="N47" s="118"/>
      <c r="O47" s="118"/>
      <c r="P47" s="118"/>
      <c r="Q47" s="118"/>
      <c r="R47" s="118"/>
      <c r="S47" s="118"/>
      <c r="T47" s="118"/>
      <c r="U47" s="118"/>
      <c r="V47" s="118"/>
      <c r="W47" s="118"/>
      <c r="X47" s="118"/>
      <c r="Y47" s="398"/>
      <c r="Z47" s="398"/>
      <c r="AA47" s="398" t="s">
        <v>4753</v>
      </c>
      <c r="AB47" s="398"/>
      <c r="AC47" s="398" t="s">
        <v>4131</v>
      </c>
      <c r="AD47" s="398"/>
      <c r="AE47" s="398"/>
      <c r="AF47" s="398"/>
      <c r="AG47" s="398"/>
      <c r="AH47" s="398"/>
      <c r="AI47" s="398"/>
      <c r="AJ47" s="119"/>
      <c r="AK47" s="119"/>
    </row>
    <row r="48" spans="2:37">
      <c r="B48" s="118">
        <f t="shared" si="12"/>
        <v>17</v>
      </c>
      <c r="C48" s="118"/>
      <c r="D48" s="118"/>
      <c r="E48" s="118"/>
      <c r="F48" s="118"/>
      <c r="G48" s="118"/>
      <c r="H48" s="118"/>
      <c r="I48" s="118"/>
      <c r="J48" s="118"/>
      <c r="K48" s="118"/>
      <c r="L48" s="118"/>
      <c r="M48" s="118"/>
      <c r="N48" s="118"/>
      <c r="O48" s="118"/>
      <c r="P48" s="118"/>
      <c r="Q48" s="118"/>
      <c r="R48" s="118"/>
      <c r="S48" s="118"/>
      <c r="T48" s="118"/>
      <c r="U48" s="118"/>
      <c r="V48" s="118"/>
      <c r="W48" s="118"/>
      <c r="X48" s="118"/>
      <c r="Y48" s="398"/>
      <c r="Z48" s="398"/>
      <c r="AA48" s="398"/>
      <c r="AB48" s="398"/>
      <c r="AC48" s="398" t="s">
        <v>4136</v>
      </c>
      <c r="AD48" s="398"/>
      <c r="AE48" s="398"/>
      <c r="AF48" s="398"/>
      <c r="AG48" s="398"/>
      <c r="AH48" s="398"/>
      <c r="AI48" s="398"/>
      <c r="AJ48" s="119"/>
      <c r="AK48" s="119"/>
    </row>
    <row r="49" spans="2:37">
      <c r="B49" s="118">
        <f t="shared" si="12"/>
        <v>18</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t="s">
        <v>4146</v>
      </c>
      <c r="AD49" s="118"/>
      <c r="AE49" s="118"/>
      <c r="AF49" s="118"/>
      <c r="AG49" s="118"/>
      <c r="AH49" s="118"/>
      <c r="AI49" s="118"/>
      <c r="AJ49" s="119"/>
      <c r="AK49" s="119"/>
    </row>
    <row r="50" spans="2:37">
      <c r="B50" s="118">
        <f t="shared" si="12"/>
        <v>19</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t="s">
        <v>4772</v>
      </c>
      <c r="AD50" s="118"/>
      <c r="AE50" s="118"/>
      <c r="AF50" s="118"/>
      <c r="AG50" s="118"/>
      <c r="AH50" s="118"/>
      <c r="AI50" s="118"/>
      <c r="AJ50" s="119"/>
      <c r="AK50" s="119"/>
    </row>
    <row r="51" spans="2:37">
      <c r="B51" s="118">
        <f t="shared" si="12"/>
        <v>20</v>
      </c>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9"/>
      <c r="AK51" s="119"/>
    </row>
    <row r="52" spans="2:37">
      <c r="B52" s="118">
        <f t="shared" si="12"/>
        <v>21</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9"/>
      <c r="AK52" s="119"/>
    </row>
    <row r="53" spans="2:37" ht="13.5" thickBot="1">
      <c r="B53" s="144">
        <f t="shared" si="12"/>
        <v>22</v>
      </c>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5"/>
      <c r="AK53" s="145"/>
    </row>
    <row r="54" spans="2:37" s="117" customFormat="1" ht="13.5" thickTop="1">
      <c r="B54" s="134" t="s">
        <v>1131</v>
      </c>
      <c r="C54" s="134">
        <f>COUNTA(C33:C53)</f>
        <v>9</v>
      </c>
      <c r="D54" s="134"/>
      <c r="E54" s="134">
        <f>COUNTA(E33:E53)</f>
        <v>10</v>
      </c>
      <c r="F54" s="134"/>
      <c r="G54" s="134">
        <f>COUNTA(G33:G53)</f>
        <v>14</v>
      </c>
      <c r="H54" s="134"/>
      <c r="I54" s="134">
        <f>COUNTA(I33:I53)</f>
        <v>7</v>
      </c>
      <c r="J54" s="134"/>
      <c r="K54" s="134">
        <f>COUNTA(K33:K53)</f>
        <v>14</v>
      </c>
      <c r="L54" s="134"/>
      <c r="M54" s="134">
        <f>COUNTA(M33:M53)</f>
        <v>10</v>
      </c>
      <c r="N54" s="134"/>
      <c r="O54" s="134">
        <f>COUNTA(O33:O53)</f>
        <v>8</v>
      </c>
      <c r="P54" s="134"/>
      <c r="Q54" s="134">
        <f>COUNTA(Q33:Q53)</f>
        <v>11</v>
      </c>
      <c r="R54" s="134"/>
      <c r="S54" s="134">
        <f>COUNTA(S33:S53)</f>
        <v>9</v>
      </c>
      <c r="T54" s="134"/>
      <c r="U54" s="134">
        <f>COUNTA(U33:U53)</f>
        <v>9</v>
      </c>
      <c r="V54" s="134"/>
      <c r="W54" s="134">
        <f>COUNTA(W33:W53)</f>
        <v>14</v>
      </c>
      <c r="X54" s="134"/>
      <c r="Y54" s="134">
        <f>COUNTA(Y33:Y53)</f>
        <v>10</v>
      </c>
      <c r="Z54" s="134"/>
      <c r="AA54" s="134">
        <f>COUNTA(AA33:AA53)</f>
        <v>15</v>
      </c>
      <c r="AB54" s="134"/>
      <c r="AC54" s="372">
        <f>COUNTA(AC33:AC53)</f>
        <v>18</v>
      </c>
      <c r="AD54" s="134"/>
      <c r="AE54" s="134">
        <f>COUNTA(AE33:AE53)</f>
        <v>11</v>
      </c>
      <c r="AF54" s="134"/>
      <c r="AG54" s="134">
        <f>COUNTA(AG33:AG53)</f>
        <v>13</v>
      </c>
      <c r="AH54" s="134"/>
      <c r="AI54" s="134">
        <f>COUNTA(AI33:AI53)</f>
        <v>9</v>
      </c>
      <c r="AJ54" s="122"/>
      <c r="AK54" s="122">
        <f>SUM(C54:AI54)</f>
        <v>191</v>
      </c>
    </row>
    <row r="55" spans="2:37">
      <c r="B55" s="120"/>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row>
    <row r="56" spans="2:37" ht="14.25">
      <c r="B56" s="123" t="s">
        <v>4898</v>
      </c>
      <c r="C56" s="125"/>
      <c r="D56" s="125"/>
      <c r="E56" s="125"/>
      <c r="F56" s="125"/>
      <c r="G56" s="125"/>
      <c r="H56" s="125"/>
      <c r="I56" s="125"/>
      <c r="J56" s="125"/>
      <c r="K56" s="125"/>
      <c r="L56" s="125"/>
      <c r="M56" s="254" t="s">
        <v>4896</v>
      </c>
      <c r="N56" s="125"/>
      <c r="O56" s="382"/>
      <c r="P56" s="382"/>
      <c r="Q56" s="125"/>
      <c r="R56" s="125"/>
      <c r="S56" s="125"/>
      <c r="T56" s="125"/>
      <c r="U56" s="125"/>
      <c r="V56" s="125"/>
      <c r="W56" s="125"/>
      <c r="X56" s="125"/>
      <c r="Y56" s="125"/>
      <c r="Z56" s="125"/>
      <c r="AA56" s="125"/>
      <c r="AB56" s="125"/>
      <c r="AC56" s="125"/>
      <c r="AD56" s="125"/>
      <c r="AE56" s="125"/>
      <c r="AF56" s="125"/>
      <c r="AG56" s="125"/>
      <c r="AH56" s="125"/>
      <c r="AI56" s="125"/>
      <c r="AJ56" s="124"/>
      <c r="AK56" s="124"/>
    </row>
    <row r="57" spans="2:37">
      <c r="B57" s="124"/>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4"/>
      <c r="AK57" s="124"/>
    </row>
    <row r="58" spans="2:37">
      <c r="B58" s="126" t="s">
        <v>4897</v>
      </c>
      <c r="C58" s="381" t="s">
        <v>1060</v>
      </c>
      <c r="D58" s="381"/>
      <c r="E58" s="381" t="s">
        <v>1015</v>
      </c>
      <c r="F58" s="381"/>
      <c r="G58" s="381" t="s">
        <v>1064</v>
      </c>
      <c r="H58" s="381"/>
      <c r="I58" s="381" t="s">
        <v>1013</v>
      </c>
      <c r="J58" s="381"/>
      <c r="K58" s="381" t="s">
        <v>1032</v>
      </c>
      <c r="L58" s="381"/>
      <c r="M58" s="381" t="s">
        <v>1068</v>
      </c>
      <c r="N58" s="381"/>
      <c r="O58" s="381" t="s">
        <v>1071</v>
      </c>
      <c r="P58" s="381"/>
      <c r="Q58" s="381" t="s">
        <v>1075</v>
      </c>
      <c r="R58" s="381"/>
      <c r="S58" s="381" t="s">
        <v>1038</v>
      </c>
      <c r="T58" s="381"/>
      <c r="U58" s="381" t="s">
        <v>1078</v>
      </c>
      <c r="V58" s="381"/>
      <c r="W58" s="381" t="s">
        <v>1036</v>
      </c>
      <c r="X58" s="381"/>
      <c r="Y58" s="381" t="s">
        <v>1041</v>
      </c>
      <c r="Z58" s="381"/>
      <c r="AA58" s="381" t="s">
        <v>1045</v>
      </c>
      <c r="AB58" s="381"/>
      <c r="AC58" s="381" t="s">
        <v>1050</v>
      </c>
      <c r="AD58" s="381"/>
      <c r="AE58" s="381" t="s">
        <v>1024</v>
      </c>
      <c r="AF58" s="381"/>
      <c r="AG58" s="381" t="s">
        <v>1054</v>
      </c>
      <c r="AH58" s="381"/>
      <c r="AI58" s="381" t="s">
        <v>1057</v>
      </c>
      <c r="AJ58" s="124"/>
      <c r="AK58" s="124"/>
    </row>
    <row r="59" spans="2:37">
      <c r="B59" s="125">
        <v>2</v>
      </c>
      <c r="C59" s="382"/>
      <c r="D59" s="382"/>
      <c r="E59" s="382" t="s">
        <v>2094</v>
      </c>
      <c r="F59" s="382"/>
      <c r="G59" s="382"/>
      <c r="H59" s="382"/>
      <c r="I59" s="382" t="s">
        <v>2375</v>
      </c>
      <c r="J59" s="382"/>
      <c r="K59" s="382" t="s">
        <v>2607</v>
      </c>
      <c r="L59" s="382"/>
      <c r="M59" s="382"/>
      <c r="N59" s="382"/>
      <c r="O59" s="382"/>
      <c r="P59" s="382"/>
      <c r="Q59" s="382"/>
      <c r="R59" s="382"/>
      <c r="S59" s="382" t="s">
        <v>3099</v>
      </c>
      <c r="T59" s="382"/>
      <c r="U59" s="382"/>
      <c r="V59" s="382"/>
      <c r="W59" s="382" t="s">
        <v>3454</v>
      </c>
      <c r="X59" s="382"/>
      <c r="Y59" s="382" t="s">
        <v>3616</v>
      </c>
      <c r="Z59" s="382"/>
      <c r="AA59" s="384" t="s">
        <v>3843</v>
      </c>
      <c r="AB59" s="382"/>
      <c r="AC59" s="382" t="s">
        <v>4073</v>
      </c>
      <c r="AD59" s="382"/>
      <c r="AE59" s="384" t="s">
        <v>4239</v>
      </c>
      <c r="AF59" s="382"/>
      <c r="AG59" s="384" t="s">
        <v>4493</v>
      </c>
      <c r="AH59" s="382"/>
      <c r="AI59" s="382" t="s">
        <v>4605</v>
      </c>
      <c r="AJ59" s="124"/>
      <c r="AK59" s="124"/>
    </row>
    <row r="60" spans="2:37">
      <c r="B60" s="125">
        <f>B59+1</f>
        <v>3</v>
      </c>
      <c r="C60" s="382"/>
      <c r="D60" s="382"/>
      <c r="E60" s="382" t="s">
        <v>2103</v>
      </c>
      <c r="F60" s="382"/>
      <c r="G60" s="382"/>
      <c r="H60" s="382"/>
      <c r="I60" s="382" t="s">
        <v>2386</v>
      </c>
      <c r="J60" s="382"/>
      <c r="K60" s="382" t="s">
        <v>2611</v>
      </c>
      <c r="L60" s="382"/>
      <c r="M60" s="382"/>
      <c r="N60" s="382"/>
      <c r="O60" s="382"/>
      <c r="P60" s="382"/>
      <c r="Q60" s="382"/>
      <c r="R60" s="382"/>
      <c r="S60" s="382" t="s">
        <v>3106</v>
      </c>
      <c r="T60" s="382"/>
      <c r="U60" s="382"/>
      <c r="V60" s="382"/>
      <c r="W60" s="382" t="s">
        <v>3463</v>
      </c>
      <c r="X60" s="382"/>
      <c r="Y60" s="382" t="s">
        <v>3624</v>
      </c>
      <c r="Z60" s="382"/>
      <c r="AA60" s="384" t="s">
        <v>3847</v>
      </c>
      <c r="AB60" s="382"/>
      <c r="AC60" s="382" t="s">
        <v>4077</v>
      </c>
      <c r="AD60" s="382"/>
      <c r="AE60" s="384" t="s">
        <v>4244</v>
      </c>
      <c r="AF60" s="382"/>
      <c r="AG60" s="382" t="s">
        <v>4496</v>
      </c>
      <c r="AH60" s="382"/>
      <c r="AI60" s="386" t="s">
        <v>4613</v>
      </c>
      <c r="AJ60" s="124"/>
      <c r="AK60" s="124"/>
    </row>
    <row r="61" spans="2:37">
      <c r="B61" s="125">
        <f t="shared" ref="B61:B72" si="13">B60+1</f>
        <v>4</v>
      </c>
      <c r="C61" s="382"/>
      <c r="D61" s="382"/>
      <c r="E61" s="382" t="s">
        <v>2142</v>
      </c>
      <c r="F61" s="382"/>
      <c r="G61" s="382"/>
      <c r="H61" s="382"/>
      <c r="I61" s="382" t="s">
        <v>2411</v>
      </c>
      <c r="J61" s="382"/>
      <c r="K61" s="382" t="s">
        <v>2615</v>
      </c>
      <c r="L61" s="382"/>
      <c r="M61" s="382"/>
      <c r="N61" s="382"/>
      <c r="O61" s="382"/>
      <c r="P61" s="382"/>
      <c r="Q61" s="382"/>
      <c r="R61" s="382"/>
      <c r="S61" s="382" t="s">
        <v>3112</v>
      </c>
      <c r="T61" s="382"/>
      <c r="U61" s="382"/>
      <c r="V61" s="382"/>
      <c r="W61" s="382" t="s">
        <v>3466</v>
      </c>
      <c r="X61" s="382"/>
      <c r="Y61" s="382" t="s">
        <v>3627</v>
      </c>
      <c r="Z61" s="382"/>
      <c r="AA61" s="384" t="s">
        <v>3856</v>
      </c>
      <c r="AB61" s="382"/>
      <c r="AC61" s="264" t="s">
        <v>4082</v>
      </c>
      <c r="AD61" s="382"/>
      <c r="AE61" s="384" t="s">
        <v>4248</v>
      </c>
      <c r="AF61" s="382"/>
      <c r="AG61" s="382" t="s">
        <v>4500</v>
      </c>
      <c r="AH61" s="382"/>
      <c r="AI61" s="382" t="s">
        <v>4630</v>
      </c>
      <c r="AJ61" s="124"/>
      <c r="AK61" s="124"/>
    </row>
    <row r="62" spans="2:37">
      <c r="B62" s="125">
        <f t="shared" si="13"/>
        <v>5</v>
      </c>
      <c r="C62" s="382"/>
      <c r="D62" s="382"/>
      <c r="E62" s="382" t="s">
        <v>2175</v>
      </c>
      <c r="F62" s="382"/>
      <c r="G62" s="382"/>
      <c r="H62" s="382"/>
      <c r="I62" s="382"/>
      <c r="J62" s="382"/>
      <c r="K62" s="382" t="s">
        <v>2624</v>
      </c>
      <c r="L62" s="382"/>
      <c r="M62" s="382"/>
      <c r="N62" s="382"/>
      <c r="O62" s="382"/>
      <c r="P62" s="382"/>
      <c r="Q62" s="382"/>
      <c r="R62" s="382"/>
      <c r="S62" s="382" t="s">
        <v>3118</v>
      </c>
      <c r="T62" s="382"/>
      <c r="U62" s="382"/>
      <c r="V62" s="382"/>
      <c r="W62" s="382" t="s">
        <v>3494</v>
      </c>
      <c r="X62" s="382"/>
      <c r="Y62" s="382" t="s">
        <v>3636</v>
      </c>
      <c r="Z62" s="382"/>
      <c r="AA62" s="384" t="s">
        <v>3901</v>
      </c>
      <c r="AB62" s="382"/>
      <c r="AC62" s="382" t="s">
        <v>4087</v>
      </c>
      <c r="AD62" s="382"/>
      <c r="AE62" s="384" t="s">
        <v>4277</v>
      </c>
      <c r="AF62" s="382"/>
      <c r="AG62" s="382" t="s">
        <v>4547</v>
      </c>
      <c r="AH62" s="382"/>
      <c r="AI62" s="382" t="s">
        <v>4716</v>
      </c>
      <c r="AJ62" s="124"/>
      <c r="AK62" s="124"/>
    </row>
    <row r="63" spans="2:37">
      <c r="B63" s="125">
        <f t="shared" si="13"/>
        <v>6</v>
      </c>
      <c r="C63" s="382"/>
      <c r="D63" s="382"/>
      <c r="E63" s="382" t="s">
        <v>4745</v>
      </c>
      <c r="F63" s="382"/>
      <c r="G63" s="382"/>
      <c r="H63" s="382"/>
      <c r="I63" s="382"/>
      <c r="J63" s="382"/>
      <c r="K63" s="382" t="s">
        <v>2678</v>
      </c>
      <c r="L63" s="382"/>
      <c r="M63" s="382"/>
      <c r="N63" s="382"/>
      <c r="O63" s="382"/>
      <c r="P63" s="382"/>
      <c r="Q63" s="382"/>
      <c r="R63" s="382"/>
      <c r="S63" s="382" t="s">
        <v>3129</v>
      </c>
      <c r="T63" s="382"/>
      <c r="U63" s="382"/>
      <c r="V63" s="382"/>
      <c r="W63" s="382" t="s">
        <v>3498</v>
      </c>
      <c r="X63" s="382"/>
      <c r="Y63" s="382" t="s">
        <v>3645</v>
      </c>
      <c r="Z63" s="382"/>
      <c r="AA63" s="384" t="s">
        <v>3905</v>
      </c>
      <c r="AB63" s="382"/>
      <c r="AC63" s="382" t="s">
        <v>4092</v>
      </c>
      <c r="AD63" s="382"/>
      <c r="AE63" s="384" t="s">
        <v>4285</v>
      </c>
      <c r="AF63" s="382"/>
      <c r="AG63" s="382" t="s">
        <v>4550</v>
      </c>
      <c r="AH63" s="382"/>
      <c r="AI63" s="382" t="s">
        <v>4719</v>
      </c>
      <c r="AJ63" s="124"/>
      <c r="AK63" s="124"/>
    </row>
    <row r="64" spans="2:37">
      <c r="B64" s="125">
        <f t="shared" si="13"/>
        <v>7</v>
      </c>
      <c r="C64" s="382"/>
      <c r="D64" s="382"/>
      <c r="E64" s="382"/>
      <c r="F64" s="382"/>
      <c r="G64" s="382"/>
      <c r="H64" s="382"/>
      <c r="I64" s="382"/>
      <c r="J64" s="382"/>
      <c r="K64" s="382" t="s">
        <v>2692</v>
      </c>
      <c r="L64" s="382"/>
      <c r="M64" s="382"/>
      <c r="N64" s="382"/>
      <c r="O64" s="382"/>
      <c r="P64" s="382"/>
      <c r="Q64" s="382"/>
      <c r="R64" s="382"/>
      <c r="S64" s="382" t="s">
        <v>3134</v>
      </c>
      <c r="T64" s="382"/>
      <c r="U64" s="382"/>
      <c r="V64" s="382"/>
      <c r="W64" s="382" t="s">
        <v>3501</v>
      </c>
      <c r="X64" s="382"/>
      <c r="Y64" s="382" t="s">
        <v>3657</v>
      </c>
      <c r="Z64" s="382"/>
      <c r="AA64" s="384" t="s">
        <v>3909</v>
      </c>
      <c r="AB64" s="382"/>
      <c r="AC64" s="382" t="s">
        <v>4160</v>
      </c>
      <c r="AD64" s="382"/>
      <c r="AE64" s="384" t="s">
        <v>4332</v>
      </c>
      <c r="AF64" s="382"/>
      <c r="AG64" s="382" t="s">
        <v>4555</v>
      </c>
      <c r="AH64" s="382"/>
      <c r="AI64" s="382" t="s">
        <v>4722</v>
      </c>
      <c r="AJ64" s="124"/>
      <c r="AK64" s="124"/>
    </row>
    <row r="65" spans="2:37">
      <c r="B65" s="125">
        <f t="shared" si="13"/>
        <v>8</v>
      </c>
      <c r="C65" s="382"/>
      <c r="D65" s="382"/>
      <c r="E65" s="382"/>
      <c r="F65" s="382"/>
      <c r="G65" s="382"/>
      <c r="H65" s="382"/>
      <c r="I65" s="382"/>
      <c r="J65" s="382"/>
      <c r="K65" s="382" t="s">
        <v>2699</v>
      </c>
      <c r="L65" s="382"/>
      <c r="M65" s="382"/>
      <c r="N65" s="382"/>
      <c r="O65" s="382"/>
      <c r="P65" s="382"/>
      <c r="Q65" s="382"/>
      <c r="R65" s="382"/>
      <c r="S65" s="382" t="s">
        <v>3160</v>
      </c>
      <c r="T65" s="382"/>
      <c r="U65" s="382"/>
      <c r="V65" s="382"/>
      <c r="W65" s="382" t="s">
        <v>3505</v>
      </c>
      <c r="X65" s="382"/>
      <c r="Y65" s="382" t="s">
        <v>3675</v>
      </c>
      <c r="Z65" s="382"/>
      <c r="AA65" s="385" t="s">
        <v>3919</v>
      </c>
      <c r="AB65" s="382"/>
      <c r="AC65" s="382" t="s">
        <v>4171</v>
      </c>
      <c r="AD65" s="382"/>
      <c r="AE65" s="384" t="s">
        <v>4357</v>
      </c>
      <c r="AF65" s="382"/>
      <c r="AG65" s="382" t="s">
        <v>4560</v>
      </c>
      <c r="AH65" s="382"/>
      <c r="AI65" s="382" t="s">
        <v>4728</v>
      </c>
      <c r="AJ65" s="124"/>
      <c r="AK65" s="124"/>
    </row>
    <row r="66" spans="2:37">
      <c r="B66" s="125">
        <f t="shared" si="13"/>
        <v>9</v>
      </c>
      <c r="C66" s="382"/>
      <c r="D66" s="382"/>
      <c r="E66" s="382"/>
      <c r="F66" s="382"/>
      <c r="G66" s="382"/>
      <c r="H66" s="382"/>
      <c r="I66" s="382"/>
      <c r="J66" s="382"/>
      <c r="K66" s="382"/>
      <c r="L66" s="382"/>
      <c r="M66" s="382"/>
      <c r="N66" s="382"/>
      <c r="O66" s="382"/>
      <c r="P66" s="382"/>
      <c r="Q66" s="382"/>
      <c r="R66" s="382"/>
      <c r="S66" s="382" t="s">
        <v>3195</v>
      </c>
      <c r="T66" s="382"/>
      <c r="U66" s="382"/>
      <c r="V66" s="382"/>
      <c r="W66" s="382" t="s">
        <v>3510</v>
      </c>
      <c r="X66" s="382"/>
      <c r="Y66" s="382" t="s">
        <v>3721</v>
      </c>
      <c r="Z66" s="382"/>
      <c r="AA66" s="384" t="s">
        <v>3934</v>
      </c>
      <c r="AB66" s="382"/>
      <c r="AC66" s="264" t="s">
        <v>4176</v>
      </c>
      <c r="AD66" s="382"/>
      <c r="AE66" s="384" t="s">
        <v>4387</v>
      </c>
      <c r="AF66" s="382"/>
      <c r="AG66" s="382" t="s">
        <v>4564</v>
      </c>
      <c r="AH66" s="382"/>
      <c r="AI66" s="382" t="s">
        <v>4740</v>
      </c>
      <c r="AJ66" s="124"/>
      <c r="AK66" s="124"/>
    </row>
    <row r="67" spans="2:37">
      <c r="B67" s="125">
        <f t="shared" si="13"/>
        <v>10</v>
      </c>
      <c r="C67" s="382"/>
      <c r="D67" s="382"/>
      <c r="E67" s="382"/>
      <c r="F67" s="382"/>
      <c r="G67" s="382"/>
      <c r="H67" s="382"/>
      <c r="I67" s="382"/>
      <c r="J67" s="382"/>
      <c r="K67" s="382"/>
      <c r="L67" s="382"/>
      <c r="M67" s="382"/>
      <c r="N67" s="382"/>
      <c r="O67" s="382"/>
      <c r="P67" s="382"/>
      <c r="Q67" s="382"/>
      <c r="R67" s="382"/>
      <c r="S67" s="382" t="s">
        <v>3267</v>
      </c>
      <c r="T67" s="382"/>
      <c r="U67" s="382"/>
      <c r="V67" s="382"/>
      <c r="W67" s="1985" t="s">
        <v>4748</v>
      </c>
      <c r="X67" s="382"/>
      <c r="Y67" s="382" t="s">
        <v>3725</v>
      </c>
      <c r="Z67" s="382"/>
      <c r="AA67" s="384" t="s">
        <v>3939</v>
      </c>
      <c r="AB67" s="382"/>
      <c r="AC67" s="382" t="s">
        <v>4181</v>
      </c>
      <c r="AD67" s="382"/>
      <c r="AE67" s="382"/>
      <c r="AF67" s="382"/>
      <c r="AG67" s="382" t="s">
        <v>4568</v>
      </c>
      <c r="AH67" s="382"/>
      <c r="AI67" s="382"/>
      <c r="AJ67" s="124"/>
      <c r="AK67" s="124"/>
    </row>
    <row r="68" spans="2:37">
      <c r="B68" s="125">
        <f t="shared" si="13"/>
        <v>11</v>
      </c>
      <c r="C68" s="382"/>
      <c r="D68" s="382"/>
      <c r="E68" s="382"/>
      <c r="F68" s="382"/>
      <c r="G68" s="382"/>
      <c r="H68" s="382"/>
      <c r="I68" s="382"/>
      <c r="J68" s="382"/>
      <c r="K68" s="382"/>
      <c r="L68" s="382"/>
      <c r="M68" s="382"/>
      <c r="N68" s="382"/>
      <c r="O68" s="382"/>
      <c r="P68" s="382"/>
      <c r="Q68" s="382"/>
      <c r="R68" s="382"/>
      <c r="S68" s="382" t="s">
        <v>3287</v>
      </c>
      <c r="T68" s="382"/>
      <c r="U68" s="382"/>
      <c r="V68" s="382"/>
      <c r="W68" s="382"/>
      <c r="X68" s="382"/>
      <c r="Y68" s="382"/>
      <c r="Z68" s="382"/>
      <c r="AA68" s="384" t="s">
        <v>3944</v>
      </c>
      <c r="AB68" s="382"/>
      <c r="AC68" s="382" t="s">
        <v>4186</v>
      </c>
      <c r="AD68" s="382"/>
      <c r="AE68" s="382"/>
      <c r="AF68" s="382"/>
      <c r="AG68" s="382" t="s">
        <v>4572</v>
      </c>
      <c r="AH68" s="382"/>
      <c r="AI68" s="382"/>
      <c r="AJ68" s="124"/>
      <c r="AK68" s="124"/>
    </row>
    <row r="69" spans="2:37">
      <c r="B69" s="125">
        <f t="shared" si="13"/>
        <v>12</v>
      </c>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4" t="s">
        <v>3982</v>
      </c>
      <c r="AB69" s="382"/>
      <c r="AC69" s="382"/>
      <c r="AD69" s="382"/>
      <c r="AE69" s="382"/>
      <c r="AF69" s="382"/>
      <c r="AG69" s="382" t="s">
        <v>4588</v>
      </c>
      <c r="AH69" s="382"/>
      <c r="AI69" s="382"/>
      <c r="AJ69" s="124"/>
      <c r="AK69" s="124"/>
    </row>
    <row r="70" spans="2:37">
      <c r="B70" s="125">
        <f t="shared" si="13"/>
        <v>13</v>
      </c>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2"/>
      <c r="AA70" s="382"/>
      <c r="AB70" s="382"/>
      <c r="AC70" s="382"/>
      <c r="AD70" s="382"/>
      <c r="AE70" s="382"/>
      <c r="AF70" s="382"/>
      <c r="AG70" s="382"/>
      <c r="AH70" s="382"/>
      <c r="AI70" s="382"/>
      <c r="AJ70" s="124"/>
      <c r="AK70" s="124"/>
    </row>
    <row r="71" spans="2:37">
      <c r="B71" s="125">
        <f t="shared" si="13"/>
        <v>14</v>
      </c>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124"/>
      <c r="AK71" s="124"/>
    </row>
    <row r="72" spans="2:37">
      <c r="B72" s="125">
        <f t="shared" si="13"/>
        <v>15</v>
      </c>
      <c r="C72" s="382"/>
      <c r="D72" s="382"/>
      <c r="E72" s="382"/>
      <c r="F72" s="382"/>
      <c r="G72" s="382"/>
      <c r="H72" s="382"/>
      <c r="I72" s="382"/>
      <c r="J72" s="382"/>
      <c r="K72" s="382"/>
      <c r="L72" s="382"/>
      <c r="M72" s="382"/>
      <c r="N72" s="382"/>
      <c r="O72" s="382"/>
      <c r="P72" s="382"/>
      <c r="Q72" s="382"/>
      <c r="R72" s="382"/>
      <c r="S72" s="382"/>
      <c r="T72" s="382"/>
      <c r="U72" s="382"/>
      <c r="V72" s="382"/>
      <c r="W72" s="382"/>
      <c r="X72" s="382"/>
      <c r="Y72" s="382"/>
      <c r="Z72" s="382"/>
      <c r="AA72" s="382"/>
      <c r="AB72" s="382"/>
      <c r="AC72" s="382"/>
      <c r="AD72" s="382"/>
      <c r="AE72" s="382"/>
      <c r="AF72" s="382"/>
      <c r="AG72" s="382"/>
      <c r="AH72" s="382"/>
      <c r="AI72" s="382"/>
      <c r="AJ72" s="124"/>
      <c r="AK72" s="124"/>
    </row>
    <row r="73" spans="2:37" ht="13.5" thickBot="1">
      <c r="B73" s="153">
        <f>B72+1</f>
        <v>16</v>
      </c>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83"/>
      <c r="AI73" s="383"/>
      <c r="AJ73" s="148"/>
      <c r="AK73" s="148"/>
    </row>
    <row r="74" spans="2:37" ht="13.5" thickTop="1">
      <c r="B74" s="135" t="s">
        <v>1131</v>
      </c>
      <c r="C74" s="135">
        <f>COUNTA(C59:C73)</f>
        <v>0</v>
      </c>
      <c r="D74" s="125"/>
      <c r="E74" s="135">
        <f>COUNTA(E59:E73)</f>
        <v>5</v>
      </c>
      <c r="F74" s="125"/>
      <c r="G74" s="135">
        <f>COUNTA(G59:G73)</f>
        <v>0</v>
      </c>
      <c r="H74" s="125"/>
      <c r="I74" s="135">
        <f>COUNTA(I59:I73)</f>
        <v>3</v>
      </c>
      <c r="J74" s="125"/>
      <c r="K74" s="135">
        <f>COUNTA(K59:K73)</f>
        <v>7</v>
      </c>
      <c r="L74" s="125"/>
      <c r="M74" s="135">
        <f>COUNTA(M59:M73)</f>
        <v>0</v>
      </c>
      <c r="N74" s="125"/>
      <c r="O74" s="135">
        <f>COUNTA(O59:O73)</f>
        <v>0</v>
      </c>
      <c r="P74" s="125"/>
      <c r="Q74" s="135">
        <f>COUNTA(Q59:Q73)</f>
        <v>0</v>
      </c>
      <c r="R74" s="125"/>
      <c r="S74" s="135">
        <f>COUNTA(S59:S73)</f>
        <v>10</v>
      </c>
      <c r="T74" s="125"/>
      <c r="U74" s="135">
        <f>COUNTA(U59:U73)</f>
        <v>0</v>
      </c>
      <c r="V74" s="125"/>
      <c r="W74" s="135">
        <f>COUNTA(W59:W73)</f>
        <v>9</v>
      </c>
      <c r="X74" s="125"/>
      <c r="Y74" s="135">
        <f>COUNTA(Y59:Y73)</f>
        <v>9</v>
      </c>
      <c r="Z74" s="125"/>
      <c r="AA74" s="373">
        <f>COUNTA(AA59:AA73)</f>
        <v>11</v>
      </c>
      <c r="AB74" s="125"/>
      <c r="AC74" s="135">
        <f>COUNTA(AC59:AC73)</f>
        <v>10</v>
      </c>
      <c r="AD74" s="125"/>
      <c r="AE74" s="135">
        <f>COUNTA(AE59:AE73)</f>
        <v>8</v>
      </c>
      <c r="AF74" s="125"/>
      <c r="AG74" s="373">
        <f>COUNTA(AG59:AG73)</f>
        <v>11</v>
      </c>
      <c r="AH74" s="125"/>
      <c r="AI74" s="135">
        <f>COUNTA(AI59:AI73)</f>
        <v>8</v>
      </c>
      <c r="AJ74" s="124"/>
      <c r="AK74" s="126">
        <f>SUM(C74:AI74)</f>
        <v>91</v>
      </c>
    </row>
    <row r="75" spans="2:37">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row>
    <row r="76" spans="2:37" ht="14.25">
      <c r="B76" s="129" t="s">
        <v>4899</v>
      </c>
      <c r="C76" s="131"/>
      <c r="D76" s="131"/>
      <c r="E76" s="131"/>
      <c r="F76" s="131"/>
      <c r="G76" s="131"/>
      <c r="H76" s="131"/>
      <c r="I76" s="131"/>
      <c r="J76" s="131"/>
      <c r="K76" s="131"/>
      <c r="L76" s="131"/>
      <c r="M76" s="254" t="s">
        <v>4896</v>
      </c>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0"/>
      <c r="AK76" s="130"/>
    </row>
    <row r="77" spans="2:37">
      <c r="B77" s="130"/>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0"/>
      <c r="AK77" s="130"/>
    </row>
    <row r="78" spans="2:37">
      <c r="B78" s="132" t="s">
        <v>4897</v>
      </c>
      <c r="C78" s="136" t="s">
        <v>1060</v>
      </c>
      <c r="D78" s="136"/>
      <c r="E78" s="136" t="s">
        <v>1015</v>
      </c>
      <c r="F78" s="136"/>
      <c r="G78" s="136" t="s">
        <v>1064</v>
      </c>
      <c r="H78" s="136"/>
      <c r="I78" s="136" t="s">
        <v>1013</v>
      </c>
      <c r="J78" s="136"/>
      <c r="K78" s="136" t="s">
        <v>1032</v>
      </c>
      <c r="L78" s="136"/>
      <c r="M78" s="136" t="s">
        <v>1068</v>
      </c>
      <c r="N78" s="136"/>
      <c r="O78" s="136" t="s">
        <v>1071</v>
      </c>
      <c r="P78" s="136"/>
      <c r="Q78" s="136" t="s">
        <v>1075</v>
      </c>
      <c r="R78" s="136"/>
      <c r="S78" s="136" t="s">
        <v>1038</v>
      </c>
      <c r="T78" s="136"/>
      <c r="U78" s="136" t="s">
        <v>1078</v>
      </c>
      <c r="V78" s="136"/>
      <c r="W78" s="136" t="s">
        <v>1036</v>
      </c>
      <c r="X78" s="136"/>
      <c r="Y78" s="136" t="s">
        <v>1041</v>
      </c>
      <c r="Z78" s="136"/>
      <c r="AA78" s="136" t="s">
        <v>1045</v>
      </c>
      <c r="AB78" s="136"/>
      <c r="AC78" s="136" t="s">
        <v>1050</v>
      </c>
      <c r="AD78" s="136"/>
      <c r="AE78" s="136" t="s">
        <v>1024</v>
      </c>
      <c r="AF78" s="136"/>
      <c r="AG78" s="136" t="s">
        <v>1054</v>
      </c>
      <c r="AH78" s="136"/>
      <c r="AI78" s="136" t="s">
        <v>1057</v>
      </c>
      <c r="AJ78" s="130"/>
      <c r="AK78" s="130"/>
    </row>
    <row r="79" spans="2:37">
      <c r="B79" s="131">
        <v>2</v>
      </c>
      <c r="C79" s="131" t="s">
        <v>1937</v>
      </c>
      <c r="D79" s="131"/>
      <c r="E79" s="131" t="s">
        <v>2099</v>
      </c>
      <c r="F79" s="131"/>
      <c r="G79" s="131" t="s">
        <v>2246</v>
      </c>
      <c r="H79" s="131"/>
      <c r="I79" s="131" t="s">
        <v>2395</v>
      </c>
      <c r="J79" s="131"/>
      <c r="K79" s="131" t="s">
        <v>2538</v>
      </c>
      <c r="L79" s="131"/>
      <c r="M79" s="131" t="s">
        <v>2777</v>
      </c>
      <c r="N79" s="131"/>
      <c r="O79" s="131" t="s">
        <v>2840</v>
      </c>
      <c r="P79" s="131"/>
      <c r="Q79" s="131" t="s">
        <v>2952</v>
      </c>
      <c r="R79" s="131"/>
      <c r="S79" s="131" t="s">
        <v>3139</v>
      </c>
      <c r="T79" s="131"/>
      <c r="U79" s="131" t="s">
        <v>3319</v>
      </c>
      <c r="V79" s="131"/>
      <c r="W79" s="131" t="s">
        <v>3433</v>
      </c>
      <c r="X79" s="131"/>
      <c r="Y79" s="131" t="s">
        <v>3641</v>
      </c>
      <c r="Z79" s="131"/>
      <c r="AA79" s="131" t="s">
        <v>3769</v>
      </c>
      <c r="AB79" s="131"/>
      <c r="AC79" s="131" t="s">
        <v>4107</v>
      </c>
      <c r="AD79" s="131"/>
      <c r="AE79" s="131" t="s">
        <v>4209</v>
      </c>
      <c r="AF79" s="131"/>
      <c r="AG79" s="131" t="s">
        <v>4414</v>
      </c>
      <c r="AH79" s="131"/>
      <c r="AI79" s="131" t="s">
        <v>4601</v>
      </c>
      <c r="AJ79" s="130"/>
      <c r="AK79" s="130"/>
    </row>
    <row r="80" spans="2:37">
      <c r="B80" s="131">
        <f>B79+1</f>
        <v>3</v>
      </c>
      <c r="C80" s="131" t="s">
        <v>1943</v>
      </c>
      <c r="D80" s="131"/>
      <c r="E80" s="131" t="s">
        <v>2113</v>
      </c>
      <c r="F80" s="131"/>
      <c r="G80" s="131" t="s">
        <v>2251</v>
      </c>
      <c r="H80" s="131"/>
      <c r="I80" s="131" t="s">
        <v>2445</v>
      </c>
      <c r="J80" s="131"/>
      <c r="K80" s="131" t="s">
        <v>2544</v>
      </c>
      <c r="L80" s="131"/>
      <c r="M80" s="131" t="s">
        <v>2786</v>
      </c>
      <c r="N80" s="131"/>
      <c r="O80" s="131" t="s">
        <v>2844</v>
      </c>
      <c r="P80" s="131"/>
      <c r="Q80" s="131" t="s">
        <v>2956</v>
      </c>
      <c r="R80" s="131"/>
      <c r="S80" s="131" t="s">
        <v>3144</v>
      </c>
      <c r="T80" s="131"/>
      <c r="U80" s="131" t="s">
        <v>3356</v>
      </c>
      <c r="V80" s="131"/>
      <c r="W80" s="131" t="s">
        <v>3443</v>
      </c>
      <c r="X80" s="131"/>
      <c r="Y80" s="131" t="s">
        <v>3683</v>
      </c>
      <c r="Z80" s="131"/>
      <c r="AA80" s="131" t="s">
        <v>3775</v>
      </c>
      <c r="AB80" s="131"/>
      <c r="AC80" s="131" t="s">
        <v>4113</v>
      </c>
      <c r="AD80" s="131"/>
      <c r="AE80" s="131" t="s">
        <v>4213</v>
      </c>
      <c r="AF80" s="131"/>
      <c r="AG80" s="131" t="s">
        <v>4432</v>
      </c>
      <c r="AH80" s="131"/>
      <c r="AI80" s="131" t="s">
        <v>4609</v>
      </c>
      <c r="AJ80" s="130"/>
      <c r="AK80" s="130"/>
    </row>
    <row r="81" spans="2:37">
      <c r="B81" s="131">
        <f t="shared" ref="B81:B102" si="14">B80+1</f>
        <v>4</v>
      </c>
      <c r="C81" s="131" t="s">
        <v>1949</v>
      </c>
      <c r="D81" s="131"/>
      <c r="E81" s="254" t="s">
        <v>2128</v>
      </c>
      <c r="F81" s="131"/>
      <c r="G81" s="131" t="s">
        <v>2256</v>
      </c>
      <c r="H81" s="131"/>
      <c r="I81" s="131" t="s">
        <v>2455</v>
      </c>
      <c r="J81" s="131"/>
      <c r="K81" s="131" t="s">
        <v>2549</v>
      </c>
      <c r="L81" s="131"/>
      <c r="M81" s="254" t="s">
        <v>2791</v>
      </c>
      <c r="N81" s="131"/>
      <c r="O81" s="131" t="s">
        <v>2885</v>
      </c>
      <c r="P81" s="131"/>
      <c r="Q81" s="131" t="s">
        <v>2959</v>
      </c>
      <c r="R81" s="131"/>
      <c r="S81" s="131" t="s">
        <v>3177</v>
      </c>
      <c r="T81" s="131"/>
      <c r="U81" s="131" t="s">
        <v>3366</v>
      </c>
      <c r="V81" s="131"/>
      <c r="W81" s="131" t="s">
        <v>3476</v>
      </c>
      <c r="X81" s="131"/>
      <c r="Y81" s="131" t="s">
        <v>3690</v>
      </c>
      <c r="Z81" s="131"/>
      <c r="AA81" s="131" t="s">
        <v>3822</v>
      </c>
      <c r="AB81" s="131"/>
      <c r="AC81" s="131" t="s">
        <v>4141</v>
      </c>
      <c r="AD81" s="131"/>
      <c r="AE81" s="131" t="s">
        <v>4225</v>
      </c>
      <c r="AF81" s="131"/>
      <c r="AG81" s="131" t="s">
        <v>4440</v>
      </c>
      <c r="AH81" s="131"/>
      <c r="AI81" s="254" t="s">
        <v>4617</v>
      </c>
      <c r="AJ81" s="130"/>
      <c r="AK81" s="130"/>
    </row>
    <row r="82" spans="2:37">
      <c r="B82" s="131">
        <f t="shared" si="14"/>
        <v>5</v>
      </c>
      <c r="C82" s="131" t="s">
        <v>2007</v>
      </c>
      <c r="D82" s="131"/>
      <c r="E82" s="254" t="s">
        <v>2134</v>
      </c>
      <c r="F82" s="131"/>
      <c r="G82" s="131" t="s">
        <v>2321</v>
      </c>
      <c r="H82" s="131"/>
      <c r="I82" s="131" t="s">
        <v>2460</v>
      </c>
      <c r="J82" s="131"/>
      <c r="K82" s="131" t="s">
        <v>2560</v>
      </c>
      <c r="L82" s="131"/>
      <c r="M82" s="131" t="s">
        <v>2796</v>
      </c>
      <c r="N82" s="131"/>
      <c r="O82" s="131" t="s">
        <v>2889</v>
      </c>
      <c r="P82" s="131"/>
      <c r="Q82" s="131" t="s">
        <v>2962</v>
      </c>
      <c r="R82" s="131"/>
      <c r="S82" s="131" t="s">
        <v>3183</v>
      </c>
      <c r="T82" s="131"/>
      <c r="U82" s="131" t="s">
        <v>3403</v>
      </c>
      <c r="V82" s="131"/>
      <c r="W82" s="131"/>
      <c r="X82" s="131"/>
      <c r="Y82" s="131" t="s">
        <v>3696</v>
      </c>
      <c r="Z82" s="131"/>
      <c r="AA82" s="131" t="s">
        <v>3892</v>
      </c>
      <c r="AB82" s="131"/>
      <c r="AC82" s="131" t="s">
        <v>4151</v>
      </c>
      <c r="AD82" s="131"/>
      <c r="AE82" s="131" t="s">
        <v>4259</v>
      </c>
      <c r="AF82" s="131"/>
      <c r="AG82" s="131" t="s">
        <v>4461</v>
      </c>
      <c r="AH82" s="131"/>
      <c r="AI82" s="131" t="s">
        <v>4626</v>
      </c>
      <c r="AJ82" s="130"/>
      <c r="AK82" s="130"/>
    </row>
    <row r="83" spans="2:37">
      <c r="B83" s="131">
        <f t="shared" si="14"/>
        <v>6</v>
      </c>
      <c r="C83" s="131" t="s">
        <v>2013</v>
      </c>
      <c r="D83" s="131"/>
      <c r="E83" s="131" t="s">
        <v>2138</v>
      </c>
      <c r="F83" s="131"/>
      <c r="G83" s="131" t="s">
        <v>2322</v>
      </c>
      <c r="H83" s="131"/>
      <c r="I83" s="131" t="s">
        <v>2465</v>
      </c>
      <c r="J83" s="131"/>
      <c r="K83" s="131" t="s">
        <v>2566</v>
      </c>
      <c r="L83" s="131"/>
      <c r="M83" s="131" t="s">
        <v>2802</v>
      </c>
      <c r="N83" s="131"/>
      <c r="O83" s="131" t="s">
        <v>2894</v>
      </c>
      <c r="P83" s="131"/>
      <c r="Q83" s="131" t="s">
        <v>2966</v>
      </c>
      <c r="R83" s="131"/>
      <c r="S83" s="131" t="s">
        <v>3202</v>
      </c>
      <c r="T83" s="131"/>
      <c r="U83" s="131" t="s">
        <v>3410</v>
      </c>
      <c r="V83" s="131"/>
      <c r="W83" s="131"/>
      <c r="X83" s="131"/>
      <c r="Y83" s="131" t="s">
        <v>3709</v>
      </c>
      <c r="Z83" s="131"/>
      <c r="AA83" s="131" t="s">
        <v>3914</v>
      </c>
      <c r="AB83" s="131"/>
      <c r="AC83" s="131"/>
      <c r="AD83" s="131"/>
      <c r="AE83" s="131" t="s">
        <v>4269</v>
      </c>
      <c r="AF83" s="131"/>
      <c r="AG83" s="131" t="s">
        <v>4485</v>
      </c>
      <c r="AH83" s="131"/>
      <c r="AI83" s="131" t="s">
        <v>4637</v>
      </c>
      <c r="AJ83" s="130"/>
      <c r="AK83" s="130"/>
    </row>
    <row r="84" spans="2:37">
      <c r="B84" s="131">
        <f t="shared" si="14"/>
        <v>7</v>
      </c>
      <c r="C84" s="131" t="s">
        <v>2018</v>
      </c>
      <c r="D84" s="131"/>
      <c r="E84" s="131" t="s">
        <v>2151</v>
      </c>
      <c r="F84" s="131"/>
      <c r="G84" s="131"/>
      <c r="H84" s="131"/>
      <c r="I84" s="131" t="s">
        <v>2468</v>
      </c>
      <c r="J84" s="131"/>
      <c r="K84" s="131" t="s">
        <v>2571</v>
      </c>
      <c r="L84" s="131"/>
      <c r="M84" s="131" t="s">
        <v>2813</v>
      </c>
      <c r="N84" s="131"/>
      <c r="O84" s="131" t="s">
        <v>2908</v>
      </c>
      <c r="P84" s="131"/>
      <c r="Q84" s="131" t="s">
        <v>2970</v>
      </c>
      <c r="R84" s="131"/>
      <c r="S84" s="131" t="s">
        <v>3208</v>
      </c>
      <c r="T84" s="131"/>
      <c r="U84" s="131" t="s">
        <v>3415</v>
      </c>
      <c r="V84" s="131"/>
      <c r="W84" s="131"/>
      <c r="X84" s="131"/>
      <c r="Y84" s="131" t="s">
        <v>3713</v>
      </c>
      <c r="Z84" s="131"/>
      <c r="AA84" s="131" t="s">
        <v>3924</v>
      </c>
      <c r="AB84" s="131"/>
      <c r="AC84" s="131"/>
      <c r="AD84" s="131"/>
      <c r="AE84" s="131" t="s">
        <v>4290</v>
      </c>
      <c r="AF84" s="131"/>
      <c r="AG84" s="131" t="s">
        <v>4582</v>
      </c>
      <c r="AH84" s="131"/>
      <c r="AI84" s="131" t="s">
        <v>4641</v>
      </c>
      <c r="AJ84" s="130"/>
      <c r="AK84" s="130"/>
    </row>
    <row r="85" spans="2:37">
      <c r="B85" s="131">
        <f t="shared" si="14"/>
        <v>8</v>
      </c>
      <c r="C85" s="131" t="s">
        <v>2022</v>
      </c>
      <c r="D85" s="131"/>
      <c r="E85" s="131" t="s">
        <v>2155</v>
      </c>
      <c r="F85" s="131"/>
      <c r="G85" s="131"/>
      <c r="H85" s="131"/>
      <c r="I85" s="131"/>
      <c r="J85" s="131"/>
      <c r="K85" s="131" t="s">
        <v>2641</v>
      </c>
      <c r="L85" s="131"/>
      <c r="M85" s="131"/>
      <c r="N85" s="131"/>
      <c r="O85" s="131" t="s">
        <v>2912</v>
      </c>
      <c r="P85" s="131"/>
      <c r="Q85" s="131" t="s">
        <v>2974</v>
      </c>
      <c r="R85" s="131"/>
      <c r="S85" s="131" t="s">
        <v>3256</v>
      </c>
      <c r="T85" s="131"/>
      <c r="U85" s="131" t="s">
        <v>3419</v>
      </c>
      <c r="V85" s="131"/>
      <c r="W85" s="131"/>
      <c r="X85" s="131"/>
      <c r="Y85" s="131" t="s">
        <v>3734</v>
      </c>
      <c r="Z85" s="131"/>
      <c r="AA85" s="131" t="s">
        <v>3928</v>
      </c>
      <c r="AB85" s="131"/>
      <c r="AC85" s="131"/>
      <c r="AD85" s="131"/>
      <c r="AE85" s="131" t="s">
        <v>4294</v>
      </c>
      <c r="AF85" s="131"/>
      <c r="AG85" s="131" t="s">
        <v>4587</v>
      </c>
      <c r="AH85" s="131"/>
      <c r="AI85" s="131" t="s">
        <v>4645</v>
      </c>
      <c r="AJ85" s="130"/>
      <c r="AK85" s="130"/>
    </row>
    <row r="86" spans="2:37">
      <c r="B86" s="131">
        <f t="shared" si="14"/>
        <v>9</v>
      </c>
      <c r="C86" s="131" t="s">
        <v>2026</v>
      </c>
      <c r="D86" s="131"/>
      <c r="E86" s="131" t="s">
        <v>2159</v>
      </c>
      <c r="F86" s="131"/>
      <c r="G86" s="131"/>
      <c r="H86" s="131"/>
      <c r="I86" s="131"/>
      <c r="J86" s="131"/>
      <c r="K86" s="131" t="s">
        <v>2646</v>
      </c>
      <c r="L86" s="131"/>
      <c r="M86" s="131"/>
      <c r="N86" s="131"/>
      <c r="O86" s="131"/>
      <c r="P86" s="131"/>
      <c r="Q86" s="131" t="s">
        <v>2978</v>
      </c>
      <c r="R86" s="131"/>
      <c r="S86" s="131" t="s">
        <v>3271</v>
      </c>
      <c r="T86" s="131"/>
      <c r="U86" s="131" t="s">
        <v>3424</v>
      </c>
      <c r="V86" s="131"/>
      <c r="W86" s="131"/>
      <c r="X86" s="131"/>
      <c r="Y86" s="131" t="s">
        <v>3739</v>
      </c>
      <c r="Z86" s="131"/>
      <c r="AA86" s="131" t="s">
        <v>3949</v>
      </c>
      <c r="AB86" s="131"/>
      <c r="AC86" s="131"/>
      <c r="AD86" s="131"/>
      <c r="AE86" s="131" t="s">
        <v>4298</v>
      </c>
      <c r="AF86" s="131"/>
      <c r="AG86" s="131"/>
      <c r="AH86" s="131"/>
      <c r="AI86" s="131" t="s">
        <v>4649</v>
      </c>
      <c r="AJ86" s="130"/>
      <c r="AK86" s="130"/>
    </row>
    <row r="87" spans="2:37">
      <c r="B87" s="131">
        <f t="shared" si="14"/>
        <v>10</v>
      </c>
      <c r="C87" s="131" t="s">
        <v>2031</v>
      </c>
      <c r="D87" s="131"/>
      <c r="E87" s="131" t="s">
        <v>2170</v>
      </c>
      <c r="F87" s="131"/>
      <c r="G87" s="131"/>
      <c r="H87" s="131"/>
      <c r="I87" s="131"/>
      <c r="J87" s="131"/>
      <c r="K87" s="131" t="s">
        <v>2650</v>
      </c>
      <c r="L87" s="131"/>
      <c r="M87" s="131"/>
      <c r="N87" s="131"/>
      <c r="O87" s="131"/>
      <c r="P87" s="131"/>
      <c r="Q87" s="254" t="s">
        <v>2982</v>
      </c>
      <c r="R87" s="131"/>
      <c r="S87" s="131" t="s">
        <v>3276</v>
      </c>
      <c r="T87" s="131"/>
      <c r="U87" s="131" t="s">
        <v>3427</v>
      </c>
      <c r="V87" s="131"/>
      <c r="W87" s="131"/>
      <c r="X87" s="131"/>
      <c r="Y87" s="131" t="s">
        <v>3743</v>
      </c>
      <c r="Z87" s="131"/>
      <c r="AA87" s="131" t="s">
        <v>3963</v>
      </c>
      <c r="AB87" s="131"/>
      <c r="AC87" s="131"/>
      <c r="AD87" s="131"/>
      <c r="AE87" s="131" t="s">
        <v>4304</v>
      </c>
      <c r="AF87" s="131"/>
      <c r="AG87" s="131"/>
      <c r="AH87" s="131"/>
      <c r="AI87" s="131" t="s">
        <v>4652</v>
      </c>
      <c r="AJ87" s="130"/>
      <c r="AK87" s="130"/>
    </row>
    <row r="88" spans="2:37">
      <c r="B88" s="131">
        <f t="shared" si="14"/>
        <v>11</v>
      </c>
      <c r="C88" s="131"/>
      <c r="D88" s="131"/>
      <c r="E88" s="131" t="s">
        <v>2174</v>
      </c>
      <c r="F88" s="131"/>
      <c r="G88" s="131"/>
      <c r="H88" s="131"/>
      <c r="I88" s="131"/>
      <c r="J88" s="131"/>
      <c r="K88" s="131" t="s">
        <v>2659</v>
      </c>
      <c r="L88" s="131"/>
      <c r="M88" s="131"/>
      <c r="N88" s="131"/>
      <c r="O88" s="131"/>
      <c r="P88" s="131"/>
      <c r="Q88" s="131" t="s">
        <v>2994</v>
      </c>
      <c r="R88" s="131"/>
      <c r="S88" s="131" t="s">
        <v>3281</v>
      </c>
      <c r="T88" s="131"/>
      <c r="U88" s="131"/>
      <c r="V88" s="131"/>
      <c r="W88" s="131"/>
      <c r="X88" s="131"/>
      <c r="Y88" s="131" t="s">
        <v>3747</v>
      </c>
      <c r="Z88" s="131"/>
      <c r="AA88" s="131" t="s">
        <v>3975</v>
      </c>
      <c r="AB88" s="131"/>
      <c r="AC88" s="131"/>
      <c r="AD88" s="131"/>
      <c r="AE88" s="131" t="s">
        <v>4308</v>
      </c>
      <c r="AF88" s="131"/>
      <c r="AG88" s="131"/>
      <c r="AH88" s="131"/>
      <c r="AI88" s="131" t="s">
        <v>4656</v>
      </c>
      <c r="AJ88" s="130"/>
      <c r="AK88" s="130"/>
    </row>
    <row r="89" spans="2:37">
      <c r="B89" s="131">
        <f t="shared" si="14"/>
        <v>12</v>
      </c>
      <c r="C89" s="131"/>
      <c r="D89" s="131"/>
      <c r="E89" s="131" t="s">
        <v>2179</v>
      </c>
      <c r="F89" s="131"/>
      <c r="G89" s="131"/>
      <c r="H89" s="131"/>
      <c r="I89" s="131"/>
      <c r="J89" s="131"/>
      <c r="K89" s="131" t="s">
        <v>2687</v>
      </c>
      <c r="L89" s="131"/>
      <c r="M89" s="131"/>
      <c r="N89" s="131"/>
      <c r="O89" s="131"/>
      <c r="P89" s="131"/>
      <c r="Q89" s="254" t="s">
        <v>3004</v>
      </c>
      <c r="R89" s="131"/>
      <c r="S89" s="131" t="s">
        <v>3291</v>
      </c>
      <c r="T89" s="131"/>
      <c r="U89" s="131"/>
      <c r="V89" s="131"/>
      <c r="W89" s="131"/>
      <c r="X89" s="131"/>
      <c r="Y89" s="131"/>
      <c r="Z89" s="131"/>
      <c r="AA89" s="131" t="s">
        <v>3976</v>
      </c>
      <c r="AB89" s="131"/>
      <c r="AC89" s="131"/>
      <c r="AD89" s="131"/>
      <c r="AE89" s="131" t="s">
        <v>4316</v>
      </c>
      <c r="AF89" s="131"/>
      <c r="AG89" s="131"/>
      <c r="AH89" s="131"/>
      <c r="AI89" s="131" t="s">
        <v>4732</v>
      </c>
      <c r="AJ89" s="130"/>
      <c r="AK89" s="130"/>
    </row>
    <row r="90" spans="2:37">
      <c r="B90" s="131">
        <f t="shared" si="14"/>
        <v>13</v>
      </c>
      <c r="C90" s="131"/>
      <c r="D90" s="131"/>
      <c r="E90" s="131" t="s">
        <v>2181</v>
      </c>
      <c r="F90" s="131"/>
      <c r="G90" s="131"/>
      <c r="H90" s="131"/>
      <c r="I90" s="131"/>
      <c r="J90" s="131"/>
      <c r="K90" s="131" t="s">
        <v>2691</v>
      </c>
      <c r="L90" s="131"/>
      <c r="M90" s="131"/>
      <c r="N90" s="131"/>
      <c r="O90" s="131"/>
      <c r="P90" s="131"/>
      <c r="Q90" s="131" t="s">
        <v>3008</v>
      </c>
      <c r="R90" s="131"/>
      <c r="S90" s="131" t="s">
        <v>3295</v>
      </c>
      <c r="T90" s="131"/>
      <c r="U90" s="131"/>
      <c r="V90" s="131"/>
      <c r="W90" s="131"/>
      <c r="X90" s="131"/>
      <c r="Y90" s="131"/>
      <c r="Z90" s="131"/>
      <c r="AA90" s="131" t="s">
        <v>3978</v>
      </c>
      <c r="AB90" s="131"/>
      <c r="AC90" s="131"/>
      <c r="AD90" s="131"/>
      <c r="AE90" s="131" t="s">
        <v>4328</v>
      </c>
      <c r="AF90" s="131"/>
      <c r="AG90" s="131"/>
      <c r="AH90" s="131"/>
      <c r="AI90" s="131" t="s">
        <v>4736</v>
      </c>
      <c r="AJ90" s="130"/>
      <c r="AK90" s="130"/>
    </row>
    <row r="91" spans="2:37">
      <c r="B91" s="131">
        <f t="shared" si="14"/>
        <v>14</v>
      </c>
      <c r="C91" s="131"/>
      <c r="D91" s="131"/>
      <c r="E91" s="131" t="s">
        <v>2183</v>
      </c>
      <c r="F91" s="131"/>
      <c r="G91" s="131"/>
      <c r="H91" s="131"/>
      <c r="I91" s="131"/>
      <c r="J91" s="131"/>
      <c r="K91" s="131" t="s">
        <v>2695</v>
      </c>
      <c r="L91" s="131"/>
      <c r="M91" s="131"/>
      <c r="N91" s="131"/>
      <c r="O91" s="131"/>
      <c r="P91" s="131"/>
      <c r="Q91" s="131" t="s">
        <v>3026</v>
      </c>
      <c r="R91" s="131"/>
      <c r="S91" s="131" t="s">
        <v>3311</v>
      </c>
      <c r="T91" s="131"/>
      <c r="U91" s="131"/>
      <c r="V91" s="131"/>
      <c r="W91" s="131"/>
      <c r="X91" s="131"/>
      <c r="Y91" s="131"/>
      <c r="Z91" s="131"/>
      <c r="AA91" s="131" t="s">
        <v>4760</v>
      </c>
      <c r="AB91" s="131"/>
      <c r="AC91" s="131"/>
      <c r="AD91" s="131"/>
      <c r="AE91" s="131" t="s">
        <v>4337</v>
      </c>
      <c r="AF91" s="131"/>
      <c r="AG91" s="131"/>
      <c r="AH91" s="131"/>
      <c r="AI91" s="131"/>
      <c r="AJ91" s="130"/>
      <c r="AK91" s="130"/>
    </row>
    <row r="92" spans="2:37">
      <c r="B92" s="131">
        <f t="shared" si="14"/>
        <v>15</v>
      </c>
      <c r="C92" s="131"/>
      <c r="D92" s="131"/>
      <c r="E92" s="131" t="s">
        <v>2186</v>
      </c>
      <c r="F92" s="131"/>
      <c r="G92" s="131"/>
      <c r="H92" s="131"/>
      <c r="I92" s="131"/>
      <c r="J92" s="131"/>
      <c r="K92" s="131"/>
      <c r="L92" s="131"/>
      <c r="M92" s="131"/>
      <c r="N92" s="131"/>
      <c r="O92" s="131"/>
      <c r="P92" s="131"/>
      <c r="Q92" s="131" t="s">
        <v>3046</v>
      </c>
      <c r="R92" s="131"/>
      <c r="S92" s="131"/>
      <c r="T92" s="131"/>
      <c r="U92" s="131"/>
      <c r="V92" s="131"/>
      <c r="W92" s="131"/>
      <c r="X92" s="131"/>
      <c r="Y92" s="131"/>
      <c r="Z92" s="131"/>
      <c r="AA92" s="131" t="s">
        <v>4766</v>
      </c>
      <c r="AB92" s="131"/>
      <c r="AC92" s="131"/>
      <c r="AD92" s="131"/>
      <c r="AE92" s="131" t="s">
        <v>4341</v>
      </c>
      <c r="AF92" s="131"/>
      <c r="AG92" s="131"/>
      <c r="AH92" s="131"/>
      <c r="AI92" s="131"/>
      <c r="AJ92" s="130"/>
      <c r="AK92" s="130"/>
    </row>
    <row r="93" spans="2:37">
      <c r="B93" s="131">
        <f t="shared" si="14"/>
        <v>16</v>
      </c>
      <c r="C93" s="131"/>
      <c r="D93" s="131"/>
      <c r="E93" s="131"/>
      <c r="F93" s="131"/>
      <c r="G93" s="131"/>
      <c r="H93" s="131"/>
      <c r="I93" s="131"/>
      <c r="J93" s="131"/>
      <c r="K93" s="131"/>
      <c r="L93" s="131"/>
      <c r="M93" s="131"/>
      <c r="N93" s="131"/>
      <c r="O93" s="131"/>
      <c r="P93" s="131"/>
      <c r="Q93" s="131" t="s">
        <v>3055</v>
      </c>
      <c r="R93" s="131"/>
      <c r="S93" s="131"/>
      <c r="T93" s="131"/>
      <c r="U93" s="131"/>
      <c r="V93" s="131"/>
      <c r="W93" s="131"/>
      <c r="X93" s="131"/>
      <c r="Y93" s="131"/>
      <c r="Z93" s="131"/>
      <c r="AA93" s="131"/>
      <c r="AB93" s="131"/>
      <c r="AC93" s="131"/>
      <c r="AD93" s="131"/>
      <c r="AE93" s="131" t="s">
        <v>4345</v>
      </c>
      <c r="AF93" s="131"/>
      <c r="AG93" s="131"/>
      <c r="AH93" s="131"/>
      <c r="AI93" s="131"/>
      <c r="AJ93" s="130"/>
      <c r="AK93" s="130"/>
    </row>
    <row r="94" spans="2:37">
      <c r="B94" s="131">
        <f t="shared" si="14"/>
        <v>17</v>
      </c>
      <c r="C94" s="131"/>
      <c r="D94" s="131"/>
      <c r="E94" s="131"/>
      <c r="F94" s="131"/>
      <c r="G94" s="131"/>
      <c r="H94" s="131"/>
      <c r="I94" s="131"/>
      <c r="J94" s="131"/>
      <c r="K94" s="131"/>
      <c r="L94" s="131"/>
      <c r="M94" s="131"/>
      <c r="N94" s="131"/>
      <c r="O94" s="131"/>
      <c r="P94" s="131"/>
      <c r="Q94" s="131" t="s">
        <v>3060</v>
      </c>
      <c r="R94" s="131"/>
      <c r="S94" s="131"/>
      <c r="T94" s="131"/>
      <c r="U94" s="131"/>
      <c r="V94" s="131"/>
      <c r="W94" s="131"/>
      <c r="X94" s="131"/>
      <c r="Y94" s="131"/>
      <c r="Z94" s="131"/>
      <c r="AA94" s="131"/>
      <c r="AB94" s="131"/>
      <c r="AC94" s="131"/>
      <c r="AD94" s="131"/>
      <c r="AE94" s="131" t="s">
        <v>4349</v>
      </c>
      <c r="AF94" s="131"/>
      <c r="AG94" s="131"/>
      <c r="AH94" s="131"/>
      <c r="AI94" s="131"/>
      <c r="AJ94" s="130"/>
      <c r="AK94" s="130"/>
    </row>
    <row r="95" spans="2:37">
      <c r="B95" s="131">
        <f t="shared" si="14"/>
        <v>18</v>
      </c>
      <c r="C95" s="131"/>
      <c r="D95" s="131"/>
      <c r="E95" s="131"/>
      <c r="F95" s="131"/>
      <c r="G95" s="131"/>
      <c r="H95" s="131"/>
      <c r="I95" s="131"/>
      <c r="J95" s="131"/>
      <c r="K95" s="131"/>
      <c r="L95" s="131"/>
      <c r="M95" s="131"/>
      <c r="N95" s="131"/>
      <c r="O95" s="131"/>
      <c r="P95" s="131"/>
      <c r="Q95" s="131" t="s">
        <v>3064</v>
      </c>
      <c r="R95" s="131"/>
      <c r="S95" s="131"/>
      <c r="T95" s="131"/>
      <c r="U95" s="131"/>
      <c r="V95" s="131"/>
      <c r="W95" s="131"/>
      <c r="X95" s="131"/>
      <c r="Y95" s="131"/>
      <c r="Z95" s="131"/>
      <c r="AA95" s="131"/>
      <c r="AB95" s="131"/>
      <c r="AC95" s="131"/>
      <c r="AD95" s="131"/>
      <c r="AE95" s="131" t="s">
        <v>4353</v>
      </c>
      <c r="AF95" s="131"/>
      <c r="AG95" s="131"/>
      <c r="AH95" s="131"/>
      <c r="AI95" s="131"/>
      <c r="AJ95" s="130"/>
      <c r="AK95" s="130"/>
    </row>
    <row r="96" spans="2:37">
      <c r="B96" s="131">
        <f t="shared" si="14"/>
        <v>19</v>
      </c>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t="s">
        <v>4365</v>
      </c>
      <c r="AF96" s="131"/>
      <c r="AG96" s="131"/>
      <c r="AH96" s="131"/>
      <c r="AI96" s="131"/>
      <c r="AJ96" s="130"/>
      <c r="AK96" s="130"/>
    </row>
    <row r="97" spans="2:37">
      <c r="B97" s="131">
        <f t="shared" si="14"/>
        <v>20</v>
      </c>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t="s">
        <v>4371</v>
      </c>
      <c r="AF97" s="131"/>
      <c r="AG97" s="131"/>
      <c r="AH97" s="131"/>
      <c r="AI97" s="131"/>
      <c r="AJ97" s="130"/>
      <c r="AK97" s="130"/>
    </row>
    <row r="98" spans="2:37">
      <c r="B98" s="131">
        <f t="shared" si="14"/>
        <v>21</v>
      </c>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t="s">
        <v>4375</v>
      </c>
      <c r="AF98" s="131"/>
      <c r="AG98" s="131"/>
      <c r="AH98" s="131"/>
      <c r="AI98" s="131"/>
      <c r="AJ98" s="130"/>
      <c r="AK98" s="130"/>
    </row>
    <row r="99" spans="2:37">
      <c r="B99" s="131">
        <f t="shared" si="14"/>
        <v>22</v>
      </c>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t="s">
        <v>4391</v>
      </c>
      <c r="AF99" s="131"/>
      <c r="AG99" s="131"/>
      <c r="AH99" s="131"/>
      <c r="AI99" s="131"/>
      <c r="AJ99" s="130"/>
      <c r="AK99" s="130"/>
    </row>
    <row r="100" spans="2:37">
      <c r="B100" s="131">
        <f t="shared" si="14"/>
        <v>23</v>
      </c>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t="s">
        <v>4396</v>
      </c>
      <c r="AF100" s="131"/>
      <c r="AG100" s="131"/>
      <c r="AH100" s="131"/>
      <c r="AI100" s="131"/>
      <c r="AJ100" s="130"/>
      <c r="AK100" s="130"/>
    </row>
    <row r="101" spans="2:37">
      <c r="B101" s="131">
        <f t="shared" si="14"/>
        <v>24</v>
      </c>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0"/>
      <c r="AK101" s="130"/>
    </row>
    <row r="102" spans="2:37">
      <c r="B102" s="131">
        <f t="shared" si="14"/>
        <v>25</v>
      </c>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0"/>
      <c r="AK102" s="130"/>
    </row>
    <row r="103" spans="2:37">
      <c r="B103" s="131">
        <f>B102+1</f>
        <v>26</v>
      </c>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0"/>
      <c r="AK103" s="130"/>
    </row>
    <row r="104" spans="2:37" ht="13.5" thickBot="1">
      <c r="B104" s="154">
        <f>B103+1</f>
        <v>27</v>
      </c>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5"/>
      <c r="AK104" s="155"/>
    </row>
    <row r="105" spans="2:37" ht="13.5" thickTop="1">
      <c r="B105" s="136" t="s">
        <v>1131</v>
      </c>
      <c r="C105" s="136">
        <f>COUNTA(C79:C104)</f>
        <v>9</v>
      </c>
      <c r="D105" s="131"/>
      <c r="E105" s="136">
        <f>COUNTA(E79:E104)</f>
        <v>14</v>
      </c>
      <c r="F105" s="131"/>
      <c r="G105" s="136">
        <f>COUNTA(G79:G104)</f>
        <v>5</v>
      </c>
      <c r="H105" s="131"/>
      <c r="I105" s="136">
        <f>COUNTA(I79:I104)</f>
        <v>6</v>
      </c>
      <c r="J105" s="131"/>
      <c r="K105" s="136">
        <f>COUNTA(K79:K104)</f>
        <v>13</v>
      </c>
      <c r="L105" s="136"/>
      <c r="M105" s="136">
        <f>COUNTA(M79:M104)</f>
        <v>6</v>
      </c>
      <c r="N105" s="131"/>
      <c r="O105" s="136">
        <f>COUNTA(O79:O104)</f>
        <v>7</v>
      </c>
      <c r="P105" s="131"/>
      <c r="Q105" s="136">
        <f>COUNTA(Q79:Q104)</f>
        <v>17</v>
      </c>
      <c r="R105" s="131"/>
      <c r="S105" s="136">
        <f>COUNTA(S79:S104)</f>
        <v>13</v>
      </c>
      <c r="T105" s="131"/>
      <c r="U105" s="136">
        <f>COUNTA(U79:U104)</f>
        <v>9</v>
      </c>
      <c r="V105" s="131"/>
      <c r="W105" s="136">
        <f>COUNTA(W79:W104)</f>
        <v>3</v>
      </c>
      <c r="X105" s="131"/>
      <c r="Y105" s="136">
        <f>COUNTA(Y79:Y104)</f>
        <v>10</v>
      </c>
      <c r="Z105" s="131"/>
      <c r="AA105" s="136">
        <f>COUNTA(AA79:AA104)</f>
        <v>14</v>
      </c>
      <c r="AB105" s="131"/>
      <c r="AC105" s="136">
        <f>COUNTA(AC79:AC104)</f>
        <v>4</v>
      </c>
      <c r="AD105" s="131"/>
      <c r="AE105" s="374">
        <f>COUNTA(AE79:AE104)</f>
        <v>22</v>
      </c>
      <c r="AF105" s="131"/>
      <c r="AG105" s="136">
        <f>COUNTA(AG79:AG104)</f>
        <v>7</v>
      </c>
      <c r="AH105" s="131"/>
      <c r="AI105" s="136">
        <f>COUNTA(AI79:AI104)</f>
        <v>12</v>
      </c>
      <c r="AJ105" s="131"/>
      <c r="AK105" s="136">
        <f>SUM(C105:AI105)</f>
        <v>171</v>
      </c>
    </row>
    <row r="106" spans="2:37">
      <c r="B106" s="133"/>
      <c r="C106" s="133"/>
      <c r="D106" s="116"/>
      <c r="E106" s="133"/>
      <c r="F106" s="116"/>
      <c r="G106" s="133"/>
      <c r="H106" s="116"/>
      <c r="I106" s="133"/>
      <c r="J106" s="116"/>
      <c r="K106" s="133"/>
      <c r="L106" s="133"/>
      <c r="M106" s="133"/>
      <c r="N106" s="116"/>
      <c r="O106" s="133"/>
      <c r="P106" s="116"/>
      <c r="Q106" s="133"/>
      <c r="R106" s="116"/>
      <c r="S106" s="133"/>
      <c r="T106" s="116"/>
      <c r="U106" s="133"/>
      <c r="V106" s="116"/>
      <c r="W106" s="133"/>
      <c r="X106" s="116"/>
      <c r="Y106" s="133"/>
      <c r="Z106" s="116"/>
      <c r="AA106" s="133"/>
      <c r="AB106" s="116"/>
      <c r="AC106" s="133"/>
      <c r="AD106" s="116"/>
      <c r="AE106" s="133"/>
      <c r="AF106" s="116"/>
      <c r="AG106" s="133"/>
      <c r="AH106" s="116"/>
      <c r="AI106" s="133"/>
      <c r="AJ106" s="116"/>
      <c r="AK106" s="133"/>
    </row>
    <row r="107" spans="2:37" ht="14.25">
      <c r="B107" s="121" t="s">
        <v>4900</v>
      </c>
      <c r="C107" s="119"/>
      <c r="D107" s="119"/>
      <c r="E107" s="119"/>
      <c r="F107" s="118"/>
      <c r="G107" s="118"/>
      <c r="H107" s="118"/>
      <c r="I107" s="118"/>
      <c r="J107" s="118"/>
      <c r="K107" s="118"/>
      <c r="L107" s="118"/>
      <c r="M107" s="118"/>
      <c r="N107" s="118"/>
      <c r="O107" s="118"/>
      <c r="P107" s="118"/>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row>
    <row r="108" spans="2:37">
      <c r="B108" s="119"/>
      <c r="C108" s="119"/>
      <c r="D108" s="119"/>
      <c r="E108" s="119"/>
      <c r="F108" s="118"/>
      <c r="G108" s="118"/>
      <c r="H108" s="118"/>
      <c r="I108" s="118"/>
      <c r="J108" s="118"/>
      <c r="K108" s="118"/>
      <c r="L108" s="118"/>
      <c r="M108" s="118"/>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row>
    <row r="109" spans="2:37">
      <c r="B109" s="122" t="s">
        <v>4897</v>
      </c>
      <c r="C109" s="134" t="s">
        <v>1060</v>
      </c>
      <c r="D109" s="134"/>
      <c r="E109" s="134" t="s">
        <v>1015</v>
      </c>
      <c r="F109" s="134"/>
      <c r="G109" s="134" t="s">
        <v>1064</v>
      </c>
      <c r="H109" s="134"/>
      <c r="I109" s="134" t="s">
        <v>1013</v>
      </c>
      <c r="J109" s="134"/>
      <c r="K109" s="134" t="s">
        <v>1032</v>
      </c>
      <c r="L109" s="134"/>
      <c r="M109" s="134" t="s">
        <v>1068</v>
      </c>
      <c r="N109" s="134"/>
      <c r="O109" s="134" t="s">
        <v>1071</v>
      </c>
      <c r="P109" s="134"/>
      <c r="Q109" s="134" t="s">
        <v>1075</v>
      </c>
      <c r="R109" s="134"/>
      <c r="S109" s="134" t="s">
        <v>1038</v>
      </c>
      <c r="T109" s="134"/>
      <c r="U109" s="134" t="s">
        <v>1078</v>
      </c>
      <c r="V109" s="134"/>
      <c r="W109" s="134" t="s">
        <v>1036</v>
      </c>
      <c r="X109" s="134"/>
      <c r="Y109" s="134" t="s">
        <v>1041</v>
      </c>
      <c r="Z109" s="134"/>
      <c r="AA109" s="134" t="s">
        <v>1045</v>
      </c>
      <c r="AB109" s="134"/>
      <c r="AC109" s="134" t="s">
        <v>1050</v>
      </c>
      <c r="AD109" s="134"/>
      <c r="AE109" s="134" t="s">
        <v>1024</v>
      </c>
      <c r="AF109" s="134"/>
      <c r="AG109" s="134" t="s">
        <v>1054</v>
      </c>
      <c r="AH109" s="134"/>
      <c r="AI109" s="134" t="s">
        <v>1057</v>
      </c>
      <c r="AJ109" s="122"/>
      <c r="AK109" s="122"/>
    </row>
    <row r="110" spans="2:37">
      <c r="B110" s="118">
        <v>2</v>
      </c>
      <c r="C110" s="253" t="s">
        <v>1928</v>
      </c>
      <c r="D110" s="253"/>
      <c r="E110" s="253" t="s">
        <v>2035</v>
      </c>
      <c r="F110" s="253"/>
      <c r="G110" s="253" t="s">
        <v>2239</v>
      </c>
      <c r="H110" s="253"/>
      <c r="I110" s="253" t="s">
        <v>2431</v>
      </c>
      <c r="J110" s="253"/>
      <c r="K110" s="253" t="s">
        <v>2474</v>
      </c>
      <c r="L110" s="253"/>
      <c r="M110" s="253" t="s">
        <v>2769</v>
      </c>
      <c r="N110" s="253"/>
      <c r="O110" s="253" t="s">
        <v>2871</v>
      </c>
      <c r="P110" s="253"/>
      <c r="Q110" s="253" t="s">
        <v>2917</v>
      </c>
      <c r="R110" s="253"/>
      <c r="S110" s="253" t="s">
        <v>3165</v>
      </c>
      <c r="T110" s="253"/>
      <c r="U110" s="253" t="s">
        <v>3312</v>
      </c>
      <c r="V110" s="253"/>
      <c r="W110" s="253" t="s">
        <v>3471</v>
      </c>
      <c r="X110" s="253"/>
      <c r="Y110" s="253" t="s">
        <v>3679</v>
      </c>
      <c r="Z110" s="253"/>
      <c r="AA110" s="253" t="s">
        <v>3764</v>
      </c>
      <c r="AB110" s="253"/>
      <c r="AC110" s="253" t="s">
        <v>4101</v>
      </c>
      <c r="AD110" s="253"/>
      <c r="AE110" s="253" t="s">
        <v>4252</v>
      </c>
      <c r="AF110" s="253"/>
      <c r="AG110" s="253" t="s">
        <v>4429</v>
      </c>
      <c r="AH110" s="253"/>
      <c r="AI110" s="253" t="s">
        <v>4634</v>
      </c>
      <c r="AJ110" s="119"/>
      <c r="AK110" s="119"/>
    </row>
    <row r="111" spans="2:37">
      <c r="B111" s="118">
        <f>B110+1</f>
        <v>3</v>
      </c>
      <c r="C111" s="253" t="s">
        <v>1933</v>
      </c>
      <c r="D111" s="253"/>
      <c r="E111" s="253" t="s">
        <v>2039</v>
      </c>
      <c r="F111" s="253"/>
      <c r="G111" s="253" t="s">
        <v>2243</v>
      </c>
      <c r="H111" s="253"/>
      <c r="I111" s="253" t="s">
        <v>2436</v>
      </c>
      <c r="J111" s="253"/>
      <c r="K111" s="253" t="s">
        <v>2478</v>
      </c>
      <c r="L111" s="253"/>
      <c r="M111" s="253" t="s">
        <v>2773</v>
      </c>
      <c r="N111" s="253"/>
      <c r="O111" s="253" t="s">
        <v>2874</v>
      </c>
      <c r="P111" s="253"/>
      <c r="Q111" s="253" t="s">
        <v>2921</v>
      </c>
      <c r="R111" s="253"/>
      <c r="S111" s="253" t="s">
        <v>3154</v>
      </c>
      <c r="T111" s="253"/>
      <c r="U111" s="253" t="s">
        <v>3316</v>
      </c>
      <c r="V111" s="253"/>
      <c r="W111" s="253" t="s">
        <v>3474</v>
      </c>
      <c r="X111" s="253"/>
      <c r="Y111" s="253" t="s">
        <v>3665</v>
      </c>
      <c r="Z111" s="253"/>
      <c r="AA111" s="253" t="s">
        <v>3771</v>
      </c>
      <c r="AB111" s="253"/>
      <c r="AC111" s="253" t="s">
        <v>4098</v>
      </c>
      <c r="AD111" s="253"/>
      <c r="AE111" s="253" t="s">
        <v>4256</v>
      </c>
      <c r="AF111" s="253"/>
      <c r="AG111" s="253" t="s">
        <v>4426</v>
      </c>
      <c r="AH111" s="253"/>
      <c r="AI111" s="253" t="s">
        <v>4666</v>
      </c>
      <c r="AJ111" s="119"/>
      <c r="AK111" s="119"/>
    </row>
    <row r="112" spans="2:37">
      <c r="B112" s="118">
        <f>B111+1</f>
        <v>4</v>
      </c>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119"/>
      <c r="AK112" s="119"/>
    </row>
    <row r="113" spans="2:37">
      <c r="B113" s="134" t="s">
        <v>1131</v>
      </c>
      <c r="C113" s="134">
        <f>COUNTA(C110:C112)</f>
        <v>2</v>
      </c>
      <c r="D113" s="134"/>
      <c r="E113" s="134">
        <f>COUNTA(E110:E112)</f>
        <v>2</v>
      </c>
      <c r="F113" s="134"/>
      <c r="G113" s="134">
        <f>COUNTA(G110:G112)</f>
        <v>2</v>
      </c>
      <c r="H113" s="134"/>
      <c r="I113" s="134">
        <f>COUNTA(I110:I112)</f>
        <v>2</v>
      </c>
      <c r="J113" s="134"/>
      <c r="K113" s="134">
        <f>COUNTA(K110:K112)</f>
        <v>2</v>
      </c>
      <c r="L113" s="134"/>
      <c r="M113" s="134">
        <f>COUNTA(M110:M112)</f>
        <v>2</v>
      </c>
      <c r="N113" s="134"/>
      <c r="O113" s="134">
        <f>COUNTA(O110:O112)</f>
        <v>2</v>
      </c>
      <c r="P113" s="134"/>
      <c r="Q113" s="134">
        <f>COUNTA(Q110:Q112)</f>
        <v>2</v>
      </c>
      <c r="R113" s="134"/>
      <c r="S113" s="134">
        <f>COUNTA(S110:S112)</f>
        <v>2</v>
      </c>
      <c r="T113" s="134"/>
      <c r="U113" s="134">
        <f>COUNTA(U110:U112)</f>
        <v>2</v>
      </c>
      <c r="V113" s="134"/>
      <c r="W113" s="134">
        <f>COUNTA(W110:W112)</f>
        <v>2</v>
      </c>
      <c r="X113" s="134"/>
      <c r="Y113" s="134">
        <f>COUNTA(Y110:Y112)</f>
        <v>2</v>
      </c>
      <c r="Z113" s="134"/>
      <c r="AA113" s="134">
        <f>COUNTA(AA110:AA112)</f>
        <v>2</v>
      </c>
      <c r="AB113" s="134"/>
      <c r="AC113" s="134">
        <f>COUNTA(AC110:AC112)</f>
        <v>2</v>
      </c>
      <c r="AD113" s="134"/>
      <c r="AE113" s="134">
        <f>COUNTA(AE110:AE112)</f>
        <v>2</v>
      </c>
      <c r="AF113" s="134"/>
      <c r="AG113" s="134">
        <f>COUNTA(AG110:AG112)</f>
        <v>2</v>
      </c>
      <c r="AH113" s="134"/>
      <c r="AI113" s="134">
        <f>COUNTA(AI110:AI112)</f>
        <v>2</v>
      </c>
      <c r="AJ113" s="122"/>
      <c r="AK113" s="122">
        <f>SUM(C113:AI113)</f>
        <v>34</v>
      </c>
    </row>
    <row r="114" spans="2:37">
      <c r="B114" s="133"/>
      <c r="C114" s="133"/>
      <c r="D114" s="116"/>
      <c r="E114" s="133"/>
      <c r="F114" s="116"/>
      <c r="G114" s="133"/>
      <c r="H114" s="116"/>
      <c r="I114" s="133"/>
      <c r="J114" s="116"/>
      <c r="K114" s="133"/>
      <c r="L114" s="133"/>
      <c r="M114" s="133"/>
      <c r="N114" s="116"/>
      <c r="O114" s="133"/>
      <c r="P114" s="116"/>
      <c r="Q114" s="133"/>
      <c r="R114" s="116"/>
      <c r="S114" s="133"/>
      <c r="T114" s="116"/>
      <c r="U114" s="133"/>
      <c r="V114" s="116"/>
      <c r="W114" s="133"/>
      <c r="X114" s="116"/>
      <c r="Y114" s="133"/>
      <c r="Z114" s="116"/>
      <c r="AA114" s="133"/>
      <c r="AB114" s="116"/>
      <c r="AC114" s="133"/>
      <c r="AD114" s="116"/>
      <c r="AE114" s="133"/>
      <c r="AF114" s="116"/>
      <c r="AG114" s="133"/>
      <c r="AH114" s="116"/>
      <c r="AI114" s="133"/>
      <c r="AJ114" s="116"/>
      <c r="AK114" s="133"/>
    </row>
    <row r="115" spans="2:37">
      <c r="B115" s="128"/>
      <c r="C115" s="137" t="str">
        <f>C78</f>
        <v>AFW</v>
      </c>
      <c r="D115" s="137"/>
      <c r="E115" s="137" t="str">
        <f>E78</f>
        <v>ANH</v>
      </c>
      <c r="F115" s="137"/>
      <c r="G115" s="137" t="str">
        <f>G78</f>
        <v>BRL</v>
      </c>
      <c r="H115" s="137"/>
      <c r="I115" s="137" t="str">
        <f>I78</f>
        <v>HDD</v>
      </c>
      <c r="J115" s="137"/>
      <c r="K115" s="137" t="str">
        <f>K78</f>
        <v>NES</v>
      </c>
      <c r="L115" s="137"/>
      <c r="M115" s="137" t="str">
        <f>M78</f>
        <v>PRT</v>
      </c>
      <c r="N115" s="137"/>
      <c r="O115" s="137" t="str">
        <f>O78</f>
        <v>SES</v>
      </c>
      <c r="P115" s="137"/>
      <c r="Q115" s="137" t="str">
        <f>Q78</f>
        <v>SEW</v>
      </c>
      <c r="R115" s="137"/>
      <c r="S115" s="137" t="str">
        <f>S78</f>
        <v>SRN</v>
      </c>
      <c r="T115" s="137"/>
      <c r="U115" s="137" t="str">
        <f>U78</f>
        <v>SSC</v>
      </c>
      <c r="V115" s="137"/>
      <c r="W115" s="137" t="str">
        <f>W78</f>
        <v>SVE</v>
      </c>
      <c r="X115" s="137"/>
      <c r="Y115" s="137" t="str">
        <f>Y78</f>
        <v>SWB</v>
      </c>
      <c r="Z115" s="137"/>
      <c r="AA115" s="137" t="str">
        <f>AA78</f>
        <v>TMS</v>
      </c>
      <c r="AB115" s="137"/>
      <c r="AC115" s="137" t="str">
        <f>AC78</f>
        <v>UUW</v>
      </c>
      <c r="AD115" s="137"/>
      <c r="AE115" s="137" t="str">
        <f>AE78</f>
        <v>WSH</v>
      </c>
      <c r="AF115" s="137"/>
      <c r="AG115" s="137" t="str">
        <f>AG78</f>
        <v>WSX</v>
      </c>
      <c r="AH115" s="137"/>
      <c r="AI115" s="137" t="str">
        <f>AI78</f>
        <v>YKY</v>
      </c>
      <c r="AJ115" s="137"/>
      <c r="AK115" s="137"/>
    </row>
    <row r="116" spans="2:37" ht="39.4">
      <c r="B116" s="156" t="s">
        <v>4901</v>
      </c>
      <c r="C116" s="137">
        <f>(C54+C74+C105+C113) + VLOOKUP(C$78,$AB$8:$AC$24,2,0)</f>
        <v>28</v>
      </c>
      <c r="D116" s="127"/>
      <c r="E116" s="137">
        <f>(E54+E74+E105+E113) + VLOOKUP(E$78,$AB$8:$AC$24,2,0)</f>
        <v>44</v>
      </c>
      <c r="F116" s="127"/>
      <c r="G116" s="137">
        <f>(G54+G74+G105+G113) + VLOOKUP(G$78,$AB$8:$AC$24,2,0)</f>
        <v>29</v>
      </c>
      <c r="H116" s="127"/>
      <c r="I116" s="137">
        <f>(I54+I74+I105+I113) + VLOOKUP(I$78,$AB$8:$AC$24,2,0)</f>
        <v>31</v>
      </c>
      <c r="J116" s="127"/>
      <c r="K116" s="137">
        <f>(K54+K74+K105+K113) + VLOOKUP(K$78,$AB$8:$AC$24,2,0)</f>
        <v>50</v>
      </c>
      <c r="L116" s="127"/>
      <c r="M116" s="137">
        <f>(M54+M74+M105+M113) + VLOOKUP(M$78,$AB$8:$AC$24,2,0)</f>
        <v>26</v>
      </c>
      <c r="N116" s="127"/>
      <c r="O116" s="137">
        <f>(O54+O74+O105+O113) + VLOOKUP(O$78,$AB$8:$AC$24,2,0)</f>
        <v>25</v>
      </c>
      <c r="P116" s="127"/>
      <c r="Q116" s="137">
        <f>(Q54+Q74+Q105+Q113) + VLOOKUP(Q$78,$AB$8:$AC$24,2,0)</f>
        <v>38</v>
      </c>
      <c r="R116" s="127"/>
      <c r="S116" s="137">
        <f>(S54+S74+S105+S113) + VLOOKUP(S$78,$AB$8:$AC$24,2,0)</f>
        <v>47</v>
      </c>
      <c r="T116" s="127"/>
      <c r="U116" s="137">
        <f>(U54+U74+U105+U113) + VLOOKUP(U$78,$AB$8:$AC$24,2,0)</f>
        <v>30</v>
      </c>
      <c r="V116" s="127"/>
      <c r="W116" s="137">
        <f>(W54+W74+W105+W113) + VLOOKUP(W$78,$AB$8:$AC$24,2,0)</f>
        <v>41</v>
      </c>
      <c r="X116" s="127"/>
      <c r="Y116" s="137">
        <f>(Y54+Y74+Y105+Y113) + VLOOKUP(Y$78,$AB$8:$AC$24,2,0)</f>
        <v>44</v>
      </c>
      <c r="Z116" s="127"/>
      <c r="AA116" s="137">
        <f>(AA54+AA74+AA105+AA113) + VLOOKUP(AA$78,$AB$8:$AC$24,2,0)</f>
        <v>55</v>
      </c>
      <c r="AB116" s="127"/>
      <c r="AC116" s="137">
        <f>(AC54+AC74+AC105+AC113) + VLOOKUP(AC$78,$AB$8:$AC$24,2,0)</f>
        <v>47</v>
      </c>
      <c r="AD116" s="127"/>
      <c r="AE116" s="137">
        <f>(AE54+AE74+AE105+AE113) + VLOOKUP(AE$78,$AB$8:$AC$24,2,0)</f>
        <v>56</v>
      </c>
      <c r="AF116" s="127"/>
      <c r="AG116" s="137">
        <f>(AG54+AG74+AG105+AG113) + VLOOKUP(AG$78,$AB$8:$AC$24,2,0)</f>
        <v>46</v>
      </c>
      <c r="AH116" s="127"/>
      <c r="AI116" s="137">
        <f>(AI54+AI74+AI105+AI113) + VLOOKUP(AI$78,$AB$8:$AC$24,2,0)</f>
        <v>44</v>
      </c>
      <c r="AJ116" s="127"/>
      <c r="AK116" s="137">
        <f>SUM(C116:AI116)</f>
        <v>681</v>
      </c>
    </row>
    <row r="117" spans="2:37">
      <c r="B117" s="133" t="s">
        <v>4902</v>
      </c>
      <c r="C117" s="116">
        <f>C116-C119</f>
        <v>0</v>
      </c>
      <c r="E117" s="116">
        <f>E116-E119</f>
        <v>0</v>
      </c>
      <c r="G117" s="116">
        <f>G116-G119</f>
        <v>0</v>
      </c>
      <c r="I117" s="116">
        <f>I116-I119</f>
        <v>0</v>
      </c>
      <c r="K117" s="116">
        <f>K116-K119</f>
        <v>0</v>
      </c>
      <c r="M117" s="116">
        <f>M116-M119</f>
        <v>0</v>
      </c>
      <c r="O117" s="116">
        <f>O116-O119</f>
        <v>0</v>
      </c>
      <c r="Q117" s="116">
        <f>Q116-Q119</f>
        <v>0</v>
      </c>
      <c r="S117" s="116">
        <f>S116-S119</f>
        <v>0</v>
      </c>
      <c r="U117" s="116">
        <f>U116-U119</f>
        <v>0</v>
      </c>
      <c r="W117" s="116">
        <f>W116-W119</f>
        <v>0</v>
      </c>
      <c r="Y117" s="116">
        <f>Y116-Y119</f>
        <v>0</v>
      </c>
      <c r="AA117" s="116">
        <f>AA116-AA119</f>
        <v>0</v>
      </c>
      <c r="AC117" s="116">
        <f>AC116-AC119</f>
        <v>0</v>
      </c>
      <c r="AE117" s="116">
        <f>AE116-AE119</f>
        <v>0</v>
      </c>
      <c r="AG117" s="116">
        <f>AG116-AG119</f>
        <v>0</v>
      </c>
      <c r="AI117" s="116">
        <f>AI116-AI119</f>
        <v>0</v>
      </c>
      <c r="AK117" s="116">
        <f>AK116-AK119</f>
        <v>0</v>
      </c>
    </row>
    <row r="118" spans="2:37">
      <c r="B118" s="116"/>
      <c r="C118" s="116"/>
      <c r="I118" s="116"/>
      <c r="O118" s="116"/>
      <c r="W118" s="116"/>
      <c r="AA118" s="116"/>
      <c r="AC118" s="116"/>
      <c r="AG118" s="116"/>
      <c r="AI118" s="116"/>
    </row>
    <row r="119" spans="2:37" ht="52.5">
      <c r="B119" s="164" t="s">
        <v>4903</v>
      </c>
      <c r="C119" s="133">
        <v>28</v>
      </c>
      <c r="D119" s="133"/>
      <c r="E119" s="133">
        <v>44</v>
      </c>
      <c r="F119" s="133"/>
      <c r="G119" s="133">
        <v>29</v>
      </c>
      <c r="H119" s="133"/>
      <c r="I119" s="133">
        <v>31</v>
      </c>
      <c r="J119" s="133"/>
      <c r="K119" s="133">
        <v>50</v>
      </c>
      <c r="L119" s="133"/>
      <c r="M119" s="133">
        <v>26</v>
      </c>
      <c r="N119" s="133"/>
      <c r="O119" s="133">
        <v>25</v>
      </c>
      <c r="P119" s="133"/>
      <c r="Q119" s="133">
        <v>38</v>
      </c>
      <c r="R119" s="133"/>
      <c r="S119" s="133">
        <v>47</v>
      </c>
      <c r="T119" s="133"/>
      <c r="U119" s="133">
        <v>30</v>
      </c>
      <c r="V119" s="133"/>
      <c r="W119" s="133">
        <v>41</v>
      </c>
      <c r="X119" s="133"/>
      <c r="Y119" s="133">
        <v>44</v>
      </c>
      <c r="Z119" s="133"/>
      <c r="AA119" s="133">
        <v>55</v>
      </c>
      <c r="AB119" s="133"/>
      <c r="AC119" s="133">
        <v>47</v>
      </c>
      <c r="AD119" s="133"/>
      <c r="AE119" s="133">
        <v>56</v>
      </c>
      <c r="AF119" s="133"/>
      <c r="AG119" s="133">
        <v>46</v>
      </c>
      <c r="AH119" s="133"/>
      <c r="AI119" s="133">
        <v>44</v>
      </c>
      <c r="AK119" s="133">
        <v>681</v>
      </c>
    </row>
  </sheetData>
  <conditionalFormatting sqref="C117">
    <cfRule type="cellIs" dxfId="28" priority="18" operator="equal">
      <formula>0</formula>
    </cfRule>
  </conditionalFormatting>
  <conditionalFormatting sqref="E117">
    <cfRule type="cellIs" dxfId="27" priority="17" operator="equal">
      <formula>0</formula>
    </cfRule>
  </conditionalFormatting>
  <conditionalFormatting sqref="G117">
    <cfRule type="cellIs" dxfId="26" priority="16" operator="equal">
      <formula>0</formula>
    </cfRule>
  </conditionalFormatting>
  <conditionalFormatting sqref="I117">
    <cfRule type="cellIs" dxfId="25" priority="15" operator="equal">
      <formula>0</formula>
    </cfRule>
  </conditionalFormatting>
  <conditionalFormatting sqref="K117">
    <cfRule type="cellIs" dxfId="24" priority="14" operator="equal">
      <formula>0</formula>
    </cfRule>
  </conditionalFormatting>
  <conditionalFormatting sqref="M117">
    <cfRule type="cellIs" dxfId="23" priority="13" operator="equal">
      <formula>0</formula>
    </cfRule>
  </conditionalFormatting>
  <conditionalFormatting sqref="O117">
    <cfRule type="cellIs" dxfId="22" priority="12" operator="equal">
      <formula>0</formula>
    </cfRule>
  </conditionalFormatting>
  <conditionalFormatting sqref="Q117">
    <cfRule type="cellIs" dxfId="21" priority="11" operator="equal">
      <formula>0</formula>
    </cfRule>
  </conditionalFormatting>
  <conditionalFormatting sqref="S117">
    <cfRule type="cellIs" dxfId="20" priority="10" operator="equal">
      <formula>0</formula>
    </cfRule>
  </conditionalFormatting>
  <conditionalFormatting sqref="U117">
    <cfRule type="cellIs" dxfId="19" priority="9" operator="equal">
      <formula>0</formula>
    </cfRule>
  </conditionalFormatting>
  <conditionalFormatting sqref="W117">
    <cfRule type="cellIs" dxfId="18" priority="8" operator="equal">
      <formula>0</formula>
    </cfRule>
  </conditionalFormatting>
  <conditionalFormatting sqref="Y117">
    <cfRule type="cellIs" dxfId="17" priority="7" operator="equal">
      <formula>0</formula>
    </cfRule>
  </conditionalFormatting>
  <conditionalFormatting sqref="AA117">
    <cfRule type="cellIs" dxfId="16" priority="6" operator="equal">
      <formula>0</formula>
    </cfRule>
  </conditionalFormatting>
  <conditionalFormatting sqref="AC117">
    <cfRule type="cellIs" dxfId="15" priority="5" operator="equal">
      <formula>0</formula>
    </cfRule>
  </conditionalFormatting>
  <conditionalFormatting sqref="AE117">
    <cfRule type="cellIs" dxfId="14" priority="4" operator="equal">
      <formula>0</formula>
    </cfRule>
  </conditionalFormatting>
  <conditionalFormatting sqref="AG117">
    <cfRule type="cellIs" dxfId="13" priority="3" operator="equal">
      <formula>0</formula>
    </cfRule>
  </conditionalFormatting>
  <conditionalFormatting sqref="AI117">
    <cfRule type="cellIs" dxfId="12" priority="2" operator="equal">
      <formula>0</formula>
    </cfRule>
  </conditionalFormatting>
  <conditionalFormatting sqref="AK117">
    <cfRule type="cellIs" dxfId="1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EFA00-CAD4-4F21-B578-92708764E4CC}">
  <sheetPr>
    <pageSetUpPr fitToPage="1"/>
  </sheetPr>
  <dimension ref="A1:DC538"/>
  <sheetViews>
    <sheetView zoomScale="80" zoomScaleNormal="80" workbookViewId="0">
      <pane ySplit="9" topLeftCell="A10" activePane="bottomLeft" state="frozen"/>
      <selection activeCell="G4" sqref="G4"/>
      <selection pane="bottomLeft"/>
    </sheetView>
  </sheetViews>
  <sheetFormatPr defaultRowHeight="13.5"/>
  <cols>
    <col min="2" max="2" width="13.625" style="1237" customWidth="1"/>
    <col min="3" max="3" width="24.25" customWidth="1"/>
    <col min="4" max="4" width="43.375" style="1239" customWidth="1"/>
    <col min="5" max="5" width="12" style="1239" customWidth="1"/>
    <col min="6" max="6" width="13.375" style="1238" customWidth="1"/>
    <col min="7" max="7" width="12.375" style="1238" customWidth="1"/>
    <col min="8" max="8" width="45.375" style="1238" customWidth="1"/>
    <col min="9" max="9" width="9.125" style="1238" customWidth="1"/>
    <col min="10" max="10" width="12.125" style="1238" customWidth="1"/>
    <col min="11" max="11" width="17.75" style="1238" customWidth="1"/>
    <col min="12" max="12" width="95.625" style="1239" bestFit="1" customWidth="1"/>
    <col min="13" max="13" width="13.875" customWidth="1"/>
    <col min="14" max="14" width="10.625" bestFit="1" customWidth="1"/>
    <col min="15" max="15" width="10.5" bestFit="1" customWidth="1"/>
    <col min="16" max="16" width="10.75" customWidth="1"/>
    <col min="17" max="17" width="10.5" bestFit="1" customWidth="1"/>
  </cols>
  <sheetData>
    <row r="1" spans="1:107" s="46" customFormat="1" ht="32.25">
      <c r="A1" s="700" t="s">
        <v>4904</v>
      </c>
      <c r="B1" s="1241"/>
      <c r="C1" s="387"/>
      <c r="D1" s="1243"/>
      <c r="E1" s="1243"/>
      <c r="F1" s="1240"/>
      <c r="G1" s="1240"/>
      <c r="H1" s="1240"/>
      <c r="I1" s="1240"/>
      <c r="J1" s="1240"/>
      <c r="K1" s="1240"/>
      <c r="L1" s="1242"/>
      <c r="M1" s="390"/>
      <c r="N1" s="1554"/>
      <c r="O1" s="1554"/>
      <c r="P1" s="1555"/>
      <c r="Q1" s="1554"/>
      <c r="R1" s="1555"/>
      <c r="S1" s="1554"/>
      <c r="T1" s="1554"/>
      <c r="U1" s="1554"/>
      <c r="V1" s="1556"/>
      <c r="W1" s="1554"/>
      <c r="X1" s="1556"/>
      <c r="Y1" s="1555"/>
      <c r="Z1" s="1555"/>
      <c r="AA1" s="1555"/>
      <c r="AB1" s="1555"/>
      <c r="AC1" s="1555"/>
      <c r="AD1" s="1555"/>
      <c r="AE1" s="1554"/>
      <c r="AF1" s="1554"/>
      <c r="AG1" s="1554"/>
      <c r="AH1" s="1554"/>
      <c r="AI1" s="1554"/>
      <c r="AJ1" s="1554"/>
      <c r="AK1" s="1554"/>
      <c r="AL1" s="1554"/>
      <c r="AM1" s="1554"/>
      <c r="AN1" s="1554"/>
      <c r="AO1" s="1554"/>
      <c r="AP1" s="1554"/>
      <c r="AQ1" s="1557"/>
      <c r="AR1" s="1554"/>
      <c r="AS1" s="1554"/>
      <c r="AT1" s="1554"/>
      <c r="AU1" s="1554"/>
      <c r="AV1" s="1554"/>
      <c r="AW1" s="1554"/>
      <c r="AX1" s="1554"/>
      <c r="AY1" s="1554"/>
      <c r="AZ1" s="1554"/>
      <c r="BA1" s="1554"/>
      <c r="BB1" s="1554"/>
      <c r="BC1" s="1554"/>
      <c r="BD1" s="1554"/>
      <c r="BE1" s="1554"/>
      <c r="BF1" s="1554"/>
      <c r="BG1" s="1554"/>
      <c r="BH1" s="1554"/>
      <c r="BI1" s="1558"/>
      <c r="BJ1" s="1555"/>
      <c r="BK1" s="1555"/>
      <c r="BL1" s="1555"/>
      <c r="BM1" s="1555"/>
      <c r="BN1" s="1555"/>
      <c r="BO1" s="1556"/>
      <c r="BP1" s="1556"/>
      <c r="BQ1" s="1556"/>
      <c r="BR1" s="1556"/>
      <c r="BS1" s="1556"/>
      <c r="BT1" s="1556"/>
      <c r="BU1" s="1556"/>
      <c r="BV1" s="1556"/>
      <c r="BW1" s="1556"/>
      <c r="BX1" s="1556"/>
      <c r="BY1" s="1558"/>
      <c r="BZ1" s="1556"/>
      <c r="CA1" s="1556"/>
      <c r="CB1" s="1556"/>
      <c r="CC1" s="1556"/>
      <c r="CD1" s="1556"/>
      <c r="CE1" s="1556"/>
      <c r="CF1" s="1556"/>
      <c r="CG1" s="1556"/>
      <c r="CH1" s="1556"/>
      <c r="CI1" s="1556"/>
      <c r="CJ1" s="1556"/>
      <c r="CK1" s="1556"/>
      <c r="CL1" s="1556"/>
      <c r="CM1" s="1556"/>
      <c r="CN1" s="1556"/>
      <c r="CO1" s="1556"/>
      <c r="CP1" s="1556"/>
      <c r="CQ1" s="1556"/>
      <c r="CR1" s="1556"/>
      <c r="CS1" s="1559"/>
      <c r="CT1" s="1556"/>
      <c r="CU1" s="1556"/>
      <c r="CV1" s="1556"/>
      <c r="CW1" s="1556"/>
      <c r="CX1" s="1556"/>
      <c r="CY1" s="1556"/>
      <c r="CZ1" s="1556"/>
      <c r="DA1" s="1555"/>
      <c r="DB1" s="1556"/>
      <c r="DC1" s="1558"/>
    </row>
    <row r="2" spans="1:107" s="1378" customFormat="1" ht="14.25">
      <c r="A2" s="1378" t="s">
        <v>4905</v>
      </c>
      <c r="B2" s="1535"/>
      <c r="D2" s="1582" t="s">
        <v>4906</v>
      </c>
      <c r="E2" s="1582"/>
      <c r="F2" s="1583"/>
      <c r="G2" s="1583"/>
      <c r="H2" s="1583"/>
      <c r="I2" s="1583"/>
      <c r="J2" s="1583"/>
      <c r="K2" s="1583"/>
      <c r="L2" s="1582"/>
    </row>
    <row r="3" spans="1:107" s="1378" customFormat="1" ht="16.5" customHeight="1">
      <c r="A3" s="1584"/>
      <c r="B3" s="1535" t="s">
        <v>4907</v>
      </c>
      <c r="D3" s="1585" t="s">
        <v>4908</v>
      </c>
      <c r="E3" s="2153" t="s">
        <v>4909</v>
      </c>
      <c r="F3" s="2154"/>
      <c r="G3" s="1583"/>
      <c r="H3" s="1583"/>
      <c r="I3" s="1583"/>
      <c r="J3" s="1583"/>
      <c r="K3" s="1583"/>
      <c r="L3" s="1582"/>
    </row>
    <row r="4" spans="1:107" s="1378" customFormat="1" ht="14.25">
      <c r="A4" s="1586"/>
      <c r="B4" s="1535" t="s">
        <v>4910</v>
      </c>
      <c r="D4" s="1585"/>
      <c r="E4" s="1585"/>
      <c r="F4" s="1583"/>
      <c r="G4" s="1583"/>
      <c r="H4" s="1583"/>
      <c r="I4" s="1583"/>
      <c r="J4" s="1583"/>
      <c r="K4" s="1583"/>
      <c r="L4" s="1582"/>
    </row>
    <row r="5" spans="1:107" s="1378" customFormat="1" ht="14.25">
      <c r="A5" s="1587"/>
      <c r="B5" s="1535" t="s">
        <v>4911</v>
      </c>
      <c r="D5" s="1585"/>
      <c r="E5" s="1585"/>
      <c r="F5" s="1583"/>
      <c r="G5" s="1583"/>
      <c r="H5" s="1583"/>
      <c r="I5" s="1583"/>
      <c r="J5" s="1583"/>
      <c r="K5" s="1583"/>
      <c r="L5" s="1582"/>
    </row>
    <row r="6" spans="1:107" s="1378" customFormat="1" ht="14.25">
      <c r="A6" s="1948"/>
      <c r="B6" s="1535" t="s">
        <v>4912</v>
      </c>
      <c r="D6" s="1582"/>
      <c r="E6" s="1582"/>
      <c r="F6" s="1583"/>
      <c r="G6" s="1583"/>
      <c r="H6" s="1583"/>
      <c r="I6" s="1583"/>
      <c r="J6" s="1583"/>
      <c r="K6" s="1583"/>
      <c r="L6" s="1582"/>
    </row>
    <row r="7" spans="1:107" s="1378" customFormat="1" ht="14.25">
      <c r="A7" s="2029"/>
      <c r="B7" s="1535" t="s">
        <v>4913</v>
      </c>
      <c r="D7" s="1582"/>
      <c r="E7" s="1582"/>
      <c r="F7" s="1583"/>
      <c r="G7" s="1583"/>
      <c r="H7" s="1583"/>
      <c r="I7" s="1583"/>
      <c r="J7" s="1583"/>
      <c r="K7" s="1583"/>
      <c r="L7" s="1582"/>
    </row>
    <row r="8" spans="1:107" s="1378" customFormat="1" ht="14.25">
      <c r="A8" s="2028"/>
      <c r="B8" s="1535"/>
      <c r="D8" s="1582"/>
      <c r="E8" s="1582"/>
      <c r="F8" s="1583"/>
      <c r="G8" s="1583"/>
      <c r="H8" s="1583"/>
      <c r="I8" s="1583"/>
      <c r="J8" s="1583"/>
      <c r="K8" s="1583"/>
      <c r="L8" s="1582"/>
    </row>
    <row r="9" spans="1:107" s="1378" customFormat="1" ht="28.5">
      <c r="A9" s="1588" t="s">
        <v>393</v>
      </c>
      <c r="B9" s="1589" t="s">
        <v>4914</v>
      </c>
      <c r="C9" s="1588" t="s">
        <v>1566</v>
      </c>
      <c r="D9" s="1590" t="s">
        <v>4915</v>
      </c>
      <c r="E9" s="1590" t="s">
        <v>4916</v>
      </c>
      <c r="F9" s="1591" t="s">
        <v>4917</v>
      </c>
      <c r="G9" s="1592" t="s">
        <v>4918</v>
      </c>
      <c r="H9" s="1592" t="s">
        <v>4919</v>
      </c>
      <c r="I9" s="1591" t="s">
        <v>4920</v>
      </c>
      <c r="J9" s="1591" t="s">
        <v>4921</v>
      </c>
      <c r="K9" s="1591" t="s">
        <v>4922</v>
      </c>
      <c r="L9" s="1590" t="s">
        <v>4923</v>
      </c>
      <c r="M9" s="1588" t="s">
        <v>4924</v>
      </c>
    </row>
    <row r="10" spans="1:107" s="1378" customFormat="1" ht="14.25">
      <c r="A10" s="1581">
        <v>1</v>
      </c>
      <c r="B10" s="1593" t="s">
        <v>1015</v>
      </c>
      <c r="C10" s="1594" t="s">
        <v>2041</v>
      </c>
      <c r="D10" s="1594" t="s">
        <v>4925</v>
      </c>
      <c r="E10" s="1594" t="s">
        <v>4926</v>
      </c>
      <c r="F10" s="1581" t="s">
        <v>4927</v>
      </c>
      <c r="G10" s="1581">
        <v>77</v>
      </c>
      <c r="H10" s="1581" t="s">
        <v>1827</v>
      </c>
      <c r="I10" s="1581" t="s">
        <v>1027</v>
      </c>
      <c r="J10" s="1595">
        <v>2</v>
      </c>
      <c r="K10" s="1595">
        <v>1.5</v>
      </c>
      <c r="L10" s="1594" t="s">
        <v>4928</v>
      </c>
      <c r="M10" s="1596">
        <v>44287</v>
      </c>
    </row>
    <row r="11" spans="1:107" s="1378" customFormat="1" ht="14.25">
      <c r="A11" s="1581">
        <v>2</v>
      </c>
      <c r="B11" s="1593" t="s">
        <v>1015</v>
      </c>
      <c r="C11" s="1594" t="s">
        <v>2041</v>
      </c>
      <c r="D11" s="1594" t="s">
        <v>4925</v>
      </c>
      <c r="E11" s="1594" t="s">
        <v>4926</v>
      </c>
      <c r="F11" s="1581" t="s">
        <v>4927</v>
      </c>
      <c r="G11" s="1581">
        <v>77</v>
      </c>
      <c r="H11" s="1581" t="s">
        <v>1827</v>
      </c>
      <c r="I11" s="1581" t="s">
        <v>88</v>
      </c>
      <c r="J11" s="1595">
        <v>2</v>
      </c>
      <c r="K11" s="1595">
        <v>1.5</v>
      </c>
      <c r="L11" s="1594" t="s">
        <v>4928</v>
      </c>
      <c r="M11" s="1596">
        <v>44287</v>
      </c>
    </row>
    <row r="12" spans="1:107" s="1378" customFormat="1" ht="14.25">
      <c r="A12" s="1581">
        <v>3</v>
      </c>
      <c r="B12" s="1593" t="s">
        <v>1015</v>
      </c>
      <c r="C12" s="1594" t="s">
        <v>2041</v>
      </c>
      <c r="D12" s="1594" t="s">
        <v>4925</v>
      </c>
      <c r="E12" s="1594" t="s">
        <v>4926</v>
      </c>
      <c r="F12" s="1581" t="s">
        <v>4927</v>
      </c>
      <c r="G12" s="1581">
        <v>77</v>
      </c>
      <c r="H12" s="1581" t="s">
        <v>1827</v>
      </c>
      <c r="I12" s="1581" t="s">
        <v>1034</v>
      </c>
      <c r="J12" s="1595">
        <v>2</v>
      </c>
      <c r="K12" s="1595">
        <v>1.5</v>
      </c>
      <c r="L12" s="1594" t="s">
        <v>4928</v>
      </c>
      <c r="M12" s="1596">
        <v>44287</v>
      </c>
    </row>
    <row r="13" spans="1:107" s="1378" customFormat="1" ht="14.25">
      <c r="A13" s="1581">
        <v>4</v>
      </c>
      <c r="B13" s="1593" t="s">
        <v>1015</v>
      </c>
      <c r="C13" s="1594" t="s">
        <v>2048</v>
      </c>
      <c r="D13" s="1594" t="s">
        <v>669</v>
      </c>
      <c r="E13" s="1594" t="s">
        <v>4926</v>
      </c>
      <c r="F13" s="1581" t="s">
        <v>4927</v>
      </c>
      <c r="G13" s="1581">
        <v>92</v>
      </c>
      <c r="H13" s="1581" t="s">
        <v>1830</v>
      </c>
      <c r="I13" s="1581" t="s">
        <v>1012</v>
      </c>
      <c r="J13" s="1595" t="s">
        <v>4805</v>
      </c>
      <c r="K13" s="1595" t="s">
        <v>4929</v>
      </c>
      <c r="L13" s="1594" t="s">
        <v>4930</v>
      </c>
      <c r="M13" s="1596">
        <v>44287</v>
      </c>
    </row>
    <row r="14" spans="1:107" s="1378" customFormat="1" ht="14.25">
      <c r="A14" s="1581">
        <v>5</v>
      </c>
      <c r="B14" s="1593" t="s">
        <v>1015</v>
      </c>
      <c r="C14" s="1594" t="s">
        <v>2048</v>
      </c>
      <c r="D14" s="1594" t="s">
        <v>669</v>
      </c>
      <c r="E14" s="1594" t="s">
        <v>4926</v>
      </c>
      <c r="F14" s="1581" t="s">
        <v>4927</v>
      </c>
      <c r="G14" s="1581">
        <v>92</v>
      </c>
      <c r="H14" s="1581" t="s">
        <v>1830</v>
      </c>
      <c r="I14" s="1581" t="s">
        <v>1022</v>
      </c>
      <c r="J14" s="1595" t="s">
        <v>4805</v>
      </c>
      <c r="K14" s="1595" t="s">
        <v>4929</v>
      </c>
      <c r="L14" s="1594" t="s">
        <v>4930</v>
      </c>
      <c r="M14" s="1596">
        <v>44287</v>
      </c>
    </row>
    <row r="15" spans="1:107" s="1378" customFormat="1" ht="14.25">
      <c r="A15" s="1581">
        <v>6</v>
      </c>
      <c r="B15" s="1593" t="s">
        <v>1015</v>
      </c>
      <c r="C15" s="1594" t="s">
        <v>2048</v>
      </c>
      <c r="D15" s="1594" t="s">
        <v>669</v>
      </c>
      <c r="E15" s="1594" t="s">
        <v>4926</v>
      </c>
      <c r="F15" s="1581" t="s">
        <v>4927</v>
      </c>
      <c r="G15" s="1581">
        <v>92</v>
      </c>
      <c r="H15" s="1581" t="s">
        <v>1830</v>
      </c>
      <c r="I15" s="1581" t="s">
        <v>1027</v>
      </c>
      <c r="J15" s="1595" t="s">
        <v>4805</v>
      </c>
      <c r="K15" s="1595" t="s">
        <v>4929</v>
      </c>
      <c r="L15" s="1594" t="s">
        <v>4930</v>
      </c>
      <c r="M15" s="1596">
        <v>44287</v>
      </c>
    </row>
    <row r="16" spans="1:107" s="1378" customFormat="1" ht="14.25">
      <c r="A16" s="1581">
        <v>7</v>
      </c>
      <c r="B16" s="1593" t="s">
        <v>1015</v>
      </c>
      <c r="C16" s="1594" t="s">
        <v>2048</v>
      </c>
      <c r="D16" s="1594" t="s">
        <v>669</v>
      </c>
      <c r="E16" s="1594" t="s">
        <v>4926</v>
      </c>
      <c r="F16" s="1581" t="s">
        <v>4927</v>
      </c>
      <c r="G16" s="1581">
        <v>92</v>
      </c>
      <c r="H16" s="1581" t="s">
        <v>1830</v>
      </c>
      <c r="I16" s="1581" t="s">
        <v>88</v>
      </c>
      <c r="J16" s="1595" t="s">
        <v>4805</v>
      </c>
      <c r="K16" s="1595" t="s">
        <v>4929</v>
      </c>
      <c r="L16" s="1594" t="s">
        <v>4930</v>
      </c>
      <c r="M16" s="1596">
        <v>44287</v>
      </c>
    </row>
    <row r="17" spans="1:13" s="1378" customFormat="1" ht="14.25">
      <c r="A17" s="1581">
        <v>8</v>
      </c>
      <c r="B17" s="1593" t="s">
        <v>1015</v>
      </c>
      <c r="C17" s="1594" t="s">
        <v>2048</v>
      </c>
      <c r="D17" s="1594" t="s">
        <v>669</v>
      </c>
      <c r="E17" s="1594" t="s">
        <v>4926</v>
      </c>
      <c r="F17" s="1581" t="s">
        <v>4927</v>
      </c>
      <c r="G17" s="1581">
        <v>92</v>
      </c>
      <c r="H17" s="1581" t="s">
        <v>1830</v>
      </c>
      <c r="I17" s="1581" t="s">
        <v>1034</v>
      </c>
      <c r="J17" s="1595" t="s">
        <v>4805</v>
      </c>
      <c r="K17" s="1595" t="s">
        <v>4929</v>
      </c>
      <c r="L17" s="1594" t="s">
        <v>4930</v>
      </c>
      <c r="M17" s="1596">
        <v>44287</v>
      </c>
    </row>
    <row r="18" spans="1:13" s="1378" customFormat="1" ht="42.75">
      <c r="A18" s="1581">
        <v>9</v>
      </c>
      <c r="B18" s="1593" t="s">
        <v>1015</v>
      </c>
      <c r="C18" s="1594" t="s">
        <v>2048</v>
      </c>
      <c r="D18" s="1594" t="s">
        <v>669</v>
      </c>
      <c r="E18" s="1594" t="s">
        <v>4926</v>
      </c>
      <c r="F18" s="1581" t="s">
        <v>4927</v>
      </c>
      <c r="G18" s="1581">
        <v>97</v>
      </c>
      <c r="H18" s="1597" t="s">
        <v>1877</v>
      </c>
      <c r="I18" s="1581" t="s">
        <v>1079</v>
      </c>
      <c r="J18" s="1595">
        <v>-0.28038099999999999</v>
      </c>
      <c r="K18" s="1595">
        <v>-0.7</v>
      </c>
      <c r="L18" s="1594" t="s">
        <v>4931</v>
      </c>
      <c r="M18" s="1596">
        <v>44287</v>
      </c>
    </row>
    <row r="19" spans="1:13" s="1378" customFormat="1" ht="14.25">
      <c r="A19" s="1581">
        <v>10</v>
      </c>
      <c r="B19" s="1593" t="s">
        <v>1015</v>
      </c>
      <c r="C19" s="1594" t="s">
        <v>2048</v>
      </c>
      <c r="D19" s="1594" t="s">
        <v>669</v>
      </c>
      <c r="E19" s="1594" t="s">
        <v>4926</v>
      </c>
      <c r="F19" s="1581" t="s">
        <v>4927</v>
      </c>
      <c r="G19" s="1581">
        <v>100</v>
      </c>
      <c r="H19" s="1581" t="s">
        <v>1879</v>
      </c>
      <c r="I19" s="1581" t="s">
        <v>1079</v>
      </c>
      <c r="J19" s="1595">
        <v>-0.78239599999999998</v>
      </c>
      <c r="K19" s="1595" t="s">
        <v>4929</v>
      </c>
      <c r="L19" s="1594" t="s">
        <v>4932</v>
      </c>
      <c r="M19" s="1596">
        <v>44287</v>
      </c>
    </row>
    <row r="20" spans="1:13" s="1378" customFormat="1" ht="14.25">
      <c r="A20" s="1581">
        <v>11</v>
      </c>
      <c r="B20" s="1593" t="s">
        <v>1015</v>
      </c>
      <c r="C20" s="1594" t="s">
        <v>2048</v>
      </c>
      <c r="D20" s="1594" t="s">
        <v>669</v>
      </c>
      <c r="E20" s="1594" t="s">
        <v>4926</v>
      </c>
      <c r="F20" s="1581" t="s">
        <v>4927</v>
      </c>
      <c r="G20" s="1581">
        <v>104</v>
      </c>
      <c r="H20" s="1581" t="s">
        <v>1883</v>
      </c>
      <c r="I20" s="1581" t="s">
        <v>1079</v>
      </c>
      <c r="J20" s="1595">
        <v>0.78239599999999998</v>
      </c>
      <c r="K20" s="1595" t="s">
        <v>4929</v>
      </c>
      <c r="L20" s="1594" t="s">
        <v>4932</v>
      </c>
      <c r="M20" s="1596">
        <v>44287</v>
      </c>
    </row>
    <row r="21" spans="1:13" s="1378" customFormat="1" ht="14.25">
      <c r="A21" s="1581">
        <v>12</v>
      </c>
      <c r="B21" s="1593" t="s">
        <v>1015</v>
      </c>
      <c r="C21" s="1594" t="s">
        <v>2060</v>
      </c>
      <c r="D21" s="1594" t="s">
        <v>736</v>
      </c>
      <c r="E21" s="1594" t="s">
        <v>4926</v>
      </c>
      <c r="F21" s="1581" t="s">
        <v>4927</v>
      </c>
      <c r="G21" s="1581">
        <v>72</v>
      </c>
      <c r="H21" s="1581" t="s">
        <v>1826</v>
      </c>
      <c r="I21" s="1581" t="s">
        <v>1012</v>
      </c>
      <c r="J21" s="1595">
        <v>36.756999999999998</v>
      </c>
      <c r="K21" s="1595">
        <v>41.6</v>
      </c>
      <c r="L21" s="1594" t="s">
        <v>4933</v>
      </c>
      <c r="M21" s="1596">
        <v>44287</v>
      </c>
    </row>
    <row r="22" spans="1:13" s="1378" customFormat="1" ht="14.25">
      <c r="A22" s="1581">
        <v>13</v>
      </c>
      <c r="B22" s="1593" t="s">
        <v>1015</v>
      </c>
      <c r="C22" s="1594" t="s">
        <v>2060</v>
      </c>
      <c r="D22" s="1594" t="s">
        <v>736</v>
      </c>
      <c r="E22" s="1594" t="s">
        <v>4926</v>
      </c>
      <c r="F22" s="1581" t="s">
        <v>4927</v>
      </c>
      <c r="G22" s="1581">
        <v>72</v>
      </c>
      <c r="H22" s="1581" t="s">
        <v>1826</v>
      </c>
      <c r="I22" s="1581" t="s">
        <v>1022</v>
      </c>
      <c r="J22" s="1595">
        <v>36.756999999999998</v>
      </c>
      <c r="K22" s="1595">
        <v>41.6</v>
      </c>
      <c r="L22" s="1594" t="s">
        <v>4933</v>
      </c>
      <c r="M22" s="1596">
        <v>44287</v>
      </c>
    </row>
    <row r="23" spans="1:13" s="1378" customFormat="1" ht="14.25">
      <c r="A23" s="1581">
        <v>14</v>
      </c>
      <c r="B23" s="1593" t="s">
        <v>1015</v>
      </c>
      <c r="C23" s="1594" t="s">
        <v>2060</v>
      </c>
      <c r="D23" s="1594" t="s">
        <v>736</v>
      </c>
      <c r="E23" s="1594" t="s">
        <v>4926</v>
      </c>
      <c r="F23" s="1581" t="s">
        <v>4927</v>
      </c>
      <c r="G23" s="1581">
        <v>72</v>
      </c>
      <c r="H23" s="1581" t="s">
        <v>1826</v>
      </c>
      <c r="I23" s="1581" t="s">
        <v>1027</v>
      </c>
      <c r="J23" s="1595">
        <v>36.756999999999998</v>
      </c>
      <c r="K23" s="1595">
        <v>41.6</v>
      </c>
      <c r="L23" s="1594" t="s">
        <v>4933</v>
      </c>
      <c r="M23" s="1596">
        <v>44287</v>
      </c>
    </row>
    <row r="24" spans="1:13" s="1378" customFormat="1" ht="14.25">
      <c r="A24" s="1581">
        <v>15</v>
      </c>
      <c r="B24" s="1593" t="s">
        <v>1015</v>
      </c>
      <c r="C24" s="1594" t="s">
        <v>2060</v>
      </c>
      <c r="D24" s="1594" t="s">
        <v>736</v>
      </c>
      <c r="E24" s="1594" t="s">
        <v>4926</v>
      </c>
      <c r="F24" s="1581" t="s">
        <v>4927</v>
      </c>
      <c r="G24" s="1581">
        <v>72</v>
      </c>
      <c r="H24" s="1581" t="s">
        <v>1826</v>
      </c>
      <c r="I24" s="1581" t="s">
        <v>88</v>
      </c>
      <c r="J24" s="1595">
        <v>36.756999999999998</v>
      </c>
      <c r="K24" s="1595">
        <v>41.6</v>
      </c>
      <c r="L24" s="1594" t="s">
        <v>4933</v>
      </c>
      <c r="M24" s="1596">
        <v>44287</v>
      </c>
    </row>
    <row r="25" spans="1:13" s="1378" customFormat="1" ht="14.25">
      <c r="A25" s="1581">
        <v>16</v>
      </c>
      <c r="B25" s="1593" t="s">
        <v>1015</v>
      </c>
      <c r="C25" s="1594" t="s">
        <v>2060</v>
      </c>
      <c r="D25" s="1594" t="s">
        <v>736</v>
      </c>
      <c r="E25" s="1594" t="s">
        <v>4926</v>
      </c>
      <c r="F25" s="1581" t="s">
        <v>4927</v>
      </c>
      <c r="G25" s="1581">
        <v>72</v>
      </c>
      <c r="H25" s="1581" t="s">
        <v>1826</v>
      </c>
      <c r="I25" s="1581" t="s">
        <v>1034</v>
      </c>
      <c r="J25" s="1595">
        <v>36.756999999999998</v>
      </c>
      <c r="K25" s="1595">
        <v>41.6</v>
      </c>
      <c r="L25" s="1594" t="s">
        <v>4933</v>
      </c>
      <c r="M25" s="1596">
        <v>44287</v>
      </c>
    </row>
    <row r="26" spans="1:13" s="1378" customFormat="1" ht="14.25">
      <c r="A26" s="1581">
        <v>17</v>
      </c>
      <c r="B26" s="1593" t="s">
        <v>1015</v>
      </c>
      <c r="C26" s="1594" t="s">
        <v>2071</v>
      </c>
      <c r="D26" s="1594" t="s">
        <v>4934</v>
      </c>
      <c r="E26" s="1594" t="s">
        <v>4926</v>
      </c>
      <c r="F26" s="1581" t="s">
        <v>4927</v>
      </c>
      <c r="G26" s="1581">
        <v>77</v>
      </c>
      <c r="H26" s="1581" t="s">
        <v>1827</v>
      </c>
      <c r="I26" s="1581" t="s">
        <v>1012</v>
      </c>
      <c r="J26" s="1595" t="s">
        <v>4929</v>
      </c>
      <c r="K26" s="1595">
        <v>150.1</v>
      </c>
      <c r="L26" s="1594" t="s">
        <v>4935</v>
      </c>
      <c r="M26" s="1596">
        <v>44287</v>
      </c>
    </row>
    <row r="27" spans="1:13" s="1378" customFormat="1" ht="14.25">
      <c r="A27" s="1581">
        <v>18</v>
      </c>
      <c r="B27" s="1593" t="s">
        <v>1015</v>
      </c>
      <c r="C27" s="1594" t="s">
        <v>2071</v>
      </c>
      <c r="D27" s="1594" t="s">
        <v>4934</v>
      </c>
      <c r="E27" s="1594" t="s">
        <v>4926</v>
      </c>
      <c r="F27" s="1581" t="s">
        <v>4927</v>
      </c>
      <c r="G27" s="1581">
        <v>77</v>
      </c>
      <c r="H27" s="1581" t="s">
        <v>1827</v>
      </c>
      <c r="I27" s="1581" t="s">
        <v>1022</v>
      </c>
      <c r="J27" s="1595" t="s">
        <v>4929</v>
      </c>
      <c r="K27" s="1595">
        <v>148.1</v>
      </c>
      <c r="L27" s="1594" t="s">
        <v>4935</v>
      </c>
      <c r="M27" s="1596">
        <v>44287</v>
      </c>
    </row>
    <row r="28" spans="1:13" s="1378" customFormat="1" ht="14.25">
      <c r="A28" s="1581">
        <v>19</v>
      </c>
      <c r="B28" s="1593" t="s">
        <v>1015</v>
      </c>
      <c r="C28" s="1594" t="s">
        <v>2071</v>
      </c>
      <c r="D28" s="1594" t="s">
        <v>4934</v>
      </c>
      <c r="E28" s="1594" t="s">
        <v>4926</v>
      </c>
      <c r="F28" s="1581" t="s">
        <v>4927</v>
      </c>
      <c r="G28" s="1581">
        <v>77</v>
      </c>
      <c r="H28" s="1581" t="s">
        <v>1827</v>
      </c>
      <c r="I28" s="1581" t="s">
        <v>1027</v>
      </c>
      <c r="J28" s="1595" t="s">
        <v>4929</v>
      </c>
      <c r="K28" s="1595">
        <v>146.19999999999999</v>
      </c>
      <c r="L28" s="1594" t="s">
        <v>4935</v>
      </c>
      <c r="M28" s="1596">
        <v>44287</v>
      </c>
    </row>
    <row r="29" spans="1:13" s="1378" customFormat="1" ht="14.25">
      <c r="A29" s="1581">
        <v>20</v>
      </c>
      <c r="B29" s="1593" t="s">
        <v>1015</v>
      </c>
      <c r="C29" s="1594" t="s">
        <v>2071</v>
      </c>
      <c r="D29" s="1594" t="s">
        <v>4934</v>
      </c>
      <c r="E29" s="1594" t="s">
        <v>4926</v>
      </c>
      <c r="F29" s="1581" t="s">
        <v>4927</v>
      </c>
      <c r="G29" s="1581">
        <v>77</v>
      </c>
      <c r="H29" s="1581" t="s">
        <v>1827</v>
      </c>
      <c r="I29" s="1581" t="s">
        <v>88</v>
      </c>
      <c r="J29" s="1595" t="s">
        <v>4929</v>
      </c>
      <c r="K29" s="1595">
        <v>144.19999999999999</v>
      </c>
      <c r="L29" s="1594" t="s">
        <v>4935</v>
      </c>
      <c r="M29" s="1596">
        <v>44287</v>
      </c>
    </row>
    <row r="30" spans="1:13" s="1378" customFormat="1" ht="14.25">
      <c r="A30" s="1581">
        <v>21</v>
      </c>
      <c r="B30" s="1593" t="s">
        <v>1015</v>
      </c>
      <c r="C30" s="1594" t="s">
        <v>2071</v>
      </c>
      <c r="D30" s="1594" t="s">
        <v>4934</v>
      </c>
      <c r="E30" s="1594" t="s">
        <v>4926</v>
      </c>
      <c r="F30" s="1581" t="s">
        <v>4927</v>
      </c>
      <c r="G30" s="1581">
        <v>77</v>
      </c>
      <c r="H30" s="1581" t="s">
        <v>1827</v>
      </c>
      <c r="I30" s="1581" t="s">
        <v>1034</v>
      </c>
      <c r="J30" s="1595" t="s">
        <v>4929</v>
      </c>
      <c r="K30" s="1595">
        <v>142.30000000000001</v>
      </c>
      <c r="L30" s="1594" t="s">
        <v>4935</v>
      </c>
      <c r="M30" s="1596">
        <v>44287</v>
      </c>
    </row>
    <row r="31" spans="1:13" s="1378" customFormat="1" ht="14.25">
      <c r="A31" s="1581">
        <v>22</v>
      </c>
      <c r="B31" s="1593" t="s">
        <v>1015</v>
      </c>
      <c r="C31" s="1594" t="s">
        <v>2076</v>
      </c>
      <c r="D31" s="1594" t="s">
        <v>4936</v>
      </c>
      <c r="E31" s="1594" t="s">
        <v>4926</v>
      </c>
      <c r="F31" s="1581" t="s">
        <v>4927</v>
      </c>
      <c r="G31" s="1581">
        <v>77</v>
      </c>
      <c r="H31" s="1581" t="s">
        <v>1827</v>
      </c>
      <c r="I31" s="1581" t="s">
        <v>1012</v>
      </c>
      <c r="J31" s="1595" t="s">
        <v>4929</v>
      </c>
      <c r="K31" s="1595">
        <v>2.81</v>
      </c>
      <c r="L31" s="1594" t="s">
        <v>4937</v>
      </c>
      <c r="M31" s="1596">
        <v>44287</v>
      </c>
    </row>
    <row r="32" spans="1:13" s="1378" customFormat="1" ht="14.25">
      <c r="A32" s="1581">
        <v>23</v>
      </c>
      <c r="B32" s="1593" t="s">
        <v>1015</v>
      </c>
      <c r="C32" s="1594" t="s">
        <v>2076</v>
      </c>
      <c r="D32" s="1594" t="s">
        <v>4936</v>
      </c>
      <c r="E32" s="1594" t="s">
        <v>4926</v>
      </c>
      <c r="F32" s="1581" t="s">
        <v>4927</v>
      </c>
      <c r="G32" s="1581">
        <v>77</v>
      </c>
      <c r="H32" s="1581" t="s">
        <v>1827</v>
      </c>
      <c r="I32" s="1581" t="s">
        <v>1022</v>
      </c>
      <c r="J32" s="1595" t="s">
        <v>4929</v>
      </c>
      <c r="K32" s="1595">
        <v>2.81</v>
      </c>
      <c r="L32" s="1594" t="s">
        <v>4937</v>
      </c>
      <c r="M32" s="1596">
        <v>44287</v>
      </c>
    </row>
    <row r="33" spans="1:13" s="1378" customFormat="1" ht="14.25">
      <c r="A33" s="1581">
        <v>24</v>
      </c>
      <c r="B33" s="1593" t="s">
        <v>1015</v>
      </c>
      <c r="C33" s="1594" t="s">
        <v>2076</v>
      </c>
      <c r="D33" s="1594" t="s">
        <v>4936</v>
      </c>
      <c r="E33" s="1594" t="s">
        <v>4926</v>
      </c>
      <c r="F33" s="1581" t="s">
        <v>4927</v>
      </c>
      <c r="G33" s="1581">
        <v>77</v>
      </c>
      <c r="H33" s="1581" t="s">
        <v>1827</v>
      </c>
      <c r="I33" s="1581" t="s">
        <v>1027</v>
      </c>
      <c r="J33" s="1595" t="s">
        <v>4929</v>
      </c>
      <c r="K33" s="1595">
        <v>2.81</v>
      </c>
      <c r="L33" s="1594" t="s">
        <v>4937</v>
      </c>
      <c r="M33" s="1596">
        <v>44287</v>
      </c>
    </row>
    <row r="34" spans="1:13" s="1378" customFormat="1" ht="14.25">
      <c r="A34" s="1581">
        <v>25</v>
      </c>
      <c r="B34" s="1593" t="s">
        <v>1015</v>
      </c>
      <c r="C34" s="1594" t="s">
        <v>2076</v>
      </c>
      <c r="D34" s="1594" t="s">
        <v>4936</v>
      </c>
      <c r="E34" s="1594" t="s">
        <v>4926</v>
      </c>
      <c r="F34" s="1581" t="s">
        <v>4927</v>
      </c>
      <c r="G34" s="1581">
        <v>77</v>
      </c>
      <c r="H34" s="1581" t="s">
        <v>1827</v>
      </c>
      <c r="I34" s="1581" t="s">
        <v>88</v>
      </c>
      <c r="J34" s="1595" t="s">
        <v>4929</v>
      </c>
      <c r="K34" s="1595">
        <v>2.81</v>
      </c>
      <c r="L34" s="1594" t="s">
        <v>4937</v>
      </c>
      <c r="M34" s="1596">
        <v>44287</v>
      </c>
    </row>
    <row r="35" spans="1:13" s="1378" customFormat="1" ht="14.25">
      <c r="A35" s="1581">
        <v>26</v>
      </c>
      <c r="B35" s="1593" t="s">
        <v>1015</v>
      </c>
      <c r="C35" s="1594" t="s">
        <v>2076</v>
      </c>
      <c r="D35" s="1594" t="s">
        <v>4936</v>
      </c>
      <c r="E35" s="1594" t="s">
        <v>4926</v>
      </c>
      <c r="F35" s="1581" t="s">
        <v>4927</v>
      </c>
      <c r="G35" s="1581">
        <v>77</v>
      </c>
      <c r="H35" s="1581" t="s">
        <v>1827</v>
      </c>
      <c r="I35" s="1581" t="s">
        <v>1034</v>
      </c>
      <c r="J35" s="1595" t="s">
        <v>4929</v>
      </c>
      <c r="K35" s="1595">
        <v>2.81</v>
      </c>
      <c r="L35" s="1594" t="s">
        <v>4937</v>
      </c>
      <c r="M35" s="1596">
        <v>44287</v>
      </c>
    </row>
    <row r="36" spans="1:13" s="1378" customFormat="1" ht="14.25">
      <c r="A36" s="1598">
        <v>27</v>
      </c>
      <c r="B36" s="1599" t="s">
        <v>1015</v>
      </c>
      <c r="C36" s="1600" t="s">
        <v>2109</v>
      </c>
      <c r="D36" s="1600" t="s">
        <v>2110</v>
      </c>
      <c r="E36" s="1600" t="s">
        <v>860</v>
      </c>
      <c r="F36" s="1598" t="s">
        <v>4927</v>
      </c>
      <c r="G36" s="1598">
        <v>41</v>
      </c>
      <c r="H36" s="1598" t="s">
        <v>4938</v>
      </c>
      <c r="I36" s="1598" t="s">
        <v>1012</v>
      </c>
      <c r="J36" s="1601">
        <v>-87</v>
      </c>
      <c r="K36" s="1601">
        <v>0</v>
      </c>
      <c r="L36" s="1600" t="s">
        <v>4939</v>
      </c>
      <c r="M36" s="1602">
        <v>44225</v>
      </c>
    </row>
    <row r="37" spans="1:13" s="1378" customFormat="1" ht="14.25">
      <c r="A37" s="1598">
        <v>28</v>
      </c>
      <c r="B37" s="1599" t="s">
        <v>1015</v>
      </c>
      <c r="C37" s="1600" t="s">
        <v>2109</v>
      </c>
      <c r="D37" s="1600" t="s">
        <v>2110</v>
      </c>
      <c r="E37" s="1600" t="s">
        <v>860</v>
      </c>
      <c r="F37" s="1598" t="s">
        <v>4927</v>
      </c>
      <c r="G37" s="1598">
        <v>41</v>
      </c>
      <c r="H37" s="1598" t="s">
        <v>4938</v>
      </c>
      <c r="I37" s="1598" t="s">
        <v>1022</v>
      </c>
      <c r="J37" s="1601">
        <v>-87</v>
      </c>
      <c r="K37" s="1601">
        <v>0</v>
      </c>
      <c r="L37" s="1600" t="s">
        <v>4939</v>
      </c>
      <c r="M37" s="1602">
        <v>44225</v>
      </c>
    </row>
    <row r="38" spans="1:13" s="1378" customFormat="1" ht="14.25">
      <c r="A38" s="1598">
        <v>29</v>
      </c>
      <c r="B38" s="1599" t="s">
        <v>1015</v>
      </c>
      <c r="C38" s="1600" t="s">
        <v>2109</v>
      </c>
      <c r="D38" s="1600" t="s">
        <v>2110</v>
      </c>
      <c r="E38" s="1600" t="s">
        <v>860</v>
      </c>
      <c r="F38" s="1598" t="s">
        <v>4927</v>
      </c>
      <c r="G38" s="1598">
        <v>41</v>
      </c>
      <c r="H38" s="1598" t="s">
        <v>4938</v>
      </c>
      <c r="I38" s="1598" t="s">
        <v>1027</v>
      </c>
      <c r="J38" s="1601">
        <v>-87</v>
      </c>
      <c r="K38" s="1601">
        <v>0</v>
      </c>
      <c r="L38" s="1600" t="s">
        <v>4939</v>
      </c>
      <c r="M38" s="1602">
        <v>44225</v>
      </c>
    </row>
    <row r="39" spans="1:13" s="1378" customFormat="1" ht="14.25">
      <c r="A39" s="1598">
        <v>30</v>
      </c>
      <c r="B39" s="1599" t="s">
        <v>1015</v>
      </c>
      <c r="C39" s="1600" t="s">
        <v>2109</v>
      </c>
      <c r="D39" s="1600" t="s">
        <v>2110</v>
      </c>
      <c r="E39" s="1600" t="s">
        <v>860</v>
      </c>
      <c r="F39" s="1598" t="s">
        <v>4927</v>
      </c>
      <c r="G39" s="1598">
        <v>41</v>
      </c>
      <c r="H39" s="1598" t="s">
        <v>4938</v>
      </c>
      <c r="I39" s="1598" t="s">
        <v>88</v>
      </c>
      <c r="J39" s="1601">
        <v>-87</v>
      </c>
      <c r="K39" s="1601">
        <v>0</v>
      </c>
      <c r="L39" s="1600" t="s">
        <v>4939</v>
      </c>
      <c r="M39" s="1602">
        <v>44225</v>
      </c>
    </row>
    <row r="40" spans="1:13" s="1378" customFormat="1" ht="14.25">
      <c r="A40" s="1598">
        <v>31</v>
      </c>
      <c r="B40" s="1599" t="s">
        <v>1015</v>
      </c>
      <c r="C40" s="1600" t="s">
        <v>2109</v>
      </c>
      <c r="D40" s="1600" t="s">
        <v>2110</v>
      </c>
      <c r="E40" s="1600" t="s">
        <v>860</v>
      </c>
      <c r="F40" s="1598" t="s">
        <v>4927</v>
      </c>
      <c r="G40" s="1598">
        <v>41</v>
      </c>
      <c r="H40" s="1598" t="s">
        <v>4938</v>
      </c>
      <c r="I40" s="1598" t="s">
        <v>1034</v>
      </c>
      <c r="J40" s="1601">
        <v>-87</v>
      </c>
      <c r="K40" s="1601">
        <v>0</v>
      </c>
      <c r="L40" s="1600" t="s">
        <v>4939</v>
      </c>
      <c r="M40" s="1602">
        <v>44225</v>
      </c>
    </row>
    <row r="41" spans="1:13" s="1378" customFormat="1" ht="14.25">
      <c r="A41" s="1598">
        <v>32</v>
      </c>
      <c r="B41" s="1599" t="s">
        <v>1015</v>
      </c>
      <c r="C41" s="1600" t="s">
        <v>2109</v>
      </c>
      <c r="D41" s="1600" t="s">
        <v>2110</v>
      </c>
      <c r="E41" s="1600" t="s">
        <v>860</v>
      </c>
      <c r="F41" s="1598" t="s">
        <v>4927</v>
      </c>
      <c r="G41" s="1598">
        <v>72</v>
      </c>
      <c r="H41" s="1598" t="s">
        <v>1826</v>
      </c>
      <c r="I41" s="1598" t="s">
        <v>1012</v>
      </c>
      <c r="J41" s="1601">
        <v>2634</v>
      </c>
      <c r="K41" s="1601">
        <v>648</v>
      </c>
      <c r="L41" s="1600" t="s">
        <v>4939</v>
      </c>
      <c r="M41" s="1602">
        <v>44225</v>
      </c>
    </row>
    <row r="42" spans="1:13" s="1378" customFormat="1" ht="14.25">
      <c r="A42" s="1598">
        <v>33</v>
      </c>
      <c r="B42" s="1599" t="s">
        <v>1015</v>
      </c>
      <c r="C42" s="1600" t="s">
        <v>2109</v>
      </c>
      <c r="D42" s="1600" t="s">
        <v>2110</v>
      </c>
      <c r="E42" s="1600" t="s">
        <v>860</v>
      </c>
      <c r="F42" s="1598" t="s">
        <v>4927</v>
      </c>
      <c r="G42" s="1598">
        <v>72</v>
      </c>
      <c r="H42" s="1598" t="s">
        <v>1826</v>
      </c>
      <c r="I42" s="1598" t="s">
        <v>1022</v>
      </c>
      <c r="J42" s="1601">
        <v>2634</v>
      </c>
      <c r="K42" s="1601">
        <v>648</v>
      </c>
      <c r="L42" s="1600" t="s">
        <v>4939</v>
      </c>
      <c r="M42" s="1602">
        <v>44225</v>
      </c>
    </row>
    <row r="43" spans="1:13" s="1378" customFormat="1" ht="14.25">
      <c r="A43" s="1598">
        <v>34</v>
      </c>
      <c r="B43" s="1599" t="s">
        <v>1015</v>
      </c>
      <c r="C43" s="1600" t="s">
        <v>2109</v>
      </c>
      <c r="D43" s="1600" t="s">
        <v>2110</v>
      </c>
      <c r="E43" s="1600" t="s">
        <v>860</v>
      </c>
      <c r="F43" s="1598" t="s">
        <v>4927</v>
      </c>
      <c r="G43" s="1598">
        <v>72</v>
      </c>
      <c r="H43" s="1598" t="s">
        <v>1826</v>
      </c>
      <c r="I43" s="1598" t="s">
        <v>1027</v>
      </c>
      <c r="J43" s="1601">
        <v>2634</v>
      </c>
      <c r="K43" s="1601">
        <v>648</v>
      </c>
      <c r="L43" s="1600" t="s">
        <v>4939</v>
      </c>
      <c r="M43" s="1602">
        <v>44225</v>
      </c>
    </row>
    <row r="44" spans="1:13" s="1378" customFormat="1" ht="14.25">
      <c r="A44" s="1598">
        <v>35</v>
      </c>
      <c r="B44" s="1599" t="s">
        <v>1015</v>
      </c>
      <c r="C44" s="1600" t="s">
        <v>2109</v>
      </c>
      <c r="D44" s="1600" t="s">
        <v>2110</v>
      </c>
      <c r="E44" s="1600" t="s">
        <v>860</v>
      </c>
      <c r="F44" s="1598" t="s">
        <v>4927</v>
      </c>
      <c r="G44" s="1598">
        <v>72</v>
      </c>
      <c r="H44" s="1598" t="s">
        <v>1826</v>
      </c>
      <c r="I44" s="1598" t="s">
        <v>88</v>
      </c>
      <c r="J44" s="1601">
        <v>2634</v>
      </c>
      <c r="K44" s="1601">
        <v>648</v>
      </c>
      <c r="L44" s="1600" t="s">
        <v>4939</v>
      </c>
      <c r="M44" s="1602">
        <v>44225</v>
      </c>
    </row>
    <row r="45" spans="1:13" s="1378" customFormat="1" ht="14.25">
      <c r="A45" s="1598">
        <v>36</v>
      </c>
      <c r="B45" s="1599" t="s">
        <v>1015</v>
      </c>
      <c r="C45" s="1600" t="s">
        <v>2109</v>
      </c>
      <c r="D45" s="1600" t="s">
        <v>2110</v>
      </c>
      <c r="E45" s="1600" t="s">
        <v>860</v>
      </c>
      <c r="F45" s="1598" t="s">
        <v>4927</v>
      </c>
      <c r="G45" s="1598">
        <v>72</v>
      </c>
      <c r="H45" s="1598" t="s">
        <v>1826</v>
      </c>
      <c r="I45" s="1598" t="s">
        <v>1034</v>
      </c>
      <c r="J45" s="1601">
        <v>2634</v>
      </c>
      <c r="K45" s="1601">
        <v>648</v>
      </c>
      <c r="L45" s="1600" t="s">
        <v>4939</v>
      </c>
      <c r="M45" s="1602">
        <v>44225</v>
      </c>
    </row>
    <row r="46" spans="1:13" s="1378" customFormat="1" ht="14.25">
      <c r="A46" s="1598">
        <v>37</v>
      </c>
      <c r="B46" s="1599" t="s">
        <v>1015</v>
      </c>
      <c r="C46" s="1600" t="s">
        <v>2109</v>
      </c>
      <c r="D46" s="1600" t="s">
        <v>2110</v>
      </c>
      <c r="E46" s="1600" t="s">
        <v>860</v>
      </c>
      <c r="F46" s="1598" t="s">
        <v>4927</v>
      </c>
      <c r="G46" s="1598">
        <v>87</v>
      </c>
      <c r="H46" s="1598" t="s">
        <v>1829</v>
      </c>
      <c r="I46" s="1598" t="s">
        <v>1012</v>
      </c>
      <c r="J46" s="1601">
        <v>-8886</v>
      </c>
      <c r="K46" s="1601">
        <v>-1848</v>
      </c>
      <c r="L46" s="1600" t="s">
        <v>4939</v>
      </c>
      <c r="M46" s="1602">
        <v>44225</v>
      </c>
    </row>
    <row r="47" spans="1:13" s="1378" customFormat="1" ht="14.25">
      <c r="A47" s="1598">
        <v>38</v>
      </c>
      <c r="B47" s="1599" t="s">
        <v>1015</v>
      </c>
      <c r="C47" s="1600" t="s">
        <v>2109</v>
      </c>
      <c r="D47" s="1600" t="s">
        <v>2110</v>
      </c>
      <c r="E47" s="1600" t="s">
        <v>860</v>
      </c>
      <c r="F47" s="1598" t="s">
        <v>4927</v>
      </c>
      <c r="G47" s="1598">
        <v>87</v>
      </c>
      <c r="H47" s="1598" t="s">
        <v>1829</v>
      </c>
      <c r="I47" s="1598" t="s">
        <v>1022</v>
      </c>
      <c r="J47" s="1601">
        <v>-8886</v>
      </c>
      <c r="K47" s="1601">
        <v>-1848</v>
      </c>
      <c r="L47" s="1600" t="s">
        <v>4939</v>
      </c>
      <c r="M47" s="1602">
        <v>44225</v>
      </c>
    </row>
    <row r="48" spans="1:13" s="1378" customFormat="1" ht="14.25">
      <c r="A48" s="1598">
        <v>39</v>
      </c>
      <c r="B48" s="1599" t="s">
        <v>1015</v>
      </c>
      <c r="C48" s="1600" t="s">
        <v>2109</v>
      </c>
      <c r="D48" s="1600" t="s">
        <v>2110</v>
      </c>
      <c r="E48" s="1600" t="s">
        <v>860</v>
      </c>
      <c r="F48" s="1598" t="s">
        <v>4927</v>
      </c>
      <c r="G48" s="1598">
        <v>87</v>
      </c>
      <c r="H48" s="1598" t="s">
        <v>1829</v>
      </c>
      <c r="I48" s="1598" t="s">
        <v>1027</v>
      </c>
      <c r="J48" s="1601">
        <v>-8886</v>
      </c>
      <c r="K48" s="1601">
        <v>-1848</v>
      </c>
      <c r="L48" s="1600" t="s">
        <v>4939</v>
      </c>
      <c r="M48" s="1602">
        <v>44225</v>
      </c>
    </row>
    <row r="49" spans="1:13" s="1378" customFormat="1" ht="14.25">
      <c r="A49" s="1598">
        <v>40</v>
      </c>
      <c r="B49" s="1599" t="s">
        <v>1015</v>
      </c>
      <c r="C49" s="1600" t="s">
        <v>2109</v>
      </c>
      <c r="D49" s="1600" t="s">
        <v>2110</v>
      </c>
      <c r="E49" s="1600" t="s">
        <v>860</v>
      </c>
      <c r="F49" s="1598" t="s">
        <v>4927</v>
      </c>
      <c r="G49" s="1598">
        <v>87</v>
      </c>
      <c r="H49" s="1598" t="s">
        <v>1829</v>
      </c>
      <c r="I49" s="1598" t="s">
        <v>88</v>
      </c>
      <c r="J49" s="1601">
        <v>-8886</v>
      </c>
      <c r="K49" s="1601">
        <v>-1848</v>
      </c>
      <c r="L49" s="1600" t="s">
        <v>4939</v>
      </c>
      <c r="M49" s="1602">
        <v>44225</v>
      </c>
    </row>
    <row r="50" spans="1:13" s="1378" customFormat="1" ht="14.25">
      <c r="A50" s="1598">
        <v>41</v>
      </c>
      <c r="B50" s="1599" t="s">
        <v>1015</v>
      </c>
      <c r="C50" s="1600" t="s">
        <v>2109</v>
      </c>
      <c r="D50" s="1600" t="s">
        <v>2110</v>
      </c>
      <c r="E50" s="1600" t="s">
        <v>860</v>
      </c>
      <c r="F50" s="1598" t="s">
        <v>4927</v>
      </c>
      <c r="G50" s="1598">
        <v>87</v>
      </c>
      <c r="H50" s="1598" t="s">
        <v>1829</v>
      </c>
      <c r="I50" s="1598" t="s">
        <v>1034</v>
      </c>
      <c r="J50" s="1601">
        <v>-8886</v>
      </c>
      <c r="K50" s="1601">
        <v>-1848</v>
      </c>
      <c r="L50" s="1600" t="s">
        <v>4939</v>
      </c>
      <c r="M50" s="1602">
        <v>44225</v>
      </c>
    </row>
    <row r="51" spans="1:13" s="1378" customFormat="1" ht="42.75">
      <c r="A51" s="1581">
        <v>42</v>
      </c>
      <c r="B51" s="1593" t="s">
        <v>1015</v>
      </c>
      <c r="C51" s="1594" t="s">
        <v>2163</v>
      </c>
      <c r="D51" s="1594" t="s">
        <v>2164</v>
      </c>
      <c r="E51" s="1594" t="s">
        <v>4926</v>
      </c>
      <c r="F51" s="1581" t="s">
        <v>4927</v>
      </c>
      <c r="G51" s="1581">
        <v>97</v>
      </c>
      <c r="H51" s="1597" t="s">
        <v>1876</v>
      </c>
      <c r="I51" s="1581" t="s">
        <v>1079</v>
      </c>
      <c r="J51" s="1603">
        <v>-1.4E-5</v>
      </c>
      <c r="K51" s="1603">
        <v>-3.0000000000000001E-5</v>
      </c>
      <c r="L51" s="1594" t="s">
        <v>4940</v>
      </c>
      <c r="M51" s="1596">
        <v>44287</v>
      </c>
    </row>
    <row r="52" spans="1:13" s="1378" customFormat="1" ht="14.25">
      <c r="A52" s="1581">
        <v>43</v>
      </c>
      <c r="B52" s="1593" t="s">
        <v>1015</v>
      </c>
      <c r="C52" s="1594" t="s">
        <v>2167</v>
      </c>
      <c r="D52" s="1594" t="s">
        <v>2168</v>
      </c>
      <c r="E52" s="1594" t="s">
        <v>4926</v>
      </c>
      <c r="F52" s="1581" t="s">
        <v>4927</v>
      </c>
      <c r="G52" s="1581">
        <v>41</v>
      </c>
      <c r="H52" s="1581" t="s">
        <v>4938</v>
      </c>
      <c r="I52" s="1581" t="s">
        <v>1034</v>
      </c>
      <c r="J52" s="1595">
        <v>355.2</v>
      </c>
      <c r="K52" s="1595">
        <v>382.4</v>
      </c>
      <c r="L52" s="1594" t="s">
        <v>4941</v>
      </c>
      <c r="M52" s="1596">
        <v>44287</v>
      </c>
    </row>
    <row r="53" spans="1:13" s="1378" customFormat="1" ht="71.25">
      <c r="A53" s="1581">
        <v>44</v>
      </c>
      <c r="B53" s="1593" t="s">
        <v>1015</v>
      </c>
      <c r="C53" s="1594" t="s">
        <v>2167</v>
      </c>
      <c r="D53" s="1594" t="s">
        <v>2168</v>
      </c>
      <c r="E53" s="1594" t="s">
        <v>4926</v>
      </c>
      <c r="F53" s="1581" t="s">
        <v>4927</v>
      </c>
      <c r="G53" s="1581">
        <v>97</v>
      </c>
      <c r="H53" s="1597" t="s">
        <v>1876</v>
      </c>
      <c r="I53" s="1581" t="s">
        <v>1079</v>
      </c>
      <c r="J53" s="1604">
        <v>-6.83E-2</v>
      </c>
      <c r="K53" s="1604">
        <v>-0.46</v>
      </c>
      <c r="L53" s="1594" t="s">
        <v>4942</v>
      </c>
      <c r="M53" s="1596">
        <v>44287</v>
      </c>
    </row>
    <row r="54" spans="1:13" s="1378" customFormat="1" ht="28.5">
      <c r="A54" s="1581">
        <v>45</v>
      </c>
      <c r="B54" s="1593" t="s">
        <v>1015</v>
      </c>
      <c r="C54" s="1594" t="s">
        <v>2172</v>
      </c>
      <c r="D54" s="1594" t="s">
        <v>2173</v>
      </c>
      <c r="E54" s="1594" t="s">
        <v>4926</v>
      </c>
      <c r="F54" s="1581" t="s">
        <v>4927</v>
      </c>
      <c r="G54" s="1581">
        <v>97</v>
      </c>
      <c r="H54" s="1597" t="s">
        <v>1876</v>
      </c>
      <c r="I54" s="1581" t="s">
        <v>1079</v>
      </c>
      <c r="J54" s="1604">
        <v>-4.3099999999999999E-2</v>
      </c>
      <c r="K54" s="1604">
        <v>-6.4799999999999996E-2</v>
      </c>
      <c r="L54" s="1594" t="s">
        <v>4943</v>
      </c>
      <c r="M54" s="1596">
        <v>44287</v>
      </c>
    </row>
    <row r="55" spans="1:13" s="1378" customFormat="1" ht="28.5">
      <c r="A55" s="1581">
        <v>46</v>
      </c>
      <c r="B55" s="1593" t="s">
        <v>1015</v>
      </c>
      <c r="C55" s="1594" t="s">
        <v>2175</v>
      </c>
      <c r="D55" s="1594" t="s">
        <v>2176</v>
      </c>
      <c r="E55" s="1594" t="s">
        <v>4926</v>
      </c>
      <c r="F55" s="1581" t="s">
        <v>4927</v>
      </c>
      <c r="G55" s="1581">
        <v>97</v>
      </c>
      <c r="H55" s="1597" t="s">
        <v>1876</v>
      </c>
      <c r="I55" s="1581" t="s">
        <v>1079</v>
      </c>
      <c r="J55" s="1604">
        <v>-4.6199999999999998E-2</v>
      </c>
      <c r="K55" s="1604">
        <v>-5.9499999999999997E-2</v>
      </c>
      <c r="L55" s="1594" t="s">
        <v>4944</v>
      </c>
      <c r="M55" s="1596">
        <v>44287</v>
      </c>
    </row>
    <row r="56" spans="1:13" s="1378" customFormat="1" ht="14.25">
      <c r="A56" s="1581">
        <v>47</v>
      </c>
      <c r="B56" s="1593" t="s">
        <v>1064</v>
      </c>
      <c r="C56" s="1594" t="s">
        <v>2196</v>
      </c>
      <c r="D56" s="1594" t="s">
        <v>4925</v>
      </c>
      <c r="E56" s="1594" t="s">
        <v>4926</v>
      </c>
      <c r="F56" s="1581" t="s">
        <v>4927</v>
      </c>
      <c r="G56" s="1581">
        <v>77</v>
      </c>
      <c r="H56" s="1581" t="s">
        <v>1827</v>
      </c>
      <c r="I56" s="1581" t="s">
        <v>1027</v>
      </c>
      <c r="J56" s="1605">
        <v>2</v>
      </c>
      <c r="K56" s="1605">
        <v>1.5</v>
      </c>
      <c r="L56" s="1594" t="s">
        <v>4928</v>
      </c>
      <c r="M56" s="1596">
        <v>44287</v>
      </c>
    </row>
    <row r="57" spans="1:13" s="1378" customFormat="1" ht="14.25">
      <c r="A57" s="1581">
        <v>48</v>
      </c>
      <c r="B57" s="1593" t="s">
        <v>1064</v>
      </c>
      <c r="C57" s="1594" t="s">
        <v>2196</v>
      </c>
      <c r="D57" s="1594" t="s">
        <v>4925</v>
      </c>
      <c r="E57" s="1594" t="s">
        <v>4926</v>
      </c>
      <c r="F57" s="1581" t="s">
        <v>4927</v>
      </c>
      <c r="G57" s="1581">
        <v>77</v>
      </c>
      <c r="H57" s="1581" t="s">
        <v>1827</v>
      </c>
      <c r="I57" s="1581" t="s">
        <v>88</v>
      </c>
      <c r="J57" s="1605">
        <v>2</v>
      </c>
      <c r="K57" s="1605">
        <v>1.5</v>
      </c>
      <c r="L57" s="1594" t="s">
        <v>4928</v>
      </c>
      <c r="M57" s="1596">
        <v>44287</v>
      </c>
    </row>
    <row r="58" spans="1:13" s="1378" customFormat="1" ht="14.25">
      <c r="A58" s="1581">
        <v>49</v>
      </c>
      <c r="B58" s="1593" t="s">
        <v>1064</v>
      </c>
      <c r="C58" s="1594" t="s">
        <v>2196</v>
      </c>
      <c r="D58" s="1594" t="s">
        <v>4925</v>
      </c>
      <c r="E58" s="1594" t="s">
        <v>4926</v>
      </c>
      <c r="F58" s="1581" t="s">
        <v>4927</v>
      </c>
      <c r="G58" s="1581">
        <v>77</v>
      </c>
      <c r="H58" s="1581" t="s">
        <v>1827</v>
      </c>
      <c r="I58" s="1581" t="s">
        <v>1034</v>
      </c>
      <c r="J58" s="1605">
        <v>2</v>
      </c>
      <c r="K58" s="1605">
        <v>1.5</v>
      </c>
      <c r="L58" s="1594" t="s">
        <v>4928</v>
      </c>
      <c r="M58" s="1596">
        <v>44287</v>
      </c>
    </row>
    <row r="59" spans="1:13" s="1378" customFormat="1" ht="14.25">
      <c r="A59" s="1581">
        <v>50</v>
      </c>
      <c r="B59" s="1593" t="s">
        <v>1064</v>
      </c>
      <c r="C59" s="1594" t="s">
        <v>2204</v>
      </c>
      <c r="D59" s="1594" t="s">
        <v>4934</v>
      </c>
      <c r="E59" s="1594" t="s">
        <v>4926</v>
      </c>
      <c r="F59" s="1581" t="s">
        <v>4927</v>
      </c>
      <c r="G59" s="1581">
        <v>77</v>
      </c>
      <c r="H59" s="1581" t="s">
        <v>1827</v>
      </c>
      <c r="I59" s="1581" t="s">
        <v>1012</v>
      </c>
      <c r="J59" s="1595" t="s">
        <v>4929</v>
      </c>
      <c r="K59" s="1606">
        <v>148.4</v>
      </c>
      <c r="L59" s="1594" t="s">
        <v>4935</v>
      </c>
      <c r="M59" s="1596">
        <v>44287</v>
      </c>
    </row>
    <row r="60" spans="1:13" s="1378" customFormat="1" ht="14.25">
      <c r="A60" s="1581">
        <v>51</v>
      </c>
      <c r="B60" s="1593" t="s">
        <v>1064</v>
      </c>
      <c r="C60" s="1594" t="s">
        <v>2204</v>
      </c>
      <c r="D60" s="1594" t="s">
        <v>4934</v>
      </c>
      <c r="E60" s="1594" t="s">
        <v>4926</v>
      </c>
      <c r="F60" s="1581" t="s">
        <v>4927</v>
      </c>
      <c r="G60" s="1581">
        <v>77</v>
      </c>
      <c r="H60" s="1581" t="s">
        <v>1827</v>
      </c>
      <c r="I60" s="1581" t="s">
        <v>1022</v>
      </c>
      <c r="J60" s="1595" t="s">
        <v>4929</v>
      </c>
      <c r="K60" s="1606">
        <v>146.5</v>
      </c>
      <c r="L60" s="1594" t="s">
        <v>4935</v>
      </c>
      <c r="M60" s="1596">
        <v>44287</v>
      </c>
    </row>
    <row r="61" spans="1:13" s="1378" customFormat="1" ht="14.25">
      <c r="A61" s="1581">
        <v>52</v>
      </c>
      <c r="B61" s="1593" t="s">
        <v>1064</v>
      </c>
      <c r="C61" s="1594" t="s">
        <v>2204</v>
      </c>
      <c r="D61" s="1594" t="s">
        <v>4934</v>
      </c>
      <c r="E61" s="1594" t="s">
        <v>4926</v>
      </c>
      <c r="F61" s="1581" t="s">
        <v>4927</v>
      </c>
      <c r="G61" s="1581">
        <v>77</v>
      </c>
      <c r="H61" s="1581" t="s">
        <v>1827</v>
      </c>
      <c r="I61" s="1581" t="s">
        <v>1027</v>
      </c>
      <c r="J61" s="1595" t="s">
        <v>4929</v>
      </c>
      <c r="K61" s="1606">
        <v>144.6</v>
      </c>
      <c r="L61" s="1594" t="s">
        <v>4935</v>
      </c>
      <c r="M61" s="1596">
        <v>44287</v>
      </c>
    </row>
    <row r="62" spans="1:13" s="1378" customFormat="1" ht="14.25">
      <c r="A62" s="1581">
        <v>53</v>
      </c>
      <c r="B62" s="1593" t="s">
        <v>1064</v>
      </c>
      <c r="C62" s="1594" t="s">
        <v>2204</v>
      </c>
      <c r="D62" s="1594" t="s">
        <v>4934</v>
      </c>
      <c r="E62" s="1594" t="s">
        <v>4926</v>
      </c>
      <c r="F62" s="1581" t="s">
        <v>4927</v>
      </c>
      <c r="G62" s="1581">
        <v>77</v>
      </c>
      <c r="H62" s="1581" t="s">
        <v>1827</v>
      </c>
      <c r="I62" s="1581" t="s">
        <v>88</v>
      </c>
      <c r="J62" s="1595" t="s">
        <v>4929</v>
      </c>
      <c r="K62" s="1606">
        <v>142.69999999999999</v>
      </c>
      <c r="L62" s="1594" t="s">
        <v>4935</v>
      </c>
      <c r="M62" s="1596">
        <v>44287</v>
      </c>
    </row>
    <row r="63" spans="1:13" s="1378" customFormat="1" ht="14.25">
      <c r="A63" s="1581">
        <v>54</v>
      </c>
      <c r="B63" s="1593" t="s">
        <v>1064</v>
      </c>
      <c r="C63" s="1594" t="s">
        <v>2204</v>
      </c>
      <c r="D63" s="1594" t="s">
        <v>4934</v>
      </c>
      <c r="E63" s="1594" t="s">
        <v>4926</v>
      </c>
      <c r="F63" s="1581" t="s">
        <v>4927</v>
      </c>
      <c r="G63" s="1581">
        <v>77</v>
      </c>
      <c r="H63" s="1581" t="s">
        <v>1827</v>
      </c>
      <c r="I63" s="1581" t="s">
        <v>1034</v>
      </c>
      <c r="J63" s="1595" t="s">
        <v>4929</v>
      </c>
      <c r="K63" s="1606">
        <v>140.69999999999999</v>
      </c>
      <c r="L63" s="1594" t="s">
        <v>4935</v>
      </c>
      <c r="M63" s="1596">
        <v>44287</v>
      </c>
    </row>
    <row r="64" spans="1:13" s="1378" customFormat="1" ht="14.25">
      <c r="A64" s="1581">
        <v>55</v>
      </c>
      <c r="B64" s="1593" t="s">
        <v>1064</v>
      </c>
      <c r="C64" s="1594" t="s">
        <v>2208</v>
      </c>
      <c r="D64" s="1594" t="s">
        <v>4936</v>
      </c>
      <c r="E64" s="1594" t="s">
        <v>4926</v>
      </c>
      <c r="F64" s="1581" t="s">
        <v>4927</v>
      </c>
      <c r="G64" s="1581">
        <v>77</v>
      </c>
      <c r="H64" s="1581" t="s">
        <v>1827</v>
      </c>
      <c r="I64" s="1581" t="s">
        <v>1012</v>
      </c>
      <c r="J64" s="1595" t="s">
        <v>4929</v>
      </c>
      <c r="K64" s="1605">
        <v>2.81</v>
      </c>
      <c r="L64" s="1594" t="s">
        <v>4937</v>
      </c>
      <c r="M64" s="1596">
        <v>44287</v>
      </c>
    </row>
    <row r="65" spans="1:13" s="1378" customFormat="1" ht="14.25">
      <c r="A65" s="1581">
        <v>56</v>
      </c>
      <c r="B65" s="1593" t="s">
        <v>1064</v>
      </c>
      <c r="C65" s="1594" t="s">
        <v>2208</v>
      </c>
      <c r="D65" s="1594" t="s">
        <v>4936</v>
      </c>
      <c r="E65" s="1594" t="s">
        <v>4926</v>
      </c>
      <c r="F65" s="1581" t="s">
        <v>4927</v>
      </c>
      <c r="G65" s="1581">
        <v>77</v>
      </c>
      <c r="H65" s="1581" t="s">
        <v>1827</v>
      </c>
      <c r="I65" s="1581" t="s">
        <v>1022</v>
      </c>
      <c r="J65" s="1595" t="s">
        <v>4929</v>
      </c>
      <c r="K65" s="1605">
        <v>2.81</v>
      </c>
      <c r="L65" s="1594" t="s">
        <v>4937</v>
      </c>
      <c r="M65" s="1596">
        <v>44287</v>
      </c>
    </row>
    <row r="66" spans="1:13" s="1378" customFormat="1" ht="14.25">
      <c r="A66" s="1581">
        <v>57</v>
      </c>
      <c r="B66" s="1593" t="s">
        <v>1064</v>
      </c>
      <c r="C66" s="1594" t="s">
        <v>2208</v>
      </c>
      <c r="D66" s="1594" t="s">
        <v>4936</v>
      </c>
      <c r="E66" s="1594" t="s">
        <v>4926</v>
      </c>
      <c r="F66" s="1581" t="s">
        <v>4927</v>
      </c>
      <c r="G66" s="1581">
        <v>77</v>
      </c>
      <c r="H66" s="1581" t="s">
        <v>1827</v>
      </c>
      <c r="I66" s="1581" t="s">
        <v>1027</v>
      </c>
      <c r="J66" s="1595" t="s">
        <v>4929</v>
      </c>
      <c r="K66" s="1605">
        <v>2.81</v>
      </c>
      <c r="L66" s="1594" t="s">
        <v>4937</v>
      </c>
      <c r="M66" s="1596">
        <v>44287</v>
      </c>
    </row>
    <row r="67" spans="1:13" s="1378" customFormat="1" ht="14.25">
      <c r="A67" s="1581">
        <v>58</v>
      </c>
      <c r="B67" s="1593" t="s">
        <v>1064</v>
      </c>
      <c r="C67" s="1594" t="s">
        <v>2208</v>
      </c>
      <c r="D67" s="1594" t="s">
        <v>4936</v>
      </c>
      <c r="E67" s="1594" t="s">
        <v>4926</v>
      </c>
      <c r="F67" s="1581" t="s">
        <v>4927</v>
      </c>
      <c r="G67" s="1581">
        <v>77</v>
      </c>
      <c r="H67" s="1581" t="s">
        <v>1827</v>
      </c>
      <c r="I67" s="1581" t="s">
        <v>88</v>
      </c>
      <c r="J67" s="1595" t="s">
        <v>4929</v>
      </c>
      <c r="K67" s="1605">
        <v>2.81</v>
      </c>
      <c r="L67" s="1594" t="s">
        <v>4937</v>
      </c>
      <c r="M67" s="1596">
        <v>44287</v>
      </c>
    </row>
    <row r="68" spans="1:13" s="1378" customFormat="1" ht="14.25">
      <c r="A68" s="1581">
        <v>59</v>
      </c>
      <c r="B68" s="1593" t="s">
        <v>1064</v>
      </c>
      <c r="C68" s="1594" t="s">
        <v>2208</v>
      </c>
      <c r="D68" s="1594" t="s">
        <v>4936</v>
      </c>
      <c r="E68" s="1594" t="s">
        <v>4926</v>
      </c>
      <c r="F68" s="1581" t="s">
        <v>4927</v>
      </c>
      <c r="G68" s="1581">
        <v>77</v>
      </c>
      <c r="H68" s="1581" t="s">
        <v>1827</v>
      </c>
      <c r="I68" s="1581" t="s">
        <v>1034</v>
      </c>
      <c r="J68" s="1595" t="s">
        <v>4929</v>
      </c>
      <c r="K68" s="1605">
        <v>2.81</v>
      </c>
      <c r="L68" s="1594" t="s">
        <v>4937</v>
      </c>
      <c r="M68" s="1596">
        <v>44287</v>
      </c>
    </row>
    <row r="69" spans="1:13" s="1378" customFormat="1" ht="42.75">
      <c r="A69" s="1581">
        <v>60</v>
      </c>
      <c r="B69" s="1593" t="s">
        <v>1064</v>
      </c>
      <c r="C69" s="1594" t="s">
        <v>2266</v>
      </c>
      <c r="D69" s="1594" t="s">
        <v>669</v>
      </c>
      <c r="E69" s="1594" t="s">
        <v>4926</v>
      </c>
      <c r="F69" s="1581" t="s">
        <v>4927</v>
      </c>
      <c r="G69" s="1581">
        <v>97</v>
      </c>
      <c r="H69" s="1597" t="s">
        <v>1877</v>
      </c>
      <c r="I69" s="1581" t="s">
        <v>1079</v>
      </c>
      <c r="J69" s="1595">
        <v>-6.3549999999999995E-2</v>
      </c>
      <c r="K69" s="1595">
        <v>-0.26200000000000001</v>
      </c>
      <c r="L69" s="1594" t="s">
        <v>4945</v>
      </c>
      <c r="M69" s="1596">
        <v>44287</v>
      </c>
    </row>
    <row r="70" spans="1:13" s="1378" customFormat="1" ht="28.5">
      <c r="A70" s="1581">
        <v>61</v>
      </c>
      <c r="B70" s="1593" t="s">
        <v>1064</v>
      </c>
      <c r="C70" s="1594" t="s">
        <v>2271</v>
      </c>
      <c r="D70" s="1594" t="s">
        <v>1902</v>
      </c>
      <c r="E70" s="1594" t="s">
        <v>4926</v>
      </c>
      <c r="F70" s="1581" t="s">
        <v>4927</v>
      </c>
      <c r="G70" s="1581">
        <v>97</v>
      </c>
      <c r="H70" s="1597" t="s">
        <v>1876</v>
      </c>
      <c r="I70" s="1581" t="s">
        <v>1079</v>
      </c>
      <c r="J70" s="1595">
        <v>-6.6600000000000006E-2</v>
      </c>
      <c r="K70" s="1595">
        <v>-0.03</v>
      </c>
      <c r="L70" s="1594" t="s">
        <v>4946</v>
      </c>
      <c r="M70" s="1596">
        <v>44287</v>
      </c>
    </row>
    <row r="71" spans="1:13" s="1378" customFormat="1" ht="28.5">
      <c r="A71" s="1581">
        <v>62</v>
      </c>
      <c r="B71" s="1593" t="s">
        <v>1064</v>
      </c>
      <c r="C71" s="1594" t="s">
        <v>2271</v>
      </c>
      <c r="D71" s="1594" t="s">
        <v>1902</v>
      </c>
      <c r="E71" s="1594" t="s">
        <v>4926</v>
      </c>
      <c r="F71" s="1581" t="s">
        <v>4927</v>
      </c>
      <c r="G71" s="1581">
        <v>101</v>
      </c>
      <c r="H71" s="1597" t="s">
        <v>1880</v>
      </c>
      <c r="I71" s="1581" t="s">
        <v>1079</v>
      </c>
      <c r="J71" s="1595">
        <v>5.5500000000000001E-2</v>
      </c>
      <c r="K71" s="1595">
        <v>2.5000000000000001E-2</v>
      </c>
      <c r="L71" s="1594" t="s">
        <v>4946</v>
      </c>
      <c r="M71" s="1596">
        <v>44287</v>
      </c>
    </row>
    <row r="72" spans="1:13" s="1378" customFormat="1" ht="28.5">
      <c r="A72" s="1581">
        <v>63</v>
      </c>
      <c r="B72" s="1593" t="s">
        <v>1064</v>
      </c>
      <c r="C72" s="1594" t="s">
        <v>2275</v>
      </c>
      <c r="D72" s="1594" t="s">
        <v>4947</v>
      </c>
      <c r="E72" s="1594" t="s">
        <v>4926</v>
      </c>
      <c r="F72" s="1581" t="s">
        <v>4927</v>
      </c>
      <c r="G72" s="1581">
        <v>97</v>
      </c>
      <c r="H72" s="1597" t="s">
        <v>1876</v>
      </c>
      <c r="I72" s="1581" t="s">
        <v>1079</v>
      </c>
      <c r="J72" s="1595">
        <v>-0.40036899999999997</v>
      </c>
      <c r="K72" s="1595">
        <v>-0.45300000000000001</v>
      </c>
      <c r="L72" s="1594" t="s">
        <v>4948</v>
      </c>
      <c r="M72" s="1596">
        <v>44287</v>
      </c>
    </row>
    <row r="73" spans="1:13" s="1378" customFormat="1" ht="28.5">
      <c r="A73" s="1581">
        <v>64</v>
      </c>
      <c r="B73" s="1593" t="s">
        <v>1064</v>
      </c>
      <c r="C73" s="1594" t="s">
        <v>2275</v>
      </c>
      <c r="D73" s="1594" t="s">
        <v>4947</v>
      </c>
      <c r="E73" s="1594" t="s">
        <v>4926</v>
      </c>
      <c r="F73" s="1581" t="s">
        <v>4927</v>
      </c>
      <c r="G73" s="1581">
        <v>101</v>
      </c>
      <c r="H73" s="1597" t="s">
        <v>1880</v>
      </c>
      <c r="I73" s="1581" t="s">
        <v>1079</v>
      </c>
      <c r="J73" s="1595">
        <v>0.606595</v>
      </c>
      <c r="K73" s="1595">
        <v>0.55400000000000005</v>
      </c>
      <c r="L73" s="1594" t="s">
        <v>4948</v>
      </c>
      <c r="M73" s="1596">
        <v>44287</v>
      </c>
    </row>
    <row r="74" spans="1:13" s="1378" customFormat="1" ht="28.5">
      <c r="A74" s="1581">
        <v>65</v>
      </c>
      <c r="B74" s="1593" t="s">
        <v>1064</v>
      </c>
      <c r="C74" s="1594" t="s">
        <v>2297</v>
      </c>
      <c r="D74" s="1594" t="s">
        <v>4949</v>
      </c>
      <c r="E74" s="1594" t="s">
        <v>4926</v>
      </c>
      <c r="F74" s="1581" t="s">
        <v>4927</v>
      </c>
      <c r="G74" s="1581">
        <v>97</v>
      </c>
      <c r="H74" s="1597" t="s">
        <v>1876</v>
      </c>
      <c r="I74" s="1581" t="s">
        <v>1079</v>
      </c>
      <c r="J74" s="1607">
        <v>-2.3E-3</v>
      </c>
      <c r="K74" s="1607">
        <v>-2.3800000000000002E-3</v>
      </c>
      <c r="L74" s="1594" t="s">
        <v>4950</v>
      </c>
      <c r="M74" s="1596">
        <v>44287</v>
      </c>
    </row>
    <row r="75" spans="1:13" s="1378" customFormat="1" ht="28.5">
      <c r="A75" s="1581">
        <v>66</v>
      </c>
      <c r="B75" s="1593" t="s">
        <v>1064</v>
      </c>
      <c r="C75" s="1594" t="s">
        <v>2317</v>
      </c>
      <c r="D75" s="1594" t="s">
        <v>4951</v>
      </c>
      <c r="E75" s="1594" t="s">
        <v>4926</v>
      </c>
      <c r="F75" s="1581" t="s">
        <v>4927</v>
      </c>
      <c r="G75" s="1581">
        <v>97</v>
      </c>
      <c r="H75" s="1597" t="s">
        <v>1876</v>
      </c>
      <c r="I75" s="1581" t="s">
        <v>1079</v>
      </c>
      <c r="J75" s="1604">
        <v>-4.6899999999999997E-2</v>
      </c>
      <c r="K75" s="1604">
        <v>-5.3100000000000001E-2</v>
      </c>
      <c r="L75" s="1594" t="s">
        <v>4952</v>
      </c>
      <c r="M75" s="1596">
        <v>44287</v>
      </c>
    </row>
    <row r="76" spans="1:13" s="1378" customFormat="1" ht="14.25">
      <c r="A76" s="1581">
        <v>67</v>
      </c>
      <c r="B76" s="1593" t="s">
        <v>1032</v>
      </c>
      <c r="C76" s="1594" t="s">
        <v>2489</v>
      </c>
      <c r="D76" s="1594" t="s">
        <v>4953</v>
      </c>
      <c r="E76" s="1594" t="s">
        <v>4926</v>
      </c>
      <c r="F76" s="1581" t="s">
        <v>4927</v>
      </c>
      <c r="G76" s="1581">
        <v>67</v>
      </c>
      <c r="H76" s="1581" t="s">
        <v>1000</v>
      </c>
      <c r="I76" s="1581" t="s">
        <v>1012</v>
      </c>
      <c r="J76" s="1595">
        <v>186.57761434904049</v>
      </c>
      <c r="K76" s="1595" t="s">
        <v>4929</v>
      </c>
      <c r="L76" s="1594" t="s">
        <v>4930</v>
      </c>
      <c r="M76" s="1596">
        <v>44287</v>
      </c>
    </row>
    <row r="77" spans="1:13" s="1378" customFormat="1" ht="14.25">
      <c r="A77" s="1581">
        <v>68</v>
      </c>
      <c r="B77" s="1593" t="s">
        <v>1032</v>
      </c>
      <c r="C77" s="1594" t="s">
        <v>2489</v>
      </c>
      <c r="D77" s="1594" t="s">
        <v>4953</v>
      </c>
      <c r="E77" s="1594" t="s">
        <v>4926</v>
      </c>
      <c r="F77" s="1581" t="s">
        <v>4927</v>
      </c>
      <c r="G77" s="1581">
        <v>67</v>
      </c>
      <c r="H77" s="1581" t="s">
        <v>1000</v>
      </c>
      <c r="I77" s="1581" t="s">
        <v>1022</v>
      </c>
      <c r="J77" s="1595">
        <v>186.57761434904049</v>
      </c>
      <c r="K77" s="1595" t="s">
        <v>4929</v>
      </c>
      <c r="L77" s="1594" t="s">
        <v>4930</v>
      </c>
      <c r="M77" s="1596">
        <v>44287</v>
      </c>
    </row>
    <row r="78" spans="1:13" s="1378" customFormat="1" ht="14.25">
      <c r="A78" s="1581">
        <v>69</v>
      </c>
      <c r="B78" s="1593" t="s">
        <v>1032</v>
      </c>
      <c r="C78" s="1594" t="s">
        <v>2489</v>
      </c>
      <c r="D78" s="1594" t="s">
        <v>4953</v>
      </c>
      <c r="E78" s="1594" t="s">
        <v>4926</v>
      </c>
      <c r="F78" s="1581" t="s">
        <v>4927</v>
      </c>
      <c r="G78" s="1581">
        <v>67</v>
      </c>
      <c r="H78" s="1581" t="s">
        <v>1000</v>
      </c>
      <c r="I78" s="1581" t="s">
        <v>1027</v>
      </c>
      <c r="J78" s="1595">
        <v>186.57761434904049</v>
      </c>
      <c r="K78" s="1595" t="s">
        <v>4929</v>
      </c>
      <c r="L78" s="1594" t="s">
        <v>4930</v>
      </c>
      <c r="M78" s="1596">
        <v>44287</v>
      </c>
    </row>
    <row r="79" spans="1:13" s="1378" customFormat="1" ht="14.25">
      <c r="A79" s="1581">
        <v>70</v>
      </c>
      <c r="B79" s="1593" t="s">
        <v>1032</v>
      </c>
      <c r="C79" s="1594" t="s">
        <v>2489</v>
      </c>
      <c r="D79" s="1594" t="s">
        <v>4953</v>
      </c>
      <c r="E79" s="1594" t="s">
        <v>4926</v>
      </c>
      <c r="F79" s="1581" t="s">
        <v>4927</v>
      </c>
      <c r="G79" s="1581">
        <v>67</v>
      </c>
      <c r="H79" s="1581" t="s">
        <v>1000</v>
      </c>
      <c r="I79" s="1581" t="s">
        <v>88</v>
      </c>
      <c r="J79" s="1595">
        <v>186.57761434904049</v>
      </c>
      <c r="K79" s="1595" t="s">
        <v>4929</v>
      </c>
      <c r="L79" s="1594" t="s">
        <v>4930</v>
      </c>
      <c r="M79" s="1596">
        <v>44287</v>
      </c>
    </row>
    <row r="80" spans="1:13" s="1378" customFormat="1" ht="14.25">
      <c r="A80" s="1581">
        <v>71</v>
      </c>
      <c r="B80" s="1593" t="s">
        <v>1032</v>
      </c>
      <c r="C80" s="1594" t="s">
        <v>2489</v>
      </c>
      <c r="D80" s="1594" t="s">
        <v>4953</v>
      </c>
      <c r="E80" s="1594" t="s">
        <v>4926</v>
      </c>
      <c r="F80" s="1581" t="s">
        <v>4927</v>
      </c>
      <c r="G80" s="1581">
        <v>67</v>
      </c>
      <c r="H80" s="1581" t="s">
        <v>1000</v>
      </c>
      <c r="I80" s="1581" t="s">
        <v>1034</v>
      </c>
      <c r="J80" s="1595">
        <v>186.57761434904049</v>
      </c>
      <c r="K80" s="1595" t="s">
        <v>4929</v>
      </c>
      <c r="L80" s="1594" t="s">
        <v>4930</v>
      </c>
      <c r="M80" s="1596">
        <v>44287</v>
      </c>
    </row>
    <row r="81" spans="1:13" s="1378" customFormat="1" ht="14.25">
      <c r="A81" s="1581">
        <v>72</v>
      </c>
      <c r="B81" s="1593" t="s">
        <v>1032</v>
      </c>
      <c r="C81" s="1594" t="s">
        <v>2494</v>
      </c>
      <c r="D81" s="1594" t="s">
        <v>4954</v>
      </c>
      <c r="E81" s="1594" t="s">
        <v>4926</v>
      </c>
      <c r="F81" s="1581" t="s">
        <v>4927</v>
      </c>
      <c r="G81" s="1581">
        <v>67</v>
      </c>
      <c r="H81" s="1581" t="s">
        <v>1000</v>
      </c>
      <c r="I81" s="1581" t="s">
        <v>1012</v>
      </c>
      <c r="J81" s="1595">
        <v>109.90615346050799</v>
      </c>
      <c r="K81" s="1595" t="s">
        <v>4929</v>
      </c>
      <c r="L81" s="1594" t="s">
        <v>4930</v>
      </c>
      <c r="M81" s="1596">
        <v>44287</v>
      </c>
    </row>
    <row r="82" spans="1:13" s="1378" customFormat="1" ht="14.25">
      <c r="A82" s="1581">
        <v>73</v>
      </c>
      <c r="B82" s="1593" t="s">
        <v>1032</v>
      </c>
      <c r="C82" s="1594" t="s">
        <v>2494</v>
      </c>
      <c r="D82" s="1594" t="s">
        <v>4954</v>
      </c>
      <c r="E82" s="1594" t="s">
        <v>4926</v>
      </c>
      <c r="F82" s="1581" t="s">
        <v>4927</v>
      </c>
      <c r="G82" s="1581">
        <v>67</v>
      </c>
      <c r="H82" s="1581" t="s">
        <v>1000</v>
      </c>
      <c r="I82" s="1581" t="s">
        <v>1022</v>
      </c>
      <c r="J82" s="1595">
        <v>109.90615346050799</v>
      </c>
      <c r="K82" s="1595" t="s">
        <v>4929</v>
      </c>
      <c r="L82" s="1594" t="s">
        <v>4930</v>
      </c>
      <c r="M82" s="1596">
        <v>44287</v>
      </c>
    </row>
    <row r="83" spans="1:13" s="1378" customFormat="1" ht="14.25">
      <c r="A83" s="1581">
        <v>74</v>
      </c>
      <c r="B83" s="1593" t="s">
        <v>1032</v>
      </c>
      <c r="C83" s="1594" t="s">
        <v>2494</v>
      </c>
      <c r="D83" s="1594" t="s">
        <v>4954</v>
      </c>
      <c r="E83" s="1594" t="s">
        <v>4926</v>
      </c>
      <c r="F83" s="1581" t="s">
        <v>4927</v>
      </c>
      <c r="G83" s="1581">
        <v>67</v>
      </c>
      <c r="H83" s="1581" t="s">
        <v>1000</v>
      </c>
      <c r="I83" s="1581" t="s">
        <v>1027</v>
      </c>
      <c r="J83" s="1595">
        <v>109.90615346050799</v>
      </c>
      <c r="K83" s="1595" t="s">
        <v>4929</v>
      </c>
      <c r="L83" s="1594" t="s">
        <v>4930</v>
      </c>
      <c r="M83" s="1596">
        <v>44287</v>
      </c>
    </row>
    <row r="84" spans="1:13" s="1378" customFormat="1" ht="14.25">
      <c r="A84" s="1581">
        <v>75</v>
      </c>
      <c r="B84" s="1593" t="s">
        <v>1032</v>
      </c>
      <c r="C84" s="1594" t="s">
        <v>2494</v>
      </c>
      <c r="D84" s="1594" t="s">
        <v>4954</v>
      </c>
      <c r="E84" s="1594" t="s">
        <v>4926</v>
      </c>
      <c r="F84" s="1581" t="s">
        <v>4927</v>
      </c>
      <c r="G84" s="1581">
        <v>67</v>
      </c>
      <c r="H84" s="1581" t="s">
        <v>1000</v>
      </c>
      <c r="I84" s="1581" t="s">
        <v>88</v>
      </c>
      <c r="J84" s="1595">
        <v>109.90615346050799</v>
      </c>
      <c r="K84" s="1595" t="s">
        <v>4929</v>
      </c>
      <c r="L84" s="1594" t="s">
        <v>4930</v>
      </c>
      <c r="M84" s="1596">
        <v>44287</v>
      </c>
    </row>
    <row r="85" spans="1:13" s="1378" customFormat="1" ht="14.25">
      <c r="A85" s="1581">
        <v>76</v>
      </c>
      <c r="B85" s="1593" t="s">
        <v>1032</v>
      </c>
      <c r="C85" s="1594" t="s">
        <v>2494</v>
      </c>
      <c r="D85" s="1594" t="s">
        <v>4954</v>
      </c>
      <c r="E85" s="1594" t="s">
        <v>4926</v>
      </c>
      <c r="F85" s="1581" t="s">
        <v>4927</v>
      </c>
      <c r="G85" s="1581">
        <v>67</v>
      </c>
      <c r="H85" s="1581" t="s">
        <v>1000</v>
      </c>
      <c r="I85" s="1581" t="s">
        <v>1034</v>
      </c>
      <c r="J85" s="1595">
        <v>109.90615346050799</v>
      </c>
      <c r="K85" s="1595" t="s">
        <v>4929</v>
      </c>
      <c r="L85" s="1594" t="s">
        <v>4930</v>
      </c>
      <c r="M85" s="1596">
        <v>44287</v>
      </c>
    </row>
    <row r="86" spans="1:13" s="1378" customFormat="1" ht="14.25">
      <c r="A86" s="1581">
        <v>77</v>
      </c>
      <c r="B86" s="1593" t="s">
        <v>1032</v>
      </c>
      <c r="C86" s="1594" t="s">
        <v>2480</v>
      </c>
      <c r="D86" s="1594" t="s">
        <v>4925</v>
      </c>
      <c r="E86" s="1594" t="s">
        <v>4926</v>
      </c>
      <c r="F86" s="1581" t="s">
        <v>4927</v>
      </c>
      <c r="G86" s="1581">
        <v>77</v>
      </c>
      <c r="H86" s="1581" t="s">
        <v>1827</v>
      </c>
      <c r="I86" s="1581" t="s">
        <v>1027</v>
      </c>
      <c r="J86" s="1595">
        <v>2</v>
      </c>
      <c r="K86" s="1595">
        <v>1.5</v>
      </c>
      <c r="L86" s="1594" t="s">
        <v>4928</v>
      </c>
      <c r="M86" s="1596">
        <v>44287</v>
      </c>
    </row>
    <row r="87" spans="1:13" s="1378" customFormat="1" ht="14.25">
      <c r="A87" s="1581">
        <v>78</v>
      </c>
      <c r="B87" s="1593" t="s">
        <v>1032</v>
      </c>
      <c r="C87" s="1594" t="s">
        <v>2480</v>
      </c>
      <c r="D87" s="1594" t="s">
        <v>4925</v>
      </c>
      <c r="E87" s="1594" t="s">
        <v>4926</v>
      </c>
      <c r="F87" s="1581" t="s">
        <v>4927</v>
      </c>
      <c r="G87" s="1581">
        <v>77</v>
      </c>
      <c r="H87" s="1581" t="s">
        <v>1827</v>
      </c>
      <c r="I87" s="1581" t="s">
        <v>88</v>
      </c>
      <c r="J87" s="1595">
        <v>2</v>
      </c>
      <c r="K87" s="1595">
        <v>1.5</v>
      </c>
      <c r="L87" s="1594" t="s">
        <v>4928</v>
      </c>
      <c r="M87" s="1596">
        <v>44287</v>
      </c>
    </row>
    <row r="88" spans="1:13" s="1378" customFormat="1" ht="14.25">
      <c r="A88" s="1581">
        <v>79</v>
      </c>
      <c r="B88" s="1593" t="s">
        <v>1032</v>
      </c>
      <c r="C88" s="1594" t="s">
        <v>2480</v>
      </c>
      <c r="D88" s="1594" t="s">
        <v>4925</v>
      </c>
      <c r="E88" s="1594" t="s">
        <v>4926</v>
      </c>
      <c r="F88" s="1581" t="s">
        <v>4927</v>
      </c>
      <c r="G88" s="1581">
        <v>77</v>
      </c>
      <c r="H88" s="1581" t="s">
        <v>1827</v>
      </c>
      <c r="I88" s="1581" t="s">
        <v>1034</v>
      </c>
      <c r="J88" s="1595">
        <v>2</v>
      </c>
      <c r="K88" s="1595">
        <v>1.5</v>
      </c>
      <c r="L88" s="1594" t="s">
        <v>4928</v>
      </c>
      <c r="M88" s="1596">
        <v>44287</v>
      </c>
    </row>
    <row r="89" spans="1:13" s="1378" customFormat="1" ht="14.25">
      <c r="A89" s="1581">
        <v>80</v>
      </c>
      <c r="B89" s="1608" t="s">
        <v>1032</v>
      </c>
      <c r="C89" s="1594" t="s">
        <v>2521</v>
      </c>
      <c r="D89" s="1594" t="s">
        <v>4934</v>
      </c>
      <c r="E89" s="1594" t="s">
        <v>4926</v>
      </c>
      <c r="F89" s="1581" t="s">
        <v>4927</v>
      </c>
      <c r="G89" s="1581">
        <v>77</v>
      </c>
      <c r="H89" s="1581" t="s">
        <v>1827</v>
      </c>
      <c r="I89" s="1581" t="s">
        <v>1012</v>
      </c>
      <c r="J89" s="1595" t="s">
        <v>4929</v>
      </c>
      <c r="K89" s="1606">
        <v>151.9</v>
      </c>
      <c r="L89" s="1594" t="s">
        <v>4935</v>
      </c>
      <c r="M89" s="1596">
        <v>44287</v>
      </c>
    </row>
    <row r="90" spans="1:13" s="1378" customFormat="1" ht="14.25">
      <c r="A90" s="1581">
        <v>81</v>
      </c>
      <c r="B90" s="1608" t="s">
        <v>1032</v>
      </c>
      <c r="C90" s="1594" t="s">
        <v>2521</v>
      </c>
      <c r="D90" s="1594" t="s">
        <v>4934</v>
      </c>
      <c r="E90" s="1594" t="s">
        <v>4926</v>
      </c>
      <c r="F90" s="1581" t="s">
        <v>4927</v>
      </c>
      <c r="G90" s="1581">
        <v>77</v>
      </c>
      <c r="H90" s="1581" t="s">
        <v>1827</v>
      </c>
      <c r="I90" s="1581" t="s">
        <v>1022</v>
      </c>
      <c r="J90" s="1595" t="s">
        <v>4929</v>
      </c>
      <c r="K90" s="1606">
        <v>147.1</v>
      </c>
      <c r="L90" s="1594" t="s">
        <v>4935</v>
      </c>
      <c r="M90" s="1596">
        <v>44287</v>
      </c>
    </row>
    <row r="91" spans="1:13" s="1378" customFormat="1" ht="14.25">
      <c r="A91" s="1581">
        <v>82</v>
      </c>
      <c r="B91" s="1608" t="s">
        <v>1032</v>
      </c>
      <c r="C91" s="1594" t="s">
        <v>2521</v>
      </c>
      <c r="D91" s="1594" t="s">
        <v>4934</v>
      </c>
      <c r="E91" s="1594" t="s">
        <v>4926</v>
      </c>
      <c r="F91" s="1581" t="s">
        <v>4927</v>
      </c>
      <c r="G91" s="1581">
        <v>77</v>
      </c>
      <c r="H91" s="1581" t="s">
        <v>1827</v>
      </c>
      <c r="I91" s="1581" t="s">
        <v>1027</v>
      </c>
      <c r="J91" s="1595" t="s">
        <v>4929</v>
      </c>
      <c r="K91" s="1606">
        <v>142.4</v>
      </c>
      <c r="L91" s="1594" t="s">
        <v>4935</v>
      </c>
      <c r="M91" s="1596">
        <v>44287</v>
      </c>
    </row>
    <row r="92" spans="1:13" s="1378" customFormat="1" ht="14.25">
      <c r="A92" s="1581">
        <v>83</v>
      </c>
      <c r="B92" s="1608" t="s">
        <v>1032</v>
      </c>
      <c r="C92" s="1594" t="s">
        <v>2521</v>
      </c>
      <c r="D92" s="1594" t="s">
        <v>4934</v>
      </c>
      <c r="E92" s="1594" t="s">
        <v>4926</v>
      </c>
      <c r="F92" s="1581" t="s">
        <v>4927</v>
      </c>
      <c r="G92" s="1581">
        <v>77</v>
      </c>
      <c r="H92" s="1581" t="s">
        <v>1827</v>
      </c>
      <c r="I92" s="1581" t="s">
        <v>88</v>
      </c>
      <c r="J92" s="1595" t="s">
        <v>4929</v>
      </c>
      <c r="K92" s="1606">
        <v>137.9</v>
      </c>
      <c r="L92" s="1594" t="s">
        <v>4935</v>
      </c>
      <c r="M92" s="1596">
        <v>44287</v>
      </c>
    </row>
    <row r="93" spans="1:13" s="1378" customFormat="1" ht="14.25">
      <c r="A93" s="1581">
        <v>84</v>
      </c>
      <c r="B93" s="1608" t="s">
        <v>1032</v>
      </c>
      <c r="C93" s="1594" t="s">
        <v>2521</v>
      </c>
      <c r="D93" s="1594" t="s">
        <v>4934</v>
      </c>
      <c r="E93" s="1594" t="s">
        <v>4926</v>
      </c>
      <c r="F93" s="1581" t="s">
        <v>4927</v>
      </c>
      <c r="G93" s="1581">
        <v>77</v>
      </c>
      <c r="H93" s="1581" t="s">
        <v>1827</v>
      </c>
      <c r="I93" s="1581" t="s">
        <v>1034</v>
      </c>
      <c r="J93" s="1595" t="s">
        <v>4929</v>
      </c>
      <c r="K93" s="1606">
        <v>133.4</v>
      </c>
      <c r="L93" s="1594" t="s">
        <v>4935</v>
      </c>
      <c r="M93" s="1596">
        <v>44287</v>
      </c>
    </row>
    <row r="94" spans="1:13" s="1378" customFormat="1" ht="14.25">
      <c r="A94" s="1581">
        <v>85</v>
      </c>
      <c r="B94" s="1608" t="s">
        <v>1032</v>
      </c>
      <c r="C94" s="1594" t="s">
        <v>2525</v>
      </c>
      <c r="D94" s="1594" t="s">
        <v>4936</v>
      </c>
      <c r="E94" s="1594" t="s">
        <v>4926</v>
      </c>
      <c r="F94" s="1581" t="s">
        <v>4927</v>
      </c>
      <c r="G94" s="1581">
        <v>77</v>
      </c>
      <c r="H94" s="1581" t="s">
        <v>1827</v>
      </c>
      <c r="I94" s="1581" t="s">
        <v>1012</v>
      </c>
      <c r="J94" s="1595" t="s">
        <v>4929</v>
      </c>
      <c r="K94" s="1605">
        <v>7.64</v>
      </c>
      <c r="L94" s="1594" t="s">
        <v>4955</v>
      </c>
      <c r="M94" s="1596">
        <v>44287</v>
      </c>
    </row>
    <row r="95" spans="1:13" s="1378" customFormat="1" ht="14.25">
      <c r="A95" s="1581">
        <v>86</v>
      </c>
      <c r="B95" s="1608" t="s">
        <v>1032</v>
      </c>
      <c r="C95" s="1594" t="s">
        <v>2525</v>
      </c>
      <c r="D95" s="1594" t="s">
        <v>4936</v>
      </c>
      <c r="E95" s="1594" t="s">
        <v>4926</v>
      </c>
      <c r="F95" s="1581" t="s">
        <v>4927</v>
      </c>
      <c r="G95" s="1581">
        <v>77</v>
      </c>
      <c r="H95" s="1581" t="s">
        <v>1827</v>
      </c>
      <c r="I95" s="1581" t="s">
        <v>1022</v>
      </c>
      <c r="J95" s="1595" t="s">
        <v>4929</v>
      </c>
      <c r="K95" s="1605">
        <v>6.43</v>
      </c>
      <c r="L95" s="1594" t="s">
        <v>4955</v>
      </c>
      <c r="M95" s="1596">
        <v>44287</v>
      </c>
    </row>
    <row r="96" spans="1:13" s="1378" customFormat="1" ht="14.25">
      <c r="A96" s="1581">
        <v>87</v>
      </c>
      <c r="B96" s="1608" t="s">
        <v>1032</v>
      </c>
      <c r="C96" s="1594" t="s">
        <v>2525</v>
      </c>
      <c r="D96" s="1594" t="s">
        <v>4936</v>
      </c>
      <c r="E96" s="1594" t="s">
        <v>4926</v>
      </c>
      <c r="F96" s="1581" t="s">
        <v>4927</v>
      </c>
      <c r="G96" s="1581">
        <v>77</v>
      </c>
      <c r="H96" s="1581" t="s">
        <v>1827</v>
      </c>
      <c r="I96" s="1581" t="s">
        <v>1027</v>
      </c>
      <c r="J96" s="1595" t="s">
        <v>4929</v>
      </c>
      <c r="K96" s="1605">
        <v>5.23</v>
      </c>
      <c r="L96" s="1594" t="s">
        <v>4955</v>
      </c>
      <c r="M96" s="1596">
        <v>44287</v>
      </c>
    </row>
    <row r="97" spans="1:13" s="1378" customFormat="1" ht="14.25">
      <c r="A97" s="1581">
        <v>88</v>
      </c>
      <c r="B97" s="1608" t="s">
        <v>1032</v>
      </c>
      <c r="C97" s="1594" t="s">
        <v>2525</v>
      </c>
      <c r="D97" s="1594" t="s">
        <v>4936</v>
      </c>
      <c r="E97" s="1594" t="s">
        <v>4926</v>
      </c>
      <c r="F97" s="1581" t="s">
        <v>4927</v>
      </c>
      <c r="G97" s="1581">
        <v>77</v>
      </c>
      <c r="H97" s="1581" t="s">
        <v>1827</v>
      </c>
      <c r="I97" s="1581" t="s">
        <v>88</v>
      </c>
      <c r="J97" s="1595" t="s">
        <v>4929</v>
      </c>
      <c r="K97" s="1605">
        <v>4.0199999999999996</v>
      </c>
      <c r="L97" s="1594" t="s">
        <v>4955</v>
      </c>
      <c r="M97" s="1596">
        <v>44287</v>
      </c>
    </row>
    <row r="98" spans="1:13" s="1378" customFormat="1" ht="14.25">
      <c r="A98" s="1581">
        <v>89</v>
      </c>
      <c r="B98" s="1608" t="s">
        <v>1032</v>
      </c>
      <c r="C98" s="1594" t="s">
        <v>2525</v>
      </c>
      <c r="D98" s="1594" t="s">
        <v>4936</v>
      </c>
      <c r="E98" s="1594" t="s">
        <v>4926</v>
      </c>
      <c r="F98" s="1581" t="s">
        <v>4927</v>
      </c>
      <c r="G98" s="1581">
        <v>77</v>
      </c>
      <c r="H98" s="1581" t="s">
        <v>1827</v>
      </c>
      <c r="I98" s="1581" t="s">
        <v>1034</v>
      </c>
      <c r="J98" s="1595" t="s">
        <v>4929</v>
      </c>
      <c r="K98" s="1605">
        <v>2.81</v>
      </c>
      <c r="L98" s="1594" t="s">
        <v>4955</v>
      </c>
      <c r="M98" s="1596">
        <v>44287</v>
      </c>
    </row>
    <row r="99" spans="1:13" s="1378" customFormat="1" ht="14.25">
      <c r="A99" s="1581">
        <v>90</v>
      </c>
      <c r="B99" s="1593" t="s">
        <v>1032</v>
      </c>
      <c r="C99" s="1594" t="s">
        <v>2489</v>
      </c>
      <c r="D99" s="1594" t="s">
        <v>4953</v>
      </c>
      <c r="E99" s="1594" t="s">
        <v>4926</v>
      </c>
      <c r="F99" s="1581" t="s">
        <v>4927</v>
      </c>
      <c r="G99" s="1581">
        <v>92</v>
      </c>
      <c r="H99" s="1581" t="s">
        <v>1830</v>
      </c>
      <c r="I99" s="1581" t="s">
        <v>1012</v>
      </c>
      <c r="J99" s="1595" t="s">
        <v>4805</v>
      </c>
      <c r="K99" s="1595" t="s">
        <v>4929</v>
      </c>
      <c r="L99" s="1594" t="s">
        <v>4930</v>
      </c>
      <c r="M99" s="1596">
        <v>44287</v>
      </c>
    </row>
    <row r="100" spans="1:13" s="1378" customFormat="1" ht="14.25">
      <c r="A100" s="1581">
        <v>91</v>
      </c>
      <c r="B100" s="1593" t="s">
        <v>1032</v>
      </c>
      <c r="C100" s="1594" t="s">
        <v>2489</v>
      </c>
      <c r="D100" s="1594" t="s">
        <v>4953</v>
      </c>
      <c r="E100" s="1594" t="s">
        <v>4926</v>
      </c>
      <c r="F100" s="1581" t="s">
        <v>4927</v>
      </c>
      <c r="G100" s="1581">
        <v>92</v>
      </c>
      <c r="H100" s="1581" t="s">
        <v>1830</v>
      </c>
      <c r="I100" s="1581" t="s">
        <v>1022</v>
      </c>
      <c r="J100" s="1595" t="s">
        <v>4805</v>
      </c>
      <c r="K100" s="1595" t="s">
        <v>4929</v>
      </c>
      <c r="L100" s="1594" t="s">
        <v>4930</v>
      </c>
      <c r="M100" s="1596">
        <v>44287</v>
      </c>
    </row>
    <row r="101" spans="1:13" s="1378" customFormat="1" ht="14.25">
      <c r="A101" s="1581">
        <v>92</v>
      </c>
      <c r="B101" s="1593" t="s">
        <v>1032</v>
      </c>
      <c r="C101" s="1594" t="s">
        <v>2489</v>
      </c>
      <c r="D101" s="1594" t="s">
        <v>4953</v>
      </c>
      <c r="E101" s="1594" t="s">
        <v>4926</v>
      </c>
      <c r="F101" s="1581" t="s">
        <v>4927</v>
      </c>
      <c r="G101" s="1581">
        <v>92</v>
      </c>
      <c r="H101" s="1581" t="s">
        <v>1830</v>
      </c>
      <c r="I101" s="1581" t="s">
        <v>1027</v>
      </c>
      <c r="J101" s="1595" t="s">
        <v>4805</v>
      </c>
      <c r="K101" s="1595" t="s">
        <v>4929</v>
      </c>
      <c r="L101" s="1594" t="s">
        <v>4930</v>
      </c>
      <c r="M101" s="1596">
        <v>44287</v>
      </c>
    </row>
    <row r="102" spans="1:13" s="1378" customFormat="1" ht="14.25">
      <c r="A102" s="1581">
        <v>93</v>
      </c>
      <c r="B102" s="1593" t="s">
        <v>1032</v>
      </c>
      <c r="C102" s="1594" t="s">
        <v>2489</v>
      </c>
      <c r="D102" s="1594" t="s">
        <v>4953</v>
      </c>
      <c r="E102" s="1594" t="s">
        <v>4926</v>
      </c>
      <c r="F102" s="1581" t="s">
        <v>4927</v>
      </c>
      <c r="G102" s="1581">
        <v>92</v>
      </c>
      <c r="H102" s="1581" t="s">
        <v>1830</v>
      </c>
      <c r="I102" s="1581" t="s">
        <v>88</v>
      </c>
      <c r="J102" s="1595" t="s">
        <v>4805</v>
      </c>
      <c r="K102" s="1595" t="s">
        <v>4929</v>
      </c>
      <c r="L102" s="1594" t="s">
        <v>4930</v>
      </c>
      <c r="M102" s="1596">
        <v>44287</v>
      </c>
    </row>
    <row r="103" spans="1:13" s="1378" customFormat="1" ht="14.25">
      <c r="A103" s="1581">
        <v>94</v>
      </c>
      <c r="B103" s="1593" t="s">
        <v>1032</v>
      </c>
      <c r="C103" s="1594" t="s">
        <v>2489</v>
      </c>
      <c r="D103" s="1594" t="s">
        <v>4953</v>
      </c>
      <c r="E103" s="1594" t="s">
        <v>4926</v>
      </c>
      <c r="F103" s="1581" t="s">
        <v>4927</v>
      </c>
      <c r="G103" s="1581">
        <v>92</v>
      </c>
      <c r="H103" s="1581" t="s">
        <v>1830</v>
      </c>
      <c r="I103" s="1581" t="s">
        <v>1034</v>
      </c>
      <c r="J103" s="1595" t="s">
        <v>4805</v>
      </c>
      <c r="K103" s="1595" t="s">
        <v>4929</v>
      </c>
      <c r="L103" s="1594" t="s">
        <v>4930</v>
      </c>
      <c r="M103" s="1596">
        <v>44287</v>
      </c>
    </row>
    <row r="104" spans="1:13" s="1378" customFormat="1" ht="14.25">
      <c r="A104" s="1581">
        <v>95</v>
      </c>
      <c r="B104" s="1593" t="s">
        <v>1032</v>
      </c>
      <c r="C104" s="1594" t="s">
        <v>2494</v>
      </c>
      <c r="D104" s="1594" t="s">
        <v>4954</v>
      </c>
      <c r="E104" s="1594" t="s">
        <v>4926</v>
      </c>
      <c r="F104" s="1581" t="s">
        <v>4927</v>
      </c>
      <c r="G104" s="1581">
        <v>92</v>
      </c>
      <c r="H104" s="1581" t="s">
        <v>1830</v>
      </c>
      <c r="I104" s="1581" t="s">
        <v>1012</v>
      </c>
      <c r="J104" s="1595" t="s">
        <v>4805</v>
      </c>
      <c r="K104" s="1595" t="s">
        <v>4929</v>
      </c>
      <c r="L104" s="1594" t="s">
        <v>4930</v>
      </c>
      <c r="M104" s="1596">
        <v>44287</v>
      </c>
    </row>
    <row r="105" spans="1:13" s="1378" customFormat="1" ht="14.25">
      <c r="A105" s="1581">
        <v>96</v>
      </c>
      <c r="B105" s="1593" t="s">
        <v>1032</v>
      </c>
      <c r="C105" s="1594" t="s">
        <v>2494</v>
      </c>
      <c r="D105" s="1594" t="s">
        <v>4954</v>
      </c>
      <c r="E105" s="1594" t="s">
        <v>4926</v>
      </c>
      <c r="F105" s="1581" t="s">
        <v>4927</v>
      </c>
      <c r="G105" s="1581">
        <v>92</v>
      </c>
      <c r="H105" s="1581" t="s">
        <v>1830</v>
      </c>
      <c r="I105" s="1581" t="s">
        <v>1022</v>
      </c>
      <c r="J105" s="1595" t="s">
        <v>4805</v>
      </c>
      <c r="K105" s="1595" t="s">
        <v>4929</v>
      </c>
      <c r="L105" s="1594" t="s">
        <v>4930</v>
      </c>
      <c r="M105" s="1596">
        <v>44287</v>
      </c>
    </row>
    <row r="106" spans="1:13" s="1378" customFormat="1" ht="14.25">
      <c r="A106" s="1581">
        <v>97</v>
      </c>
      <c r="B106" s="1593" t="s">
        <v>1032</v>
      </c>
      <c r="C106" s="1594" t="s">
        <v>2494</v>
      </c>
      <c r="D106" s="1594" t="s">
        <v>4954</v>
      </c>
      <c r="E106" s="1594" t="s">
        <v>4926</v>
      </c>
      <c r="F106" s="1581" t="s">
        <v>4927</v>
      </c>
      <c r="G106" s="1581">
        <v>92</v>
      </c>
      <c r="H106" s="1581" t="s">
        <v>1830</v>
      </c>
      <c r="I106" s="1581" t="s">
        <v>1027</v>
      </c>
      <c r="J106" s="1595" t="s">
        <v>4805</v>
      </c>
      <c r="K106" s="1595" t="s">
        <v>4929</v>
      </c>
      <c r="L106" s="1594" t="s">
        <v>4930</v>
      </c>
      <c r="M106" s="1596">
        <v>44287</v>
      </c>
    </row>
    <row r="107" spans="1:13" s="1378" customFormat="1" ht="14.25">
      <c r="A107" s="1581">
        <v>98</v>
      </c>
      <c r="B107" s="1593" t="s">
        <v>1032</v>
      </c>
      <c r="C107" s="1594" t="s">
        <v>2494</v>
      </c>
      <c r="D107" s="1594" t="s">
        <v>4954</v>
      </c>
      <c r="E107" s="1594" t="s">
        <v>4926</v>
      </c>
      <c r="F107" s="1581" t="s">
        <v>4927</v>
      </c>
      <c r="G107" s="1581">
        <v>92</v>
      </c>
      <c r="H107" s="1581" t="s">
        <v>1830</v>
      </c>
      <c r="I107" s="1581" t="s">
        <v>88</v>
      </c>
      <c r="J107" s="1595" t="s">
        <v>4805</v>
      </c>
      <c r="K107" s="1595" t="s">
        <v>4929</v>
      </c>
      <c r="L107" s="1594" t="s">
        <v>4930</v>
      </c>
      <c r="M107" s="1596">
        <v>44287</v>
      </c>
    </row>
    <row r="108" spans="1:13" s="1378" customFormat="1" ht="14.25">
      <c r="A108" s="1581">
        <v>99</v>
      </c>
      <c r="B108" s="1593" t="s">
        <v>1032</v>
      </c>
      <c r="C108" s="1594" t="s">
        <v>2494</v>
      </c>
      <c r="D108" s="1594" t="s">
        <v>4954</v>
      </c>
      <c r="E108" s="1594" t="s">
        <v>4926</v>
      </c>
      <c r="F108" s="1581" t="s">
        <v>4927</v>
      </c>
      <c r="G108" s="1581">
        <v>92</v>
      </c>
      <c r="H108" s="1581" t="s">
        <v>1830</v>
      </c>
      <c r="I108" s="1581" t="s">
        <v>1034</v>
      </c>
      <c r="J108" s="1595" t="s">
        <v>4805</v>
      </c>
      <c r="K108" s="1595" t="s">
        <v>4929</v>
      </c>
      <c r="L108" s="1594" t="s">
        <v>4930</v>
      </c>
      <c r="M108" s="1596">
        <v>44287</v>
      </c>
    </row>
    <row r="109" spans="1:13" s="1378" customFormat="1" ht="42.75">
      <c r="A109" s="1581">
        <v>100</v>
      </c>
      <c r="B109" s="1593" t="s">
        <v>1032</v>
      </c>
      <c r="C109" s="1594" t="s">
        <v>2489</v>
      </c>
      <c r="D109" s="1594" t="s">
        <v>4953</v>
      </c>
      <c r="E109" s="1594" t="s">
        <v>4926</v>
      </c>
      <c r="F109" s="1581" t="s">
        <v>4927</v>
      </c>
      <c r="G109" s="1581">
        <v>97</v>
      </c>
      <c r="H109" s="1609" t="s">
        <v>1877</v>
      </c>
      <c r="I109" s="1581" t="s">
        <v>1079</v>
      </c>
      <c r="J109" s="1595" t="s">
        <v>4929</v>
      </c>
      <c r="K109" s="1595">
        <v>-0.17499999999999999</v>
      </c>
      <c r="L109" s="1594" t="s">
        <v>4956</v>
      </c>
      <c r="M109" s="1596">
        <v>44287</v>
      </c>
    </row>
    <row r="110" spans="1:13" s="1378" customFormat="1" ht="42.75">
      <c r="A110" s="1581">
        <v>101</v>
      </c>
      <c r="B110" s="1593" t="s">
        <v>1032</v>
      </c>
      <c r="C110" s="1594" t="s">
        <v>2494</v>
      </c>
      <c r="D110" s="1594" t="s">
        <v>4954</v>
      </c>
      <c r="E110" s="1594" t="s">
        <v>4926</v>
      </c>
      <c r="F110" s="1581" t="s">
        <v>4927</v>
      </c>
      <c r="G110" s="1581">
        <v>97</v>
      </c>
      <c r="H110" s="1609" t="s">
        <v>1877</v>
      </c>
      <c r="I110" s="1581" t="s">
        <v>1079</v>
      </c>
      <c r="J110" s="1595" t="s">
        <v>4929</v>
      </c>
      <c r="K110" s="1595">
        <v>-0.18</v>
      </c>
      <c r="L110" s="1594" t="s">
        <v>4957</v>
      </c>
      <c r="M110" s="1596">
        <v>44287</v>
      </c>
    </row>
    <row r="111" spans="1:13" s="1378" customFormat="1" ht="42.75">
      <c r="A111" s="1581">
        <v>102</v>
      </c>
      <c r="B111" s="1608" t="s">
        <v>1032</v>
      </c>
      <c r="C111" s="1609" t="s">
        <v>2664</v>
      </c>
      <c r="D111" s="1609" t="s">
        <v>2666</v>
      </c>
      <c r="E111" s="1594" t="s">
        <v>4926</v>
      </c>
      <c r="F111" s="1581" t="s">
        <v>4927</v>
      </c>
      <c r="G111" s="1581">
        <v>97</v>
      </c>
      <c r="H111" s="1609" t="s">
        <v>1876</v>
      </c>
      <c r="I111" s="1581" t="s">
        <v>1079</v>
      </c>
      <c r="J111" s="1595">
        <v>-0.29430000000000001</v>
      </c>
      <c r="K111" s="1595">
        <v>-0.36899999999999999</v>
      </c>
      <c r="L111" s="1594" t="s">
        <v>4958</v>
      </c>
      <c r="M111" s="1596">
        <v>44287</v>
      </c>
    </row>
    <row r="112" spans="1:13" s="1378" customFormat="1" ht="28.5">
      <c r="A112" s="1581">
        <v>103</v>
      </c>
      <c r="B112" s="1608" t="s">
        <v>1032</v>
      </c>
      <c r="C112" s="1609" t="s">
        <v>2669</v>
      </c>
      <c r="D112" s="1609" t="s">
        <v>2671</v>
      </c>
      <c r="E112" s="1594" t="s">
        <v>4926</v>
      </c>
      <c r="F112" s="1581" t="s">
        <v>4927</v>
      </c>
      <c r="G112" s="1581">
        <v>97</v>
      </c>
      <c r="H112" s="1609" t="s">
        <v>1876</v>
      </c>
      <c r="I112" s="1581" t="s">
        <v>1079</v>
      </c>
      <c r="J112" s="1604">
        <v>-4.7399999999999998E-2</v>
      </c>
      <c r="K112" s="1604">
        <v>-4.6199999999999998E-2</v>
      </c>
      <c r="L112" s="1594" t="s">
        <v>4959</v>
      </c>
      <c r="M112" s="1596">
        <v>44287</v>
      </c>
    </row>
    <row r="113" spans="1:13" s="1378" customFormat="1" ht="28.5">
      <c r="A113" s="1581">
        <v>104</v>
      </c>
      <c r="B113" s="1608" t="s">
        <v>1032</v>
      </c>
      <c r="C113" s="1609" t="s">
        <v>2673</v>
      </c>
      <c r="D113" s="1609" t="s">
        <v>2675</v>
      </c>
      <c r="E113" s="1594" t="s">
        <v>4926</v>
      </c>
      <c r="F113" s="1581" t="s">
        <v>4927</v>
      </c>
      <c r="G113" s="1581">
        <v>97</v>
      </c>
      <c r="H113" s="1609" t="s">
        <v>1876</v>
      </c>
      <c r="I113" s="1581" t="s">
        <v>1079</v>
      </c>
      <c r="J113" s="1595">
        <v>-0.19900000000000001</v>
      </c>
      <c r="K113" s="1595">
        <v>-0.19400000000000001</v>
      </c>
      <c r="L113" s="1594" t="s">
        <v>4960</v>
      </c>
      <c r="M113" s="1596">
        <v>44287</v>
      </c>
    </row>
    <row r="114" spans="1:13" s="1378" customFormat="1" ht="28.5">
      <c r="A114" s="1581">
        <v>105</v>
      </c>
      <c r="B114" s="1608" t="s">
        <v>1032</v>
      </c>
      <c r="C114" s="1609" t="s">
        <v>2678</v>
      </c>
      <c r="D114" s="1609" t="s">
        <v>4961</v>
      </c>
      <c r="E114" s="1594" t="s">
        <v>4926</v>
      </c>
      <c r="F114" s="1581" t="s">
        <v>4927</v>
      </c>
      <c r="G114" s="1581">
        <v>97</v>
      </c>
      <c r="H114" s="1609" t="s">
        <v>1876</v>
      </c>
      <c r="I114" s="1581" t="s">
        <v>1079</v>
      </c>
      <c r="J114" s="1604">
        <v>-9.74E-2</v>
      </c>
      <c r="K114" s="1595">
        <v>-0.127</v>
      </c>
      <c r="L114" s="1594" t="s">
        <v>4962</v>
      </c>
      <c r="M114" s="1596">
        <v>44287</v>
      </c>
    </row>
    <row r="115" spans="1:13" s="1378" customFormat="1" ht="42.75">
      <c r="A115" s="1581">
        <v>106</v>
      </c>
      <c r="B115" s="1608" t="s">
        <v>1032</v>
      </c>
      <c r="C115" s="1609" t="s">
        <v>2683</v>
      </c>
      <c r="D115" s="1609" t="s">
        <v>2685</v>
      </c>
      <c r="E115" s="1594" t="s">
        <v>4926</v>
      </c>
      <c r="F115" s="1581" t="s">
        <v>4927</v>
      </c>
      <c r="G115" s="1581">
        <v>97</v>
      </c>
      <c r="H115" s="1609" t="s">
        <v>1876</v>
      </c>
      <c r="I115" s="1581" t="s">
        <v>1079</v>
      </c>
      <c r="J115" s="1604">
        <v>-7.1000000000000004E-3</v>
      </c>
      <c r="K115" s="1604">
        <v>-7.3000000000000001E-3</v>
      </c>
      <c r="L115" s="1594" t="s">
        <v>4963</v>
      </c>
      <c r="M115" s="1596">
        <v>44287</v>
      </c>
    </row>
    <row r="116" spans="1:13" s="1378" customFormat="1" ht="28.5">
      <c r="A116" s="1581">
        <v>107</v>
      </c>
      <c r="B116" s="1608" t="s">
        <v>1032</v>
      </c>
      <c r="C116" s="1609" t="s">
        <v>2699</v>
      </c>
      <c r="D116" s="1609" t="s">
        <v>2701</v>
      </c>
      <c r="E116" s="1594" t="s">
        <v>4926</v>
      </c>
      <c r="F116" s="1581" t="s">
        <v>4927</v>
      </c>
      <c r="G116" s="1581">
        <v>97</v>
      </c>
      <c r="H116" s="1609" t="s">
        <v>1876</v>
      </c>
      <c r="I116" s="1581" t="s">
        <v>1079</v>
      </c>
      <c r="J116" s="1604">
        <v>-2.0899999999999998E-2</v>
      </c>
      <c r="K116" s="1604">
        <v>-2.7400000000000001E-2</v>
      </c>
      <c r="L116" s="1594" t="s">
        <v>4964</v>
      </c>
      <c r="M116" s="1596">
        <v>44287</v>
      </c>
    </row>
    <row r="117" spans="1:13" s="1378" customFormat="1" ht="28.5">
      <c r="A117" s="1581">
        <v>108</v>
      </c>
      <c r="B117" s="1608" t="s">
        <v>1032</v>
      </c>
      <c r="C117" s="1609" t="s">
        <v>2692</v>
      </c>
      <c r="D117" s="1609" t="s">
        <v>2143</v>
      </c>
      <c r="E117" s="1594" t="s">
        <v>4926</v>
      </c>
      <c r="F117" s="1581" t="s">
        <v>4927</v>
      </c>
      <c r="G117" s="1581">
        <v>97</v>
      </c>
      <c r="H117" s="1609" t="s">
        <v>1876</v>
      </c>
      <c r="I117" s="1581" t="s">
        <v>1079</v>
      </c>
      <c r="J117" s="1604">
        <v>-1.78E-2</v>
      </c>
      <c r="K117" s="1604">
        <v>-1.83E-2</v>
      </c>
      <c r="L117" s="1594" t="s">
        <v>4965</v>
      </c>
      <c r="M117" s="1596">
        <v>44287</v>
      </c>
    </row>
    <row r="118" spans="1:13" s="1378" customFormat="1" ht="14.25">
      <c r="A118" s="1581">
        <v>109</v>
      </c>
      <c r="B118" s="1593" t="s">
        <v>1032</v>
      </c>
      <c r="C118" s="1594" t="s">
        <v>2489</v>
      </c>
      <c r="D118" s="1594" t="s">
        <v>4953</v>
      </c>
      <c r="E118" s="1594" t="s">
        <v>4926</v>
      </c>
      <c r="F118" s="1581" t="s">
        <v>4927</v>
      </c>
      <c r="G118" s="1581">
        <v>100</v>
      </c>
      <c r="H118" s="1581" t="s">
        <v>1879</v>
      </c>
      <c r="I118" s="1581" t="s">
        <v>1079</v>
      </c>
      <c r="J118" s="1595">
        <v>-0.26645000000000002</v>
      </c>
      <c r="K118" s="1595" t="s">
        <v>4929</v>
      </c>
      <c r="L118" s="1594" t="s">
        <v>4930</v>
      </c>
      <c r="M118" s="1596">
        <v>44287</v>
      </c>
    </row>
    <row r="119" spans="1:13" s="1378" customFormat="1" ht="14.25">
      <c r="A119" s="1581">
        <v>110</v>
      </c>
      <c r="B119" s="1593" t="s">
        <v>1032</v>
      </c>
      <c r="C119" s="1594" t="s">
        <v>2494</v>
      </c>
      <c r="D119" s="1594" t="s">
        <v>4954</v>
      </c>
      <c r="E119" s="1594" t="s">
        <v>4926</v>
      </c>
      <c r="F119" s="1581" t="s">
        <v>4927</v>
      </c>
      <c r="G119" s="1581">
        <v>100</v>
      </c>
      <c r="H119" s="1581" t="s">
        <v>1879</v>
      </c>
      <c r="I119" s="1581" t="s">
        <v>1079</v>
      </c>
      <c r="J119" s="1595">
        <v>-0.48801299999999997</v>
      </c>
      <c r="K119" s="1595" t="s">
        <v>4929</v>
      </c>
      <c r="L119" s="1594" t="s">
        <v>4930</v>
      </c>
      <c r="M119" s="1596">
        <v>44287</v>
      </c>
    </row>
    <row r="120" spans="1:13" s="1378" customFormat="1" ht="14.25">
      <c r="A120" s="1581">
        <v>111</v>
      </c>
      <c r="B120" s="1593" t="s">
        <v>1032</v>
      </c>
      <c r="C120" s="1594" t="s">
        <v>2489</v>
      </c>
      <c r="D120" s="1594" t="s">
        <v>4953</v>
      </c>
      <c r="E120" s="1594" t="s">
        <v>4926</v>
      </c>
      <c r="F120" s="1581" t="s">
        <v>4927</v>
      </c>
      <c r="G120" s="1581">
        <v>104</v>
      </c>
      <c r="H120" s="1581" t="s">
        <v>1883</v>
      </c>
      <c r="I120" s="1581" t="s">
        <v>1079</v>
      </c>
      <c r="J120" s="1595">
        <v>0.26645000000000002</v>
      </c>
      <c r="K120" s="1595" t="s">
        <v>4929</v>
      </c>
      <c r="L120" s="1594" t="s">
        <v>4930</v>
      </c>
      <c r="M120" s="1596">
        <v>44287</v>
      </c>
    </row>
    <row r="121" spans="1:13" s="1378" customFormat="1" ht="14.25">
      <c r="A121" s="1581">
        <v>112</v>
      </c>
      <c r="B121" s="1593" t="s">
        <v>1032</v>
      </c>
      <c r="C121" s="1594" t="s">
        <v>2494</v>
      </c>
      <c r="D121" s="1594" t="s">
        <v>4954</v>
      </c>
      <c r="E121" s="1594" t="s">
        <v>4926</v>
      </c>
      <c r="F121" s="1581" t="s">
        <v>4927</v>
      </c>
      <c r="G121" s="1581">
        <v>104</v>
      </c>
      <c r="H121" s="1581" t="s">
        <v>1883</v>
      </c>
      <c r="I121" s="1581" t="s">
        <v>1079</v>
      </c>
      <c r="J121" s="1595">
        <v>0.48801299999999997</v>
      </c>
      <c r="K121" s="1595" t="s">
        <v>4929</v>
      </c>
      <c r="L121" s="1594" t="s">
        <v>4930</v>
      </c>
      <c r="M121" s="1596">
        <v>44287</v>
      </c>
    </row>
    <row r="122" spans="1:13" s="1378" customFormat="1" ht="42.75">
      <c r="A122" s="1581">
        <v>113</v>
      </c>
      <c r="B122" s="1608" t="s">
        <v>1032</v>
      </c>
      <c r="C122" s="1609" t="s">
        <v>4966</v>
      </c>
      <c r="D122" s="1594" t="s">
        <v>4967</v>
      </c>
      <c r="E122" s="1594" t="s">
        <v>4926</v>
      </c>
      <c r="F122" s="1581" t="s">
        <v>4927</v>
      </c>
      <c r="G122" s="1581"/>
      <c r="H122" s="1581"/>
      <c r="I122" s="1581"/>
      <c r="J122" s="1595" t="s">
        <v>4968</v>
      </c>
      <c r="K122" s="1595" t="s">
        <v>4968</v>
      </c>
      <c r="L122" s="1594" t="s">
        <v>4969</v>
      </c>
      <c r="M122" s="1596">
        <v>44287</v>
      </c>
    </row>
    <row r="123" spans="1:13" s="1378" customFormat="1" ht="14.25">
      <c r="A123" s="1581">
        <v>114</v>
      </c>
      <c r="B123" s="1608" t="s">
        <v>1057</v>
      </c>
      <c r="C123" s="1609" t="s">
        <v>4668</v>
      </c>
      <c r="D123" s="1609" t="s">
        <v>4925</v>
      </c>
      <c r="E123" s="1594" t="s">
        <v>4926</v>
      </c>
      <c r="F123" s="1581" t="s">
        <v>4927</v>
      </c>
      <c r="G123" s="1581">
        <v>77</v>
      </c>
      <c r="H123" s="1581" t="s">
        <v>1827</v>
      </c>
      <c r="I123" s="1581" t="s">
        <v>1027</v>
      </c>
      <c r="J123" s="1595">
        <v>2</v>
      </c>
      <c r="K123" s="1595">
        <v>1.5</v>
      </c>
      <c r="L123" s="1594" t="s">
        <v>4928</v>
      </c>
      <c r="M123" s="1596">
        <v>44287</v>
      </c>
    </row>
    <row r="124" spans="1:13" s="1378" customFormat="1" ht="14.25">
      <c r="A124" s="1581">
        <v>115</v>
      </c>
      <c r="B124" s="1608" t="s">
        <v>1057</v>
      </c>
      <c r="C124" s="1609" t="s">
        <v>4668</v>
      </c>
      <c r="D124" s="1609" t="s">
        <v>4925</v>
      </c>
      <c r="E124" s="1594" t="s">
        <v>4926</v>
      </c>
      <c r="F124" s="1581" t="s">
        <v>4927</v>
      </c>
      <c r="G124" s="1581">
        <v>77</v>
      </c>
      <c r="H124" s="1581" t="s">
        <v>1827</v>
      </c>
      <c r="I124" s="1581" t="s">
        <v>88</v>
      </c>
      <c r="J124" s="1595">
        <v>2</v>
      </c>
      <c r="K124" s="1595">
        <v>1.5</v>
      </c>
      <c r="L124" s="1594" t="s">
        <v>4928</v>
      </c>
      <c r="M124" s="1596">
        <v>44287</v>
      </c>
    </row>
    <row r="125" spans="1:13" s="1378" customFormat="1" ht="14.25">
      <c r="A125" s="1581">
        <v>116</v>
      </c>
      <c r="B125" s="1608" t="s">
        <v>1057</v>
      </c>
      <c r="C125" s="1609" t="s">
        <v>4668</v>
      </c>
      <c r="D125" s="1609" t="s">
        <v>4925</v>
      </c>
      <c r="E125" s="1594" t="s">
        <v>4926</v>
      </c>
      <c r="F125" s="1581" t="s">
        <v>4927</v>
      </c>
      <c r="G125" s="1581">
        <v>77</v>
      </c>
      <c r="H125" s="1581" t="s">
        <v>1827</v>
      </c>
      <c r="I125" s="1581" t="s">
        <v>1034</v>
      </c>
      <c r="J125" s="1595">
        <v>2</v>
      </c>
      <c r="K125" s="1595">
        <v>1.5</v>
      </c>
      <c r="L125" s="1594" t="s">
        <v>4928</v>
      </c>
      <c r="M125" s="1596">
        <v>44287</v>
      </c>
    </row>
    <row r="126" spans="1:13" s="1378" customFormat="1" ht="14.25">
      <c r="A126" s="1581">
        <v>117</v>
      </c>
      <c r="B126" s="1593" t="s">
        <v>1057</v>
      </c>
      <c r="C126" s="1594" t="s">
        <v>4674</v>
      </c>
      <c r="D126" s="1594" t="s">
        <v>669</v>
      </c>
      <c r="E126" s="1594" t="s">
        <v>4926</v>
      </c>
      <c r="F126" s="1581" t="s">
        <v>4927</v>
      </c>
      <c r="G126" s="1581">
        <v>67</v>
      </c>
      <c r="H126" s="1581" t="s">
        <v>1825</v>
      </c>
      <c r="I126" s="1581" t="s">
        <v>1012</v>
      </c>
      <c r="J126" s="1595">
        <v>348.76805357173879</v>
      </c>
      <c r="K126" s="1595" t="s">
        <v>4929</v>
      </c>
      <c r="L126" s="1594" t="s">
        <v>4930</v>
      </c>
      <c r="M126" s="1596">
        <v>44287</v>
      </c>
    </row>
    <row r="127" spans="1:13" s="1378" customFormat="1" ht="14.25">
      <c r="A127" s="1581">
        <v>118</v>
      </c>
      <c r="B127" s="1593" t="s">
        <v>1057</v>
      </c>
      <c r="C127" s="1594" t="s">
        <v>4674</v>
      </c>
      <c r="D127" s="1594" t="s">
        <v>669</v>
      </c>
      <c r="E127" s="1594" t="s">
        <v>4926</v>
      </c>
      <c r="F127" s="1581" t="s">
        <v>4927</v>
      </c>
      <c r="G127" s="1581">
        <v>67</v>
      </c>
      <c r="H127" s="1581" t="s">
        <v>1825</v>
      </c>
      <c r="I127" s="1581" t="s">
        <v>1022</v>
      </c>
      <c r="J127" s="1595">
        <v>348.76805357173879</v>
      </c>
      <c r="K127" s="1595" t="s">
        <v>4929</v>
      </c>
      <c r="L127" s="1594" t="s">
        <v>4930</v>
      </c>
      <c r="M127" s="1596">
        <v>44287</v>
      </c>
    </row>
    <row r="128" spans="1:13" s="1378" customFormat="1" ht="14.25">
      <c r="A128" s="1581">
        <v>119</v>
      </c>
      <c r="B128" s="1593" t="s">
        <v>1057</v>
      </c>
      <c r="C128" s="1594" t="s">
        <v>4674</v>
      </c>
      <c r="D128" s="1594" t="s">
        <v>669</v>
      </c>
      <c r="E128" s="1594" t="s">
        <v>4926</v>
      </c>
      <c r="F128" s="1581" t="s">
        <v>4927</v>
      </c>
      <c r="G128" s="1581">
        <v>67</v>
      </c>
      <c r="H128" s="1581" t="s">
        <v>1825</v>
      </c>
      <c r="I128" s="1581" t="s">
        <v>1027</v>
      </c>
      <c r="J128" s="1595">
        <v>348.76805357173879</v>
      </c>
      <c r="K128" s="1595" t="s">
        <v>4929</v>
      </c>
      <c r="L128" s="1594" t="s">
        <v>4930</v>
      </c>
      <c r="M128" s="1596">
        <v>44287</v>
      </c>
    </row>
    <row r="129" spans="1:13" s="1378" customFormat="1" ht="14.25">
      <c r="A129" s="1581">
        <v>120</v>
      </c>
      <c r="B129" s="1593" t="s">
        <v>1057</v>
      </c>
      <c r="C129" s="1594" t="s">
        <v>4674</v>
      </c>
      <c r="D129" s="1594" t="s">
        <v>669</v>
      </c>
      <c r="E129" s="1594" t="s">
        <v>4926</v>
      </c>
      <c r="F129" s="1581" t="s">
        <v>4927</v>
      </c>
      <c r="G129" s="1581">
        <v>67</v>
      </c>
      <c r="H129" s="1581" t="s">
        <v>1825</v>
      </c>
      <c r="I129" s="1581" t="s">
        <v>88</v>
      </c>
      <c r="J129" s="1595">
        <v>348.76805357173879</v>
      </c>
      <c r="K129" s="1595" t="s">
        <v>4929</v>
      </c>
      <c r="L129" s="1594" t="s">
        <v>4930</v>
      </c>
      <c r="M129" s="1596">
        <v>44287</v>
      </c>
    </row>
    <row r="130" spans="1:13" s="1378" customFormat="1" ht="14.25">
      <c r="A130" s="1581">
        <v>121</v>
      </c>
      <c r="B130" s="1593" t="s">
        <v>1057</v>
      </c>
      <c r="C130" s="1594" t="s">
        <v>4674</v>
      </c>
      <c r="D130" s="1594" t="s">
        <v>669</v>
      </c>
      <c r="E130" s="1594" t="s">
        <v>4926</v>
      </c>
      <c r="F130" s="1581" t="s">
        <v>4927</v>
      </c>
      <c r="G130" s="1581">
        <v>67</v>
      </c>
      <c r="H130" s="1581" t="s">
        <v>1825</v>
      </c>
      <c r="I130" s="1581" t="s">
        <v>1034</v>
      </c>
      <c r="J130" s="1595">
        <v>348.76805357173879</v>
      </c>
      <c r="K130" s="1595" t="s">
        <v>4929</v>
      </c>
      <c r="L130" s="1594" t="s">
        <v>4930</v>
      </c>
      <c r="M130" s="1596">
        <v>44287</v>
      </c>
    </row>
    <row r="131" spans="1:13" s="1378" customFormat="1" ht="14.25">
      <c r="A131" s="1581">
        <v>122</v>
      </c>
      <c r="B131" s="1593" t="s">
        <v>1057</v>
      </c>
      <c r="C131" s="1594" t="s">
        <v>4674</v>
      </c>
      <c r="D131" s="1594" t="s">
        <v>669</v>
      </c>
      <c r="E131" s="1594" t="s">
        <v>4926</v>
      </c>
      <c r="F131" s="1581" t="s">
        <v>4927</v>
      </c>
      <c r="G131" s="1581">
        <v>92</v>
      </c>
      <c r="H131" s="1581" t="s">
        <v>1830</v>
      </c>
      <c r="I131" s="1581" t="s">
        <v>1012</v>
      </c>
      <c r="J131" s="1595" t="s">
        <v>4805</v>
      </c>
      <c r="K131" s="1595" t="s">
        <v>4929</v>
      </c>
      <c r="L131" s="1594" t="s">
        <v>4930</v>
      </c>
      <c r="M131" s="1596">
        <v>44287</v>
      </c>
    </row>
    <row r="132" spans="1:13" s="1378" customFormat="1" ht="14.25">
      <c r="A132" s="1581">
        <v>123</v>
      </c>
      <c r="B132" s="1593" t="s">
        <v>1057</v>
      </c>
      <c r="C132" s="1594" t="s">
        <v>4674</v>
      </c>
      <c r="D132" s="1594" t="s">
        <v>669</v>
      </c>
      <c r="E132" s="1594" t="s">
        <v>4926</v>
      </c>
      <c r="F132" s="1581" t="s">
        <v>4927</v>
      </c>
      <c r="G132" s="1581">
        <v>92</v>
      </c>
      <c r="H132" s="1581" t="s">
        <v>1830</v>
      </c>
      <c r="I132" s="1581" t="s">
        <v>1022</v>
      </c>
      <c r="J132" s="1595" t="s">
        <v>4805</v>
      </c>
      <c r="K132" s="1595" t="s">
        <v>4929</v>
      </c>
      <c r="L132" s="1594" t="s">
        <v>4930</v>
      </c>
      <c r="M132" s="1596">
        <v>44287</v>
      </c>
    </row>
    <row r="133" spans="1:13" s="1378" customFormat="1" ht="14.25">
      <c r="A133" s="1581">
        <v>124</v>
      </c>
      <c r="B133" s="1593" t="s">
        <v>1057</v>
      </c>
      <c r="C133" s="1594" t="s">
        <v>4674</v>
      </c>
      <c r="D133" s="1594" t="s">
        <v>669</v>
      </c>
      <c r="E133" s="1594" t="s">
        <v>4926</v>
      </c>
      <c r="F133" s="1581" t="s">
        <v>4927</v>
      </c>
      <c r="G133" s="1581">
        <v>92</v>
      </c>
      <c r="H133" s="1581" t="s">
        <v>1830</v>
      </c>
      <c r="I133" s="1581" t="s">
        <v>1027</v>
      </c>
      <c r="J133" s="1595" t="s">
        <v>4805</v>
      </c>
      <c r="K133" s="1595" t="s">
        <v>4929</v>
      </c>
      <c r="L133" s="1594" t="s">
        <v>4930</v>
      </c>
      <c r="M133" s="1596">
        <v>44287</v>
      </c>
    </row>
    <row r="134" spans="1:13" s="1378" customFormat="1" ht="14.25">
      <c r="A134" s="1581">
        <v>125</v>
      </c>
      <c r="B134" s="1593" t="s">
        <v>1057</v>
      </c>
      <c r="C134" s="1594" t="s">
        <v>4674</v>
      </c>
      <c r="D134" s="1594" t="s">
        <v>669</v>
      </c>
      <c r="E134" s="1594" t="s">
        <v>4926</v>
      </c>
      <c r="F134" s="1581" t="s">
        <v>4927</v>
      </c>
      <c r="G134" s="1581">
        <v>92</v>
      </c>
      <c r="H134" s="1581" t="s">
        <v>1830</v>
      </c>
      <c r="I134" s="1581" t="s">
        <v>88</v>
      </c>
      <c r="J134" s="1595" t="s">
        <v>4805</v>
      </c>
      <c r="K134" s="1595" t="s">
        <v>4929</v>
      </c>
      <c r="L134" s="1594" t="s">
        <v>4930</v>
      </c>
      <c r="M134" s="1596">
        <v>44287</v>
      </c>
    </row>
    <row r="135" spans="1:13" s="1378" customFormat="1" ht="14.25">
      <c r="A135" s="1581">
        <v>126</v>
      </c>
      <c r="B135" s="1593" t="s">
        <v>1057</v>
      </c>
      <c r="C135" s="1594" t="s">
        <v>4674</v>
      </c>
      <c r="D135" s="1594" t="s">
        <v>669</v>
      </c>
      <c r="E135" s="1594" t="s">
        <v>4926</v>
      </c>
      <c r="F135" s="1581" t="s">
        <v>4927</v>
      </c>
      <c r="G135" s="1581">
        <v>92</v>
      </c>
      <c r="H135" s="1581" t="s">
        <v>1830</v>
      </c>
      <c r="I135" s="1581" t="s">
        <v>1034</v>
      </c>
      <c r="J135" s="1595" t="s">
        <v>4805</v>
      </c>
      <c r="K135" s="1595" t="s">
        <v>4929</v>
      </c>
      <c r="L135" s="1594" t="s">
        <v>4930</v>
      </c>
      <c r="M135" s="1596">
        <v>44287</v>
      </c>
    </row>
    <row r="136" spans="1:13" s="1378" customFormat="1" ht="42.75">
      <c r="A136" s="1581">
        <v>127</v>
      </c>
      <c r="B136" s="1593" t="s">
        <v>1057</v>
      </c>
      <c r="C136" s="1594" t="s">
        <v>4674</v>
      </c>
      <c r="D136" s="1594" t="s">
        <v>669</v>
      </c>
      <c r="E136" s="1594" t="s">
        <v>4926</v>
      </c>
      <c r="F136" s="1581" t="s">
        <v>4927</v>
      </c>
      <c r="G136" s="1581">
        <v>97</v>
      </c>
      <c r="H136" s="1597" t="s">
        <v>1877</v>
      </c>
      <c r="I136" s="1581" t="s">
        <v>1079</v>
      </c>
      <c r="J136" s="1595" t="s">
        <v>4929</v>
      </c>
      <c r="K136" s="1595">
        <v>-0.253</v>
      </c>
      <c r="L136" s="1594" t="s">
        <v>4970</v>
      </c>
      <c r="M136" s="1596">
        <v>44287</v>
      </c>
    </row>
    <row r="137" spans="1:13" s="1378" customFormat="1" ht="14.25">
      <c r="A137" s="1581">
        <v>128</v>
      </c>
      <c r="B137" s="1593" t="s">
        <v>1057</v>
      </c>
      <c r="C137" s="1594" t="s">
        <v>4674</v>
      </c>
      <c r="D137" s="1594" t="s">
        <v>669</v>
      </c>
      <c r="E137" s="1594" t="s">
        <v>4926</v>
      </c>
      <c r="F137" s="1581" t="s">
        <v>4927</v>
      </c>
      <c r="G137" s="1581">
        <v>100</v>
      </c>
      <c r="H137" s="1581" t="s">
        <v>1879</v>
      </c>
      <c r="I137" s="1581" t="s">
        <v>1079</v>
      </c>
      <c r="J137" s="1595">
        <v>-0.70199387493371368</v>
      </c>
      <c r="K137" s="1595" t="s">
        <v>4929</v>
      </c>
      <c r="L137" s="1594" t="s">
        <v>4930</v>
      </c>
      <c r="M137" s="1596">
        <v>44287</v>
      </c>
    </row>
    <row r="138" spans="1:13" s="1378" customFormat="1" ht="14.25">
      <c r="A138" s="1581">
        <v>129</v>
      </c>
      <c r="B138" s="1593" t="s">
        <v>1057</v>
      </c>
      <c r="C138" s="1594" t="s">
        <v>4674</v>
      </c>
      <c r="D138" s="1594" t="s">
        <v>669</v>
      </c>
      <c r="E138" s="1594" t="s">
        <v>4926</v>
      </c>
      <c r="F138" s="1581" t="s">
        <v>4927</v>
      </c>
      <c r="G138" s="1581">
        <v>104</v>
      </c>
      <c r="H138" s="1581" t="s">
        <v>1883</v>
      </c>
      <c r="I138" s="1581" t="s">
        <v>1079</v>
      </c>
      <c r="J138" s="1595">
        <v>0.70199387493371368</v>
      </c>
      <c r="K138" s="1595" t="s">
        <v>4929</v>
      </c>
      <c r="L138" s="1594" t="s">
        <v>4930</v>
      </c>
      <c r="M138" s="1596">
        <v>44287</v>
      </c>
    </row>
    <row r="139" spans="1:13" s="1378" customFormat="1" ht="14.25">
      <c r="A139" s="1581">
        <v>130</v>
      </c>
      <c r="B139" s="1593" t="s">
        <v>1057</v>
      </c>
      <c r="C139" s="1594" t="s">
        <v>4677</v>
      </c>
      <c r="D139" s="1594" t="s">
        <v>4936</v>
      </c>
      <c r="E139" s="1594" t="s">
        <v>4926</v>
      </c>
      <c r="F139" s="1581" t="s">
        <v>4927</v>
      </c>
      <c r="G139" s="1581">
        <v>77</v>
      </c>
      <c r="H139" s="1581" t="s">
        <v>1827</v>
      </c>
      <c r="I139" s="1581" t="s">
        <v>1012</v>
      </c>
      <c r="J139" s="1595" t="s">
        <v>4929</v>
      </c>
      <c r="K139" s="1595">
        <v>6.14</v>
      </c>
      <c r="L139" s="1594" t="s">
        <v>4955</v>
      </c>
      <c r="M139" s="1596">
        <v>44287</v>
      </c>
    </row>
    <row r="140" spans="1:13" s="1378" customFormat="1" ht="14.25">
      <c r="A140" s="1581">
        <v>131</v>
      </c>
      <c r="B140" s="1593" t="s">
        <v>1057</v>
      </c>
      <c r="C140" s="1594" t="s">
        <v>4677</v>
      </c>
      <c r="D140" s="1594" t="s">
        <v>4936</v>
      </c>
      <c r="E140" s="1594" t="s">
        <v>4926</v>
      </c>
      <c r="F140" s="1581" t="s">
        <v>4927</v>
      </c>
      <c r="G140" s="1581">
        <v>77</v>
      </c>
      <c r="H140" s="1581" t="s">
        <v>1827</v>
      </c>
      <c r="I140" s="1581" t="s">
        <v>1022</v>
      </c>
      <c r="J140" s="1595" t="s">
        <v>4929</v>
      </c>
      <c r="K140" s="1595">
        <v>5.3</v>
      </c>
      <c r="L140" s="1594" t="s">
        <v>4955</v>
      </c>
      <c r="M140" s="1596">
        <v>44287</v>
      </c>
    </row>
    <row r="141" spans="1:13" s="1378" customFormat="1" ht="14.25">
      <c r="A141" s="1581">
        <v>132</v>
      </c>
      <c r="B141" s="1593" t="s">
        <v>1057</v>
      </c>
      <c r="C141" s="1594" t="s">
        <v>4677</v>
      </c>
      <c r="D141" s="1594" t="s">
        <v>4936</v>
      </c>
      <c r="E141" s="1594" t="s">
        <v>4926</v>
      </c>
      <c r="F141" s="1581" t="s">
        <v>4927</v>
      </c>
      <c r="G141" s="1581">
        <v>77</v>
      </c>
      <c r="H141" s="1581" t="s">
        <v>1827</v>
      </c>
      <c r="I141" s="1581" t="s">
        <v>1027</v>
      </c>
      <c r="J141" s="1595" t="s">
        <v>4929</v>
      </c>
      <c r="K141" s="1595">
        <v>4.4800000000000004</v>
      </c>
      <c r="L141" s="1594" t="s">
        <v>4955</v>
      </c>
      <c r="M141" s="1596">
        <v>44287</v>
      </c>
    </row>
    <row r="142" spans="1:13" s="1378" customFormat="1" ht="14.25">
      <c r="A142" s="1581">
        <v>133</v>
      </c>
      <c r="B142" s="1593" t="s">
        <v>1057</v>
      </c>
      <c r="C142" s="1594" t="s">
        <v>4677</v>
      </c>
      <c r="D142" s="1594" t="s">
        <v>4936</v>
      </c>
      <c r="E142" s="1594" t="s">
        <v>4926</v>
      </c>
      <c r="F142" s="1581" t="s">
        <v>4927</v>
      </c>
      <c r="G142" s="1581">
        <v>77</v>
      </c>
      <c r="H142" s="1581" t="s">
        <v>1827</v>
      </c>
      <c r="I142" s="1581" t="s">
        <v>88</v>
      </c>
      <c r="J142" s="1595" t="s">
        <v>4929</v>
      </c>
      <c r="K142" s="1595">
        <v>3.64</v>
      </c>
      <c r="L142" s="1594" t="s">
        <v>4955</v>
      </c>
      <c r="M142" s="1596">
        <v>44287</v>
      </c>
    </row>
    <row r="143" spans="1:13" s="1378" customFormat="1" ht="14.25">
      <c r="A143" s="1581">
        <v>134</v>
      </c>
      <c r="B143" s="1593" t="s">
        <v>1057</v>
      </c>
      <c r="C143" s="1594" t="s">
        <v>4677</v>
      </c>
      <c r="D143" s="1594" t="s">
        <v>4936</v>
      </c>
      <c r="E143" s="1594" t="s">
        <v>4926</v>
      </c>
      <c r="F143" s="1581" t="s">
        <v>4927</v>
      </c>
      <c r="G143" s="1581">
        <v>77</v>
      </c>
      <c r="H143" s="1581" t="s">
        <v>1827</v>
      </c>
      <c r="I143" s="1581" t="s">
        <v>1034</v>
      </c>
      <c r="J143" s="1595" t="s">
        <v>4929</v>
      </c>
      <c r="K143" s="1595">
        <v>2.81</v>
      </c>
      <c r="L143" s="1594" t="s">
        <v>4955</v>
      </c>
      <c r="M143" s="1596">
        <v>44287</v>
      </c>
    </row>
    <row r="144" spans="1:13" s="1378" customFormat="1" ht="14.25">
      <c r="A144" s="1581">
        <v>135</v>
      </c>
      <c r="B144" s="1593" t="s">
        <v>1057</v>
      </c>
      <c r="C144" s="1594" t="s">
        <v>4680</v>
      </c>
      <c r="D144" s="1594" t="s">
        <v>4934</v>
      </c>
      <c r="E144" s="1594" t="s">
        <v>4926</v>
      </c>
      <c r="F144" s="1581" t="s">
        <v>4927</v>
      </c>
      <c r="G144" s="1581">
        <v>77</v>
      </c>
      <c r="H144" s="1581" t="s">
        <v>1827</v>
      </c>
      <c r="I144" s="1581" t="s">
        <v>1012</v>
      </c>
      <c r="J144" s="1595" t="s">
        <v>4929</v>
      </c>
      <c r="K144" s="1595">
        <v>196.1</v>
      </c>
      <c r="L144" s="1594" t="s">
        <v>4935</v>
      </c>
      <c r="M144" s="1596">
        <v>44287</v>
      </c>
    </row>
    <row r="145" spans="1:13" s="1378" customFormat="1" ht="14.25">
      <c r="A145" s="1581">
        <v>136</v>
      </c>
      <c r="B145" s="1593" t="s">
        <v>1057</v>
      </c>
      <c r="C145" s="1594" t="s">
        <v>4680</v>
      </c>
      <c r="D145" s="1594" t="s">
        <v>4934</v>
      </c>
      <c r="E145" s="1594" t="s">
        <v>4926</v>
      </c>
      <c r="F145" s="1581" t="s">
        <v>4927</v>
      </c>
      <c r="G145" s="1581">
        <v>77</v>
      </c>
      <c r="H145" s="1581" t="s">
        <v>1827</v>
      </c>
      <c r="I145" s="1581" t="s">
        <v>1022</v>
      </c>
      <c r="J145" s="1595" t="s">
        <v>4929</v>
      </c>
      <c r="K145" s="1595">
        <v>193.6</v>
      </c>
      <c r="L145" s="1594" t="s">
        <v>4935</v>
      </c>
      <c r="M145" s="1596">
        <v>44287</v>
      </c>
    </row>
    <row r="146" spans="1:13" s="1378" customFormat="1" ht="14.25">
      <c r="A146" s="1581">
        <v>137</v>
      </c>
      <c r="B146" s="1593" t="s">
        <v>1057</v>
      </c>
      <c r="C146" s="1594" t="s">
        <v>4680</v>
      </c>
      <c r="D146" s="1594" t="s">
        <v>4934</v>
      </c>
      <c r="E146" s="1594" t="s">
        <v>4926</v>
      </c>
      <c r="F146" s="1581" t="s">
        <v>4927</v>
      </c>
      <c r="G146" s="1581">
        <v>77</v>
      </c>
      <c r="H146" s="1581" t="s">
        <v>1827</v>
      </c>
      <c r="I146" s="1581" t="s">
        <v>1027</v>
      </c>
      <c r="J146" s="1595" t="s">
        <v>4929</v>
      </c>
      <c r="K146" s="1595">
        <v>191</v>
      </c>
      <c r="L146" s="1594" t="s">
        <v>4935</v>
      </c>
      <c r="M146" s="1596">
        <v>44287</v>
      </c>
    </row>
    <row r="147" spans="1:13" s="1378" customFormat="1" ht="14.25">
      <c r="A147" s="1581">
        <v>138</v>
      </c>
      <c r="B147" s="1593" t="s">
        <v>1057</v>
      </c>
      <c r="C147" s="1594" t="s">
        <v>4680</v>
      </c>
      <c r="D147" s="1594" t="s">
        <v>4934</v>
      </c>
      <c r="E147" s="1594" t="s">
        <v>4926</v>
      </c>
      <c r="F147" s="1581" t="s">
        <v>4927</v>
      </c>
      <c r="G147" s="1581">
        <v>77</v>
      </c>
      <c r="H147" s="1581" t="s">
        <v>1827</v>
      </c>
      <c r="I147" s="1581" t="s">
        <v>88</v>
      </c>
      <c r="J147" s="1595" t="s">
        <v>4929</v>
      </c>
      <c r="K147" s="1595">
        <v>188.4</v>
      </c>
      <c r="L147" s="1594" t="s">
        <v>4935</v>
      </c>
      <c r="M147" s="1596">
        <v>44287</v>
      </c>
    </row>
    <row r="148" spans="1:13" s="1378" customFormat="1" ht="14.25">
      <c r="A148" s="1581">
        <v>139</v>
      </c>
      <c r="B148" s="1593" t="s">
        <v>1057</v>
      </c>
      <c r="C148" s="1594" t="s">
        <v>4680</v>
      </c>
      <c r="D148" s="1594" t="s">
        <v>4934</v>
      </c>
      <c r="E148" s="1594" t="s">
        <v>4926</v>
      </c>
      <c r="F148" s="1581" t="s">
        <v>4927</v>
      </c>
      <c r="G148" s="1581">
        <v>77</v>
      </c>
      <c r="H148" s="1581" t="s">
        <v>1827</v>
      </c>
      <c r="I148" s="1581" t="s">
        <v>1034</v>
      </c>
      <c r="J148" s="1595" t="s">
        <v>4929</v>
      </c>
      <c r="K148" s="1595">
        <v>185.8</v>
      </c>
      <c r="L148" s="1594" t="s">
        <v>4935</v>
      </c>
      <c r="M148" s="1596">
        <v>44287</v>
      </c>
    </row>
    <row r="149" spans="1:13" s="1378" customFormat="1" ht="28.5">
      <c r="A149" s="1581">
        <v>140</v>
      </c>
      <c r="B149" s="1593" t="s">
        <v>1057</v>
      </c>
      <c r="C149" s="1594" t="s">
        <v>4694</v>
      </c>
      <c r="D149" s="1594" t="s">
        <v>1987</v>
      </c>
      <c r="E149" s="1594" t="s">
        <v>4926</v>
      </c>
      <c r="F149" s="1581" t="s">
        <v>4927</v>
      </c>
      <c r="G149" s="1581">
        <v>101</v>
      </c>
      <c r="H149" s="1597" t="s">
        <v>1880</v>
      </c>
      <c r="I149" s="1581" t="s">
        <v>1079</v>
      </c>
      <c r="J149" s="1595">
        <v>0.139214</v>
      </c>
      <c r="K149" s="1595" t="s">
        <v>4929</v>
      </c>
      <c r="L149" s="1594" t="s">
        <v>4971</v>
      </c>
      <c r="M149" s="1596">
        <v>44287</v>
      </c>
    </row>
    <row r="150" spans="1:13" s="1378" customFormat="1" ht="28.5">
      <c r="A150" s="1598">
        <v>141</v>
      </c>
      <c r="B150" s="1599" t="s">
        <v>1078</v>
      </c>
      <c r="C150" s="1600" t="s">
        <v>3351</v>
      </c>
      <c r="D150" s="1600" t="s">
        <v>3353</v>
      </c>
      <c r="E150" s="1600" t="s">
        <v>860</v>
      </c>
      <c r="F150" s="1598" t="s">
        <v>4927</v>
      </c>
      <c r="G150" s="1598">
        <v>20</v>
      </c>
      <c r="H150" s="1598" t="s">
        <v>1842</v>
      </c>
      <c r="I150" s="1598" t="s">
        <v>1079</v>
      </c>
      <c r="J150" s="1601" t="s">
        <v>1081</v>
      </c>
      <c r="K150" s="1601" t="s">
        <v>2177</v>
      </c>
      <c r="L150" s="1600" t="s">
        <v>4972</v>
      </c>
      <c r="M150" s="1602">
        <v>44225</v>
      </c>
    </row>
    <row r="151" spans="1:13" s="1378" customFormat="1" ht="28.5">
      <c r="A151" s="1598">
        <v>142</v>
      </c>
      <c r="B151" s="1599" t="s">
        <v>1078</v>
      </c>
      <c r="C151" s="1600" t="s">
        <v>3398</v>
      </c>
      <c r="D151" s="1600" t="s">
        <v>3400</v>
      </c>
      <c r="E151" s="1600" t="s">
        <v>860</v>
      </c>
      <c r="F151" s="1598" t="s">
        <v>4927</v>
      </c>
      <c r="G151" s="1598">
        <v>41</v>
      </c>
      <c r="H151" s="1598" t="s">
        <v>4938</v>
      </c>
      <c r="I151" s="1598" t="s">
        <v>1027</v>
      </c>
      <c r="J151" s="1601">
        <v>44.9</v>
      </c>
      <c r="K151" s="1601">
        <v>55.1</v>
      </c>
      <c r="L151" s="1600" t="s">
        <v>4972</v>
      </c>
      <c r="M151" s="1602">
        <v>44225</v>
      </c>
    </row>
    <row r="152" spans="1:13" s="1378" customFormat="1" ht="14.25">
      <c r="A152" s="1598">
        <v>143</v>
      </c>
      <c r="B152" s="1610" t="s">
        <v>1045</v>
      </c>
      <c r="C152" s="1611" t="s">
        <v>3901</v>
      </c>
      <c r="D152" s="1611" t="s">
        <v>3903</v>
      </c>
      <c r="E152" s="1611" t="s">
        <v>860</v>
      </c>
      <c r="F152" s="1612" t="s">
        <v>4927</v>
      </c>
      <c r="G152" s="1612">
        <v>62</v>
      </c>
      <c r="H152" s="1612" t="s">
        <v>1001</v>
      </c>
      <c r="I152" s="1612" t="s">
        <v>1012</v>
      </c>
      <c r="J152" s="1613" t="s">
        <v>4929</v>
      </c>
      <c r="K152" s="1613" t="s">
        <v>168</v>
      </c>
      <c r="L152" s="1611" t="s">
        <v>4973</v>
      </c>
      <c r="M152" s="1614">
        <v>44225</v>
      </c>
    </row>
    <row r="153" spans="1:13" s="1378" customFormat="1" ht="14.25">
      <c r="A153" s="1598">
        <v>144</v>
      </c>
      <c r="B153" s="1610" t="s">
        <v>1045</v>
      </c>
      <c r="C153" s="1611" t="s">
        <v>3901</v>
      </c>
      <c r="D153" s="1611" t="s">
        <v>3903</v>
      </c>
      <c r="E153" s="1611" t="s">
        <v>860</v>
      </c>
      <c r="F153" s="1612" t="s">
        <v>4927</v>
      </c>
      <c r="G153" s="1612">
        <v>62</v>
      </c>
      <c r="H153" s="1612" t="s">
        <v>1001</v>
      </c>
      <c r="I153" s="1612" t="s">
        <v>1022</v>
      </c>
      <c r="J153" s="1613" t="s">
        <v>4929</v>
      </c>
      <c r="K153" s="1613" t="s">
        <v>168</v>
      </c>
      <c r="L153" s="1611" t="s">
        <v>4973</v>
      </c>
      <c r="M153" s="1614">
        <v>44225</v>
      </c>
    </row>
    <row r="154" spans="1:13" s="1378" customFormat="1" ht="14.25">
      <c r="A154" s="1598">
        <v>145</v>
      </c>
      <c r="B154" s="1610" t="s">
        <v>1045</v>
      </c>
      <c r="C154" s="1611" t="s">
        <v>3901</v>
      </c>
      <c r="D154" s="1611" t="s">
        <v>3903</v>
      </c>
      <c r="E154" s="1611" t="s">
        <v>860</v>
      </c>
      <c r="F154" s="1612" t="s">
        <v>4927</v>
      </c>
      <c r="G154" s="1612">
        <v>62</v>
      </c>
      <c r="H154" s="1612" t="s">
        <v>1001</v>
      </c>
      <c r="I154" s="1612" t="s">
        <v>1027</v>
      </c>
      <c r="J154" s="1613" t="s">
        <v>4929</v>
      </c>
      <c r="K154" s="1613" t="s">
        <v>168</v>
      </c>
      <c r="L154" s="1611" t="s">
        <v>4973</v>
      </c>
      <c r="M154" s="1614">
        <v>44225</v>
      </c>
    </row>
    <row r="155" spans="1:13" s="1378" customFormat="1" ht="14.25">
      <c r="A155" s="1598">
        <v>146</v>
      </c>
      <c r="B155" s="1610" t="s">
        <v>1045</v>
      </c>
      <c r="C155" s="1611" t="s">
        <v>3901</v>
      </c>
      <c r="D155" s="1611" t="s">
        <v>3903</v>
      </c>
      <c r="E155" s="1611" t="s">
        <v>860</v>
      </c>
      <c r="F155" s="1612" t="s">
        <v>4927</v>
      </c>
      <c r="G155" s="1612">
        <v>62</v>
      </c>
      <c r="H155" s="1612" t="s">
        <v>1001</v>
      </c>
      <c r="I155" s="1612" t="s">
        <v>88</v>
      </c>
      <c r="J155" s="1613" t="s">
        <v>4929</v>
      </c>
      <c r="K155" s="1613" t="s">
        <v>168</v>
      </c>
      <c r="L155" s="1611" t="s">
        <v>4973</v>
      </c>
      <c r="M155" s="1614">
        <v>44225</v>
      </c>
    </row>
    <row r="156" spans="1:13" s="1378" customFormat="1" ht="14.25">
      <c r="A156" s="1598">
        <v>147</v>
      </c>
      <c r="B156" s="1599" t="s">
        <v>1050</v>
      </c>
      <c r="C156" s="1600" t="s">
        <v>4011</v>
      </c>
      <c r="D156" s="1600" t="s">
        <v>669</v>
      </c>
      <c r="E156" s="1600" t="s">
        <v>860</v>
      </c>
      <c r="F156" s="1598" t="s">
        <v>4927</v>
      </c>
      <c r="G156" s="1598">
        <v>41</v>
      </c>
      <c r="H156" s="1598" t="s">
        <v>4938</v>
      </c>
      <c r="I156" s="1598" t="s">
        <v>1012</v>
      </c>
      <c r="J156" s="1601">
        <v>-0.8</v>
      </c>
      <c r="K156" s="1601">
        <v>0.8</v>
      </c>
      <c r="L156" s="1600" t="s">
        <v>4974</v>
      </c>
      <c r="M156" s="1602">
        <v>44225</v>
      </c>
    </row>
    <row r="157" spans="1:13" s="1378" customFormat="1" ht="14.25">
      <c r="A157" s="1598">
        <v>148</v>
      </c>
      <c r="B157" s="1599" t="s">
        <v>1050</v>
      </c>
      <c r="C157" s="1600" t="s">
        <v>4011</v>
      </c>
      <c r="D157" s="1600" t="s">
        <v>669</v>
      </c>
      <c r="E157" s="1600" t="s">
        <v>860</v>
      </c>
      <c r="F157" s="1598" t="s">
        <v>4927</v>
      </c>
      <c r="G157" s="1598">
        <v>41</v>
      </c>
      <c r="H157" s="1598" t="s">
        <v>4938</v>
      </c>
      <c r="I157" s="1598" t="s">
        <v>1022</v>
      </c>
      <c r="J157" s="1601">
        <v>-1.9</v>
      </c>
      <c r="K157" s="1601">
        <v>1.9</v>
      </c>
      <c r="L157" s="1600" t="s">
        <v>4974</v>
      </c>
      <c r="M157" s="1602">
        <v>44225</v>
      </c>
    </row>
    <row r="158" spans="1:13" s="1378" customFormat="1" ht="14.25">
      <c r="A158" s="1598">
        <v>149</v>
      </c>
      <c r="B158" s="1599" t="s">
        <v>1050</v>
      </c>
      <c r="C158" s="1600" t="s">
        <v>4011</v>
      </c>
      <c r="D158" s="1600" t="s">
        <v>669</v>
      </c>
      <c r="E158" s="1600" t="s">
        <v>860</v>
      </c>
      <c r="F158" s="1598" t="s">
        <v>4927</v>
      </c>
      <c r="G158" s="1598">
        <v>41</v>
      </c>
      <c r="H158" s="1598" t="s">
        <v>4938</v>
      </c>
      <c r="I158" s="1598" t="s">
        <v>1027</v>
      </c>
      <c r="J158" s="1601">
        <v>-3.7</v>
      </c>
      <c r="K158" s="1601">
        <v>3.7</v>
      </c>
      <c r="L158" s="1600" t="s">
        <v>4974</v>
      </c>
      <c r="M158" s="1602">
        <v>44225</v>
      </c>
    </row>
    <row r="159" spans="1:13" s="1378" customFormat="1" ht="14.25">
      <c r="A159" s="1598">
        <v>150</v>
      </c>
      <c r="B159" s="1599" t="s">
        <v>1050</v>
      </c>
      <c r="C159" s="1600" t="s">
        <v>4011</v>
      </c>
      <c r="D159" s="1600" t="s">
        <v>669</v>
      </c>
      <c r="E159" s="1600" t="s">
        <v>860</v>
      </c>
      <c r="F159" s="1598" t="s">
        <v>4927</v>
      </c>
      <c r="G159" s="1598">
        <v>41</v>
      </c>
      <c r="H159" s="1598" t="s">
        <v>4938</v>
      </c>
      <c r="I159" s="1598" t="s">
        <v>88</v>
      </c>
      <c r="J159" s="1601">
        <v>-6.6</v>
      </c>
      <c r="K159" s="1601">
        <v>6.6</v>
      </c>
      <c r="L159" s="1600" t="s">
        <v>4974</v>
      </c>
      <c r="M159" s="1602">
        <v>44225</v>
      </c>
    </row>
    <row r="160" spans="1:13" s="1378" customFormat="1" ht="14.25">
      <c r="A160" s="1598">
        <v>151</v>
      </c>
      <c r="B160" s="1599" t="s">
        <v>1050</v>
      </c>
      <c r="C160" s="1600" t="s">
        <v>4011</v>
      </c>
      <c r="D160" s="1600" t="s">
        <v>669</v>
      </c>
      <c r="E160" s="1600" t="s">
        <v>860</v>
      </c>
      <c r="F160" s="1598" t="s">
        <v>4927</v>
      </c>
      <c r="G160" s="1598">
        <v>41</v>
      </c>
      <c r="H160" s="1598" t="s">
        <v>4938</v>
      </c>
      <c r="I160" s="1598" t="s">
        <v>1034</v>
      </c>
      <c r="J160" s="1601">
        <v>-10.8</v>
      </c>
      <c r="K160" s="1601">
        <v>10.8</v>
      </c>
      <c r="L160" s="1600" t="s">
        <v>4974</v>
      </c>
      <c r="M160" s="1602">
        <v>44225</v>
      </c>
    </row>
    <row r="161" spans="1:13" s="1378" customFormat="1" ht="14.25">
      <c r="A161" s="1598">
        <v>152</v>
      </c>
      <c r="B161" s="1599" t="s">
        <v>1050</v>
      </c>
      <c r="C161" s="1600" t="s">
        <v>4011</v>
      </c>
      <c r="D161" s="1600" t="s">
        <v>669</v>
      </c>
      <c r="E161" s="1600" t="s">
        <v>860</v>
      </c>
      <c r="F161" s="1598" t="s">
        <v>4927</v>
      </c>
      <c r="G161" s="1598">
        <v>72</v>
      </c>
      <c r="H161" s="1598" t="s">
        <v>1826</v>
      </c>
      <c r="I161" s="1598" t="s">
        <v>1012</v>
      </c>
      <c r="J161" s="1601">
        <v>5</v>
      </c>
      <c r="K161" s="1601">
        <v>-5</v>
      </c>
      <c r="L161" s="1600" t="s">
        <v>4974</v>
      </c>
      <c r="M161" s="1602">
        <v>44225</v>
      </c>
    </row>
    <row r="162" spans="1:13" s="1378" customFormat="1" ht="14.25">
      <c r="A162" s="1598">
        <v>153</v>
      </c>
      <c r="B162" s="1599" t="s">
        <v>1050</v>
      </c>
      <c r="C162" s="1600" t="s">
        <v>4011</v>
      </c>
      <c r="D162" s="1600" t="s">
        <v>669</v>
      </c>
      <c r="E162" s="1600" t="s">
        <v>860</v>
      </c>
      <c r="F162" s="1598" t="s">
        <v>4927</v>
      </c>
      <c r="G162" s="1598">
        <v>72</v>
      </c>
      <c r="H162" s="1598" t="s">
        <v>1826</v>
      </c>
      <c r="I162" s="1598" t="s">
        <v>1022</v>
      </c>
      <c r="J162" s="1601">
        <v>5</v>
      </c>
      <c r="K162" s="1601">
        <v>-5</v>
      </c>
      <c r="L162" s="1600" t="s">
        <v>4974</v>
      </c>
      <c r="M162" s="1602">
        <v>44225</v>
      </c>
    </row>
    <row r="163" spans="1:13" s="1378" customFormat="1" ht="14.25">
      <c r="A163" s="1598">
        <v>154</v>
      </c>
      <c r="B163" s="1599" t="s">
        <v>1050</v>
      </c>
      <c r="C163" s="1600" t="s">
        <v>4011</v>
      </c>
      <c r="D163" s="1600" t="s">
        <v>669</v>
      </c>
      <c r="E163" s="1600" t="s">
        <v>860</v>
      </c>
      <c r="F163" s="1598" t="s">
        <v>4927</v>
      </c>
      <c r="G163" s="1598">
        <v>72</v>
      </c>
      <c r="H163" s="1598" t="s">
        <v>1826</v>
      </c>
      <c r="I163" s="1598" t="s">
        <v>1027</v>
      </c>
      <c r="J163" s="1601">
        <v>5</v>
      </c>
      <c r="K163" s="1601">
        <v>-5</v>
      </c>
      <c r="L163" s="1600" t="s">
        <v>4974</v>
      </c>
      <c r="M163" s="1602">
        <v>44225</v>
      </c>
    </row>
    <row r="164" spans="1:13" s="1378" customFormat="1" ht="14.25">
      <c r="A164" s="1598">
        <v>155</v>
      </c>
      <c r="B164" s="1599" t="s">
        <v>1050</v>
      </c>
      <c r="C164" s="1600" t="s">
        <v>4011</v>
      </c>
      <c r="D164" s="1600" t="s">
        <v>669</v>
      </c>
      <c r="E164" s="1600" t="s">
        <v>860</v>
      </c>
      <c r="F164" s="1598" t="s">
        <v>4927</v>
      </c>
      <c r="G164" s="1598">
        <v>72</v>
      </c>
      <c r="H164" s="1598" t="s">
        <v>1826</v>
      </c>
      <c r="I164" s="1598" t="s">
        <v>88</v>
      </c>
      <c r="J164" s="1601">
        <v>5</v>
      </c>
      <c r="K164" s="1601">
        <v>-5</v>
      </c>
      <c r="L164" s="1600" t="s">
        <v>4974</v>
      </c>
      <c r="M164" s="1602">
        <v>44225</v>
      </c>
    </row>
    <row r="165" spans="1:13" s="1378" customFormat="1" ht="14.25">
      <c r="A165" s="1598">
        <v>156</v>
      </c>
      <c r="B165" s="1599" t="s">
        <v>1050</v>
      </c>
      <c r="C165" s="1600" t="s">
        <v>4011</v>
      </c>
      <c r="D165" s="1600" t="s">
        <v>669</v>
      </c>
      <c r="E165" s="1600" t="s">
        <v>860</v>
      </c>
      <c r="F165" s="1598" t="s">
        <v>4927</v>
      </c>
      <c r="G165" s="1598">
        <v>72</v>
      </c>
      <c r="H165" s="1598" t="s">
        <v>1826</v>
      </c>
      <c r="I165" s="1598" t="s">
        <v>1034</v>
      </c>
      <c r="J165" s="1601">
        <v>5</v>
      </c>
      <c r="K165" s="1601">
        <v>-5</v>
      </c>
      <c r="L165" s="1600" t="s">
        <v>4974</v>
      </c>
      <c r="M165" s="1602">
        <v>44225</v>
      </c>
    </row>
    <row r="166" spans="1:13" s="1378" customFormat="1" ht="14.25">
      <c r="A166" s="1598">
        <v>157</v>
      </c>
      <c r="B166" s="1599" t="s">
        <v>1050</v>
      </c>
      <c r="C166" s="1600" t="s">
        <v>4011</v>
      </c>
      <c r="D166" s="1600" t="s">
        <v>669</v>
      </c>
      <c r="E166" s="1600" t="s">
        <v>860</v>
      </c>
      <c r="F166" s="1598" t="s">
        <v>4927</v>
      </c>
      <c r="G166" s="1598">
        <v>87</v>
      </c>
      <c r="H166" s="1598" t="s">
        <v>1829</v>
      </c>
      <c r="I166" s="1598" t="s">
        <v>1012</v>
      </c>
      <c r="J166" s="1601">
        <v>-2.5</v>
      </c>
      <c r="K166" s="1601">
        <v>2.5</v>
      </c>
      <c r="L166" s="1600" t="s">
        <v>4974</v>
      </c>
      <c r="M166" s="1602">
        <v>44225</v>
      </c>
    </row>
    <row r="167" spans="1:13" s="1378" customFormat="1" ht="14.25">
      <c r="A167" s="1598">
        <v>158</v>
      </c>
      <c r="B167" s="1599" t="s">
        <v>1050</v>
      </c>
      <c r="C167" s="1600" t="s">
        <v>4011</v>
      </c>
      <c r="D167" s="1600" t="s">
        <v>669</v>
      </c>
      <c r="E167" s="1600" t="s">
        <v>860</v>
      </c>
      <c r="F167" s="1598" t="s">
        <v>4927</v>
      </c>
      <c r="G167" s="1598">
        <v>87</v>
      </c>
      <c r="H167" s="1598" t="s">
        <v>1829</v>
      </c>
      <c r="I167" s="1598" t="s">
        <v>1022</v>
      </c>
      <c r="J167" s="1601">
        <v>-5.0999999999999996</v>
      </c>
      <c r="K167" s="1601">
        <v>5.0999999999999996</v>
      </c>
      <c r="L167" s="1600" t="s">
        <v>4974</v>
      </c>
      <c r="M167" s="1602">
        <v>44225</v>
      </c>
    </row>
    <row r="168" spans="1:13" s="1378" customFormat="1" ht="14.25">
      <c r="A168" s="1598">
        <v>159</v>
      </c>
      <c r="B168" s="1599" t="s">
        <v>1050</v>
      </c>
      <c r="C168" s="1600" t="s">
        <v>4011</v>
      </c>
      <c r="D168" s="1600" t="s">
        <v>669</v>
      </c>
      <c r="E168" s="1600" t="s">
        <v>860</v>
      </c>
      <c r="F168" s="1598" t="s">
        <v>4927</v>
      </c>
      <c r="G168" s="1598">
        <v>87</v>
      </c>
      <c r="H168" s="1598" t="s">
        <v>1829</v>
      </c>
      <c r="I168" s="1598" t="s">
        <v>1027</v>
      </c>
      <c r="J168" s="1601">
        <v>-8.9</v>
      </c>
      <c r="K168" s="1601">
        <v>8.9</v>
      </c>
      <c r="L168" s="1600" t="s">
        <v>4974</v>
      </c>
      <c r="M168" s="1602">
        <v>44225</v>
      </c>
    </row>
    <row r="169" spans="1:13" s="1378" customFormat="1" ht="14.25">
      <c r="A169" s="1598">
        <v>160</v>
      </c>
      <c r="B169" s="1599" t="s">
        <v>1050</v>
      </c>
      <c r="C169" s="1600" t="s">
        <v>4011</v>
      </c>
      <c r="D169" s="1600" t="s">
        <v>669</v>
      </c>
      <c r="E169" s="1600" t="s">
        <v>860</v>
      </c>
      <c r="F169" s="1598" t="s">
        <v>4927</v>
      </c>
      <c r="G169" s="1598">
        <v>87</v>
      </c>
      <c r="H169" s="1598" t="s">
        <v>1829</v>
      </c>
      <c r="I169" s="1598" t="s">
        <v>88</v>
      </c>
      <c r="J169" s="1601">
        <v>-13.200000000000001</v>
      </c>
      <c r="K169" s="1601">
        <v>13.2</v>
      </c>
      <c r="L169" s="1600" t="s">
        <v>4974</v>
      </c>
      <c r="M169" s="1602">
        <v>44225</v>
      </c>
    </row>
    <row r="170" spans="1:13" s="1378" customFormat="1" ht="14.25">
      <c r="A170" s="1598">
        <v>161</v>
      </c>
      <c r="B170" s="1599" t="s">
        <v>1050</v>
      </c>
      <c r="C170" s="1600" t="s">
        <v>4011</v>
      </c>
      <c r="D170" s="1600" t="s">
        <v>669</v>
      </c>
      <c r="E170" s="1600" t="s">
        <v>860</v>
      </c>
      <c r="F170" s="1598" t="s">
        <v>4927</v>
      </c>
      <c r="G170" s="1598">
        <v>87</v>
      </c>
      <c r="H170" s="1598" t="s">
        <v>1829</v>
      </c>
      <c r="I170" s="1598" t="s">
        <v>1034</v>
      </c>
      <c r="J170" s="1601">
        <v>-17.200000000000003</v>
      </c>
      <c r="K170" s="1601">
        <v>17.2</v>
      </c>
      <c r="L170" s="1600" t="s">
        <v>4974</v>
      </c>
      <c r="M170" s="1602">
        <v>44225</v>
      </c>
    </row>
    <row r="171" spans="1:13" s="1378" customFormat="1" ht="42.75">
      <c r="A171" s="1598">
        <v>162</v>
      </c>
      <c r="B171" s="1599" t="s">
        <v>4975</v>
      </c>
      <c r="C171" s="1600" t="s">
        <v>1079</v>
      </c>
      <c r="D171" s="1600" t="s">
        <v>4976</v>
      </c>
      <c r="E171" s="1600" t="s">
        <v>4977</v>
      </c>
      <c r="F171" s="1598" t="s">
        <v>4978</v>
      </c>
      <c r="G171" s="1598">
        <v>22</v>
      </c>
      <c r="H171" s="1615" t="s">
        <v>4979</v>
      </c>
      <c r="I171" s="1598" t="s">
        <v>4000</v>
      </c>
      <c r="J171" s="1601" t="s">
        <v>4929</v>
      </c>
      <c r="K171" s="1616">
        <v>0</v>
      </c>
      <c r="L171" s="1600" t="s">
        <v>4980</v>
      </c>
      <c r="M171" s="1602">
        <v>44327</v>
      </c>
    </row>
    <row r="172" spans="1:13" s="1378" customFormat="1" ht="14.25">
      <c r="A172" s="1598">
        <v>163</v>
      </c>
      <c r="B172" s="1599" t="s">
        <v>1054</v>
      </c>
      <c r="C172" s="1600" t="s">
        <v>4588</v>
      </c>
      <c r="D172" s="1600" t="s">
        <v>4590</v>
      </c>
      <c r="E172" s="1600" t="s">
        <v>860</v>
      </c>
      <c r="F172" s="1598" t="s">
        <v>4927</v>
      </c>
      <c r="G172" s="1598">
        <v>97</v>
      </c>
      <c r="H172" s="1598" t="s">
        <v>4981</v>
      </c>
      <c r="I172" s="1598" t="s">
        <v>1079</v>
      </c>
      <c r="J172" s="1598">
        <v>-0.2888</v>
      </c>
      <c r="K172" s="1617">
        <v>-4.2500000000000003E-2</v>
      </c>
      <c r="L172" s="1600" t="s">
        <v>4982</v>
      </c>
      <c r="M172" s="1602">
        <v>44328</v>
      </c>
    </row>
    <row r="173" spans="1:13" s="1378" customFormat="1" ht="14.25">
      <c r="A173" s="1598">
        <v>164</v>
      </c>
      <c r="B173" s="1599" t="s">
        <v>1024</v>
      </c>
      <c r="C173" s="1600" t="s">
        <v>4387</v>
      </c>
      <c r="D173" s="1600" t="s">
        <v>4389</v>
      </c>
      <c r="E173" s="1600" t="s">
        <v>860</v>
      </c>
      <c r="F173" s="1598" t="s">
        <v>4927</v>
      </c>
      <c r="G173" s="1598">
        <v>97</v>
      </c>
      <c r="H173" s="1598" t="s">
        <v>4981</v>
      </c>
      <c r="I173" s="1598" t="s">
        <v>1079</v>
      </c>
      <c r="J173" s="1618">
        <v>-8.0000000000000004E-4</v>
      </c>
      <c r="K173" s="1618">
        <v>-7.6000000000000004E-4</v>
      </c>
      <c r="L173" s="1600" t="s">
        <v>4983</v>
      </c>
      <c r="M173" s="1602">
        <v>44328</v>
      </c>
    </row>
    <row r="174" spans="1:13" s="1378" customFormat="1" ht="42.75">
      <c r="A174" s="1598">
        <v>165</v>
      </c>
      <c r="B174" s="1619" t="s">
        <v>1075</v>
      </c>
      <c r="C174" s="1600" t="s">
        <v>2925</v>
      </c>
      <c r="D174" s="1600" t="s">
        <v>4984</v>
      </c>
      <c r="E174" s="1600" t="s">
        <v>4977</v>
      </c>
      <c r="F174" s="1598" t="s">
        <v>4927</v>
      </c>
      <c r="G174" s="1598">
        <v>41</v>
      </c>
      <c r="H174" s="1598" t="s">
        <v>4938</v>
      </c>
      <c r="I174" s="1598" t="s">
        <v>4985</v>
      </c>
      <c r="J174" s="1615" t="s">
        <v>4986</v>
      </c>
      <c r="K174" s="1615" t="s">
        <v>4987</v>
      </c>
      <c r="L174" s="1600" t="s">
        <v>4988</v>
      </c>
      <c r="M174" s="1602">
        <v>44328</v>
      </c>
    </row>
    <row r="175" spans="1:13" s="1378" customFormat="1" ht="42.75">
      <c r="A175" s="1598">
        <v>166</v>
      </c>
      <c r="B175" s="1599" t="s">
        <v>1075</v>
      </c>
      <c r="C175" s="1600" t="s">
        <v>2933</v>
      </c>
      <c r="D175" s="1600" t="s">
        <v>669</v>
      </c>
      <c r="E175" s="1600" t="s">
        <v>4977</v>
      </c>
      <c r="F175" s="1598" t="s">
        <v>4927</v>
      </c>
      <c r="G175" s="1598">
        <v>41</v>
      </c>
      <c r="H175" s="1598" t="s">
        <v>4938</v>
      </c>
      <c r="I175" s="1598" t="s">
        <v>4985</v>
      </c>
      <c r="J175" s="1615" t="s">
        <v>4987</v>
      </c>
      <c r="K175" s="1615" t="s">
        <v>4989</v>
      </c>
      <c r="L175" s="1600" t="s">
        <v>4988</v>
      </c>
      <c r="M175" s="1602">
        <v>44328</v>
      </c>
    </row>
    <row r="176" spans="1:13" s="1378" customFormat="1" ht="42.75">
      <c r="A176" s="1598">
        <v>167</v>
      </c>
      <c r="B176" s="1619" t="s">
        <v>1075</v>
      </c>
      <c r="C176" s="1600" t="s">
        <v>2946</v>
      </c>
      <c r="D176" s="1600" t="s">
        <v>4934</v>
      </c>
      <c r="E176" s="1600" t="s">
        <v>4977</v>
      </c>
      <c r="F176" s="1598" t="s">
        <v>4927</v>
      </c>
      <c r="G176" s="1598">
        <v>41</v>
      </c>
      <c r="H176" s="1598" t="s">
        <v>4938</v>
      </c>
      <c r="I176" s="1598" t="s">
        <v>4985</v>
      </c>
      <c r="J176" s="1615" t="s">
        <v>4987</v>
      </c>
      <c r="K176" s="1615" t="s">
        <v>4989</v>
      </c>
      <c r="L176" s="1600" t="s">
        <v>4990</v>
      </c>
      <c r="M176" s="1602">
        <v>44328</v>
      </c>
    </row>
    <row r="177" spans="1:13" s="1378" customFormat="1" ht="42.75">
      <c r="A177" s="1598">
        <v>168</v>
      </c>
      <c r="B177" s="1599" t="s">
        <v>1075</v>
      </c>
      <c r="C177" s="1600" t="s">
        <v>3008</v>
      </c>
      <c r="D177" s="1600" t="s">
        <v>2574</v>
      </c>
      <c r="E177" s="1600" t="s">
        <v>4977</v>
      </c>
      <c r="F177" s="1598" t="s">
        <v>4927</v>
      </c>
      <c r="G177" s="1598">
        <v>41</v>
      </c>
      <c r="H177" s="1598" t="s">
        <v>4938</v>
      </c>
      <c r="I177" s="1598" t="s">
        <v>4985</v>
      </c>
      <c r="J177" s="1615" t="s">
        <v>4987</v>
      </c>
      <c r="K177" s="1615" t="s">
        <v>4986</v>
      </c>
      <c r="L177" s="1600" t="s">
        <v>4988</v>
      </c>
      <c r="M177" s="1602">
        <v>44328</v>
      </c>
    </row>
    <row r="178" spans="1:13" s="1378" customFormat="1" ht="42.75">
      <c r="A178" s="1598">
        <v>169</v>
      </c>
      <c r="B178" s="1619" t="s">
        <v>1075</v>
      </c>
      <c r="C178" s="1600" t="s">
        <v>3018</v>
      </c>
      <c r="D178" s="1600" t="s">
        <v>4991</v>
      </c>
      <c r="E178" s="1600" t="s">
        <v>4977</v>
      </c>
      <c r="F178" s="1598" t="s">
        <v>4927</v>
      </c>
      <c r="G178" s="1598">
        <v>41</v>
      </c>
      <c r="H178" s="1598" t="s">
        <v>4938</v>
      </c>
      <c r="I178" s="1598" t="s">
        <v>4985</v>
      </c>
      <c r="J178" s="1615" t="s">
        <v>4989</v>
      </c>
      <c r="K178" s="1615" t="s">
        <v>4987</v>
      </c>
      <c r="L178" s="1600" t="s">
        <v>4988</v>
      </c>
      <c r="M178" s="1602">
        <v>44328</v>
      </c>
    </row>
    <row r="179" spans="1:13" s="1378" customFormat="1" ht="42.75">
      <c r="A179" s="1598">
        <v>170</v>
      </c>
      <c r="B179" s="1599" t="s">
        <v>1075</v>
      </c>
      <c r="C179" s="1600" t="s">
        <v>3031</v>
      </c>
      <c r="D179" s="1600" t="s">
        <v>3034</v>
      </c>
      <c r="E179" s="1600" t="s">
        <v>4977</v>
      </c>
      <c r="F179" s="1598" t="s">
        <v>4927</v>
      </c>
      <c r="G179" s="1598">
        <v>41</v>
      </c>
      <c r="H179" s="1598" t="s">
        <v>4938</v>
      </c>
      <c r="I179" s="1598" t="s">
        <v>4985</v>
      </c>
      <c r="J179" s="1615" t="s">
        <v>4986</v>
      </c>
      <c r="K179" s="1615" t="s">
        <v>4989</v>
      </c>
      <c r="L179" s="1600" t="s">
        <v>4988</v>
      </c>
      <c r="M179" s="1602">
        <v>44328</v>
      </c>
    </row>
    <row r="180" spans="1:13" s="1378" customFormat="1" ht="42.75">
      <c r="A180" s="1598">
        <v>171</v>
      </c>
      <c r="B180" s="1619" t="s">
        <v>1075</v>
      </c>
      <c r="C180" s="1600" t="s">
        <v>3060</v>
      </c>
      <c r="D180" s="1600" t="s">
        <v>3062</v>
      </c>
      <c r="E180" s="1600" t="s">
        <v>4977</v>
      </c>
      <c r="F180" s="1598" t="s">
        <v>4927</v>
      </c>
      <c r="G180" s="1598">
        <v>41</v>
      </c>
      <c r="H180" s="1598" t="s">
        <v>4938</v>
      </c>
      <c r="I180" s="1615" t="s">
        <v>4992</v>
      </c>
      <c r="J180" s="1615" t="s">
        <v>4986</v>
      </c>
      <c r="K180" s="1615" t="s">
        <v>4989</v>
      </c>
      <c r="L180" s="1600" t="s">
        <v>4988</v>
      </c>
      <c r="M180" s="1602">
        <v>44328</v>
      </c>
    </row>
    <row r="181" spans="1:13" s="1378" customFormat="1" ht="28.5">
      <c r="A181" s="1598">
        <v>172</v>
      </c>
      <c r="B181" s="1599" t="s">
        <v>4975</v>
      </c>
      <c r="C181" s="1599" t="s">
        <v>1079</v>
      </c>
      <c r="D181" s="1600" t="s">
        <v>4993</v>
      </c>
      <c r="E181" s="1600" t="s">
        <v>860</v>
      </c>
      <c r="F181" s="1598" t="s">
        <v>4927</v>
      </c>
      <c r="G181" s="1615" t="s">
        <v>4994</v>
      </c>
      <c r="H181" s="1598" t="s">
        <v>4995</v>
      </c>
      <c r="I181" s="1598" t="s">
        <v>1079</v>
      </c>
      <c r="J181" s="1615" t="s">
        <v>4996</v>
      </c>
      <c r="K181" s="1615" t="s">
        <v>4997</v>
      </c>
      <c r="L181" s="1620" t="s">
        <v>4998</v>
      </c>
      <c r="M181" s="1602">
        <v>44329</v>
      </c>
    </row>
    <row r="182" spans="1:13" s="1378" customFormat="1" ht="42.75">
      <c r="A182" s="1598">
        <v>173</v>
      </c>
      <c r="B182" s="1599" t="s">
        <v>1024</v>
      </c>
      <c r="C182" s="1600" t="s">
        <v>4194</v>
      </c>
      <c r="D182" s="1600" t="s">
        <v>4999</v>
      </c>
      <c r="E182" s="1600" t="s">
        <v>4977</v>
      </c>
      <c r="F182" s="1598" t="s">
        <v>4927</v>
      </c>
      <c r="G182" s="1598">
        <v>87</v>
      </c>
      <c r="H182" s="1598" t="s">
        <v>1829</v>
      </c>
      <c r="I182" s="1598" t="s">
        <v>1012</v>
      </c>
      <c r="J182" s="1621">
        <v>1.1805555555555564E-3</v>
      </c>
      <c r="K182" s="1621">
        <v>3.4606481481481485E-3</v>
      </c>
      <c r="L182" s="1600" t="s">
        <v>5000</v>
      </c>
      <c r="M182" s="1602">
        <v>44334</v>
      </c>
    </row>
    <row r="183" spans="1:13" s="1378" customFormat="1" ht="42.75">
      <c r="A183" s="1598">
        <v>174</v>
      </c>
      <c r="B183" s="1599" t="s">
        <v>1024</v>
      </c>
      <c r="C183" s="1600" t="s">
        <v>4194</v>
      </c>
      <c r="D183" s="1600" t="s">
        <v>4999</v>
      </c>
      <c r="E183" s="1600" t="s">
        <v>4977</v>
      </c>
      <c r="F183" s="1598" t="s">
        <v>4927</v>
      </c>
      <c r="G183" s="1598">
        <v>87</v>
      </c>
      <c r="H183" s="1598" t="s">
        <v>1829</v>
      </c>
      <c r="I183" s="1598" t="s">
        <v>1022</v>
      </c>
      <c r="J183" s="1621">
        <v>1.2037037037037038E-3</v>
      </c>
      <c r="K183" s="1621">
        <v>3.0092592592592588E-3</v>
      </c>
      <c r="L183" s="1600" t="s">
        <v>5000</v>
      </c>
      <c r="M183" s="1602">
        <v>44334</v>
      </c>
    </row>
    <row r="184" spans="1:13" s="1378" customFormat="1" ht="42.75">
      <c r="A184" s="1598">
        <v>175</v>
      </c>
      <c r="B184" s="1599" t="s">
        <v>1024</v>
      </c>
      <c r="C184" s="1600" t="s">
        <v>4194</v>
      </c>
      <c r="D184" s="1600" t="s">
        <v>4999</v>
      </c>
      <c r="E184" s="1600" t="s">
        <v>4977</v>
      </c>
      <c r="F184" s="1598" t="s">
        <v>4927</v>
      </c>
      <c r="G184" s="1598">
        <v>87</v>
      </c>
      <c r="H184" s="1598" t="s">
        <v>1829</v>
      </c>
      <c r="I184" s="1598" t="s">
        <v>1027</v>
      </c>
      <c r="J184" s="1621">
        <v>1.1458333333333342E-3</v>
      </c>
      <c r="K184" s="1621">
        <v>2.615740740740741E-3</v>
      </c>
      <c r="L184" s="1600" t="s">
        <v>5000</v>
      </c>
      <c r="M184" s="1602">
        <v>44334</v>
      </c>
    </row>
    <row r="185" spans="1:13" s="1378" customFormat="1" ht="42.75">
      <c r="A185" s="1598">
        <v>176</v>
      </c>
      <c r="B185" s="1599" t="s">
        <v>1024</v>
      </c>
      <c r="C185" s="1600" t="s">
        <v>4194</v>
      </c>
      <c r="D185" s="1600" t="s">
        <v>4999</v>
      </c>
      <c r="E185" s="1600" t="s">
        <v>4977</v>
      </c>
      <c r="F185" s="1598" t="s">
        <v>4927</v>
      </c>
      <c r="G185" s="1598">
        <v>87</v>
      </c>
      <c r="H185" s="1598" t="s">
        <v>1829</v>
      </c>
      <c r="I185" s="1598" t="s">
        <v>88</v>
      </c>
      <c r="J185" s="1621">
        <v>1.3773148148148147E-3</v>
      </c>
      <c r="K185" s="1621">
        <v>2.1990740740740742E-3</v>
      </c>
      <c r="L185" s="1600" t="s">
        <v>5000</v>
      </c>
      <c r="M185" s="1602">
        <v>44334</v>
      </c>
    </row>
    <row r="186" spans="1:13" s="1378" customFormat="1" ht="42.75">
      <c r="A186" s="1598">
        <v>177</v>
      </c>
      <c r="B186" s="1599" t="s">
        <v>1024</v>
      </c>
      <c r="C186" s="1600" t="s">
        <v>4194</v>
      </c>
      <c r="D186" s="1600" t="s">
        <v>4999</v>
      </c>
      <c r="E186" s="1600" t="s">
        <v>4977</v>
      </c>
      <c r="F186" s="1598" t="s">
        <v>4927</v>
      </c>
      <c r="G186" s="1598">
        <v>87</v>
      </c>
      <c r="H186" s="1598" t="s">
        <v>1829</v>
      </c>
      <c r="I186" s="1598" t="s">
        <v>1034</v>
      </c>
      <c r="J186" s="1621">
        <v>1.3888888888888889E-3</v>
      </c>
      <c r="K186" s="1621">
        <v>1.8865740740740742E-3</v>
      </c>
      <c r="L186" s="1600" t="s">
        <v>5000</v>
      </c>
      <c r="M186" s="1602">
        <v>44334</v>
      </c>
    </row>
    <row r="187" spans="1:13" s="1378" customFormat="1" ht="42.75">
      <c r="A187" s="1598">
        <v>178</v>
      </c>
      <c r="B187" s="1599" t="s">
        <v>1024</v>
      </c>
      <c r="C187" s="1600" t="s">
        <v>5001</v>
      </c>
      <c r="D187" s="1600" t="s">
        <v>5002</v>
      </c>
      <c r="E187" s="1600" t="s">
        <v>4977</v>
      </c>
      <c r="F187" s="1598" t="s">
        <v>4927</v>
      </c>
      <c r="G187" s="1598">
        <v>87</v>
      </c>
      <c r="H187" s="1598" t="s">
        <v>1829</v>
      </c>
      <c r="I187" s="1598" t="s">
        <v>1012</v>
      </c>
      <c r="J187" s="1601" t="s">
        <v>4929</v>
      </c>
      <c r="K187" s="1616">
        <v>5</v>
      </c>
      <c r="L187" s="1600" t="s">
        <v>5000</v>
      </c>
      <c r="M187" s="1602">
        <v>44334</v>
      </c>
    </row>
    <row r="188" spans="1:13" s="1378" customFormat="1" ht="42.75">
      <c r="A188" s="1598">
        <v>179</v>
      </c>
      <c r="B188" s="1599" t="s">
        <v>1024</v>
      </c>
      <c r="C188" s="1600" t="s">
        <v>5001</v>
      </c>
      <c r="D188" s="1600" t="s">
        <v>5002</v>
      </c>
      <c r="E188" s="1600" t="s">
        <v>4977</v>
      </c>
      <c r="F188" s="1598" t="s">
        <v>4927</v>
      </c>
      <c r="G188" s="1598">
        <v>87</v>
      </c>
      <c r="H188" s="1598" t="s">
        <v>1829</v>
      </c>
      <c r="I188" s="1598" t="s">
        <v>1022</v>
      </c>
      <c r="J188" s="1601" t="s">
        <v>4929</v>
      </c>
      <c r="K188" s="1616">
        <v>50</v>
      </c>
      <c r="L188" s="1600" t="s">
        <v>5000</v>
      </c>
      <c r="M188" s="1602">
        <v>44334</v>
      </c>
    </row>
    <row r="189" spans="1:13" s="1378" customFormat="1" ht="42.75">
      <c r="A189" s="1598">
        <v>180</v>
      </c>
      <c r="B189" s="1599" t="s">
        <v>1024</v>
      </c>
      <c r="C189" s="1600" t="s">
        <v>5001</v>
      </c>
      <c r="D189" s="1600" t="s">
        <v>5002</v>
      </c>
      <c r="E189" s="1600" t="s">
        <v>4977</v>
      </c>
      <c r="F189" s="1598" t="s">
        <v>4927</v>
      </c>
      <c r="G189" s="1598">
        <v>87</v>
      </c>
      <c r="H189" s="1598" t="s">
        <v>1829</v>
      </c>
      <c r="I189" s="1598" t="s">
        <v>1027</v>
      </c>
      <c r="J189" s="1601" t="s">
        <v>4929</v>
      </c>
      <c r="K189" s="1616">
        <v>100</v>
      </c>
      <c r="L189" s="1600" t="s">
        <v>5000</v>
      </c>
      <c r="M189" s="1602">
        <v>44334</v>
      </c>
    </row>
    <row r="190" spans="1:13" s="1378" customFormat="1" ht="42.75">
      <c r="A190" s="1598">
        <v>181</v>
      </c>
      <c r="B190" s="1599" t="s">
        <v>1024</v>
      </c>
      <c r="C190" s="1600" t="s">
        <v>5001</v>
      </c>
      <c r="D190" s="1600" t="s">
        <v>5002</v>
      </c>
      <c r="E190" s="1600" t="s">
        <v>4977</v>
      </c>
      <c r="F190" s="1598" t="s">
        <v>4927</v>
      </c>
      <c r="G190" s="1598">
        <v>87</v>
      </c>
      <c r="H190" s="1598" t="s">
        <v>1829</v>
      </c>
      <c r="I190" s="1598" t="s">
        <v>88</v>
      </c>
      <c r="J190" s="1601" t="s">
        <v>4929</v>
      </c>
      <c r="K190" s="1616">
        <v>250</v>
      </c>
      <c r="L190" s="1600" t="s">
        <v>5000</v>
      </c>
      <c r="M190" s="1602">
        <v>44334</v>
      </c>
    </row>
    <row r="191" spans="1:13" s="1378" customFormat="1" ht="42.75">
      <c r="A191" s="1598">
        <v>182</v>
      </c>
      <c r="B191" s="1599" t="s">
        <v>1057</v>
      </c>
      <c r="C191" s="1600" t="s">
        <v>4716</v>
      </c>
      <c r="D191" s="1600" t="s">
        <v>2095</v>
      </c>
      <c r="E191" s="1600" t="s">
        <v>4977</v>
      </c>
      <c r="F191" s="1598" t="s">
        <v>4927</v>
      </c>
      <c r="G191" s="1598">
        <v>87</v>
      </c>
      <c r="H191" s="1598" t="s">
        <v>1829</v>
      </c>
      <c r="I191" s="1598" t="s">
        <v>1012</v>
      </c>
      <c r="J191" s="1601">
        <v>3154.7</v>
      </c>
      <c r="K191" s="1622">
        <v>3924</v>
      </c>
      <c r="L191" s="1600" t="s">
        <v>5000</v>
      </c>
      <c r="M191" s="1602">
        <v>44335</v>
      </c>
    </row>
    <row r="192" spans="1:13" s="1378" customFormat="1" ht="42.75">
      <c r="A192" s="1598">
        <v>183</v>
      </c>
      <c r="B192" s="1599" t="s">
        <v>1057</v>
      </c>
      <c r="C192" s="1600" t="s">
        <v>4716</v>
      </c>
      <c r="D192" s="1600" t="s">
        <v>2095</v>
      </c>
      <c r="E192" s="1600" t="s">
        <v>4977</v>
      </c>
      <c r="F192" s="1598" t="s">
        <v>4927</v>
      </c>
      <c r="G192" s="1598">
        <v>87</v>
      </c>
      <c r="H192" s="1598" t="s">
        <v>1829</v>
      </c>
      <c r="I192" s="1598" t="s">
        <v>1022</v>
      </c>
      <c r="J192" s="1601">
        <v>2927.4000000000005</v>
      </c>
      <c r="K192" s="1622">
        <v>3702</v>
      </c>
      <c r="L192" s="1600" t="s">
        <v>5000</v>
      </c>
      <c r="M192" s="1602">
        <v>44335</v>
      </c>
    </row>
    <row r="193" spans="1:13" s="1378" customFormat="1" ht="42.75">
      <c r="A193" s="1598">
        <v>184</v>
      </c>
      <c r="B193" s="1599" t="s">
        <v>1057</v>
      </c>
      <c r="C193" s="1600" t="s">
        <v>4716</v>
      </c>
      <c r="D193" s="1600" t="s">
        <v>2095</v>
      </c>
      <c r="E193" s="1600" t="s">
        <v>4977</v>
      </c>
      <c r="F193" s="1598" t="s">
        <v>4927</v>
      </c>
      <c r="G193" s="1598">
        <v>87</v>
      </c>
      <c r="H193" s="1598" t="s">
        <v>1829</v>
      </c>
      <c r="I193" s="1598" t="s">
        <v>1027</v>
      </c>
      <c r="J193" s="1601">
        <v>2662.0999999999995</v>
      </c>
      <c r="K193" s="1622">
        <v>3519</v>
      </c>
      <c r="L193" s="1600" t="s">
        <v>5000</v>
      </c>
      <c r="M193" s="1602">
        <v>44335</v>
      </c>
    </row>
    <row r="194" spans="1:13" s="1378" customFormat="1" ht="42.75">
      <c r="A194" s="1598">
        <v>185</v>
      </c>
      <c r="B194" s="1599" t="s">
        <v>1057</v>
      </c>
      <c r="C194" s="1600" t="s">
        <v>4716</v>
      </c>
      <c r="D194" s="1600" t="s">
        <v>2095</v>
      </c>
      <c r="E194" s="1600" t="s">
        <v>4977</v>
      </c>
      <c r="F194" s="1598" t="s">
        <v>4927</v>
      </c>
      <c r="G194" s="1598">
        <v>87</v>
      </c>
      <c r="H194" s="1598" t="s">
        <v>1829</v>
      </c>
      <c r="I194" s="1598" t="s">
        <v>88</v>
      </c>
      <c r="J194" s="1601">
        <v>2368.8000000000002</v>
      </c>
      <c r="K194" s="1622">
        <v>3248</v>
      </c>
      <c r="L194" s="1600" t="s">
        <v>5000</v>
      </c>
      <c r="M194" s="1602">
        <v>44335</v>
      </c>
    </row>
    <row r="195" spans="1:13" s="1378" customFormat="1" ht="42.75">
      <c r="A195" s="1598">
        <v>186</v>
      </c>
      <c r="B195" s="1599" t="s">
        <v>1057</v>
      </c>
      <c r="C195" s="1600" t="s">
        <v>4716</v>
      </c>
      <c r="D195" s="1600" t="s">
        <v>2095</v>
      </c>
      <c r="E195" s="1600" t="s">
        <v>4977</v>
      </c>
      <c r="F195" s="1598" t="s">
        <v>4927</v>
      </c>
      <c r="G195" s="1598">
        <v>87</v>
      </c>
      <c r="H195" s="1598" t="s">
        <v>1829</v>
      </c>
      <c r="I195" s="1598" t="s">
        <v>1034</v>
      </c>
      <c r="J195" s="1601">
        <v>2246.5</v>
      </c>
      <c r="K195" s="1622">
        <v>2957</v>
      </c>
      <c r="L195" s="1600" t="s">
        <v>5000</v>
      </c>
      <c r="M195" s="1602">
        <v>44335</v>
      </c>
    </row>
    <row r="196" spans="1:13" s="1378" customFormat="1" ht="42.75">
      <c r="A196" s="1598">
        <v>187</v>
      </c>
      <c r="B196" s="1600" t="s">
        <v>5003</v>
      </c>
      <c r="C196" s="1600" t="s">
        <v>1079</v>
      </c>
      <c r="D196" s="1600" t="s">
        <v>4976</v>
      </c>
      <c r="E196" s="1600" t="s">
        <v>4977</v>
      </c>
      <c r="F196" s="1598" t="s">
        <v>4927</v>
      </c>
      <c r="G196" s="1598">
        <v>22</v>
      </c>
      <c r="H196" s="1598" t="s">
        <v>5004</v>
      </c>
      <c r="I196" s="1598" t="s">
        <v>1079</v>
      </c>
      <c r="J196" s="1615" t="s">
        <v>4996</v>
      </c>
      <c r="K196" s="1598" t="s">
        <v>5005</v>
      </c>
      <c r="L196" s="1600" t="s">
        <v>5006</v>
      </c>
      <c r="M196" s="1602">
        <v>44335</v>
      </c>
    </row>
    <row r="197" spans="1:13" s="1378" customFormat="1" ht="57">
      <c r="A197" s="1598">
        <v>188</v>
      </c>
      <c r="B197" s="1600" t="s">
        <v>5007</v>
      </c>
      <c r="C197" s="1600" t="s">
        <v>1079</v>
      </c>
      <c r="D197" s="1600" t="s">
        <v>4976</v>
      </c>
      <c r="E197" s="1600" t="s">
        <v>4977</v>
      </c>
      <c r="F197" s="1598" t="s">
        <v>4927</v>
      </c>
      <c r="G197" s="1598">
        <v>22</v>
      </c>
      <c r="H197" s="1598" t="s">
        <v>5004</v>
      </c>
      <c r="I197" s="1598" t="s">
        <v>1079</v>
      </c>
      <c r="J197" s="1615" t="s">
        <v>4996</v>
      </c>
      <c r="K197" s="1598" t="s">
        <v>5005</v>
      </c>
      <c r="L197" s="1600" t="s">
        <v>5006</v>
      </c>
      <c r="M197" s="1602">
        <v>44335</v>
      </c>
    </row>
    <row r="198" spans="1:13" s="1378" customFormat="1" ht="42.75">
      <c r="A198" s="1598">
        <v>189</v>
      </c>
      <c r="B198" s="1599" t="s">
        <v>1064</v>
      </c>
      <c r="C198" s="1600" t="s">
        <v>2201</v>
      </c>
      <c r="D198" s="1600" t="s">
        <v>1892</v>
      </c>
      <c r="E198" s="1600" t="s">
        <v>4977</v>
      </c>
      <c r="F198" s="1598" t="s">
        <v>4927</v>
      </c>
      <c r="G198" s="1598">
        <v>87</v>
      </c>
      <c r="H198" s="1598" t="s">
        <v>1829</v>
      </c>
      <c r="I198" s="1598" t="s">
        <v>1012</v>
      </c>
      <c r="J198" s="1623">
        <v>3.7166666670000001</v>
      </c>
      <c r="K198" s="1621">
        <v>1.8171296296296297E-3</v>
      </c>
      <c r="L198" s="1600" t="s">
        <v>5008</v>
      </c>
      <c r="M198" s="1602">
        <v>44335</v>
      </c>
    </row>
    <row r="199" spans="1:13" s="1378" customFormat="1" ht="42.75">
      <c r="A199" s="1598">
        <v>190</v>
      </c>
      <c r="B199" s="1599" t="s">
        <v>1064</v>
      </c>
      <c r="C199" s="1600" t="s">
        <v>2204</v>
      </c>
      <c r="D199" s="1600" t="s">
        <v>1892</v>
      </c>
      <c r="E199" s="1600" t="s">
        <v>4977</v>
      </c>
      <c r="F199" s="1598" t="s">
        <v>4927</v>
      </c>
      <c r="G199" s="1598">
        <v>87</v>
      </c>
      <c r="H199" s="1598" t="s">
        <v>1829</v>
      </c>
      <c r="I199" s="1598" t="s">
        <v>1022</v>
      </c>
      <c r="J199" s="1623">
        <v>3.6666666663333336</v>
      </c>
      <c r="K199" s="1621">
        <v>1.6203703703703703E-3</v>
      </c>
      <c r="L199" s="1600" t="s">
        <v>5008</v>
      </c>
      <c r="M199" s="1602">
        <v>44335</v>
      </c>
    </row>
    <row r="200" spans="1:13" s="1378" customFormat="1" ht="42.75">
      <c r="A200" s="1598">
        <v>191</v>
      </c>
      <c r="B200" s="1599" t="s">
        <v>1064</v>
      </c>
      <c r="C200" s="1600" t="s">
        <v>2208</v>
      </c>
      <c r="D200" s="1600" t="s">
        <v>1892</v>
      </c>
      <c r="E200" s="1600" t="s">
        <v>4977</v>
      </c>
      <c r="F200" s="1598" t="s">
        <v>4927</v>
      </c>
      <c r="G200" s="1598">
        <v>87</v>
      </c>
      <c r="H200" s="1598" t="s">
        <v>1829</v>
      </c>
      <c r="I200" s="1598" t="s">
        <v>1027</v>
      </c>
      <c r="J200" s="1623">
        <v>3.583333333000001</v>
      </c>
      <c r="K200" s="1621">
        <v>1.0416666666666667E-3</v>
      </c>
      <c r="L200" s="1600" t="s">
        <v>5008</v>
      </c>
      <c r="M200" s="1602">
        <v>44335</v>
      </c>
    </row>
    <row r="201" spans="1:13" s="1378" customFormat="1" ht="42.75">
      <c r="A201" s="1598">
        <v>192</v>
      </c>
      <c r="B201" s="1599" t="s">
        <v>1064</v>
      </c>
      <c r="C201" s="1600" t="s">
        <v>2211</v>
      </c>
      <c r="D201" s="1600" t="s">
        <v>1892</v>
      </c>
      <c r="E201" s="1600" t="s">
        <v>4977</v>
      </c>
      <c r="F201" s="1598" t="s">
        <v>4927</v>
      </c>
      <c r="G201" s="1598">
        <v>87</v>
      </c>
      <c r="H201" s="1598" t="s">
        <v>1829</v>
      </c>
      <c r="I201" s="1598" t="s">
        <v>88</v>
      </c>
      <c r="J201" s="1623">
        <v>3.5166666663333337</v>
      </c>
      <c r="K201" s="1621">
        <v>1.0416666666666667E-3</v>
      </c>
      <c r="L201" s="1600" t="s">
        <v>5008</v>
      </c>
      <c r="M201" s="1602">
        <v>44335</v>
      </c>
    </row>
    <row r="202" spans="1:13" s="1378" customFormat="1" ht="42.75">
      <c r="A202" s="1598">
        <v>193</v>
      </c>
      <c r="B202" s="1599" t="s">
        <v>1064</v>
      </c>
      <c r="C202" s="1600" t="s">
        <v>2215</v>
      </c>
      <c r="D202" s="1600" t="s">
        <v>1892</v>
      </c>
      <c r="E202" s="1600" t="s">
        <v>4977</v>
      </c>
      <c r="F202" s="1598" t="s">
        <v>4927</v>
      </c>
      <c r="G202" s="1598">
        <v>87</v>
      </c>
      <c r="H202" s="1598" t="s">
        <v>1829</v>
      </c>
      <c r="I202" s="1598" t="s">
        <v>1034</v>
      </c>
      <c r="J202" s="1623">
        <v>3.5</v>
      </c>
      <c r="K202" s="1621">
        <v>1.0416666666666667E-3</v>
      </c>
      <c r="L202" s="1600" t="s">
        <v>5008</v>
      </c>
      <c r="M202" s="1602">
        <v>44335</v>
      </c>
    </row>
    <row r="203" spans="1:13" s="1378" customFormat="1" ht="42.75">
      <c r="A203" s="1598">
        <v>194</v>
      </c>
      <c r="B203" s="1599" t="s">
        <v>1064</v>
      </c>
      <c r="C203" s="1624" t="s">
        <v>2317</v>
      </c>
      <c r="D203" s="1624" t="s">
        <v>2319</v>
      </c>
      <c r="E203" s="1600" t="s">
        <v>4977</v>
      </c>
      <c r="F203" s="1598" t="s">
        <v>4927</v>
      </c>
      <c r="G203" s="1598">
        <v>23</v>
      </c>
      <c r="H203" s="1598" t="s">
        <v>1175</v>
      </c>
      <c r="I203" s="1598" t="s">
        <v>5009</v>
      </c>
      <c r="J203" s="1601" t="s">
        <v>1010</v>
      </c>
      <c r="K203" s="1601" t="s">
        <v>1020</v>
      </c>
      <c r="L203" s="1600" t="s">
        <v>5008</v>
      </c>
      <c r="M203" s="1602">
        <v>44335</v>
      </c>
    </row>
    <row r="204" spans="1:13" s="1378" customFormat="1" ht="42.75">
      <c r="A204" s="1598">
        <v>195</v>
      </c>
      <c r="B204" s="1599" t="s">
        <v>4975</v>
      </c>
      <c r="C204" s="1600" t="s">
        <v>4975</v>
      </c>
      <c r="D204" s="1600" t="s">
        <v>4975</v>
      </c>
      <c r="E204" s="1600" t="s">
        <v>4977</v>
      </c>
      <c r="F204" s="1598" t="s">
        <v>4927</v>
      </c>
      <c r="G204" s="1598">
        <v>22</v>
      </c>
      <c r="H204" s="1598" t="s">
        <v>115</v>
      </c>
      <c r="I204" s="1598" t="s">
        <v>1079</v>
      </c>
      <c r="J204" s="1615" t="s">
        <v>4996</v>
      </c>
      <c r="K204" s="1625" t="s">
        <v>4997</v>
      </c>
      <c r="L204" s="1600" t="s">
        <v>5010</v>
      </c>
      <c r="M204" s="1602">
        <v>44336</v>
      </c>
    </row>
    <row r="205" spans="1:13" s="1378" customFormat="1" ht="42.75">
      <c r="A205" s="1598">
        <v>196</v>
      </c>
      <c r="B205" s="1599" t="s">
        <v>1064</v>
      </c>
      <c r="C205" s="1624" t="s">
        <v>2317</v>
      </c>
      <c r="D205" s="1624" t="s">
        <v>2319</v>
      </c>
      <c r="E205" s="1600" t="s">
        <v>4977</v>
      </c>
      <c r="F205" s="1598" t="s">
        <v>4927</v>
      </c>
      <c r="G205" s="1598">
        <v>20</v>
      </c>
      <c r="H205" s="1598" t="s">
        <v>1842</v>
      </c>
      <c r="I205" s="1598" t="s">
        <v>5009</v>
      </c>
      <c r="J205" s="1598" t="s">
        <v>278</v>
      </c>
      <c r="K205" s="1598" t="s">
        <v>1033</v>
      </c>
      <c r="L205" s="1600" t="s">
        <v>5008</v>
      </c>
      <c r="M205" s="1602">
        <v>44336</v>
      </c>
    </row>
    <row r="206" spans="1:13" s="1378" customFormat="1" ht="42.75">
      <c r="A206" s="1598">
        <v>197</v>
      </c>
      <c r="B206" s="1599" t="s">
        <v>1041</v>
      </c>
      <c r="C206" s="1624" t="s">
        <v>3721</v>
      </c>
      <c r="D206" s="1600" t="s">
        <v>3723</v>
      </c>
      <c r="E206" s="1600" t="s">
        <v>4977</v>
      </c>
      <c r="F206" s="1598" t="s">
        <v>4927</v>
      </c>
      <c r="G206" s="1598">
        <v>41</v>
      </c>
      <c r="H206" s="1598" t="s">
        <v>5011</v>
      </c>
      <c r="I206" s="1598" t="s">
        <v>5009</v>
      </c>
      <c r="J206" s="1626">
        <v>0</v>
      </c>
      <c r="K206" s="1601" t="s">
        <v>5012</v>
      </c>
      <c r="L206" s="1600" t="s">
        <v>5013</v>
      </c>
      <c r="M206" s="1602">
        <v>44340</v>
      </c>
    </row>
    <row r="207" spans="1:13" s="1378" customFormat="1" ht="42.75">
      <c r="A207" s="1598">
        <v>198</v>
      </c>
      <c r="B207" s="1599" t="s">
        <v>1024</v>
      </c>
      <c r="C207" s="1600" t="s">
        <v>4285</v>
      </c>
      <c r="D207" s="1600" t="s">
        <v>4287</v>
      </c>
      <c r="E207" s="1600" t="s">
        <v>4977</v>
      </c>
      <c r="F207" s="1598" t="s">
        <v>4927</v>
      </c>
      <c r="G207" s="1598">
        <v>41</v>
      </c>
      <c r="H207" s="1598" t="s">
        <v>5011</v>
      </c>
      <c r="I207" s="1598" t="s">
        <v>1012</v>
      </c>
      <c r="J207" s="1598">
        <v>319.89999999999998</v>
      </c>
      <c r="K207" s="1601">
        <v>86.5</v>
      </c>
      <c r="L207" s="1600" t="s">
        <v>5014</v>
      </c>
      <c r="M207" s="1602">
        <v>44340</v>
      </c>
    </row>
    <row r="208" spans="1:13" s="1378" customFormat="1" ht="42.75">
      <c r="A208" s="1598">
        <v>199</v>
      </c>
      <c r="B208" s="1599" t="s">
        <v>1075</v>
      </c>
      <c r="C208" s="1600" t="s">
        <v>2982</v>
      </c>
      <c r="D208" s="1600" t="s">
        <v>2984</v>
      </c>
      <c r="E208" s="1600" t="s">
        <v>4977</v>
      </c>
      <c r="F208" s="1598" t="s">
        <v>4927</v>
      </c>
      <c r="G208" s="1598">
        <v>21</v>
      </c>
      <c r="H208" s="1598" t="s">
        <v>1843</v>
      </c>
      <c r="I208" s="1598" t="s">
        <v>5009</v>
      </c>
      <c r="J208" s="1598" t="s">
        <v>5015</v>
      </c>
      <c r="K208" s="1598" t="s">
        <v>2986</v>
      </c>
      <c r="L208" s="1600" t="s">
        <v>5016</v>
      </c>
      <c r="M208" s="1602">
        <v>44340</v>
      </c>
    </row>
    <row r="209" spans="1:13" s="1378" customFormat="1" ht="42.75">
      <c r="A209" s="1598">
        <v>200</v>
      </c>
      <c r="B209" s="1599" t="s">
        <v>1075</v>
      </c>
      <c r="C209" s="1600" t="s">
        <v>3004</v>
      </c>
      <c r="D209" s="1600" t="s">
        <v>3006</v>
      </c>
      <c r="E209" s="1600" t="s">
        <v>4977</v>
      </c>
      <c r="F209" s="1598" t="s">
        <v>4927</v>
      </c>
      <c r="G209" s="1598">
        <v>21</v>
      </c>
      <c r="H209" s="1598" t="s">
        <v>1843</v>
      </c>
      <c r="I209" s="1598" t="s">
        <v>5009</v>
      </c>
      <c r="J209" s="1598" t="s">
        <v>5015</v>
      </c>
      <c r="K209" s="1598" t="s">
        <v>2986</v>
      </c>
      <c r="L209" s="1600" t="s">
        <v>5016</v>
      </c>
      <c r="M209" s="1602">
        <v>44340</v>
      </c>
    </row>
    <row r="210" spans="1:13" s="1378" customFormat="1" ht="42.75">
      <c r="A210" s="1598">
        <v>201</v>
      </c>
      <c r="B210" s="1599" t="s">
        <v>1075</v>
      </c>
      <c r="C210" s="1600" t="s">
        <v>2982</v>
      </c>
      <c r="D210" s="1600" t="s">
        <v>2984</v>
      </c>
      <c r="E210" s="1600" t="s">
        <v>4977</v>
      </c>
      <c r="F210" s="1598" t="s">
        <v>4927</v>
      </c>
      <c r="G210" s="1598">
        <v>20</v>
      </c>
      <c r="H210" s="1598" t="s">
        <v>5017</v>
      </c>
      <c r="I210" s="1598" t="s">
        <v>5009</v>
      </c>
      <c r="J210" s="1598" t="s">
        <v>278</v>
      </c>
      <c r="K210" s="1598" t="s">
        <v>1081</v>
      </c>
      <c r="L210" s="1600" t="s">
        <v>5016</v>
      </c>
      <c r="M210" s="1602">
        <v>44340</v>
      </c>
    </row>
    <row r="211" spans="1:13" s="1378" customFormat="1" ht="42.75">
      <c r="A211" s="1598">
        <v>202</v>
      </c>
      <c r="B211" s="1599" t="s">
        <v>1075</v>
      </c>
      <c r="C211" s="1600" t="s">
        <v>3004</v>
      </c>
      <c r="D211" s="1600" t="s">
        <v>3006</v>
      </c>
      <c r="E211" s="1600" t="s">
        <v>4977</v>
      </c>
      <c r="F211" s="1598" t="s">
        <v>4927</v>
      </c>
      <c r="G211" s="1598">
        <v>20</v>
      </c>
      <c r="H211" s="1598" t="s">
        <v>5017</v>
      </c>
      <c r="I211" s="1598" t="s">
        <v>5009</v>
      </c>
      <c r="J211" s="1598" t="s">
        <v>278</v>
      </c>
      <c r="K211" s="1598" t="s">
        <v>1081</v>
      </c>
      <c r="L211" s="1600" t="s">
        <v>5016</v>
      </c>
      <c r="M211" s="1602">
        <v>44340</v>
      </c>
    </row>
    <row r="212" spans="1:13" s="1378" customFormat="1" ht="14.25">
      <c r="A212" s="1581">
        <v>203</v>
      </c>
      <c r="B212" s="1593" t="s">
        <v>1057</v>
      </c>
      <c r="C212" s="1594" t="s">
        <v>4694</v>
      </c>
      <c r="D212" s="1594" t="s">
        <v>1987</v>
      </c>
      <c r="E212" s="1594" t="s">
        <v>4926</v>
      </c>
      <c r="F212" s="1581" t="s">
        <v>4927</v>
      </c>
      <c r="G212" s="1581">
        <v>82</v>
      </c>
      <c r="H212" s="1581" t="s">
        <v>1828</v>
      </c>
      <c r="I212" s="1581" t="s">
        <v>1012</v>
      </c>
      <c r="J212" s="1595">
        <v>11</v>
      </c>
      <c r="K212" s="1595" t="s">
        <v>4929</v>
      </c>
      <c r="L212" s="1608" t="s">
        <v>5018</v>
      </c>
      <c r="M212" s="1596">
        <v>44341</v>
      </c>
    </row>
    <row r="213" spans="1:13" s="1378" customFormat="1" ht="14.25">
      <c r="A213" s="1581">
        <v>204</v>
      </c>
      <c r="B213" s="1593" t="s">
        <v>1057</v>
      </c>
      <c r="C213" s="1594" t="s">
        <v>4694</v>
      </c>
      <c r="D213" s="1594" t="s">
        <v>1987</v>
      </c>
      <c r="E213" s="1594" t="s">
        <v>4926</v>
      </c>
      <c r="F213" s="1581" t="s">
        <v>4927</v>
      </c>
      <c r="G213" s="1581">
        <v>82</v>
      </c>
      <c r="H213" s="1581" t="s">
        <v>1828</v>
      </c>
      <c r="I213" s="1581" t="s">
        <v>1022</v>
      </c>
      <c r="J213" s="1595">
        <v>11</v>
      </c>
      <c r="K213" s="1595" t="s">
        <v>4929</v>
      </c>
      <c r="L213" s="1608" t="s">
        <v>5018</v>
      </c>
      <c r="M213" s="1596">
        <v>44341</v>
      </c>
    </row>
    <row r="214" spans="1:13" s="1378" customFormat="1" ht="14.25">
      <c r="A214" s="1581">
        <v>205</v>
      </c>
      <c r="B214" s="1593" t="s">
        <v>1057</v>
      </c>
      <c r="C214" s="1594" t="s">
        <v>4694</v>
      </c>
      <c r="D214" s="1594" t="s">
        <v>1987</v>
      </c>
      <c r="E214" s="1594" t="s">
        <v>4926</v>
      </c>
      <c r="F214" s="1581" t="s">
        <v>4927</v>
      </c>
      <c r="G214" s="1581">
        <v>82</v>
      </c>
      <c r="H214" s="1581" t="s">
        <v>1828</v>
      </c>
      <c r="I214" s="1581" t="s">
        <v>1027</v>
      </c>
      <c r="J214" s="1595">
        <v>11</v>
      </c>
      <c r="K214" s="1595" t="s">
        <v>4929</v>
      </c>
      <c r="L214" s="1608" t="s">
        <v>5018</v>
      </c>
      <c r="M214" s="1596">
        <v>44341</v>
      </c>
    </row>
    <row r="215" spans="1:13" s="1378" customFormat="1" ht="14.25">
      <c r="A215" s="1581">
        <v>206</v>
      </c>
      <c r="B215" s="1593" t="s">
        <v>1057</v>
      </c>
      <c r="C215" s="1594" t="s">
        <v>4694</v>
      </c>
      <c r="D215" s="1594" t="s">
        <v>1987</v>
      </c>
      <c r="E215" s="1594" t="s">
        <v>4926</v>
      </c>
      <c r="F215" s="1581" t="s">
        <v>4927</v>
      </c>
      <c r="G215" s="1581">
        <v>82</v>
      </c>
      <c r="H215" s="1581" t="s">
        <v>1828</v>
      </c>
      <c r="I215" s="1581" t="s">
        <v>88</v>
      </c>
      <c r="J215" s="1595">
        <v>11</v>
      </c>
      <c r="K215" s="1595" t="s">
        <v>4929</v>
      </c>
      <c r="L215" s="1608" t="s">
        <v>5018</v>
      </c>
      <c r="M215" s="1596">
        <v>44341</v>
      </c>
    </row>
    <row r="216" spans="1:13" s="1378" customFormat="1" ht="14.25">
      <c r="A216" s="1581">
        <v>207</v>
      </c>
      <c r="B216" s="1593" t="s">
        <v>1057</v>
      </c>
      <c r="C216" s="1594" t="s">
        <v>4694</v>
      </c>
      <c r="D216" s="1594" t="s">
        <v>1987</v>
      </c>
      <c r="E216" s="1594" t="s">
        <v>4926</v>
      </c>
      <c r="F216" s="1581" t="s">
        <v>4927</v>
      </c>
      <c r="G216" s="1581">
        <v>82</v>
      </c>
      <c r="H216" s="1581" t="s">
        <v>1828</v>
      </c>
      <c r="I216" s="1581" t="s">
        <v>1034</v>
      </c>
      <c r="J216" s="1595">
        <v>11</v>
      </c>
      <c r="K216" s="1595" t="s">
        <v>4929</v>
      </c>
      <c r="L216" s="1608" t="s">
        <v>5018</v>
      </c>
      <c r="M216" s="1596">
        <v>44341</v>
      </c>
    </row>
    <row r="217" spans="1:13" s="1378" customFormat="1" ht="14.25">
      <c r="A217" s="1581">
        <v>208</v>
      </c>
      <c r="B217" s="1593" t="s">
        <v>1032</v>
      </c>
      <c r="C217" s="1594" t="s">
        <v>2489</v>
      </c>
      <c r="D217" s="1594" t="s">
        <v>2491</v>
      </c>
      <c r="E217" s="1594" t="s">
        <v>4926</v>
      </c>
      <c r="F217" s="1581" t="s">
        <v>4927</v>
      </c>
      <c r="G217" s="1581">
        <v>41</v>
      </c>
      <c r="H217" s="1581" t="s">
        <v>4938</v>
      </c>
      <c r="I217" s="1581" t="s">
        <v>1012</v>
      </c>
      <c r="J217" s="1606">
        <v>134</v>
      </c>
      <c r="K217" s="1606">
        <f>'App1'!AQ142</f>
        <v>0</v>
      </c>
      <c r="L217" s="1594" t="s">
        <v>5019</v>
      </c>
      <c r="M217" s="1596">
        <v>44341</v>
      </c>
    </row>
    <row r="218" spans="1:13" s="1378" customFormat="1" ht="14.25">
      <c r="A218" s="1581">
        <v>209</v>
      </c>
      <c r="B218" s="1593" t="s">
        <v>1032</v>
      </c>
      <c r="C218" s="1594" t="s">
        <v>2489</v>
      </c>
      <c r="D218" s="1594" t="s">
        <v>2491</v>
      </c>
      <c r="E218" s="1594" t="s">
        <v>4926</v>
      </c>
      <c r="F218" s="1581" t="s">
        <v>4927</v>
      </c>
      <c r="G218" s="1581">
        <v>41</v>
      </c>
      <c r="H218" s="1581" t="s">
        <v>4938</v>
      </c>
      <c r="I218" s="1581" t="s">
        <v>1022</v>
      </c>
      <c r="J218" s="1606">
        <v>132.6</v>
      </c>
      <c r="K218" s="1606">
        <f>'App1'!AR142</f>
        <v>0</v>
      </c>
      <c r="L218" s="1594" t="s">
        <v>5019</v>
      </c>
      <c r="M218" s="1596">
        <v>44341</v>
      </c>
    </row>
    <row r="219" spans="1:13" s="1378" customFormat="1" ht="14.25">
      <c r="A219" s="1581">
        <v>210</v>
      </c>
      <c r="B219" s="1593" t="s">
        <v>1032</v>
      </c>
      <c r="C219" s="1594" t="s">
        <v>2489</v>
      </c>
      <c r="D219" s="1594" t="s">
        <v>2491</v>
      </c>
      <c r="E219" s="1594" t="s">
        <v>4926</v>
      </c>
      <c r="F219" s="1581" t="s">
        <v>4927</v>
      </c>
      <c r="G219" s="1581">
        <v>41</v>
      </c>
      <c r="H219" s="1581" t="s">
        <v>4938</v>
      </c>
      <c r="I219" s="1581" t="s">
        <v>1027</v>
      </c>
      <c r="J219" s="1606">
        <v>128.4</v>
      </c>
      <c r="K219" s="1606">
        <f>'App1'!AS142</f>
        <v>0</v>
      </c>
      <c r="L219" s="1594" t="s">
        <v>5019</v>
      </c>
      <c r="M219" s="1596">
        <v>44341</v>
      </c>
    </row>
    <row r="220" spans="1:13" s="1378" customFormat="1" ht="14.25">
      <c r="A220" s="1581">
        <v>211</v>
      </c>
      <c r="B220" s="1593" t="s">
        <v>1032</v>
      </c>
      <c r="C220" s="1594" t="s">
        <v>2489</v>
      </c>
      <c r="D220" s="1594" t="s">
        <v>2491</v>
      </c>
      <c r="E220" s="1594" t="s">
        <v>4926</v>
      </c>
      <c r="F220" s="1581" t="s">
        <v>4927</v>
      </c>
      <c r="G220" s="1581">
        <v>41</v>
      </c>
      <c r="H220" s="1581" t="s">
        <v>4938</v>
      </c>
      <c r="I220" s="1581" t="s">
        <v>88</v>
      </c>
      <c r="J220" s="1606">
        <v>124.4</v>
      </c>
      <c r="K220" s="1606">
        <f>'App1'!AT142</f>
        <v>0</v>
      </c>
      <c r="L220" s="1594" t="s">
        <v>5019</v>
      </c>
      <c r="M220" s="1596">
        <v>44341</v>
      </c>
    </row>
    <row r="221" spans="1:13" s="1378" customFormat="1" ht="14.25">
      <c r="A221" s="1581">
        <v>212</v>
      </c>
      <c r="B221" s="1593" t="s">
        <v>1032</v>
      </c>
      <c r="C221" s="1594" t="s">
        <v>2489</v>
      </c>
      <c r="D221" s="1594" t="s">
        <v>2491</v>
      </c>
      <c r="E221" s="1594" t="s">
        <v>4926</v>
      </c>
      <c r="F221" s="1581" t="s">
        <v>4927</v>
      </c>
      <c r="G221" s="1581">
        <v>41</v>
      </c>
      <c r="H221" s="1581" t="s">
        <v>4938</v>
      </c>
      <c r="I221" s="1581" t="s">
        <v>1034</v>
      </c>
      <c r="J221" s="1606">
        <v>120.3</v>
      </c>
      <c r="K221" s="1606">
        <f>'App1'!AU142</f>
        <v>0</v>
      </c>
      <c r="L221" s="1594" t="s">
        <v>5019</v>
      </c>
      <c r="M221" s="1596">
        <v>44341</v>
      </c>
    </row>
    <row r="222" spans="1:13" s="1378" customFormat="1" ht="14.25">
      <c r="A222" s="1581">
        <v>213</v>
      </c>
      <c r="B222" s="1593" t="s">
        <v>1032</v>
      </c>
      <c r="C222" s="1594" t="s">
        <v>2494</v>
      </c>
      <c r="D222" s="1594" t="s">
        <v>2496</v>
      </c>
      <c r="E222" s="1594" t="s">
        <v>4926</v>
      </c>
      <c r="F222" s="1581" t="s">
        <v>4927</v>
      </c>
      <c r="G222" s="1581">
        <v>41</v>
      </c>
      <c r="H222" s="1581" t="s">
        <v>4938</v>
      </c>
      <c r="I222" s="1581" t="s">
        <v>1012</v>
      </c>
      <c r="J222" s="1606">
        <v>58.2</v>
      </c>
      <c r="K222" s="1606">
        <f>'App1'!AQ143</f>
        <v>0</v>
      </c>
      <c r="L222" s="1594" t="s">
        <v>5019</v>
      </c>
      <c r="M222" s="1596">
        <v>44341</v>
      </c>
    </row>
    <row r="223" spans="1:13" s="1378" customFormat="1" ht="14.25">
      <c r="A223" s="1581">
        <v>214</v>
      </c>
      <c r="B223" s="1593" t="s">
        <v>1032</v>
      </c>
      <c r="C223" s="1594" t="s">
        <v>2494</v>
      </c>
      <c r="D223" s="1594" t="s">
        <v>2496</v>
      </c>
      <c r="E223" s="1594" t="s">
        <v>4926</v>
      </c>
      <c r="F223" s="1581" t="s">
        <v>4927</v>
      </c>
      <c r="G223" s="1581">
        <v>41</v>
      </c>
      <c r="H223" s="1581" t="s">
        <v>4938</v>
      </c>
      <c r="I223" s="1581" t="s">
        <v>1022</v>
      </c>
      <c r="J223" s="1606">
        <v>56.8</v>
      </c>
      <c r="K223" s="1606">
        <f>'App1'!AR143</f>
        <v>0</v>
      </c>
      <c r="L223" s="1594" t="s">
        <v>5019</v>
      </c>
      <c r="M223" s="1596">
        <v>44341</v>
      </c>
    </row>
    <row r="224" spans="1:13" s="1378" customFormat="1" ht="14.25">
      <c r="A224" s="1581">
        <v>215</v>
      </c>
      <c r="B224" s="1593" t="s">
        <v>1032</v>
      </c>
      <c r="C224" s="1594" t="s">
        <v>2494</v>
      </c>
      <c r="D224" s="1594" t="s">
        <v>2496</v>
      </c>
      <c r="E224" s="1594" t="s">
        <v>4926</v>
      </c>
      <c r="F224" s="1581" t="s">
        <v>4927</v>
      </c>
      <c r="G224" s="1581">
        <v>41</v>
      </c>
      <c r="H224" s="1581" t="s">
        <v>4938</v>
      </c>
      <c r="I224" s="1581" t="s">
        <v>1027</v>
      </c>
      <c r="J224" s="1606">
        <v>54.7</v>
      </c>
      <c r="K224" s="1606">
        <f>'App1'!AS143</f>
        <v>0</v>
      </c>
      <c r="L224" s="1594" t="s">
        <v>5019</v>
      </c>
      <c r="M224" s="1596">
        <v>44341</v>
      </c>
    </row>
    <row r="225" spans="1:13" s="1378" customFormat="1" ht="14.25">
      <c r="A225" s="1581">
        <v>216</v>
      </c>
      <c r="B225" s="1593" t="s">
        <v>1032</v>
      </c>
      <c r="C225" s="1594" t="s">
        <v>2494</v>
      </c>
      <c r="D225" s="1594" t="s">
        <v>2496</v>
      </c>
      <c r="E225" s="1594" t="s">
        <v>4926</v>
      </c>
      <c r="F225" s="1581" t="s">
        <v>4927</v>
      </c>
      <c r="G225" s="1581">
        <v>41</v>
      </c>
      <c r="H225" s="1581" t="s">
        <v>4938</v>
      </c>
      <c r="I225" s="1581" t="s">
        <v>88</v>
      </c>
      <c r="J225" s="1606">
        <v>52.6</v>
      </c>
      <c r="K225" s="1606">
        <f>'App1'!AT143</f>
        <v>0</v>
      </c>
      <c r="L225" s="1594" t="s">
        <v>5019</v>
      </c>
      <c r="M225" s="1596">
        <v>44341</v>
      </c>
    </row>
    <row r="226" spans="1:13" s="1378" customFormat="1" ht="14.25">
      <c r="A226" s="1581">
        <v>217</v>
      </c>
      <c r="B226" s="1593" t="s">
        <v>1032</v>
      </c>
      <c r="C226" s="1594" t="s">
        <v>2494</v>
      </c>
      <c r="D226" s="1594" t="s">
        <v>2496</v>
      </c>
      <c r="E226" s="1594" t="s">
        <v>4926</v>
      </c>
      <c r="F226" s="1581" t="s">
        <v>4927</v>
      </c>
      <c r="G226" s="1581">
        <v>41</v>
      </c>
      <c r="H226" s="1581" t="s">
        <v>4938</v>
      </c>
      <c r="I226" s="1581" t="s">
        <v>1034</v>
      </c>
      <c r="J226" s="1606">
        <v>50.6</v>
      </c>
      <c r="K226" s="1606">
        <f>'App1'!AU143</f>
        <v>0</v>
      </c>
      <c r="L226" s="1594" t="s">
        <v>5019</v>
      </c>
      <c r="M226" s="1596">
        <v>44341</v>
      </c>
    </row>
    <row r="227" spans="1:13" s="1378" customFormat="1" ht="14.25">
      <c r="A227" s="1581">
        <v>218</v>
      </c>
      <c r="B227" s="1593" t="s">
        <v>1032</v>
      </c>
      <c r="C227" s="1594" t="s">
        <v>2489</v>
      </c>
      <c r="D227" s="1594" t="s">
        <v>2491</v>
      </c>
      <c r="E227" s="1594" t="s">
        <v>4926</v>
      </c>
      <c r="F227" s="1581" t="s">
        <v>4927</v>
      </c>
      <c r="G227" s="1581">
        <v>72</v>
      </c>
      <c r="H227" s="1581" t="s">
        <v>1826</v>
      </c>
      <c r="I227" s="1581" t="s">
        <v>1012</v>
      </c>
      <c r="J227" s="1606">
        <v>162</v>
      </c>
      <c r="K227" s="1606">
        <v>186</v>
      </c>
      <c r="L227" s="1594" t="s">
        <v>5020</v>
      </c>
      <c r="M227" s="1596">
        <v>44341</v>
      </c>
    </row>
    <row r="228" spans="1:13" s="1378" customFormat="1" ht="14.25">
      <c r="A228" s="1581">
        <v>219</v>
      </c>
      <c r="B228" s="1593" t="s">
        <v>1032</v>
      </c>
      <c r="C228" s="1594" t="s">
        <v>2489</v>
      </c>
      <c r="D228" s="1594" t="s">
        <v>2491</v>
      </c>
      <c r="E228" s="1594" t="s">
        <v>4926</v>
      </c>
      <c r="F228" s="1581" t="s">
        <v>4927</v>
      </c>
      <c r="G228" s="1581">
        <v>72</v>
      </c>
      <c r="H228" s="1581" t="s">
        <v>1826</v>
      </c>
      <c r="I228" s="1581" t="s">
        <v>1022</v>
      </c>
      <c r="J228" s="1606">
        <v>162</v>
      </c>
      <c r="K228" s="1606">
        <v>186</v>
      </c>
      <c r="L228" s="1594" t="s">
        <v>5020</v>
      </c>
      <c r="M228" s="1596">
        <v>44341</v>
      </c>
    </row>
    <row r="229" spans="1:13" s="1378" customFormat="1" ht="14.25">
      <c r="A229" s="1581">
        <v>220</v>
      </c>
      <c r="B229" s="1593" t="s">
        <v>1032</v>
      </c>
      <c r="C229" s="1594" t="s">
        <v>2489</v>
      </c>
      <c r="D229" s="1594" t="s">
        <v>2491</v>
      </c>
      <c r="E229" s="1594" t="s">
        <v>4926</v>
      </c>
      <c r="F229" s="1581" t="s">
        <v>4927</v>
      </c>
      <c r="G229" s="1581">
        <v>72</v>
      </c>
      <c r="H229" s="1581" t="s">
        <v>1826</v>
      </c>
      <c r="I229" s="1581" t="s">
        <v>1027</v>
      </c>
      <c r="J229" s="1606">
        <v>162</v>
      </c>
      <c r="K229" s="1606">
        <v>186</v>
      </c>
      <c r="L229" s="1594" t="s">
        <v>5020</v>
      </c>
      <c r="M229" s="1596">
        <v>44341</v>
      </c>
    </row>
    <row r="230" spans="1:13" s="1378" customFormat="1" ht="14.25">
      <c r="A230" s="1581">
        <v>221</v>
      </c>
      <c r="B230" s="1593" t="s">
        <v>1032</v>
      </c>
      <c r="C230" s="1594" t="s">
        <v>2489</v>
      </c>
      <c r="D230" s="1594" t="s">
        <v>2491</v>
      </c>
      <c r="E230" s="1594" t="s">
        <v>4926</v>
      </c>
      <c r="F230" s="1581" t="s">
        <v>4927</v>
      </c>
      <c r="G230" s="1581">
        <v>72</v>
      </c>
      <c r="H230" s="1581" t="s">
        <v>1826</v>
      </c>
      <c r="I230" s="1581" t="s">
        <v>88</v>
      </c>
      <c r="J230" s="1606">
        <v>162</v>
      </c>
      <c r="K230" s="1606">
        <v>186</v>
      </c>
      <c r="L230" s="1594" t="s">
        <v>5020</v>
      </c>
      <c r="M230" s="1596">
        <v>44341</v>
      </c>
    </row>
    <row r="231" spans="1:13" s="1378" customFormat="1" ht="14.25">
      <c r="A231" s="1581">
        <v>222</v>
      </c>
      <c r="B231" s="1593" t="s">
        <v>1032</v>
      </c>
      <c r="C231" s="1594" t="s">
        <v>2489</v>
      </c>
      <c r="D231" s="1594" t="s">
        <v>2491</v>
      </c>
      <c r="E231" s="1594" t="s">
        <v>4926</v>
      </c>
      <c r="F231" s="1581" t="s">
        <v>4927</v>
      </c>
      <c r="G231" s="1581">
        <v>72</v>
      </c>
      <c r="H231" s="1581" t="s">
        <v>1826</v>
      </c>
      <c r="I231" s="1581" t="s">
        <v>1034</v>
      </c>
      <c r="J231" s="1606">
        <v>162</v>
      </c>
      <c r="K231" s="1606">
        <v>186</v>
      </c>
      <c r="L231" s="1594" t="s">
        <v>5020</v>
      </c>
      <c r="M231" s="1596">
        <v>44341</v>
      </c>
    </row>
    <row r="232" spans="1:13" s="1378" customFormat="1" ht="14.25">
      <c r="A232" s="1581">
        <v>223</v>
      </c>
      <c r="B232" s="1593" t="s">
        <v>1032</v>
      </c>
      <c r="C232" s="1594" t="s">
        <v>2494</v>
      </c>
      <c r="D232" s="1594" t="s">
        <v>2496</v>
      </c>
      <c r="E232" s="1594" t="s">
        <v>4926</v>
      </c>
      <c r="F232" s="1581" t="s">
        <v>4927</v>
      </c>
      <c r="G232" s="1581">
        <v>72</v>
      </c>
      <c r="H232" s="1581" t="s">
        <v>1826</v>
      </c>
      <c r="I232" s="1581" t="s">
        <v>1012</v>
      </c>
      <c r="J232" s="1606">
        <v>97.1</v>
      </c>
      <c r="K232" s="1606">
        <v>115.6</v>
      </c>
      <c r="L232" s="1594" t="s">
        <v>5020</v>
      </c>
      <c r="M232" s="1596">
        <v>44341</v>
      </c>
    </row>
    <row r="233" spans="1:13" s="1378" customFormat="1" ht="14.25">
      <c r="A233" s="1581">
        <v>224</v>
      </c>
      <c r="B233" s="1593" t="s">
        <v>1032</v>
      </c>
      <c r="C233" s="1594" t="s">
        <v>2494</v>
      </c>
      <c r="D233" s="1594" t="s">
        <v>2496</v>
      </c>
      <c r="E233" s="1594" t="s">
        <v>4926</v>
      </c>
      <c r="F233" s="1581" t="s">
        <v>4927</v>
      </c>
      <c r="G233" s="1581">
        <v>72</v>
      </c>
      <c r="H233" s="1581" t="s">
        <v>1826</v>
      </c>
      <c r="I233" s="1581" t="s">
        <v>1022</v>
      </c>
      <c r="J233" s="1606">
        <v>97.1</v>
      </c>
      <c r="K233" s="1606">
        <v>115.6</v>
      </c>
      <c r="L233" s="1594" t="s">
        <v>5020</v>
      </c>
      <c r="M233" s="1596">
        <v>44341</v>
      </c>
    </row>
    <row r="234" spans="1:13" s="1378" customFormat="1" ht="14.25">
      <c r="A234" s="1581">
        <v>225</v>
      </c>
      <c r="B234" s="1593" t="s">
        <v>1032</v>
      </c>
      <c r="C234" s="1594" t="s">
        <v>2494</v>
      </c>
      <c r="D234" s="1594" t="s">
        <v>2496</v>
      </c>
      <c r="E234" s="1594" t="s">
        <v>4926</v>
      </c>
      <c r="F234" s="1581" t="s">
        <v>4927</v>
      </c>
      <c r="G234" s="1581">
        <v>72</v>
      </c>
      <c r="H234" s="1581" t="s">
        <v>1826</v>
      </c>
      <c r="I234" s="1581" t="s">
        <v>1027</v>
      </c>
      <c r="J234" s="1606">
        <v>97.1</v>
      </c>
      <c r="K234" s="1606">
        <v>115.6</v>
      </c>
      <c r="L234" s="1594" t="s">
        <v>5020</v>
      </c>
      <c r="M234" s="1596">
        <v>44341</v>
      </c>
    </row>
    <row r="235" spans="1:13" s="1378" customFormat="1" ht="14.25">
      <c r="A235" s="1581">
        <v>226</v>
      </c>
      <c r="B235" s="1593" t="s">
        <v>1032</v>
      </c>
      <c r="C235" s="1594" t="s">
        <v>2494</v>
      </c>
      <c r="D235" s="1594" t="s">
        <v>2496</v>
      </c>
      <c r="E235" s="1594" t="s">
        <v>4926</v>
      </c>
      <c r="F235" s="1581" t="s">
        <v>4927</v>
      </c>
      <c r="G235" s="1581">
        <v>72</v>
      </c>
      <c r="H235" s="1581" t="s">
        <v>1826</v>
      </c>
      <c r="I235" s="1581" t="s">
        <v>88</v>
      </c>
      <c r="J235" s="1606">
        <v>97.1</v>
      </c>
      <c r="K235" s="1606">
        <v>115.6</v>
      </c>
      <c r="L235" s="1594" t="s">
        <v>5020</v>
      </c>
      <c r="M235" s="1596">
        <v>44341</v>
      </c>
    </row>
    <row r="236" spans="1:13" s="1378" customFormat="1" ht="14.25">
      <c r="A236" s="1581">
        <v>227</v>
      </c>
      <c r="B236" s="1593" t="s">
        <v>1032</v>
      </c>
      <c r="C236" s="1594" t="s">
        <v>2494</v>
      </c>
      <c r="D236" s="1594" t="s">
        <v>2496</v>
      </c>
      <c r="E236" s="1594" t="s">
        <v>4926</v>
      </c>
      <c r="F236" s="1581" t="s">
        <v>4927</v>
      </c>
      <c r="G236" s="1581">
        <v>72</v>
      </c>
      <c r="H236" s="1581" t="s">
        <v>1826</v>
      </c>
      <c r="I236" s="1581" t="s">
        <v>1034</v>
      </c>
      <c r="J236" s="1606">
        <v>97.1</v>
      </c>
      <c r="K236" s="1606">
        <v>115.6</v>
      </c>
      <c r="L236" s="1594" t="s">
        <v>5020</v>
      </c>
      <c r="M236" s="1596">
        <v>44341</v>
      </c>
    </row>
    <row r="237" spans="1:13" s="1378" customFormat="1" ht="42.75">
      <c r="A237" s="1598">
        <v>228</v>
      </c>
      <c r="B237" s="1599" t="s">
        <v>1032</v>
      </c>
      <c r="C237" s="1600" t="s">
        <v>2489</v>
      </c>
      <c r="D237" s="1600" t="s">
        <v>2491</v>
      </c>
      <c r="E237" s="1600" t="s">
        <v>4977</v>
      </c>
      <c r="F237" s="1598" t="s">
        <v>4927</v>
      </c>
      <c r="G237" s="1598">
        <v>87</v>
      </c>
      <c r="H237" s="1600" t="s">
        <v>1829</v>
      </c>
      <c r="I237" s="1598" t="s">
        <v>1012</v>
      </c>
      <c r="J237" s="1627">
        <v>84.3</v>
      </c>
      <c r="K237" s="1627">
        <v>84</v>
      </c>
      <c r="L237" s="1600" t="s">
        <v>5021</v>
      </c>
      <c r="M237" s="1602">
        <v>44341</v>
      </c>
    </row>
    <row r="238" spans="1:13" s="1378" customFormat="1" ht="42.75">
      <c r="A238" s="1598">
        <v>229</v>
      </c>
      <c r="B238" s="1599" t="s">
        <v>1032</v>
      </c>
      <c r="C238" s="1600" t="s">
        <v>2489</v>
      </c>
      <c r="D238" s="1600" t="s">
        <v>2491</v>
      </c>
      <c r="E238" s="1600" t="s">
        <v>4977</v>
      </c>
      <c r="F238" s="1598" t="s">
        <v>4927</v>
      </c>
      <c r="G238" s="1598">
        <v>87</v>
      </c>
      <c r="H238" s="1600" t="s">
        <v>1829</v>
      </c>
      <c r="I238" s="1598" t="s">
        <v>1022</v>
      </c>
      <c r="J238" s="1627">
        <v>83.4</v>
      </c>
      <c r="K238" s="1627">
        <v>83.2</v>
      </c>
      <c r="L238" s="1600" t="s">
        <v>5021</v>
      </c>
      <c r="M238" s="1602">
        <v>44341</v>
      </c>
    </row>
    <row r="239" spans="1:13" s="1378" customFormat="1" ht="42.75">
      <c r="A239" s="1598">
        <v>230</v>
      </c>
      <c r="B239" s="1599" t="s">
        <v>1032</v>
      </c>
      <c r="C239" s="1600" t="s">
        <v>2489</v>
      </c>
      <c r="D239" s="1600" t="s">
        <v>2491</v>
      </c>
      <c r="E239" s="1600" t="s">
        <v>4977</v>
      </c>
      <c r="F239" s="1598" t="s">
        <v>4927</v>
      </c>
      <c r="G239" s="1598">
        <v>87</v>
      </c>
      <c r="H239" s="1600" t="s">
        <v>1829</v>
      </c>
      <c r="I239" s="1598" t="s">
        <v>1027</v>
      </c>
      <c r="J239" s="1627">
        <v>82.2</v>
      </c>
      <c r="K239" s="1627">
        <v>82</v>
      </c>
      <c r="L239" s="1600" t="s">
        <v>5021</v>
      </c>
      <c r="M239" s="1602">
        <v>44341</v>
      </c>
    </row>
    <row r="240" spans="1:13" s="1378" customFormat="1" ht="42.75">
      <c r="A240" s="1598">
        <v>231</v>
      </c>
      <c r="B240" s="1599" t="s">
        <v>1032</v>
      </c>
      <c r="C240" s="1600" t="s">
        <v>2489</v>
      </c>
      <c r="D240" s="1600" t="s">
        <v>2491</v>
      </c>
      <c r="E240" s="1600" t="s">
        <v>4977</v>
      </c>
      <c r="F240" s="1598" t="s">
        <v>4927</v>
      </c>
      <c r="G240" s="1598">
        <v>87</v>
      </c>
      <c r="H240" s="1600" t="s">
        <v>1829</v>
      </c>
      <c r="I240" s="1598" t="s">
        <v>88</v>
      </c>
      <c r="J240" s="1627">
        <v>80.7</v>
      </c>
      <c r="K240" s="1627">
        <v>80.5</v>
      </c>
      <c r="L240" s="1600" t="s">
        <v>5021</v>
      </c>
      <c r="M240" s="1602">
        <v>44341</v>
      </c>
    </row>
    <row r="241" spans="1:13" s="1378" customFormat="1" ht="42.75">
      <c r="A241" s="1598">
        <v>232</v>
      </c>
      <c r="B241" s="1599" t="s">
        <v>1032</v>
      </c>
      <c r="C241" s="1600" t="s">
        <v>2489</v>
      </c>
      <c r="D241" s="1600" t="s">
        <v>2491</v>
      </c>
      <c r="E241" s="1600" t="s">
        <v>4977</v>
      </c>
      <c r="F241" s="1598" t="s">
        <v>4927</v>
      </c>
      <c r="G241" s="1598">
        <v>87</v>
      </c>
      <c r="H241" s="1600" t="s">
        <v>1829</v>
      </c>
      <c r="I241" s="1598" t="s">
        <v>1034</v>
      </c>
      <c r="J241" s="1627">
        <v>78.099999999999994</v>
      </c>
      <c r="K241" s="1627">
        <v>77.900000000000006</v>
      </c>
      <c r="L241" s="1600" t="s">
        <v>5021</v>
      </c>
      <c r="M241" s="1602">
        <v>44341</v>
      </c>
    </row>
    <row r="242" spans="1:13" s="1378" customFormat="1" ht="42.75">
      <c r="A242" s="1598">
        <v>233</v>
      </c>
      <c r="B242" s="1599" t="s">
        <v>1032</v>
      </c>
      <c r="C242" s="1600" t="s">
        <v>2494</v>
      </c>
      <c r="D242" s="1600" t="s">
        <v>2496</v>
      </c>
      <c r="E242" s="1600" t="s">
        <v>4977</v>
      </c>
      <c r="F242" s="1598" t="s">
        <v>4927</v>
      </c>
      <c r="G242" s="1598">
        <v>87</v>
      </c>
      <c r="H242" s="1600" t="s">
        <v>1829</v>
      </c>
      <c r="I242" s="1598" t="s">
        <v>1012</v>
      </c>
      <c r="J242" s="1623">
        <v>50.7</v>
      </c>
      <c r="K242" s="1623">
        <v>53.3</v>
      </c>
      <c r="L242" s="1600" t="s">
        <v>5021</v>
      </c>
      <c r="M242" s="1602">
        <v>44341</v>
      </c>
    </row>
    <row r="243" spans="1:13" s="1378" customFormat="1" ht="42.75">
      <c r="A243" s="1598">
        <v>234</v>
      </c>
      <c r="B243" s="1599" t="s">
        <v>1032</v>
      </c>
      <c r="C243" s="1600" t="s">
        <v>2494</v>
      </c>
      <c r="D243" s="1600" t="s">
        <v>2496</v>
      </c>
      <c r="E243" s="1600" t="s">
        <v>4977</v>
      </c>
      <c r="F243" s="1598" t="s">
        <v>4927</v>
      </c>
      <c r="G243" s="1598">
        <v>87</v>
      </c>
      <c r="H243" s="1600" t="s">
        <v>1829</v>
      </c>
      <c r="I243" s="1598" t="s">
        <v>1022</v>
      </c>
      <c r="J243" s="1623">
        <v>50</v>
      </c>
      <c r="K243" s="1623">
        <v>52.6</v>
      </c>
      <c r="L243" s="1600" t="s">
        <v>5021</v>
      </c>
      <c r="M243" s="1602">
        <v>44341</v>
      </c>
    </row>
    <row r="244" spans="1:13" s="1378" customFormat="1" ht="42.75">
      <c r="A244" s="1598">
        <v>235</v>
      </c>
      <c r="B244" s="1599" t="s">
        <v>1032</v>
      </c>
      <c r="C244" s="1600" t="s">
        <v>2494</v>
      </c>
      <c r="D244" s="1600" t="s">
        <v>2496</v>
      </c>
      <c r="E244" s="1600" t="s">
        <v>4977</v>
      </c>
      <c r="F244" s="1598" t="s">
        <v>4927</v>
      </c>
      <c r="G244" s="1598">
        <v>87</v>
      </c>
      <c r="H244" s="1600" t="s">
        <v>1829</v>
      </c>
      <c r="I244" s="1598" t="s">
        <v>1027</v>
      </c>
      <c r="J244" s="1623">
        <v>49.1</v>
      </c>
      <c r="K244" s="1623">
        <v>51.6</v>
      </c>
      <c r="L244" s="1600" t="s">
        <v>5021</v>
      </c>
      <c r="M244" s="1602">
        <v>44341</v>
      </c>
    </row>
    <row r="245" spans="1:13" s="1378" customFormat="1" ht="42.75">
      <c r="A245" s="1598">
        <v>236</v>
      </c>
      <c r="B245" s="1599" t="s">
        <v>1032</v>
      </c>
      <c r="C245" s="1600" t="s">
        <v>2494</v>
      </c>
      <c r="D245" s="1600" t="s">
        <v>2496</v>
      </c>
      <c r="E245" s="1600" t="s">
        <v>4977</v>
      </c>
      <c r="F245" s="1598" t="s">
        <v>4927</v>
      </c>
      <c r="G245" s="1598">
        <v>87</v>
      </c>
      <c r="H245" s="1600" t="s">
        <v>1829</v>
      </c>
      <c r="I245" s="1598" t="s">
        <v>88</v>
      </c>
      <c r="J245" s="1623">
        <v>47.9</v>
      </c>
      <c r="K245" s="1623">
        <v>50.4</v>
      </c>
      <c r="L245" s="1600" t="s">
        <v>5021</v>
      </c>
      <c r="M245" s="1602">
        <v>44341</v>
      </c>
    </row>
    <row r="246" spans="1:13" s="1378" customFormat="1" ht="42.75">
      <c r="A246" s="1598">
        <v>237</v>
      </c>
      <c r="B246" s="1599" t="s">
        <v>1032</v>
      </c>
      <c r="C246" s="1600" t="s">
        <v>2494</v>
      </c>
      <c r="D246" s="1600" t="s">
        <v>2496</v>
      </c>
      <c r="E246" s="1600" t="s">
        <v>4977</v>
      </c>
      <c r="F246" s="1598" t="s">
        <v>4927</v>
      </c>
      <c r="G246" s="1598">
        <v>87</v>
      </c>
      <c r="H246" s="1600" t="s">
        <v>1829</v>
      </c>
      <c r="I246" s="1598" t="s">
        <v>1034</v>
      </c>
      <c r="J246" s="1623">
        <v>46.6</v>
      </c>
      <c r="K246" s="1623">
        <v>49</v>
      </c>
      <c r="L246" s="1600" t="s">
        <v>5021</v>
      </c>
      <c r="M246" s="1602">
        <v>44341</v>
      </c>
    </row>
    <row r="247" spans="1:13" s="1378" customFormat="1" ht="42.75">
      <c r="A247" s="1598">
        <v>238</v>
      </c>
      <c r="B247" s="1599" t="s">
        <v>1032</v>
      </c>
      <c r="C247" s="1600" t="s">
        <v>2506</v>
      </c>
      <c r="D247" s="1600" t="s">
        <v>736</v>
      </c>
      <c r="E247" s="1600" t="s">
        <v>4977</v>
      </c>
      <c r="F247" s="1598" t="s">
        <v>4927</v>
      </c>
      <c r="G247" s="1598">
        <v>100</v>
      </c>
      <c r="H247" s="1598" t="s">
        <v>1879</v>
      </c>
      <c r="I247" s="1598" t="s">
        <v>5022</v>
      </c>
      <c r="J247" s="1601">
        <v>-0.874</v>
      </c>
      <c r="K247" s="1601">
        <v>-0.877</v>
      </c>
      <c r="L247" s="1600" t="s">
        <v>5023</v>
      </c>
      <c r="M247" s="1602">
        <v>44341</v>
      </c>
    </row>
    <row r="248" spans="1:13" s="1378" customFormat="1" ht="42.75">
      <c r="A248" s="1598">
        <v>239</v>
      </c>
      <c r="B248" s="1599" t="s">
        <v>1032</v>
      </c>
      <c r="C248" s="1600" t="s">
        <v>2555</v>
      </c>
      <c r="D248" s="1600" t="s">
        <v>2557</v>
      </c>
      <c r="E248" s="1600" t="s">
        <v>4977</v>
      </c>
      <c r="F248" s="1598" t="s">
        <v>4927</v>
      </c>
      <c r="G248" s="1598">
        <v>6</v>
      </c>
      <c r="H248" s="1598" t="s">
        <v>5024</v>
      </c>
      <c r="I248" s="1598" t="s">
        <v>5022</v>
      </c>
      <c r="J248" s="1601" t="s">
        <v>5022</v>
      </c>
      <c r="K248" s="1601" t="s">
        <v>5022</v>
      </c>
      <c r="L248" s="1600" t="s">
        <v>5025</v>
      </c>
      <c r="M248" s="1602">
        <v>44341</v>
      </c>
    </row>
    <row r="249" spans="1:13" s="1378" customFormat="1" ht="42.75">
      <c r="A249" s="1598">
        <v>240</v>
      </c>
      <c r="B249" s="1599" t="s">
        <v>1032</v>
      </c>
      <c r="C249" s="1600" t="s">
        <v>2497</v>
      </c>
      <c r="D249" s="1600" t="s">
        <v>1902</v>
      </c>
      <c r="E249" s="1600" t="s">
        <v>4977</v>
      </c>
      <c r="F249" s="1598" t="s">
        <v>4927</v>
      </c>
      <c r="G249" s="1598">
        <v>41</v>
      </c>
      <c r="H249" s="1598" t="s">
        <v>4938</v>
      </c>
      <c r="I249" s="1598" t="s">
        <v>1012</v>
      </c>
      <c r="J249" s="1627">
        <v>142.5</v>
      </c>
      <c r="K249" s="1627">
        <v>149.4</v>
      </c>
      <c r="L249" s="1600" t="s">
        <v>5026</v>
      </c>
      <c r="M249" s="1602">
        <v>44341</v>
      </c>
    </row>
    <row r="250" spans="1:13" s="1378" customFormat="1" ht="42.75">
      <c r="A250" s="1598">
        <v>241</v>
      </c>
      <c r="B250" s="1599" t="s">
        <v>1032</v>
      </c>
      <c r="C250" s="1600" t="s">
        <v>2497</v>
      </c>
      <c r="D250" s="1600" t="s">
        <v>1902</v>
      </c>
      <c r="E250" s="1600" t="s">
        <v>4977</v>
      </c>
      <c r="F250" s="1598" t="s">
        <v>4927</v>
      </c>
      <c r="G250" s="1598">
        <v>41</v>
      </c>
      <c r="H250" s="1598" t="s">
        <v>4938</v>
      </c>
      <c r="I250" s="1598" t="s">
        <v>1022</v>
      </c>
      <c r="J250" s="1627">
        <v>141</v>
      </c>
      <c r="K250" s="1627">
        <v>147.9</v>
      </c>
      <c r="L250" s="1600" t="s">
        <v>5026</v>
      </c>
      <c r="M250" s="1602">
        <v>44341</v>
      </c>
    </row>
    <row r="251" spans="1:13" s="1378" customFormat="1" ht="42.75">
      <c r="A251" s="1598">
        <v>242</v>
      </c>
      <c r="B251" s="1599" t="s">
        <v>1032</v>
      </c>
      <c r="C251" s="1600" t="s">
        <v>2497</v>
      </c>
      <c r="D251" s="1600" t="s">
        <v>1902</v>
      </c>
      <c r="E251" s="1600" t="s">
        <v>4977</v>
      </c>
      <c r="F251" s="1598" t="s">
        <v>4927</v>
      </c>
      <c r="G251" s="1598">
        <v>41</v>
      </c>
      <c r="H251" s="1598" t="s">
        <v>4938</v>
      </c>
      <c r="I251" s="1598" t="s">
        <v>1027</v>
      </c>
      <c r="J251" s="1627">
        <v>139.4</v>
      </c>
      <c r="K251" s="1627">
        <v>146.19999999999999</v>
      </c>
      <c r="L251" s="1600" t="s">
        <v>5026</v>
      </c>
      <c r="M251" s="1602">
        <v>44341</v>
      </c>
    </row>
    <row r="252" spans="1:13" s="1378" customFormat="1" ht="42.75">
      <c r="A252" s="1598">
        <v>243</v>
      </c>
      <c r="B252" s="1599" t="s">
        <v>1032</v>
      </c>
      <c r="C252" s="1600" t="s">
        <v>2497</v>
      </c>
      <c r="D252" s="1600" t="s">
        <v>1902</v>
      </c>
      <c r="E252" s="1600" t="s">
        <v>4977</v>
      </c>
      <c r="F252" s="1598" t="s">
        <v>4927</v>
      </c>
      <c r="G252" s="1598">
        <v>41</v>
      </c>
      <c r="H252" s="1598" t="s">
        <v>4938</v>
      </c>
      <c r="I252" s="1598" t="s">
        <v>88</v>
      </c>
      <c r="J252" s="1627">
        <v>137.69999999999999</v>
      </c>
      <c r="K252" s="1627">
        <v>144.4</v>
      </c>
      <c r="L252" s="1600" t="s">
        <v>5026</v>
      </c>
      <c r="M252" s="1602">
        <v>44341</v>
      </c>
    </row>
    <row r="253" spans="1:13" s="1378" customFormat="1" ht="42.75">
      <c r="A253" s="1598">
        <v>244</v>
      </c>
      <c r="B253" s="1599" t="s">
        <v>1032</v>
      </c>
      <c r="C253" s="1600" t="s">
        <v>2497</v>
      </c>
      <c r="D253" s="1600" t="s">
        <v>1902</v>
      </c>
      <c r="E253" s="1600" t="s">
        <v>4977</v>
      </c>
      <c r="F253" s="1598" t="s">
        <v>4927</v>
      </c>
      <c r="G253" s="1598">
        <v>41</v>
      </c>
      <c r="H253" s="1598" t="s">
        <v>4938</v>
      </c>
      <c r="I253" s="1598" t="s">
        <v>1034</v>
      </c>
      <c r="J253" s="1627">
        <v>136</v>
      </c>
      <c r="K253" s="1627">
        <v>142.6</v>
      </c>
      <c r="L253" s="1600" t="s">
        <v>5026</v>
      </c>
      <c r="M253" s="1602">
        <v>44341</v>
      </c>
    </row>
    <row r="254" spans="1:13" s="1378" customFormat="1" ht="28.5">
      <c r="A254" s="1581">
        <v>245</v>
      </c>
      <c r="B254" s="1593" t="s">
        <v>1032</v>
      </c>
      <c r="C254" s="1594" t="s">
        <v>2683</v>
      </c>
      <c r="D254" s="1594" t="s">
        <v>5027</v>
      </c>
      <c r="E254" s="1594" t="s">
        <v>4926</v>
      </c>
      <c r="F254" s="1581" t="s">
        <v>4927</v>
      </c>
      <c r="G254" s="1581">
        <v>97</v>
      </c>
      <c r="H254" s="1597" t="s">
        <v>1877</v>
      </c>
      <c r="I254" s="1581" t="s">
        <v>5022</v>
      </c>
      <c r="J254" s="1595" t="s">
        <v>4929</v>
      </c>
      <c r="K254" s="1604">
        <v>-4.1700000000000001E-2</v>
      </c>
      <c r="L254" s="1594" t="s">
        <v>5028</v>
      </c>
      <c r="M254" s="1596">
        <v>44341</v>
      </c>
    </row>
    <row r="255" spans="1:13" s="1378" customFormat="1" ht="14.25">
      <c r="A255" s="1598">
        <v>246</v>
      </c>
      <c r="B255" s="1599" t="s">
        <v>1015</v>
      </c>
      <c r="C255" s="1600" t="s">
        <v>2045</v>
      </c>
      <c r="D255" s="1600" t="s">
        <v>137</v>
      </c>
      <c r="E255" s="1600" t="s">
        <v>860</v>
      </c>
      <c r="F255" s="1598" t="s">
        <v>4927</v>
      </c>
      <c r="G255" s="1598">
        <v>41</v>
      </c>
      <c r="H255" s="1598" t="s">
        <v>5029</v>
      </c>
      <c r="I255" s="1598" t="s">
        <v>4985</v>
      </c>
      <c r="J255" s="1601" t="s">
        <v>5030</v>
      </c>
      <c r="K255" s="1601" t="s">
        <v>5031</v>
      </c>
      <c r="L255" s="1600" t="s">
        <v>5032</v>
      </c>
      <c r="M255" s="1602">
        <v>44342</v>
      </c>
    </row>
    <row r="256" spans="1:13" s="1378" customFormat="1" ht="14.25">
      <c r="A256" s="1598">
        <v>247</v>
      </c>
      <c r="B256" s="1599" t="s">
        <v>1015</v>
      </c>
      <c r="C256" s="1600" t="s">
        <v>2045</v>
      </c>
      <c r="D256" s="1600" t="s">
        <v>137</v>
      </c>
      <c r="E256" s="1600" t="s">
        <v>860</v>
      </c>
      <c r="F256" s="1598" t="s">
        <v>4927</v>
      </c>
      <c r="G256" s="1598">
        <v>77</v>
      </c>
      <c r="H256" s="1598" t="s">
        <v>998</v>
      </c>
      <c r="I256" s="1598" t="s">
        <v>4985</v>
      </c>
      <c r="J256" s="1601" t="s">
        <v>5030</v>
      </c>
      <c r="K256" s="1601" t="s">
        <v>5031</v>
      </c>
      <c r="L256" s="1600" t="s">
        <v>5032</v>
      </c>
      <c r="M256" s="1602">
        <v>44342</v>
      </c>
    </row>
    <row r="257" spans="1:13" s="1378" customFormat="1" ht="14.25">
      <c r="A257" s="1598">
        <v>248</v>
      </c>
      <c r="B257" s="1599" t="s">
        <v>1015</v>
      </c>
      <c r="C257" s="1600" t="s">
        <v>2045</v>
      </c>
      <c r="D257" s="1600" t="s">
        <v>137</v>
      </c>
      <c r="E257" s="1600" t="s">
        <v>860</v>
      </c>
      <c r="F257" s="1598" t="s">
        <v>4927</v>
      </c>
      <c r="G257" s="1598">
        <v>87</v>
      </c>
      <c r="H257" s="1598" t="s">
        <v>994</v>
      </c>
      <c r="I257" s="1598" t="s">
        <v>4985</v>
      </c>
      <c r="J257" s="1601" t="s">
        <v>5030</v>
      </c>
      <c r="K257" s="1601" t="s">
        <v>5031</v>
      </c>
      <c r="L257" s="1600" t="s">
        <v>5032</v>
      </c>
      <c r="M257" s="1602">
        <v>44342</v>
      </c>
    </row>
    <row r="258" spans="1:13" s="1378" customFormat="1" ht="14.25">
      <c r="A258" s="1581">
        <v>249</v>
      </c>
      <c r="B258" s="1593" t="s">
        <v>1015</v>
      </c>
      <c r="C258" s="1594" t="s">
        <v>2045</v>
      </c>
      <c r="D258" s="1594" t="s">
        <v>137</v>
      </c>
      <c r="E258" s="1594" t="s">
        <v>860</v>
      </c>
      <c r="F258" s="1581" t="s">
        <v>4927</v>
      </c>
      <c r="G258" s="1581">
        <v>67</v>
      </c>
      <c r="H258" s="1581" t="s">
        <v>1825</v>
      </c>
      <c r="I258" s="1581" t="s">
        <v>4985</v>
      </c>
      <c r="J258" s="1606">
        <v>384.6</v>
      </c>
      <c r="K258" s="1606">
        <v>0</v>
      </c>
      <c r="L258" s="1594" t="s">
        <v>5033</v>
      </c>
      <c r="M258" s="1596">
        <v>44342</v>
      </c>
    </row>
    <row r="259" spans="1:13" s="1378" customFormat="1" ht="14.25">
      <c r="A259" s="1581">
        <v>250</v>
      </c>
      <c r="B259" s="1593" t="s">
        <v>1015</v>
      </c>
      <c r="C259" s="1594" t="s">
        <v>2045</v>
      </c>
      <c r="D259" s="1594" t="s">
        <v>137</v>
      </c>
      <c r="E259" s="1594" t="s">
        <v>860</v>
      </c>
      <c r="F259" s="1581" t="s">
        <v>4927</v>
      </c>
      <c r="G259" s="1581">
        <v>72</v>
      </c>
      <c r="H259" s="1581" t="s">
        <v>1826</v>
      </c>
      <c r="I259" s="1581" t="s">
        <v>4985</v>
      </c>
      <c r="J259" s="1606">
        <v>332</v>
      </c>
      <c r="K259" s="1606">
        <v>384.6</v>
      </c>
      <c r="L259" s="1594" t="s">
        <v>5020</v>
      </c>
      <c r="M259" s="1596">
        <v>44342</v>
      </c>
    </row>
    <row r="260" spans="1:13" s="1378" customFormat="1" ht="14.25">
      <c r="A260" s="1598">
        <v>251</v>
      </c>
      <c r="B260" s="1599" t="s">
        <v>1015</v>
      </c>
      <c r="C260" s="1600" t="s">
        <v>2056</v>
      </c>
      <c r="D260" s="1600" t="s">
        <v>732</v>
      </c>
      <c r="E260" s="1600" t="s">
        <v>860</v>
      </c>
      <c r="F260" s="1598" t="s">
        <v>4927</v>
      </c>
      <c r="G260" s="1598">
        <v>87</v>
      </c>
      <c r="H260" s="1598" t="s">
        <v>1829</v>
      </c>
      <c r="I260" s="1598" t="s">
        <v>1012</v>
      </c>
      <c r="J260" s="1598">
        <v>1.62</v>
      </c>
      <c r="K260" s="1598">
        <v>1.35</v>
      </c>
      <c r="L260" s="1600" t="s">
        <v>5034</v>
      </c>
      <c r="M260" s="1602">
        <v>44342</v>
      </c>
    </row>
    <row r="261" spans="1:13" s="1378" customFormat="1" ht="14.25">
      <c r="A261" s="1598">
        <v>252</v>
      </c>
      <c r="B261" s="1599" t="s">
        <v>1015</v>
      </c>
      <c r="C261" s="1600" t="s">
        <v>2056</v>
      </c>
      <c r="D261" s="1600" t="s">
        <v>732</v>
      </c>
      <c r="E261" s="1600" t="s">
        <v>860</v>
      </c>
      <c r="F261" s="1598" t="s">
        <v>4927</v>
      </c>
      <c r="G261" s="1598">
        <v>87</v>
      </c>
      <c r="H261" s="1598" t="s">
        <v>1829</v>
      </c>
      <c r="I261" s="1598" t="s">
        <v>1022</v>
      </c>
      <c r="J261" s="1598">
        <v>1.52</v>
      </c>
      <c r="K261" s="1598">
        <v>1.3</v>
      </c>
      <c r="L261" s="1600" t="s">
        <v>5034</v>
      </c>
      <c r="M261" s="1602">
        <v>44342</v>
      </c>
    </row>
    <row r="262" spans="1:13" s="1378" customFormat="1" ht="14.25">
      <c r="A262" s="1598">
        <v>253</v>
      </c>
      <c r="B262" s="1599" t="s">
        <v>1015</v>
      </c>
      <c r="C262" s="1600" t="s">
        <v>2056</v>
      </c>
      <c r="D262" s="1600" t="s">
        <v>732</v>
      </c>
      <c r="E262" s="1600" t="s">
        <v>860</v>
      </c>
      <c r="F262" s="1598" t="s">
        <v>4927</v>
      </c>
      <c r="G262" s="1598">
        <v>87</v>
      </c>
      <c r="H262" s="1598" t="s">
        <v>1829</v>
      </c>
      <c r="I262" s="1598" t="s">
        <v>1027</v>
      </c>
      <c r="J262" s="1598">
        <v>1.43</v>
      </c>
      <c r="K262" s="1598">
        <v>1.25</v>
      </c>
      <c r="L262" s="1600" t="s">
        <v>5034</v>
      </c>
      <c r="M262" s="1602">
        <v>44342</v>
      </c>
    </row>
    <row r="263" spans="1:13" s="1378" customFormat="1" ht="14.25">
      <c r="A263" s="1598">
        <v>254</v>
      </c>
      <c r="B263" s="1599" t="s">
        <v>1015</v>
      </c>
      <c r="C263" s="1600" t="s">
        <v>2056</v>
      </c>
      <c r="D263" s="1600" t="s">
        <v>732</v>
      </c>
      <c r="E263" s="1600" t="s">
        <v>860</v>
      </c>
      <c r="F263" s="1598" t="s">
        <v>4927</v>
      </c>
      <c r="G263" s="1598">
        <v>87</v>
      </c>
      <c r="H263" s="1598" t="s">
        <v>1829</v>
      </c>
      <c r="I263" s="1598" t="s">
        <v>88</v>
      </c>
      <c r="J263" s="1598">
        <v>1.23</v>
      </c>
      <c r="K263" s="1598">
        <v>1.1100000000000001</v>
      </c>
      <c r="L263" s="1600" t="s">
        <v>5034</v>
      </c>
      <c r="M263" s="1602">
        <v>44342</v>
      </c>
    </row>
    <row r="264" spans="1:13" s="1378" customFormat="1" ht="14.25">
      <c r="A264" s="1598">
        <v>255</v>
      </c>
      <c r="B264" s="1599" t="s">
        <v>1015</v>
      </c>
      <c r="C264" s="1600" t="s">
        <v>2056</v>
      </c>
      <c r="D264" s="1600" t="s">
        <v>732</v>
      </c>
      <c r="E264" s="1600" t="s">
        <v>860</v>
      </c>
      <c r="F264" s="1598" t="s">
        <v>4927</v>
      </c>
      <c r="G264" s="1598">
        <v>87</v>
      </c>
      <c r="H264" s="1598" t="s">
        <v>1829</v>
      </c>
      <c r="I264" s="1598" t="s">
        <v>1034</v>
      </c>
      <c r="J264" s="1598">
        <v>1.07</v>
      </c>
      <c r="K264" s="1598">
        <v>1.01</v>
      </c>
      <c r="L264" s="1600" t="s">
        <v>5034</v>
      </c>
      <c r="M264" s="1602">
        <v>44342</v>
      </c>
    </row>
    <row r="265" spans="1:13" s="1378" customFormat="1" ht="14.25">
      <c r="A265" s="1598">
        <v>256</v>
      </c>
      <c r="B265" s="1599" t="s">
        <v>1015</v>
      </c>
      <c r="C265" s="1600" t="s">
        <v>2060</v>
      </c>
      <c r="D265" s="1600" t="s">
        <v>736</v>
      </c>
      <c r="E265" s="1600" t="s">
        <v>860</v>
      </c>
      <c r="F265" s="1598" t="s">
        <v>4927</v>
      </c>
      <c r="G265" s="1598">
        <v>87</v>
      </c>
      <c r="H265" s="1598" t="s">
        <v>1829</v>
      </c>
      <c r="I265" s="1598" t="s">
        <v>1012</v>
      </c>
      <c r="J265" s="1623">
        <v>17</v>
      </c>
      <c r="K265" s="1623">
        <v>9.51</v>
      </c>
      <c r="L265" s="1600" t="s">
        <v>5034</v>
      </c>
      <c r="M265" s="1602">
        <v>44342</v>
      </c>
    </row>
    <row r="266" spans="1:13" s="1378" customFormat="1" ht="14.25">
      <c r="A266" s="1598">
        <v>257</v>
      </c>
      <c r="B266" s="1599" t="s">
        <v>1015</v>
      </c>
      <c r="C266" s="1600" t="s">
        <v>2060</v>
      </c>
      <c r="D266" s="1600" t="s">
        <v>736</v>
      </c>
      <c r="E266" s="1600" t="s">
        <v>860</v>
      </c>
      <c r="F266" s="1598" t="s">
        <v>4927</v>
      </c>
      <c r="G266" s="1598">
        <v>87</v>
      </c>
      <c r="H266" s="1598" t="s">
        <v>1829</v>
      </c>
      <c r="I266" s="1598" t="s">
        <v>1022</v>
      </c>
      <c r="J266" s="1623">
        <v>16.5</v>
      </c>
      <c r="K266" s="1623">
        <v>8.74</v>
      </c>
      <c r="L266" s="1600" t="s">
        <v>5034</v>
      </c>
      <c r="M266" s="1602">
        <v>44342</v>
      </c>
    </row>
    <row r="267" spans="1:13" s="1378" customFormat="1" ht="14.25">
      <c r="A267" s="1598">
        <v>258</v>
      </c>
      <c r="B267" s="1599" t="s">
        <v>1015</v>
      </c>
      <c r="C267" s="1600" t="s">
        <v>2060</v>
      </c>
      <c r="D267" s="1600" t="s">
        <v>736</v>
      </c>
      <c r="E267" s="1600" t="s">
        <v>860</v>
      </c>
      <c r="F267" s="1598" t="s">
        <v>4927</v>
      </c>
      <c r="G267" s="1598">
        <v>87</v>
      </c>
      <c r="H267" s="1598" t="s">
        <v>1829</v>
      </c>
      <c r="I267" s="1598" t="s">
        <v>1027</v>
      </c>
      <c r="J267" s="1623">
        <v>16</v>
      </c>
      <c r="K267" s="1623">
        <v>8</v>
      </c>
      <c r="L267" s="1600" t="s">
        <v>5034</v>
      </c>
      <c r="M267" s="1602">
        <v>44342</v>
      </c>
    </row>
    <row r="268" spans="1:13" s="1378" customFormat="1" ht="14.25">
      <c r="A268" s="1598">
        <v>259</v>
      </c>
      <c r="B268" s="1599" t="s">
        <v>1015</v>
      </c>
      <c r="C268" s="1600" t="s">
        <v>2060</v>
      </c>
      <c r="D268" s="1600" t="s">
        <v>736</v>
      </c>
      <c r="E268" s="1600" t="s">
        <v>860</v>
      </c>
      <c r="F268" s="1598" t="s">
        <v>4927</v>
      </c>
      <c r="G268" s="1598">
        <v>87</v>
      </c>
      <c r="H268" s="1598" t="s">
        <v>1829</v>
      </c>
      <c r="I268" s="1598" t="s">
        <v>88</v>
      </c>
      <c r="J268" s="1623">
        <v>15.5</v>
      </c>
      <c r="K268" s="1623">
        <v>7.4</v>
      </c>
      <c r="L268" s="1600" t="s">
        <v>5034</v>
      </c>
      <c r="M268" s="1602">
        <v>44342</v>
      </c>
    </row>
    <row r="269" spans="1:13" s="1378" customFormat="1" ht="14.25">
      <c r="A269" s="1598">
        <v>260</v>
      </c>
      <c r="B269" s="1599" t="s">
        <v>1015</v>
      </c>
      <c r="C269" s="1600" t="s">
        <v>2060</v>
      </c>
      <c r="D269" s="1600" t="s">
        <v>736</v>
      </c>
      <c r="E269" s="1600" t="s">
        <v>860</v>
      </c>
      <c r="F269" s="1598" t="s">
        <v>4927</v>
      </c>
      <c r="G269" s="1598">
        <v>87</v>
      </c>
      <c r="H269" s="1598" t="s">
        <v>1829</v>
      </c>
      <c r="I269" s="1598" t="s">
        <v>1034</v>
      </c>
      <c r="J269" s="1623">
        <v>15</v>
      </c>
      <c r="K269" s="1623">
        <v>4.5</v>
      </c>
      <c r="L269" s="1600" t="s">
        <v>5034</v>
      </c>
      <c r="M269" s="1602">
        <v>44342</v>
      </c>
    </row>
    <row r="270" spans="1:13" s="1378" customFormat="1" ht="28.5">
      <c r="A270" s="1598">
        <v>261</v>
      </c>
      <c r="B270" s="1599" t="s">
        <v>1068</v>
      </c>
      <c r="C270" s="1929" t="s">
        <v>2782</v>
      </c>
      <c r="D270" s="1600" t="s">
        <v>535</v>
      </c>
      <c r="E270" s="1600" t="s">
        <v>860</v>
      </c>
      <c r="F270" s="1598" t="s">
        <v>4927</v>
      </c>
      <c r="G270" s="1598">
        <v>41</v>
      </c>
      <c r="H270" s="1598" t="s">
        <v>4938</v>
      </c>
      <c r="I270" s="1598" t="s">
        <v>1012</v>
      </c>
      <c r="J270" s="1598">
        <v>0.8</v>
      </c>
      <c r="K270" s="1628">
        <v>0.84</v>
      </c>
      <c r="L270" s="1600" t="s">
        <v>5035</v>
      </c>
      <c r="M270" s="1602">
        <v>44342</v>
      </c>
    </row>
    <row r="271" spans="1:13" s="1378" customFormat="1" ht="28.5">
      <c r="A271" s="1598">
        <v>262</v>
      </c>
      <c r="B271" s="1599" t="s">
        <v>1068</v>
      </c>
      <c r="C271" s="1929" t="s">
        <v>2782</v>
      </c>
      <c r="D271" s="1600" t="s">
        <v>535</v>
      </c>
      <c r="E271" s="1600" t="s">
        <v>860</v>
      </c>
      <c r="F271" s="1598" t="s">
        <v>4927</v>
      </c>
      <c r="G271" s="1598">
        <v>41</v>
      </c>
      <c r="H271" s="1598" t="s">
        <v>4938</v>
      </c>
      <c r="I271" s="1598" t="s">
        <v>1022</v>
      </c>
      <c r="J271" s="1598">
        <v>0.8</v>
      </c>
      <c r="K271" s="1628">
        <v>0.84</v>
      </c>
      <c r="L271" s="1600" t="s">
        <v>5035</v>
      </c>
      <c r="M271" s="1602">
        <v>44342</v>
      </c>
    </row>
    <row r="272" spans="1:13" s="1378" customFormat="1" ht="28.5">
      <c r="A272" s="1598">
        <v>263</v>
      </c>
      <c r="B272" s="1599" t="s">
        <v>1068</v>
      </c>
      <c r="C272" s="1929" t="s">
        <v>2782</v>
      </c>
      <c r="D272" s="1600" t="s">
        <v>535</v>
      </c>
      <c r="E272" s="1600" t="s">
        <v>860</v>
      </c>
      <c r="F272" s="1598" t="s">
        <v>4927</v>
      </c>
      <c r="G272" s="1598">
        <v>41</v>
      </c>
      <c r="H272" s="1598" t="s">
        <v>4938</v>
      </c>
      <c r="I272" s="1598" t="s">
        <v>1027</v>
      </c>
      <c r="J272" s="1598">
        <v>0.8</v>
      </c>
      <c r="K272" s="1628">
        <v>0.76</v>
      </c>
      <c r="L272" s="1600" t="s">
        <v>5035</v>
      </c>
      <c r="M272" s="1602">
        <v>44342</v>
      </c>
    </row>
    <row r="273" spans="1:13" s="1378" customFormat="1" ht="28.5">
      <c r="A273" s="1598">
        <v>264</v>
      </c>
      <c r="B273" s="1599" t="s">
        <v>1068</v>
      </c>
      <c r="C273" s="1929" t="s">
        <v>2782</v>
      </c>
      <c r="D273" s="1600" t="s">
        <v>535</v>
      </c>
      <c r="E273" s="1600" t="s">
        <v>860</v>
      </c>
      <c r="F273" s="1598" t="s">
        <v>4927</v>
      </c>
      <c r="G273" s="1598">
        <v>41</v>
      </c>
      <c r="H273" s="1598" t="s">
        <v>4938</v>
      </c>
      <c r="I273" s="1598" t="s">
        <v>88</v>
      </c>
      <c r="J273" s="1598">
        <v>0.7</v>
      </c>
      <c r="K273" s="1628">
        <v>0.68</v>
      </c>
      <c r="L273" s="1600" t="s">
        <v>5035</v>
      </c>
      <c r="M273" s="1602">
        <v>44342</v>
      </c>
    </row>
    <row r="274" spans="1:13" s="1378" customFormat="1" ht="28.5">
      <c r="A274" s="1598">
        <v>265</v>
      </c>
      <c r="B274" s="1599" t="s">
        <v>1068</v>
      </c>
      <c r="C274" s="1929" t="s">
        <v>2782</v>
      </c>
      <c r="D274" s="1600" t="s">
        <v>535</v>
      </c>
      <c r="E274" s="1600" t="s">
        <v>860</v>
      </c>
      <c r="F274" s="1598" t="s">
        <v>4927</v>
      </c>
      <c r="G274" s="1598">
        <v>41</v>
      </c>
      <c r="H274" s="1598" t="s">
        <v>4938</v>
      </c>
      <c r="I274" s="1598" t="s">
        <v>1034</v>
      </c>
      <c r="J274" s="1598">
        <v>0.3</v>
      </c>
      <c r="K274" s="1628">
        <v>0.32</v>
      </c>
      <c r="L274" s="1600" t="s">
        <v>5035</v>
      </c>
      <c r="M274" s="1602">
        <v>44342</v>
      </c>
    </row>
    <row r="275" spans="1:13" s="1378" customFormat="1" ht="14.25">
      <c r="A275" s="1581">
        <v>266</v>
      </c>
      <c r="B275" s="1593" t="s">
        <v>1015</v>
      </c>
      <c r="C275" s="1609" t="s">
        <v>2167</v>
      </c>
      <c r="D275" s="1594" t="s">
        <v>2168</v>
      </c>
      <c r="E275" s="1594" t="s">
        <v>860</v>
      </c>
      <c r="F275" s="1581" t="s">
        <v>4927</v>
      </c>
      <c r="G275" s="1581">
        <v>41</v>
      </c>
      <c r="H275" s="1581" t="s">
        <v>4938</v>
      </c>
      <c r="I275" s="1581" t="s">
        <v>1022</v>
      </c>
      <c r="J275" s="1581">
        <v>3.3</v>
      </c>
      <c r="K275" s="1581">
        <v>0</v>
      </c>
      <c r="L275" s="1594" t="s">
        <v>5036</v>
      </c>
      <c r="M275" s="1596">
        <v>44343</v>
      </c>
    </row>
    <row r="276" spans="1:13" s="1378" customFormat="1" ht="14.25">
      <c r="A276" s="1581">
        <v>267</v>
      </c>
      <c r="B276" s="1593" t="s">
        <v>1015</v>
      </c>
      <c r="C276" s="1609" t="s">
        <v>2167</v>
      </c>
      <c r="D276" s="1594" t="s">
        <v>2168</v>
      </c>
      <c r="E276" s="1594" t="s">
        <v>860</v>
      </c>
      <c r="F276" s="1581" t="s">
        <v>4927</v>
      </c>
      <c r="G276" s="1581">
        <v>41</v>
      </c>
      <c r="H276" s="1581" t="s">
        <v>4938</v>
      </c>
      <c r="I276" s="1581" t="s">
        <v>1027</v>
      </c>
      <c r="J276" s="1581">
        <v>45.8</v>
      </c>
      <c r="K276" s="1581">
        <v>0</v>
      </c>
      <c r="L276" s="1594" t="s">
        <v>5036</v>
      </c>
      <c r="M276" s="1596">
        <v>44343</v>
      </c>
    </row>
    <row r="277" spans="1:13" s="1378" customFormat="1" ht="14.25">
      <c r="A277" s="1581">
        <v>268</v>
      </c>
      <c r="B277" s="1593" t="s">
        <v>1015</v>
      </c>
      <c r="C277" s="1609" t="s">
        <v>2167</v>
      </c>
      <c r="D277" s="1594" t="s">
        <v>2168</v>
      </c>
      <c r="E277" s="1594" t="s">
        <v>860</v>
      </c>
      <c r="F277" s="1581" t="s">
        <v>4927</v>
      </c>
      <c r="G277" s="1581">
        <v>41</v>
      </c>
      <c r="H277" s="1581" t="s">
        <v>4938</v>
      </c>
      <c r="I277" s="1581" t="s">
        <v>88</v>
      </c>
      <c r="J277" s="1581">
        <v>45.8</v>
      </c>
      <c r="K277" s="1581">
        <v>0</v>
      </c>
      <c r="L277" s="1594" t="s">
        <v>5036</v>
      </c>
      <c r="M277" s="1596">
        <v>44343</v>
      </c>
    </row>
    <row r="278" spans="1:13" s="1378" customFormat="1" ht="42.75">
      <c r="A278" s="1598">
        <v>269</v>
      </c>
      <c r="B278" s="1599" t="s">
        <v>1050</v>
      </c>
      <c r="C278" s="1930" t="s">
        <v>4064</v>
      </c>
      <c r="D278" s="1600" t="s">
        <v>1849</v>
      </c>
      <c r="E278" s="1600" t="s">
        <v>4977</v>
      </c>
      <c r="F278" s="1598" t="s">
        <v>4927</v>
      </c>
      <c r="G278" s="1598">
        <v>20</v>
      </c>
      <c r="H278" s="1598" t="s">
        <v>1842</v>
      </c>
      <c r="I278" s="1598" t="s">
        <v>5009</v>
      </c>
      <c r="J278" s="1598" t="s">
        <v>1033</v>
      </c>
      <c r="K278" s="1598" t="s">
        <v>1980</v>
      </c>
      <c r="L278" s="1600" t="s">
        <v>5037</v>
      </c>
      <c r="M278" s="1602">
        <v>44344</v>
      </c>
    </row>
    <row r="279" spans="1:13" s="1378" customFormat="1" ht="42.75">
      <c r="A279" s="1598">
        <v>270</v>
      </c>
      <c r="B279" s="1599" t="s">
        <v>1050</v>
      </c>
      <c r="C279" s="1930" t="s">
        <v>4034</v>
      </c>
      <c r="D279" s="1523" t="s">
        <v>4036</v>
      </c>
      <c r="E279" s="1600" t="s">
        <v>4977</v>
      </c>
      <c r="F279" s="1598" t="s">
        <v>4927</v>
      </c>
      <c r="G279" s="1598">
        <v>72</v>
      </c>
      <c r="H279" s="1598" t="s">
        <v>1826</v>
      </c>
      <c r="I279" s="1598" t="s">
        <v>1012</v>
      </c>
      <c r="J279" s="1598"/>
      <c r="K279" s="1598">
        <v>0</v>
      </c>
      <c r="L279" s="1600" t="s">
        <v>5037</v>
      </c>
      <c r="M279" s="1602">
        <v>44344</v>
      </c>
    </row>
    <row r="280" spans="1:13" s="1378" customFormat="1" ht="42.75">
      <c r="A280" s="1598">
        <v>271</v>
      </c>
      <c r="B280" s="1599" t="s">
        <v>1050</v>
      </c>
      <c r="C280" s="1930" t="s">
        <v>4034</v>
      </c>
      <c r="D280" s="1523" t="s">
        <v>4036</v>
      </c>
      <c r="E280" s="1600" t="s">
        <v>4977</v>
      </c>
      <c r="F280" s="1598" t="s">
        <v>4927</v>
      </c>
      <c r="G280" s="1598">
        <v>72</v>
      </c>
      <c r="H280" s="1598" t="s">
        <v>1826</v>
      </c>
      <c r="I280" s="1598" t="s">
        <v>1022</v>
      </c>
      <c r="J280" s="1598"/>
      <c r="K280" s="1598">
        <v>0</v>
      </c>
      <c r="L280" s="1600" t="s">
        <v>5037</v>
      </c>
      <c r="M280" s="1602">
        <v>44344</v>
      </c>
    </row>
    <row r="281" spans="1:13" s="1378" customFormat="1" ht="42.75">
      <c r="A281" s="1598">
        <v>272</v>
      </c>
      <c r="B281" s="1599" t="s">
        <v>1050</v>
      </c>
      <c r="C281" s="1930" t="s">
        <v>4034</v>
      </c>
      <c r="D281" s="1523" t="s">
        <v>4036</v>
      </c>
      <c r="E281" s="1600" t="s">
        <v>4977</v>
      </c>
      <c r="F281" s="1598" t="s">
        <v>4927</v>
      </c>
      <c r="G281" s="1598">
        <v>72</v>
      </c>
      <c r="H281" s="1598" t="s">
        <v>1826</v>
      </c>
      <c r="I281" s="1598" t="s">
        <v>1027</v>
      </c>
      <c r="J281" s="1598"/>
      <c r="K281" s="1598">
        <v>0</v>
      </c>
      <c r="L281" s="1600" t="s">
        <v>5037</v>
      </c>
      <c r="M281" s="1602">
        <v>44344</v>
      </c>
    </row>
    <row r="282" spans="1:13" s="1378" customFormat="1" ht="42.75">
      <c r="A282" s="1598">
        <v>273</v>
      </c>
      <c r="B282" s="1599" t="s">
        <v>1050</v>
      </c>
      <c r="C282" s="1930" t="s">
        <v>4034</v>
      </c>
      <c r="D282" s="1523" t="s">
        <v>4036</v>
      </c>
      <c r="E282" s="1600" t="s">
        <v>4977</v>
      </c>
      <c r="F282" s="1598" t="s">
        <v>4927</v>
      </c>
      <c r="G282" s="1598">
        <v>72</v>
      </c>
      <c r="H282" s="1598" t="s">
        <v>1826</v>
      </c>
      <c r="I282" s="1598" t="s">
        <v>88</v>
      </c>
      <c r="J282" s="1598"/>
      <c r="K282" s="1598">
        <v>0</v>
      </c>
      <c r="L282" s="1600" t="s">
        <v>5037</v>
      </c>
      <c r="M282" s="1602">
        <v>44344</v>
      </c>
    </row>
    <row r="283" spans="1:13" s="1378" customFormat="1" ht="42.75">
      <c r="A283" s="1598">
        <v>274</v>
      </c>
      <c r="B283" s="1599" t="s">
        <v>1050</v>
      </c>
      <c r="C283" s="1930" t="s">
        <v>4034</v>
      </c>
      <c r="D283" s="1523" t="s">
        <v>4036</v>
      </c>
      <c r="E283" s="1600" t="s">
        <v>4977</v>
      </c>
      <c r="F283" s="1598" t="s">
        <v>4927</v>
      </c>
      <c r="G283" s="1598">
        <v>72</v>
      </c>
      <c r="H283" s="1598" t="s">
        <v>1826</v>
      </c>
      <c r="I283" s="1598" t="s">
        <v>1034</v>
      </c>
      <c r="J283" s="1598"/>
      <c r="K283" s="1598">
        <v>0</v>
      </c>
      <c r="L283" s="1600" t="s">
        <v>5037</v>
      </c>
      <c r="M283" s="1602">
        <v>44344</v>
      </c>
    </row>
    <row r="284" spans="1:13" s="1378" customFormat="1" ht="42.75">
      <c r="A284" s="1598">
        <v>275</v>
      </c>
      <c r="B284" s="1599" t="s">
        <v>1050</v>
      </c>
      <c r="C284" s="1930" t="s">
        <v>4034</v>
      </c>
      <c r="D284" s="1523" t="s">
        <v>4036</v>
      </c>
      <c r="E284" s="1600" t="s">
        <v>4977</v>
      </c>
      <c r="F284" s="1598" t="s">
        <v>4927</v>
      </c>
      <c r="G284" s="1598">
        <v>87</v>
      </c>
      <c r="H284" s="1598" t="s">
        <v>5038</v>
      </c>
      <c r="I284" s="1598" t="s">
        <v>1012</v>
      </c>
      <c r="J284" s="1598"/>
      <c r="K284" s="1598">
        <v>0</v>
      </c>
      <c r="L284" s="1600" t="s">
        <v>5037</v>
      </c>
      <c r="M284" s="1602">
        <v>44344</v>
      </c>
    </row>
    <row r="285" spans="1:13" s="1378" customFormat="1" ht="42.75">
      <c r="A285" s="1598">
        <v>276</v>
      </c>
      <c r="B285" s="1599" t="s">
        <v>1050</v>
      </c>
      <c r="C285" s="1930" t="s">
        <v>4034</v>
      </c>
      <c r="D285" s="1523" t="s">
        <v>4036</v>
      </c>
      <c r="E285" s="1600" t="s">
        <v>4977</v>
      </c>
      <c r="F285" s="1598" t="s">
        <v>4927</v>
      </c>
      <c r="G285" s="1598">
        <v>87</v>
      </c>
      <c r="H285" s="1598" t="s">
        <v>5038</v>
      </c>
      <c r="I285" s="1598" t="s">
        <v>1022</v>
      </c>
      <c r="J285" s="1598"/>
      <c r="K285" s="1598">
        <v>1023</v>
      </c>
      <c r="L285" s="1600" t="s">
        <v>5037</v>
      </c>
      <c r="M285" s="1602">
        <v>44344</v>
      </c>
    </row>
    <row r="286" spans="1:13" s="1378" customFormat="1" ht="42.75">
      <c r="A286" s="1598">
        <v>277</v>
      </c>
      <c r="B286" s="1599" t="s">
        <v>1050</v>
      </c>
      <c r="C286" s="1930" t="s">
        <v>4034</v>
      </c>
      <c r="D286" s="1523" t="s">
        <v>4036</v>
      </c>
      <c r="E286" s="1600" t="s">
        <v>4977</v>
      </c>
      <c r="F286" s="1598" t="s">
        <v>4927</v>
      </c>
      <c r="G286" s="1598">
        <v>87</v>
      </c>
      <c r="H286" s="1598" t="s">
        <v>5038</v>
      </c>
      <c r="I286" s="1598" t="s">
        <v>1027</v>
      </c>
      <c r="J286" s="1598"/>
      <c r="K286" s="1598">
        <v>2046</v>
      </c>
      <c r="L286" s="1600" t="s">
        <v>5037</v>
      </c>
      <c r="M286" s="1602">
        <v>44344</v>
      </c>
    </row>
    <row r="287" spans="1:13" s="1378" customFormat="1" ht="42.75">
      <c r="A287" s="1598">
        <v>278</v>
      </c>
      <c r="B287" s="1599" t="s">
        <v>1050</v>
      </c>
      <c r="C287" s="1930" t="s">
        <v>4034</v>
      </c>
      <c r="D287" s="1523" t="s">
        <v>4036</v>
      </c>
      <c r="E287" s="1600" t="s">
        <v>4977</v>
      </c>
      <c r="F287" s="1598" t="s">
        <v>4927</v>
      </c>
      <c r="G287" s="1598">
        <v>87</v>
      </c>
      <c r="H287" s="1598" t="s">
        <v>5038</v>
      </c>
      <c r="I287" s="1598" t="s">
        <v>88</v>
      </c>
      <c r="J287" s="1598"/>
      <c r="K287" s="1598">
        <v>3068</v>
      </c>
      <c r="L287" s="1600" t="s">
        <v>5037</v>
      </c>
      <c r="M287" s="1602">
        <v>44344</v>
      </c>
    </row>
    <row r="288" spans="1:13" s="1378" customFormat="1" ht="42.75">
      <c r="A288" s="1598">
        <v>279</v>
      </c>
      <c r="B288" s="1599" t="s">
        <v>1050</v>
      </c>
      <c r="C288" s="1930" t="s">
        <v>4034</v>
      </c>
      <c r="D288" s="1523" t="s">
        <v>4036</v>
      </c>
      <c r="E288" s="1600" t="s">
        <v>4977</v>
      </c>
      <c r="F288" s="1598" t="s">
        <v>4927</v>
      </c>
      <c r="G288" s="1598">
        <v>87</v>
      </c>
      <c r="H288" s="1598" t="s">
        <v>5038</v>
      </c>
      <c r="I288" s="1598" t="s">
        <v>1034</v>
      </c>
      <c r="J288" s="1598"/>
      <c r="K288" s="1598">
        <v>4089</v>
      </c>
      <c r="L288" s="1600" t="s">
        <v>5037</v>
      </c>
      <c r="M288" s="1602">
        <v>44344</v>
      </c>
    </row>
    <row r="289" spans="1:13" s="1378" customFormat="1" ht="42.75">
      <c r="A289" s="1598">
        <v>280</v>
      </c>
      <c r="B289" s="1599" t="s">
        <v>1024</v>
      </c>
      <c r="C289" s="1930" t="s">
        <v>4379</v>
      </c>
      <c r="D289" s="1523" t="s">
        <v>4381</v>
      </c>
      <c r="E289" s="1600" t="s">
        <v>4977</v>
      </c>
      <c r="F289" s="1598" t="s">
        <v>4927</v>
      </c>
      <c r="G289" s="1598">
        <v>20</v>
      </c>
      <c r="H289" s="1598" t="s">
        <v>1842</v>
      </c>
      <c r="I289" s="1598" t="s">
        <v>5009</v>
      </c>
      <c r="J289" s="1598" t="s">
        <v>123</v>
      </c>
      <c r="K289" s="1598" t="s">
        <v>1033</v>
      </c>
      <c r="L289" s="1600" t="s">
        <v>5037</v>
      </c>
      <c r="M289" s="1602">
        <v>44344</v>
      </c>
    </row>
    <row r="290" spans="1:13" s="1378" customFormat="1" ht="42.75">
      <c r="A290" s="1598">
        <v>281</v>
      </c>
      <c r="B290" s="1599" t="s">
        <v>1024</v>
      </c>
      <c r="C290" s="1930" t="s">
        <v>4383</v>
      </c>
      <c r="D290" s="1524" t="s">
        <v>5039</v>
      </c>
      <c r="E290" s="1600" t="s">
        <v>4977</v>
      </c>
      <c r="F290" s="1598" t="s">
        <v>4927</v>
      </c>
      <c r="G290" s="1598">
        <v>20</v>
      </c>
      <c r="H290" s="1598" t="s">
        <v>1842</v>
      </c>
      <c r="I290" s="1598" t="s">
        <v>5009</v>
      </c>
      <c r="J290" s="1598" t="s">
        <v>123</v>
      </c>
      <c r="K290" s="1598" t="s">
        <v>1033</v>
      </c>
      <c r="L290" s="1600" t="s">
        <v>5037</v>
      </c>
      <c r="M290" s="1602">
        <v>44344</v>
      </c>
    </row>
    <row r="291" spans="1:13" s="1378" customFormat="1" ht="42.75">
      <c r="A291" s="1598">
        <v>282</v>
      </c>
      <c r="B291" s="1599" t="s">
        <v>1054</v>
      </c>
      <c r="C291" s="1930" t="s">
        <v>4539</v>
      </c>
      <c r="D291" s="1523" t="s">
        <v>4540</v>
      </c>
      <c r="E291" s="1600" t="s">
        <v>4977</v>
      </c>
      <c r="F291" s="1598" t="s">
        <v>4927</v>
      </c>
      <c r="G291" s="1598">
        <v>20</v>
      </c>
      <c r="H291" s="1598" t="s">
        <v>1842</v>
      </c>
      <c r="I291" s="1598" t="s">
        <v>5009</v>
      </c>
      <c r="J291" s="1598" t="s">
        <v>1033</v>
      </c>
      <c r="K291" s="1598" t="s">
        <v>4581</v>
      </c>
      <c r="L291" s="1600" t="s">
        <v>5037</v>
      </c>
      <c r="M291" s="1602">
        <v>44344</v>
      </c>
    </row>
    <row r="292" spans="1:13" s="1378" customFormat="1" ht="42.75">
      <c r="A292" s="1598">
        <v>283</v>
      </c>
      <c r="B292" s="1599" t="s">
        <v>1054</v>
      </c>
      <c r="C292" s="1930" t="s">
        <v>4577</v>
      </c>
      <c r="D292" s="1523" t="s">
        <v>4579</v>
      </c>
      <c r="E292" s="1600" t="s">
        <v>4977</v>
      </c>
      <c r="F292" s="1598" t="s">
        <v>4927</v>
      </c>
      <c r="G292" s="1598">
        <v>20</v>
      </c>
      <c r="H292" s="1598" t="s">
        <v>1842</v>
      </c>
      <c r="I292" s="1598" t="s">
        <v>5009</v>
      </c>
      <c r="J292" s="1598" t="s">
        <v>1033</v>
      </c>
      <c r="K292" s="1598" t="s">
        <v>4581</v>
      </c>
      <c r="L292" s="1600" t="s">
        <v>5037</v>
      </c>
      <c r="M292" s="1602">
        <v>44344</v>
      </c>
    </row>
    <row r="293" spans="1:13" s="1378" customFormat="1" ht="42.75">
      <c r="A293" s="1598">
        <v>284</v>
      </c>
      <c r="B293" s="1599" t="s">
        <v>1054</v>
      </c>
      <c r="C293" s="1930" t="s">
        <v>4583</v>
      </c>
      <c r="D293" s="1523" t="s">
        <v>4585</v>
      </c>
      <c r="E293" s="1600" t="s">
        <v>4977</v>
      </c>
      <c r="F293" s="1598" t="s">
        <v>4927</v>
      </c>
      <c r="G293" s="1598">
        <v>23</v>
      </c>
      <c r="H293" s="1598" t="s">
        <v>1175</v>
      </c>
      <c r="I293" s="1598" t="s">
        <v>5009</v>
      </c>
      <c r="J293" s="1598" t="s">
        <v>1010</v>
      </c>
      <c r="K293" s="1598" t="s">
        <v>1020</v>
      </c>
      <c r="L293" s="1600" t="s">
        <v>5037</v>
      </c>
      <c r="M293" s="1602">
        <v>44344</v>
      </c>
    </row>
    <row r="294" spans="1:13" s="1378" customFormat="1" ht="42.75">
      <c r="A294" s="1598">
        <v>285</v>
      </c>
      <c r="B294" s="1599" t="s">
        <v>1054</v>
      </c>
      <c r="C294" s="1930" t="s">
        <v>4568</v>
      </c>
      <c r="D294" s="1523" t="s">
        <v>4570</v>
      </c>
      <c r="E294" s="1600" t="s">
        <v>4977</v>
      </c>
      <c r="F294" s="1598" t="s">
        <v>4927</v>
      </c>
      <c r="G294" s="1598">
        <v>20</v>
      </c>
      <c r="H294" s="1598" t="s">
        <v>1842</v>
      </c>
      <c r="I294" s="1598" t="s">
        <v>5009</v>
      </c>
      <c r="J294" s="1598" t="s">
        <v>1033</v>
      </c>
      <c r="K294" s="1598" t="s">
        <v>1037</v>
      </c>
      <c r="L294" s="1600" t="s">
        <v>5037</v>
      </c>
      <c r="M294" s="1602">
        <v>44344</v>
      </c>
    </row>
    <row r="295" spans="1:13" s="1378" customFormat="1" ht="42.75">
      <c r="A295" s="1598">
        <v>286</v>
      </c>
      <c r="B295" s="1599" t="s">
        <v>1054</v>
      </c>
      <c r="C295" s="1930" t="s">
        <v>4572</v>
      </c>
      <c r="D295" s="1523" t="s">
        <v>4574</v>
      </c>
      <c r="E295" s="1600" t="s">
        <v>4977</v>
      </c>
      <c r="F295" s="1598" t="s">
        <v>4927</v>
      </c>
      <c r="G295" s="1598">
        <v>20</v>
      </c>
      <c r="H295" s="1598" t="s">
        <v>1842</v>
      </c>
      <c r="I295" s="1598" t="s">
        <v>5009</v>
      </c>
      <c r="J295" s="1598" t="s">
        <v>1033</v>
      </c>
      <c r="K295" s="1598" t="s">
        <v>1037</v>
      </c>
      <c r="L295" s="1600" t="s">
        <v>5037</v>
      </c>
      <c r="M295" s="1602">
        <v>44344</v>
      </c>
    </row>
    <row r="296" spans="1:13" s="1378" customFormat="1" ht="14.25">
      <c r="A296" s="1629">
        <v>287</v>
      </c>
      <c r="B296" s="1630" t="s">
        <v>1050</v>
      </c>
      <c r="C296" s="1931" t="s">
        <v>5040</v>
      </c>
      <c r="D296" s="1631" t="s">
        <v>5041</v>
      </c>
      <c r="E296" s="1631" t="s">
        <v>860</v>
      </c>
      <c r="F296" s="1629" t="s">
        <v>4927</v>
      </c>
      <c r="G296" s="1629">
        <v>41</v>
      </c>
      <c r="H296" s="1629" t="s">
        <v>5042</v>
      </c>
      <c r="I296" s="1629" t="s">
        <v>1012</v>
      </c>
      <c r="J296" s="1629">
        <v>0.76400000000000001</v>
      </c>
      <c r="K296" s="1629">
        <v>0.76</v>
      </c>
      <c r="L296" s="1631" t="s">
        <v>5043</v>
      </c>
      <c r="M296" s="1632">
        <v>44356</v>
      </c>
    </row>
    <row r="297" spans="1:13" s="1378" customFormat="1" ht="14.25">
      <c r="A297" s="1629">
        <v>288</v>
      </c>
      <c r="B297" s="1630" t="s">
        <v>1050</v>
      </c>
      <c r="C297" s="1931" t="s">
        <v>5040</v>
      </c>
      <c r="D297" s="1631" t="s">
        <v>5041</v>
      </c>
      <c r="E297" s="1631" t="s">
        <v>860</v>
      </c>
      <c r="F297" s="1629" t="s">
        <v>4927</v>
      </c>
      <c r="G297" s="1629">
        <v>41</v>
      </c>
      <c r="H297" s="1629" t="s">
        <v>5042</v>
      </c>
      <c r="I297" s="1629" t="s">
        <v>1022</v>
      </c>
      <c r="J297" s="1629">
        <v>0.71699999999999997</v>
      </c>
      <c r="K297" s="1629">
        <v>0.72</v>
      </c>
      <c r="L297" s="1631" t="s">
        <v>5043</v>
      </c>
      <c r="M297" s="1632">
        <v>44356</v>
      </c>
    </row>
    <row r="298" spans="1:13" s="1378" customFormat="1" ht="14.25">
      <c r="A298" s="1629">
        <v>289</v>
      </c>
      <c r="B298" s="1630" t="s">
        <v>1050</v>
      </c>
      <c r="C298" s="1931" t="s">
        <v>5040</v>
      </c>
      <c r="D298" s="1631" t="s">
        <v>5041</v>
      </c>
      <c r="E298" s="1631" t="s">
        <v>860</v>
      </c>
      <c r="F298" s="1629" t="s">
        <v>4927</v>
      </c>
      <c r="G298" s="1629">
        <v>41</v>
      </c>
      <c r="H298" s="1629" t="s">
        <v>5042</v>
      </c>
      <c r="I298" s="1629" t="s">
        <v>1027</v>
      </c>
      <c r="J298" s="1629">
        <v>0.67</v>
      </c>
      <c r="K298" s="1629">
        <v>0.67</v>
      </c>
      <c r="L298" s="1631" t="s">
        <v>5043</v>
      </c>
      <c r="M298" s="1632">
        <v>44356</v>
      </c>
    </row>
    <row r="299" spans="1:13" s="1378" customFormat="1" ht="14.25">
      <c r="A299" s="1629">
        <v>290</v>
      </c>
      <c r="B299" s="1630" t="s">
        <v>1050</v>
      </c>
      <c r="C299" s="1931" t="s">
        <v>5040</v>
      </c>
      <c r="D299" s="1631" t="s">
        <v>5041</v>
      </c>
      <c r="E299" s="1631" t="s">
        <v>860</v>
      </c>
      <c r="F299" s="1629" t="s">
        <v>4927</v>
      </c>
      <c r="G299" s="1629">
        <v>41</v>
      </c>
      <c r="H299" s="1629" t="s">
        <v>5042</v>
      </c>
      <c r="I299" s="1629" t="s">
        <v>88</v>
      </c>
      <c r="J299" s="1629">
        <v>0.623</v>
      </c>
      <c r="K299" s="1629">
        <v>0.62</v>
      </c>
      <c r="L299" s="1631" t="s">
        <v>5043</v>
      </c>
      <c r="M299" s="1632">
        <v>44356</v>
      </c>
    </row>
    <row r="300" spans="1:13" s="1378" customFormat="1" ht="14.25">
      <c r="A300" s="1629">
        <v>291</v>
      </c>
      <c r="B300" s="1630" t="s">
        <v>1050</v>
      </c>
      <c r="C300" s="1931" t="s">
        <v>5040</v>
      </c>
      <c r="D300" s="1631" t="s">
        <v>5041</v>
      </c>
      <c r="E300" s="1631" t="s">
        <v>860</v>
      </c>
      <c r="F300" s="1629" t="s">
        <v>4927</v>
      </c>
      <c r="G300" s="1629">
        <v>41</v>
      </c>
      <c r="H300" s="1629" t="s">
        <v>5042</v>
      </c>
      <c r="I300" s="1629" t="s">
        <v>1034</v>
      </c>
      <c r="J300" s="1629">
        <v>0.57599999999999996</v>
      </c>
      <c r="K300" s="1629">
        <v>0.57999999999999996</v>
      </c>
      <c r="L300" s="1631" t="s">
        <v>5043</v>
      </c>
      <c r="M300" s="1632">
        <v>44356</v>
      </c>
    </row>
    <row r="301" spans="1:13" s="1378" customFormat="1" ht="14.25">
      <c r="A301" s="1629">
        <v>292</v>
      </c>
      <c r="B301" s="1630" t="s">
        <v>1050</v>
      </c>
      <c r="C301" s="1931" t="s">
        <v>4015</v>
      </c>
      <c r="D301" s="1631" t="s">
        <v>161</v>
      </c>
      <c r="E301" s="1631" t="s">
        <v>860</v>
      </c>
      <c r="F301" s="1629" t="s">
        <v>4927</v>
      </c>
      <c r="G301" s="1629">
        <v>87</v>
      </c>
      <c r="H301" s="1629" t="s">
        <v>1829</v>
      </c>
      <c r="I301" s="1629" t="s">
        <v>1022</v>
      </c>
      <c r="J301" s="1629">
        <v>88.2</v>
      </c>
      <c r="K301" s="1629">
        <v>88.3</v>
      </c>
      <c r="L301" s="1631" t="s">
        <v>5043</v>
      </c>
      <c r="M301" s="1632">
        <v>44356</v>
      </c>
    </row>
    <row r="302" spans="1:13" s="1378" customFormat="1" ht="14.25">
      <c r="A302" s="1629">
        <v>293</v>
      </c>
      <c r="B302" s="1630" t="s">
        <v>1050</v>
      </c>
      <c r="C302" s="1931" t="s">
        <v>5044</v>
      </c>
      <c r="D302" s="1631" t="s">
        <v>5045</v>
      </c>
      <c r="E302" s="1631" t="s">
        <v>860</v>
      </c>
      <c r="F302" s="1629" t="s">
        <v>4927</v>
      </c>
      <c r="G302" s="1629">
        <v>97</v>
      </c>
      <c r="H302" s="1629" t="s">
        <v>1876</v>
      </c>
      <c r="I302" s="1629"/>
      <c r="J302" s="1629">
        <v>-0.05</v>
      </c>
      <c r="K302" s="1629">
        <v>-2.34</v>
      </c>
      <c r="L302" s="1631" t="s">
        <v>5043</v>
      </c>
      <c r="M302" s="1632">
        <v>44356</v>
      </c>
    </row>
    <row r="303" spans="1:13" s="1378" customFormat="1" ht="14.25">
      <c r="A303" s="1629">
        <v>294</v>
      </c>
      <c r="B303" s="1630" t="s">
        <v>1050</v>
      </c>
      <c r="C303" s="1931" t="s">
        <v>5044</v>
      </c>
      <c r="D303" s="1633" t="s">
        <v>5046</v>
      </c>
      <c r="E303" s="1631" t="s">
        <v>860</v>
      </c>
      <c r="F303" s="1629" t="s">
        <v>4927</v>
      </c>
      <c r="G303" s="1629">
        <v>101</v>
      </c>
      <c r="H303" s="1629" t="s">
        <v>1880</v>
      </c>
      <c r="I303" s="1629"/>
      <c r="J303" s="1629">
        <v>0.05</v>
      </c>
      <c r="K303" s="1629">
        <v>1.17</v>
      </c>
      <c r="L303" s="1631" t="s">
        <v>5043</v>
      </c>
      <c r="M303" s="1632">
        <v>44356</v>
      </c>
    </row>
    <row r="304" spans="1:13" s="1378" customFormat="1" ht="14.25">
      <c r="A304" s="1634">
        <v>295</v>
      </c>
      <c r="B304" s="1635" t="s">
        <v>1015</v>
      </c>
      <c r="C304" s="1703" t="s">
        <v>2048</v>
      </c>
      <c r="D304" s="1636" t="s">
        <v>669</v>
      </c>
      <c r="E304" s="1636" t="s">
        <v>860</v>
      </c>
      <c r="F304" s="1634" t="s">
        <v>4927</v>
      </c>
      <c r="G304" s="1634">
        <v>87</v>
      </c>
      <c r="H304" s="1634" t="s">
        <v>1829</v>
      </c>
      <c r="I304" s="1634" t="s">
        <v>1012</v>
      </c>
      <c r="J304" s="1634">
        <v>171.4</v>
      </c>
      <c r="K304" s="1634" t="s">
        <v>4805</v>
      </c>
      <c r="L304" s="1636" t="s">
        <v>5047</v>
      </c>
      <c r="M304" s="1637">
        <v>44356</v>
      </c>
    </row>
    <row r="305" spans="1:14" s="1378" customFormat="1" ht="14.25">
      <c r="A305" s="1634">
        <v>296</v>
      </c>
      <c r="B305" s="1635" t="s">
        <v>1015</v>
      </c>
      <c r="C305" s="1703" t="s">
        <v>2048</v>
      </c>
      <c r="D305" s="1636" t="s">
        <v>669</v>
      </c>
      <c r="E305" s="1636" t="s">
        <v>860</v>
      </c>
      <c r="F305" s="1634" t="s">
        <v>4927</v>
      </c>
      <c r="G305" s="1634">
        <v>87</v>
      </c>
      <c r="H305" s="1634" t="s">
        <v>1829</v>
      </c>
      <c r="I305" s="1634" t="s">
        <v>1022</v>
      </c>
      <c r="J305" s="1634">
        <v>168.5</v>
      </c>
      <c r="K305" s="1634" t="s">
        <v>4805</v>
      </c>
      <c r="L305" s="1636" t="s">
        <v>5047</v>
      </c>
      <c r="M305" s="1637">
        <v>44356</v>
      </c>
    </row>
    <row r="306" spans="1:14" s="1378" customFormat="1" ht="14.25">
      <c r="A306" s="1634">
        <v>297</v>
      </c>
      <c r="B306" s="1635" t="s">
        <v>1015</v>
      </c>
      <c r="C306" s="1703" t="s">
        <v>2048</v>
      </c>
      <c r="D306" s="1636" t="s">
        <v>669</v>
      </c>
      <c r="E306" s="1636" t="s">
        <v>860</v>
      </c>
      <c r="F306" s="1634" t="s">
        <v>4927</v>
      </c>
      <c r="G306" s="1634">
        <v>87</v>
      </c>
      <c r="H306" s="1634" t="s">
        <v>1829</v>
      </c>
      <c r="I306" s="1634" t="s">
        <v>1027</v>
      </c>
      <c r="J306" s="1634">
        <v>163.30000000000001</v>
      </c>
      <c r="K306" s="1634" t="s">
        <v>4805</v>
      </c>
      <c r="L306" s="1636" t="s">
        <v>5047</v>
      </c>
      <c r="M306" s="1637">
        <v>44356</v>
      </c>
    </row>
    <row r="307" spans="1:14" s="1378" customFormat="1" ht="14.25">
      <c r="A307" s="1634">
        <v>298</v>
      </c>
      <c r="B307" s="1635" t="s">
        <v>1015</v>
      </c>
      <c r="C307" s="1703" t="s">
        <v>2048</v>
      </c>
      <c r="D307" s="1636" t="s">
        <v>669</v>
      </c>
      <c r="E307" s="1636" t="s">
        <v>860</v>
      </c>
      <c r="F307" s="1634" t="s">
        <v>4927</v>
      </c>
      <c r="G307" s="1634">
        <v>87</v>
      </c>
      <c r="H307" s="1634" t="s">
        <v>1829</v>
      </c>
      <c r="I307" s="1634" t="s">
        <v>88</v>
      </c>
      <c r="J307" s="1634">
        <v>156.30000000000001</v>
      </c>
      <c r="K307" s="1634" t="s">
        <v>4805</v>
      </c>
      <c r="L307" s="1636" t="s">
        <v>5047</v>
      </c>
      <c r="M307" s="1637">
        <v>44356</v>
      </c>
    </row>
    <row r="308" spans="1:14" s="1378" customFormat="1" ht="14.25">
      <c r="A308" s="1634">
        <v>299</v>
      </c>
      <c r="B308" s="1635" t="s">
        <v>1015</v>
      </c>
      <c r="C308" s="1703" t="s">
        <v>2048</v>
      </c>
      <c r="D308" s="1636" t="s">
        <v>669</v>
      </c>
      <c r="E308" s="1636" t="s">
        <v>860</v>
      </c>
      <c r="F308" s="1634" t="s">
        <v>4927</v>
      </c>
      <c r="G308" s="1634">
        <v>87</v>
      </c>
      <c r="H308" s="1634" t="s">
        <v>1829</v>
      </c>
      <c r="I308" s="1634" t="s">
        <v>1034</v>
      </c>
      <c r="J308" s="1634">
        <v>149.19999999999999</v>
      </c>
      <c r="K308" s="1634" t="s">
        <v>4805</v>
      </c>
      <c r="L308" s="1636" t="s">
        <v>5047</v>
      </c>
      <c r="M308" s="1637">
        <v>44356</v>
      </c>
    </row>
    <row r="309" spans="1:14" s="1378" customFormat="1" ht="14.25">
      <c r="A309" s="1634">
        <v>300</v>
      </c>
      <c r="B309" s="1635" t="s">
        <v>1015</v>
      </c>
      <c r="C309" s="1703" t="s">
        <v>2103</v>
      </c>
      <c r="D309" s="1636" t="s">
        <v>2104</v>
      </c>
      <c r="E309" s="1636" t="s">
        <v>860</v>
      </c>
      <c r="F309" s="1634" t="s">
        <v>4927</v>
      </c>
      <c r="G309" s="1634">
        <v>62</v>
      </c>
      <c r="H309" s="1634" t="s">
        <v>1001</v>
      </c>
      <c r="I309" s="1634" t="s">
        <v>1012</v>
      </c>
      <c r="J309" s="1634" t="s">
        <v>5048</v>
      </c>
      <c r="K309" s="1634"/>
      <c r="L309" s="1636" t="s">
        <v>5049</v>
      </c>
      <c r="M309" s="1637">
        <v>44372</v>
      </c>
    </row>
    <row r="310" spans="1:14" s="1378" customFormat="1" ht="14.25">
      <c r="A310" s="1634">
        <v>301</v>
      </c>
      <c r="B310" s="1635" t="s">
        <v>1015</v>
      </c>
      <c r="C310" s="1932" t="s">
        <v>2103</v>
      </c>
      <c r="D310" s="1636" t="s">
        <v>2104</v>
      </c>
      <c r="E310" s="1636" t="s">
        <v>860</v>
      </c>
      <c r="F310" s="1634" t="s">
        <v>4927</v>
      </c>
      <c r="G310" s="1634">
        <v>62</v>
      </c>
      <c r="H310" s="1634" t="s">
        <v>1001</v>
      </c>
      <c r="I310" s="1634" t="s">
        <v>1022</v>
      </c>
      <c r="J310" s="1634" t="s">
        <v>5048</v>
      </c>
      <c r="K310" s="1634"/>
      <c r="L310" s="1636" t="s">
        <v>5049</v>
      </c>
      <c r="M310" s="1637">
        <v>44372</v>
      </c>
    </row>
    <row r="311" spans="1:14" s="1378" customFormat="1" ht="14.25">
      <c r="A311" s="1634">
        <v>302</v>
      </c>
      <c r="B311" s="1635" t="s">
        <v>1015</v>
      </c>
      <c r="C311" s="1703" t="s">
        <v>2103</v>
      </c>
      <c r="D311" s="1636" t="s">
        <v>2104</v>
      </c>
      <c r="E311" s="1636" t="s">
        <v>860</v>
      </c>
      <c r="F311" s="1634" t="s">
        <v>4927</v>
      </c>
      <c r="G311" s="1634">
        <v>62</v>
      </c>
      <c r="H311" s="1634" t="s">
        <v>1001</v>
      </c>
      <c r="I311" s="1634" t="s">
        <v>1027</v>
      </c>
      <c r="J311" s="1634" t="s">
        <v>5048</v>
      </c>
      <c r="K311" s="1634"/>
      <c r="L311" s="1636" t="s">
        <v>5049</v>
      </c>
      <c r="M311" s="1637">
        <v>44372</v>
      </c>
    </row>
    <row r="312" spans="1:14" s="1378" customFormat="1" ht="14.25">
      <c r="A312" s="1634">
        <v>303</v>
      </c>
      <c r="B312" s="1635" t="s">
        <v>1015</v>
      </c>
      <c r="C312" s="1932" t="s">
        <v>2103</v>
      </c>
      <c r="D312" s="1636" t="s">
        <v>2104</v>
      </c>
      <c r="E312" s="1636" t="s">
        <v>860</v>
      </c>
      <c r="F312" s="1634" t="s">
        <v>4927</v>
      </c>
      <c r="G312" s="1634">
        <v>62</v>
      </c>
      <c r="H312" s="1634" t="s">
        <v>1001</v>
      </c>
      <c r="I312" s="1634" t="s">
        <v>88</v>
      </c>
      <c r="J312" s="1634" t="s">
        <v>5048</v>
      </c>
      <c r="K312" s="1634"/>
      <c r="L312" s="1636" t="s">
        <v>5049</v>
      </c>
      <c r="M312" s="1637">
        <v>44372</v>
      </c>
    </row>
    <row r="313" spans="1:14" s="1378" customFormat="1" ht="28.5">
      <c r="A313" s="1634">
        <v>304</v>
      </c>
      <c r="B313" s="1635" t="s">
        <v>1060</v>
      </c>
      <c r="C313" s="1933" t="s">
        <v>1900</v>
      </c>
      <c r="D313" s="1636" t="s">
        <v>646</v>
      </c>
      <c r="E313" s="1636" t="s">
        <v>860</v>
      </c>
      <c r="F313" s="1634" t="s">
        <v>4927</v>
      </c>
      <c r="G313" s="1634">
        <v>18</v>
      </c>
      <c r="H313" s="1634" t="s">
        <v>989</v>
      </c>
      <c r="I313" s="1629"/>
      <c r="J313" s="1629" t="s">
        <v>1009</v>
      </c>
      <c r="K313" s="1629" t="s">
        <v>1019</v>
      </c>
      <c r="L313" s="1636" t="s">
        <v>5050</v>
      </c>
      <c r="M313" s="1637">
        <v>44539</v>
      </c>
    </row>
    <row r="314" spans="1:14" s="1381" customFormat="1" ht="28.5">
      <c r="A314" s="1634">
        <v>305</v>
      </c>
      <c r="B314" s="1635" t="s">
        <v>1015</v>
      </c>
      <c r="C314" s="1933" t="s">
        <v>2052</v>
      </c>
      <c r="D314" s="1636" t="s">
        <v>646</v>
      </c>
      <c r="E314" s="1636" t="s">
        <v>860</v>
      </c>
      <c r="F314" s="1634" t="s">
        <v>4927</v>
      </c>
      <c r="G314" s="1634">
        <v>18</v>
      </c>
      <c r="H314" s="1634" t="s">
        <v>989</v>
      </c>
      <c r="I314" s="1629"/>
      <c r="J314" s="1629" t="s">
        <v>1009</v>
      </c>
      <c r="K314" s="1629" t="s">
        <v>1019</v>
      </c>
      <c r="L314" s="1636" t="s">
        <v>5050</v>
      </c>
      <c r="M314" s="1637">
        <v>44539</v>
      </c>
      <c r="N314" s="1378"/>
    </row>
    <row r="315" spans="1:14" s="1381" customFormat="1" ht="28.5">
      <c r="A315" s="1634">
        <v>306</v>
      </c>
      <c r="B315" s="1635" t="s">
        <v>1064</v>
      </c>
      <c r="C315" s="1933" t="s">
        <v>2271</v>
      </c>
      <c r="D315" s="1636" t="s">
        <v>646</v>
      </c>
      <c r="E315" s="1636" t="s">
        <v>860</v>
      </c>
      <c r="F315" s="1634" t="s">
        <v>4927</v>
      </c>
      <c r="G315" s="1634">
        <v>18</v>
      </c>
      <c r="H315" s="1634" t="s">
        <v>989</v>
      </c>
      <c r="I315" s="1629"/>
      <c r="J315" s="1629" t="s">
        <v>1009</v>
      </c>
      <c r="K315" s="1629" t="s">
        <v>1019</v>
      </c>
      <c r="L315" s="1636" t="s">
        <v>5050</v>
      </c>
      <c r="M315" s="1637">
        <v>44539</v>
      </c>
      <c r="N315" s="1378"/>
    </row>
    <row r="316" spans="1:14" s="1378" customFormat="1" ht="28.5">
      <c r="A316" s="1634">
        <v>307</v>
      </c>
      <c r="B316" s="1635" t="s">
        <v>5051</v>
      </c>
      <c r="C316" s="1934" t="s">
        <v>2355</v>
      </c>
      <c r="D316" s="1636" t="s">
        <v>646</v>
      </c>
      <c r="E316" s="1636" t="s">
        <v>860</v>
      </c>
      <c r="F316" s="1634" t="s">
        <v>4927</v>
      </c>
      <c r="G316" s="1634">
        <v>18</v>
      </c>
      <c r="H316" s="1634" t="s">
        <v>989</v>
      </c>
      <c r="I316" s="1629"/>
      <c r="J316" s="1629" t="s">
        <v>1009</v>
      </c>
      <c r="K316" s="1629" t="s">
        <v>1019</v>
      </c>
      <c r="L316" s="1636" t="s">
        <v>5050</v>
      </c>
      <c r="M316" s="1637">
        <v>44539</v>
      </c>
    </row>
    <row r="317" spans="1:14" s="1378" customFormat="1" ht="28.5">
      <c r="A317" s="1634">
        <v>308</v>
      </c>
      <c r="B317" s="1635" t="s">
        <v>1032</v>
      </c>
      <c r="C317" s="1933" t="s">
        <v>2497</v>
      </c>
      <c r="D317" s="1636" t="s">
        <v>646</v>
      </c>
      <c r="E317" s="1636" t="s">
        <v>860</v>
      </c>
      <c r="F317" s="1634" t="s">
        <v>4927</v>
      </c>
      <c r="G317" s="1634">
        <v>18</v>
      </c>
      <c r="H317" s="1634" t="s">
        <v>989</v>
      </c>
      <c r="I317" s="1629"/>
      <c r="J317" s="1629" t="s">
        <v>1009</v>
      </c>
      <c r="K317" s="1629" t="s">
        <v>1019</v>
      </c>
      <c r="L317" s="1636" t="s">
        <v>5050</v>
      </c>
      <c r="M317" s="1637">
        <v>44539</v>
      </c>
    </row>
    <row r="318" spans="1:14" s="1378" customFormat="1" ht="28.5">
      <c r="A318" s="1634">
        <v>309</v>
      </c>
      <c r="B318" s="1635" t="s">
        <v>1068</v>
      </c>
      <c r="C318" s="1933" t="s">
        <v>2708</v>
      </c>
      <c r="D318" s="1636" t="s">
        <v>646</v>
      </c>
      <c r="E318" s="1636" t="s">
        <v>860</v>
      </c>
      <c r="F318" s="1634" t="s">
        <v>4927</v>
      </c>
      <c r="G318" s="1634">
        <v>18</v>
      </c>
      <c r="H318" s="1634" t="s">
        <v>989</v>
      </c>
      <c r="I318" s="1629"/>
      <c r="J318" s="1629" t="s">
        <v>1009</v>
      </c>
      <c r="K318" s="1629" t="s">
        <v>1019</v>
      </c>
      <c r="L318" s="1636" t="s">
        <v>5050</v>
      </c>
      <c r="M318" s="1637">
        <v>44539</v>
      </c>
    </row>
    <row r="319" spans="1:14" s="1378" customFormat="1" ht="28.5">
      <c r="A319" s="1634">
        <v>310</v>
      </c>
      <c r="B319" s="1635" t="s">
        <v>5052</v>
      </c>
      <c r="C319" s="1933" t="s">
        <v>2876</v>
      </c>
      <c r="D319" s="1636" t="s">
        <v>646</v>
      </c>
      <c r="E319" s="1636" t="s">
        <v>860</v>
      </c>
      <c r="F319" s="1634" t="s">
        <v>4927</v>
      </c>
      <c r="G319" s="1634">
        <v>18</v>
      </c>
      <c r="H319" s="1634" t="s">
        <v>989</v>
      </c>
      <c r="I319" s="1629"/>
      <c r="J319" s="1629" t="s">
        <v>1009</v>
      </c>
      <c r="K319" s="1629" t="s">
        <v>1019</v>
      </c>
      <c r="L319" s="1636" t="s">
        <v>5050</v>
      </c>
      <c r="M319" s="1637">
        <v>44539</v>
      </c>
    </row>
    <row r="320" spans="1:14" s="1378" customFormat="1" ht="28.5">
      <c r="A320" s="1634">
        <v>311</v>
      </c>
      <c r="B320" s="1635" t="s">
        <v>1075</v>
      </c>
      <c r="C320" s="1933" t="s">
        <v>2937</v>
      </c>
      <c r="D320" s="1636" t="s">
        <v>646</v>
      </c>
      <c r="E320" s="1636" t="s">
        <v>860</v>
      </c>
      <c r="F320" s="1634" t="s">
        <v>4927</v>
      </c>
      <c r="G320" s="1634">
        <v>18</v>
      </c>
      <c r="H320" s="1634" t="s">
        <v>989</v>
      </c>
      <c r="I320" s="1629"/>
      <c r="J320" s="1629" t="s">
        <v>1009</v>
      </c>
      <c r="K320" s="1629" t="s">
        <v>1019</v>
      </c>
      <c r="L320" s="1636" t="s">
        <v>5050</v>
      </c>
      <c r="M320" s="1637">
        <v>44539</v>
      </c>
    </row>
    <row r="321" spans="1:14" s="1378" customFormat="1" ht="28.5">
      <c r="A321" s="1634">
        <v>312</v>
      </c>
      <c r="B321" s="1635" t="s">
        <v>1038</v>
      </c>
      <c r="C321" s="1934" t="s">
        <v>3082</v>
      </c>
      <c r="D321" s="1636" t="s">
        <v>646</v>
      </c>
      <c r="E321" s="1636" t="s">
        <v>860</v>
      </c>
      <c r="F321" s="1634" t="s">
        <v>4927</v>
      </c>
      <c r="G321" s="1634">
        <v>18</v>
      </c>
      <c r="H321" s="1634" t="s">
        <v>989</v>
      </c>
      <c r="I321" s="1629"/>
      <c r="J321" s="1629" t="s">
        <v>1009</v>
      </c>
      <c r="K321" s="1629" t="s">
        <v>1019</v>
      </c>
      <c r="L321" s="1636" t="s">
        <v>5050</v>
      </c>
      <c r="M321" s="1637">
        <v>44539</v>
      </c>
    </row>
    <row r="322" spans="1:14" s="1378" customFormat="1" ht="28.5">
      <c r="A322" s="1634">
        <v>313</v>
      </c>
      <c r="B322" s="1635" t="s">
        <v>1078</v>
      </c>
      <c r="C322" s="1933" t="s">
        <v>3344</v>
      </c>
      <c r="D322" s="1636" t="s">
        <v>646</v>
      </c>
      <c r="E322" s="1636" t="s">
        <v>860</v>
      </c>
      <c r="F322" s="1634" t="s">
        <v>4927</v>
      </c>
      <c r="G322" s="1634">
        <v>18</v>
      </c>
      <c r="H322" s="1634" t="s">
        <v>989</v>
      </c>
      <c r="I322" s="1629"/>
      <c r="J322" s="1629" t="s">
        <v>1009</v>
      </c>
      <c r="K322" s="1629" t="s">
        <v>1019</v>
      </c>
      <c r="L322" s="1636" t="s">
        <v>5050</v>
      </c>
      <c r="M322" s="1637">
        <v>44539</v>
      </c>
    </row>
    <row r="323" spans="1:14" s="1378" customFormat="1" ht="28.5">
      <c r="A323" s="1634">
        <v>314</v>
      </c>
      <c r="B323" s="1635" t="s">
        <v>1078</v>
      </c>
      <c r="C323" s="1933" t="s">
        <v>3348</v>
      </c>
      <c r="D323" s="1636" t="s">
        <v>646</v>
      </c>
      <c r="E323" s="1636" t="s">
        <v>860</v>
      </c>
      <c r="F323" s="1634" t="s">
        <v>4927</v>
      </c>
      <c r="G323" s="1634">
        <v>18</v>
      </c>
      <c r="H323" s="1634" t="s">
        <v>989</v>
      </c>
      <c r="I323" s="1629"/>
      <c r="J323" s="1629" t="s">
        <v>1009</v>
      </c>
      <c r="K323" s="1629" t="s">
        <v>1019</v>
      </c>
      <c r="L323" s="1636" t="s">
        <v>5050</v>
      </c>
      <c r="M323" s="1637">
        <v>44539</v>
      </c>
    </row>
    <row r="324" spans="1:14" s="1378" customFormat="1" ht="28.5">
      <c r="A324" s="1634">
        <v>315</v>
      </c>
      <c r="B324" s="1635" t="s">
        <v>1036</v>
      </c>
      <c r="C324" s="1933" t="s">
        <v>3519</v>
      </c>
      <c r="D324" s="1636" t="s">
        <v>646</v>
      </c>
      <c r="E324" s="1636" t="s">
        <v>860</v>
      </c>
      <c r="F324" s="1634" t="s">
        <v>4927</v>
      </c>
      <c r="G324" s="1634">
        <v>18</v>
      </c>
      <c r="H324" s="1634" t="s">
        <v>989</v>
      </c>
      <c r="I324" s="1629"/>
      <c r="J324" s="1629" t="s">
        <v>1009</v>
      </c>
      <c r="K324" s="1629" t="s">
        <v>1019</v>
      </c>
      <c r="L324" s="1636" t="s">
        <v>5050</v>
      </c>
      <c r="M324" s="1637">
        <v>44539</v>
      </c>
    </row>
    <row r="325" spans="1:14" s="1378" customFormat="1" ht="28.5">
      <c r="A325" s="1634">
        <v>316</v>
      </c>
      <c r="B325" s="1635" t="s">
        <v>1045</v>
      </c>
      <c r="C325" s="1933" t="s">
        <v>3796</v>
      </c>
      <c r="D325" s="1636" t="s">
        <v>646</v>
      </c>
      <c r="E325" s="1636" t="s">
        <v>860</v>
      </c>
      <c r="F325" s="1634" t="s">
        <v>4927</v>
      </c>
      <c r="G325" s="1634">
        <v>18</v>
      </c>
      <c r="H325" s="1634" t="s">
        <v>989</v>
      </c>
      <c r="I325" s="1629"/>
      <c r="J325" s="1629" t="s">
        <v>1009</v>
      </c>
      <c r="K325" s="1629" t="s">
        <v>1019</v>
      </c>
      <c r="L325" s="1636" t="s">
        <v>5050</v>
      </c>
      <c r="M325" s="1637">
        <v>44539</v>
      </c>
    </row>
    <row r="326" spans="1:14" s="1378" customFormat="1" ht="28.5">
      <c r="A326" s="1634">
        <v>317</v>
      </c>
      <c r="B326" s="1635" t="s">
        <v>1050</v>
      </c>
      <c r="C326" s="1934" t="s">
        <v>4024</v>
      </c>
      <c r="D326" s="1636" t="s">
        <v>646</v>
      </c>
      <c r="E326" s="1636" t="s">
        <v>860</v>
      </c>
      <c r="F326" s="1634" t="s">
        <v>4927</v>
      </c>
      <c r="G326" s="1634">
        <v>18</v>
      </c>
      <c r="H326" s="1634" t="s">
        <v>989</v>
      </c>
      <c r="I326" s="1629"/>
      <c r="J326" s="1629" t="s">
        <v>1009</v>
      </c>
      <c r="K326" s="1629" t="s">
        <v>1019</v>
      </c>
      <c r="L326" s="1636" t="s">
        <v>5050</v>
      </c>
      <c r="M326" s="1637">
        <v>44539</v>
      </c>
    </row>
    <row r="327" spans="1:14" s="1378" customFormat="1" ht="28.5">
      <c r="A327" s="1634">
        <v>318</v>
      </c>
      <c r="B327" s="1635" t="s">
        <v>1024</v>
      </c>
      <c r="C327" s="1933" t="s">
        <v>4236</v>
      </c>
      <c r="D327" s="1636" t="s">
        <v>646</v>
      </c>
      <c r="E327" s="1636" t="s">
        <v>860</v>
      </c>
      <c r="F327" s="1634" t="s">
        <v>4927</v>
      </c>
      <c r="G327" s="1634">
        <v>18</v>
      </c>
      <c r="H327" s="1634" t="s">
        <v>989</v>
      </c>
      <c r="I327" s="1629"/>
      <c r="J327" s="1629" t="s">
        <v>1009</v>
      </c>
      <c r="K327" s="1629" t="s">
        <v>1019</v>
      </c>
      <c r="L327" s="1636" t="s">
        <v>5050</v>
      </c>
      <c r="M327" s="1637">
        <v>44539</v>
      </c>
    </row>
    <row r="328" spans="1:14" s="1378" customFormat="1" ht="28.5">
      <c r="A328" s="1634">
        <v>319</v>
      </c>
      <c r="B328" s="1635" t="s">
        <v>1054</v>
      </c>
      <c r="C328" s="1933" t="s">
        <v>4452</v>
      </c>
      <c r="D328" s="1636" t="s">
        <v>646</v>
      </c>
      <c r="E328" s="1636" t="s">
        <v>860</v>
      </c>
      <c r="F328" s="1634" t="s">
        <v>4927</v>
      </c>
      <c r="G328" s="1634">
        <v>18</v>
      </c>
      <c r="H328" s="1634" t="s">
        <v>989</v>
      </c>
      <c r="I328" s="1629"/>
      <c r="J328" s="1629" t="s">
        <v>1009</v>
      </c>
      <c r="K328" s="1629" t="s">
        <v>1019</v>
      </c>
      <c r="L328" s="1636" t="s">
        <v>5050</v>
      </c>
      <c r="M328" s="1637">
        <v>44539</v>
      </c>
    </row>
    <row r="329" spans="1:14" s="1381" customFormat="1" ht="28.5">
      <c r="A329" s="1634">
        <v>320</v>
      </c>
      <c r="B329" s="1635" t="s">
        <v>1057</v>
      </c>
      <c r="C329" s="1933" t="s">
        <v>4683</v>
      </c>
      <c r="D329" s="1636" t="s">
        <v>646</v>
      </c>
      <c r="E329" s="1636" t="s">
        <v>860</v>
      </c>
      <c r="F329" s="1634" t="s">
        <v>4927</v>
      </c>
      <c r="G329" s="1634">
        <v>18</v>
      </c>
      <c r="H329" s="1634" t="s">
        <v>989</v>
      </c>
      <c r="I329" s="1629"/>
      <c r="J329" s="1629" t="s">
        <v>1009</v>
      </c>
      <c r="K329" s="1629" t="s">
        <v>1019</v>
      </c>
      <c r="L329" s="1636" t="s">
        <v>5050</v>
      </c>
      <c r="M329" s="1637">
        <v>44539</v>
      </c>
      <c r="N329" s="1378"/>
    </row>
    <row r="330" spans="1:14" s="1378" customFormat="1" ht="42.75">
      <c r="A330" s="1634">
        <v>321</v>
      </c>
      <c r="B330" s="1635" t="s">
        <v>1075</v>
      </c>
      <c r="C330" s="1933" t="s">
        <v>3018</v>
      </c>
      <c r="D330" s="1636" t="s">
        <v>3020</v>
      </c>
      <c r="E330" s="1636" t="s">
        <v>860</v>
      </c>
      <c r="F330" s="1634" t="s">
        <v>4927</v>
      </c>
      <c r="G330" s="1634">
        <v>18</v>
      </c>
      <c r="H330" s="1634" t="s">
        <v>989</v>
      </c>
      <c r="I330" s="1629"/>
      <c r="J330" s="1629" t="s">
        <v>1009</v>
      </c>
      <c r="K330" s="1629" t="s">
        <v>1019</v>
      </c>
      <c r="L330" s="1636" t="s">
        <v>5053</v>
      </c>
      <c r="M330" s="1637">
        <v>44539</v>
      </c>
    </row>
    <row r="331" spans="1:14" s="1378" customFormat="1" ht="14.25">
      <c r="A331" s="1634">
        <v>322</v>
      </c>
      <c r="B331" s="1638" t="s">
        <v>1032</v>
      </c>
      <c r="C331" s="1934" t="s">
        <v>2489</v>
      </c>
      <c r="D331" s="1638" t="s">
        <v>5054</v>
      </c>
      <c r="E331" s="1639" t="s">
        <v>4926</v>
      </c>
      <c r="F331" s="1640" t="s">
        <v>4927</v>
      </c>
      <c r="G331" s="1641">
        <v>87</v>
      </c>
      <c r="H331" s="1640" t="s">
        <v>994</v>
      </c>
      <c r="I331" s="1641" t="s">
        <v>1012</v>
      </c>
      <c r="J331" s="1642">
        <v>84</v>
      </c>
      <c r="K331" s="1643" t="s">
        <v>4805</v>
      </c>
      <c r="L331" s="1639" t="s">
        <v>5047</v>
      </c>
      <c r="M331" s="1644">
        <v>44545</v>
      </c>
    </row>
    <row r="332" spans="1:14" s="1378" customFormat="1" ht="14.25">
      <c r="A332" s="1634">
        <v>323</v>
      </c>
      <c r="B332" s="1635" t="s">
        <v>1032</v>
      </c>
      <c r="C332" s="1933" t="s">
        <v>2489</v>
      </c>
      <c r="D332" s="1635" t="s">
        <v>5054</v>
      </c>
      <c r="E332" s="1636" t="s">
        <v>4926</v>
      </c>
      <c r="F332" s="1634" t="s">
        <v>4927</v>
      </c>
      <c r="G332" s="1634">
        <v>87</v>
      </c>
      <c r="H332" s="1634" t="s">
        <v>994</v>
      </c>
      <c r="I332" s="1634" t="s">
        <v>1022</v>
      </c>
      <c r="J332" s="1645">
        <v>83.2</v>
      </c>
      <c r="K332" s="1629" t="s">
        <v>4805</v>
      </c>
      <c r="L332" s="1636" t="s">
        <v>5047</v>
      </c>
      <c r="M332" s="1637">
        <v>44545</v>
      </c>
    </row>
    <row r="333" spans="1:14" s="1378" customFormat="1" ht="14.25">
      <c r="A333" s="1634">
        <v>324</v>
      </c>
      <c r="B333" s="1635" t="s">
        <v>1032</v>
      </c>
      <c r="C333" s="1933" t="s">
        <v>2489</v>
      </c>
      <c r="D333" s="1635" t="s">
        <v>5054</v>
      </c>
      <c r="E333" s="1636" t="s">
        <v>4926</v>
      </c>
      <c r="F333" s="1634" t="s">
        <v>4927</v>
      </c>
      <c r="G333" s="1634">
        <v>87</v>
      </c>
      <c r="H333" s="1634" t="s">
        <v>994</v>
      </c>
      <c r="I333" s="1634" t="s">
        <v>1027</v>
      </c>
      <c r="J333" s="1645">
        <v>82</v>
      </c>
      <c r="K333" s="1629" t="s">
        <v>4805</v>
      </c>
      <c r="L333" s="1636" t="s">
        <v>5047</v>
      </c>
      <c r="M333" s="1637">
        <v>44545</v>
      </c>
    </row>
    <row r="334" spans="1:14" s="1378" customFormat="1" ht="14.25">
      <c r="A334" s="1634">
        <v>325</v>
      </c>
      <c r="B334" s="1635" t="s">
        <v>1032</v>
      </c>
      <c r="C334" s="1933" t="s">
        <v>2489</v>
      </c>
      <c r="D334" s="1635" t="s">
        <v>5054</v>
      </c>
      <c r="E334" s="1636" t="s">
        <v>4926</v>
      </c>
      <c r="F334" s="1634" t="s">
        <v>4927</v>
      </c>
      <c r="G334" s="1634">
        <v>87</v>
      </c>
      <c r="H334" s="1634" t="s">
        <v>994</v>
      </c>
      <c r="I334" s="1634" t="s">
        <v>88</v>
      </c>
      <c r="J334" s="1645">
        <v>80.5</v>
      </c>
      <c r="K334" s="1629" t="s">
        <v>4805</v>
      </c>
      <c r="L334" s="1636" t="s">
        <v>5047</v>
      </c>
      <c r="M334" s="1637">
        <v>44545</v>
      </c>
    </row>
    <row r="335" spans="1:14" s="1378" customFormat="1" ht="14.25">
      <c r="A335" s="1634">
        <v>326</v>
      </c>
      <c r="B335" s="1646" t="s">
        <v>1032</v>
      </c>
      <c r="C335" s="1934" t="s">
        <v>2489</v>
      </c>
      <c r="D335" s="1646" t="s">
        <v>5054</v>
      </c>
      <c r="E335" s="1647" t="s">
        <v>4926</v>
      </c>
      <c r="F335" s="1648" t="s">
        <v>4927</v>
      </c>
      <c r="G335" s="1641">
        <v>87</v>
      </c>
      <c r="H335" s="1648" t="s">
        <v>994</v>
      </c>
      <c r="I335" s="1641" t="s">
        <v>1034</v>
      </c>
      <c r="J335" s="1649">
        <v>77.900000000000006</v>
      </c>
      <c r="K335" s="1650" t="s">
        <v>4805</v>
      </c>
      <c r="L335" s="1647" t="s">
        <v>5047</v>
      </c>
      <c r="M335" s="1651">
        <v>44545</v>
      </c>
    </row>
    <row r="336" spans="1:14" s="1378" customFormat="1" ht="28.5">
      <c r="A336" s="1634">
        <v>327</v>
      </c>
      <c r="B336" s="1635" t="s">
        <v>1036</v>
      </c>
      <c r="C336" s="1703" t="s">
        <v>3482</v>
      </c>
      <c r="D336" s="1636" t="s">
        <v>732</v>
      </c>
      <c r="E336" s="1636" t="s">
        <v>860</v>
      </c>
      <c r="F336" s="1634" t="s">
        <v>4927</v>
      </c>
      <c r="G336" s="1634">
        <v>67</v>
      </c>
      <c r="H336" s="1635" t="s">
        <v>1825</v>
      </c>
      <c r="I336" s="1634" t="s">
        <v>1012</v>
      </c>
      <c r="J336" s="1634">
        <v>2.35</v>
      </c>
      <c r="K336" s="1634">
        <v>2.56</v>
      </c>
      <c r="L336" s="1636" t="s">
        <v>5055</v>
      </c>
      <c r="M336" s="1637">
        <v>44547</v>
      </c>
    </row>
    <row r="337" spans="1:14" s="1378" customFormat="1" ht="28.5">
      <c r="A337" s="1634">
        <v>328</v>
      </c>
      <c r="B337" s="1635" t="s">
        <v>1036</v>
      </c>
      <c r="C337" s="1703" t="s">
        <v>3482</v>
      </c>
      <c r="D337" s="1636" t="s">
        <v>732</v>
      </c>
      <c r="E337" s="1636" t="s">
        <v>860</v>
      </c>
      <c r="F337" s="1634" t="s">
        <v>4927</v>
      </c>
      <c r="G337" s="1634">
        <v>67</v>
      </c>
      <c r="H337" s="1635" t="s">
        <v>1825</v>
      </c>
      <c r="I337" s="1634" t="s">
        <v>1022</v>
      </c>
      <c r="J337" s="1634">
        <v>2.35</v>
      </c>
      <c r="K337" s="1634">
        <v>2.56</v>
      </c>
      <c r="L337" s="1636" t="s">
        <v>5055</v>
      </c>
      <c r="M337" s="1637">
        <v>44547</v>
      </c>
    </row>
    <row r="338" spans="1:14" s="1378" customFormat="1" ht="28.5">
      <c r="A338" s="1634">
        <v>329</v>
      </c>
      <c r="B338" s="1635" t="s">
        <v>1036</v>
      </c>
      <c r="C338" s="1703" t="s">
        <v>3482</v>
      </c>
      <c r="D338" s="1636" t="s">
        <v>732</v>
      </c>
      <c r="E338" s="1636" t="s">
        <v>860</v>
      </c>
      <c r="F338" s="1634" t="s">
        <v>4927</v>
      </c>
      <c r="G338" s="1634">
        <v>67</v>
      </c>
      <c r="H338" s="1635" t="s">
        <v>1825</v>
      </c>
      <c r="I338" s="1634" t="s">
        <v>1027</v>
      </c>
      <c r="J338" s="1634">
        <v>2.35</v>
      </c>
      <c r="K338" s="1634">
        <v>2.56</v>
      </c>
      <c r="L338" s="1636" t="s">
        <v>5055</v>
      </c>
      <c r="M338" s="1637">
        <v>44547</v>
      </c>
    </row>
    <row r="339" spans="1:14" s="1378" customFormat="1" ht="28.5">
      <c r="A339" s="1634">
        <v>330</v>
      </c>
      <c r="B339" s="1635" t="s">
        <v>1036</v>
      </c>
      <c r="C339" s="1703" t="s">
        <v>3482</v>
      </c>
      <c r="D339" s="1636" t="s">
        <v>732</v>
      </c>
      <c r="E339" s="1636" t="s">
        <v>860</v>
      </c>
      <c r="F339" s="1634" t="s">
        <v>4927</v>
      </c>
      <c r="G339" s="1634">
        <v>67</v>
      </c>
      <c r="H339" s="1635" t="s">
        <v>1825</v>
      </c>
      <c r="I339" s="1634" t="s">
        <v>88</v>
      </c>
      <c r="J339" s="1634">
        <v>2.35</v>
      </c>
      <c r="K339" s="1634">
        <v>2.56</v>
      </c>
      <c r="L339" s="1636" t="s">
        <v>5055</v>
      </c>
      <c r="M339" s="1637">
        <v>44547</v>
      </c>
    </row>
    <row r="340" spans="1:14" s="1378" customFormat="1" ht="28.5">
      <c r="A340" s="1634">
        <v>331</v>
      </c>
      <c r="B340" s="1635" t="s">
        <v>1036</v>
      </c>
      <c r="C340" s="1703" t="s">
        <v>3482</v>
      </c>
      <c r="D340" s="1636" t="s">
        <v>732</v>
      </c>
      <c r="E340" s="1636" t="s">
        <v>860</v>
      </c>
      <c r="F340" s="1634" t="s">
        <v>4927</v>
      </c>
      <c r="G340" s="1634">
        <v>67</v>
      </c>
      <c r="H340" s="1635" t="s">
        <v>1825</v>
      </c>
      <c r="I340" s="1634" t="s">
        <v>1034</v>
      </c>
      <c r="J340" s="1634">
        <v>2.35</v>
      </c>
      <c r="K340" s="1634">
        <v>2.56</v>
      </c>
      <c r="L340" s="1636" t="s">
        <v>5055</v>
      </c>
      <c r="M340" s="1637">
        <v>44547</v>
      </c>
    </row>
    <row r="341" spans="1:14" s="1378" customFormat="1" ht="28.5">
      <c r="A341" s="1634">
        <v>332</v>
      </c>
      <c r="B341" s="1635" t="s">
        <v>1036</v>
      </c>
      <c r="C341" s="1703" t="s">
        <v>3482</v>
      </c>
      <c r="D341" s="1636" t="s">
        <v>732</v>
      </c>
      <c r="E341" s="1636" t="s">
        <v>860</v>
      </c>
      <c r="F341" s="1634" t="s">
        <v>4927</v>
      </c>
      <c r="G341" s="1634">
        <v>72</v>
      </c>
      <c r="H341" s="1635" t="s">
        <v>1826</v>
      </c>
      <c r="I341" s="1634" t="s">
        <v>1012</v>
      </c>
      <c r="J341" s="1634">
        <v>2.56</v>
      </c>
      <c r="K341" s="1634">
        <v>2.35</v>
      </c>
      <c r="L341" s="1636" t="s">
        <v>5055</v>
      </c>
      <c r="M341" s="1637">
        <v>44547</v>
      </c>
    </row>
    <row r="342" spans="1:14" s="1378" customFormat="1" ht="28.5">
      <c r="A342" s="1634">
        <v>333</v>
      </c>
      <c r="B342" s="1635" t="s">
        <v>1036</v>
      </c>
      <c r="C342" s="1703" t="s">
        <v>3482</v>
      </c>
      <c r="D342" s="1636" t="s">
        <v>732</v>
      </c>
      <c r="E342" s="1636" t="s">
        <v>860</v>
      </c>
      <c r="F342" s="1634" t="s">
        <v>4927</v>
      </c>
      <c r="G342" s="1634">
        <v>72</v>
      </c>
      <c r="H342" s="1635" t="s">
        <v>1826</v>
      </c>
      <c r="I342" s="1634" t="s">
        <v>1022</v>
      </c>
      <c r="J342" s="1634">
        <v>2.56</v>
      </c>
      <c r="K342" s="1634">
        <v>2.35</v>
      </c>
      <c r="L342" s="1636" t="s">
        <v>5055</v>
      </c>
      <c r="M342" s="1637">
        <v>44547</v>
      </c>
    </row>
    <row r="343" spans="1:14" s="1378" customFormat="1" ht="28.5">
      <c r="A343" s="1634">
        <v>334</v>
      </c>
      <c r="B343" s="1635" t="s">
        <v>1036</v>
      </c>
      <c r="C343" s="1703" t="s">
        <v>3482</v>
      </c>
      <c r="D343" s="1636" t="s">
        <v>732</v>
      </c>
      <c r="E343" s="1636" t="s">
        <v>860</v>
      </c>
      <c r="F343" s="1634" t="s">
        <v>4927</v>
      </c>
      <c r="G343" s="1634">
        <v>72</v>
      </c>
      <c r="H343" s="1635" t="s">
        <v>1826</v>
      </c>
      <c r="I343" s="1634" t="s">
        <v>1027</v>
      </c>
      <c r="J343" s="1634">
        <v>2.56</v>
      </c>
      <c r="K343" s="1634">
        <v>2.35</v>
      </c>
      <c r="L343" s="1636" t="s">
        <v>5055</v>
      </c>
      <c r="M343" s="1637">
        <v>44547</v>
      </c>
    </row>
    <row r="344" spans="1:14" s="1378" customFormat="1" ht="28.5">
      <c r="A344" s="1634">
        <v>335</v>
      </c>
      <c r="B344" s="1635" t="s">
        <v>1036</v>
      </c>
      <c r="C344" s="1703" t="s">
        <v>3482</v>
      </c>
      <c r="D344" s="1636" t="s">
        <v>732</v>
      </c>
      <c r="E344" s="1636" t="s">
        <v>860</v>
      </c>
      <c r="F344" s="1634" t="s">
        <v>4927</v>
      </c>
      <c r="G344" s="1634">
        <v>72</v>
      </c>
      <c r="H344" s="1635" t="s">
        <v>1826</v>
      </c>
      <c r="I344" s="1634" t="s">
        <v>88</v>
      </c>
      <c r="J344" s="1634">
        <v>2.56</v>
      </c>
      <c r="K344" s="1634">
        <v>2.35</v>
      </c>
      <c r="L344" s="1636" t="s">
        <v>5055</v>
      </c>
      <c r="M344" s="1637">
        <v>44547</v>
      </c>
    </row>
    <row r="345" spans="1:14" s="1378" customFormat="1" ht="28.5">
      <c r="A345" s="1634">
        <v>336</v>
      </c>
      <c r="B345" s="1635" t="s">
        <v>1036</v>
      </c>
      <c r="C345" s="1703" t="s">
        <v>3482</v>
      </c>
      <c r="D345" s="1636" t="s">
        <v>732</v>
      </c>
      <c r="E345" s="1636" t="s">
        <v>860</v>
      </c>
      <c r="F345" s="1634" t="s">
        <v>4927</v>
      </c>
      <c r="G345" s="1634">
        <v>72</v>
      </c>
      <c r="H345" s="1635" t="s">
        <v>1826</v>
      </c>
      <c r="I345" s="1634" t="s">
        <v>1034</v>
      </c>
      <c r="J345" s="1634">
        <v>2.56</v>
      </c>
      <c r="K345" s="1634">
        <v>2.35</v>
      </c>
      <c r="L345" s="1636" t="s">
        <v>5055</v>
      </c>
      <c r="M345" s="1637">
        <v>44547</v>
      </c>
    </row>
    <row r="346" spans="1:14" s="1381" customFormat="1" ht="28.5">
      <c r="A346" s="1634">
        <v>337</v>
      </c>
      <c r="B346" s="1635" t="s">
        <v>1015</v>
      </c>
      <c r="C346" s="1703" t="s">
        <v>4745</v>
      </c>
      <c r="D346" s="1636" t="s">
        <v>5056</v>
      </c>
      <c r="E346" s="1636" t="s">
        <v>4926</v>
      </c>
      <c r="F346" s="1634" t="s">
        <v>4927</v>
      </c>
      <c r="G346" s="1634">
        <v>97</v>
      </c>
      <c r="H346" s="1636" t="s">
        <v>1876</v>
      </c>
      <c r="I346" s="1634"/>
      <c r="J346" s="1634">
        <v>4.7699999999999996</v>
      </c>
      <c r="K346" s="1634">
        <v>4.7699999999999999E-2</v>
      </c>
      <c r="L346" s="1636" t="s">
        <v>5057</v>
      </c>
      <c r="M346" s="1637">
        <v>44579</v>
      </c>
      <c r="N346" s="1378"/>
    </row>
    <row r="347" spans="1:14" s="1378" customFormat="1" ht="71.25">
      <c r="A347" s="1634">
        <v>338</v>
      </c>
      <c r="B347" s="1635" t="s">
        <v>1032</v>
      </c>
      <c r="C347" s="1703" t="s">
        <v>2683</v>
      </c>
      <c r="D347" s="1636" t="s">
        <v>5027</v>
      </c>
      <c r="E347" s="1636" t="s">
        <v>4926</v>
      </c>
      <c r="F347" s="1634" t="s">
        <v>4927</v>
      </c>
      <c r="G347" s="1634">
        <v>97</v>
      </c>
      <c r="H347" s="1636" t="s">
        <v>1877</v>
      </c>
      <c r="I347" s="1634"/>
      <c r="J347" s="1634">
        <v>-4.1700000000000001E-2</v>
      </c>
      <c r="K347" s="1634" t="s">
        <v>4929</v>
      </c>
      <c r="L347" s="1636" t="s">
        <v>5058</v>
      </c>
      <c r="M347" s="1637">
        <v>44582</v>
      </c>
    </row>
    <row r="348" spans="1:14" s="1381" customFormat="1" ht="42.75">
      <c r="A348" s="1634">
        <v>339</v>
      </c>
      <c r="B348" s="1635" t="s">
        <v>1057</v>
      </c>
      <c r="C348" s="1703" t="s">
        <v>4740</v>
      </c>
      <c r="D348" s="1636" t="s">
        <v>4741</v>
      </c>
      <c r="E348" s="1636" t="s">
        <v>4926</v>
      </c>
      <c r="F348" s="1634" t="s">
        <v>4927</v>
      </c>
      <c r="G348" s="1634">
        <v>41</v>
      </c>
      <c r="H348" s="1636" t="s">
        <v>1823</v>
      </c>
      <c r="I348" s="1634" t="s">
        <v>1034</v>
      </c>
      <c r="J348" s="1634" t="s">
        <v>4929</v>
      </c>
      <c r="K348" s="1525" t="s">
        <v>4744</v>
      </c>
      <c r="L348" s="1636" t="s">
        <v>5059</v>
      </c>
      <c r="M348" s="1637">
        <v>44582</v>
      </c>
      <c r="N348" s="1378"/>
    </row>
    <row r="349" spans="1:14" s="1378" customFormat="1" ht="42.75">
      <c r="A349" s="1634">
        <v>340</v>
      </c>
      <c r="B349" s="1635" t="s">
        <v>1032</v>
      </c>
      <c r="C349" s="1703" t="s">
        <v>2678</v>
      </c>
      <c r="D349" s="1636" t="s">
        <v>2680</v>
      </c>
      <c r="E349" s="1636" t="s">
        <v>4977</v>
      </c>
      <c r="F349" s="1634" t="s">
        <v>4927</v>
      </c>
      <c r="G349" s="1634">
        <v>20</v>
      </c>
      <c r="H349" s="1636" t="s">
        <v>1842</v>
      </c>
      <c r="I349" s="1634"/>
      <c r="J349" s="1634" t="s">
        <v>1072</v>
      </c>
      <c r="K349" s="1634" t="s">
        <v>1033</v>
      </c>
      <c r="L349" s="1631" t="s">
        <v>5043</v>
      </c>
      <c r="M349" s="1637">
        <v>44589</v>
      </c>
    </row>
    <row r="350" spans="1:14" s="1378" customFormat="1" ht="42.75">
      <c r="A350" s="1634">
        <v>341</v>
      </c>
      <c r="B350" s="1630" t="s">
        <v>1050</v>
      </c>
      <c r="C350" s="1931" t="s">
        <v>5040</v>
      </c>
      <c r="D350" s="1631" t="s">
        <v>5041</v>
      </c>
      <c r="E350" s="1636" t="s">
        <v>4977</v>
      </c>
      <c r="F350" s="1629" t="s">
        <v>4927</v>
      </c>
      <c r="G350" s="1634">
        <v>22</v>
      </c>
      <c r="H350" s="1636" t="s">
        <v>4979</v>
      </c>
      <c r="I350" s="1634"/>
      <c r="J350" s="1634">
        <v>2</v>
      </c>
      <c r="K350" s="1634">
        <v>3</v>
      </c>
      <c r="L350" s="1631" t="s">
        <v>5060</v>
      </c>
      <c r="M350" s="1637">
        <v>44589</v>
      </c>
    </row>
    <row r="351" spans="1:14" s="1378" customFormat="1" ht="42.75">
      <c r="A351" s="1634">
        <v>342</v>
      </c>
      <c r="B351" s="1635" t="s">
        <v>1032</v>
      </c>
      <c r="C351" s="1931" t="s">
        <v>2692</v>
      </c>
      <c r="D351" s="1631" t="s">
        <v>2143</v>
      </c>
      <c r="E351" s="1636" t="s">
        <v>4977</v>
      </c>
      <c r="F351" s="1634" t="s">
        <v>4927</v>
      </c>
      <c r="G351" s="1634">
        <v>62</v>
      </c>
      <c r="H351" s="1636" t="s">
        <v>1001</v>
      </c>
      <c r="I351" s="1634" t="s">
        <v>1012</v>
      </c>
      <c r="J351" s="1634" t="s">
        <v>168</v>
      </c>
      <c r="K351" s="1634"/>
      <c r="L351" s="1631" t="s">
        <v>5061</v>
      </c>
      <c r="M351" s="1637">
        <v>44592</v>
      </c>
    </row>
    <row r="352" spans="1:14" s="1378" customFormat="1" ht="42.75">
      <c r="A352" s="1634">
        <v>343</v>
      </c>
      <c r="B352" s="1635" t="s">
        <v>1032</v>
      </c>
      <c r="C352" s="1931" t="s">
        <v>2692</v>
      </c>
      <c r="D352" s="1631" t="s">
        <v>2143</v>
      </c>
      <c r="E352" s="1636" t="s">
        <v>4977</v>
      </c>
      <c r="F352" s="1629" t="s">
        <v>4927</v>
      </c>
      <c r="G352" s="1634">
        <v>62</v>
      </c>
      <c r="H352" s="1636" t="s">
        <v>1001</v>
      </c>
      <c r="I352" s="1634" t="s">
        <v>1022</v>
      </c>
      <c r="J352" s="1634" t="s">
        <v>168</v>
      </c>
      <c r="K352" s="1634"/>
      <c r="L352" s="1631" t="s">
        <v>5061</v>
      </c>
      <c r="M352" s="1637">
        <v>44592</v>
      </c>
    </row>
    <row r="353" spans="1:13" s="1378" customFormat="1" ht="42.75">
      <c r="A353" s="1634">
        <v>344</v>
      </c>
      <c r="B353" s="1635" t="s">
        <v>1032</v>
      </c>
      <c r="C353" s="1931" t="s">
        <v>2692</v>
      </c>
      <c r="D353" s="1631" t="s">
        <v>2143</v>
      </c>
      <c r="E353" s="1636" t="s">
        <v>4977</v>
      </c>
      <c r="F353" s="1634" t="s">
        <v>4927</v>
      </c>
      <c r="G353" s="1634">
        <v>62</v>
      </c>
      <c r="H353" s="1636" t="s">
        <v>1001</v>
      </c>
      <c r="I353" s="1634" t="s">
        <v>1027</v>
      </c>
      <c r="J353" s="1634" t="s">
        <v>168</v>
      </c>
      <c r="K353" s="1634"/>
      <c r="L353" s="1631" t="s">
        <v>5061</v>
      </c>
      <c r="M353" s="1637">
        <v>44592</v>
      </c>
    </row>
    <row r="354" spans="1:13" s="1378" customFormat="1" ht="42.75">
      <c r="A354" s="1634">
        <v>345</v>
      </c>
      <c r="B354" s="1635" t="s">
        <v>1032</v>
      </c>
      <c r="C354" s="1931" t="s">
        <v>2692</v>
      </c>
      <c r="D354" s="1631" t="s">
        <v>2143</v>
      </c>
      <c r="E354" s="1636" t="s">
        <v>4977</v>
      </c>
      <c r="F354" s="1629" t="s">
        <v>4927</v>
      </c>
      <c r="G354" s="1634">
        <v>62</v>
      </c>
      <c r="H354" s="1636" t="s">
        <v>1001</v>
      </c>
      <c r="I354" s="1634" t="s">
        <v>88</v>
      </c>
      <c r="J354" s="1634" t="s">
        <v>168</v>
      </c>
      <c r="K354" s="1634"/>
      <c r="L354" s="1631" t="s">
        <v>5061</v>
      </c>
      <c r="M354" s="1637">
        <v>44592</v>
      </c>
    </row>
    <row r="355" spans="1:13" s="1378" customFormat="1" ht="14.25">
      <c r="A355" s="1634">
        <v>346</v>
      </c>
      <c r="B355" s="1635" t="s">
        <v>1015</v>
      </c>
      <c r="C355" s="1931" t="s">
        <v>2167</v>
      </c>
      <c r="D355" s="1631" t="s">
        <v>2168</v>
      </c>
      <c r="E355" s="1636" t="s">
        <v>5062</v>
      </c>
      <c r="F355" s="1634" t="s">
        <v>4927</v>
      </c>
      <c r="G355" s="1634">
        <v>41</v>
      </c>
      <c r="H355" s="1636" t="s">
        <v>1823</v>
      </c>
      <c r="I355" s="1634" t="s">
        <v>1034</v>
      </c>
      <c r="J355" s="1634">
        <v>382.4</v>
      </c>
      <c r="K355" s="1634">
        <v>469.4</v>
      </c>
      <c r="L355" s="1631" t="s">
        <v>5063</v>
      </c>
      <c r="M355" s="1637">
        <v>44596</v>
      </c>
    </row>
    <row r="356" spans="1:13" s="1378" customFormat="1" ht="28.5">
      <c r="A356" s="1634">
        <v>347</v>
      </c>
      <c r="B356" s="1635" t="s">
        <v>1015</v>
      </c>
      <c r="C356" s="1931" t="s">
        <v>2167</v>
      </c>
      <c r="D356" s="1631" t="s">
        <v>2168</v>
      </c>
      <c r="E356" s="1636" t="s">
        <v>5062</v>
      </c>
      <c r="F356" s="1629" t="s">
        <v>4927</v>
      </c>
      <c r="G356" s="1634">
        <v>97</v>
      </c>
      <c r="H356" s="1636" t="s">
        <v>1876</v>
      </c>
      <c r="I356" s="1634"/>
      <c r="J356" s="1652">
        <v>-0.46</v>
      </c>
      <c r="K356" s="1634">
        <v>-0.45900000000000002</v>
      </c>
      <c r="L356" s="1631" t="s">
        <v>5063</v>
      </c>
      <c r="M356" s="1637">
        <v>44596</v>
      </c>
    </row>
    <row r="357" spans="1:13" s="1378" customFormat="1" ht="14.25">
      <c r="A357" s="1634">
        <v>348</v>
      </c>
      <c r="B357" s="1635" t="s">
        <v>1057</v>
      </c>
      <c r="C357" s="1931" t="s">
        <v>4740</v>
      </c>
      <c r="D357" s="1631" t="s">
        <v>4741</v>
      </c>
      <c r="E357" s="1636" t="s">
        <v>4926</v>
      </c>
      <c r="F357" s="1629" t="s">
        <v>4927</v>
      </c>
      <c r="G357" s="1634">
        <v>17</v>
      </c>
      <c r="H357" s="1636" t="s">
        <v>988</v>
      </c>
      <c r="I357" s="1634" t="s">
        <v>1079</v>
      </c>
      <c r="J357" s="1652" t="s">
        <v>1018</v>
      </c>
      <c r="K357" s="1634" t="s">
        <v>1008</v>
      </c>
      <c r="L357" s="1631" t="s">
        <v>5064</v>
      </c>
      <c r="M357" s="1637">
        <v>44596</v>
      </c>
    </row>
    <row r="358" spans="1:13" s="1378" customFormat="1" ht="14.25">
      <c r="A358" s="1634">
        <v>349</v>
      </c>
      <c r="B358" s="1635" t="s">
        <v>1057</v>
      </c>
      <c r="C358" s="1931" t="s">
        <v>4740</v>
      </c>
      <c r="D358" s="1631" t="s">
        <v>4741</v>
      </c>
      <c r="E358" s="1636" t="s">
        <v>4926</v>
      </c>
      <c r="F358" s="1629" t="s">
        <v>4927</v>
      </c>
      <c r="G358" s="1634">
        <v>22</v>
      </c>
      <c r="H358" s="1636" t="s">
        <v>115</v>
      </c>
      <c r="I358" s="1634" t="s">
        <v>1079</v>
      </c>
      <c r="J358" s="1653">
        <v>3</v>
      </c>
      <c r="K358" s="1634">
        <v>1</v>
      </c>
      <c r="L358" s="1631" t="s">
        <v>5064</v>
      </c>
      <c r="M358" s="1637">
        <v>44596</v>
      </c>
    </row>
    <row r="359" spans="1:13" s="1378" customFormat="1" ht="14.25">
      <c r="A359" s="1634">
        <v>350</v>
      </c>
      <c r="B359" s="1635" t="s">
        <v>1050</v>
      </c>
      <c r="C359" s="1931" t="s">
        <v>5065</v>
      </c>
      <c r="D359" s="1631" t="s">
        <v>4084</v>
      </c>
      <c r="E359" s="1636" t="s">
        <v>860</v>
      </c>
      <c r="F359" s="1629" t="s">
        <v>4927</v>
      </c>
      <c r="G359" s="1634">
        <v>72</v>
      </c>
      <c r="H359" s="1636" t="s">
        <v>1826</v>
      </c>
      <c r="I359" s="1634" t="s">
        <v>1012</v>
      </c>
      <c r="J359" s="1634">
        <v>9</v>
      </c>
      <c r="K359" s="1634"/>
      <c r="L359" s="1631" t="s">
        <v>5066</v>
      </c>
      <c r="M359" s="1637">
        <v>44613</v>
      </c>
    </row>
    <row r="360" spans="1:13" s="1378" customFormat="1" ht="14.25">
      <c r="A360" s="1634">
        <v>351</v>
      </c>
      <c r="B360" s="1635" t="s">
        <v>1050</v>
      </c>
      <c r="C360" s="1931" t="s">
        <v>5065</v>
      </c>
      <c r="D360" s="1631" t="s">
        <v>4084</v>
      </c>
      <c r="E360" s="1636" t="s">
        <v>860</v>
      </c>
      <c r="F360" s="1629" t="s">
        <v>4927</v>
      </c>
      <c r="G360" s="1634">
        <v>72</v>
      </c>
      <c r="H360" s="1636" t="s">
        <v>1826</v>
      </c>
      <c r="I360" s="1634" t="s">
        <v>1022</v>
      </c>
      <c r="J360" s="1634">
        <v>5.75</v>
      </c>
      <c r="K360" s="1634"/>
      <c r="L360" s="1631" t="s">
        <v>5066</v>
      </c>
      <c r="M360" s="1637">
        <v>44613</v>
      </c>
    </row>
    <row r="361" spans="1:13" s="1378" customFormat="1" ht="14.25">
      <c r="A361" s="1634">
        <v>352</v>
      </c>
      <c r="B361" s="1635" t="s">
        <v>1050</v>
      </c>
      <c r="C361" s="1931" t="s">
        <v>5065</v>
      </c>
      <c r="D361" s="1631" t="s">
        <v>4084</v>
      </c>
      <c r="E361" s="1636" t="s">
        <v>860</v>
      </c>
      <c r="F361" s="1629" t="s">
        <v>4927</v>
      </c>
      <c r="G361" s="1634">
        <v>72</v>
      </c>
      <c r="H361" s="1636" t="s">
        <v>1826</v>
      </c>
      <c r="I361" s="1634" t="s">
        <v>1027</v>
      </c>
      <c r="J361" s="1634">
        <v>4</v>
      </c>
      <c r="K361" s="1634"/>
      <c r="L361" s="1631" t="s">
        <v>5066</v>
      </c>
      <c r="M361" s="1637">
        <v>44613</v>
      </c>
    </row>
    <row r="362" spans="1:13" s="1378" customFormat="1" ht="14.25">
      <c r="A362" s="1634">
        <v>353</v>
      </c>
      <c r="B362" s="1635" t="s">
        <v>1050</v>
      </c>
      <c r="C362" s="1931" t="s">
        <v>5065</v>
      </c>
      <c r="D362" s="1631" t="s">
        <v>4084</v>
      </c>
      <c r="E362" s="1636" t="s">
        <v>860</v>
      </c>
      <c r="F362" s="1629" t="s">
        <v>4927</v>
      </c>
      <c r="G362" s="1634">
        <v>72</v>
      </c>
      <c r="H362" s="1636" t="s">
        <v>1826</v>
      </c>
      <c r="I362" s="1634" t="s">
        <v>88</v>
      </c>
      <c r="J362" s="1634">
        <v>4</v>
      </c>
      <c r="K362" s="1634"/>
      <c r="L362" s="1631" t="s">
        <v>5066</v>
      </c>
      <c r="M362" s="1637">
        <v>44613</v>
      </c>
    </row>
    <row r="363" spans="1:13" s="1378" customFormat="1" ht="14.25">
      <c r="A363" s="1634">
        <v>354</v>
      </c>
      <c r="B363" s="1635" t="s">
        <v>1050</v>
      </c>
      <c r="C363" s="1931" t="s">
        <v>5065</v>
      </c>
      <c r="D363" s="1631" t="s">
        <v>4084</v>
      </c>
      <c r="E363" s="1636" t="s">
        <v>860</v>
      </c>
      <c r="F363" s="1629" t="s">
        <v>4927</v>
      </c>
      <c r="G363" s="1634">
        <v>72</v>
      </c>
      <c r="H363" s="1636" t="s">
        <v>1826</v>
      </c>
      <c r="I363" s="1634" t="s">
        <v>1034</v>
      </c>
      <c r="J363" s="1634">
        <v>9</v>
      </c>
      <c r="K363" s="1634"/>
      <c r="L363" s="1631" t="s">
        <v>5066</v>
      </c>
      <c r="M363" s="1637">
        <v>44613</v>
      </c>
    </row>
    <row r="364" spans="1:13" s="1378" customFormat="1" ht="42.75">
      <c r="A364" s="1634">
        <v>355</v>
      </c>
      <c r="B364" s="1635" t="s">
        <v>1024</v>
      </c>
      <c r="C364" s="1931" t="s">
        <v>4285</v>
      </c>
      <c r="D364" s="1631" t="s">
        <v>4287</v>
      </c>
      <c r="E364" s="1636" t="s">
        <v>4977</v>
      </c>
      <c r="F364" s="1629" t="s">
        <v>4927</v>
      </c>
      <c r="G364" s="1634">
        <v>41</v>
      </c>
      <c r="H364" s="1636" t="s">
        <v>1823</v>
      </c>
      <c r="I364" s="1634" t="s">
        <v>1012</v>
      </c>
      <c r="J364" s="1634">
        <v>86.5</v>
      </c>
      <c r="K364" s="1636" t="s">
        <v>2326</v>
      </c>
      <c r="L364" s="1631" t="s">
        <v>5067</v>
      </c>
      <c r="M364" s="1637">
        <v>44629</v>
      </c>
    </row>
    <row r="365" spans="1:13" s="1378" customFormat="1" ht="42.75">
      <c r="A365" s="1634">
        <v>356</v>
      </c>
      <c r="B365" s="1635" t="s">
        <v>1024</v>
      </c>
      <c r="C365" s="1931" t="s">
        <v>4285</v>
      </c>
      <c r="D365" s="1631" t="s">
        <v>4287</v>
      </c>
      <c r="E365" s="1636" t="s">
        <v>4977</v>
      </c>
      <c r="F365" s="1629" t="s">
        <v>4927</v>
      </c>
      <c r="G365" s="1634">
        <v>41</v>
      </c>
      <c r="H365" s="1636" t="s">
        <v>1823</v>
      </c>
      <c r="I365" s="1634" t="s">
        <v>1022</v>
      </c>
      <c r="J365" s="1634">
        <v>287.89999999999998</v>
      </c>
      <c r="K365" s="1636" t="s">
        <v>2327</v>
      </c>
      <c r="L365" s="1631" t="s">
        <v>5067</v>
      </c>
      <c r="M365" s="1637">
        <v>44629</v>
      </c>
    </row>
    <row r="366" spans="1:13" s="1378" customFormat="1" ht="42.75">
      <c r="A366" s="1634">
        <v>357</v>
      </c>
      <c r="B366" s="1635" t="s">
        <v>1024</v>
      </c>
      <c r="C366" s="1931" t="s">
        <v>4285</v>
      </c>
      <c r="D366" s="1631" t="s">
        <v>4287</v>
      </c>
      <c r="E366" s="1636" t="s">
        <v>4977</v>
      </c>
      <c r="F366" s="1629" t="s">
        <v>4927</v>
      </c>
      <c r="G366" s="1634">
        <v>41</v>
      </c>
      <c r="H366" s="1636" t="s">
        <v>1823</v>
      </c>
      <c r="I366" s="1634" t="s">
        <v>1027</v>
      </c>
      <c r="J366" s="1634">
        <v>259.10000000000002</v>
      </c>
      <c r="K366" s="1636" t="s">
        <v>2328</v>
      </c>
      <c r="L366" s="1631" t="s">
        <v>5067</v>
      </c>
      <c r="M366" s="1637">
        <v>44629</v>
      </c>
    </row>
    <row r="367" spans="1:13" s="1378" customFormat="1" ht="42.75">
      <c r="A367" s="1634">
        <v>358</v>
      </c>
      <c r="B367" s="1635" t="s">
        <v>1024</v>
      </c>
      <c r="C367" s="1931" t="s">
        <v>4285</v>
      </c>
      <c r="D367" s="1631" t="s">
        <v>4287</v>
      </c>
      <c r="E367" s="1636" t="s">
        <v>4977</v>
      </c>
      <c r="F367" s="1629" t="s">
        <v>4927</v>
      </c>
      <c r="G367" s="1634">
        <v>41</v>
      </c>
      <c r="H367" s="1636" t="s">
        <v>1823</v>
      </c>
      <c r="I367" s="1634" t="s">
        <v>88</v>
      </c>
      <c r="J367" s="1634">
        <v>233.2</v>
      </c>
      <c r="K367" s="1636" t="s">
        <v>2329</v>
      </c>
      <c r="L367" s="1631" t="s">
        <v>5067</v>
      </c>
      <c r="M367" s="1637">
        <v>44629</v>
      </c>
    </row>
    <row r="368" spans="1:13" s="1378" customFormat="1" ht="42.75">
      <c r="A368" s="1634">
        <v>359</v>
      </c>
      <c r="B368" s="1635" t="s">
        <v>1024</v>
      </c>
      <c r="C368" s="1931" t="s">
        <v>4285</v>
      </c>
      <c r="D368" s="1631" t="s">
        <v>4287</v>
      </c>
      <c r="E368" s="1636" t="s">
        <v>4977</v>
      </c>
      <c r="F368" s="1629" t="s">
        <v>4927</v>
      </c>
      <c r="G368" s="1634">
        <v>41</v>
      </c>
      <c r="H368" s="1636" t="s">
        <v>1823</v>
      </c>
      <c r="I368" s="1634" t="s">
        <v>1034</v>
      </c>
      <c r="J368" s="1634">
        <v>209.9</v>
      </c>
      <c r="K368" s="1636" t="s">
        <v>2330</v>
      </c>
      <c r="L368" s="1631" t="s">
        <v>5067</v>
      </c>
      <c r="M368" s="1637">
        <v>44629</v>
      </c>
    </row>
    <row r="369" spans="1:13" s="1378" customFormat="1" ht="42.75">
      <c r="A369" s="1634">
        <v>360</v>
      </c>
      <c r="B369" s="1636" t="s">
        <v>5068</v>
      </c>
      <c r="C369" s="1931"/>
      <c r="D369" s="1631" t="s">
        <v>5069</v>
      </c>
      <c r="E369" s="1636" t="s">
        <v>860</v>
      </c>
      <c r="F369" s="1629" t="s">
        <v>4927</v>
      </c>
      <c r="G369" s="1694" t="s">
        <v>5070</v>
      </c>
      <c r="H369" s="1634" t="s">
        <v>5070</v>
      </c>
      <c r="I369" s="1634" t="s">
        <v>4985</v>
      </c>
      <c r="J369" s="1694" t="s">
        <v>5071</v>
      </c>
      <c r="K369" s="1634"/>
      <c r="L369" s="1631" t="s">
        <v>5072</v>
      </c>
      <c r="M369" s="1807">
        <v>44634</v>
      </c>
    </row>
    <row r="370" spans="1:13" s="1378" customFormat="1" ht="42.75">
      <c r="A370" s="1634">
        <v>361</v>
      </c>
      <c r="B370" s="1635" t="s">
        <v>1024</v>
      </c>
      <c r="C370" s="1630" t="s">
        <v>4197</v>
      </c>
      <c r="D370" s="1631" t="s">
        <v>4199</v>
      </c>
      <c r="E370" s="1636" t="s">
        <v>4977</v>
      </c>
      <c r="F370" s="1629" t="s">
        <v>4927</v>
      </c>
      <c r="G370" s="1694">
        <v>72</v>
      </c>
      <c r="H370" s="1636" t="s">
        <v>1826</v>
      </c>
      <c r="I370" s="1634" t="s">
        <v>1012</v>
      </c>
      <c r="J370" s="1634">
        <v>4.47</v>
      </c>
      <c r="K370" s="1634">
        <v>4.4800000000000004</v>
      </c>
      <c r="L370" s="1631" t="s">
        <v>5043</v>
      </c>
      <c r="M370" s="1637">
        <v>44635</v>
      </c>
    </row>
    <row r="371" spans="1:13" s="1378" customFormat="1" ht="42.75">
      <c r="A371" s="1634">
        <v>362</v>
      </c>
      <c r="B371" s="1635" t="s">
        <v>1024</v>
      </c>
      <c r="C371" s="1630" t="s">
        <v>4197</v>
      </c>
      <c r="D371" s="1631" t="s">
        <v>4199</v>
      </c>
      <c r="E371" s="1636" t="s">
        <v>4977</v>
      </c>
      <c r="F371" s="1629" t="s">
        <v>4927</v>
      </c>
      <c r="G371" s="1694">
        <v>72</v>
      </c>
      <c r="H371" s="1636" t="s">
        <v>1826</v>
      </c>
      <c r="I371" s="1634" t="s">
        <v>1022</v>
      </c>
      <c r="J371" s="1634">
        <v>4.47</v>
      </c>
      <c r="K371" s="1634">
        <v>4.4800000000000004</v>
      </c>
      <c r="L371" s="1631" t="s">
        <v>5043</v>
      </c>
      <c r="M371" s="1637">
        <v>44635</v>
      </c>
    </row>
    <row r="372" spans="1:13" s="1378" customFormat="1" ht="42.75">
      <c r="A372" s="1634">
        <v>363</v>
      </c>
      <c r="B372" s="1635" t="s">
        <v>1024</v>
      </c>
      <c r="C372" s="1630" t="s">
        <v>4197</v>
      </c>
      <c r="D372" s="1631" t="s">
        <v>4199</v>
      </c>
      <c r="E372" s="1636" t="s">
        <v>4977</v>
      </c>
      <c r="F372" s="1629" t="s">
        <v>4927</v>
      </c>
      <c r="G372" s="1694">
        <v>72</v>
      </c>
      <c r="H372" s="1636" t="s">
        <v>1826</v>
      </c>
      <c r="I372" s="1634" t="s">
        <v>1027</v>
      </c>
      <c r="J372" s="1634">
        <v>4.47</v>
      </c>
      <c r="K372" s="1634">
        <v>4.4800000000000004</v>
      </c>
      <c r="L372" s="1631" t="s">
        <v>5043</v>
      </c>
      <c r="M372" s="1637">
        <v>44635</v>
      </c>
    </row>
    <row r="373" spans="1:13" s="1378" customFormat="1" ht="42.75">
      <c r="A373" s="1634">
        <v>364</v>
      </c>
      <c r="B373" s="1635" t="s">
        <v>1024</v>
      </c>
      <c r="C373" s="1630" t="s">
        <v>4197</v>
      </c>
      <c r="D373" s="1631" t="s">
        <v>4199</v>
      </c>
      <c r="E373" s="1636" t="s">
        <v>4977</v>
      </c>
      <c r="F373" s="1629" t="s">
        <v>4927</v>
      </c>
      <c r="G373" s="1694">
        <v>72</v>
      </c>
      <c r="H373" s="1636" t="s">
        <v>1826</v>
      </c>
      <c r="I373" s="1634" t="s">
        <v>88</v>
      </c>
      <c r="J373" s="1634">
        <v>4.47</v>
      </c>
      <c r="K373" s="1634">
        <v>4.4800000000000004</v>
      </c>
      <c r="L373" s="1631" t="s">
        <v>5043</v>
      </c>
      <c r="M373" s="1637">
        <v>44635</v>
      </c>
    </row>
    <row r="374" spans="1:13" s="1378" customFormat="1" ht="42.75">
      <c r="A374" s="1634">
        <v>365</v>
      </c>
      <c r="B374" s="1635" t="s">
        <v>1024</v>
      </c>
      <c r="C374" s="1630" t="s">
        <v>4197</v>
      </c>
      <c r="D374" s="1631" t="s">
        <v>4199</v>
      </c>
      <c r="E374" s="1636" t="s">
        <v>4977</v>
      </c>
      <c r="F374" s="1629" t="s">
        <v>4927</v>
      </c>
      <c r="G374" s="1694">
        <v>72</v>
      </c>
      <c r="H374" s="1636" t="s">
        <v>1826</v>
      </c>
      <c r="I374" s="1634" t="s">
        <v>1034</v>
      </c>
      <c r="J374" s="1634">
        <v>4.47</v>
      </c>
      <c r="K374" s="1634">
        <v>4.4800000000000004</v>
      </c>
      <c r="L374" s="1631" t="s">
        <v>5043</v>
      </c>
      <c r="M374" s="1637">
        <v>44635</v>
      </c>
    </row>
    <row r="375" spans="1:13" s="1378" customFormat="1" ht="42.75">
      <c r="A375" s="1634">
        <v>366</v>
      </c>
      <c r="B375" s="1635" t="s">
        <v>1024</v>
      </c>
      <c r="C375" s="1630" t="s">
        <v>4262</v>
      </c>
      <c r="D375" s="1631" t="s">
        <v>4264</v>
      </c>
      <c r="E375" s="1636" t="s">
        <v>4977</v>
      </c>
      <c r="F375" s="1629" t="s">
        <v>4927</v>
      </c>
      <c r="G375" s="1694">
        <v>72</v>
      </c>
      <c r="H375" s="1636" t="s">
        <v>1826</v>
      </c>
      <c r="I375" s="1634" t="s">
        <v>1012</v>
      </c>
      <c r="J375" s="1634">
        <v>4.0999999999999996</v>
      </c>
      <c r="K375" s="1814">
        <v>4</v>
      </c>
      <c r="L375" s="1631" t="s">
        <v>5043</v>
      </c>
      <c r="M375" s="1637">
        <v>44635</v>
      </c>
    </row>
    <row r="376" spans="1:13" s="1378" customFormat="1" ht="42.75">
      <c r="A376" s="1634">
        <v>367</v>
      </c>
      <c r="B376" s="1635" t="s">
        <v>1024</v>
      </c>
      <c r="C376" s="1630" t="s">
        <v>4262</v>
      </c>
      <c r="D376" s="1631" t="s">
        <v>4264</v>
      </c>
      <c r="E376" s="1636" t="s">
        <v>4977</v>
      </c>
      <c r="F376" s="1629" t="s">
        <v>4927</v>
      </c>
      <c r="G376" s="1694">
        <v>72</v>
      </c>
      <c r="H376" s="1636" t="s">
        <v>1826</v>
      </c>
      <c r="I376" s="1634" t="s">
        <v>1022</v>
      </c>
      <c r="J376" s="1634">
        <v>4.0999999999999996</v>
      </c>
      <c r="K376" s="1814">
        <v>4</v>
      </c>
      <c r="L376" s="1631" t="s">
        <v>5043</v>
      </c>
      <c r="M376" s="1637">
        <v>44635</v>
      </c>
    </row>
    <row r="377" spans="1:13" s="1378" customFormat="1" ht="42.75">
      <c r="A377" s="1634">
        <v>368</v>
      </c>
      <c r="B377" s="1635" t="s">
        <v>1024</v>
      </c>
      <c r="C377" s="1630" t="s">
        <v>4262</v>
      </c>
      <c r="D377" s="1631" t="s">
        <v>4264</v>
      </c>
      <c r="E377" s="1636" t="s">
        <v>4977</v>
      </c>
      <c r="F377" s="1629" t="s">
        <v>4927</v>
      </c>
      <c r="G377" s="1694">
        <v>72</v>
      </c>
      <c r="H377" s="1636" t="s">
        <v>1826</v>
      </c>
      <c r="I377" s="1634" t="s">
        <v>1027</v>
      </c>
      <c r="J377" s="1634">
        <v>4.0999999999999996</v>
      </c>
      <c r="K377" s="1814">
        <v>4</v>
      </c>
      <c r="L377" s="1631" t="s">
        <v>5043</v>
      </c>
      <c r="M377" s="1637">
        <v>44635</v>
      </c>
    </row>
    <row r="378" spans="1:13" s="1378" customFormat="1" ht="42.75">
      <c r="A378" s="1634">
        <v>369</v>
      </c>
      <c r="B378" s="1635" t="s">
        <v>1024</v>
      </c>
      <c r="C378" s="1630" t="s">
        <v>4262</v>
      </c>
      <c r="D378" s="1631" t="s">
        <v>4264</v>
      </c>
      <c r="E378" s="1636" t="s">
        <v>4977</v>
      </c>
      <c r="F378" s="1629" t="s">
        <v>4927</v>
      </c>
      <c r="G378" s="1694">
        <v>72</v>
      </c>
      <c r="H378" s="1636" t="s">
        <v>1826</v>
      </c>
      <c r="I378" s="1634" t="s">
        <v>88</v>
      </c>
      <c r="J378" s="1634">
        <v>4.0999999999999996</v>
      </c>
      <c r="K378" s="1814">
        <v>4</v>
      </c>
      <c r="L378" s="1631" t="s">
        <v>5043</v>
      </c>
      <c r="M378" s="1637">
        <v>44635</v>
      </c>
    </row>
    <row r="379" spans="1:13" s="1378" customFormat="1" ht="42.75">
      <c r="A379" s="1634">
        <v>370</v>
      </c>
      <c r="B379" s="1635" t="s">
        <v>1024</v>
      </c>
      <c r="C379" s="1630" t="s">
        <v>4262</v>
      </c>
      <c r="D379" s="1631" t="s">
        <v>4264</v>
      </c>
      <c r="E379" s="1636" t="s">
        <v>4977</v>
      </c>
      <c r="F379" s="1629" t="s">
        <v>4927</v>
      </c>
      <c r="G379" s="1694">
        <v>72</v>
      </c>
      <c r="H379" s="1636" t="s">
        <v>1826</v>
      </c>
      <c r="I379" s="1634" t="s">
        <v>1034</v>
      </c>
      <c r="J379" s="1634">
        <v>4.0999999999999996</v>
      </c>
      <c r="K379" s="1814">
        <v>4</v>
      </c>
      <c r="L379" s="1631" t="s">
        <v>5043</v>
      </c>
      <c r="M379" s="1637">
        <v>44635</v>
      </c>
    </row>
    <row r="380" spans="1:13" s="1378" customFormat="1" ht="42.75">
      <c r="A380" s="1634">
        <v>371</v>
      </c>
      <c r="B380" s="1635" t="s">
        <v>1024</v>
      </c>
      <c r="C380" s="1630" t="s">
        <v>4277</v>
      </c>
      <c r="D380" s="1631" t="s">
        <v>4279</v>
      </c>
      <c r="E380" s="1636" t="s">
        <v>4977</v>
      </c>
      <c r="F380" s="1629" t="s">
        <v>4927</v>
      </c>
      <c r="G380" s="1694">
        <v>72</v>
      </c>
      <c r="H380" s="1636" t="s">
        <v>1826</v>
      </c>
      <c r="I380" s="1634" t="s">
        <v>1012</v>
      </c>
      <c r="J380" s="1634">
        <v>40.04</v>
      </c>
      <c r="K380" s="1634">
        <v>40.049999999999997</v>
      </c>
      <c r="L380" s="1631" t="s">
        <v>5043</v>
      </c>
      <c r="M380" s="1637">
        <v>44635</v>
      </c>
    </row>
    <row r="381" spans="1:13" s="1378" customFormat="1" ht="42.75">
      <c r="A381" s="1634">
        <v>372</v>
      </c>
      <c r="B381" s="1635" t="s">
        <v>1024</v>
      </c>
      <c r="C381" s="1630" t="s">
        <v>4277</v>
      </c>
      <c r="D381" s="1631" t="s">
        <v>4279</v>
      </c>
      <c r="E381" s="1636" t="s">
        <v>4977</v>
      </c>
      <c r="F381" s="1629" t="s">
        <v>4927</v>
      </c>
      <c r="G381" s="1694">
        <v>72</v>
      </c>
      <c r="H381" s="1636" t="s">
        <v>1826</v>
      </c>
      <c r="I381" s="1634" t="s">
        <v>1022</v>
      </c>
      <c r="J381" s="1634">
        <v>40.04</v>
      </c>
      <c r="K381" s="1634">
        <v>40.049999999999997</v>
      </c>
      <c r="L381" s="1631" t="s">
        <v>5043</v>
      </c>
      <c r="M381" s="1637">
        <v>44635</v>
      </c>
    </row>
    <row r="382" spans="1:13" s="1378" customFormat="1" ht="42.75">
      <c r="A382" s="1634">
        <v>373</v>
      </c>
      <c r="B382" s="1635" t="s">
        <v>1024</v>
      </c>
      <c r="C382" s="1630" t="s">
        <v>4277</v>
      </c>
      <c r="D382" s="1631" t="s">
        <v>4279</v>
      </c>
      <c r="E382" s="1636" t="s">
        <v>4977</v>
      </c>
      <c r="F382" s="1629" t="s">
        <v>4927</v>
      </c>
      <c r="G382" s="1694">
        <v>72</v>
      </c>
      <c r="H382" s="1636" t="s">
        <v>1826</v>
      </c>
      <c r="I382" s="1634" t="s">
        <v>1027</v>
      </c>
      <c r="J382" s="1634">
        <v>40.04</v>
      </c>
      <c r="K382" s="1634">
        <v>40.049999999999997</v>
      </c>
      <c r="L382" s="1631" t="s">
        <v>5043</v>
      </c>
      <c r="M382" s="1637">
        <v>44635</v>
      </c>
    </row>
    <row r="383" spans="1:13" s="1378" customFormat="1" ht="42.75">
      <c r="A383" s="1634">
        <v>374</v>
      </c>
      <c r="B383" s="1635" t="s">
        <v>1024</v>
      </c>
      <c r="C383" s="1630" t="s">
        <v>4277</v>
      </c>
      <c r="D383" s="1631" t="s">
        <v>4279</v>
      </c>
      <c r="E383" s="1636" t="s">
        <v>4977</v>
      </c>
      <c r="F383" s="1629" t="s">
        <v>4927</v>
      </c>
      <c r="G383" s="1694">
        <v>72</v>
      </c>
      <c r="H383" s="1636" t="s">
        <v>1826</v>
      </c>
      <c r="I383" s="1634" t="s">
        <v>88</v>
      </c>
      <c r="J383" s="1634">
        <v>40.04</v>
      </c>
      <c r="K383" s="1634">
        <v>40.049999999999997</v>
      </c>
      <c r="L383" s="1631" t="s">
        <v>5043</v>
      </c>
      <c r="M383" s="1637">
        <v>44635</v>
      </c>
    </row>
    <row r="384" spans="1:13" s="1378" customFormat="1" ht="42.75">
      <c r="A384" s="1634">
        <v>375</v>
      </c>
      <c r="B384" s="1635" t="s">
        <v>1024</v>
      </c>
      <c r="C384" s="1630" t="s">
        <v>4277</v>
      </c>
      <c r="D384" s="1631" t="s">
        <v>4279</v>
      </c>
      <c r="E384" s="1636" t="s">
        <v>4977</v>
      </c>
      <c r="F384" s="1629" t="s">
        <v>4927</v>
      </c>
      <c r="G384" s="1694">
        <v>72</v>
      </c>
      <c r="H384" s="1636" t="s">
        <v>1826</v>
      </c>
      <c r="I384" s="1634" t="s">
        <v>1034</v>
      </c>
      <c r="J384" s="1634">
        <v>40.04</v>
      </c>
      <c r="K384" s="1634">
        <v>40.049999999999997</v>
      </c>
      <c r="L384" s="1631" t="s">
        <v>5043</v>
      </c>
      <c r="M384" s="1637">
        <v>44635</v>
      </c>
    </row>
    <row r="385" spans="1:13" s="1378" customFormat="1" ht="42.75">
      <c r="A385" s="1634">
        <v>376</v>
      </c>
      <c r="B385" s="1635" t="s">
        <v>1024</v>
      </c>
      <c r="C385" s="1630" t="s">
        <v>4357</v>
      </c>
      <c r="D385" s="1631" t="s">
        <v>4359</v>
      </c>
      <c r="E385" s="1636" t="s">
        <v>4977</v>
      </c>
      <c r="F385" s="1629" t="s">
        <v>4927</v>
      </c>
      <c r="G385" s="1694">
        <v>87</v>
      </c>
      <c r="H385" s="1636" t="s">
        <v>1829</v>
      </c>
      <c r="I385" s="1634" t="s">
        <v>1012</v>
      </c>
      <c r="J385" s="1816"/>
      <c r="K385" s="1819">
        <v>98000</v>
      </c>
      <c r="L385" s="1631" t="s">
        <v>5043</v>
      </c>
      <c r="M385" s="1637">
        <v>44635</v>
      </c>
    </row>
    <row r="386" spans="1:13" s="1378" customFormat="1" ht="42.75">
      <c r="A386" s="1634">
        <v>377</v>
      </c>
      <c r="B386" s="1635" t="s">
        <v>1024</v>
      </c>
      <c r="C386" s="1630" t="s">
        <v>4357</v>
      </c>
      <c r="D386" s="1631" t="s">
        <v>4359</v>
      </c>
      <c r="E386" s="1636" t="s">
        <v>4977</v>
      </c>
      <c r="F386" s="1629" t="s">
        <v>4927</v>
      </c>
      <c r="G386" s="1694">
        <v>87</v>
      </c>
      <c r="H386" s="1636" t="s">
        <v>1829</v>
      </c>
      <c r="I386" s="1634" t="s">
        <v>1022</v>
      </c>
      <c r="J386" s="1816"/>
      <c r="K386" s="1819">
        <v>100800</v>
      </c>
      <c r="L386" s="1631" t="s">
        <v>5043</v>
      </c>
      <c r="M386" s="1637">
        <v>44635</v>
      </c>
    </row>
    <row r="387" spans="1:13" s="1378" customFormat="1" ht="42.75">
      <c r="A387" s="1634">
        <v>378</v>
      </c>
      <c r="B387" s="1635" t="s">
        <v>1024</v>
      </c>
      <c r="C387" s="1630" t="s">
        <v>4357</v>
      </c>
      <c r="D387" s="1631" t="s">
        <v>4359</v>
      </c>
      <c r="E387" s="1636" t="s">
        <v>4977</v>
      </c>
      <c r="F387" s="1629" t="s">
        <v>4927</v>
      </c>
      <c r="G387" s="1694">
        <v>87</v>
      </c>
      <c r="H387" s="1636" t="s">
        <v>1829</v>
      </c>
      <c r="I387" s="1634" t="s">
        <v>1027</v>
      </c>
      <c r="J387" s="1816"/>
      <c r="K387" s="1819">
        <v>102200</v>
      </c>
      <c r="L387" s="1631" t="s">
        <v>5043</v>
      </c>
      <c r="M387" s="1637">
        <v>44635</v>
      </c>
    </row>
    <row r="388" spans="1:13" s="1378" customFormat="1" ht="42.75">
      <c r="A388" s="1634">
        <v>379</v>
      </c>
      <c r="B388" s="1635" t="s">
        <v>1024</v>
      </c>
      <c r="C388" s="1630" t="s">
        <v>4357</v>
      </c>
      <c r="D388" s="1631" t="s">
        <v>4359</v>
      </c>
      <c r="E388" s="1636" t="s">
        <v>4977</v>
      </c>
      <c r="F388" s="1629" t="s">
        <v>4927</v>
      </c>
      <c r="G388" s="1694">
        <v>87</v>
      </c>
      <c r="H388" s="1636" t="s">
        <v>1829</v>
      </c>
      <c r="I388" s="1634" t="s">
        <v>88</v>
      </c>
      <c r="J388" s="1816"/>
      <c r="K388" s="1819">
        <v>103600</v>
      </c>
      <c r="L388" s="1631" t="s">
        <v>5043</v>
      </c>
      <c r="M388" s="1637">
        <v>44635</v>
      </c>
    </row>
    <row r="389" spans="1:13" s="1378" customFormat="1" ht="42.75">
      <c r="A389" s="1634">
        <v>380</v>
      </c>
      <c r="B389" s="1635" t="s">
        <v>1024</v>
      </c>
      <c r="C389" s="1630" t="s">
        <v>4357</v>
      </c>
      <c r="D389" s="1631" t="s">
        <v>4359</v>
      </c>
      <c r="E389" s="1636" t="s">
        <v>4977</v>
      </c>
      <c r="F389" s="1629" t="s">
        <v>4927</v>
      </c>
      <c r="G389" s="1694">
        <v>87</v>
      </c>
      <c r="H389" s="1636" t="s">
        <v>1829</v>
      </c>
      <c r="I389" s="1634" t="s">
        <v>1034</v>
      </c>
      <c r="J389" s="1816"/>
      <c r="K389" s="1819">
        <v>105000</v>
      </c>
      <c r="L389" s="1631" t="s">
        <v>5043</v>
      </c>
      <c r="M389" s="1637">
        <v>44635</v>
      </c>
    </row>
    <row r="390" spans="1:13" s="1378" customFormat="1" ht="42.75">
      <c r="A390" s="1634">
        <v>381</v>
      </c>
      <c r="B390" s="1635" t="s">
        <v>1024</v>
      </c>
      <c r="C390" s="1630" t="s">
        <v>4357</v>
      </c>
      <c r="D390" s="1631" t="s">
        <v>4359</v>
      </c>
      <c r="E390" s="1636" t="s">
        <v>4977</v>
      </c>
      <c r="F390" s="1629" t="s">
        <v>4927</v>
      </c>
      <c r="G390" s="1694">
        <v>17</v>
      </c>
      <c r="H390" s="1636" t="s">
        <v>988</v>
      </c>
      <c r="I390" s="1634" t="s">
        <v>1079</v>
      </c>
      <c r="J390" s="1816"/>
      <c r="K390" s="1817" t="s">
        <v>1008</v>
      </c>
      <c r="L390" s="1631" t="s">
        <v>5043</v>
      </c>
      <c r="M390" s="1637">
        <v>44635</v>
      </c>
    </row>
    <row r="391" spans="1:13" s="1378" customFormat="1" ht="28.5">
      <c r="A391" s="1634">
        <v>382</v>
      </c>
      <c r="B391" s="1635" t="s">
        <v>1057</v>
      </c>
      <c r="C391" s="1630" t="s">
        <v>4740</v>
      </c>
      <c r="D391" s="1631" t="s">
        <v>4741</v>
      </c>
      <c r="E391" s="1636" t="s">
        <v>4926</v>
      </c>
      <c r="F391" s="1629" t="s">
        <v>4927</v>
      </c>
      <c r="G391" s="1634">
        <v>22</v>
      </c>
      <c r="H391" s="1636" t="s">
        <v>115</v>
      </c>
      <c r="I391" s="1634" t="s">
        <v>1079</v>
      </c>
      <c r="J391" s="1653">
        <v>1</v>
      </c>
      <c r="K391" s="1634">
        <v>3</v>
      </c>
      <c r="L391" s="1631" t="s">
        <v>5073</v>
      </c>
      <c r="M391" s="1637">
        <v>44636</v>
      </c>
    </row>
    <row r="392" spans="1:13" s="1378" customFormat="1" ht="42.75">
      <c r="A392" s="1634">
        <v>383</v>
      </c>
      <c r="B392" s="1635" t="s">
        <v>1015</v>
      </c>
      <c r="C392" s="1630" t="s">
        <v>2109</v>
      </c>
      <c r="D392" s="1631" t="s">
        <v>2110</v>
      </c>
      <c r="E392" s="1636" t="s">
        <v>4977</v>
      </c>
      <c r="F392" s="1629" t="s">
        <v>4927</v>
      </c>
      <c r="G392" s="1694">
        <v>41</v>
      </c>
      <c r="H392" s="1636" t="s">
        <v>4938</v>
      </c>
      <c r="I392" s="1634" t="s">
        <v>1012</v>
      </c>
      <c r="J392" s="1817">
        <v>0</v>
      </c>
      <c r="K392" s="1817"/>
      <c r="L392" s="1631" t="s">
        <v>5074</v>
      </c>
      <c r="M392" s="1637">
        <v>44636</v>
      </c>
    </row>
    <row r="393" spans="1:13" s="1378" customFormat="1" ht="42.75">
      <c r="A393" s="1634">
        <v>384</v>
      </c>
      <c r="B393" s="1635" t="s">
        <v>1015</v>
      </c>
      <c r="C393" s="1630" t="s">
        <v>2109</v>
      </c>
      <c r="D393" s="1631" t="s">
        <v>2110</v>
      </c>
      <c r="E393" s="1636" t="s">
        <v>4977</v>
      </c>
      <c r="F393" s="1629" t="s">
        <v>4927</v>
      </c>
      <c r="G393" s="1694">
        <v>41</v>
      </c>
      <c r="H393" s="1636" t="s">
        <v>4938</v>
      </c>
      <c r="I393" s="1634" t="s">
        <v>1022</v>
      </c>
      <c r="J393" s="1817">
        <v>0</v>
      </c>
      <c r="K393" s="1817"/>
      <c r="L393" s="1631" t="s">
        <v>5074</v>
      </c>
      <c r="M393" s="1637">
        <v>44636</v>
      </c>
    </row>
    <row r="394" spans="1:13" s="1378" customFormat="1" ht="42.75">
      <c r="A394" s="1634">
        <v>385</v>
      </c>
      <c r="B394" s="1635" t="s">
        <v>1015</v>
      </c>
      <c r="C394" s="1630" t="s">
        <v>2109</v>
      </c>
      <c r="D394" s="1631" t="s">
        <v>2110</v>
      </c>
      <c r="E394" s="1636" t="s">
        <v>4977</v>
      </c>
      <c r="F394" s="1629" t="s">
        <v>4927</v>
      </c>
      <c r="G394" s="1694">
        <v>41</v>
      </c>
      <c r="H394" s="1636" t="s">
        <v>4938</v>
      </c>
      <c r="I394" s="1634" t="s">
        <v>1027</v>
      </c>
      <c r="J394" s="1817">
        <v>0</v>
      </c>
      <c r="K394" s="1817"/>
      <c r="L394" s="1631" t="s">
        <v>5074</v>
      </c>
      <c r="M394" s="1637">
        <v>44636</v>
      </c>
    </row>
    <row r="395" spans="1:13" s="1378" customFormat="1" ht="42.75">
      <c r="A395" s="1634">
        <v>386</v>
      </c>
      <c r="B395" s="1635" t="s">
        <v>1015</v>
      </c>
      <c r="C395" s="1630" t="s">
        <v>2109</v>
      </c>
      <c r="D395" s="1631" t="s">
        <v>2110</v>
      </c>
      <c r="E395" s="1636" t="s">
        <v>4977</v>
      </c>
      <c r="F395" s="1629" t="s">
        <v>4927</v>
      </c>
      <c r="G395" s="1694">
        <v>41</v>
      </c>
      <c r="H395" s="1636" t="s">
        <v>4938</v>
      </c>
      <c r="I395" s="1634" t="s">
        <v>88</v>
      </c>
      <c r="J395" s="1817">
        <v>0</v>
      </c>
      <c r="K395" s="1817"/>
      <c r="L395" s="1631" t="s">
        <v>5074</v>
      </c>
      <c r="M395" s="1637">
        <v>44636</v>
      </c>
    </row>
    <row r="396" spans="1:13" s="1378" customFormat="1" ht="42.75">
      <c r="A396" s="1634">
        <v>387</v>
      </c>
      <c r="B396" s="1635" t="s">
        <v>1015</v>
      </c>
      <c r="C396" s="1630" t="s">
        <v>2109</v>
      </c>
      <c r="D396" s="1631" t="s">
        <v>2110</v>
      </c>
      <c r="E396" s="1636" t="s">
        <v>4977</v>
      </c>
      <c r="F396" s="1629" t="s">
        <v>4927</v>
      </c>
      <c r="G396" s="1694">
        <v>41</v>
      </c>
      <c r="H396" s="1636" t="s">
        <v>4938</v>
      </c>
      <c r="I396" s="1634" t="s">
        <v>1034</v>
      </c>
      <c r="J396" s="1817">
        <v>0</v>
      </c>
      <c r="K396" s="1817"/>
      <c r="L396" s="1631" t="s">
        <v>5074</v>
      </c>
      <c r="M396" s="1637">
        <v>44636</v>
      </c>
    </row>
    <row r="397" spans="1:13" s="1378" customFormat="1" ht="42.75">
      <c r="A397" s="1634">
        <v>388</v>
      </c>
      <c r="B397" s="1635" t="s">
        <v>1015</v>
      </c>
      <c r="C397" s="1630" t="s">
        <v>2109</v>
      </c>
      <c r="D397" s="1631" t="s">
        <v>2110</v>
      </c>
      <c r="E397" s="1636" t="s">
        <v>4977</v>
      </c>
      <c r="F397" s="1629" t="s">
        <v>4927</v>
      </c>
      <c r="G397" s="1694">
        <v>72</v>
      </c>
      <c r="H397" s="1636" t="s">
        <v>1826</v>
      </c>
      <c r="I397" s="1634" t="s">
        <v>1012</v>
      </c>
      <c r="J397" s="1817">
        <v>648</v>
      </c>
      <c r="K397" s="1817"/>
      <c r="L397" s="1631" t="s">
        <v>5074</v>
      </c>
      <c r="M397" s="1637">
        <v>44636</v>
      </c>
    </row>
    <row r="398" spans="1:13" s="1378" customFormat="1" ht="42.75">
      <c r="A398" s="1634">
        <v>389</v>
      </c>
      <c r="B398" s="1635" t="s">
        <v>1015</v>
      </c>
      <c r="C398" s="1630" t="s">
        <v>2109</v>
      </c>
      <c r="D398" s="1631" t="s">
        <v>2110</v>
      </c>
      <c r="E398" s="1636" t="s">
        <v>4977</v>
      </c>
      <c r="F398" s="1629" t="s">
        <v>4927</v>
      </c>
      <c r="G398" s="1694">
        <v>72</v>
      </c>
      <c r="H398" s="1636" t="s">
        <v>1826</v>
      </c>
      <c r="I398" s="1634" t="s">
        <v>1022</v>
      </c>
      <c r="J398" s="1817">
        <v>648</v>
      </c>
      <c r="K398" s="1817"/>
      <c r="L398" s="1631" t="s">
        <v>5074</v>
      </c>
      <c r="M398" s="1637">
        <v>44636</v>
      </c>
    </row>
    <row r="399" spans="1:13" s="1378" customFormat="1" ht="42.75">
      <c r="A399" s="1634">
        <v>390</v>
      </c>
      <c r="B399" s="1635" t="s">
        <v>1015</v>
      </c>
      <c r="C399" s="1630" t="s">
        <v>2109</v>
      </c>
      <c r="D399" s="1631" t="s">
        <v>2110</v>
      </c>
      <c r="E399" s="1636" t="s">
        <v>4977</v>
      </c>
      <c r="F399" s="1629" t="s">
        <v>4927</v>
      </c>
      <c r="G399" s="1694">
        <v>72</v>
      </c>
      <c r="H399" s="1636" t="s">
        <v>1826</v>
      </c>
      <c r="I399" s="1634" t="s">
        <v>1027</v>
      </c>
      <c r="J399" s="1817">
        <v>648</v>
      </c>
      <c r="K399" s="1817"/>
      <c r="L399" s="1631" t="s">
        <v>5074</v>
      </c>
      <c r="M399" s="1637">
        <v>44636</v>
      </c>
    </row>
    <row r="400" spans="1:13" s="1378" customFormat="1" ht="42.75">
      <c r="A400" s="1634">
        <v>391</v>
      </c>
      <c r="B400" s="1635" t="s">
        <v>1015</v>
      </c>
      <c r="C400" s="1630" t="s">
        <v>2109</v>
      </c>
      <c r="D400" s="1631" t="s">
        <v>2110</v>
      </c>
      <c r="E400" s="1636" t="s">
        <v>4977</v>
      </c>
      <c r="F400" s="1629" t="s">
        <v>4927</v>
      </c>
      <c r="G400" s="1694">
        <v>72</v>
      </c>
      <c r="H400" s="1636" t="s">
        <v>1826</v>
      </c>
      <c r="I400" s="1634" t="s">
        <v>88</v>
      </c>
      <c r="J400" s="1817">
        <v>648</v>
      </c>
      <c r="K400" s="1817"/>
      <c r="L400" s="1631" t="s">
        <v>5074</v>
      </c>
      <c r="M400" s="1637">
        <v>44636</v>
      </c>
    </row>
    <row r="401" spans="1:13" s="1378" customFormat="1" ht="42.75">
      <c r="A401" s="1634">
        <v>392</v>
      </c>
      <c r="B401" s="1635" t="s">
        <v>1015</v>
      </c>
      <c r="C401" s="1630" t="s">
        <v>2109</v>
      </c>
      <c r="D401" s="1631" t="s">
        <v>2110</v>
      </c>
      <c r="E401" s="1636" t="s">
        <v>4977</v>
      </c>
      <c r="F401" s="1629" t="s">
        <v>4927</v>
      </c>
      <c r="G401" s="1694">
        <v>72</v>
      </c>
      <c r="H401" s="1636" t="s">
        <v>1826</v>
      </c>
      <c r="I401" s="1634" t="s">
        <v>1034</v>
      </c>
      <c r="J401" s="1817">
        <v>648</v>
      </c>
      <c r="K401" s="1817"/>
      <c r="L401" s="1631" t="s">
        <v>5074</v>
      </c>
      <c r="M401" s="1637">
        <v>44636</v>
      </c>
    </row>
    <row r="402" spans="1:13" s="1378" customFormat="1" ht="42.75">
      <c r="A402" s="1634">
        <v>393</v>
      </c>
      <c r="B402" s="1635" t="s">
        <v>1015</v>
      </c>
      <c r="C402" s="1630" t="s">
        <v>2109</v>
      </c>
      <c r="D402" s="1631" t="s">
        <v>2110</v>
      </c>
      <c r="E402" s="1636" t="s">
        <v>4977</v>
      </c>
      <c r="F402" s="1629" t="s">
        <v>4927</v>
      </c>
      <c r="G402" s="1694">
        <v>87</v>
      </c>
      <c r="H402" s="1636" t="s">
        <v>1829</v>
      </c>
      <c r="I402" s="1634" t="s">
        <v>1012</v>
      </c>
      <c r="J402" s="1817">
        <v>-1848</v>
      </c>
      <c r="K402" s="1817"/>
      <c r="L402" s="1631" t="s">
        <v>5074</v>
      </c>
      <c r="M402" s="1637">
        <v>44636</v>
      </c>
    </row>
    <row r="403" spans="1:13" s="1378" customFormat="1" ht="42.75">
      <c r="A403" s="1634">
        <v>394</v>
      </c>
      <c r="B403" s="1635" t="s">
        <v>1015</v>
      </c>
      <c r="C403" s="1630" t="s">
        <v>2109</v>
      </c>
      <c r="D403" s="1631" t="s">
        <v>2110</v>
      </c>
      <c r="E403" s="1636" t="s">
        <v>4977</v>
      </c>
      <c r="F403" s="1629" t="s">
        <v>4927</v>
      </c>
      <c r="G403" s="1694">
        <v>87</v>
      </c>
      <c r="H403" s="1636" t="s">
        <v>1829</v>
      </c>
      <c r="I403" s="1634" t="s">
        <v>1022</v>
      </c>
      <c r="J403" s="1817">
        <v>-1848</v>
      </c>
      <c r="K403" s="1817"/>
      <c r="L403" s="1631" t="s">
        <v>5074</v>
      </c>
      <c r="M403" s="1637">
        <v>44636</v>
      </c>
    </row>
    <row r="404" spans="1:13" s="1378" customFormat="1" ht="42.75">
      <c r="A404" s="1634">
        <v>395</v>
      </c>
      <c r="B404" s="1635" t="s">
        <v>1015</v>
      </c>
      <c r="C404" s="1630" t="s">
        <v>2109</v>
      </c>
      <c r="D404" s="1631" t="s">
        <v>2110</v>
      </c>
      <c r="E404" s="1636" t="s">
        <v>4977</v>
      </c>
      <c r="F404" s="1629" t="s">
        <v>4927</v>
      </c>
      <c r="G404" s="1694">
        <v>87</v>
      </c>
      <c r="H404" s="1636" t="s">
        <v>1829</v>
      </c>
      <c r="I404" s="1634" t="s">
        <v>1027</v>
      </c>
      <c r="J404" s="1817">
        <v>-1848</v>
      </c>
      <c r="K404" s="1817"/>
      <c r="L404" s="1631" t="s">
        <v>5074</v>
      </c>
      <c r="M404" s="1637">
        <v>44636</v>
      </c>
    </row>
    <row r="405" spans="1:13" s="1378" customFormat="1" ht="42.75">
      <c r="A405" s="1634">
        <v>396</v>
      </c>
      <c r="B405" s="1635" t="s">
        <v>1015</v>
      </c>
      <c r="C405" s="1630" t="s">
        <v>2109</v>
      </c>
      <c r="D405" s="1631" t="s">
        <v>2110</v>
      </c>
      <c r="E405" s="1636" t="s">
        <v>4977</v>
      </c>
      <c r="F405" s="1629" t="s">
        <v>4927</v>
      </c>
      <c r="G405" s="1694">
        <v>87</v>
      </c>
      <c r="H405" s="1636" t="s">
        <v>1829</v>
      </c>
      <c r="I405" s="1634" t="s">
        <v>88</v>
      </c>
      <c r="J405" s="1817">
        <v>-1848</v>
      </c>
      <c r="K405" s="1817"/>
      <c r="L405" s="1631" t="s">
        <v>5074</v>
      </c>
      <c r="M405" s="1637">
        <v>44636</v>
      </c>
    </row>
    <row r="406" spans="1:13" s="1378" customFormat="1" ht="42.75">
      <c r="A406" s="1634">
        <v>397</v>
      </c>
      <c r="B406" s="1635" t="s">
        <v>1015</v>
      </c>
      <c r="C406" s="1630" t="s">
        <v>2109</v>
      </c>
      <c r="D406" s="1631" t="s">
        <v>2110</v>
      </c>
      <c r="E406" s="1636" t="s">
        <v>4977</v>
      </c>
      <c r="F406" s="1629" t="s">
        <v>4927</v>
      </c>
      <c r="G406" s="1694">
        <v>87</v>
      </c>
      <c r="H406" s="1636" t="s">
        <v>1829</v>
      </c>
      <c r="I406" s="1634" t="s">
        <v>1034</v>
      </c>
      <c r="J406" s="1817">
        <v>-1848</v>
      </c>
      <c r="K406" s="1817"/>
      <c r="L406" s="1631" t="s">
        <v>5074</v>
      </c>
      <c r="M406" s="1637">
        <v>44636</v>
      </c>
    </row>
    <row r="407" spans="1:13" s="1378" customFormat="1" ht="42.75">
      <c r="A407" s="1634">
        <v>398</v>
      </c>
      <c r="B407" s="1635" t="s">
        <v>1015</v>
      </c>
      <c r="C407" s="1630" t="s">
        <v>2109</v>
      </c>
      <c r="D407" s="1631" t="s">
        <v>2110</v>
      </c>
      <c r="E407" s="1636" t="s">
        <v>4977</v>
      </c>
      <c r="F407" s="1629" t="s">
        <v>4927</v>
      </c>
      <c r="G407" s="1694">
        <v>97</v>
      </c>
      <c r="H407" s="1636" t="s">
        <v>1876</v>
      </c>
      <c r="I407" s="1634" t="s">
        <v>924</v>
      </c>
      <c r="J407" s="1817">
        <v>-1.1980000000000001E-3</v>
      </c>
      <c r="K407" s="1817"/>
      <c r="L407" s="1631" t="s">
        <v>5074</v>
      </c>
      <c r="M407" s="1637">
        <v>44636</v>
      </c>
    </row>
    <row r="408" spans="1:13" s="1378" customFormat="1" ht="42.75">
      <c r="A408" s="1634">
        <v>399</v>
      </c>
      <c r="B408" s="1635" t="s">
        <v>1015</v>
      </c>
      <c r="C408" s="1630" t="s">
        <v>2109</v>
      </c>
      <c r="D408" s="1631" t="s">
        <v>2110</v>
      </c>
      <c r="E408" s="1636" t="s">
        <v>4977</v>
      </c>
      <c r="F408" s="1629" t="s">
        <v>4927</v>
      </c>
      <c r="G408" s="1694">
        <v>101</v>
      </c>
      <c r="H408" s="1636" t="s">
        <v>1880</v>
      </c>
      <c r="I408" s="1634" t="s">
        <v>924</v>
      </c>
      <c r="J408" s="1817">
        <v>4.2000000000000002E-4</v>
      </c>
      <c r="K408" s="1817"/>
      <c r="L408" s="1631" t="s">
        <v>5074</v>
      </c>
      <c r="M408" s="1637">
        <v>44636</v>
      </c>
    </row>
    <row r="409" spans="1:13" s="1378" customFormat="1" ht="42.75">
      <c r="A409" s="1634">
        <v>400</v>
      </c>
      <c r="B409" s="1635" t="s">
        <v>1078</v>
      </c>
      <c r="C409" s="1630" t="s">
        <v>3351</v>
      </c>
      <c r="D409" s="1631" t="s">
        <v>5075</v>
      </c>
      <c r="E409" s="1636" t="s">
        <v>4977</v>
      </c>
      <c r="F409" s="1629" t="s">
        <v>4927</v>
      </c>
      <c r="G409" s="1694">
        <v>23</v>
      </c>
      <c r="H409" s="1636" t="s">
        <v>1175</v>
      </c>
      <c r="I409" s="1634" t="s">
        <v>924</v>
      </c>
      <c r="J409" s="1634" t="s">
        <v>1010</v>
      </c>
      <c r="K409" s="1634" t="s">
        <v>1020</v>
      </c>
      <c r="L409" s="1631" t="s">
        <v>5076</v>
      </c>
      <c r="M409" s="1637">
        <v>44649</v>
      </c>
    </row>
    <row r="410" spans="1:13" s="1378" customFormat="1" ht="57">
      <c r="A410" s="1943">
        <f>A409+1</f>
        <v>401</v>
      </c>
      <c r="B410" s="1944" t="s">
        <v>1032</v>
      </c>
      <c r="C410" s="1944" t="s">
        <v>2678</v>
      </c>
      <c r="D410" s="1945" t="s">
        <v>2680</v>
      </c>
      <c r="E410" s="1945" t="s">
        <v>5077</v>
      </c>
      <c r="F410" s="1943" t="s">
        <v>4927</v>
      </c>
      <c r="G410" s="1946">
        <v>23</v>
      </c>
      <c r="H410" s="1945" t="s">
        <v>1175</v>
      </c>
      <c r="I410" s="1943" t="s">
        <v>924</v>
      </c>
      <c r="J410" s="1943" t="s">
        <v>1020</v>
      </c>
      <c r="K410" s="1943" t="s">
        <v>1010</v>
      </c>
      <c r="L410" s="1945" t="s">
        <v>5078</v>
      </c>
      <c r="M410" s="1947">
        <v>44900</v>
      </c>
    </row>
    <row r="411" spans="1:13" s="1378" customFormat="1" ht="57">
      <c r="A411" s="1943">
        <f t="shared" ref="A411:A427" si="0">A410+1</f>
        <v>402</v>
      </c>
      <c r="B411" s="1944" t="s">
        <v>1036</v>
      </c>
      <c r="C411" s="1944" t="s">
        <v>3552</v>
      </c>
      <c r="D411" s="1945" t="s">
        <v>3554</v>
      </c>
      <c r="E411" s="1945" t="s">
        <v>5077</v>
      </c>
      <c r="F411" s="1943" t="s">
        <v>4927</v>
      </c>
      <c r="G411" s="1946">
        <v>62</v>
      </c>
      <c r="H411" s="1945" t="s">
        <v>1001</v>
      </c>
      <c r="I411" s="1946" t="s">
        <v>5079</v>
      </c>
      <c r="J411" s="1943" t="s">
        <v>168</v>
      </c>
      <c r="K411" s="1943" t="s">
        <v>4929</v>
      </c>
      <c r="L411" s="1945" t="s">
        <v>5080</v>
      </c>
      <c r="M411" s="1947">
        <v>44900</v>
      </c>
    </row>
    <row r="412" spans="1:13" s="1378" customFormat="1" ht="85.5">
      <c r="A412" s="1943">
        <f t="shared" si="0"/>
        <v>403</v>
      </c>
      <c r="B412" s="1944" t="s">
        <v>5051</v>
      </c>
      <c r="C412" s="1944" t="s">
        <v>2341</v>
      </c>
      <c r="D412" s="1945" t="s">
        <v>2343</v>
      </c>
      <c r="E412" s="1959" t="s">
        <v>5081</v>
      </c>
      <c r="F412" s="1943" t="s">
        <v>4927</v>
      </c>
      <c r="G412" s="1946">
        <v>62</v>
      </c>
      <c r="H412" s="1945" t="s">
        <v>1001</v>
      </c>
      <c r="I412" s="1946" t="s">
        <v>5079</v>
      </c>
      <c r="J412" s="1943" t="s">
        <v>4929</v>
      </c>
      <c r="K412" s="1943" t="s">
        <v>168</v>
      </c>
      <c r="L412" s="1945" t="s">
        <v>5082</v>
      </c>
      <c r="M412" s="1947">
        <v>44900</v>
      </c>
    </row>
    <row r="413" spans="1:13" s="1378" customFormat="1" ht="85.5">
      <c r="A413" s="1957">
        <f t="shared" si="0"/>
        <v>404</v>
      </c>
      <c r="B413" s="1958" t="s">
        <v>1032</v>
      </c>
      <c r="C413" s="1944" t="s">
        <v>2678</v>
      </c>
      <c r="D413" s="1945" t="s">
        <v>2680</v>
      </c>
      <c r="E413" s="1959" t="s">
        <v>5081</v>
      </c>
      <c r="F413" s="1943" t="s">
        <v>4927</v>
      </c>
      <c r="G413" s="1946">
        <v>62</v>
      </c>
      <c r="H413" s="1945" t="s">
        <v>1001</v>
      </c>
      <c r="I413" s="1946" t="s">
        <v>5079</v>
      </c>
      <c r="J413" s="1943" t="s">
        <v>4929</v>
      </c>
      <c r="K413" s="1943" t="s">
        <v>168</v>
      </c>
      <c r="L413" s="1945" t="s">
        <v>5083</v>
      </c>
      <c r="M413" s="1947">
        <v>44914</v>
      </c>
    </row>
    <row r="414" spans="1:13" s="1378" customFormat="1" ht="85.5">
      <c r="A414" s="1957">
        <f t="shared" si="0"/>
        <v>405</v>
      </c>
      <c r="B414" s="1958" t="s">
        <v>5052</v>
      </c>
      <c r="C414" s="1958" t="s">
        <v>2913</v>
      </c>
      <c r="D414" s="1959" t="s">
        <v>2915</v>
      </c>
      <c r="E414" s="1959" t="s">
        <v>5081</v>
      </c>
      <c r="F414" s="1957" t="s">
        <v>4927</v>
      </c>
      <c r="G414" s="1960">
        <v>62</v>
      </c>
      <c r="H414" s="1959" t="s">
        <v>1001</v>
      </c>
      <c r="I414" s="1960" t="s">
        <v>5079</v>
      </c>
      <c r="J414" s="1957" t="s">
        <v>4929</v>
      </c>
      <c r="K414" s="1957" t="s">
        <v>168</v>
      </c>
      <c r="L414" s="1959" t="s">
        <v>5084</v>
      </c>
      <c r="M414" s="1961">
        <v>44914</v>
      </c>
    </row>
    <row r="415" spans="1:13" s="1378" customFormat="1" ht="85.5">
      <c r="A415" s="1957">
        <f t="shared" si="0"/>
        <v>406</v>
      </c>
      <c r="B415" s="1958" t="s">
        <v>1038</v>
      </c>
      <c r="C415" s="1958" t="s">
        <v>3118</v>
      </c>
      <c r="D415" s="1959" t="s">
        <v>3121</v>
      </c>
      <c r="E415" s="1959" t="s">
        <v>5081</v>
      </c>
      <c r="F415" s="1957" t="s">
        <v>4927</v>
      </c>
      <c r="G415" s="1960">
        <v>62</v>
      </c>
      <c r="H415" s="1959" t="s">
        <v>1001</v>
      </c>
      <c r="I415" s="1960" t="s">
        <v>5079</v>
      </c>
      <c r="J415" s="1957" t="s">
        <v>4929</v>
      </c>
      <c r="K415" s="1957" t="s">
        <v>168</v>
      </c>
      <c r="L415" s="1959" t="s">
        <v>5085</v>
      </c>
      <c r="M415" s="1961">
        <v>44914</v>
      </c>
    </row>
    <row r="416" spans="1:13" s="1378" customFormat="1" ht="85.5">
      <c r="A416" s="1957">
        <f t="shared" si="0"/>
        <v>407</v>
      </c>
      <c r="B416" s="1958" t="s">
        <v>1038</v>
      </c>
      <c r="C416" s="1958" t="s">
        <v>3287</v>
      </c>
      <c r="D416" s="1959" t="s">
        <v>3289</v>
      </c>
      <c r="E416" s="1959" t="s">
        <v>5081</v>
      </c>
      <c r="F416" s="1957" t="s">
        <v>4927</v>
      </c>
      <c r="G416" s="1960">
        <v>62</v>
      </c>
      <c r="H416" s="1959" t="s">
        <v>1001</v>
      </c>
      <c r="I416" s="1960" t="s">
        <v>5079</v>
      </c>
      <c r="J416" s="1957" t="s">
        <v>4929</v>
      </c>
      <c r="K416" s="1957" t="s">
        <v>168</v>
      </c>
      <c r="L416" s="1945" t="s">
        <v>5086</v>
      </c>
      <c r="M416" s="1961">
        <v>44914</v>
      </c>
    </row>
    <row r="417" spans="1:13" s="1378" customFormat="1" ht="85.5">
      <c r="A417" s="1957">
        <f t="shared" si="0"/>
        <v>408</v>
      </c>
      <c r="B417" s="1958" t="s">
        <v>1078</v>
      </c>
      <c r="C417" s="1958" t="s">
        <v>3398</v>
      </c>
      <c r="D417" s="1959" t="s">
        <v>3400</v>
      </c>
      <c r="E417" s="1959" t="s">
        <v>5081</v>
      </c>
      <c r="F417" s="1957" t="s">
        <v>4927</v>
      </c>
      <c r="G417" s="1960">
        <v>62</v>
      </c>
      <c r="H417" s="1959" t="s">
        <v>1001</v>
      </c>
      <c r="I417" s="1960" t="s">
        <v>5079</v>
      </c>
      <c r="J417" s="1957" t="s">
        <v>4929</v>
      </c>
      <c r="K417" s="1957" t="s">
        <v>168</v>
      </c>
      <c r="L417" s="1959" t="s">
        <v>5087</v>
      </c>
      <c r="M417" s="1961">
        <v>44914</v>
      </c>
    </row>
    <row r="418" spans="1:13" s="1378" customFormat="1" ht="85.5">
      <c r="A418" s="1957">
        <f t="shared" si="0"/>
        <v>409</v>
      </c>
      <c r="B418" s="1958" t="s">
        <v>1036</v>
      </c>
      <c r="C418" s="1958" t="s">
        <v>3556</v>
      </c>
      <c r="D418" s="1959" t="s">
        <v>3558</v>
      </c>
      <c r="E418" s="1959" t="s">
        <v>5081</v>
      </c>
      <c r="F418" s="1957" t="s">
        <v>4927</v>
      </c>
      <c r="G418" s="1960">
        <v>62</v>
      </c>
      <c r="H418" s="1959" t="s">
        <v>1001</v>
      </c>
      <c r="I418" s="1960" t="s">
        <v>5079</v>
      </c>
      <c r="J418" s="1957" t="s">
        <v>4929</v>
      </c>
      <c r="K418" s="1957" t="s">
        <v>168</v>
      </c>
      <c r="L418" s="1959" t="s">
        <v>5088</v>
      </c>
      <c r="M418" s="1961">
        <v>44914</v>
      </c>
    </row>
    <row r="419" spans="1:13" s="1378" customFormat="1" ht="85.5">
      <c r="A419" s="1957">
        <f t="shared" si="0"/>
        <v>410</v>
      </c>
      <c r="B419" s="1958" t="s">
        <v>1045</v>
      </c>
      <c r="C419" s="1958" t="s">
        <v>3817</v>
      </c>
      <c r="D419" s="1959" t="s">
        <v>3819</v>
      </c>
      <c r="E419" s="1959" t="s">
        <v>5081</v>
      </c>
      <c r="F419" s="1957" t="s">
        <v>4927</v>
      </c>
      <c r="G419" s="1960">
        <v>62</v>
      </c>
      <c r="H419" s="1959" t="s">
        <v>1001</v>
      </c>
      <c r="I419" s="1960" t="s">
        <v>5079</v>
      </c>
      <c r="J419" s="1957" t="s">
        <v>4929</v>
      </c>
      <c r="K419" s="1957" t="s">
        <v>168</v>
      </c>
      <c r="L419" s="1959" t="s">
        <v>5089</v>
      </c>
      <c r="M419" s="1961">
        <v>44914</v>
      </c>
    </row>
    <row r="420" spans="1:13" s="1378" customFormat="1" ht="85.5">
      <c r="A420" s="1957">
        <f t="shared" si="0"/>
        <v>411</v>
      </c>
      <c r="B420" s="1958" t="s">
        <v>1050</v>
      </c>
      <c r="C420" s="1958" t="s">
        <v>4039</v>
      </c>
      <c r="D420" s="1959" t="s">
        <v>4041</v>
      </c>
      <c r="E420" s="1959" t="s">
        <v>5081</v>
      </c>
      <c r="F420" s="1957" t="s">
        <v>4927</v>
      </c>
      <c r="G420" s="1960">
        <v>62</v>
      </c>
      <c r="H420" s="1959" t="s">
        <v>1001</v>
      </c>
      <c r="I420" s="1960" t="s">
        <v>5079</v>
      </c>
      <c r="J420" s="1957" t="s">
        <v>4929</v>
      </c>
      <c r="K420" s="1957" t="s">
        <v>168</v>
      </c>
      <c r="L420" s="1959" t="s">
        <v>5090</v>
      </c>
      <c r="M420" s="1961">
        <v>44914</v>
      </c>
    </row>
    <row r="421" spans="1:13" s="1378" customFormat="1" ht="85.5">
      <c r="A421" s="1957">
        <f t="shared" si="0"/>
        <v>412</v>
      </c>
      <c r="B421" s="1958" t="s">
        <v>1050</v>
      </c>
      <c r="C421" s="1958" t="s">
        <v>4068</v>
      </c>
      <c r="D421" s="1959" t="s">
        <v>4070</v>
      </c>
      <c r="E421" s="1959" t="s">
        <v>5081</v>
      </c>
      <c r="F421" s="1957" t="s">
        <v>4927</v>
      </c>
      <c r="G421" s="1960">
        <v>62</v>
      </c>
      <c r="H421" s="1959" t="s">
        <v>1001</v>
      </c>
      <c r="I421" s="1960" t="s">
        <v>5079</v>
      </c>
      <c r="J421" s="1957" t="s">
        <v>4929</v>
      </c>
      <c r="K421" s="1957" t="s">
        <v>168</v>
      </c>
      <c r="L421" s="1959" t="s">
        <v>5091</v>
      </c>
      <c r="M421" s="1961">
        <v>44914</v>
      </c>
    </row>
    <row r="422" spans="1:13" s="1378" customFormat="1" ht="85.5">
      <c r="A422" s="1957">
        <f t="shared" si="0"/>
        <v>413</v>
      </c>
      <c r="B422" s="1958" t="s">
        <v>1050</v>
      </c>
      <c r="C422" s="1958" t="s">
        <v>4146</v>
      </c>
      <c r="D422" s="1959" t="s">
        <v>4148</v>
      </c>
      <c r="E422" s="1959" t="s">
        <v>5081</v>
      </c>
      <c r="F422" s="1957" t="s">
        <v>4927</v>
      </c>
      <c r="G422" s="1960">
        <v>62</v>
      </c>
      <c r="H422" s="1959" t="s">
        <v>1001</v>
      </c>
      <c r="I422" s="1960" t="s">
        <v>5079</v>
      </c>
      <c r="J422" s="1957" t="s">
        <v>4929</v>
      </c>
      <c r="K422" s="1957" t="s">
        <v>168</v>
      </c>
      <c r="L422" s="1959" t="s">
        <v>5092</v>
      </c>
      <c r="M422" s="1961">
        <v>44914</v>
      </c>
    </row>
    <row r="423" spans="1:13" s="1378" customFormat="1" ht="85.5">
      <c r="A423" s="1957">
        <f t="shared" si="0"/>
        <v>414</v>
      </c>
      <c r="B423" s="1958" t="s">
        <v>1050</v>
      </c>
      <c r="C423" s="1958" t="s">
        <v>4073</v>
      </c>
      <c r="D423" s="1959" t="s">
        <v>4075</v>
      </c>
      <c r="E423" s="1959" t="s">
        <v>5081</v>
      </c>
      <c r="F423" s="1957" t="s">
        <v>4927</v>
      </c>
      <c r="G423" s="1960">
        <v>62</v>
      </c>
      <c r="H423" s="1959" t="s">
        <v>1001</v>
      </c>
      <c r="I423" s="1960" t="s">
        <v>5079</v>
      </c>
      <c r="J423" s="1957" t="s">
        <v>4929</v>
      </c>
      <c r="K423" s="1957" t="s">
        <v>168</v>
      </c>
      <c r="L423" s="1959" t="s">
        <v>5091</v>
      </c>
      <c r="M423" s="1961">
        <v>44914</v>
      </c>
    </row>
    <row r="424" spans="1:13" s="1378" customFormat="1" ht="85.5">
      <c r="A424" s="1957">
        <f t="shared" si="0"/>
        <v>415</v>
      </c>
      <c r="B424" s="1958" t="s">
        <v>1024</v>
      </c>
      <c r="C424" s="1958" t="s">
        <v>5093</v>
      </c>
      <c r="D424" s="1959" t="s">
        <v>4381</v>
      </c>
      <c r="E424" s="1959" t="s">
        <v>5081</v>
      </c>
      <c r="F424" s="1957" t="s">
        <v>4927</v>
      </c>
      <c r="G424" s="1960">
        <v>62</v>
      </c>
      <c r="H424" s="1959" t="s">
        <v>1001</v>
      </c>
      <c r="I424" s="1960" t="s">
        <v>5079</v>
      </c>
      <c r="J424" s="1957" t="s">
        <v>4929</v>
      </c>
      <c r="K424" s="1957" t="s">
        <v>168</v>
      </c>
      <c r="L424" s="1959" t="s">
        <v>5094</v>
      </c>
      <c r="M424" s="1961">
        <v>44914</v>
      </c>
    </row>
    <row r="425" spans="1:13" s="1378" customFormat="1" ht="85.5">
      <c r="A425" s="1957">
        <f t="shared" si="0"/>
        <v>416</v>
      </c>
      <c r="B425" s="1958" t="s">
        <v>1054</v>
      </c>
      <c r="C425" s="1958" t="s">
        <v>4480</v>
      </c>
      <c r="D425" s="1959" t="s">
        <v>4482</v>
      </c>
      <c r="E425" s="1959" t="s">
        <v>5081</v>
      </c>
      <c r="F425" s="1957" t="s">
        <v>4927</v>
      </c>
      <c r="G425" s="1960">
        <v>62</v>
      </c>
      <c r="H425" s="1959" t="s">
        <v>1001</v>
      </c>
      <c r="I425" s="1960" t="s">
        <v>5079</v>
      </c>
      <c r="J425" s="1957" t="s">
        <v>4929</v>
      </c>
      <c r="K425" s="1957" t="s">
        <v>168</v>
      </c>
      <c r="L425" s="1959" t="s">
        <v>5095</v>
      </c>
      <c r="M425" s="1961">
        <v>44914</v>
      </c>
    </row>
    <row r="426" spans="1:13" s="1378" customFormat="1" ht="85.5">
      <c r="A426" s="1957">
        <f t="shared" si="0"/>
        <v>417</v>
      </c>
      <c r="B426" s="1958" t="s">
        <v>1054</v>
      </c>
      <c r="C426" s="1958" t="s">
        <v>4500</v>
      </c>
      <c r="D426" s="1959" t="s">
        <v>4502</v>
      </c>
      <c r="E426" s="1959" t="s">
        <v>5081</v>
      </c>
      <c r="F426" s="1957" t="s">
        <v>4927</v>
      </c>
      <c r="G426" s="1960">
        <v>62</v>
      </c>
      <c r="H426" s="1959" t="s">
        <v>1001</v>
      </c>
      <c r="I426" s="1960" t="s">
        <v>5079</v>
      </c>
      <c r="J426" s="1957" t="s">
        <v>4929</v>
      </c>
      <c r="K426" s="1957" t="s">
        <v>168</v>
      </c>
      <c r="L426" s="1987" t="s">
        <v>5095</v>
      </c>
      <c r="M426" s="1961">
        <v>44914</v>
      </c>
    </row>
    <row r="427" spans="1:13" s="1378" customFormat="1" ht="28.5">
      <c r="A427" s="1957">
        <f t="shared" si="0"/>
        <v>418</v>
      </c>
      <c r="B427" s="1958" t="s">
        <v>1036</v>
      </c>
      <c r="C427" s="1958" t="s">
        <v>3543</v>
      </c>
      <c r="D427" s="1959" t="s">
        <v>3545</v>
      </c>
      <c r="E427" s="1959" t="s">
        <v>5096</v>
      </c>
      <c r="F427" s="1957" t="s">
        <v>4927</v>
      </c>
      <c r="G427" s="1960">
        <v>41</v>
      </c>
      <c r="H427" s="1959" t="s">
        <v>1823</v>
      </c>
      <c r="I427" s="1957" t="s">
        <v>1034</v>
      </c>
      <c r="J427" s="1988">
        <v>96</v>
      </c>
      <c r="K427" s="1988">
        <v>97.7</v>
      </c>
      <c r="L427" s="1989" t="s">
        <v>5097</v>
      </c>
      <c r="M427" s="1961">
        <v>44914</v>
      </c>
    </row>
    <row r="428" spans="1:13" s="1378" customFormat="1" ht="54">
      <c r="A428" s="1957">
        <f>A427+1</f>
        <v>419</v>
      </c>
      <c r="B428" s="1958" t="s">
        <v>1078</v>
      </c>
      <c r="C428" s="1958" t="s">
        <v>3398</v>
      </c>
      <c r="D428" s="1959" t="s">
        <v>3400</v>
      </c>
      <c r="E428" s="1959" t="s">
        <v>5096</v>
      </c>
      <c r="F428" s="1957" t="s">
        <v>4927</v>
      </c>
      <c r="G428" s="1960">
        <v>41</v>
      </c>
      <c r="H428" s="1959" t="s">
        <v>1823</v>
      </c>
      <c r="I428" s="1957" t="s">
        <v>88</v>
      </c>
      <c r="J428" s="1990">
        <v>100</v>
      </c>
      <c r="K428" s="1990">
        <v>55.1</v>
      </c>
      <c r="L428" s="2003" t="s">
        <v>5098</v>
      </c>
      <c r="M428" s="1961">
        <v>44914</v>
      </c>
    </row>
    <row r="429" spans="1:13" s="1378" customFormat="1" ht="28.5">
      <c r="A429" s="1957">
        <f t="shared" ref="A429:A491" si="1">A428+1</f>
        <v>420</v>
      </c>
      <c r="B429" s="1958" t="s">
        <v>1041</v>
      </c>
      <c r="C429" s="1958" t="s">
        <v>3717</v>
      </c>
      <c r="D429" s="1959" t="s">
        <v>3719</v>
      </c>
      <c r="E429" s="1959" t="s">
        <v>5096</v>
      </c>
      <c r="F429" s="1957" t="s">
        <v>4927</v>
      </c>
      <c r="G429" s="1960">
        <v>41</v>
      </c>
      <c r="H429" s="1959" t="s">
        <v>1823</v>
      </c>
      <c r="I429" s="1957" t="s">
        <v>1022</v>
      </c>
      <c r="J429" s="1995">
        <v>83209</v>
      </c>
      <c r="K429" s="1995">
        <v>84209</v>
      </c>
      <c r="L429" s="1989" t="s">
        <v>5097</v>
      </c>
      <c r="M429" s="1961">
        <v>44915</v>
      </c>
    </row>
    <row r="430" spans="1:13" s="1378" customFormat="1" ht="28.5">
      <c r="A430" s="1957">
        <f t="shared" si="1"/>
        <v>421</v>
      </c>
      <c r="B430" s="1958" t="s">
        <v>1041</v>
      </c>
      <c r="C430" s="1958" t="s">
        <v>3717</v>
      </c>
      <c r="D430" s="1959" t="s">
        <v>3719</v>
      </c>
      <c r="E430" s="1959" t="s">
        <v>5096</v>
      </c>
      <c r="F430" s="1957" t="s">
        <v>4927</v>
      </c>
      <c r="G430" s="1960">
        <v>41</v>
      </c>
      <c r="H430" s="1959" t="s">
        <v>1823</v>
      </c>
      <c r="I430" s="1957" t="s">
        <v>1027</v>
      </c>
      <c r="J430" s="1995">
        <v>93209</v>
      </c>
      <c r="K430" s="1995">
        <v>96209</v>
      </c>
      <c r="L430" s="1989" t="s">
        <v>5097</v>
      </c>
      <c r="M430" s="1961">
        <v>44915</v>
      </c>
    </row>
    <row r="431" spans="1:13" s="1378" customFormat="1" ht="28.5">
      <c r="A431" s="1957">
        <f t="shared" si="1"/>
        <v>422</v>
      </c>
      <c r="B431" s="1958" t="s">
        <v>1041</v>
      </c>
      <c r="C431" s="1958" t="s">
        <v>3717</v>
      </c>
      <c r="D431" s="1959" t="s">
        <v>3719</v>
      </c>
      <c r="E431" s="1959" t="s">
        <v>5096</v>
      </c>
      <c r="F431" s="1957" t="s">
        <v>4927</v>
      </c>
      <c r="G431" s="1960">
        <v>41</v>
      </c>
      <c r="H431" s="1959" t="s">
        <v>1823</v>
      </c>
      <c r="I431" s="1957" t="s">
        <v>88</v>
      </c>
      <c r="J431" s="1995">
        <v>103209</v>
      </c>
      <c r="K431" s="1995">
        <v>109209</v>
      </c>
      <c r="L431" s="1989" t="s">
        <v>5097</v>
      </c>
      <c r="M431" s="1961">
        <v>44915</v>
      </c>
    </row>
    <row r="432" spans="1:13" s="1378" customFormat="1" ht="28.5">
      <c r="A432" s="1957">
        <f t="shared" si="1"/>
        <v>423</v>
      </c>
      <c r="B432" s="1958" t="s">
        <v>1041</v>
      </c>
      <c r="C432" s="1958" t="s">
        <v>3717</v>
      </c>
      <c r="D432" s="1959" t="s">
        <v>3719</v>
      </c>
      <c r="E432" s="1959" t="s">
        <v>5096</v>
      </c>
      <c r="F432" s="1957" t="s">
        <v>4927</v>
      </c>
      <c r="G432" s="1960">
        <v>41</v>
      </c>
      <c r="H432" s="1959" t="s">
        <v>1823</v>
      </c>
      <c r="I432" s="1957" t="s">
        <v>1034</v>
      </c>
      <c r="J432" s="1995">
        <v>113209</v>
      </c>
      <c r="K432" s="1995">
        <v>123209</v>
      </c>
      <c r="L432" s="1989" t="s">
        <v>5097</v>
      </c>
      <c r="M432" s="1961">
        <v>44915</v>
      </c>
    </row>
    <row r="433" spans="1:13" s="1378" customFormat="1" ht="28.5">
      <c r="A433" s="1957">
        <f t="shared" si="1"/>
        <v>424</v>
      </c>
      <c r="B433" s="1958" t="s">
        <v>1041</v>
      </c>
      <c r="C433" s="1958" t="s">
        <v>3717</v>
      </c>
      <c r="D433" s="1959" t="s">
        <v>3719</v>
      </c>
      <c r="E433" s="1959" t="s">
        <v>5096</v>
      </c>
      <c r="F433" s="1957" t="s">
        <v>4927</v>
      </c>
      <c r="G433" s="1960">
        <v>72</v>
      </c>
      <c r="H433" s="1959" t="s">
        <v>1826</v>
      </c>
      <c r="I433" s="1957" t="s">
        <v>1022</v>
      </c>
      <c r="J433" s="1995">
        <v>79028</v>
      </c>
      <c r="K433" s="1995">
        <v>79828</v>
      </c>
      <c r="L433" s="1989" t="s">
        <v>5097</v>
      </c>
      <c r="M433" s="1961">
        <v>44915</v>
      </c>
    </row>
    <row r="434" spans="1:13" s="1378" customFormat="1" ht="28.5">
      <c r="A434" s="1957">
        <f t="shared" si="1"/>
        <v>425</v>
      </c>
      <c r="B434" s="1958" t="s">
        <v>1041</v>
      </c>
      <c r="C434" s="1958" t="s">
        <v>3717</v>
      </c>
      <c r="D434" s="1959" t="s">
        <v>3719</v>
      </c>
      <c r="E434" s="1959" t="s">
        <v>5096</v>
      </c>
      <c r="F434" s="1957" t="s">
        <v>4927</v>
      </c>
      <c r="G434" s="1960">
        <v>72</v>
      </c>
      <c r="H434" s="1959" t="s">
        <v>1826</v>
      </c>
      <c r="I434" s="1957" t="s">
        <v>1027</v>
      </c>
      <c r="J434" s="1995">
        <v>89028</v>
      </c>
      <c r="K434" s="1995">
        <v>91428</v>
      </c>
      <c r="L434" s="1989" t="s">
        <v>5097</v>
      </c>
      <c r="M434" s="1961">
        <v>44915</v>
      </c>
    </row>
    <row r="435" spans="1:13" s="1378" customFormat="1" ht="28.5">
      <c r="A435" s="1957">
        <f t="shared" si="1"/>
        <v>426</v>
      </c>
      <c r="B435" s="1958" t="s">
        <v>1041</v>
      </c>
      <c r="C435" s="1958" t="s">
        <v>3717</v>
      </c>
      <c r="D435" s="1959" t="s">
        <v>3719</v>
      </c>
      <c r="E435" s="1959" t="s">
        <v>5096</v>
      </c>
      <c r="F435" s="1957" t="s">
        <v>4927</v>
      </c>
      <c r="G435" s="1960">
        <v>72</v>
      </c>
      <c r="H435" s="1959" t="s">
        <v>1826</v>
      </c>
      <c r="I435" s="1957" t="s">
        <v>88</v>
      </c>
      <c r="J435" s="1995">
        <v>99028</v>
      </c>
      <c r="K435" s="1995">
        <v>103828</v>
      </c>
      <c r="L435" s="1989" t="s">
        <v>5097</v>
      </c>
      <c r="M435" s="1961">
        <v>44915</v>
      </c>
    </row>
    <row r="436" spans="1:13" s="1378" customFormat="1" ht="28.5">
      <c r="A436" s="1957">
        <f t="shared" si="1"/>
        <v>427</v>
      </c>
      <c r="B436" s="1958" t="s">
        <v>1041</v>
      </c>
      <c r="C436" s="1958" t="s">
        <v>3717</v>
      </c>
      <c r="D436" s="1959" t="s">
        <v>3719</v>
      </c>
      <c r="E436" s="1959" t="s">
        <v>5096</v>
      </c>
      <c r="F436" s="1957" t="s">
        <v>4927</v>
      </c>
      <c r="G436" s="1960">
        <v>72</v>
      </c>
      <c r="H436" s="1959" t="s">
        <v>1826</v>
      </c>
      <c r="I436" s="1957" t="s">
        <v>1034</v>
      </c>
      <c r="J436" s="1995">
        <v>109028</v>
      </c>
      <c r="K436" s="1995">
        <v>117028</v>
      </c>
      <c r="L436" s="1989" t="s">
        <v>5097</v>
      </c>
      <c r="M436" s="1961">
        <v>44915</v>
      </c>
    </row>
    <row r="437" spans="1:13" s="1378" customFormat="1" ht="28.5">
      <c r="A437" s="1957">
        <f t="shared" si="1"/>
        <v>428</v>
      </c>
      <c r="B437" s="1958" t="s">
        <v>1041</v>
      </c>
      <c r="C437" s="1958" t="s">
        <v>3717</v>
      </c>
      <c r="D437" s="1959" t="s">
        <v>3719</v>
      </c>
      <c r="E437" s="1959" t="s">
        <v>5096</v>
      </c>
      <c r="F437" s="1957" t="s">
        <v>4927</v>
      </c>
      <c r="G437" s="1960">
        <v>87</v>
      </c>
      <c r="H437" s="1959" t="s">
        <v>1829</v>
      </c>
      <c r="I437" s="1957" t="s">
        <v>1022</v>
      </c>
      <c r="J437" s="1995">
        <v>92209</v>
      </c>
      <c r="K437" s="1995">
        <v>93709</v>
      </c>
      <c r="L437" s="1989" t="s">
        <v>5097</v>
      </c>
      <c r="M437" s="1961">
        <v>44915</v>
      </c>
    </row>
    <row r="438" spans="1:13" s="1378" customFormat="1" ht="28.5">
      <c r="A438" s="1957">
        <f t="shared" si="1"/>
        <v>429</v>
      </c>
      <c r="B438" s="1958" t="s">
        <v>1041</v>
      </c>
      <c r="C438" s="1958" t="s">
        <v>3717</v>
      </c>
      <c r="D438" s="1959" t="s">
        <v>3719</v>
      </c>
      <c r="E438" s="1959" t="s">
        <v>5096</v>
      </c>
      <c r="F438" s="1957" t="s">
        <v>4927</v>
      </c>
      <c r="G438" s="1960">
        <v>87</v>
      </c>
      <c r="H438" s="1959" t="s">
        <v>1829</v>
      </c>
      <c r="I438" s="1957" t="s">
        <v>1027</v>
      </c>
      <c r="J438" s="1995">
        <v>102209</v>
      </c>
      <c r="K438" s="1995">
        <v>106709</v>
      </c>
      <c r="L438" s="1989" t="s">
        <v>5097</v>
      </c>
      <c r="M438" s="1961">
        <v>44915</v>
      </c>
    </row>
    <row r="439" spans="1:13" s="1378" customFormat="1" ht="28.5">
      <c r="A439" s="1957">
        <f t="shared" si="1"/>
        <v>430</v>
      </c>
      <c r="B439" s="1958" t="s">
        <v>1041</v>
      </c>
      <c r="C439" s="1958" t="s">
        <v>3717</v>
      </c>
      <c r="D439" s="1959" t="s">
        <v>3719</v>
      </c>
      <c r="E439" s="1959" t="s">
        <v>5096</v>
      </c>
      <c r="F439" s="1957" t="s">
        <v>4927</v>
      </c>
      <c r="G439" s="1960">
        <v>87</v>
      </c>
      <c r="H439" s="1959" t="s">
        <v>1829</v>
      </c>
      <c r="I439" s="1957" t="s">
        <v>88</v>
      </c>
      <c r="J439" s="1995">
        <v>112209</v>
      </c>
      <c r="K439" s="1995">
        <v>121209</v>
      </c>
      <c r="L439" s="1989" t="s">
        <v>5097</v>
      </c>
      <c r="M439" s="1961">
        <v>44915</v>
      </c>
    </row>
    <row r="440" spans="1:13" s="1378" customFormat="1" ht="28.5">
      <c r="A440" s="1957">
        <f t="shared" si="1"/>
        <v>431</v>
      </c>
      <c r="B440" s="1958" t="s">
        <v>1041</v>
      </c>
      <c r="C440" s="1958" t="s">
        <v>3717</v>
      </c>
      <c r="D440" s="1959" t="s">
        <v>3719</v>
      </c>
      <c r="E440" s="1959" t="s">
        <v>5096</v>
      </c>
      <c r="F440" s="1957" t="s">
        <v>4927</v>
      </c>
      <c r="G440" s="1960">
        <v>87</v>
      </c>
      <c r="H440" s="1959" t="s">
        <v>1829</v>
      </c>
      <c r="I440" s="1957" t="s">
        <v>1034</v>
      </c>
      <c r="J440" s="1995">
        <v>122209</v>
      </c>
      <c r="K440" s="1995">
        <v>137209</v>
      </c>
      <c r="L440" s="1989" t="s">
        <v>5097</v>
      </c>
      <c r="M440" s="1961">
        <v>44915</v>
      </c>
    </row>
    <row r="441" spans="1:13" s="1378" customFormat="1" ht="85.5">
      <c r="A441" s="1957">
        <f t="shared" si="1"/>
        <v>432</v>
      </c>
      <c r="B441" s="1958" t="s">
        <v>1015</v>
      </c>
      <c r="C441" s="1958" t="s">
        <v>2167</v>
      </c>
      <c r="D441" s="1959" t="s">
        <v>2168</v>
      </c>
      <c r="E441" s="1959" t="s">
        <v>5081</v>
      </c>
      <c r="F441" s="1957" t="s">
        <v>4927</v>
      </c>
      <c r="G441" s="1960">
        <v>62</v>
      </c>
      <c r="H441" s="1959" t="s">
        <v>1001</v>
      </c>
      <c r="I441" s="1960" t="s">
        <v>5079</v>
      </c>
      <c r="J441" s="1957" t="s">
        <v>4929</v>
      </c>
      <c r="K441" s="1957" t="s">
        <v>168</v>
      </c>
      <c r="L441" s="1959" t="s">
        <v>5099</v>
      </c>
      <c r="M441" s="1961">
        <v>44915</v>
      </c>
    </row>
    <row r="442" spans="1:13" s="1378" customFormat="1" ht="85.5">
      <c r="A442" s="1957">
        <f t="shared" si="1"/>
        <v>433</v>
      </c>
      <c r="B442" s="1958" t="s">
        <v>1015</v>
      </c>
      <c r="C442" s="1958" t="s">
        <v>2087</v>
      </c>
      <c r="D442" s="1959" t="s">
        <v>2088</v>
      </c>
      <c r="E442" s="1959" t="s">
        <v>5081</v>
      </c>
      <c r="F442" s="1957" t="s">
        <v>4927</v>
      </c>
      <c r="G442" s="1960">
        <v>17</v>
      </c>
      <c r="H442" s="1959" t="s">
        <v>988</v>
      </c>
      <c r="I442" s="1957" t="s">
        <v>924</v>
      </c>
      <c r="J442" s="1957" t="s">
        <v>4808</v>
      </c>
      <c r="K442" s="1957" t="s">
        <v>1008</v>
      </c>
      <c r="L442" s="1959" t="s">
        <v>5100</v>
      </c>
      <c r="M442" s="1961">
        <v>44931</v>
      </c>
    </row>
    <row r="443" spans="1:13" s="1378" customFormat="1" ht="28.5">
      <c r="A443" s="1957">
        <f t="shared" si="1"/>
        <v>434</v>
      </c>
      <c r="B443" s="1958" t="s">
        <v>1015</v>
      </c>
      <c r="C443" s="1958" t="s">
        <v>4745</v>
      </c>
      <c r="D443" s="1959" t="s">
        <v>4746</v>
      </c>
      <c r="E443" s="1959" t="s">
        <v>4926</v>
      </c>
      <c r="F443" s="1957" t="s">
        <v>4927</v>
      </c>
      <c r="G443" s="1960">
        <v>97</v>
      </c>
      <c r="H443" s="1959" t="s">
        <v>1876</v>
      </c>
      <c r="I443" s="1957"/>
      <c r="J443" s="1957">
        <v>4.7699999999999999E-2</v>
      </c>
      <c r="K443" s="1957">
        <v>-4.7699999999999999E-2</v>
      </c>
      <c r="L443" s="1959" t="s">
        <v>5101</v>
      </c>
      <c r="M443" s="1961">
        <v>44937</v>
      </c>
    </row>
    <row r="444" spans="1:13" s="1378" customFormat="1" ht="28.5">
      <c r="A444" s="1957">
        <f t="shared" si="1"/>
        <v>435</v>
      </c>
      <c r="B444" s="1958" t="s">
        <v>1057</v>
      </c>
      <c r="C444" s="1958" t="s">
        <v>4591</v>
      </c>
      <c r="D444" s="1959" t="s">
        <v>4593</v>
      </c>
      <c r="E444" s="1959" t="s">
        <v>5102</v>
      </c>
      <c r="F444" s="1957" t="s">
        <v>4927</v>
      </c>
      <c r="G444" s="1960">
        <v>62</v>
      </c>
      <c r="H444" s="1959" t="s">
        <v>1001</v>
      </c>
      <c r="I444" s="1957" t="s">
        <v>1012</v>
      </c>
      <c r="J444" s="1957" t="s">
        <v>168</v>
      </c>
      <c r="K444" s="1957" t="s">
        <v>4929</v>
      </c>
      <c r="L444" s="1959" t="s">
        <v>5103</v>
      </c>
      <c r="M444" s="1961">
        <v>44960</v>
      </c>
    </row>
    <row r="445" spans="1:13" s="1378" customFormat="1" ht="28.5">
      <c r="A445" s="1957">
        <f t="shared" si="1"/>
        <v>436</v>
      </c>
      <c r="B445" s="1958" t="s">
        <v>1057</v>
      </c>
      <c r="C445" s="1958" t="s">
        <v>4591</v>
      </c>
      <c r="D445" s="1959" t="s">
        <v>4593</v>
      </c>
      <c r="E445" s="1959" t="s">
        <v>5102</v>
      </c>
      <c r="F445" s="1957" t="s">
        <v>4927</v>
      </c>
      <c r="G445" s="1960">
        <v>62</v>
      </c>
      <c r="H445" s="1959" t="s">
        <v>1001</v>
      </c>
      <c r="I445" s="1957" t="s">
        <v>1022</v>
      </c>
      <c r="J445" s="1957" t="s">
        <v>168</v>
      </c>
      <c r="K445" s="1957" t="s">
        <v>4929</v>
      </c>
      <c r="L445" s="1959" t="s">
        <v>5103</v>
      </c>
      <c r="M445" s="1961">
        <v>44960</v>
      </c>
    </row>
    <row r="446" spans="1:13" s="1378" customFormat="1" ht="28.5">
      <c r="A446" s="1957">
        <f t="shared" si="1"/>
        <v>437</v>
      </c>
      <c r="B446" s="1958" t="s">
        <v>1057</v>
      </c>
      <c r="C446" s="1958" t="s">
        <v>4591</v>
      </c>
      <c r="D446" s="1959" t="s">
        <v>4593</v>
      </c>
      <c r="E446" s="1959" t="s">
        <v>5102</v>
      </c>
      <c r="F446" s="1957" t="s">
        <v>4927</v>
      </c>
      <c r="G446" s="1960">
        <v>62</v>
      </c>
      <c r="H446" s="1959" t="s">
        <v>1001</v>
      </c>
      <c r="I446" s="1957" t="s">
        <v>1027</v>
      </c>
      <c r="J446" s="1957" t="s">
        <v>168</v>
      </c>
      <c r="K446" s="1957" t="s">
        <v>4929</v>
      </c>
      <c r="L446" s="1959" t="s">
        <v>5103</v>
      </c>
      <c r="M446" s="1961">
        <v>44960</v>
      </c>
    </row>
    <row r="447" spans="1:13" s="1378" customFormat="1" ht="28.5">
      <c r="A447" s="1957">
        <f t="shared" si="1"/>
        <v>438</v>
      </c>
      <c r="B447" s="1958" t="s">
        <v>1057</v>
      </c>
      <c r="C447" s="1958" t="s">
        <v>4591</v>
      </c>
      <c r="D447" s="1959" t="s">
        <v>4593</v>
      </c>
      <c r="E447" s="1959" t="s">
        <v>5102</v>
      </c>
      <c r="F447" s="1957" t="s">
        <v>4927</v>
      </c>
      <c r="G447" s="1960">
        <v>62</v>
      </c>
      <c r="H447" s="1959" t="s">
        <v>1001</v>
      </c>
      <c r="I447" s="1957" t="s">
        <v>88</v>
      </c>
      <c r="J447" s="1957" t="s">
        <v>168</v>
      </c>
      <c r="K447" s="1957" t="s">
        <v>4929</v>
      </c>
      <c r="L447" s="1959" t="s">
        <v>5103</v>
      </c>
      <c r="M447" s="1961">
        <v>44960</v>
      </c>
    </row>
    <row r="448" spans="1:13" s="1378" customFormat="1" ht="28.5">
      <c r="A448" s="1957">
        <f t="shared" si="1"/>
        <v>439</v>
      </c>
      <c r="B448" s="1958" t="s">
        <v>1015</v>
      </c>
      <c r="C448" s="1958" t="s">
        <v>2172</v>
      </c>
      <c r="D448" s="1959" t="s">
        <v>2173</v>
      </c>
      <c r="E448" s="1959" t="s">
        <v>5102</v>
      </c>
      <c r="F448" s="1957" t="s">
        <v>4927</v>
      </c>
      <c r="G448" s="1960">
        <v>41</v>
      </c>
      <c r="H448" s="1959" t="s">
        <v>1823</v>
      </c>
      <c r="I448" s="1957" t="s">
        <v>1034</v>
      </c>
      <c r="J448" s="2004">
        <v>1</v>
      </c>
      <c r="K448" s="1957">
        <v>100</v>
      </c>
      <c r="L448" s="1959" t="s">
        <v>5104</v>
      </c>
      <c r="M448" s="1961">
        <v>44973</v>
      </c>
    </row>
    <row r="449" spans="1:13" s="1378" customFormat="1" ht="28.5">
      <c r="A449" s="1957">
        <f t="shared" si="1"/>
        <v>440</v>
      </c>
      <c r="B449" s="1958" t="s">
        <v>1064</v>
      </c>
      <c r="C449" s="1958" t="s">
        <v>2275</v>
      </c>
      <c r="D449" s="1959" t="s">
        <v>2277</v>
      </c>
      <c r="E449" s="1959" t="s">
        <v>5102</v>
      </c>
      <c r="F449" s="1957" t="s">
        <v>4927</v>
      </c>
      <c r="G449" s="1960">
        <v>87</v>
      </c>
      <c r="H449" s="1959" t="s">
        <v>994</v>
      </c>
      <c r="I449" s="1960" t="s">
        <v>1012</v>
      </c>
      <c r="J449" s="1957">
        <v>90</v>
      </c>
      <c r="K449" s="1957" t="s">
        <v>4929</v>
      </c>
      <c r="L449" s="1959" t="s">
        <v>5105</v>
      </c>
      <c r="M449" s="1961">
        <v>44974</v>
      </c>
    </row>
    <row r="450" spans="1:13" s="1378" customFormat="1" ht="28.5">
      <c r="A450" s="1957">
        <f t="shared" si="1"/>
        <v>441</v>
      </c>
      <c r="B450" s="1958" t="s">
        <v>1064</v>
      </c>
      <c r="C450" s="1958" t="s">
        <v>2275</v>
      </c>
      <c r="D450" s="1959" t="s">
        <v>2277</v>
      </c>
      <c r="E450" s="1959" t="s">
        <v>5102</v>
      </c>
      <c r="F450" s="1957" t="s">
        <v>4927</v>
      </c>
      <c r="G450" s="1960">
        <v>87</v>
      </c>
      <c r="H450" s="1959" t="s">
        <v>994</v>
      </c>
      <c r="I450" s="1960" t="s">
        <v>1022</v>
      </c>
      <c r="J450" s="1957">
        <v>90</v>
      </c>
      <c r="K450" s="1957" t="s">
        <v>4929</v>
      </c>
      <c r="L450" s="1959" t="s">
        <v>5105</v>
      </c>
      <c r="M450" s="1961">
        <v>44974</v>
      </c>
    </row>
    <row r="451" spans="1:13" s="1378" customFormat="1" ht="28.5">
      <c r="A451" s="1957">
        <f t="shared" si="1"/>
        <v>442</v>
      </c>
      <c r="B451" s="1958" t="s">
        <v>1064</v>
      </c>
      <c r="C451" s="1958" t="s">
        <v>2275</v>
      </c>
      <c r="D451" s="1959" t="s">
        <v>2277</v>
      </c>
      <c r="E451" s="1959" t="s">
        <v>5102</v>
      </c>
      <c r="F451" s="1957" t="s">
        <v>4927</v>
      </c>
      <c r="G451" s="1960">
        <v>87</v>
      </c>
      <c r="H451" s="1959" t="s">
        <v>994</v>
      </c>
      <c r="I451" s="1960" t="s">
        <v>1027</v>
      </c>
      <c r="J451" s="1957">
        <v>90</v>
      </c>
      <c r="K451" s="1957" t="s">
        <v>4929</v>
      </c>
      <c r="L451" s="1959" t="s">
        <v>5105</v>
      </c>
      <c r="M451" s="1961">
        <v>44974</v>
      </c>
    </row>
    <row r="452" spans="1:13" s="1378" customFormat="1" ht="28.5">
      <c r="A452" s="1957">
        <f t="shared" si="1"/>
        <v>443</v>
      </c>
      <c r="B452" s="1958" t="s">
        <v>1064</v>
      </c>
      <c r="C452" s="1958" t="s">
        <v>2275</v>
      </c>
      <c r="D452" s="1959" t="s">
        <v>2277</v>
      </c>
      <c r="E452" s="1959" t="s">
        <v>5102</v>
      </c>
      <c r="F452" s="1957" t="s">
        <v>4927</v>
      </c>
      <c r="G452" s="1960">
        <v>87</v>
      </c>
      <c r="H452" s="1959" t="s">
        <v>994</v>
      </c>
      <c r="I452" s="1960" t="s">
        <v>88</v>
      </c>
      <c r="J452" s="1957">
        <v>90</v>
      </c>
      <c r="K452" s="1957" t="s">
        <v>4929</v>
      </c>
      <c r="L452" s="1959" t="s">
        <v>5105</v>
      </c>
      <c r="M452" s="1961">
        <v>44974</v>
      </c>
    </row>
    <row r="453" spans="1:13" s="1378" customFormat="1" ht="14.25">
      <c r="A453" s="1957">
        <f t="shared" si="1"/>
        <v>444</v>
      </c>
      <c r="B453" s="1958" t="s">
        <v>1064</v>
      </c>
      <c r="C453" s="1958" t="s">
        <v>2275</v>
      </c>
      <c r="D453" s="1959" t="s">
        <v>2277</v>
      </c>
      <c r="E453" s="1959" t="s">
        <v>5102</v>
      </c>
      <c r="F453" s="1957" t="s">
        <v>4927</v>
      </c>
      <c r="G453" s="1960">
        <v>87</v>
      </c>
      <c r="H453" s="1959" t="s">
        <v>994</v>
      </c>
      <c r="I453" s="1960" t="s">
        <v>1034</v>
      </c>
      <c r="J453" s="1957">
        <v>90</v>
      </c>
      <c r="K453" s="1957">
        <v>77</v>
      </c>
      <c r="L453" s="1959" t="s">
        <v>5106</v>
      </c>
      <c r="M453" s="1961">
        <v>44974</v>
      </c>
    </row>
    <row r="454" spans="1:13" s="1378" customFormat="1" ht="14.25">
      <c r="A454" s="1957">
        <f t="shared" si="1"/>
        <v>445</v>
      </c>
      <c r="B454" s="1958" t="s">
        <v>1050</v>
      </c>
      <c r="C454" s="1958" t="s">
        <v>4082</v>
      </c>
      <c r="D454" s="1959" t="s">
        <v>4084</v>
      </c>
      <c r="E454" s="1959" t="s">
        <v>1050</v>
      </c>
      <c r="F454" s="1957" t="s">
        <v>4927</v>
      </c>
      <c r="G454" s="1960">
        <v>87</v>
      </c>
      <c r="H454" s="1959" t="s">
        <v>994</v>
      </c>
      <c r="I454" s="1957" t="s">
        <v>1012</v>
      </c>
      <c r="J454" s="1957">
        <v>4.5</v>
      </c>
      <c r="K454" s="1957">
        <v>9</v>
      </c>
      <c r="L454" s="1959" t="s">
        <v>5107</v>
      </c>
      <c r="M454" s="1961">
        <v>44995</v>
      </c>
    </row>
    <row r="455" spans="1:13" s="1378" customFormat="1" ht="14.25">
      <c r="A455" s="1957">
        <f t="shared" si="1"/>
        <v>446</v>
      </c>
      <c r="B455" s="1958" t="s">
        <v>1050</v>
      </c>
      <c r="C455" s="1958" t="s">
        <v>4082</v>
      </c>
      <c r="D455" s="1959" t="s">
        <v>4084</v>
      </c>
      <c r="E455" s="1959" t="s">
        <v>1050</v>
      </c>
      <c r="F455" s="1957" t="s">
        <v>4927</v>
      </c>
      <c r="G455" s="1960">
        <v>87</v>
      </c>
      <c r="H455" s="1959" t="s">
        <v>994</v>
      </c>
      <c r="I455" s="1957" t="s">
        <v>1022</v>
      </c>
      <c r="J455" s="1957">
        <v>2</v>
      </c>
      <c r="K455" s="1957">
        <v>5.75</v>
      </c>
      <c r="L455" s="1959" t="s">
        <v>5107</v>
      </c>
      <c r="M455" s="1961">
        <v>44995</v>
      </c>
    </row>
    <row r="456" spans="1:13" s="1378" customFormat="1" ht="14.25">
      <c r="A456" s="1957">
        <f t="shared" si="1"/>
        <v>447</v>
      </c>
      <c r="B456" s="1958" t="s">
        <v>1050</v>
      </c>
      <c r="C456" s="1958" t="s">
        <v>4082</v>
      </c>
      <c r="D456" s="1959" t="s">
        <v>4084</v>
      </c>
      <c r="E456" s="1959" t="s">
        <v>1050</v>
      </c>
      <c r="F456" s="1957" t="s">
        <v>4927</v>
      </c>
      <c r="G456" s="1960">
        <v>87</v>
      </c>
      <c r="H456" s="1959" t="s">
        <v>994</v>
      </c>
      <c r="I456" s="1957" t="s">
        <v>1027</v>
      </c>
      <c r="J456" s="1957">
        <v>2</v>
      </c>
      <c r="K456" s="1957">
        <v>4</v>
      </c>
      <c r="L456" s="1959" t="s">
        <v>5107</v>
      </c>
      <c r="M456" s="1961">
        <v>44995</v>
      </c>
    </row>
    <row r="457" spans="1:13" s="1378" customFormat="1" ht="14.25">
      <c r="A457" s="1957">
        <f t="shared" si="1"/>
        <v>448</v>
      </c>
      <c r="B457" s="1958" t="s">
        <v>1050</v>
      </c>
      <c r="C457" s="1958" t="s">
        <v>4082</v>
      </c>
      <c r="D457" s="1959" t="s">
        <v>4084</v>
      </c>
      <c r="E457" s="1959" t="s">
        <v>1050</v>
      </c>
      <c r="F457" s="1957" t="s">
        <v>4927</v>
      </c>
      <c r="G457" s="1960">
        <v>87</v>
      </c>
      <c r="H457" s="1959" t="s">
        <v>994</v>
      </c>
      <c r="I457" s="1957" t="s">
        <v>88</v>
      </c>
      <c r="J457" s="1957">
        <v>2</v>
      </c>
      <c r="K457" s="1957">
        <v>4</v>
      </c>
      <c r="L457" s="1959" t="s">
        <v>5107</v>
      </c>
      <c r="M457" s="1961">
        <v>44995</v>
      </c>
    </row>
    <row r="458" spans="1:13" s="1378" customFormat="1" ht="14.25">
      <c r="A458" s="1957">
        <f t="shared" si="1"/>
        <v>449</v>
      </c>
      <c r="B458" s="1958" t="s">
        <v>1050</v>
      </c>
      <c r="C458" s="1958" t="s">
        <v>4082</v>
      </c>
      <c r="D458" s="1959" t="s">
        <v>4084</v>
      </c>
      <c r="E458" s="1959" t="s">
        <v>1050</v>
      </c>
      <c r="F458" s="1957" t="s">
        <v>4927</v>
      </c>
      <c r="G458" s="1960">
        <v>87</v>
      </c>
      <c r="H458" s="1959" t="s">
        <v>994</v>
      </c>
      <c r="I458" s="1957" t="s">
        <v>1034</v>
      </c>
      <c r="J458" s="1957">
        <v>4.5</v>
      </c>
      <c r="K458" s="1957">
        <v>9</v>
      </c>
      <c r="L458" s="1959" t="s">
        <v>5107</v>
      </c>
      <c r="M458" s="1961">
        <v>44995</v>
      </c>
    </row>
    <row r="459" spans="1:13" s="1378" customFormat="1" ht="14.25">
      <c r="A459" s="1957">
        <f t="shared" si="1"/>
        <v>450</v>
      </c>
      <c r="B459" s="1958" t="s">
        <v>1075</v>
      </c>
      <c r="C459" s="1958" t="s">
        <v>3042</v>
      </c>
      <c r="D459" s="1959" t="s">
        <v>2143</v>
      </c>
      <c r="E459" s="1959" t="s">
        <v>5108</v>
      </c>
      <c r="F459" s="1957" t="s">
        <v>4927</v>
      </c>
      <c r="G459" s="1960">
        <v>41</v>
      </c>
      <c r="H459" s="1959" t="s">
        <v>1823</v>
      </c>
      <c r="I459" s="1957" t="s">
        <v>1022</v>
      </c>
      <c r="J459" s="1957">
        <v>43</v>
      </c>
      <c r="K459" s="1957">
        <v>37</v>
      </c>
      <c r="L459" s="1959" t="s">
        <v>5109</v>
      </c>
      <c r="M459" s="1961">
        <v>45065</v>
      </c>
    </row>
    <row r="460" spans="1:13" s="1378" customFormat="1" ht="14.25">
      <c r="A460" s="1957">
        <f t="shared" si="1"/>
        <v>451</v>
      </c>
      <c r="B460" s="1958" t="s">
        <v>1075</v>
      </c>
      <c r="C460" s="1958" t="s">
        <v>3042</v>
      </c>
      <c r="D460" s="1959" t="s">
        <v>2143</v>
      </c>
      <c r="E460" s="1959" t="s">
        <v>5108</v>
      </c>
      <c r="F460" s="1957" t="s">
        <v>4927</v>
      </c>
      <c r="G460" s="1960">
        <v>41</v>
      </c>
      <c r="H460" s="1959" t="s">
        <v>1823</v>
      </c>
      <c r="I460" s="1957" t="s">
        <v>1027</v>
      </c>
      <c r="J460" s="1957">
        <v>43</v>
      </c>
      <c r="K460" s="1957">
        <v>38</v>
      </c>
      <c r="L460" s="1959" t="s">
        <v>5109</v>
      </c>
      <c r="M460" s="1961">
        <v>45065</v>
      </c>
    </row>
    <row r="461" spans="1:13" s="1378" customFormat="1" ht="14.25">
      <c r="A461" s="1957">
        <f t="shared" si="1"/>
        <v>452</v>
      </c>
      <c r="B461" s="1958" t="s">
        <v>1075</v>
      </c>
      <c r="C461" s="1958" t="s">
        <v>3042</v>
      </c>
      <c r="D461" s="1959" t="s">
        <v>2143</v>
      </c>
      <c r="E461" s="1959" t="s">
        <v>5108</v>
      </c>
      <c r="F461" s="1957" t="s">
        <v>4927</v>
      </c>
      <c r="G461" s="1960">
        <v>41</v>
      </c>
      <c r="H461" s="1959" t="s">
        <v>1823</v>
      </c>
      <c r="I461" s="1957" t="s">
        <v>88</v>
      </c>
      <c r="J461" s="1957">
        <v>44</v>
      </c>
      <c r="K461" s="1957">
        <v>39</v>
      </c>
      <c r="L461" s="1959" t="s">
        <v>5109</v>
      </c>
      <c r="M461" s="1961">
        <v>45065</v>
      </c>
    </row>
    <row r="462" spans="1:13" s="1378" customFormat="1" ht="14.25">
      <c r="A462" s="1957">
        <f t="shared" si="1"/>
        <v>453</v>
      </c>
      <c r="B462" s="1958" t="s">
        <v>1075</v>
      </c>
      <c r="C462" s="1958" t="s">
        <v>3042</v>
      </c>
      <c r="D462" s="1959" t="s">
        <v>2143</v>
      </c>
      <c r="E462" s="1959" t="s">
        <v>5108</v>
      </c>
      <c r="F462" s="1957" t="s">
        <v>4927</v>
      </c>
      <c r="G462" s="1960">
        <v>41</v>
      </c>
      <c r="H462" s="1959" t="s">
        <v>1823</v>
      </c>
      <c r="I462" s="1957" t="s">
        <v>1034</v>
      </c>
      <c r="J462" s="1957">
        <v>60</v>
      </c>
      <c r="K462" s="1957">
        <v>65</v>
      </c>
      <c r="L462" s="1959" t="s">
        <v>5109</v>
      </c>
      <c r="M462" s="1961">
        <v>45065</v>
      </c>
    </row>
    <row r="463" spans="1:13" s="1378" customFormat="1" ht="14.25">
      <c r="A463" s="1957">
        <f t="shared" si="1"/>
        <v>454</v>
      </c>
      <c r="B463" s="1958" t="s">
        <v>1050</v>
      </c>
      <c r="C463" s="1958" t="s">
        <v>3995</v>
      </c>
      <c r="D463" s="1959" t="s">
        <v>3997</v>
      </c>
      <c r="E463" s="1959" t="s">
        <v>1050</v>
      </c>
      <c r="F463" s="1957" t="s">
        <v>4927</v>
      </c>
      <c r="G463" s="1960">
        <v>87</v>
      </c>
      <c r="H463" s="1959" t="s">
        <v>1829</v>
      </c>
      <c r="I463" s="1957" t="s">
        <v>1012</v>
      </c>
      <c r="J463" s="1995">
        <v>0</v>
      </c>
      <c r="K463" s="1995"/>
      <c r="L463" s="1959" t="s">
        <v>5110</v>
      </c>
      <c r="M463" s="1961">
        <v>45065</v>
      </c>
    </row>
    <row r="464" spans="1:13" s="1378" customFormat="1" ht="14.25">
      <c r="A464" s="1957">
        <f t="shared" si="1"/>
        <v>455</v>
      </c>
      <c r="B464" s="1958" t="s">
        <v>1050</v>
      </c>
      <c r="C464" s="1958" t="s">
        <v>3995</v>
      </c>
      <c r="D464" s="1959" t="s">
        <v>3997</v>
      </c>
      <c r="E464" s="1959" t="s">
        <v>1050</v>
      </c>
      <c r="F464" s="1957" t="s">
        <v>4927</v>
      </c>
      <c r="G464" s="1960">
        <v>87</v>
      </c>
      <c r="H464" s="1959" t="s">
        <v>1829</v>
      </c>
      <c r="I464" s="1957" t="s">
        <v>1022</v>
      </c>
      <c r="J464" s="1995">
        <v>3600</v>
      </c>
      <c r="K464" s="2026"/>
      <c r="L464" s="1959" t="s">
        <v>5110</v>
      </c>
      <c r="M464" s="1961">
        <v>45065</v>
      </c>
    </row>
    <row r="465" spans="1:13" s="1378" customFormat="1" ht="14.25">
      <c r="A465" s="1957">
        <f t="shared" si="1"/>
        <v>456</v>
      </c>
      <c r="B465" s="1958" t="s">
        <v>1050</v>
      </c>
      <c r="C465" s="1958" t="s">
        <v>3995</v>
      </c>
      <c r="D465" s="1959" t="s">
        <v>3997</v>
      </c>
      <c r="E465" s="1959" t="s">
        <v>1050</v>
      </c>
      <c r="F465" s="1957" t="s">
        <v>4927</v>
      </c>
      <c r="G465" s="1960">
        <v>87</v>
      </c>
      <c r="H465" s="1959" t="s">
        <v>1829</v>
      </c>
      <c r="I465" s="1957" t="s">
        <v>1027</v>
      </c>
      <c r="J465" s="1995">
        <v>3500</v>
      </c>
      <c r="K465" s="1995"/>
      <c r="L465" s="1959" t="s">
        <v>5110</v>
      </c>
      <c r="M465" s="1961">
        <v>45065</v>
      </c>
    </row>
    <row r="466" spans="1:13" s="1378" customFormat="1" ht="14.25">
      <c r="A466" s="1957">
        <f t="shared" si="1"/>
        <v>457</v>
      </c>
      <c r="B466" s="1958" t="s">
        <v>1050</v>
      </c>
      <c r="C466" s="1958" t="s">
        <v>3995</v>
      </c>
      <c r="D466" s="1959" t="s">
        <v>3997</v>
      </c>
      <c r="E466" s="1959" t="s">
        <v>1050</v>
      </c>
      <c r="F466" s="1957" t="s">
        <v>4927</v>
      </c>
      <c r="G466" s="1960">
        <v>87</v>
      </c>
      <c r="H466" s="1959" t="s">
        <v>1829</v>
      </c>
      <c r="I466" s="1957" t="s">
        <v>88</v>
      </c>
      <c r="J466" s="1995">
        <v>3500</v>
      </c>
      <c r="K466" s="1995"/>
      <c r="L466" s="1959" t="s">
        <v>5110</v>
      </c>
      <c r="M466" s="1961">
        <v>45065</v>
      </c>
    </row>
    <row r="467" spans="1:13" s="1378" customFormat="1" ht="14.25">
      <c r="A467" s="1957">
        <f t="shared" si="1"/>
        <v>458</v>
      </c>
      <c r="B467" s="1958" t="s">
        <v>1050</v>
      </c>
      <c r="C467" s="1958" t="s">
        <v>3995</v>
      </c>
      <c r="D467" s="1959" t="s">
        <v>3997</v>
      </c>
      <c r="E467" s="1959" t="s">
        <v>1050</v>
      </c>
      <c r="F467" s="1957" t="s">
        <v>4927</v>
      </c>
      <c r="G467" s="1960">
        <v>87</v>
      </c>
      <c r="H467" s="1959" t="s">
        <v>1829</v>
      </c>
      <c r="I467" s="1957" t="s">
        <v>1034</v>
      </c>
      <c r="J467" s="1995">
        <v>3500</v>
      </c>
      <c r="K467" s="1995">
        <v>14100</v>
      </c>
      <c r="L467" s="1959" t="s">
        <v>5110</v>
      </c>
      <c r="M467" s="1961">
        <v>45065</v>
      </c>
    </row>
    <row r="468" spans="1:13" s="1378" customFormat="1" ht="45" customHeight="1">
      <c r="A468" s="1957">
        <f t="shared" si="1"/>
        <v>459</v>
      </c>
      <c r="B468" s="1958" t="s">
        <v>1050</v>
      </c>
      <c r="C468" s="1958" t="s">
        <v>4039</v>
      </c>
      <c r="D468" s="1959" t="s">
        <v>4041</v>
      </c>
      <c r="E468" s="1959" t="s">
        <v>1050</v>
      </c>
      <c r="F468" s="1957" t="s">
        <v>4927</v>
      </c>
      <c r="G468" s="1960">
        <v>41</v>
      </c>
      <c r="H468" s="1959" t="s">
        <v>1823</v>
      </c>
      <c r="I468" s="1957" t="s">
        <v>1012</v>
      </c>
      <c r="J468" s="1960" t="s">
        <v>5111</v>
      </c>
      <c r="K468" s="1957">
        <v>1</v>
      </c>
      <c r="L468" s="1959" t="s">
        <v>5112</v>
      </c>
      <c r="M468" s="1961">
        <v>45065</v>
      </c>
    </row>
    <row r="469" spans="1:13" s="1378" customFormat="1" ht="46.5" customHeight="1">
      <c r="A469" s="1957">
        <f t="shared" si="1"/>
        <v>460</v>
      </c>
      <c r="B469" s="1958" t="s">
        <v>1050</v>
      </c>
      <c r="C469" s="1958" t="s">
        <v>4039</v>
      </c>
      <c r="D469" s="1959" t="s">
        <v>4041</v>
      </c>
      <c r="E469" s="1959" t="s">
        <v>1050</v>
      </c>
      <c r="F469" s="1957" t="s">
        <v>4927</v>
      </c>
      <c r="G469" s="1960">
        <v>41</v>
      </c>
      <c r="H469" s="1959" t="s">
        <v>1823</v>
      </c>
      <c r="I469" s="1957" t="s">
        <v>1027</v>
      </c>
      <c r="J469" s="1960" t="s">
        <v>5113</v>
      </c>
      <c r="K469" s="1957">
        <v>1</v>
      </c>
      <c r="L469" s="1959" t="s">
        <v>5114</v>
      </c>
      <c r="M469" s="1961">
        <v>45065</v>
      </c>
    </row>
    <row r="470" spans="1:13" s="1378" customFormat="1" ht="45" customHeight="1">
      <c r="A470" s="1957">
        <f t="shared" si="1"/>
        <v>461</v>
      </c>
      <c r="B470" s="1958" t="s">
        <v>1050</v>
      </c>
      <c r="C470" s="1958" t="s">
        <v>4039</v>
      </c>
      <c r="D470" s="1959" t="s">
        <v>4041</v>
      </c>
      <c r="E470" s="1959" t="s">
        <v>1050</v>
      </c>
      <c r="F470" s="1957" t="s">
        <v>4927</v>
      </c>
      <c r="G470" s="1960">
        <v>41</v>
      </c>
      <c r="H470" s="1959" t="s">
        <v>1823</v>
      </c>
      <c r="I470" s="1957" t="s">
        <v>88</v>
      </c>
      <c r="J470" s="1960" t="s">
        <v>5115</v>
      </c>
      <c r="K470" s="1957">
        <v>1</v>
      </c>
      <c r="L470" s="1959" t="s">
        <v>5114</v>
      </c>
      <c r="M470" s="1961">
        <v>45065</v>
      </c>
    </row>
    <row r="471" spans="1:13" s="1378" customFormat="1" ht="90" customHeight="1">
      <c r="A471" s="1957">
        <f t="shared" si="1"/>
        <v>462</v>
      </c>
      <c r="B471" s="1958" t="s">
        <v>1050</v>
      </c>
      <c r="C471" s="1958" t="s">
        <v>4146</v>
      </c>
      <c r="D471" s="1959" t="s">
        <v>4148</v>
      </c>
      <c r="E471" s="1959" t="s">
        <v>1050</v>
      </c>
      <c r="F471" s="1957" t="s">
        <v>4927</v>
      </c>
      <c r="G471" s="1960">
        <v>41</v>
      </c>
      <c r="H471" s="1959" t="s">
        <v>1823</v>
      </c>
      <c r="I471" s="1957" t="s">
        <v>88</v>
      </c>
      <c r="J471" s="1960" t="s">
        <v>5116</v>
      </c>
      <c r="K471" s="1957">
        <v>1</v>
      </c>
      <c r="L471" s="1959" t="s">
        <v>5114</v>
      </c>
      <c r="M471" s="1961">
        <v>45065</v>
      </c>
    </row>
    <row r="472" spans="1:13" s="1378" customFormat="1" ht="14.25">
      <c r="A472" s="2030">
        <f t="shared" si="1"/>
        <v>463</v>
      </c>
      <c r="B472" s="2031" t="s">
        <v>1075</v>
      </c>
      <c r="C472" s="2031" t="s">
        <v>3042</v>
      </c>
      <c r="D472" s="2032" t="s">
        <v>3044</v>
      </c>
      <c r="E472" s="2032" t="s">
        <v>5117</v>
      </c>
      <c r="F472" s="2030" t="s">
        <v>4927</v>
      </c>
      <c r="G472" s="2033">
        <v>41</v>
      </c>
      <c r="H472" s="2032" t="s">
        <v>1823</v>
      </c>
      <c r="I472" s="2030" t="s">
        <v>88</v>
      </c>
      <c r="J472" s="2033">
        <v>39</v>
      </c>
      <c r="K472" s="2030">
        <v>38</v>
      </c>
      <c r="L472" s="2032" t="s">
        <v>5118</v>
      </c>
      <c r="M472" s="2034">
        <v>45190</v>
      </c>
    </row>
    <row r="473" spans="1:13" s="1378" customFormat="1" ht="14.25">
      <c r="A473" s="2030">
        <f t="shared" si="1"/>
        <v>464</v>
      </c>
      <c r="B473" s="2031"/>
      <c r="C473" s="2031"/>
      <c r="D473" s="2032"/>
      <c r="E473" s="2032"/>
      <c r="F473" s="2030"/>
      <c r="G473" s="2033"/>
      <c r="H473" s="2032"/>
      <c r="I473" s="2030"/>
      <c r="J473" s="2033"/>
      <c r="K473" s="2030"/>
      <c r="L473" s="2032"/>
      <c r="M473" s="2034"/>
    </row>
    <row r="474" spans="1:13" s="1378" customFormat="1" ht="14.25">
      <c r="A474" s="2030">
        <f t="shared" si="1"/>
        <v>465</v>
      </c>
      <c r="B474" s="2031"/>
      <c r="C474" s="2031"/>
      <c r="D474" s="2031"/>
      <c r="E474" s="2032"/>
      <c r="F474" s="2030"/>
      <c r="G474" s="2033"/>
      <c r="H474" s="2032"/>
      <c r="I474" s="2030"/>
      <c r="J474" s="2030"/>
      <c r="K474" s="2030"/>
      <c r="L474" s="2032"/>
      <c r="M474" s="2034"/>
    </row>
    <row r="475" spans="1:13" s="1378" customFormat="1" ht="14.25">
      <c r="A475" s="2030">
        <f t="shared" si="1"/>
        <v>466</v>
      </c>
      <c r="B475" s="2031"/>
      <c r="C475" s="2031"/>
      <c r="D475" s="2031"/>
      <c r="E475" s="2032"/>
      <c r="F475" s="2030"/>
      <c r="G475" s="2033"/>
      <c r="H475" s="2032"/>
      <c r="I475" s="2030"/>
      <c r="J475" s="2030"/>
      <c r="K475" s="2030"/>
      <c r="L475" s="2032"/>
      <c r="M475" s="2034"/>
    </row>
    <row r="476" spans="1:13" s="1378" customFormat="1" ht="14.25">
      <c r="A476" s="2030">
        <f t="shared" si="1"/>
        <v>467</v>
      </c>
      <c r="B476" s="2031"/>
      <c r="C476" s="2031"/>
      <c r="D476" s="2031"/>
      <c r="E476" s="2032"/>
      <c r="F476" s="2030"/>
      <c r="G476" s="2033"/>
      <c r="H476" s="2032"/>
      <c r="I476" s="2030"/>
      <c r="J476" s="2033"/>
      <c r="K476" s="2030"/>
      <c r="L476" s="2032"/>
      <c r="M476" s="2034"/>
    </row>
    <row r="477" spans="1:13" s="1378" customFormat="1" ht="14.25">
      <c r="A477" s="2030">
        <f t="shared" si="1"/>
        <v>468</v>
      </c>
      <c r="B477" s="2031"/>
      <c r="C477" s="2031"/>
      <c r="D477" s="2031"/>
      <c r="E477" s="2032"/>
      <c r="F477" s="2030"/>
      <c r="G477" s="2033"/>
      <c r="H477" s="2032"/>
      <c r="I477" s="2030"/>
      <c r="J477" s="2030"/>
      <c r="K477" s="2030"/>
      <c r="L477" s="2032"/>
      <c r="M477" s="2034"/>
    </row>
    <row r="478" spans="1:13" s="1378" customFormat="1" ht="14.25">
      <c r="A478" s="2030">
        <f t="shared" si="1"/>
        <v>469</v>
      </c>
      <c r="B478" s="2031"/>
      <c r="C478" s="2031"/>
      <c r="D478" s="2032"/>
      <c r="E478" s="2032"/>
      <c r="F478" s="2030"/>
      <c r="G478" s="2033"/>
      <c r="H478" s="2032"/>
      <c r="I478" s="2030"/>
      <c r="J478" s="2030"/>
      <c r="K478" s="2030"/>
      <c r="L478" s="2032"/>
      <c r="M478" s="2034"/>
    </row>
    <row r="479" spans="1:13" s="1378" customFormat="1" ht="14.25">
      <c r="A479" s="2030">
        <f t="shared" si="1"/>
        <v>470</v>
      </c>
      <c r="B479" s="2031"/>
      <c r="C479" s="2031"/>
      <c r="D479" s="2032"/>
      <c r="E479" s="2032"/>
      <c r="F479" s="2030"/>
      <c r="G479" s="2033"/>
      <c r="H479" s="2032"/>
      <c r="I479" s="2030"/>
      <c r="J479" s="2030"/>
      <c r="K479" s="2030"/>
      <c r="L479" s="2032"/>
      <c r="M479" s="2034"/>
    </row>
    <row r="480" spans="1:13" s="1378" customFormat="1" ht="14.25">
      <c r="A480" s="1938">
        <f t="shared" si="1"/>
        <v>471</v>
      </c>
      <c r="B480" s="1939"/>
      <c r="C480" s="1939"/>
      <c r="D480" s="1940"/>
      <c r="E480" s="1940"/>
      <c r="F480" s="1938"/>
      <c r="G480" s="1941"/>
      <c r="H480" s="1940"/>
      <c r="I480" s="1938"/>
      <c r="J480" s="1938"/>
      <c r="K480" s="1938"/>
      <c r="L480" s="1940"/>
      <c r="M480" s="1942"/>
    </row>
    <row r="481" spans="1:13" s="1378" customFormat="1" ht="14.25">
      <c r="A481" s="1938">
        <f t="shared" si="1"/>
        <v>472</v>
      </c>
      <c r="B481" s="1939"/>
      <c r="C481" s="1939"/>
      <c r="D481" s="1940"/>
      <c r="E481" s="1940"/>
      <c r="F481" s="1938"/>
      <c r="G481" s="1941"/>
      <c r="H481" s="1940"/>
      <c r="I481" s="1938"/>
      <c r="J481" s="1938"/>
      <c r="K481" s="1938"/>
      <c r="L481" s="1940"/>
      <c r="M481" s="1942"/>
    </row>
    <row r="482" spans="1:13" s="1378" customFormat="1" ht="14.25">
      <c r="A482" s="1938">
        <f t="shared" si="1"/>
        <v>473</v>
      </c>
      <c r="B482" s="1939"/>
      <c r="C482" s="1939"/>
      <c r="D482" s="1940"/>
      <c r="E482" s="1940"/>
      <c r="F482" s="1938"/>
      <c r="G482" s="1941"/>
      <c r="H482" s="1940"/>
      <c r="I482" s="1938"/>
      <c r="J482" s="1938"/>
      <c r="K482" s="1938"/>
      <c r="L482" s="1940"/>
      <c r="M482" s="1942"/>
    </row>
    <row r="483" spans="1:13" s="1378" customFormat="1" ht="14.25">
      <c r="A483" s="1938">
        <f t="shared" si="1"/>
        <v>474</v>
      </c>
      <c r="B483" s="1939"/>
      <c r="C483" s="1939"/>
      <c r="D483" s="1940"/>
      <c r="E483" s="1940"/>
      <c r="F483" s="1938"/>
      <c r="G483" s="1941"/>
      <c r="H483" s="1940"/>
      <c r="I483" s="1938"/>
      <c r="J483" s="1938"/>
      <c r="K483" s="1938"/>
      <c r="L483" s="1940"/>
      <c r="M483" s="1942"/>
    </row>
    <row r="484" spans="1:13" s="1378" customFormat="1" ht="14.25">
      <c r="A484" s="1938">
        <f t="shared" si="1"/>
        <v>475</v>
      </c>
      <c r="B484" s="1939"/>
      <c r="C484" s="1939"/>
      <c r="D484" s="1940"/>
      <c r="E484" s="1940"/>
      <c r="F484" s="1938"/>
      <c r="G484" s="1941"/>
      <c r="H484" s="1940"/>
      <c r="I484" s="1938"/>
      <c r="J484" s="1938"/>
      <c r="K484" s="1938"/>
      <c r="L484" s="1940"/>
      <c r="M484" s="1942"/>
    </row>
    <row r="485" spans="1:13" s="1378" customFormat="1" ht="14.25">
      <c r="A485" s="1938">
        <f t="shared" si="1"/>
        <v>476</v>
      </c>
      <c r="B485" s="1939"/>
      <c r="C485" s="1939"/>
      <c r="D485" s="1940"/>
      <c r="E485" s="1940"/>
      <c r="F485" s="1938"/>
      <c r="G485" s="1941"/>
      <c r="H485" s="1940"/>
      <c r="I485" s="1938"/>
      <c r="J485" s="1938"/>
      <c r="K485" s="1938"/>
      <c r="L485" s="1940"/>
      <c r="M485" s="1942"/>
    </row>
    <row r="486" spans="1:13" s="1378" customFormat="1" ht="14.25">
      <c r="A486" s="1938">
        <f t="shared" si="1"/>
        <v>477</v>
      </c>
      <c r="B486" s="1939"/>
      <c r="C486" s="1939"/>
      <c r="D486" s="1940"/>
      <c r="E486" s="1940"/>
      <c r="F486" s="1938"/>
      <c r="G486" s="1941"/>
      <c r="H486" s="1940"/>
      <c r="I486" s="1938"/>
      <c r="J486" s="1938"/>
      <c r="K486" s="1938"/>
      <c r="L486" s="1940"/>
      <c r="M486" s="1942"/>
    </row>
    <row r="487" spans="1:13" s="1378" customFormat="1" ht="14.25">
      <c r="A487" s="1938">
        <f t="shared" si="1"/>
        <v>478</v>
      </c>
      <c r="B487" s="1939"/>
      <c r="C487" s="1939"/>
      <c r="D487" s="1940"/>
      <c r="E487" s="1940"/>
      <c r="F487" s="1938"/>
      <c r="G487" s="1941"/>
      <c r="H487" s="1940"/>
      <c r="I487" s="1938"/>
      <c r="J487" s="1938"/>
      <c r="K487" s="1938"/>
      <c r="L487" s="1940"/>
      <c r="M487" s="1942"/>
    </row>
    <row r="488" spans="1:13" s="1378" customFormat="1" ht="14.25">
      <c r="A488" s="1938">
        <f t="shared" si="1"/>
        <v>479</v>
      </c>
      <c r="B488" s="1939"/>
      <c r="C488" s="1939"/>
      <c r="D488" s="1940"/>
      <c r="E488" s="1940"/>
      <c r="F488" s="1938"/>
      <c r="G488" s="1941"/>
      <c r="H488" s="1940"/>
      <c r="I488" s="1938"/>
      <c r="J488" s="1938"/>
      <c r="K488" s="1938"/>
      <c r="L488" s="1940"/>
      <c r="M488" s="1942"/>
    </row>
    <row r="489" spans="1:13" s="1378" customFormat="1" ht="14.25">
      <c r="A489" s="1938">
        <f t="shared" si="1"/>
        <v>480</v>
      </c>
      <c r="B489" s="1939"/>
      <c r="C489" s="1939"/>
      <c r="D489" s="1940"/>
      <c r="E489" s="1940"/>
      <c r="F489" s="1938"/>
      <c r="G489" s="1941"/>
      <c r="H489" s="1940"/>
      <c r="I489" s="1938"/>
      <c r="J489" s="1938"/>
      <c r="K489" s="1938"/>
      <c r="L489" s="1940"/>
      <c r="M489" s="1942"/>
    </row>
    <row r="490" spans="1:13" s="1378" customFormat="1" ht="14.25">
      <c r="A490" s="1938">
        <f t="shared" si="1"/>
        <v>481</v>
      </c>
      <c r="B490" s="1939"/>
      <c r="C490" s="1939"/>
      <c r="D490" s="1940"/>
      <c r="E490" s="1940"/>
      <c r="F490" s="1938"/>
      <c r="G490" s="1941"/>
      <c r="H490" s="1940"/>
      <c r="I490" s="1938"/>
      <c r="J490" s="1938"/>
      <c r="K490" s="1938"/>
      <c r="L490" s="1940"/>
      <c r="M490" s="1942"/>
    </row>
    <row r="491" spans="1:13" s="1378" customFormat="1" ht="14.25">
      <c r="A491" s="1938">
        <f t="shared" si="1"/>
        <v>482</v>
      </c>
      <c r="B491" s="1939"/>
      <c r="C491" s="1939"/>
      <c r="D491" s="1940"/>
      <c r="E491" s="1940"/>
      <c r="F491" s="1938"/>
      <c r="G491" s="1941"/>
      <c r="H491" s="1940"/>
      <c r="I491" s="1938"/>
      <c r="J491" s="1938"/>
      <c r="K491" s="1938"/>
      <c r="L491" s="1940"/>
      <c r="M491" s="1942"/>
    </row>
    <row r="492" spans="1:13" s="1378" customFormat="1" ht="14.25">
      <c r="A492" s="1938">
        <f t="shared" ref="A492:A508" si="2">A491+1</f>
        <v>483</v>
      </c>
      <c r="B492" s="1939"/>
      <c r="C492" s="1939"/>
      <c r="D492" s="1940"/>
      <c r="E492" s="1940"/>
      <c r="F492" s="1938"/>
      <c r="G492" s="1941"/>
      <c r="H492" s="1940"/>
      <c r="I492" s="1938"/>
      <c r="J492" s="1938"/>
      <c r="K492" s="1938"/>
      <c r="L492" s="1940"/>
      <c r="M492" s="1942"/>
    </row>
    <row r="493" spans="1:13" s="1378" customFormat="1" ht="14.25">
      <c r="A493" s="1938">
        <f t="shared" si="2"/>
        <v>484</v>
      </c>
      <c r="B493" s="1939"/>
      <c r="C493" s="1939"/>
      <c r="D493" s="1940"/>
      <c r="E493" s="1940"/>
      <c r="F493" s="1938"/>
      <c r="G493" s="1941"/>
      <c r="H493" s="1940"/>
      <c r="I493" s="1938"/>
      <c r="J493" s="1938"/>
      <c r="K493" s="1938"/>
      <c r="L493" s="1940"/>
      <c r="M493" s="1942"/>
    </row>
    <row r="494" spans="1:13" s="1378" customFormat="1" ht="14.25">
      <c r="A494" s="1938">
        <f t="shared" si="2"/>
        <v>485</v>
      </c>
      <c r="B494" s="1939"/>
      <c r="C494" s="1939"/>
      <c r="D494" s="1940"/>
      <c r="E494" s="1940"/>
      <c r="F494" s="1938"/>
      <c r="G494" s="1941"/>
      <c r="H494" s="1940"/>
      <c r="I494" s="1938"/>
      <c r="J494" s="1938"/>
      <c r="K494" s="1938"/>
      <c r="L494" s="1940"/>
      <c r="M494" s="1942"/>
    </row>
    <row r="495" spans="1:13" s="1378" customFormat="1" ht="14.25">
      <c r="A495" s="1938">
        <f t="shared" si="2"/>
        <v>486</v>
      </c>
      <c r="B495" s="1939"/>
      <c r="C495" s="1939"/>
      <c r="D495" s="1940"/>
      <c r="E495" s="1940"/>
      <c r="F495" s="1938"/>
      <c r="G495" s="1941"/>
      <c r="H495" s="1940"/>
      <c r="I495" s="1938"/>
      <c r="J495" s="1938"/>
      <c r="K495" s="1938"/>
      <c r="L495" s="1940"/>
      <c r="M495" s="1942"/>
    </row>
    <row r="496" spans="1:13" s="1378" customFormat="1" ht="14.25">
      <c r="A496" s="1938">
        <f t="shared" si="2"/>
        <v>487</v>
      </c>
      <c r="B496" s="1939"/>
      <c r="C496" s="1939"/>
      <c r="D496" s="1940"/>
      <c r="E496" s="1940"/>
      <c r="F496" s="1938"/>
      <c r="G496" s="1941"/>
      <c r="H496" s="1940"/>
      <c r="I496" s="1938"/>
      <c r="J496" s="1938"/>
      <c r="K496" s="1938"/>
      <c r="L496" s="1940"/>
      <c r="M496" s="1942"/>
    </row>
    <row r="497" spans="1:13" s="1378" customFormat="1" ht="14.25">
      <c r="A497" s="1938">
        <f t="shared" si="2"/>
        <v>488</v>
      </c>
      <c r="B497" s="1939"/>
      <c r="C497" s="1939"/>
      <c r="D497" s="1940"/>
      <c r="E497" s="1940"/>
      <c r="F497" s="1938"/>
      <c r="G497" s="1941"/>
      <c r="H497" s="1940"/>
      <c r="I497" s="1938"/>
      <c r="J497" s="1938"/>
      <c r="K497" s="1938"/>
      <c r="L497" s="1940"/>
      <c r="M497" s="1942"/>
    </row>
    <row r="498" spans="1:13" s="1378" customFormat="1" ht="14.25">
      <c r="A498" s="1938">
        <f t="shared" si="2"/>
        <v>489</v>
      </c>
      <c r="B498" s="1939"/>
      <c r="C498" s="1939"/>
      <c r="D498" s="1940"/>
      <c r="E498" s="1940"/>
      <c r="F498" s="1938"/>
      <c r="G498" s="1941"/>
      <c r="H498" s="1940"/>
      <c r="I498" s="1938"/>
      <c r="J498" s="1938"/>
      <c r="K498" s="1938"/>
      <c r="L498" s="1940"/>
      <c r="M498" s="1942"/>
    </row>
    <row r="499" spans="1:13" s="1378" customFormat="1" ht="14.25">
      <c r="A499" s="1938">
        <f t="shared" si="2"/>
        <v>490</v>
      </c>
      <c r="B499" s="1939"/>
      <c r="C499" s="1939"/>
      <c r="D499" s="1940"/>
      <c r="E499" s="1940"/>
      <c r="F499" s="1938"/>
      <c r="G499" s="1941"/>
      <c r="H499" s="1940"/>
      <c r="I499" s="1938"/>
      <c r="J499" s="1938"/>
      <c r="K499" s="1938"/>
      <c r="L499" s="1940"/>
      <c r="M499" s="1942"/>
    </row>
    <row r="500" spans="1:13" s="1378" customFormat="1" ht="14.25">
      <c r="A500" s="1938">
        <f t="shared" si="2"/>
        <v>491</v>
      </c>
      <c r="B500" s="1939"/>
      <c r="C500" s="1939"/>
      <c r="D500" s="1940"/>
      <c r="E500" s="1940"/>
      <c r="F500" s="1938"/>
      <c r="G500" s="1941"/>
      <c r="H500" s="1940"/>
      <c r="I500" s="1938"/>
      <c r="J500" s="1938"/>
      <c r="K500" s="1938"/>
      <c r="L500" s="1940"/>
      <c r="M500" s="1942"/>
    </row>
    <row r="501" spans="1:13" s="1378" customFormat="1" ht="14.25">
      <c r="A501" s="1938">
        <f t="shared" si="2"/>
        <v>492</v>
      </c>
      <c r="B501" s="1939"/>
      <c r="C501" s="1939"/>
      <c r="D501" s="1940"/>
      <c r="E501" s="1940"/>
      <c r="F501" s="1938"/>
      <c r="G501" s="1941"/>
      <c r="H501" s="1940"/>
      <c r="I501" s="1938"/>
      <c r="J501" s="1938"/>
      <c r="K501" s="1938"/>
      <c r="L501" s="1940"/>
      <c r="M501" s="1942"/>
    </row>
    <row r="502" spans="1:13" s="1378" customFormat="1" ht="14.25">
      <c r="A502" s="1938">
        <f t="shared" si="2"/>
        <v>493</v>
      </c>
      <c r="B502" s="1939"/>
      <c r="C502" s="1939"/>
      <c r="D502" s="1940"/>
      <c r="E502" s="1940"/>
      <c r="F502" s="1938"/>
      <c r="G502" s="1941"/>
      <c r="H502" s="1940"/>
      <c r="I502" s="1938"/>
      <c r="J502" s="1938"/>
      <c r="K502" s="1938"/>
      <c r="L502" s="1940"/>
      <c r="M502" s="1942"/>
    </row>
    <row r="503" spans="1:13" s="1378" customFormat="1" ht="14.25">
      <c r="A503" s="1938">
        <f t="shared" si="2"/>
        <v>494</v>
      </c>
      <c r="B503" s="1939"/>
      <c r="C503" s="1939"/>
      <c r="D503" s="1940"/>
      <c r="E503" s="1940"/>
      <c r="F503" s="1938"/>
      <c r="G503" s="1941"/>
      <c r="H503" s="1940"/>
      <c r="I503" s="1938"/>
      <c r="J503" s="1938"/>
      <c r="K503" s="1938"/>
      <c r="L503" s="1940"/>
      <c r="M503" s="1942"/>
    </row>
    <row r="504" spans="1:13" s="1378" customFormat="1" ht="14.25">
      <c r="A504" s="1938">
        <f t="shared" si="2"/>
        <v>495</v>
      </c>
      <c r="B504" s="1939"/>
      <c r="C504" s="1939"/>
      <c r="D504" s="1940"/>
      <c r="E504" s="1940"/>
      <c r="F504" s="1938"/>
      <c r="G504" s="1941"/>
      <c r="H504" s="1940"/>
      <c r="I504" s="1938"/>
      <c r="J504" s="1938"/>
      <c r="K504" s="1938"/>
      <c r="L504" s="1940"/>
      <c r="M504" s="1942"/>
    </row>
    <row r="505" spans="1:13" s="1378" customFormat="1" ht="14.25">
      <c r="A505" s="1938">
        <f t="shared" si="2"/>
        <v>496</v>
      </c>
      <c r="B505" s="1939"/>
      <c r="C505" s="1939"/>
      <c r="D505" s="1940"/>
      <c r="E505" s="1940"/>
      <c r="F505" s="1938"/>
      <c r="G505" s="1941"/>
      <c r="H505" s="1940"/>
      <c r="I505" s="1938"/>
      <c r="J505" s="1938"/>
      <c r="K505" s="1938"/>
      <c r="L505" s="1940"/>
      <c r="M505" s="1942"/>
    </row>
    <row r="506" spans="1:13" s="1378" customFormat="1" ht="14.25">
      <c r="A506" s="1938">
        <f t="shared" si="2"/>
        <v>497</v>
      </c>
      <c r="B506" s="1939"/>
      <c r="C506" s="1939"/>
      <c r="D506" s="1940"/>
      <c r="E506" s="1940"/>
      <c r="F506" s="1938"/>
      <c r="G506" s="1941"/>
      <c r="H506" s="1940"/>
      <c r="I506" s="1938"/>
      <c r="J506" s="1938"/>
      <c r="K506" s="1938"/>
      <c r="L506" s="1940"/>
      <c r="M506" s="1942"/>
    </row>
    <row r="507" spans="1:13" s="1378" customFormat="1" ht="14.25">
      <c r="A507" s="1938">
        <f t="shared" si="2"/>
        <v>498</v>
      </c>
      <c r="B507" s="1939"/>
      <c r="C507" s="1939"/>
      <c r="D507" s="1940"/>
      <c r="E507" s="1940"/>
      <c r="F507" s="1938"/>
      <c r="G507" s="1941"/>
      <c r="H507" s="1940"/>
      <c r="I507" s="1938"/>
      <c r="J507" s="1938"/>
      <c r="K507" s="1938"/>
      <c r="L507" s="1940"/>
      <c r="M507" s="1942"/>
    </row>
    <row r="508" spans="1:13" s="1378" customFormat="1" ht="14.25">
      <c r="A508" s="1938">
        <f t="shared" si="2"/>
        <v>499</v>
      </c>
      <c r="B508" s="1939"/>
      <c r="C508" s="1939"/>
      <c r="D508" s="1940"/>
      <c r="E508" s="1940"/>
      <c r="F508" s="1938"/>
      <c r="G508" s="1941"/>
      <c r="H508" s="1940"/>
      <c r="I508" s="1938"/>
      <c r="J508" s="1938"/>
      <c r="K508" s="1938"/>
      <c r="L508" s="1940"/>
      <c r="M508" s="1942"/>
    </row>
    <row r="509" spans="1:13" s="1378" customFormat="1" ht="14.25">
      <c r="B509" s="1535"/>
      <c r="D509" s="1582"/>
      <c r="E509" s="1582"/>
      <c r="F509" s="1583"/>
      <c r="G509" s="1583"/>
      <c r="H509" s="1583"/>
      <c r="I509" s="1583"/>
      <c r="J509" s="1583"/>
      <c r="K509" s="1583"/>
      <c r="L509" s="1582"/>
    </row>
    <row r="510" spans="1:13" s="1378" customFormat="1" ht="14.25">
      <c r="B510" s="1535"/>
      <c r="D510" s="1582"/>
      <c r="E510" s="1582"/>
      <c r="F510" s="1583"/>
      <c r="G510" s="1583"/>
      <c r="H510" s="1583"/>
      <c r="I510" s="1583"/>
      <c r="J510" s="1583"/>
      <c r="K510" s="1583"/>
      <c r="L510" s="1582"/>
    </row>
    <row r="511" spans="1:13" s="1378" customFormat="1" ht="14.25">
      <c r="B511" s="1535"/>
      <c r="D511" s="1582"/>
      <c r="E511" s="1582"/>
      <c r="F511" s="1583"/>
      <c r="G511" s="1583"/>
      <c r="H511" s="1583"/>
      <c r="I511" s="1583"/>
      <c r="J511" s="1583"/>
      <c r="K511" s="1583"/>
      <c r="L511" s="1582"/>
    </row>
    <row r="512" spans="1:13" s="1378" customFormat="1" ht="14.25">
      <c r="B512" s="1535"/>
      <c r="D512" s="1582"/>
      <c r="E512" s="1582"/>
      <c r="F512" s="1583"/>
      <c r="G512" s="1583"/>
      <c r="H512" s="1583"/>
      <c r="I512" s="1583"/>
      <c r="J512" s="1583"/>
      <c r="K512" s="1583"/>
      <c r="L512" s="1582"/>
    </row>
    <row r="513" spans="2:12" s="1378" customFormat="1" ht="14.25">
      <c r="B513" s="1535"/>
      <c r="D513" s="1582"/>
      <c r="E513" s="1582"/>
      <c r="F513" s="1583"/>
      <c r="G513" s="1583"/>
      <c r="H513" s="1583"/>
      <c r="I513" s="1583"/>
      <c r="J513" s="1583"/>
      <c r="K513" s="1583"/>
      <c r="L513" s="1582"/>
    </row>
    <row r="514" spans="2:12" s="1378" customFormat="1" ht="14.25">
      <c r="B514" s="1535"/>
      <c r="D514" s="1582"/>
      <c r="E514" s="1582"/>
      <c r="F514" s="1583"/>
      <c r="G514" s="1583"/>
      <c r="H514" s="1583"/>
      <c r="I514" s="1583"/>
      <c r="J514" s="1583"/>
      <c r="K514" s="1583"/>
      <c r="L514" s="1582"/>
    </row>
    <row r="515" spans="2:12" s="1378" customFormat="1" ht="14.25">
      <c r="B515" s="1535"/>
      <c r="D515" s="1582"/>
      <c r="E515" s="1582"/>
      <c r="F515" s="1583"/>
      <c r="G515" s="1583"/>
      <c r="H515" s="1583"/>
      <c r="I515" s="1583"/>
      <c r="J515" s="1583"/>
      <c r="K515" s="1583"/>
      <c r="L515" s="1582"/>
    </row>
    <row r="516" spans="2:12" s="1378" customFormat="1" ht="14.25">
      <c r="B516" s="1535"/>
      <c r="D516" s="1582"/>
      <c r="E516" s="1582"/>
      <c r="F516" s="1583"/>
      <c r="G516" s="1583"/>
      <c r="H516" s="1583"/>
      <c r="I516" s="1583"/>
      <c r="J516" s="1583"/>
      <c r="K516" s="1583"/>
      <c r="L516" s="1582"/>
    </row>
    <row r="517" spans="2:12" s="1378" customFormat="1" ht="14.25">
      <c r="B517" s="1535"/>
      <c r="D517" s="1582"/>
      <c r="E517" s="1582"/>
      <c r="F517" s="1583"/>
      <c r="G517" s="1583"/>
      <c r="H517" s="1583"/>
      <c r="I517" s="1583"/>
      <c r="J517" s="1583"/>
      <c r="K517" s="1583"/>
      <c r="L517" s="1582"/>
    </row>
    <row r="518" spans="2:12" s="1378" customFormat="1" ht="14.25">
      <c r="B518" s="1535"/>
      <c r="D518" s="1582"/>
      <c r="E518" s="1582"/>
      <c r="F518" s="1583"/>
      <c r="G518" s="1583"/>
      <c r="H518" s="1583"/>
      <c r="I518" s="1583"/>
      <c r="J518" s="1583"/>
      <c r="K518" s="1583"/>
      <c r="L518" s="1582"/>
    </row>
    <row r="519" spans="2:12" s="1378" customFormat="1" ht="14.25">
      <c r="B519" s="1535"/>
      <c r="D519" s="1582"/>
      <c r="E519" s="1582"/>
      <c r="F519" s="1583"/>
      <c r="G519" s="1583"/>
      <c r="H519" s="1583"/>
      <c r="I519" s="1583"/>
      <c r="J519" s="1583"/>
      <c r="K519" s="1583"/>
      <c r="L519" s="1582"/>
    </row>
    <row r="520" spans="2:12" s="1378" customFormat="1" ht="14.25">
      <c r="B520" s="1535"/>
      <c r="D520" s="1582"/>
      <c r="E520" s="1582"/>
      <c r="F520" s="1583"/>
      <c r="G520" s="1583"/>
      <c r="H520" s="1583"/>
      <c r="I520" s="1583"/>
      <c r="J520" s="1583"/>
      <c r="K520" s="1583"/>
      <c r="L520" s="1582"/>
    </row>
    <row r="521" spans="2:12" s="1378" customFormat="1" ht="14.25">
      <c r="B521" s="1535"/>
      <c r="D521" s="1582"/>
      <c r="E521" s="1582"/>
      <c r="F521" s="1583"/>
      <c r="G521" s="1583"/>
      <c r="H521" s="1583"/>
      <c r="I521" s="1583"/>
      <c r="J521" s="1583"/>
      <c r="K521" s="1583"/>
      <c r="L521" s="1582"/>
    </row>
    <row r="522" spans="2:12" s="1378" customFormat="1" ht="14.25">
      <c r="B522" s="1535"/>
      <c r="D522" s="1582"/>
      <c r="E522" s="1582"/>
      <c r="F522" s="1583"/>
      <c r="G522" s="1583"/>
      <c r="H522" s="1583"/>
      <c r="I522" s="1583"/>
      <c r="J522" s="1583"/>
      <c r="K522" s="1583"/>
      <c r="L522" s="1582"/>
    </row>
    <row r="523" spans="2:12" s="1378" customFormat="1" ht="14.25">
      <c r="B523" s="1535"/>
      <c r="D523" s="1582"/>
      <c r="E523" s="1582"/>
      <c r="F523" s="1583"/>
      <c r="G523" s="1583"/>
      <c r="H523" s="1583"/>
      <c r="I523" s="1583"/>
      <c r="J523" s="1583"/>
      <c r="K523" s="1583"/>
      <c r="L523" s="1582"/>
    </row>
    <row r="524" spans="2:12" s="1378" customFormat="1" ht="14.25">
      <c r="B524" s="1535"/>
      <c r="D524" s="1582"/>
      <c r="E524" s="1582"/>
      <c r="F524" s="1583"/>
      <c r="G524" s="1583"/>
      <c r="H524" s="1583"/>
      <c r="I524" s="1583"/>
      <c r="J524" s="1583"/>
      <c r="K524" s="1583"/>
      <c r="L524" s="1582"/>
    </row>
    <row r="525" spans="2:12" s="1378" customFormat="1" ht="14.25">
      <c r="B525" s="1535"/>
      <c r="D525" s="1582"/>
      <c r="E525" s="1582"/>
      <c r="F525" s="1583"/>
      <c r="G525" s="1583"/>
      <c r="H525" s="1583"/>
      <c r="I525" s="1583"/>
      <c r="J525" s="1583"/>
      <c r="K525" s="1583"/>
      <c r="L525" s="1582"/>
    </row>
    <row r="526" spans="2:12" s="1378" customFormat="1" ht="14.25">
      <c r="B526" s="1535"/>
      <c r="D526" s="1582"/>
      <c r="E526" s="1582"/>
      <c r="F526" s="1583"/>
      <c r="G526" s="1583"/>
      <c r="H526" s="1583"/>
      <c r="I526" s="1583"/>
      <c r="J526" s="1583"/>
      <c r="K526" s="1583"/>
      <c r="L526" s="1582"/>
    </row>
    <row r="527" spans="2:12" s="1378" customFormat="1" ht="14.25">
      <c r="B527" s="1535"/>
      <c r="D527" s="1582"/>
      <c r="E527" s="1582"/>
      <c r="F527" s="1583"/>
      <c r="G527" s="1583"/>
      <c r="H527" s="1583"/>
      <c r="I527" s="1583"/>
      <c r="J527" s="1583"/>
      <c r="K527" s="1583"/>
      <c r="L527" s="1582"/>
    </row>
    <row r="528" spans="2:12" s="1378" customFormat="1" ht="14.25">
      <c r="B528" s="1535"/>
      <c r="D528" s="1582"/>
      <c r="E528" s="1582"/>
      <c r="F528" s="1583"/>
      <c r="G528" s="1583"/>
      <c r="H528" s="1583"/>
      <c r="I528" s="1583"/>
      <c r="J528" s="1583"/>
      <c r="K528" s="1583"/>
      <c r="L528" s="1582"/>
    </row>
    <row r="529" spans="2:12" s="1378" customFormat="1" ht="14.25">
      <c r="B529" s="1535"/>
      <c r="D529" s="1582"/>
      <c r="E529" s="1582"/>
      <c r="F529" s="1583"/>
      <c r="G529" s="1583"/>
      <c r="H529" s="1583"/>
      <c r="I529" s="1583"/>
      <c r="J529" s="1583"/>
      <c r="K529" s="1583"/>
      <c r="L529" s="1582"/>
    </row>
    <row r="530" spans="2:12" s="1378" customFormat="1" ht="14.25">
      <c r="B530" s="1535"/>
      <c r="D530" s="1582"/>
      <c r="E530" s="1582"/>
      <c r="F530" s="1583"/>
      <c r="G530" s="1583"/>
      <c r="H530" s="1583"/>
      <c r="I530" s="1583"/>
      <c r="J530" s="1583"/>
      <c r="K530" s="1583"/>
      <c r="L530" s="1582"/>
    </row>
    <row r="531" spans="2:12" s="1378" customFormat="1" ht="14.25">
      <c r="B531" s="1535"/>
      <c r="D531" s="1582"/>
      <c r="E531" s="1582"/>
      <c r="F531" s="1583"/>
      <c r="G531" s="1583"/>
      <c r="H531" s="1583"/>
      <c r="I531" s="1583"/>
      <c r="J531" s="1583"/>
      <c r="K531" s="1583"/>
      <c r="L531" s="1582"/>
    </row>
    <row r="532" spans="2:12" s="1378" customFormat="1" ht="14.25">
      <c r="B532" s="1535"/>
      <c r="D532" s="1582"/>
      <c r="E532" s="1582"/>
      <c r="F532" s="1583"/>
      <c r="G532" s="1583"/>
      <c r="H532" s="1583"/>
      <c r="I532" s="1583"/>
      <c r="J532" s="1583"/>
      <c r="K532" s="1583"/>
      <c r="L532" s="1582"/>
    </row>
    <row r="533" spans="2:12" s="1378" customFormat="1" ht="14.25">
      <c r="B533" s="1535"/>
      <c r="D533" s="1582"/>
      <c r="E533" s="1582"/>
      <c r="F533" s="1583"/>
      <c r="G533" s="1583"/>
      <c r="H533" s="1583"/>
      <c r="I533" s="1583"/>
      <c r="J533" s="1583"/>
      <c r="K533" s="1583"/>
      <c r="L533" s="1582"/>
    </row>
    <row r="534" spans="2:12" s="1378" customFormat="1" ht="14.25">
      <c r="B534" s="1535"/>
      <c r="D534" s="1582"/>
      <c r="E534" s="1582"/>
      <c r="F534" s="1583"/>
      <c r="G534" s="1583"/>
      <c r="H534" s="1583"/>
      <c r="I534" s="1583"/>
      <c r="J534" s="1583"/>
      <c r="K534" s="1583"/>
      <c r="L534" s="1582"/>
    </row>
    <row r="535" spans="2:12" s="1378" customFormat="1" ht="14.25">
      <c r="B535" s="1535"/>
      <c r="D535" s="1582"/>
      <c r="E535" s="1582"/>
      <c r="F535" s="1583"/>
      <c r="G535" s="1583"/>
      <c r="H535" s="1583"/>
      <c r="I535" s="1583"/>
      <c r="J535" s="1583"/>
      <c r="K535" s="1583"/>
      <c r="L535" s="1582"/>
    </row>
    <row r="536" spans="2:12" s="1378" customFormat="1" ht="14.25">
      <c r="B536" s="1535"/>
      <c r="D536" s="1582"/>
      <c r="E536" s="1582"/>
      <c r="F536" s="1583"/>
      <c r="G536" s="1583"/>
      <c r="H536" s="1583"/>
      <c r="I536" s="1583"/>
      <c r="J536" s="1583"/>
      <c r="K536" s="1583"/>
      <c r="L536" s="1582"/>
    </row>
    <row r="537" spans="2:12" s="1378" customFormat="1" ht="14.25">
      <c r="B537" s="1535"/>
      <c r="D537" s="1582"/>
      <c r="E537" s="1582"/>
      <c r="F537" s="1583"/>
      <c r="G537" s="1583"/>
      <c r="H537" s="1583"/>
      <c r="I537" s="1583"/>
      <c r="J537" s="1583"/>
      <c r="K537" s="1583"/>
      <c r="L537" s="1582"/>
    </row>
    <row r="538" spans="2:12" s="1378" customFormat="1" ht="14.25">
      <c r="B538" s="1535"/>
      <c r="D538" s="1582"/>
      <c r="E538" s="1582"/>
      <c r="F538" s="1583"/>
      <c r="G538" s="1583"/>
      <c r="H538" s="1583"/>
      <c r="I538" s="1583"/>
      <c r="J538" s="1583"/>
      <c r="K538" s="1583"/>
      <c r="L538" s="1582"/>
    </row>
  </sheetData>
  <autoFilter ref="A9:M508" xr:uid="{00000000-0009-0000-0000-000022000000}"/>
  <mergeCells count="1">
    <mergeCell ref="E3:F3"/>
  </mergeCells>
  <phoneticPr fontId="180" type="noConversion"/>
  <conditionalFormatting sqref="C270:C274">
    <cfRule type="expression" dxfId="10" priority="118">
      <formula>#REF!="NFI"</formula>
    </cfRule>
  </conditionalFormatting>
  <conditionalFormatting sqref="C278:C295">
    <cfRule type="expression" dxfId="9" priority="41">
      <formula>$O278="NFI"</formula>
    </cfRule>
  </conditionalFormatting>
  <conditionalFormatting sqref="D279:D289">
    <cfRule type="expression" dxfId="8" priority="45">
      <formula>$O279="NFI"</formula>
    </cfRule>
  </conditionalFormatting>
  <conditionalFormatting sqref="D291:D295">
    <cfRule type="expression" dxfId="7" priority="39">
      <formula>$O291="NFI"</formula>
    </cfRule>
  </conditionalFormatting>
  <conditionalFormatting sqref="J385:K390">
    <cfRule type="expression" dxfId="6" priority="9">
      <formula>$R385="NFI"</formula>
    </cfRule>
  </conditionalFormatting>
  <conditionalFormatting sqref="J392:K408">
    <cfRule type="expression" dxfId="5" priority="2">
      <formula>$R392="NFI"</formula>
    </cfRule>
  </conditionalFormatting>
  <conditionalFormatting sqref="K348">
    <cfRule type="expression" dxfId="4" priority="17">
      <formula>$O348="NFI"</formula>
    </cfRule>
  </conditionalFormatting>
  <hyperlinks>
    <hyperlink ref="D3" r:id="rId1" xr:uid="{00000000-0004-0000-2200-000000000000}"/>
    <hyperlink ref="E3" r:id="rId2" xr:uid="{00000000-0004-0000-2200-000001000000}"/>
    <hyperlink ref="L427" r:id="rId3" xr:uid="{4815AD6F-7423-4216-885A-936607FE116B}"/>
    <hyperlink ref="L429" r:id="rId4" xr:uid="{8572FFF5-1C64-4402-BFF1-9F37DB005211}"/>
    <hyperlink ref="L430" r:id="rId5" xr:uid="{6886ABDA-BC6B-4049-85E7-BB58A5E792DD}"/>
    <hyperlink ref="L431" r:id="rId6" xr:uid="{08314CEA-9DA2-4528-B6AE-17F1F8A9128B}"/>
    <hyperlink ref="L432" r:id="rId7" xr:uid="{6F3B13F5-E396-46C9-A5D5-103A1EA0FD9C}"/>
    <hyperlink ref="L433" r:id="rId8" xr:uid="{FC22195B-A143-4986-A4BA-1A15972B1720}"/>
    <hyperlink ref="L434" r:id="rId9" xr:uid="{576C3CDF-15F2-4AB5-9355-DC2BA325D347}"/>
    <hyperlink ref="L435" r:id="rId10" xr:uid="{ECD15D35-825A-4811-945E-6F4F7C31D528}"/>
    <hyperlink ref="L436" r:id="rId11" xr:uid="{C30AF782-C99B-434D-9655-C175764633DC}"/>
    <hyperlink ref="L437" r:id="rId12" xr:uid="{0197511B-C3F4-4123-A4DF-4E10CE673180}"/>
    <hyperlink ref="L438" r:id="rId13" xr:uid="{8BBAA9DD-476B-4C81-898C-AAAFB5392B19}"/>
    <hyperlink ref="L439" r:id="rId14" xr:uid="{B3BE61C2-807C-49BF-A400-EBB696EF43E1}"/>
    <hyperlink ref="L440" r:id="rId15" xr:uid="{56914E06-994E-4870-AD10-0CC8E5D64B3F}"/>
  </hyperlinks>
  <printOptions horizontalCentered="1"/>
  <pageMargins left="0.39370078740157483" right="0.39370078740157483" top="0.78740157480314965" bottom="0.78740157480314965" header="0.31496062992125984" footer="0.31496062992125984"/>
  <pageSetup paperSize="8" scale="57"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FCC94-3A8D-45DF-88A1-417F86F3918D}">
  <sheetPr>
    <pageSetUpPr fitToPage="1"/>
  </sheetPr>
  <dimension ref="A1:DC685"/>
  <sheetViews>
    <sheetView zoomScale="80" zoomScaleNormal="80" workbookViewId="0">
      <pane ySplit="9" topLeftCell="A10" activePane="bottomLeft" state="frozen"/>
      <selection activeCell="G4" sqref="G4"/>
      <selection pane="bottomLeft"/>
    </sheetView>
  </sheetViews>
  <sheetFormatPr defaultRowHeight="13.5"/>
  <cols>
    <col min="2" max="2" width="13.625" style="1237" customWidth="1"/>
    <col min="3" max="3" width="24.25" customWidth="1"/>
    <col min="4" max="4" width="43.375" style="1239" customWidth="1"/>
    <col min="5" max="5" width="9.875" style="1239" customWidth="1"/>
    <col min="6" max="6" width="13.375" style="1238" customWidth="1"/>
    <col min="7" max="7" width="12.375" style="1238" customWidth="1"/>
    <col min="8" max="8" width="41.75" style="1238" customWidth="1"/>
    <col min="9" max="9" width="9.125" style="1238" customWidth="1"/>
    <col min="10" max="10" width="15.75" style="1238" customWidth="1"/>
    <col min="11" max="11" width="15.875" style="1238" customWidth="1"/>
    <col min="12" max="12" width="95.625" style="1239" bestFit="1" customWidth="1"/>
    <col min="13" max="13" width="13.875" customWidth="1"/>
    <col min="16" max="16" width="10.125" bestFit="1" customWidth="1"/>
  </cols>
  <sheetData>
    <row r="1" spans="1:107" s="46" customFormat="1" ht="32.25">
      <c r="A1" s="700" t="s">
        <v>4904</v>
      </c>
      <c r="B1" s="1241"/>
      <c r="C1" s="387"/>
      <c r="D1" s="1243"/>
      <c r="E1" s="1243"/>
      <c r="F1" s="1240"/>
      <c r="G1" s="1240"/>
      <c r="H1" s="1240"/>
      <c r="I1" s="1240"/>
      <c r="J1" s="1240"/>
      <c r="K1" s="1240"/>
      <c r="L1" s="1242"/>
      <c r="M1" s="390"/>
      <c r="N1" s="1554"/>
      <c r="O1" s="1554"/>
      <c r="P1" s="1555"/>
      <c r="Q1" s="1554"/>
      <c r="R1" s="1555"/>
      <c r="S1" s="1554"/>
      <c r="T1" s="1554"/>
      <c r="U1" s="1554"/>
      <c r="V1" s="1556"/>
      <c r="W1" s="1554"/>
      <c r="X1" s="1556"/>
      <c r="Y1" s="1555"/>
      <c r="Z1" s="1555"/>
      <c r="AA1" s="1555"/>
      <c r="AB1" s="1555"/>
      <c r="AC1" s="1555"/>
      <c r="AD1" s="1555"/>
      <c r="AE1" s="1554"/>
      <c r="AF1" s="1554"/>
      <c r="AG1" s="1554"/>
      <c r="AH1" s="1554"/>
      <c r="AI1" s="1554"/>
      <c r="AJ1" s="1554"/>
      <c r="AK1" s="1554"/>
      <c r="AL1" s="1554"/>
      <c r="AM1" s="1554"/>
      <c r="AN1" s="1554"/>
      <c r="AO1" s="1554"/>
      <c r="AP1" s="1554"/>
      <c r="AQ1" s="1557"/>
      <c r="AR1" s="1554"/>
      <c r="AS1" s="1554"/>
      <c r="AT1" s="1554"/>
      <c r="AU1" s="1554"/>
      <c r="AV1" s="1554"/>
      <c r="AW1" s="1554"/>
      <c r="AX1" s="1554"/>
      <c r="AY1" s="1554"/>
      <c r="AZ1" s="1554"/>
      <c r="BA1" s="1554"/>
      <c r="BB1" s="1554"/>
      <c r="BC1" s="1554"/>
      <c r="BD1" s="1554"/>
      <c r="BE1" s="1554"/>
      <c r="BF1" s="1554"/>
      <c r="BG1" s="1554"/>
      <c r="BH1" s="1554"/>
      <c r="BI1" s="1558"/>
      <c r="BJ1" s="1555"/>
      <c r="BK1" s="1555"/>
      <c r="BL1" s="1555"/>
      <c r="BM1" s="1555"/>
      <c r="BN1" s="1555"/>
      <c r="BO1" s="1556"/>
      <c r="BP1" s="1556"/>
      <c r="BQ1" s="1556"/>
      <c r="BR1" s="1556"/>
      <c r="BS1" s="1556"/>
      <c r="BT1" s="1556"/>
      <c r="BU1" s="1556"/>
      <c r="BV1" s="1556"/>
      <c r="BW1" s="1556"/>
      <c r="BX1" s="1556"/>
      <c r="BY1" s="1558"/>
      <c r="BZ1" s="1556"/>
      <c r="CA1" s="1556"/>
      <c r="CB1" s="1556"/>
      <c r="CC1" s="1556"/>
      <c r="CD1" s="1556"/>
      <c r="CE1" s="1556"/>
      <c r="CF1" s="1556"/>
      <c r="CG1" s="1556"/>
      <c r="CH1" s="1556"/>
      <c r="CI1" s="1556"/>
      <c r="CJ1" s="1556"/>
      <c r="CK1" s="1556"/>
      <c r="CL1" s="1556"/>
      <c r="CM1" s="1556"/>
      <c r="CN1" s="1556"/>
      <c r="CO1" s="1556"/>
      <c r="CP1" s="1556"/>
      <c r="CQ1" s="1556"/>
      <c r="CR1" s="1556"/>
      <c r="CS1" s="1559"/>
      <c r="CT1" s="1556"/>
      <c r="CU1" s="1556"/>
      <c r="CV1" s="1556"/>
      <c r="CW1" s="1556"/>
      <c r="CX1" s="1556"/>
      <c r="CY1" s="1556"/>
      <c r="CZ1" s="1556"/>
      <c r="DA1" s="1555"/>
      <c r="DB1" s="1556"/>
      <c r="DC1" s="1558"/>
    </row>
    <row r="2" spans="1:107" s="1378" customFormat="1" ht="14.25">
      <c r="A2" s="1378" t="s">
        <v>4905</v>
      </c>
      <c r="B2" s="1535"/>
      <c r="D2" s="1582" t="s">
        <v>4906</v>
      </c>
      <c r="E2" s="1582"/>
      <c r="F2" s="1583"/>
      <c r="G2" s="1583"/>
      <c r="H2" s="1583"/>
      <c r="I2" s="1583"/>
      <c r="J2" s="1583"/>
      <c r="K2" s="1583"/>
      <c r="L2" s="1582"/>
    </row>
    <row r="3" spans="1:107" s="1378" customFormat="1" ht="14.25">
      <c r="A3" s="1584"/>
      <c r="B3" s="1535" t="s">
        <v>5119</v>
      </c>
      <c r="D3" s="1585" t="s">
        <v>4908</v>
      </c>
      <c r="E3" s="2153" t="s">
        <v>4909</v>
      </c>
      <c r="F3" s="2154"/>
      <c r="G3" s="1583"/>
      <c r="H3" s="1583"/>
      <c r="I3" s="1583"/>
      <c r="J3" s="1583"/>
      <c r="K3" s="1583"/>
      <c r="L3" s="1582"/>
    </row>
    <row r="4" spans="1:107" s="1378" customFormat="1" ht="14.25">
      <c r="A4" s="1586"/>
      <c r="B4" s="1535" t="s">
        <v>5120</v>
      </c>
      <c r="D4" s="1585"/>
      <c r="E4" s="1585"/>
      <c r="F4" s="1583"/>
      <c r="G4" s="1583"/>
      <c r="H4" s="1583"/>
      <c r="I4" s="1583"/>
      <c r="J4" s="1583"/>
      <c r="K4" s="1583"/>
      <c r="L4" s="1582"/>
    </row>
    <row r="5" spans="1:107" s="1378" customFormat="1" ht="14.25">
      <c r="A5" s="1587"/>
      <c r="B5" s="1535" t="s">
        <v>5121</v>
      </c>
      <c r="D5" s="1585"/>
      <c r="E5" s="1585"/>
      <c r="F5" s="1583"/>
      <c r="G5" s="1583"/>
      <c r="H5" s="1583"/>
      <c r="I5" s="1583"/>
      <c r="J5" s="1583"/>
      <c r="K5" s="1583"/>
      <c r="L5" s="1582"/>
    </row>
    <row r="6" spans="1:107" s="1378" customFormat="1" ht="14.25">
      <c r="A6" s="1948"/>
      <c r="B6" s="1535" t="s">
        <v>4912</v>
      </c>
      <c r="D6" s="1582"/>
      <c r="E6" s="1582"/>
      <c r="F6" s="1583"/>
      <c r="G6" s="1583"/>
      <c r="H6" s="1583"/>
      <c r="I6" s="1583"/>
      <c r="J6" s="1583"/>
      <c r="K6" s="1583"/>
      <c r="L6" s="1582"/>
    </row>
    <row r="7" spans="1:107" s="1378" customFormat="1" ht="14.25">
      <c r="A7" s="2043"/>
      <c r="B7" s="1535" t="s">
        <v>4913</v>
      </c>
      <c r="D7" s="1582"/>
      <c r="E7" s="1582"/>
      <c r="F7" s="1583"/>
      <c r="G7" s="1583"/>
      <c r="H7" s="1583"/>
      <c r="I7" s="1583"/>
      <c r="J7" s="1583"/>
      <c r="K7" s="1583"/>
      <c r="L7" s="1582"/>
    </row>
    <row r="8" spans="1:107" s="1378" customFormat="1" ht="14.25">
      <c r="A8" s="2028"/>
      <c r="B8" s="1535"/>
      <c r="D8" s="1582"/>
      <c r="E8" s="1582"/>
      <c r="F8" s="1583"/>
      <c r="G8" s="1583"/>
      <c r="H8" s="1583"/>
      <c r="I8" s="1583"/>
      <c r="J8" s="1583"/>
      <c r="K8" s="1583"/>
      <c r="L8" s="1582"/>
    </row>
    <row r="9" spans="1:107" s="1378" customFormat="1" ht="28.5">
      <c r="A9" s="1588" t="s">
        <v>393</v>
      </c>
      <c r="B9" s="1589" t="s">
        <v>4914</v>
      </c>
      <c r="C9" s="1588" t="s">
        <v>1566</v>
      </c>
      <c r="D9" s="1590" t="s">
        <v>4915</v>
      </c>
      <c r="E9" s="1590" t="s">
        <v>4916</v>
      </c>
      <c r="F9" s="1591" t="s">
        <v>4917</v>
      </c>
      <c r="G9" s="1592" t="s">
        <v>4918</v>
      </c>
      <c r="H9" s="1592" t="s">
        <v>4919</v>
      </c>
      <c r="I9" s="1591" t="s">
        <v>4920</v>
      </c>
      <c r="J9" s="1591" t="s">
        <v>4921</v>
      </c>
      <c r="K9" s="1591" t="s">
        <v>4922</v>
      </c>
      <c r="L9" s="1590" t="s">
        <v>4923</v>
      </c>
      <c r="M9" s="1588" t="s">
        <v>4924</v>
      </c>
    </row>
    <row r="10" spans="1:107" s="1378" customFormat="1" ht="14.25">
      <c r="A10" s="1654">
        <v>1</v>
      </c>
      <c r="B10" s="1655" t="s">
        <v>1015</v>
      </c>
      <c r="C10" s="1656" t="s">
        <v>2041</v>
      </c>
      <c r="D10" s="1656" t="s">
        <v>4925</v>
      </c>
      <c r="E10" s="1656" t="s">
        <v>4926</v>
      </c>
      <c r="F10" s="1654" t="s">
        <v>5122</v>
      </c>
      <c r="G10" s="1654">
        <v>95</v>
      </c>
      <c r="H10" s="1654" t="s">
        <v>1827</v>
      </c>
      <c r="I10" s="1654" t="s">
        <v>1027</v>
      </c>
      <c r="J10" s="1657">
        <v>2</v>
      </c>
      <c r="K10" s="1657">
        <v>1.5</v>
      </c>
      <c r="L10" s="1656" t="s">
        <v>4928</v>
      </c>
      <c r="M10" s="1658">
        <v>44287</v>
      </c>
    </row>
    <row r="11" spans="1:107" s="1378" customFormat="1" ht="14.25">
      <c r="A11" s="1654">
        <v>2</v>
      </c>
      <c r="B11" s="1655" t="s">
        <v>1015</v>
      </c>
      <c r="C11" s="1656" t="s">
        <v>2041</v>
      </c>
      <c r="D11" s="1656" t="s">
        <v>4925</v>
      </c>
      <c r="E11" s="1656" t="s">
        <v>4926</v>
      </c>
      <c r="F11" s="1654" t="s">
        <v>5122</v>
      </c>
      <c r="G11" s="1654">
        <v>95</v>
      </c>
      <c r="H11" s="1654" t="s">
        <v>1827</v>
      </c>
      <c r="I11" s="1654" t="s">
        <v>88</v>
      </c>
      <c r="J11" s="1657">
        <v>2</v>
      </c>
      <c r="K11" s="1657">
        <v>1.5</v>
      </c>
      <c r="L11" s="1656" t="s">
        <v>4928</v>
      </c>
      <c r="M11" s="1658">
        <v>44287</v>
      </c>
    </row>
    <row r="12" spans="1:107" s="1378" customFormat="1" ht="14.25">
      <c r="A12" s="1654">
        <v>3</v>
      </c>
      <c r="B12" s="1655" t="s">
        <v>1015</v>
      </c>
      <c r="C12" s="1656" t="s">
        <v>2041</v>
      </c>
      <c r="D12" s="1656" t="s">
        <v>4925</v>
      </c>
      <c r="E12" s="1656" t="s">
        <v>4926</v>
      </c>
      <c r="F12" s="1654" t="s">
        <v>5122</v>
      </c>
      <c r="G12" s="1654">
        <v>95</v>
      </c>
      <c r="H12" s="1654" t="s">
        <v>1827</v>
      </c>
      <c r="I12" s="1654" t="s">
        <v>1034</v>
      </c>
      <c r="J12" s="1657">
        <v>2</v>
      </c>
      <c r="K12" s="1657">
        <v>1.5</v>
      </c>
      <c r="L12" s="1656" t="s">
        <v>4928</v>
      </c>
      <c r="M12" s="1658">
        <v>44287</v>
      </c>
    </row>
    <row r="13" spans="1:107" s="1378" customFormat="1" ht="14.25">
      <c r="A13" s="1654">
        <v>4</v>
      </c>
      <c r="B13" s="1655" t="s">
        <v>1015</v>
      </c>
      <c r="C13" s="1656" t="s">
        <v>2048</v>
      </c>
      <c r="D13" s="1656" t="s">
        <v>669</v>
      </c>
      <c r="E13" s="1656" t="s">
        <v>4926</v>
      </c>
      <c r="F13" s="1654" t="s">
        <v>5122</v>
      </c>
      <c r="G13" s="1654">
        <v>85</v>
      </c>
      <c r="H13" s="1654" t="s">
        <v>1825</v>
      </c>
      <c r="I13" s="1654" t="s">
        <v>1012</v>
      </c>
      <c r="J13" s="1657">
        <v>-109.48162685541099</v>
      </c>
      <c r="K13" s="1657" t="s">
        <v>4929</v>
      </c>
      <c r="L13" s="1656" t="s">
        <v>4930</v>
      </c>
      <c r="M13" s="1658">
        <v>44287</v>
      </c>
    </row>
    <row r="14" spans="1:107" s="1378" customFormat="1" ht="14.25">
      <c r="A14" s="1654">
        <v>5</v>
      </c>
      <c r="B14" s="1655" t="s">
        <v>1015</v>
      </c>
      <c r="C14" s="1656" t="s">
        <v>2048</v>
      </c>
      <c r="D14" s="1656" t="s">
        <v>669</v>
      </c>
      <c r="E14" s="1656" t="s">
        <v>4926</v>
      </c>
      <c r="F14" s="1654" t="s">
        <v>5122</v>
      </c>
      <c r="G14" s="1654">
        <v>85</v>
      </c>
      <c r="H14" s="1654" t="s">
        <v>1825</v>
      </c>
      <c r="I14" s="1654" t="s">
        <v>1022</v>
      </c>
      <c r="J14" s="1657">
        <v>-109.48162685541099</v>
      </c>
      <c r="K14" s="1657" t="s">
        <v>4929</v>
      </c>
      <c r="L14" s="1656" t="s">
        <v>4930</v>
      </c>
      <c r="M14" s="1658">
        <v>44287</v>
      </c>
    </row>
    <row r="15" spans="1:107" s="1378" customFormat="1" ht="14.25">
      <c r="A15" s="1654">
        <v>6</v>
      </c>
      <c r="B15" s="1655" t="s">
        <v>1015</v>
      </c>
      <c r="C15" s="1656" t="s">
        <v>2048</v>
      </c>
      <c r="D15" s="1656" t="s">
        <v>669</v>
      </c>
      <c r="E15" s="1656" t="s">
        <v>4926</v>
      </c>
      <c r="F15" s="1654" t="s">
        <v>5122</v>
      </c>
      <c r="G15" s="1654">
        <v>85</v>
      </c>
      <c r="H15" s="1654" t="s">
        <v>1825</v>
      </c>
      <c r="I15" s="1654" t="s">
        <v>1027</v>
      </c>
      <c r="J15" s="1657">
        <v>-109.48162685541099</v>
      </c>
      <c r="K15" s="1657" t="s">
        <v>4929</v>
      </c>
      <c r="L15" s="1656" t="s">
        <v>4930</v>
      </c>
      <c r="M15" s="1658">
        <v>44287</v>
      </c>
    </row>
    <row r="16" spans="1:107" s="1378" customFormat="1" ht="14.25">
      <c r="A16" s="1654">
        <v>7</v>
      </c>
      <c r="B16" s="1655" t="s">
        <v>1015</v>
      </c>
      <c r="C16" s="1656" t="s">
        <v>2048</v>
      </c>
      <c r="D16" s="1656" t="s">
        <v>669</v>
      </c>
      <c r="E16" s="1656" t="s">
        <v>4926</v>
      </c>
      <c r="F16" s="1654" t="s">
        <v>5122</v>
      </c>
      <c r="G16" s="1654">
        <v>85</v>
      </c>
      <c r="H16" s="1654" t="s">
        <v>1825</v>
      </c>
      <c r="I16" s="1654" t="s">
        <v>88</v>
      </c>
      <c r="J16" s="1657">
        <v>-109.48162685541099</v>
      </c>
      <c r="K16" s="1657" t="s">
        <v>4929</v>
      </c>
      <c r="L16" s="1656" t="s">
        <v>4930</v>
      </c>
      <c r="M16" s="1658">
        <v>44287</v>
      </c>
    </row>
    <row r="17" spans="1:13" s="1378" customFormat="1" ht="14.25">
      <c r="A17" s="1654">
        <v>8</v>
      </c>
      <c r="B17" s="1655" t="s">
        <v>1015</v>
      </c>
      <c r="C17" s="1656" t="s">
        <v>2048</v>
      </c>
      <c r="D17" s="1656" t="s">
        <v>669</v>
      </c>
      <c r="E17" s="1656" t="s">
        <v>4926</v>
      </c>
      <c r="F17" s="1654" t="s">
        <v>5122</v>
      </c>
      <c r="G17" s="1654">
        <v>85</v>
      </c>
      <c r="H17" s="1654" t="s">
        <v>1825</v>
      </c>
      <c r="I17" s="1654" t="s">
        <v>1034</v>
      </c>
      <c r="J17" s="1657">
        <v>-109.48162685541099</v>
      </c>
      <c r="K17" s="1657" t="s">
        <v>4929</v>
      </c>
      <c r="L17" s="1656" t="s">
        <v>4930</v>
      </c>
      <c r="M17" s="1658">
        <v>44287</v>
      </c>
    </row>
    <row r="18" spans="1:13" s="1378" customFormat="1" ht="14.25">
      <c r="A18" s="1654">
        <v>9</v>
      </c>
      <c r="B18" s="1655" t="s">
        <v>1015</v>
      </c>
      <c r="C18" s="1656" t="s">
        <v>2048</v>
      </c>
      <c r="D18" s="1656" t="s">
        <v>669</v>
      </c>
      <c r="E18" s="1656" t="s">
        <v>4926</v>
      </c>
      <c r="F18" s="1654" t="s">
        <v>5122</v>
      </c>
      <c r="G18" s="1654">
        <v>110</v>
      </c>
      <c r="H18" s="1654" t="s">
        <v>1830</v>
      </c>
      <c r="I18" s="1654" t="s">
        <v>1012</v>
      </c>
      <c r="J18" s="1657" t="s">
        <v>4805</v>
      </c>
      <c r="K18" s="1657" t="s">
        <v>4929</v>
      </c>
      <c r="L18" s="1656" t="s">
        <v>4930</v>
      </c>
      <c r="M18" s="1658">
        <v>44287</v>
      </c>
    </row>
    <row r="19" spans="1:13" s="1378" customFormat="1" ht="14.25">
      <c r="A19" s="1654">
        <v>10</v>
      </c>
      <c r="B19" s="1655" t="s">
        <v>1015</v>
      </c>
      <c r="C19" s="1656" t="s">
        <v>2048</v>
      </c>
      <c r="D19" s="1656" t="s">
        <v>669</v>
      </c>
      <c r="E19" s="1656" t="s">
        <v>4926</v>
      </c>
      <c r="F19" s="1654" t="s">
        <v>5122</v>
      </c>
      <c r="G19" s="1654">
        <v>110</v>
      </c>
      <c r="H19" s="1654" t="s">
        <v>1830</v>
      </c>
      <c r="I19" s="1654" t="s">
        <v>1022</v>
      </c>
      <c r="J19" s="1657" t="s">
        <v>4805</v>
      </c>
      <c r="K19" s="1657" t="s">
        <v>4929</v>
      </c>
      <c r="L19" s="1656" t="s">
        <v>4930</v>
      </c>
      <c r="M19" s="1658">
        <v>44287</v>
      </c>
    </row>
    <row r="20" spans="1:13" s="1378" customFormat="1" ht="14.25">
      <c r="A20" s="1654">
        <v>11</v>
      </c>
      <c r="B20" s="1655" t="s">
        <v>1015</v>
      </c>
      <c r="C20" s="1656" t="s">
        <v>2048</v>
      </c>
      <c r="D20" s="1656" t="s">
        <v>669</v>
      </c>
      <c r="E20" s="1656" t="s">
        <v>4926</v>
      </c>
      <c r="F20" s="1654" t="s">
        <v>5122</v>
      </c>
      <c r="G20" s="1654">
        <v>110</v>
      </c>
      <c r="H20" s="1654" t="s">
        <v>1830</v>
      </c>
      <c r="I20" s="1654" t="s">
        <v>1027</v>
      </c>
      <c r="J20" s="1657" t="s">
        <v>4805</v>
      </c>
      <c r="K20" s="1657" t="s">
        <v>4929</v>
      </c>
      <c r="L20" s="1656" t="s">
        <v>4930</v>
      </c>
      <c r="M20" s="1658">
        <v>44287</v>
      </c>
    </row>
    <row r="21" spans="1:13" s="1378" customFormat="1" ht="14.25">
      <c r="A21" s="1654">
        <v>12</v>
      </c>
      <c r="B21" s="1655" t="s">
        <v>1015</v>
      </c>
      <c r="C21" s="1656" t="s">
        <v>2048</v>
      </c>
      <c r="D21" s="1656" t="s">
        <v>669</v>
      </c>
      <c r="E21" s="1656" t="s">
        <v>4926</v>
      </c>
      <c r="F21" s="1654" t="s">
        <v>5122</v>
      </c>
      <c r="G21" s="1654">
        <v>110</v>
      </c>
      <c r="H21" s="1654" t="s">
        <v>1830</v>
      </c>
      <c r="I21" s="1654" t="s">
        <v>88</v>
      </c>
      <c r="J21" s="1657" t="s">
        <v>4805</v>
      </c>
      <c r="K21" s="1657" t="s">
        <v>4929</v>
      </c>
      <c r="L21" s="1656" t="s">
        <v>4930</v>
      </c>
      <c r="M21" s="1658">
        <v>44287</v>
      </c>
    </row>
    <row r="22" spans="1:13" s="1378" customFormat="1" ht="14.25">
      <c r="A22" s="1654">
        <v>13</v>
      </c>
      <c r="B22" s="1655" t="s">
        <v>1015</v>
      </c>
      <c r="C22" s="1656" t="s">
        <v>2048</v>
      </c>
      <c r="D22" s="1656" t="s">
        <v>669</v>
      </c>
      <c r="E22" s="1656" t="s">
        <v>4926</v>
      </c>
      <c r="F22" s="1654" t="s">
        <v>5122</v>
      </c>
      <c r="G22" s="1654">
        <v>110</v>
      </c>
      <c r="H22" s="1654" t="s">
        <v>1830</v>
      </c>
      <c r="I22" s="1654" t="s">
        <v>1034</v>
      </c>
      <c r="J22" s="1657" t="s">
        <v>4805</v>
      </c>
      <c r="K22" s="1657" t="s">
        <v>4929</v>
      </c>
      <c r="L22" s="1656" t="s">
        <v>4930</v>
      </c>
      <c r="M22" s="1658">
        <v>44287</v>
      </c>
    </row>
    <row r="23" spans="1:13" s="1378" customFormat="1" ht="42.75">
      <c r="A23" s="1654">
        <v>14</v>
      </c>
      <c r="B23" s="1655" t="s">
        <v>1015</v>
      </c>
      <c r="C23" s="1656" t="s">
        <v>2048</v>
      </c>
      <c r="D23" s="1656" t="s">
        <v>669</v>
      </c>
      <c r="E23" s="1656" t="s">
        <v>4926</v>
      </c>
      <c r="F23" s="1654" t="s">
        <v>5122</v>
      </c>
      <c r="G23" s="1654">
        <v>115</v>
      </c>
      <c r="H23" s="1659" t="s">
        <v>1877</v>
      </c>
      <c r="I23" s="1654" t="s">
        <v>1079</v>
      </c>
      <c r="J23" s="1657">
        <v>-0.28038099999999999</v>
      </c>
      <c r="K23" s="1657">
        <v>-0.7</v>
      </c>
      <c r="L23" s="1656" t="s">
        <v>4931</v>
      </c>
      <c r="M23" s="1658">
        <v>44287</v>
      </c>
    </row>
    <row r="24" spans="1:13" s="1378" customFormat="1" ht="14.25">
      <c r="A24" s="1654">
        <v>15</v>
      </c>
      <c r="B24" s="1655" t="s">
        <v>1015</v>
      </c>
      <c r="C24" s="1656" t="s">
        <v>2048</v>
      </c>
      <c r="D24" s="1656" t="s">
        <v>669</v>
      </c>
      <c r="E24" s="1656" t="s">
        <v>4926</v>
      </c>
      <c r="F24" s="1654" t="s">
        <v>5122</v>
      </c>
      <c r="G24" s="1654">
        <v>118</v>
      </c>
      <c r="H24" s="1654" t="s">
        <v>1879</v>
      </c>
      <c r="I24" s="1654" t="s">
        <v>1079</v>
      </c>
      <c r="J24" s="1657">
        <v>-0.78239599999999998</v>
      </c>
      <c r="K24" s="1657" t="s">
        <v>4929</v>
      </c>
      <c r="L24" s="1656" t="s">
        <v>4932</v>
      </c>
      <c r="M24" s="1658">
        <v>44287</v>
      </c>
    </row>
    <row r="25" spans="1:13" s="1378" customFormat="1" ht="14.25">
      <c r="A25" s="1654">
        <v>16</v>
      </c>
      <c r="B25" s="1655" t="s">
        <v>1015</v>
      </c>
      <c r="C25" s="1656" t="s">
        <v>2048</v>
      </c>
      <c r="D25" s="1656" t="s">
        <v>669</v>
      </c>
      <c r="E25" s="1656" t="s">
        <v>4926</v>
      </c>
      <c r="F25" s="1654" t="s">
        <v>5122</v>
      </c>
      <c r="G25" s="1654">
        <v>122</v>
      </c>
      <c r="H25" s="1654" t="s">
        <v>1883</v>
      </c>
      <c r="I25" s="1654" t="s">
        <v>1079</v>
      </c>
      <c r="J25" s="1657">
        <v>0.78239599999999998</v>
      </c>
      <c r="K25" s="1657" t="s">
        <v>4929</v>
      </c>
      <c r="L25" s="1656" t="s">
        <v>4932</v>
      </c>
      <c r="M25" s="1658">
        <v>44287</v>
      </c>
    </row>
    <row r="26" spans="1:13" s="1378" customFormat="1" ht="14.25">
      <c r="A26" s="1654">
        <v>17</v>
      </c>
      <c r="B26" s="1655" t="s">
        <v>1015</v>
      </c>
      <c r="C26" s="1656" t="s">
        <v>2060</v>
      </c>
      <c r="D26" s="1656" t="s">
        <v>736</v>
      </c>
      <c r="E26" s="1656" t="s">
        <v>4926</v>
      </c>
      <c r="F26" s="1654" t="s">
        <v>5122</v>
      </c>
      <c r="G26" s="1654">
        <v>90</v>
      </c>
      <c r="H26" s="1654" t="s">
        <v>1826</v>
      </c>
      <c r="I26" s="1654" t="s">
        <v>1012</v>
      </c>
      <c r="J26" s="1657">
        <v>36.756999999999998</v>
      </c>
      <c r="K26" s="1657">
        <v>41.6</v>
      </c>
      <c r="L26" s="1656" t="s">
        <v>4933</v>
      </c>
      <c r="M26" s="1658">
        <v>44287</v>
      </c>
    </row>
    <row r="27" spans="1:13" s="1378" customFormat="1" ht="14.25">
      <c r="A27" s="1654">
        <v>18</v>
      </c>
      <c r="B27" s="1655" t="s">
        <v>1015</v>
      </c>
      <c r="C27" s="1656" t="s">
        <v>2060</v>
      </c>
      <c r="D27" s="1656" t="s">
        <v>736</v>
      </c>
      <c r="E27" s="1656" t="s">
        <v>4926</v>
      </c>
      <c r="F27" s="1654" t="s">
        <v>5122</v>
      </c>
      <c r="G27" s="1654">
        <v>90</v>
      </c>
      <c r="H27" s="1654" t="s">
        <v>1826</v>
      </c>
      <c r="I27" s="1654" t="s">
        <v>1022</v>
      </c>
      <c r="J27" s="1657">
        <v>36.756999999999998</v>
      </c>
      <c r="K27" s="1657">
        <v>41.6</v>
      </c>
      <c r="L27" s="1656" t="s">
        <v>4933</v>
      </c>
      <c r="M27" s="1658">
        <v>44287</v>
      </c>
    </row>
    <row r="28" spans="1:13" s="1378" customFormat="1" ht="14.25">
      <c r="A28" s="1654">
        <v>19</v>
      </c>
      <c r="B28" s="1655" t="s">
        <v>1015</v>
      </c>
      <c r="C28" s="1656" t="s">
        <v>2060</v>
      </c>
      <c r="D28" s="1656" t="s">
        <v>736</v>
      </c>
      <c r="E28" s="1656" t="s">
        <v>4926</v>
      </c>
      <c r="F28" s="1654" t="s">
        <v>5122</v>
      </c>
      <c r="G28" s="1654">
        <v>90</v>
      </c>
      <c r="H28" s="1654" t="s">
        <v>1826</v>
      </c>
      <c r="I28" s="1654" t="s">
        <v>1027</v>
      </c>
      <c r="J28" s="1657">
        <v>36.756999999999998</v>
      </c>
      <c r="K28" s="1657">
        <v>41.6</v>
      </c>
      <c r="L28" s="1656" t="s">
        <v>4933</v>
      </c>
      <c r="M28" s="1658">
        <v>44287</v>
      </c>
    </row>
    <row r="29" spans="1:13" s="1378" customFormat="1" ht="14.25">
      <c r="A29" s="1654">
        <v>20</v>
      </c>
      <c r="B29" s="1655" t="s">
        <v>1015</v>
      </c>
      <c r="C29" s="1656" t="s">
        <v>2060</v>
      </c>
      <c r="D29" s="1656" t="s">
        <v>736</v>
      </c>
      <c r="E29" s="1656" t="s">
        <v>4926</v>
      </c>
      <c r="F29" s="1654" t="s">
        <v>5122</v>
      </c>
      <c r="G29" s="1654">
        <v>90</v>
      </c>
      <c r="H29" s="1654" t="s">
        <v>1826</v>
      </c>
      <c r="I29" s="1654" t="s">
        <v>88</v>
      </c>
      <c r="J29" s="1657">
        <v>36.756999999999998</v>
      </c>
      <c r="K29" s="1657">
        <v>41.6</v>
      </c>
      <c r="L29" s="1656" t="s">
        <v>4933</v>
      </c>
      <c r="M29" s="1658">
        <v>44287</v>
      </c>
    </row>
    <row r="30" spans="1:13" s="1378" customFormat="1" ht="14.25">
      <c r="A30" s="1654">
        <v>21</v>
      </c>
      <c r="B30" s="1655" t="s">
        <v>1015</v>
      </c>
      <c r="C30" s="1656" t="s">
        <v>2060</v>
      </c>
      <c r="D30" s="1656" t="s">
        <v>736</v>
      </c>
      <c r="E30" s="1656" t="s">
        <v>4926</v>
      </c>
      <c r="F30" s="1654" t="s">
        <v>5122</v>
      </c>
      <c r="G30" s="1654">
        <v>90</v>
      </c>
      <c r="H30" s="1654" t="s">
        <v>1826</v>
      </c>
      <c r="I30" s="1654" t="s">
        <v>1034</v>
      </c>
      <c r="J30" s="1657">
        <v>36.756999999999998</v>
      </c>
      <c r="K30" s="1657">
        <v>41.6</v>
      </c>
      <c r="L30" s="1656" t="s">
        <v>4933</v>
      </c>
      <c r="M30" s="1658">
        <v>44287</v>
      </c>
    </row>
    <row r="31" spans="1:13" s="1378" customFormat="1" ht="14.25">
      <c r="A31" s="1654">
        <v>22</v>
      </c>
      <c r="B31" s="1655" t="s">
        <v>1015</v>
      </c>
      <c r="C31" s="1656" t="s">
        <v>2071</v>
      </c>
      <c r="D31" s="1656" t="s">
        <v>4934</v>
      </c>
      <c r="E31" s="1656" t="s">
        <v>4926</v>
      </c>
      <c r="F31" s="1654" t="s">
        <v>5122</v>
      </c>
      <c r="G31" s="1654">
        <v>95</v>
      </c>
      <c r="H31" s="1654" t="s">
        <v>1827</v>
      </c>
      <c r="I31" s="1654" t="s">
        <v>1012</v>
      </c>
      <c r="J31" s="1657" t="s">
        <v>4929</v>
      </c>
      <c r="K31" s="1657">
        <v>150.1</v>
      </c>
      <c r="L31" s="1656" t="s">
        <v>4935</v>
      </c>
      <c r="M31" s="1658">
        <v>44287</v>
      </c>
    </row>
    <row r="32" spans="1:13" s="1378" customFormat="1" ht="14.25">
      <c r="A32" s="1654">
        <v>23</v>
      </c>
      <c r="B32" s="1655" t="s">
        <v>1015</v>
      </c>
      <c r="C32" s="1656" t="s">
        <v>2071</v>
      </c>
      <c r="D32" s="1656" t="s">
        <v>4934</v>
      </c>
      <c r="E32" s="1656" t="s">
        <v>4926</v>
      </c>
      <c r="F32" s="1654" t="s">
        <v>5122</v>
      </c>
      <c r="G32" s="1654">
        <v>95</v>
      </c>
      <c r="H32" s="1654" t="s">
        <v>1827</v>
      </c>
      <c r="I32" s="1654" t="s">
        <v>1022</v>
      </c>
      <c r="J32" s="1657" t="s">
        <v>4929</v>
      </c>
      <c r="K32" s="1657">
        <v>148.1</v>
      </c>
      <c r="L32" s="1656" t="s">
        <v>4935</v>
      </c>
      <c r="M32" s="1658">
        <v>44287</v>
      </c>
    </row>
    <row r="33" spans="1:13" s="1378" customFormat="1" ht="14.25">
      <c r="A33" s="1654">
        <v>24</v>
      </c>
      <c r="B33" s="1655" t="s">
        <v>1015</v>
      </c>
      <c r="C33" s="1656" t="s">
        <v>2071</v>
      </c>
      <c r="D33" s="1656" t="s">
        <v>4934</v>
      </c>
      <c r="E33" s="1656" t="s">
        <v>4926</v>
      </c>
      <c r="F33" s="1654" t="s">
        <v>5122</v>
      </c>
      <c r="G33" s="1654">
        <v>95</v>
      </c>
      <c r="H33" s="1654" t="s">
        <v>1827</v>
      </c>
      <c r="I33" s="1654" t="s">
        <v>1027</v>
      </c>
      <c r="J33" s="1657" t="s">
        <v>4929</v>
      </c>
      <c r="K33" s="1657">
        <v>146.19999999999999</v>
      </c>
      <c r="L33" s="1656" t="s">
        <v>4935</v>
      </c>
      <c r="M33" s="1658">
        <v>44287</v>
      </c>
    </row>
    <row r="34" spans="1:13" s="1378" customFormat="1" ht="14.25">
      <c r="A34" s="1654">
        <v>25</v>
      </c>
      <c r="B34" s="1655" t="s">
        <v>1015</v>
      </c>
      <c r="C34" s="1656" t="s">
        <v>2071</v>
      </c>
      <c r="D34" s="1656" t="s">
        <v>4934</v>
      </c>
      <c r="E34" s="1656" t="s">
        <v>4926</v>
      </c>
      <c r="F34" s="1654" t="s">
        <v>5122</v>
      </c>
      <c r="G34" s="1654">
        <v>95</v>
      </c>
      <c r="H34" s="1654" t="s">
        <v>1827</v>
      </c>
      <c r="I34" s="1654" t="s">
        <v>88</v>
      </c>
      <c r="J34" s="1657" t="s">
        <v>4929</v>
      </c>
      <c r="K34" s="1657">
        <v>144.19999999999999</v>
      </c>
      <c r="L34" s="1656" t="s">
        <v>4935</v>
      </c>
      <c r="M34" s="1658">
        <v>44287</v>
      </c>
    </row>
    <row r="35" spans="1:13" s="1378" customFormat="1" ht="14.25">
      <c r="A35" s="1654">
        <v>26</v>
      </c>
      <c r="B35" s="1655" t="s">
        <v>1015</v>
      </c>
      <c r="C35" s="1656" t="s">
        <v>2071</v>
      </c>
      <c r="D35" s="1656" t="s">
        <v>4934</v>
      </c>
      <c r="E35" s="1656" t="s">
        <v>4926</v>
      </c>
      <c r="F35" s="1654" t="s">
        <v>5122</v>
      </c>
      <c r="G35" s="1654">
        <v>95</v>
      </c>
      <c r="H35" s="1654" t="s">
        <v>1827</v>
      </c>
      <c r="I35" s="1654" t="s">
        <v>1034</v>
      </c>
      <c r="J35" s="1657" t="s">
        <v>4929</v>
      </c>
      <c r="K35" s="1657">
        <v>142.30000000000001</v>
      </c>
      <c r="L35" s="1656" t="s">
        <v>4935</v>
      </c>
      <c r="M35" s="1658">
        <v>44287</v>
      </c>
    </row>
    <row r="36" spans="1:13" s="1378" customFormat="1" ht="14.25">
      <c r="A36" s="1654">
        <v>27</v>
      </c>
      <c r="B36" s="1655" t="s">
        <v>1015</v>
      </c>
      <c r="C36" s="1656" t="s">
        <v>2076</v>
      </c>
      <c r="D36" s="1656" t="s">
        <v>4936</v>
      </c>
      <c r="E36" s="1656" t="s">
        <v>4926</v>
      </c>
      <c r="F36" s="1654" t="s">
        <v>5122</v>
      </c>
      <c r="G36" s="1654">
        <v>95</v>
      </c>
      <c r="H36" s="1654" t="s">
        <v>1827</v>
      </c>
      <c r="I36" s="1654" t="s">
        <v>1012</v>
      </c>
      <c r="J36" s="1657" t="s">
        <v>4929</v>
      </c>
      <c r="K36" s="1657">
        <v>2.81</v>
      </c>
      <c r="L36" s="1656" t="s">
        <v>4937</v>
      </c>
      <c r="M36" s="1658">
        <v>44287</v>
      </c>
    </row>
    <row r="37" spans="1:13" s="1378" customFormat="1" ht="14.25">
      <c r="A37" s="1654">
        <v>28</v>
      </c>
      <c r="B37" s="1655" t="s">
        <v>1015</v>
      </c>
      <c r="C37" s="1656" t="s">
        <v>2076</v>
      </c>
      <c r="D37" s="1656" t="s">
        <v>4936</v>
      </c>
      <c r="E37" s="1656" t="s">
        <v>4926</v>
      </c>
      <c r="F37" s="1654" t="s">
        <v>5122</v>
      </c>
      <c r="G37" s="1654">
        <v>95</v>
      </c>
      <c r="H37" s="1654" t="s">
        <v>1827</v>
      </c>
      <c r="I37" s="1654" t="s">
        <v>1022</v>
      </c>
      <c r="J37" s="1657" t="s">
        <v>4929</v>
      </c>
      <c r="K37" s="1657">
        <v>2.81</v>
      </c>
      <c r="L37" s="1656" t="s">
        <v>4937</v>
      </c>
      <c r="M37" s="1658">
        <v>44287</v>
      </c>
    </row>
    <row r="38" spans="1:13" s="1378" customFormat="1" ht="14.25">
      <c r="A38" s="1654">
        <v>29</v>
      </c>
      <c r="B38" s="1655" t="s">
        <v>1015</v>
      </c>
      <c r="C38" s="1656" t="s">
        <v>2076</v>
      </c>
      <c r="D38" s="1656" t="s">
        <v>4936</v>
      </c>
      <c r="E38" s="1656" t="s">
        <v>4926</v>
      </c>
      <c r="F38" s="1654" t="s">
        <v>5122</v>
      </c>
      <c r="G38" s="1654">
        <v>95</v>
      </c>
      <c r="H38" s="1654" t="s">
        <v>1827</v>
      </c>
      <c r="I38" s="1654" t="s">
        <v>1027</v>
      </c>
      <c r="J38" s="1657" t="s">
        <v>4929</v>
      </c>
      <c r="K38" s="1657">
        <v>2.81</v>
      </c>
      <c r="L38" s="1656" t="s">
        <v>4937</v>
      </c>
      <c r="M38" s="1658">
        <v>44287</v>
      </c>
    </row>
    <row r="39" spans="1:13" s="1378" customFormat="1" ht="14.25">
      <c r="A39" s="1654">
        <v>30</v>
      </c>
      <c r="B39" s="1655" t="s">
        <v>1015</v>
      </c>
      <c r="C39" s="1656" t="s">
        <v>2076</v>
      </c>
      <c r="D39" s="1656" t="s">
        <v>4936</v>
      </c>
      <c r="E39" s="1656" t="s">
        <v>4926</v>
      </c>
      <c r="F39" s="1654" t="s">
        <v>5122</v>
      </c>
      <c r="G39" s="1654">
        <v>95</v>
      </c>
      <c r="H39" s="1654" t="s">
        <v>1827</v>
      </c>
      <c r="I39" s="1654" t="s">
        <v>88</v>
      </c>
      <c r="J39" s="1657" t="s">
        <v>4929</v>
      </c>
      <c r="K39" s="1657">
        <v>2.81</v>
      </c>
      <c r="L39" s="1656" t="s">
        <v>4937</v>
      </c>
      <c r="M39" s="1658">
        <v>44287</v>
      </c>
    </row>
    <row r="40" spans="1:13" s="1378" customFormat="1" ht="14.25">
      <c r="A40" s="1654">
        <v>31</v>
      </c>
      <c r="B40" s="1655" t="s">
        <v>1015</v>
      </c>
      <c r="C40" s="1656" t="s">
        <v>2076</v>
      </c>
      <c r="D40" s="1656" t="s">
        <v>4936</v>
      </c>
      <c r="E40" s="1656" t="s">
        <v>4926</v>
      </c>
      <c r="F40" s="1654" t="s">
        <v>5122</v>
      </c>
      <c r="G40" s="1654">
        <v>95</v>
      </c>
      <c r="H40" s="1654" t="s">
        <v>1827</v>
      </c>
      <c r="I40" s="1654" t="s">
        <v>1034</v>
      </c>
      <c r="J40" s="1657" t="s">
        <v>4929</v>
      </c>
      <c r="K40" s="1657">
        <v>2.81</v>
      </c>
      <c r="L40" s="1656" t="s">
        <v>4937</v>
      </c>
      <c r="M40" s="1658">
        <v>44287</v>
      </c>
    </row>
    <row r="41" spans="1:13" s="1378" customFormat="1" ht="57">
      <c r="A41" s="1660">
        <v>32</v>
      </c>
      <c r="B41" s="1661" t="s">
        <v>1015</v>
      </c>
      <c r="C41" s="1662" t="s">
        <v>2048</v>
      </c>
      <c r="D41" s="1662" t="s">
        <v>669</v>
      </c>
      <c r="E41" s="1662" t="s">
        <v>860</v>
      </c>
      <c r="F41" s="1660" t="s">
        <v>5122</v>
      </c>
      <c r="G41" s="1660">
        <v>41</v>
      </c>
      <c r="H41" s="1660" t="s">
        <v>1175</v>
      </c>
      <c r="I41" s="1660" t="s">
        <v>1079</v>
      </c>
      <c r="J41" s="1663" t="s">
        <v>1020</v>
      </c>
      <c r="K41" s="1663" t="s">
        <v>1010</v>
      </c>
      <c r="L41" s="1662" t="s">
        <v>5123</v>
      </c>
      <c r="M41" s="1664">
        <v>44225</v>
      </c>
    </row>
    <row r="42" spans="1:13" s="1378" customFormat="1" ht="57">
      <c r="A42" s="1660">
        <v>33</v>
      </c>
      <c r="B42" s="1661" t="s">
        <v>1015</v>
      </c>
      <c r="C42" s="1662" t="s">
        <v>2052</v>
      </c>
      <c r="D42" s="1662" t="s">
        <v>1902</v>
      </c>
      <c r="E42" s="1662" t="s">
        <v>860</v>
      </c>
      <c r="F42" s="1660" t="s">
        <v>5122</v>
      </c>
      <c r="G42" s="1660">
        <v>41</v>
      </c>
      <c r="H42" s="1660" t="s">
        <v>1175</v>
      </c>
      <c r="I42" s="1660" t="s">
        <v>1079</v>
      </c>
      <c r="J42" s="1663" t="s">
        <v>1020</v>
      </c>
      <c r="K42" s="1663" t="s">
        <v>1010</v>
      </c>
      <c r="L42" s="1662" t="s">
        <v>5124</v>
      </c>
      <c r="M42" s="1664">
        <v>44225</v>
      </c>
    </row>
    <row r="43" spans="1:13" s="1378" customFormat="1" ht="14.25">
      <c r="A43" s="1654">
        <v>34</v>
      </c>
      <c r="B43" s="1655" t="s">
        <v>1064</v>
      </c>
      <c r="C43" s="1656" t="s">
        <v>2196</v>
      </c>
      <c r="D43" s="1656" t="s">
        <v>4925</v>
      </c>
      <c r="E43" s="1656" t="s">
        <v>4926</v>
      </c>
      <c r="F43" s="1654" t="s">
        <v>5122</v>
      </c>
      <c r="G43" s="1654">
        <v>95</v>
      </c>
      <c r="H43" s="1654" t="s">
        <v>1827</v>
      </c>
      <c r="I43" s="1654" t="s">
        <v>1027</v>
      </c>
      <c r="J43" s="1665">
        <v>2</v>
      </c>
      <c r="K43" s="1665">
        <v>1.5</v>
      </c>
      <c r="L43" s="1656" t="s">
        <v>4928</v>
      </c>
      <c r="M43" s="1658">
        <v>44287</v>
      </c>
    </row>
    <row r="44" spans="1:13" s="1378" customFormat="1" ht="14.25">
      <c r="A44" s="1654">
        <v>35</v>
      </c>
      <c r="B44" s="1655" t="s">
        <v>1064</v>
      </c>
      <c r="C44" s="1656" t="s">
        <v>2196</v>
      </c>
      <c r="D44" s="1656" t="s">
        <v>4925</v>
      </c>
      <c r="E44" s="1656" t="s">
        <v>4926</v>
      </c>
      <c r="F44" s="1654" t="s">
        <v>5122</v>
      </c>
      <c r="G44" s="1654">
        <v>95</v>
      </c>
      <c r="H44" s="1654" t="s">
        <v>1827</v>
      </c>
      <c r="I44" s="1654" t="s">
        <v>88</v>
      </c>
      <c r="J44" s="1665">
        <v>2</v>
      </c>
      <c r="K44" s="1665">
        <v>1.5</v>
      </c>
      <c r="L44" s="1656" t="s">
        <v>4928</v>
      </c>
      <c r="M44" s="1658">
        <v>44287</v>
      </c>
    </row>
    <row r="45" spans="1:13" s="1378" customFormat="1" ht="14.25">
      <c r="A45" s="1654">
        <v>36</v>
      </c>
      <c r="B45" s="1655" t="s">
        <v>1064</v>
      </c>
      <c r="C45" s="1656" t="s">
        <v>2196</v>
      </c>
      <c r="D45" s="1656" t="s">
        <v>4925</v>
      </c>
      <c r="E45" s="1656" t="s">
        <v>4926</v>
      </c>
      <c r="F45" s="1654" t="s">
        <v>5122</v>
      </c>
      <c r="G45" s="1654">
        <v>95</v>
      </c>
      <c r="H45" s="1654" t="s">
        <v>1827</v>
      </c>
      <c r="I45" s="1654" t="s">
        <v>1034</v>
      </c>
      <c r="J45" s="1665">
        <v>2</v>
      </c>
      <c r="K45" s="1665">
        <v>1.5</v>
      </c>
      <c r="L45" s="1656" t="s">
        <v>4928</v>
      </c>
      <c r="M45" s="1658">
        <v>44287</v>
      </c>
    </row>
    <row r="46" spans="1:13" s="1378" customFormat="1" ht="14.25">
      <c r="A46" s="1654">
        <v>37</v>
      </c>
      <c r="B46" s="1655" t="s">
        <v>1064</v>
      </c>
      <c r="C46" s="1656" t="s">
        <v>2204</v>
      </c>
      <c r="D46" s="1656" t="s">
        <v>4934</v>
      </c>
      <c r="E46" s="1656" t="s">
        <v>4926</v>
      </c>
      <c r="F46" s="1654" t="s">
        <v>5122</v>
      </c>
      <c r="G46" s="1654">
        <v>95</v>
      </c>
      <c r="H46" s="1654" t="s">
        <v>1827</v>
      </c>
      <c r="I46" s="1654" t="s">
        <v>1012</v>
      </c>
      <c r="J46" s="1657" t="s">
        <v>4929</v>
      </c>
      <c r="K46" s="1666">
        <v>148.4</v>
      </c>
      <c r="L46" s="1656" t="s">
        <v>4935</v>
      </c>
      <c r="M46" s="1658">
        <v>44287</v>
      </c>
    </row>
    <row r="47" spans="1:13" s="1378" customFormat="1" ht="14.25">
      <c r="A47" s="1654">
        <v>38</v>
      </c>
      <c r="B47" s="1655" t="s">
        <v>1064</v>
      </c>
      <c r="C47" s="1656" t="s">
        <v>2204</v>
      </c>
      <c r="D47" s="1656" t="s">
        <v>4934</v>
      </c>
      <c r="E47" s="1656" t="s">
        <v>4926</v>
      </c>
      <c r="F47" s="1654" t="s">
        <v>5122</v>
      </c>
      <c r="G47" s="1654">
        <v>95</v>
      </c>
      <c r="H47" s="1654" t="s">
        <v>1827</v>
      </c>
      <c r="I47" s="1654" t="s">
        <v>1022</v>
      </c>
      <c r="J47" s="1657" t="s">
        <v>4929</v>
      </c>
      <c r="K47" s="1666">
        <v>146.5</v>
      </c>
      <c r="L47" s="1656" t="s">
        <v>4935</v>
      </c>
      <c r="M47" s="1658">
        <v>44287</v>
      </c>
    </row>
    <row r="48" spans="1:13" s="1378" customFormat="1" ht="14.25">
      <c r="A48" s="1654">
        <v>39</v>
      </c>
      <c r="B48" s="1655" t="s">
        <v>1064</v>
      </c>
      <c r="C48" s="1656" t="s">
        <v>2204</v>
      </c>
      <c r="D48" s="1656" t="s">
        <v>4934</v>
      </c>
      <c r="E48" s="1656" t="s">
        <v>4926</v>
      </c>
      <c r="F48" s="1654" t="s">
        <v>5122</v>
      </c>
      <c r="G48" s="1654">
        <v>95</v>
      </c>
      <c r="H48" s="1654" t="s">
        <v>1827</v>
      </c>
      <c r="I48" s="1654" t="s">
        <v>1027</v>
      </c>
      <c r="J48" s="1657" t="s">
        <v>4929</v>
      </c>
      <c r="K48" s="1666">
        <v>144.6</v>
      </c>
      <c r="L48" s="1656" t="s">
        <v>4935</v>
      </c>
      <c r="M48" s="1658">
        <v>44287</v>
      </c>
    </row>
    <row r="49" spans="1:13" s="1378" customFormat="1" ht="14.25">
      <c r="A49" s="1654">
        <v>40</v>
      </c>
      <c r="B49" s="1655" t="s">
        <v>1064</v>
      </c>
      <c r="C49" s="1656" t="s">
        <v>2204</v>
      </c>
      <c r="D49" s="1656" t="s">
        <v>4934</v>
      </c>
      <c r="E49" s="1656" t="s">
        <v>4926</v>
      </c>
      <c r="F49" s="1654" t="s">
        <v>5122</v>
      </c>
      <c r="G49" s="1654">
        <v>95</v>
      </c>
      <c r="H49" s="1654" t="s">
        <v>1827</v>
      </c>
      <c r="I49" s="1654" t="s">
        <v>88</v>
      </c>
      <c r="J49" s="1657" t="s">
        <v>4929</v>
      </c>
      <c r="K49" s="1666">
        <v>142.69999999999999</v>
      </c>
      <c r="L49" s="1656" t="s">
        <v>4935</v>
      </c>
      <c r="M49" s="1658">
        <v>44287</v>
      </c>
    </row>
    <row r="50" spans="1:13" s="1378" customFormat="1" ht="14.25">
      <c r="A50" s="1654">
        <v>41</v>
      </c>
      <c r="B50" s="1655" t="s">
        <v>1064</v>
      </c>
      <c r="C50" s="1656" t="s">
        <v>2204</v>
      </c>
      <c r="D50" s="1656" t="s">
        <v>4934</v>
      </c>
      <c r="E50" s="1656" t="s">
        <v>4926</v>
      </c>
      <c r="F50" s="1654" t="s">
        <v>5122</v>
      </c>
      <c r="G50" s="1654">
        <v>95</v>
      </c>
      <c r="H50" s="1654" t="s">
        <v>1827</v>
      </c>
      <c r="I50" s="1654" t="s">
        <v>1034</v>
      </c>
      <c r="J50" s="1657" t="s">
        <v>4929</v>
      </c>
      <c r="K50" s="1666">
        <v>140.69999999999999</v>
      </c>
      <c r="L50" s="1656" t="s">
        <v>4935</v>
      </c>
      <c r="M50" s="1658">
        <v>44287</v>
      </c>
    </row>
    <row r="51" spans="1:13" s="1378" customFormat="1" ht="14.25">
      <c r="A51" s="1654">
        <v>42</v>
      </c>
      <c r="B51" s="1655" t="s">
        <v>1064</v>
      </c>
      <c r="C51" s="1656" t="s">
        <v>2208</v>
      </c>
      <c r="D51" s="1656" t="s">
        <v>4936</v>
      </c>
      <c r="E51" s="1656" t="s">
        <v>4926</v>
      </c>
      <c r="F51" s="1654" t="s">
        <v>5122</v>
      </c>
      <c r="G51" s="1654">
        <v>95</v>
      </c>
      <c r="H51" s="1654" t="s">
        <v>1827</v>
      </c>
      <c r="I51" s="1654" t="s">
        <v>1012</v>
      </c>
      <c r="J51" s="1657" t="s">
        <v>4929</v>
      </c>
      <c r="K51" s="1665">
        <v>2.81</v>
      </c>
      <c r="L51" s="1656" t="s">
        <v>4937</v>
      </c>
      <c r="M51" s="1658">
        <v>44287</v>
      </c>
    </row>
    <row r="52" spans="1:13" s="1378" customFormat="1" ht="14.25">
      <c r="A52" s="1654">
        <v>43</v>
      </c>
      <c r="B52" s="1655" t="s">
        <v>1064</v>
      </c>
      <c r="C52" s="1656" t="s">
        <v>2208</v>
      </c>
      <c r="D52" s="1656" t="s">
        <v>4936</v>
      </c>
      <c r="E52" s="1656" t="s">
        <v>4926</v>
      </c>
      <c r="F52" s="1654" t="s">
        <v>5122</v>
      </c>
      <c r="G52" s="1654">
        <v>95</v>
      </c>
      <c r="H52" s="1654" t="s">
        <v>1827</v>
      </c>
      <c r="I52" s="1654" t="s">
        <v>1022</v>
      </c>
      <c r="J52" s="1657" t="s">
        <v>4929</v>
      </c>
      <c r="K52" s="1665">
        <v>2.81</v>
      </c>
      <c r="L52" s="1656" t="s">
        <v>4937</v>
      </c>
      <c r="M52" s="1658">
        <v>44287</v>
      </c>
    </row>
    <row r="53" spans="1:13" s="1378" customFormat="1" ht="14.25">
      <c r="A53" s="1654">
        <v>44</v>
      </c>
      <c r="B53" s="1655" t="s">
        <v>1064</v>
      </c>
      <c r="C53" s="1656" t="s">
        <v>2208</v>
      </c>
      <c r="D53" s="1656" t="s">
        <v>4936</v>
      </c>
      <c r="E53" s="1656" t="s">
        <v>4926</v>
      </c>
      <c r="F53" s="1654" t="s">
        <v>5122</v>
      </c>
      <c r="G53" s="1654">
        <v>95</v>
      </c>
      <c r="H53" s="1654" t="s">
        <v>1827</v>
      </c>
      <c r="I53" s="1654" t="s">
        <v>1027</v>
      </c>
      <c r="J53" s="1657" t="s">
        <v>4929</v>
      </c>
      <c r="K53" s="1665">
        <v>2.81</v>
      </c>
      <c r="L53" s="1656" t="s">
        <v>4937</v>
      </c>
      <c r="M53" s="1658">
        <v>44287</v>
      </c>
    </row>
    <row r="54" spans="1:13" s="1378" customFormat="1" ht="14.25">
      <c r="A54" s="1654">
        <v>45</v>
      </c>
      <c r="B54" s="1655" t="s">
        <v>1064</v>
      </c>
      <c r="C54" s="1656" t="s">
        <v>2208</v>
      </c>
      <c r="D54" s="1656" t="s">
        <v>4936</v>
      </c>
      <c r="E54" s="1656" t="s">
        <v>4926</v>
      </c>
      <c r="F54" s="1654" t="s">
        <v>5122</v>
      </c>
      <c r="G54" s="1654">
        <v>95</v>
      </c>
      <c r="H54" s="1654" t="s">
        <v>1827</v>
      </c>
      <c r="I54" s="1654" t="s">
        <v>88</v>
      </c>
      <c r="J54" s="1657" t="s">
        <v>4929</v>
      </c>
      <c r="K54" s="1665">
        <v>2.81</v>
      </c>
      <c r="L54" s="1656" t="s">
        <v>4937</v>
      </c>
      <c r="M54" s="1658">
        <v>44287</v>
      </c>
    </row>
    <row r="55" spans="1:13" s="1378" customFormat="1" ht="14.25">
      <c r="A55" s="1654">
        <v>46</v>
      </c>
      <c r="B55" s="1655" t="s">
        <v>1064</v>
      </c>
      <c r="C55" s="1656" t="s">
        <v>2208</v>
      </c>
      <c r="D55" s="1656" t="s">
        <v>4936</v>
      </c>
      <c r="E55" s="1656" t="s">
        <v>4926</v>
      </c>
      <c r="F55" s="1654" t="s">
        <v>5122</v>
      </c>
      <c r="G55" s="1654">
        <v>95</v>
      </c>
      <c r="H55" s="1654" t="s">
        <v>1827</v>
      </c>
      <c r="I55" s="1654" t="s">
        <v>1034</v>
      </c>
      <c r="J55" s="1657" t="s">
        <v>4929</v>
      </c>
      <c r="K55" s="1665">
        <v>2.81</v>
      </c>
      <c r="L55" s="1656" t="s">
        <v>4937</v>
      </c>
      <c r="M55" s="1658">
        <v>44287</v>
      </c>
    </row>
    <row r="56" spans="1:13" s="1378" customFormat="1" ht="42.75">
      <c r="A56" s="1654">
        <v>47</v>
      </c>
      <c r="B56" s="1655" t="s">
        <v>1064</v>
      </c>
      <c r="C56" s="1656" t="s">
        <v>2266</v>
      </c>
      <c r="D56" s="1656" t="s">
        <v>669</v>
      </c>
      <c r="E56" s="1656" t="s">
        <v>4926</v>
      </c>
      <c r="F56" s="1654" t="s">
        <v>5122</v>
      </c>
      <c r="G56" s="1654">
        <v>115</v>
      </c>
      <c r="H56" s="1659" t="s">
        <v>1877</v>
      </c>
      <c r="I56" s="1654" t="s">
        <v>1079</v>
      </c>
      <c r="J56" s="1657">
        <v>-6.3549999999999995E-2</v>
      </c>
      <c r="K56" s="1657">
        <v>-0.26200000000000001</v>
      </c>
      <c r="L56" s="1656" t="s">
        <v>4945</v>
      </c>
      <c r="M56" s="1658">
        <v>44287</v>
      </c>
    </row>
    <row r="57" spans="1:13" s="1378" customFormat="1" ht="28.5">
      <c r="A57" s="1654">
        <v>48</v>
      </c>
      <c r="B57" s="1655" t="s">
        <v>1064</v>
      </c>
      <c r="C57" s="1656" t="s">
        <v>2271</v>
      </c>
      <c r="D57" s="1656" t="s">
        <v>1902</v>
      </c>
      <c r="E57" s="1656" t="s">
        <v>4926</v>
      </c>
      <c r="F57" s="1654" t="s">
        <v>5122</v>
      </c>
      <c r="G57" s="1654">
        <v>115</v>
      </c>
      <c r="H57" s="1659" t="s">
        <v>1880</v>
      </c>
      <c r="I57" s="1654" t="s">
        <v>1079</v>
      </c>
      <c r="J57" s="1657">
        <v>5.5500000000000001E-2</v>
      </c>
      <c r="K57" s="1657">
        <v>2.5000000000000001E-2</v>
      </c>
      <c r="L57" s="1656" t="s">
        <v>5125</v>
      </c>
      <c r="M57" s="1658">
        <v>44287</v>
      </c>
    </row>
    <row r="58" spans="1:13" s="1378" customFormat="1" ht="28.5">
      <c r="A58" s="1654">
        <v>49</v>
      </c>
      <c r="B58" s="1655" t="s">
        <v>1064</v>
      </c>
      <c r="C58" s="1656" t="s">
        <v>2271</v>
      </c>
      <c r="D58" s="1656" t="s">
        <v>1902</v>
      </c>
      <c r="E58" s="1656" t="s">
        <v>4926</v>
      </c>
      <c r="F58" s="1654" t="s">
        <v>5122</v>
      </c>
      <c r="G58" s="1654">
        <v>116</v>
      </c>
      <c r="H58" s="1659" t="s">
        <v>1876</v>
      </c>
      <c r="I58" s="1654" t="s">
        <v>1079</v>
      </c>
      <c r="J58" s="1657">
        <v>-6.6600000000000006E-2</v>
      </c>
      <c r="K58" s="1657">
        <v>-0.03</v>
      </c>
      <c r="L58" s="1656" t="s">
        <v>4946</v>
      </c>
      <c r="M58" s="1658">
        <v>44287</v>
      </c>
    </row>
    <row r="59" spans="1:13" s="1378" customFormat="1" ht="57">
      <c r="A59" s="1660">
        <v>50</v>
      </c>
      <c r="B59" s="1661" t="s">
        <v>1064</v>
      </c>
      <c r="C59" s="1662" t="s">
        <v>2266</v>
      </c>
      <c r="D59" s="1662" t="s">
        <v>669</v>
      </c>
      <c r="E59" s="1662" t="s">
        <v>860</v>
      </c>
      <c r="F59" s="1660" t="s">
        <v>5122</v>
      </c>
      <c r="G59" s="1660">
        <v>41</v>
      </c>
      <c r="H59" s="1660" t="s">
        <v>1175</v>
      </c>
      <c r="I59" s="1660" t="s">
        <v>1079</v>
      </c>
      <c r="J59" s="1663" t="s">
        <v>1020</v>
      </c>
      <c r="K59" s="1663" t="s">
        <v>1010</v>
      </c>
      <c r="L59" s="1662" t="s">
        <v>5123</v>
      </c>
      <c r="M59" s="1664">
        <v>44225</v>
      </c>
    </row>
    <row r="60" spans="1:13" s="1381" customFormat="1" ht="57">
      <c r="A60" s="1598">
        <v>51</v>
      </c>
      <c r="B60" s="1599" t="s">
        <v>1064</v>
      </c>
      <c r="C60" s="1600" t="s">
        <v>2271</v>
      </c>
      <c r="D60" s="1600" t="s">
        <v>1902</v>
      </c>
      <c r="E60" s="1600" t="s">
        <v>860</v>
      </c>
      <c r="F60" s="1598" t="s">
        <v>5122</v>
      </c>
      <c r="G60" s="1598">
        <v>41</v>
      </c>
      <c r="H60" s="1598" t="s">
        <v>1175</v>
      </c>
      <c r="I60" s="1598" t="s">
        <v>1079</v>
      </c>
      <c r="J60" s="1601" t="s">
        <v>1020</v>
      </c>
      <c r="K60" s="1601" t="s">
        <v>1010</v>
      </c>
      <c r="L60" s="1600" t="s">
        <v>5124</v>
      </c>
      <c r="M60" s="1602">
        <v>44225</v>
      </c>
    </row>
    <row r="61" spans="1:13" s="1378" customFormat="1" ht="14.25">
      <c r="A61" s="1654">
        <v>52</v>
      </c>
      <c r="B61" s="1655" t="s">
        <v>1032</v>
      </c>
      <c r="C61" s="1656" t="s">
        <v>2480</v>
      </c>
      <c r="D61" s="1656" t="s">
        <v>4925</v>
      </c>
      <c r="E61" s="1656" t="s">
        <v>4926</v>
      </c>
      <c r="F61" s="1654" t="s">
        <v>5122</v>
      </c>
      <c r="G61" s="1654">
        <v>95</v>
      </c>
      <c r="H61" s="1654" t="s">
        <v>1827</v>
      </c>
      <c r="I61" s="1654" t="s">
        <v>1027</v>
      </c>
      <c r="J61" s="1657">
        <v>2</v>
      </c>
      <c r="K61" s="1657">
        <v>1.5</v>
      </c>
      <c r="L61" s="1656" t="s">
        <v>4928</v>
      </c>
      <c r="M61" s="1658">
        <v>44287</v>
      </c>
    </row>
    <row r="62" spans="1:13" s="1378" customFormat="1" ht="14.25">
      <c r="A62" s="1654">
        <v>53</v>
      </c>
      <c r="B62" s="1655" t="s">
        <v>1032</v>
      </c>
      <c r="C62" s="1656" t="s">
        <v>2480</v>
      </c>
      <c r="D62" s="1656" t="s">
        <v>4925</v>
      </c>
      <c r="E62" s="1656" t="s">
        <v>4926</v>
      </c>
      <c r="F62" s="1654" t="s">
        <v>5122</v>
      </c>
      <c r="G62" s="1654">
        <v>95</v>
      </c>
      <c r="H62" s="1654" t="s">
        <v>1827</v>
      </c>
      <c r="I62" s="1654" t="s">
        <v>88</v>
      </c>
      <c r="J62" s="1657">
        <v>2</v>
      </c>
      <c r="K62" s="1657">
        <v>1.5</v>
      </c>
      <c r="L62" s="1656" t="s">
        <v>4928</v>
      </c>
      <c r="M62" s="1658">
        <v>44287</v>
      </c>
    </row>
    <row r="63" spans="1:13" s="1378" customFormat="1" ht="14.25">
      <c r="A63" s="1654">
        <v>54</v>
      </c>
      <c r="B63" s="1655" t="s">
        <v>1032</v>
      </c>
      <c r="C63" s="1656" t="s">
        <v>2480</v>
      </c>
      <c r="D63" s="1656" t="s">
        <v>4925</v>
      </c>
      <c r="E63" s="1656" t="s">
        <v>4926</v>
      </c>
      <c r="F63" s="1654" t="s">
        <v>5122</v>
      </c>
      <c r="G63" s="1654">
        <v>95</v>
      </c>
      <c r="H63" s="1654" t="s">
        <v>1827</v>
      </c>
      <c r="I63" s="1654" t="s">
        <v>1034</v>
      </c>
      <c r="J63" s="1657">
        <v>2</v>
      </c>
      <c r="K63" s="1657">
        <v>1.5</v>
      </c>
      <c r="L63" s="1656" t="s">
        <v>4928</v>
      </c>
      <c r="M63" s="1658">
        <v>44287</v>
      </c>
    </row>
    <row r="64" spans="1:13" s="1378" customFormat="1" ht="14.25">
      <c r="A64" s="1654">
        <v>55</v>
      </c>
      <c r="B64" s="1655" t="s">
        <v>1032</v>
      </c>
      <c r="C64" s="1656" t="s">
        <v>2489</v>
      </c>
      <c r="D64" s="1656" t="s">
        <v>4953</v>
      </c>
      <c r="E64" s="1656" t="s">
        <v>4926</v>
      </c>
      <c r="F64" s="1654" t="s">
        <v>5122</v>
      </c>
      <c r="G64" s="1654">
        <v>85</v>
      </c>
      <c r="H64" s="1654" t="s">
        <v>1825</v>
      </c>
      <c r="I64" s="1654" t="s">
        <v>1012</v>
      </c>
      <c r="J64" s="1657">
        <v>-38.001194045143002</v>
      </c>
      <c r="K64" s="1657" t="s">
        <v>4929</v>
      </c>
      <c r="L64" s="1656" t="s">
        <v>4930</v>
      </c>
      <c r="M64" s="1658">
        <v>44287</v>
      </c>
    </row>
    <row r="65" spans="1:13" s="1378" customFormat="1" ht="14.25">
      <c r="A65" s="1654">
        <v>56</v>
      </c>
      <c r="B65" s="1655" t="s">
        <v>1032</v>
      </c>
      <c r="C65" s="1656" t="s">
        <v>2489</v>
      </c>
      <c r="D65" s="1656" t="s">
        <v>4953</v>
      </c>
      <c r="E65" s="1656" t="s">
        <v>4926</v>
      </c>
      <c r="F65" s="1654" t="s">
        <v>5122</v>
      </c>
      <c r="G65" s="1654">
        <v>85</v>
      </c>
      <c r="H65" s="1654" t="s">
        <v>1825</v>
      </c>
      <c r="I65" s="1654" t="s">
        <v>1022</v>
      </c>
      <c r="J65" s="1657">
        <v>-38.001194045143002</v>
      </c>
      <c r="K65" s="1657" t="s">
        <v>4929</v>
      </c>
      <c r="L65" s="1656" t="s">
        <v>4930</v>
      </c>
      <c r="M65" s="1658">
        <v>44287</v>
      </c>
    </row>
    <row r="66" spans="1:13" s="1378" customFormat="1" ht="14.25">
      <c r="A66" s="1654">
        <v>57</v>
      </c>
      <c r="B66" s="1655" t="s">
        <v>1032</v>
      </c>
      <c r="C66" s="1656" t="s">
        <v>2489</v>
      </c>
      <c r="D66" s="1656" t="s">
        <v>4953</v>
      </c>
      <c r="E66" s="1656" t="s">
        <v>4926</v>
      </c>
      <c r="F66" s="1654" t="s">
        <v>5122</v>
      </c>
      <c r="G66" s="1654">
        <v>85</v>
      </c>
      <c r="H66" s="1654" t="s">
        <v>1825</v>
      </c>
      <c r="I66" s="1654" t="s">
        <v>1027</v>
      </c>
      <c r="J66" s="1657">
        <v>-38.001194045143002</v>
      </c>
      <c r="K66" s="1657" t="s">
        <v>4929</v>
      </c>
      <c r="L66" s="1656" t="s">
        <v>4930</v>
      </c>
      <c r="M66" s="1658">
        <v>44287</v>
      </c>
    </row>
    <row r="67" spans="1:13" s="1378" customFormat="1" ht="14.25">
      <c r="A67" s="1654">
        <v>58</v>
      </c>
      <c r="B67" s="1655" t="s">
        <v>1032</v>
      </c>
      <c r="C67" s="1656" t="s">
        <v>2489</v>
      </c>
      <c r="D67" s="1656" t="s">
        <v>4953</v>
      </c>
      <c r="E67" s="1656" t="s">
        <v>4926</v>
      </c>
      <c r="F67" s="1654" t="s">
        <v>5122</v>
      </c>
      <c r="G67" s="1654">
        <v>85</v>
      </c>
      <c r="H67" s="1654" t="s">
        <v>1825</v>
      </c>
      <c r="I67" s="1654" t="s">
        <v>88</v>
      </c>
      <c r="J67" s="1657">
        <v>-38.001194045143002</v>
      </c>
      <c r="K67" s="1657" t="s">
        <v>4929</v>
      </c>
      <c r="L67" s="1656" t="s">
        <v>4930</v>
      </c>
      <c r="M67" s="1658">
        <v>44287</v>
      </c>
    </row>
    <row r="68" spans="1:13" s="1378" customFormat="1" ht="14.25">
      <c r="A68" s="1654">
        <v>59</v>
      </c>
      <c r="B68" s="1655" t="s">
        <v>1032</v>
      </c>
      <c r="C68" s="1656" t="s">
        <v>2489</v>
      </c>
      <c r="D68" s="1656" t="s">
        <v>4953</v>
      </c>
      <c r="E68" s="1656" t="s">
        <v>4926</v>
      </c>
      <c r="F68" s="1654" t="s">
        <v>5122</v>
      </c>
      <c r="G68" s="1654">
        <v>85</v>
      </c>
      <c r="H68" s="1654" t="s">
        <v>1825</v>
      </c>
      <c r="I68" s="1654" t="s">
        <v>1034</v>
      </c>
      <c r="J68" s="1657">
        <v>-38.001194045143002</v>
      </c>
      <c r="K68" s="1657" t="s">
        <v>4929</v>
      </c>
      <c r="L68" s="1656" t="s">
        <v>4930</v>
      </c>
      <c r="M68" s="1658">
        <v>44287</v>
      </c>
    </row>
    <row r="69" spans="1:13" s="1378" customFormat="1" ht="14.25">
      <c r="A69" s="1654">
        <v>60</v>
      </c>
      <c r="B69" s="1655" t="s">
        <v>1032</v>
      </c>
      <c r="C69" s="1656" t="s">
        <v>2489</v>
      </c>
      <c r="D69" s="1656" t="s">
        <v>4953</v>
      </c>
      <c r="E69" s="1656" t="s">
        <v>4926</v>
      </c>
      <c r="F69" s="1654" t="s">
        <v>5122</v>
      </c>
      <c r="G69" s="1654">
        <v>110</v>
      </c>
      <c r="H69" s="1654" t="s">
        <v>1226</v>
      </c>
      <c r="I69" s="1654" t="s">
        <v>1012</v>
      </c>
      <c r="J69" s="1657" t="s">
        <v>4805</v>
      </c>
      <c r="K69" s="1657" t="s">
        <v>4929</v>
      </c>
      <c r="L69" s="1656" t="s">
        <v>4930</v>
      </c>
      <c r="M69" s="1658"/>
    </row>
    <row r="70" spans="1:13" s="1378" customFormat="1" ht="14.25">
      <c r="A70" s="1654">
        <v>61</v>
      </c>
      <c r="B70" s="1655" t="s">
        <v>1032</v>
      </c>
      <c r="C70" s="1656" t="s">
        <v>2489</v>
      </c>
      <c r="D70" s="1656" t="s">
        <v>4953</v>
      </c>
      <c r="E70" s="1656" t="s">
        <v>4926</v>
      </c>
      <c r="F70" s="1654" t="s">
        <v>5122</v>
      </c>
      <c r="G70" s="1654">
        <v>110</v>
      </c>
      <c r="H70" s="1654" t="s">
        <v>1226</v>
      </c>
      <c r="I70" s="1654" t="s">
        <v>1022</v>
      </c>
      <c r="J70" s="1657" t="s">
        <v>4805</v>
      </c>
      <c r="K70" s="1657" t="s">
        <v>4929</v>
      </c>
      <c r="L70" s="1656" t="s">
        <v>4930</v>
      </c>
      <c r="M70" s="1658"/>
    </row>
    <row r="71" spans="1:13" s="1378" customFormat="1" ht="14.25">
      <c r="A71" s="1654">
        <v>62</v>
      </c>
      <c r="B71" s="1655" t="s">
        <v>1032</v>
      </c>
      <c r="C71" s="1656" t="s">
        <v>2489</v>
      </c>
      <c r="D71" s="1656" t="s">
        <v>4953</v>
      </c>
      <c r="E71" s="1656" t="s">
        <v>4926</v>
      </c>
      <c r="F71" s="1654" t="s">
        <v>5122</v>
      </c>
      <c r="G71" s="1654">
        <v>110</v>
      </c>
      <c r="H71" s="1654" t="s">
        <v>1226</v>
      </c>
      <c r="I71" s="1654" t="s">
        <v>1027</v>
      </c>
      <c r="J71" s="1657" t="s">
        <v>4805</v>
      </c>
      <c r="K71" s="1657" t="s">
        <v>4929</v>
      </c>
      <c r="L71" s="1656" t="s">
        <v>4930</v>
      </c>
      <c r="M71" s="1658"/>
    </row>
    <row r="72" spans="1:13" s="1378" customFormat="1" ht="14.25">
      <c r="A72" s="1654">
        <v>63</v>
      </c>
      <c r="B72" s="1655" t="s">
        <v>1032</v>
      </c>
      <c r="C72" s="1656" t="s">
        <v>2489</v>
      </c>
      <c r="D72" s="1656" t="s">
        <v>4953</v>
      </c>
      <c r="E72" s="1656" t="s">
        <v>4926</v>
      </c>
      <c r="F72" s="1654" t="s">
        <v>5122</v>
      </c>
      <c r="G72" s="1654">
        <v>110</v>
      </c>
      <c r="H72" s="1654" t="s">
        <v>1226</v>
      </c>
      <c r="I72" s="1654" t="s">
        <v>88</v>
      </c>
      <c r="J72" s="1657" t="s">
        <v>4805</v>
      </c>
      <c r="K72" s="1657" t="s">
        <v>4929</v>
      </c>
      <c r="L72" s="1656" t="s">
        <v>4930</v>
      </c>
      <c r="M72" s="1658"/>
    </row>
    <row r="73" spans="1:13" s="1378" customFormat="1" ht="14.25">
      <c r="A73" s="1654">
        <v>64</v>
      </c>
      <c r="B73" s="1655" t="s">
        <v>1032</v>
      </c>
      <c r="C73" s="1656" t="s">
        <v>2489</v>
      </c>
      <c r="D73" s="1656" t="s">
        <v>4953</v>
      </c>
      <c r="E73" s="1656" t="s">
        <v>4926</v>
      </c>
      <c r="F73" s="1654" t="s">
        <v>5122</v>
      </c>
      <c r="G73" s="1654">
        <v>110</v>
      </c>
      <c r="H73" s="1654" t="s">
        <v>1226</v>
      </c>
      <c r="I73" s="1654" t="s">
        <v>1034</v>
      </c>
      <c r="J73" s="1657" t="s">
        <v>4805</v>
      </c>
      <c r="K73" s="1657" t="s">
        <v>4929</v>
      </c>
      <c r="L73" s="1656" t="s">
        <v>4930</v>
      </c>
      <c r="M73" s="1658"/>
    </row>
    <row r="74" spans="1:13" s="1378" customFormat="1" ht="42.75">
      <c r="A74" s="1654">
        <v>65</v>
      </c>
      <c r="B74" s="1655" t="s">
        <v>1032</v>
      </c>
      <c r="C74" s="1656" t="s">
        <v>2489</v>
      </c>
      <c r="D74" s="1656" t="s">
        <v>4953</v>
      </c>
      <c r="E74" s="1656" t="s">
        <v>4926</v>
      </c>
      <c r="F74" s="1654" t="s">
        <v>5122</v>
      </c>
      <c r="G74" s="1654">
        <v>115</v>
      </c>
      <c r="H74" s="1659" t="s">
        <v>1877</v>
      </c>
      <c r="I74" s="1654" t="s">
        <v>1079</v>
      </c>
      <c r="J74" s="1657" t="s">
        <v>4929</v>
      </c>
      <c r="K74" s="1657">
        <v>-0.17499999999999999</v>
      </c>
      <c r="L74" s="1656" t="s">
        <v>4956</v>
      </c>
      <c r="M74" s="1658">
        <v>44287</v>
      </c>
    </row>
    <row r="75" spans="1:13" s="1378" customFormat="1" ht="14.25">
      <c r="A75" s="1654">
        <v>66</v>
      </c>
      <c r="B75" s="1655" t="s">
        <v>1032</v>
      </c>
      <c r="C75" s="1656" t="s">
        <v>2489</v>
      </c>
      <c r="D75" s="1656" t="s">
        <v>4953</v>
      </c>
      <c r="E75" s="1656" t="s">
        <v>4926</v>
      </c>
      <c r="F75" s="1654" t="s">
        <v>5122</v>
      </c>
      <c r="G75" s="1654">
        <v>118</v>
      </c>
      <c r="H75" s="1654" t="s">
        <v>1879</v>
      </c>
      <c r="I75" s="1654" t="s">
        <v>1079</v>
      </c>
      <c r="J75" s="1657">
        <v>-0.26645000000000002</v>
      </c>
      <c r="K75" s="1657" t="s">
        <v>4929</v>
      </c>
      <c r="L75" s="1656" t="s">
        <v>4930</v>
      </c>
      <c r="M75" s="1658">
        <v>44287</v>
      </c>
    </row>
    <row r="76" spans="1:13" s="1378" customFormat="1" ht="14.25">
      <c r="A76" s="1654">
        <v>67</v>
      </c>
      <c r="B76" s="1655" t="s">
        <v>1032</v>
      </c>
      <c r="C76" s="1656" t="s">
        <v>2489</v>
      </c>
      <c r="D76" s="1656" t="s">
        <v>4953</v>
      </c>
      <c r="E76" s="1656" t="s">
        <v>4926</v>
      </c>
      <c r="F76" s="1654" t="s">
        <v>5122</v>
      </c>
      <c r="G76" s="1654">
        <v>122</v>
      </c>
      <c r="H76" s="1654" t="s">
        <v>1883</v>
      </c>
      <c r="I76" s="1654" t="s">
        <v>1079</v>
      </c>
      <c r="J76" s="1657">
        <v>0.26645000000000002</v>
      </c>
      <c r="K76" s="1657" t="s">
        <v>4929</v>
      </c>
      <c r="L76" s="1656" t="s">
        <v>4930</v>
      </c>
      <c r="M76" s="1658">
        <v>44287</v>
      </c>
    </row>
    <row r="77" spans="1:13" s="1378" customFormat="1" ht="14.25">
      <c r="A77" s="1654">
        <v>68</v>
      </c>
      <c r="B77" s="1655" t="s">
        <v>1032</v>
      </c>
      <c r="C77" s="1656" t="s">
        <v>2494</v>
      </c>
      <c r="D77" s="1656" t="s">
        <v>4954</v>
      </c>
      <c r="E77" s="1656" t="s">
        <v>4926</v>
      </c>
      <c r="F77" s="1654" t="s">
        <v>5122</v>
      </c>
      <c r="G77" s="1654">
        <v>85</v>
      </c>
      <c r="H77" s="1654" t="s">
        <v>1825</v>
      </c>
      <c r="I77" s="1654" t="s">
        <v>1012</v>
      </c>
      <c r="J77" s="1657">
        <v>-77.267989452432403</v>
      </c>
      <c r="K77" s="1657" t="s">
        <v>4929</v>
      </c>
      <c r="L77" s="1656" t="s">
        <v>4930</v>
      </c>
      <c r="M77" s="1658">
        <v>44287</v>
      </c>
    </row>
    <row r="78" spans="1:13" s="1378" customFormat="1" ht="14.25">
      <c r="A78" s="1654">
        <v>69</v>
      </c>
      <c r="B78" s="1655" t="s">
        <v>1032</v>
      </c>
      <c r="C78" s="1656" t="s">
        <v>2494</v>
      </c>
      <c r="D78" s="1656" t="s">
        <v>4954</v>
      </c>
      <c r="E78" s="1656" t="s">
        <v>4926</v>
      </c>
      <c r="F78" s="1654" t="s">
        <v>5122</v>
      </c>
      <c r="G78" s="1654">
        <v>85</v>
      </c>
      <c r="H78" s="1654" t="s">
        <v>1825</v>
      </c>
      <c r="I78" s="1654" t="s">
        <v>1022</v>
      </c>
      <c r="J78" s="1657">
        <v>-77.267989452432403</v>
      </c>
      <c r="K78" s="1657" t="s">
        <v>4929</v>
      </c>
      <c r="L78" s="1656" t="s">
        <v>4930</v>
      </c>
      <c r="M78" s="1658">
        <v>44287</v>
      </c>
    </row>
    <row r="79" spans="1:13" s="1378" customFormat="1" ht="14.25">
      <c r="A79" s="1654">
        <v>70</v>
      </c>
      <c r="B79" s="1655" t="s">
        <v>1032</v>
      </c>
      <c r="C79" s="1656" t="s">
        <v>2494</v>
      </c>
      <c r="D79" s="1656" t="s">
        <v>4954</v>
      </c>
      <c r="E79" s="1656" t="s">
        <v>4926</v>
      </c>
      <c r="F79" s="1654" t="s">
        <v>5122</v>
      </c>
      <c r="G79" s="1654">
        <v>85</v>
      </c>
      <c r="H79" s="1654" t="s">
        <v>1825</v>
      </c>
      <c r="I79" s="1654" t="s">
        <v>1027</v>
      </c>
      <c r="J79" s="1657">
        <v>-77.267989452432403</v>
      </c>
      <c r="K79" s="1657" t="s">
        <v>4929</v>
      </c>
      <c r="L79" s="1656" t="s">
        <v>4930</v>
      </c>
      <c r="M79" s="1658">
        <v>44287</v>
      </c>
    </row>
    <row r="80" spans="1:13" s="1378" customFormat="1" ht="14.25">
      <c r="A80" s="1654">
        <v>71</v>
      </c>
      <c r="B80" s="1655" t="s">
        <v>1032</v>
      </c>
      <c r="C80" s="1656" t="s">
        <v>2494</v>
      </c>
      <c r="D80" s="1656" t="s">
        <v>4954</v>
      </c>
      <c r="E80" s="1656" t="s">
        <v>4926</v>
      </c>
      <c r="F80" s="1654" t="s">
        <v>5122</v>
      </c>
      <c r="G80" s="1654">
        <v>85</v>
      </c>
      <c r="H80" s="1654" t="s">
        <v>1825</v>
      </c>
      <c r="I80" s="1654" t="s">
        <v>88</v>
      </c>
      <c r="J80" s="1657">
        <v>-77.267989452432403</v>
      </c>
      <c r="K80" s="1657" t="s">
        <v>4929</v>
      </c>
      <c r="L80" s="1656" t="s">
        <v>4930</v>
      </c>
      <c r="M80" s="1658">
        <v>44287</v>
      </c>
    </row>
    <row r="81" spans="1:13" s="1378" customFormat="1" ht="14.25">
      <c r="A81" s="1654">
        <v>72</v>
      </c>
      <c r="B81" s="1655" t="s">
        <v>1032</v>
      </c>
      <c r="C81" s="1656" t="s">
        <v>2494</v>
      </c>
      <c r="D81" s="1656" t="s">
        <v>4954</v>
      </c>
      <c r="E81" s="1656" t="s">
        <v>4926</v>
      </c>
      <c r="F81" s="1654" t="s">
        <v>5122</v>
      </c>
      <c r="G81" s="1654">
        <v>85</v>
      </c>
      <c r="H81" s="1654" t="s">
        <v>1825</v>
      </c>
      <c r="I81" s="1654" t="s">
        <v>1034</v>
      </c>
      <c r="J81" s="1657">
        <v>-77.267989452432403</v>
      </c>
      <c r="K81" s="1657" t="s">
        <v>4929</v>
      </c>
      <c r="L81" s="1656" t="s">
        <v>4930</v>
      </c>
      <c r="M81" s="1658">
        <v>44287</v>
      </c>
    </row>
    <row r="82" spans="1:13" s="1378" customFormat="1" ht="14.25">
      <c r="A82" s="1654">
        <v>73</v>
      </c>
      <c r="B82" s="1655" t="s">
        <v>1032</v>
      </c>
      <c r="C82" s="1656" t="s">
        <v>2494</v>
      </c>
      <c r="D82" s="1656" t="s">
        <v>4954</v>
      </c>
      <c r="E82" s="1656" t="s">
        <v>4926</v>
      </c>
      <c r="F82" s="1654" t="s">
        <v>5122</v>
      </c>
      <c r="G82" s="1654">
        <v>110</v>
      </c>
      <c r="H82" s="1654" t="s">
        <v>1226</v>
      </c>
      <c r="I82" s="1654" t="s">
        <v>1012</v>
      </c>
      <c r="J82" s="1657" t="s">
        <v>4805</v>
      </c>
      <c r="K82" s="1657" t="s">
        <v>4929</v>
      </c>
      <c r="L82" s="1656" t="s">
        <v>4930</v>
      </c>
      <c r="M82" s="1658"/>
    </row>
    <row r="83" spans="1:13" s="1378" customFormat="1" ht="14.25">
      <c r="A83" s="1654">
        <v>74</v>
      </c>
      <c r="B83" s="1655" t="s">
        <v>1032</v>
      </c>
      <c r="C83" s="1656" t="s">
        <v>2494</v>
      </c>
      <c r="D83" s="1656" t="s">
        <v>4954</v>
      </c>
      <c r="E83" s="1656" t="s">
        <v>4926</v>
      </c>
      <c r="F83" s="1654" t="s">
        <v>5122</v>
      </c>
      <c r="G83" s="1654">
        <v>110</v>
      </c>
      <c r="H83" s="1654" t="s">
        <v>1226</v>
      </c>
      <c r="I83" s="1654" t="s">
        <v>1022</v>
      </c>
      <c r="J83" s="1657" t="s">
        <v>4805</v>
      </c>
      <c r="K83" s="1657" t="s">
        <v>4929</v>
      </c>
      <c r="L83" s="1656" t="s">
        <v>4930</v>
      </c>
      <c r="M83" s="1658"/>
    </row>
    <row r="84" spans="1:13" s="1378" customFormat="1" ht="14.25">
      <c r="A84" s="1654">
        <v>75</v>
      </c>
      <c r="B84" s="1655" t="s">
        <v>1032</v>
      </c>
      <c r="C84" s="1656" t="s">
        <v>2494</v>
      </c>
      <c r="D84" s="1656" t="s">
        <v>4954</v>
      </c>
      <c r="E84" s="1656" t="s">
        <v>4926</v>
      </c>
      <c r="F84" s="1654" t="s">
        <v>5122</v>
      </c>
      <c r="G84" s="1654">
        <v>110</v>
      </c>
      <c r="H84" s="1654" t="s">
        <v>1226</v>
      </c>
      <c r="I84" s="1654" t="s">
        <v>1027</v>
      </c>
      <c r="J84" s="1657" t="s">
        <v>4805</v>
      </c>
      <c r="K84" s="1657" t="s">
        <v>4929</v>
      </c>
      <c r="L84" s="1656" t="s">
        <v>4930</v>
      </c>
      <c r="M84" s="1658"/>
    </row>
    <row r="85" spans="1:13" s="1378" customFormat="1" ht="14.25">
      <c r="A85" s="1654">
        <v>76</v>
      </c>
      <c r="B85" s="1655" t="s">
        <v>1032</v>
      </c>
      <c r="C85" s="1656" t="s">
        <v>2494</v>
      </c>
      <c r="D85" s="1656" t="s">
        <v>4954</v>
      </c>
      <c r="E85" s="1656" t="s">
        <v>4926</v>
      </c>
      <c r="F85" s="1654" t="s">
        <v>5122</v>
      </c>
      <c r="G85" s="1654">
        <v>110</v>
      </c>
      <c r="H85" s="1654" t="s">
        <v>1226</v>
      </c>
      <c r="I85" s="1654" t="s">
        <v>88</v>
      </c>
      <c r="J85" s="1657" t="s">
        <v>4805</v>
      </c>
      <c r="K85" s="1657" t="s">
        <v>4929</v>
      </c>
      <c r="L85" s="1656" t="s">
        <v>4930</v>
      </c>
      <c r="M85" s="1658"/>
    </row>
    <row r="86" spans="1:13" s="1378" customFormat="1" ht="14.25">
      <c r="A86" s="1654">
        <v>77</v>
      </c>
      <c r="B86" s="1655" t="s">
        <v>1032</v>
      </c>
      <c r="C86" s="1656" t="s">
        <v>2494</v>
      </c>
      <c r="D86" s="1656" t="s">
        <v>4954</v>
      </c>
      <c r="E86" s="1656" t="s">
        <v>4926</v>
      </c>
      <c r="F86" s="1654" t="s">
        <v>5122</v>
      </c>
      <c r="G86" s="1654">
        <v>110</v>
      </c>
      <c r="H86" s="1654" t="s">
        <v>1226</v>
      </c>
      <c r="I86" s="1654" t="s">
        <v>1034</v>
      </c>
      <c r="J86" s="1657" t="s">
        <v>4805</v>
      </c>
      <c r="K86" s="1657" t="s">
        <v>4929</v>
      </c>
      <c r="L86" s="1656" t="s">
        <v>4930</v>
      </c>
      <c r="M86" s="1658"/>
    </row>
    <row r="87" spans="1:13" s="1378" customFormat="1" ht="42.75">
      <c r="A87" s="1654">
        <v>78</v>
      </c>
      <c r="B87" s="1655" t="s">
        <v>1032</v>
      </c>
      <c r="C87" s="1656" t="s">
        <v>2494</v>
      </c>
      <c r="D87" s="1656" t="s">
        <v>4954</v>
      </c>
      <c r="E87" s="1656" t="s">
        <v>4926</v>
      </c>
      <c r="F87" s="1654" t="s">
        <v>5122</v>
      </c>
      <c r="G87" s="1654">
        <v>115</v>
      </c>
      <c r="H87" s="1659" t="s">
        <v>1877</v>
      </c>
      <c r="I87" s="1654" t="s">
        <v>1079</v>
      </c>
      <c r="J87" s="1657" t="s">
        <v>4929</v>
      </c>
      <c r="K87" s="1657">
        <v>-0.18</v>
      </c>
      <c r="L87" s="1656" t="s">
        <v>4957</v>
      </c>
      <c r="M87" s="1658">
        <v>44287</v>
      </c>
    </row>
    <row r="88" spans="1:13" s="1378" customFormat="1" ht="14.25">
      <c r="A88" s="1654">
        <v>79</v>
      </c>
      <c r="B88" s="1655" t="s">
        <v>1032</v>
      </c>
      <c r="C88" s="1656" t="s">
        <v>2494</v>
      </c>
      <c r="D88" s="1656" t="s">
        <v>4954</v>
      </c>
      <c r="E88" s="1656" t="s">
        <v>4926</v>
      </c>
      <c r="F88" s="1654" t="s">
        <v>5122</v>
      </c>
      <c r="G88" s="1654">
        <v>118</v>
      </c>
      <c r="H88" s="1654" t="s">
        <v>1879</v>
      </c>
      <c r="I88" s="1654" t="s">
        <v>1079</v>
      </c>
      <c r="J88" s="1657">
        <v>-0.48801299999999997</v>
      </c>
      <c r="K88" s="1657" t="s">
        <v>4929</v>
      </c>
      <c r="L88" s="1656" t="s">
        <v>4930</v>
      </c>
      <c r="M88" s="1658">
        <v>44287</v>
      </c>
    </row>
    <row r="89" spans="1:13" s="1378" customFormat="1" ht="14.25">
      <c r="A89" s="1654">
        <v>80</v>
      </c>
      <c r="B89" s="1655" t="s">
        <v>1032</v>
      </c>
      <c r="C89" s="1656" t="s">
        <v>2494</v>
      </c>
      <c r="D89" s="1656" t="s">
        <v>4954</v>
      </c>
      <c r="E89" s="1656" t="s">
        <v>4926</v>
      </c>
      <c r="F89" s="1654" t="s">
        <v>5122</v>
      </c>
      <c r="G89" s="1654">
        <v>122</v>
      </c>
      <c r="H89" s="1654" t="s">
        <v>1883</v>
      </c>
      <c r="I89" s="1654" t="s">
        <v>1079</v>
      </c>
      <c r="J89" s="1657">
        <v>0.48801299999999997</v>
      </c>
      <c r="K89" s="1657" t="s">
        <v>4929</v>
      </c>
      <c r="L89" s="1656" t="s">
        <v>4930</v>
      </c>
      <c r="M89" s="1658">
        <v>44287</v>
      </c>
    </row>
    <row r="90" spans="1:13" s="1378" customFormat="1" ht="14.25">
      <c r="A90" s="1654">
        <v>81</v>
      </c>
      <c r="B90" s="1667" t="s">
        <v>1032</v>
      </c>
      <c r="C90" s="1656" t="s">
        <v>2521</v>
      </c>
      <c r="D90" s="1656" t="s">
        <v>4934</v>
      </c>
      <c r="E90" s="1656" t="s">
        <v>4926</v>
      </c>
      <c r="F90" s="1654" t="s">
        <v>5122</v>
      </c>
      <c r="G90" s="1654">
        <v>95</v>
      </c>
      <c r="H90" s="1654" t="s">
        <v>1827</v>
      </c>
      <c r="I90" s="1654" t="s">
        <v>1012</v>
      </c>
      <c r="J90" s="1657" t="s">
        <v>4929</v>
      </c>
      <c r="K90" s="1666">
        <v>151.9</v>
      </c>
      <c r="L90" s="1656" t="s">
        <v>4935</v>
      </c>
      <c r="M90" s="1658">
        <v>44287</v>
      </c>
    </row>
    <row r="91" spans="1:13" s="1378" customFormat="1" ht="14.25">
      <c r="A91" s="1654">
        <v>82</v>
      </c>
      <c r="B91" s="1667" t="s">
        <v>1032</v>
      </c>
      <c r="C91" s="1656" t="s">
        <v>2521</v>
      </c>
      <c r="D91" s="1656" t="s">
        <v>4934</v>
      </c>
      <c r="E91" s="1656" t="s">
        <v>4926</v>
      </c>
      <c r="F91" s="1654" t="s">
        <v>5122</v>
      </c>
      <c r="G91" s="1654">
        <v>95</v>
      </c>
      <c r="H91" s="1654" t="s">
        <v>1827</v>
      </c>
      <c r="I91" s="1654" t="s">
        <v>1022</v>
      </c>
      <c r="J91" s="1657" t="s">
        <v>4929</v>
      </c>
      <c r="K91" s="1666">
        <v>147.1</v>
      </c>
      <c r="L91" s="1656" t="s">
        <v>4935</v>
      </c>
      <c r="M91" s="1658">
        <v>44287</v>
      </c>
    </row>
    <row r="92" spans="1:13" s="1378" customFormat="1" ht="14.25">
      <c r="A92" s="1654">
        <v>83</v>
      </c>
      <c r="B92" s="1667" t="s">
        <v>1032</v>
      </c>
      <c r="C92" s="1656" t="s">
        <v>2521</v>
      </c>
      <c r="D92" s="1656" t="s">
        <v>4934</v>
      </c>
      <c r="E92" s="1656" t="s">
        <v>4926</v>
      </c>
      <c r="F92" s="1654" t="s">
        <v>5122</v>
      </c>
      <c r="G92" s="1654">
        <v>95</v>
      </c>
      <c r="H92" s="1654" t="s">
        <v>1827</v>
      </c>
      <c r="I92" s="1654" t="s">
        <v>1027</v>
      </c>
      <c r="J92" s="1657" t="s">
        <v>4929</v>
      </c>
      <c r="K92" s="1666">
        <v>142.4</v>
      </c>
      <c r="L92" s="1656" t="s">
        <v>4935</v>
      </c>
      <c r="M92" s="1658">
        <v>44287</v>
      </c>
    </row>
    <row r="93" spans="1:13" s="1378" customFormat="1" ht="14.25">
      <c r="A93" s="1654">
        <v>84</v>
      </c>
      <c r="B93" s="1667" t="s">
        <v>1032</v>
      </c>
      <c r="C93" s="1656" t="s">
        <v>2521</v>
      </c>
      <c r="D93" s="1656" t="s">
        <v>4934</v>
      </c>
      <c r="E93" s="1656" t="s">
        <v>4926</v>
      </c>
      <c r="F93" s="1654" t="s">
        <v>5122</v>
      </c>
      <c r="G93" s="1654">
        <v>95</v>
      </c>
      <c r="H93" s="1654" t="s">
        <v>1827</v>
      </c>
      <c r="I93" s="1654" t="s">
        <v>88</v>
      </c>
      <c r="J93" s="1657" t="s">
        <v>4929</v>
      </c>
      <c r="K93" s="1666">
        <v>137.9</v>
      </c>
      <c r="L93" s="1656" t="s">
        <v>4935</v>
      </c>
      <c r="M93" s="1658">
        <v>44287</v>
      </c>
    </row>
    <row r="94" spans="1:13" s="1378" customFormat="1" ht="14.25">
      <c r="A94" s="1654">
        <v>85</v>
      </c>
      <c r="B94" s="1667" t="s">
        <v>1032</v>
      </c>
      <c r="C94" s="1656" t="s">
        <v>2521</v>
      </c>
      <c r="D94" s="1656" t="s">
        <v>4934</v>
      </c>
      <c r="E94" s="1656" t="s">
        <v>4926</v>
      </c>
      <c r="F94" s="1654" t="s">
        <v>5122</v>
      </c>
      <c r="G94" s="1654">
        <v>95</v>
      </c>
      <c r="H94" s="1654" t="s">
        <v>1827</v>
      </c>
      <c r="I94" s="1654" t="s">
        <v>1034</v>
      </c>
      <c r="J94" s="1657" t="s">
        <v>4929</v>
      </c>
      <c r="K94" s="1666">
        <v>133.4</v>
      </c>
      <c r="L94" s="1656" t="s">
        <v>4935</v>
      </c>
      <c r="M94" s="1658">
        <v>44287</v>
      </c>
    </row>
    <row r="95" spans="1:13" s="1378" customFormat="1" ht="14.25">
      <c r="A95" s="1654">
        <v>86</v>
      </c>
      <c r="B95" s="1667" t="s">
        <v>1032</v>
      </c>
      <c r="C95" s="1656" t="s">
        <v>2525</v>
      </c>
      <c r="D95" s="1656" t="s">
        <v>4936</v>
      </c>
      <c r="E95" s="1656" t="s">
        <v>4926</v>
      </c>
      <c r="F95" s="1654" t="s">
        <v>5122</v>
      </c>
      <c r="G95" s="1654">
        <v>95</v>
      </c>
      <c r="H95" s="1654" t="s">
        <v>1827</v>
      </c>
      <c r="I95" s="1654" t="s">
        <v>1012</v>
      </c>
      <c r="J95" s="1657" t="s">
        <v>4929</v>
      </c>
      <c r="K95" s="1665">
        <v>7.64</v>
      </c>
      <c r="L95" s="1656" t="s">
        <v>4955</v>
      </c>
      <c r="M95" s="1658">
        <v>44287</v>
      </c>
    </row>
    <row r="96" spans="1:13" s="1378" customFormat="1" ht="14.25">
      <c r="A96" s="1654">
        <v>87</v>
      </c>
      <c r="B96" s="1667" t="s">
        <v>1032</v>
      </c>
      <c r="C96" s="1656" t="s">
        <v>2525</v>
      </c>
      <c r="D96" s="1656" t="s">
        <v>4936</v>
      </c>
      <c r="E96" s="1656" t="s">
        <v>4926</v>
      </c>
      <c r="F96" s="1654" t="s">
        <v>5122</v>
      </c>
      <c r="G96" s="1654">
        <v>95</v>
      </c>
      <c r="H96" s="1654" t="s">
        <v>1827</v>
      </c>
      <c r="I96" s="1654" t="s">
        <v>1022</v>
      </c>
      <c r="J96" s="1657" t="s">
        <v>4929</v>
      </c>
      <c r="K96" s="1665">
        <v>6.43</v>
      </c>
      <c r="L96" s="1656" t="s">
        <v>4955</v>
      </c>
      <c r="M96" s="1658">
        <v>44287</v>
      </c>
    </row>
    <row r="97" spans="1:13" s="1378" customFormat="1" ht="14.25">
      <c r="A97" s="1654">
        <v>88</v>
      </c>
      <c r="B97" s="1667" t="s">
        <v>1032</v>
      </c>
      <c r="C97" s="1656" t="s">
        <v>2525</v>
      </c>
      <c r="D97" s="1656" t="s">
        <v>4936</v>
      </c>
      <c r="E97" s="1656" t="s">
        <v>4926</v>
      </c>
      <c r="F97" s="1654" t="s">
        <v>5122</v>
      </c>
      <c r="G97" s="1654">
        <v>95</v>
      </c>
      <c r="H97" s="1654" t="s">
        <v>1827</v>
      </c>
      <c r="I97" s="1654" t="s">
        <v>1027</v>
      </c>
      <c r="J97" s="1657" t="s">
        <v>4929</v>
      </c>
      <c r="K97" s="1665">
        <v>5.23</v>
      </c>
      <c r="L97" s="1656" t="s">
        <v>4955</v>
      </c>
      <c r="M97" s="1658">
        <v>44287</v>
      </c>
    </row>
    <row r="98" spans="1:13" s="1378" customFormat="1" ht="14.25">
      <c r="A98" s="1654">
        <v>89</v>
      </c>
      <c r="B98" s="1667" t="s">
        <v>1032</v>
      </c>
      <c r="C98" s="1656" t="s">
        <v>2525</v>
      </c>
      <c r="D98" s="1656" t="s">
        <v>4936</v>
      </c>
      <c r="E98" s="1656" t="s">
        <v>4926</v>
      </c>
      <c r="F98" s="1654" t="s">
        <v>5122</v>
      </c>
      <c r="G98" s="1654">
        <v>95</v>
      </c>
      <c r="H98" s="1654" t="s">
        <v>1827</v>
      </c>
      <c r="I98" s="1654" t="s">
        <v>88</v>
      </c>
      <c r="J98" s="1657" t="s">
        <v>4929</v>
      </c>
      <c r="K98" s="1665">
        <v>4.0199999999999996</v>
      </c>
      <c r="L98" s="1656" t="s">
        <v>4955</v>
      </c>
      <c r="M98" s="1658">
        <v>44287</v>
      </c>
    </row>
    <row r="99" spans="1:13" s="1378" customFormat="1" ht="14.25">
      <c r="A99" s="1654">
        <v>90</v>
      </c>
      <c r="B99" s="1667" t="s">
        <v>1032</v>
      </c>
      <c r="C99" s="1656" t="s">
        <v>2525</v>
      </c>
      <c r="D99" s="1656" t="s">
        <v>4936</v>
      </c>
      <c r="E99" s="1656" t="s">
        <v>4926</v>
      </c>
      <c r="F99" s="1654" t="s">
        <v>5122</v>
      </c>
      <c r="G99" s="1654">
        <v>95</v>
      </c>
      <c r="H99" s="1654" t="s">
        <v>1827</v>
      </c>
      <c r="I99" s="1654" t="s">
        <v>1034</v>
      </c>
      <c r="J99" s="1657" t="s">
        <v>4929</v>
      </c>
      <c r="K99" s="1665">
        <v>2.81</v>
      </c>
      <c r="L99" s="1656" t="s">
        <v>4955</v>
      </c>
      <c r="M99" s="1658">
        <v>44287</v>
      </c>
    </row>
    <row r="100" spans="1:13" s="1378" customFormat="1" ht="57">
      <c r="A100" s="1660">
        <v>91</v>
      </c>
      <c r="B100" s="1661" t="s">
        <v>1032</v>
      </c>
      <c r="C100" s="1662" t="s">
        <v>2489</v>
      </c>
      <c r="D100" s="1662" t="s">
        <v>669</v>
      </c>
      <c r="E100" s="1662" t="s">
        <v>860</v>
      </c>
      <c r="F100" s="1660" t="s">
        <v>5122</v>
      </c>
      <c r="G100" s="1660">
        <v>41</v>
      </c>
      <c r="H100" s="1660" t="s">
        <v>1175</v>
      </c>
      <c r="I100" s="1660" t="s">
        <v>1079</v>
      </c>
      <c r="J100" s="1663" t="s">
        <v>1020</v>
      </c>
      <c r="K100" s="1663" t="s">
        <v>1010</v>
      </c>
      <c r="L100" s="1662" t="s">
        <v>5123</v>
      </c>
      <c r="M100" s="1664">
        <v>44225</v>
      </c>
    </row>
    <row r="101" spans="1:13" s="1378" customFormat="1" ht="57">
      <c r="A101" s="1660">
        <v>92</v>
      </c>
      <c r="B101" s="1661" t="s">
        <v>1032</v>
      </c>
      <c r="C101" s="1662" t="s">
        <v>2494</v>
      </c>
      <c r="D101" s="1662" t="s">
        <v>669</v>
      </c>
      <c r="E101" s="1662" t="s">
        <v>860</v>
      </c>
      <c r="F101" s="1660" t="s">
        <v>5122</v>
      </c>
      <c r="G101" s="1660">
        <v>41</v>
      </c>
      <c r="H101" s="1660" t="s">
        <v>1175</v>
      </c>
      <c r="I101" s="1660" t="s">
        <v>1079</v>
      </c>
      <c r="J101" s="1663" t="s">
        <v>1020</v>
      </c>
      <c r="K101" s="1663" t="s">
        <v>1010</v>
      </c>
      <c r="L101" s="1662" t="s">
        <v>5123</v>
      </c>
      <c r="M101" s="1664">
        <v>44225</v>
      </c>
    </row>
    <row r="102" spans="1:13" s="1378" customFormat="1" ht="57">
      <c r="A102" s="1660">
        <v>93</v>
      </c>
      <c r="B102" s="1661" t="s">
        <v>1032</v>
      </c>
      <c r="C102" s="1662" t="s">
        <v>2497</v>
      </c>
      <c r="D102" s="1662" t="s">
        <v>1902</v>
      </c>
      <c r="E102" s="1662" t="s">
        <v>860</v>
      </c>
      <c r="F102" s="1660" t="s">
        <v>5122</v>
      </c>
      <c r="G102" s="1660">
        <v>41</v>
      </c>
      <c r="H102" s="1660" t="s">
        <v>1175</v>
      </c>
      <c r="I102" s="1660" t="s">
        <v>1079</v>
      </c>
      <c r="J102" s="1663" t="s">
        <v>1020</v>
      </c>
      <c r="K102" s="1663" t="s">
        <v>1010</v>
      </c>
      <c r="L102" s="1662" t="s">
        <v>5124</v>
      </c>
      <c r="M102" s="1664">
        <v>44225</v>
      </c>
    </row>
    <row r="103" spans="1:13" s="1378" customFormat="1" ht="14.25">
      <c r="A103" s="1654">
        <v>94</v>
      </c>
      <c r="B103" s="1667" t="s">
        <v>1057</v>
      </c>
      <c r="C103" s="1668" t="s">
        <v>4668</v>
      </c>
      <c r="D103" s="1668" t="s">
        <v>4925</v>
      </c>
      <c r="E103" s="1656" t="s">
        <v>4926</v>
      </c>
      <c r="F103" s="1654" t="s">
        <v>5122</v>
      </c>
      <c r="G103" s="1654">
        <v>95</v>
      </c>
      <c r="H103" s="1654" t="s">
        <v>1827</v>
      </c>
      <c r="I103" s="1654" t="s">
        <v>1027</v>
      </c>
      <c r="J103" s="1657">
        <v>2</v>
      </c>
      <c r="K103" s="1657">
        <v>1.5</v>
      </c>
      <c r="L103" s="1656" t="s">
        <v>4928</v>
      </c>
      <c r="M103" s="1658">
        <v>44287</v>
      </c>
    </row>
    <row r="104" spans="1:13" s="1378" customFormat="1" ht="14.25">
      <c r="A104" s="1654">
        <v>95</v>
      </c>
      <c r="B104" s="1667" t="s">
        <v>1057</v>
      </c>
      <c r="C104" s="1668" t="s">
        <v>4668</v>
      </c>
      <c r="D104" s="1668" t="s">
        <v>4925</v>
      </c>
      <c r="E104" s="1656" t="s">
        <v>4926</v>
      </c>
      <c r="F104" s="1654" t="s">
        <v>5122</v>
      </c>
      <c r="G104" s="1654">
        <v>95</v>
      </c>
      <c r="H104" s="1654" t="s">
        <v>1827</v>
      </c>
      <c r="I104" s="1654" t="s">
        <v>88</v>
      </c>
      <c r="J104" s="1657">
        <v>2</v>
      </c>
      <c r="K104" s="1657">
        <v>1.5</v>
      </c>
      <c r="L104" s="1656" t="s">
        <v>4928</v>
      </c>
      <c r="M104" s="1658">
        <v>44287</v>
      </c>
    </row>
    <row r="105" spans="1:13" s="1378" customFormat="1" ht="14.25">
      <c r="A105" s="1654">
        <v>96</v>
      </c>
      <c r="B105" s="1667" t="s">
        <v>1057</v>
      </c>
      <c r="C105" s="1668" t="s">
        <v>4668</v>
      </c>
      <c r="D105" s="1668" t="s">
        <v>4925</v>
      </c>
      <c r="E105" s="1656" t="s">
        <v>4926</v>
      </c>
      <c r="F105" s="1654" t="s">
        <v>5122</v>
      </c>
      <c r="G105" s="1654">
        <v>95</v>
      </c>
      <c r="H105" s="1654" t="s">
        <v>1827</v>
      </c>
      <c r="I105" s="1654" t="s">
        <v>1034</v>
      </c>
      <c r="J105" s="1657">
        <v>2</v>
      </c>
      <c r="K105" s="1657">
        <v>1.5</v>
      </c>
      <c r="L105" s="1656" t="s">
        <v>4928</v>
      </c>
      <c r="M105" s="1658">
        <v>44287</v>
      </c>
    </row>
    <row r="106" spans="1:13" s="1378" customFormat="1" ht="14.25">
      <c r="A106" s="1654">
        <v>97</v>
      </c>
      <c r="B106" s="1655" t="s">
        <v>1057</v>
      </c>
      <c r="C106" s="1656" t="s">
        <v>4674</v>
      </c>
      <c r="D106" s="1656" t="s">
        <v>669</v>
      </c>
      <c r="E106" s="1656" t="s">
        <v>4926</v>
      </c>
      <c r="F106" s="1654" t="s">
        <v>5122</v>
      </c>
      <c r="G106" s="1654">
        <v>85</v>
      </c>
      <c r="H106" s="1654" t="s">
        <v>1825</v>
      </c>
      <c r="I106" s="1654" t="s">
        <v>1012</v>
      </c>
      <c r="J106" s="1657">
        <v>-19.975250626673098</v>
      </c>
      <c r="K106" s="1657" t="s">
        <v>4929</v>
      </c>
      <c r="L106" s="1656" t="s">
        <v>4930</v>
      </c>
      <c r="M106" s="1658">
        <v>44287</v>
      </c>
    </row>
    <row r="107" spans="1:13" s="1378" customFormat="1" ht="14.25">
      <c r="A107" s="1654">
        <v>98</v>
      </c>
      <c r="B107" s="1655" t="s">
        <v>1057</v>
      </c>
      <c r="C107" s="1656" t="s">
        <v>4674</v>
      </c>
      <c r="D107" s="1656" t="s">
        <v>669</v>
      </c>
      <c r="E107" s="1656" t="s">
        <v>4926</v>
      </c>
      <c r="F107" s="1654" t="s">
        <v>5122</v>
      </c>
      <c r="G107" s="1654">
        <v>85</v>
      </c>
      <c r="H107" s="1654" t="s">
        <v>1825</v>
      </c>
      <c r="I107" s="1654" t="s">
        <v>1022</v>
      </c>
      <c r="J107" s="1657">
        <v>-19.975250626673098</v>
      </c>
      <c r="K107" s="1657" t="s">
        <v>4929</v>
      </c>
      <c r="L107" s="1656" t="s">
        <v>4930</v>
      </c>
      <c r="M107" s="1658">
        <v>44287</v>
      </c>
    </row>
    <row r="108" spans="1:13" s="1378" customFormat="1" ht="14.25">
      <c r="A108" s="1654">
        <v>99</v>
      </c>
      <c r="B108" s="1655" t="s">
        <v>1057</v>
      </c>
      <c r="C108" s="1656" t="s">
        <v>4674</v>
      </c>
      <c r="D108" s="1656" t="s">
        <v>669</v>
      </c>
      <c r="E108" s="1656" t="s">
        <v>4926</v>
      </c>
      <c r="F108" s="1654" t="s">
        <v>5122</v>
      </c>
      <c r="G108" s="1654">
        <v>85</v>
      </c>
      <c r="H108" s="1654" t="s">
        <v>1825</v>
      </c>
      <c r="I108" s="1654" t="s">
        <v>1027</v>
      </c>
      <c r="J108" s="1657">
        <v>-19.975250626673098</v>
      </c>
      <c r="K108" s="1657" t="s">
        <v>4929</v>
      </c>
      <c r="L108" s="1656" t="s">
        <v>4930</v>
      </c>
      <c r="M108" s="1658">
        <v>44287</v>
      </c>
    </row>
    <row r="109" spans="1:13" s="1378" customFormat="1" ht="14.25">
      <c r="A109" s="1654">
        <v>100</v>
      </c>
      <c r="B109" s="1655" t="s">
        <v>1057</v>
      </c>
      <c r="C109" s="1656" t="s">
        <v>4674</v>
      </c>
      <c r="D109" s="1656" t="s">
        <v>669</v>
      </c>
      <c r="E109" s="1656" t="s">
        <v>4926</v>
      </c>
      <c r="F109" s="1654" t="s">
        <v>5122</v>
      </c>
      <c r="G109" s="1654">
        <v>85</v>
      </c>
      <c r="H109" s="1654" t="s">
        <v>1825</v>
      </c>
      <c r="I109" s="1654" t="s">
        <v>88</v>
      </c>
      <c r="J109" s="1657">
        <v>-19.975250626673098</v>
      </c>
      <c r="K109" s="1657" t="s">
        <v>4929</v>
      </c>
      <c r="L109" s="1656" t="s">
        <v>4930</v>
      </c>
      <c r="M109" s="1658">
        <v>44287</v>
      </c>
    </row>
    <row r="110" spans="1:13" s="1378" customFormat="1" ht="14.25">
      <c r="A110" s="1654">
        <v>101</v>
      </c>
      <c r="B110" s="1655" t="s">
        <v>1057</v>
      </c>
      <c r="C110" s="1656" t="s">
        <v>4674</v>
      </c>
      <c r="D110" s="1656" t="s">
        <v>669</v>
      </c>
      <c r="E110" s="1656" t="s">
        <v>4926</v>
      </c>
      <c r="F110" s="1654" t="s">
        <v>5122</v>
      </c>
      <c r="G110" s="1654">
        <v>85</v>
      </c>
      <c r="H110" s="1654" t="s">
        <v>1825</v>
      </c>
      <c r="I110" s="1654" t="s">
        <v>1034</v>
      </c>
      <c r="J110" s="1657">
        <v>-19.975250626673098</v>
      </c>
      <c r="K110" s="1657" t="s">
        <v>4929</v>
      </c>
      <c r="L110" s="1656" t="s">
        <v>4930</v>
      </c>
      <c r="M110" s="1658">
        <v>44287</v>
      </c>
    </row>
    <row r="111" spans="1:13" s="1378" customFormat="1" ht="14.25">
      <c r="A111" s="1654">
        <v>102</v>
      </c>
      <c r="B111" s="1655" t="s">
        <v>1057</v>
      </c>
      <c r="C111" s="1656" t="s">
        <v>4674</v>
      </c>
      <c r="D111" s="1656" t="s">
        <v>669</v>
      </c>
      <c r="E111" s="1656" t="s">
        <v>4926</v>
      </c>
      <c r="F111" s="1654" t="s">
        <v>5122</v>
      </c>
      <c r="G111" s="1654">
        <v>110</v>
      </c>
      <c r="H111" s="1654" t="s">
        <v>1830</v>
      </c>
      <c r="I111" s="1654" t="s">
        <v>1012</v>
      </c>
      <c r="J111" s="1657" t="s">
        <v>4805</v>
      </c>
      <c r="K111" s="1657" t="s">
        <v>4929</v>
      </c>
      <c r="L111" s="1656" t="s">
        <v>4930</v>
      </c>
      <c r="M111" s="1658">
        <v>44287</v>
      </c>
    </row>
    <row r="112" spans="1:13" s="1378" customFormat="1" ht="14.25">
      <c r="A112" s="1654">
        <v>103</v>
      </c>
      <c r="B112" s="1655" t="s">
        <v>1057</v>
      </c>
      <c r="C112" s="1656" t="s">
        <v>4674</v>
      </c>
      <c r="D112" s="1656" t="s">
        <v>669</v>
      </c>
      <c r="E112" s="1656" t="s">
        <v>4926</v>
      </c>
      <c r="F112" s="1654" t="s">
        <v>5122</v>
      </c>
      <c r="G112" s="1654">
        <v>110</v>
      </c>
      <c r="H112" s="1654" t="s">
        <v>1830</v>
      </c>
      <c r="I112" s="1654" t="s">
        <v>1022</v>
      </c>
      <c r="J112" s="1657" t="s">
        <v>4805</v>
      </c>
      <c r="K112" s="1657" t="s">
        <v>4929</v>
      </c>
      <c r="L112" s="1656" t="s">
        <v>4930</v>
      </c>
      <c r="M112" s="1658">
        <v>44287</v>
      </c>
    </row>
    <row r="113" spans="1:13" s="1378" customFormat="1" ht="14.25">
      <c r="A113" s="1654">
        <v>104</v>
      </c>
      <c r="B113" s="1655" t="s">
        <v>1057</v>
      </c>
      <c r="C113" s="1656" t="s">
        <v>4674</v>
      </c>
      <c r="D113" s="1656" t="s">
        <v>669</v>
      </c>
      <c r="E113" s="1656" t="s">
        <v>4926</v>
      </c>
      <c r="F113" s="1654" t="s">
        <v>5122</v>
      </c>
      <c r="G113" s="1654">
        <v>110</v>
      </c>
      <c r="H113" s="1654" t="s">
        <v>1830</v>
      </c>
      <c r="I113" s="1654" t="s">
        <v>1027</v>
      </c>
      <c r="J113" s="1657" t="s">
        <v>4805</v>
      </c>
      <c r="K113" s="1657" t="s">
        <v>4929</v>
      </c>
      <c r="L113" s="1656" t="s">
        <v>4930</v>
      </c>
      <c r="M113" s="1658">
        <v>44287</v>
      </c>
    </row>
    <row r="114" spans="1:13" s="1378" customFormat="1" ht="14.25">
      <c r="A114" s="1654">
        <v>105</v>
      </c>
      <c r="B114" s="1655" t="s">
        <v>1057</v>
      </c>
      <c r="C114" s="1656" t="s">
        <v>4674</v>
      </c>
      <c r="D114" s="1656" t="s">
        <v>669</v>
      </c>
      <c r="E114" s="1656" t="s">
        <v>4926</v>
      </c>
      <c r="F114" s="1654" t="s">
        <v>5122</v>
      </c>
      <c r="G114" s="1654">
        <v>110</v>
      </c>
      <c r="H114" s="1654" t="s">
        <v>1830</v>
      </c>
      <c r="I114" s="1654" t="s">
        <v>88</v>
      </c>
      <c r="J114" s="1657" t="s">
        <v>4805</v>
      </c>
      <c r="K114" s="1657" t="s">
        <v>4929</v>
      </c>
      <c r="L114" s="1656" t="s">
        <v>4930</v>
      </c>
      <c r="M114" s="1658">
        <v>44287</v>
      </c>
    </row>
    <row r="115" spans="1:13" s="1378" customFormat="1" ht="14.25">
      <c r="A115" s="1654">
        <v>106</v>
      </c>
      <c r="B115" s="1655" t="s">
        <v>1057</v>
      </c>
      <c r="C115" s="1656" t="s">
        <v>4674</v>
      </c>
      <c r="D115" s="1656" t="s">
        <v>669</v>
      </c>
      <c r="E115" s="1656" t="s">
        <v>4926</v>
      </c>
      <c r="F115" s="1654" t="s">
        <v>5122</v>
      </c>
      <c r="G115" s="1654">
        <v>110</v>
      </c>
      <c r="H115" s="1654" t="s">
        <v>1830</v>
      </c>
      <c r="I115" s="1654" t="s">
        <v>1034</v>
      </c>
      <c r="J115" s="1657" t="s">
        <v>4805</v>
      </c>
      <c r="K115" s="1657" t="s">
        <v>4929</v>
      </c>
      <c r="L115" s="1656" t="s">
        <v>4930</v>
      </c>
      <c r="M115" s="1658">
        <v>44287</v>
      </c>
    </row>
    <row r="116" spans="1:13" s="1378" customFormat="1" ht="14.25">
      <c r="A116" s="1654">
        <v>107</v>
      </c>
      <c r="B116" s="1655" t="s">
        <v>1057</v>
      </c>
      <c r="C116" s="1656" t="s">
        <v>4674</v>
      </c>
      <c r="D116" s="1656" t="s">
        <v>669</v>
      </c>
      <c r="E116" s="1656" t="s">
        <v>4926</v>
      </c>
      <c r="F116" s="1654" t="s">
        <v>5122</v>
      </c>
      <c r="G116" s="1654">
        <v>118</v>
      </c>
      <c r="H116" s="1654" t="s">
        <v>1879</v>
      </c>
      <c r="I116" s="1654" t="s">
        <v>1079</v>
      </c>
      <c r="J116" s="1657">
        <v>-0.70199387493371368</v>
      </c>
      <c r="K116" s="1657" t="s">
        <v>4929</v>
      </c>
      <c r="L116" s="1656" t="s">
        <v>4930</v>
      </c>
      <c r="M116" s="1658">
        <v>44287</v>
      </c>
    </row>
    <row r="117" spans="1:13" s="1378" customFormat="1" ht="14.25">
      <c r="A117" s="1654">
        <v>108</v>
      </c>
      <c r="B117" s="1655" t="s">
        <v>1057</v>
      </c>
      <c r="C117" s="1656" t="s">
        <v>4674</v>
      </c>
      <c r="D117" s="1656" t="s">
        <v>669</v>
      </c>
      <c r="E117" s="1656" t="s">
        <v>4926</v>
      </c>
      <c r="F117" s="1654" t="s">
        <v>5122</v>
      </c>
      <c r="G117" s="1654">
        <v>122</v>
      </c>
      <c r="H117" s="1654" t="s">
        <v>1883</v>
      </c>
      <c r="I117" s="1654" t="s">
        <v>1079</v>
      </c>
      <c r="J117" s="1657">
        <v>0.70199387493371368</v>
      </c>
      <c r="K117" s="1657" t="s">
        <v>4929</v>
      </c>
      <c r="L117" s="1656" t="s">
        <v>4930</v>
      </c>
      <c r="M117" s="1658">
        <v>44287</v>
      </c>
    </row>
    <row r="118" spans="1:13" s="1378" customFormat="1" ht="42.75">
      <c r="A118" s="1654">
        <v>109</v>
      </c>
      <c r="B118" s="1655" t="s">
        <v>1057</v>
      </c>
      <c r="C118" s="1656" t="s">
        <v>4674</v>
      </c>
      <c r="D118" s="1656" t="s">
        <v>669</v>
      </c>
      <c r="E118" s="1656" t="s">
        <v>4926</v>
      </c>
      <c r="F118" s="1654" t="s">
        <v>5122</v>
      </c>
      <c r="G118" s="1654">
        <v>115</v>
      </c>
      <c r="H118" s="1659" t="s">
        <v>1877</v>
      </c>
      <c r="I118" s="1654" t="s">
        <v>1079</v>
      </c>
      <c r="J118" s="1657" t="s">
        <v>4929</v>
      </c>
      <c r="K118" s="1657">
        <v>-0.253</v>
      </c>
      <c r="L118" s="1656" t="s">
        <v>5126</v>
      </c>
      <c r="M118" s="1658">
        <v>44287</v>
      </c>
    </row>
    <row r="119" spans="1:13" s="1378" customFormat="1" ht="14.25">
      <c r="A119" s="1654">
        <v>110</v>
      </c>
      <c r="B119" s="1655" t="s">
        <v>1057</v>
      </c>
      <c r="C119" s="1656" t="s">
        <v>4677</v>
      </c>
      <c r="D119" s="1656" t="s">
        <v>4936</v>
      </c>
      <c r="E119" s="1656" t="s">
        <v>4926</v>
      </c>
      <c r="F119" s="1654" t="s">
        <v>5122</v>
      </c>
      <c r="G119" s="1654">
        <v>95</v>
      </c>
      <c r="H119" s="1654" t="s">
        <v>1827</v>
      </c>
      <c r="I119" s="1654" t="s">
        <v>1012</v>
      </c>
      <c r="J119" s="1657" t="s">
        <v>4929</v>
      </c>
      <c r="K119" s="1657">
        <v>6.14</v>
      </c>
      <c r="L119" s="1656" t="s">
        <v>4955</v>
      </c>
      <c r="M119" s="1658">
        <v>44287</v>
      </c>
    </row>
    <row r="120" spans="1:13" s="1378" customFormat="1" ht="14.25">
      <c r="A120" s="1654">
        <v>111</v>
      </c>
      <c r="B120" s="1655" t="s">
        <v>1057</v>
      </c>
      <c r="C120" s="1656" t="s">
        <v>4677</v>
      </c>
      <c r="D120" s="1656" t="s">
        <v>4936</v>
      </c>
      <c r="E120" s="1656" t="s">
        <v>4926</v>
      </c>
      <c r="F120" s="1654" t="s">
        <v>5122</v>
      </c>
      <c r="G120" s="1654">
        <v>95</v>
      </c>
      <c r="H120" s="1654" t="s">
        <v>1827</v>
      </c>
      <c r="I120" s="1654" t="s">
        <v>1022</v>
      </c>
      <c r="J120" s="1657" t="s">
        <v>4929</v>
      </c>
      <c r="K120" s="1657">
        <v>5.3</v>
      </c>
      <c r="L120" s="1656" t="s">
        <v>4955</v>
      </c>
      <c r="M120" s="1658">
        <v>44287</v>
      </c>
    </row>
    <row r="121" spans="1:13" s="1378" customFormat="1" ht="14.25">
      <c r="A121" s="1654">
        <v>112</v>
      </c>
      <c r="B121" s="1655" t="s">
        <v>1057</v>
      </c>
      <c r="C121" s="1656" t="s">
        <v>4677</v>
      </c>
      <c r="D121" s="1656" t="s">
        <v>4936</v>
      </c>
      <c r="E121" s="1656" t="s">
        <v>4926</v>
      </c>
      <c r="F121" s="1654" t="s">
        <v>5122</v>
      </c>
      <c r="G121" s="1654">
        <v>95</v>
      </c>
      <c r="H121" s="1654" t="s">
        <v>1827</v>
      </c>
      <c r="I121" s="1654" t="s">
        <v>1027</v>
      </c>
      <c r="J121" s="1657" t="s">
        <v>4929</v>
      </c>
      <c r="K121" s="1657">
        <v>4.4800000000000004</v>
      </c>
      <c r="L121" s="1656" t="s">
        <v>4955</v>
      </c>
      <c r="M121" s="1658">
        <v>44287</v>
      </c>
    </row>
    <row r="122" spans="1:13" s="1378" customFormat="1" ht="14.25">
      <c r="A122" s="1654">
        <v>113</v>
      </c>
      <c r="B122" s="1655" t="s">
        <v>1057</v>
      </c>
      <c r="C122" s="1656" t="s">
        <v>4677</v>
      </c>
      <c r="D122" s="1656" t="s">
        <v>4936</v>
      </c>
      <c r="E122" s="1656" t="s">
        <v>4926</v>
      </c>
      <c r="F122" s="1654" t="s">
        <v>5122</v>
      </c>
      <c r="G122" s="1654">
        <v>95</v>
      </c>
      <c r="H122" s="1654" t="s">
        <v>1827</v>
      </c>
      <c r="I122" s="1654" t="s">
        <v>88</v>
      </c>
      <c r="J122" s="1657" t="s">
        <v>4929</v>
      </c>
      <c r="K122" s="1657">
        <v>3.64</v>
      </c>
      <c r="L122" s="1656" t="s">
        <v>4955</v>
      </c>
      <c r="M122" s="1658">
        <v>44287</v>
      </c>
    </row>
    <row r="123" spans="1:13" s="1378" customFormat="1" ht="14.25">
      <c r="A123" s="1654">
        <v>114</v>
      </c>
      <c r="B123" s="1655" t="s">
        <v>1057</v>
      </c>
      <c r="C123" s="1656" t="s">
        <v>4677</v>
      </c>
      <c r="D123" s="1656" t="s">
        <v>4936</v>
      </c>
      <c r="E123" s="1656" t="s">
        <v>4926</v>
      </c>
      <c r="F123" s="1654" t="s">
        <v>5122</v>
      </c>
      <c r="G123" s="1654">
        <v>95</v>
      </c>
      <c r="H123" s="1654" t="s">
        <v>1827</v>
      </c>
      <c r="I123" s="1654" t="s">
        <v>1034</v>
      </c>
      <c r="J123" s="1657" t="s">
        <v>4929</v>
      </c>
      <c r="K123" s="1657">
        <v>2.81</v>
      </c>
      <c r="L123" s="1656" t="s">
        <v>4955</v>
      </c>
      <c r="M123" s="1658">
        <v>44287</v>
      </c>
    </row>
    <row r="124" spans="1:13" s="1378" customFormat="1" ht="14.25">
      <c r="A124" s="1654">
        <v>115</v>
      </c>
      <c r="B124" s="1655" t="s">
        <v>1057</v>
      </c>
      <c r="C124" s="1656" t="s">
        <v>4680</v>
      </c>
      <c r="D124" s="1656" t="s">
        <v>4934</v>
      </c>
      <c r="E124" s="1656" t="s">
        <v>4926</v>
      </c>
      <c r="F124" s="1654" t="s">
        <v>5122</v>
      </c>
      <c r="G124" s="1654">
        <v>95</v>
      </c>
      <c r="H124" s="1654" t="s">
        <v>1827</v>
      </c>
      <c r="I124" s="1654" t="s">
        <v>1012</v>
      </c>
      <c r="J124" s="1657" t="s">
        <v>4929</v>
      </c>
      <c r="K124" s="1657">
        <v>196.1</v>
      </c>
      <c r="L124" s="1656" t="s">
        <v>4935</v>
      </c>
      <c r="M124" s="1658">
        <v>44287</v>
      </c>
    </row>
    <row r="125" spans="1:13" s="1378" customFormat="1" ht="14.25">
      <c r="A125" s="1654">
        <v>116</v>
      </c>
      <c r="B125" s="1655" t="s">
        <v>1057</v>
      </c>
      <c r="C125" s="1656" t="s">
        <v>4680</v>
      </c>
      <c r="D125" s="1656" t="s">
        <v>4934</v>
      </c>
      <c r="E125" s="1656" t="s">
        <v>4926</v>
      </c>
      <c r="F125" s="1654" t="s">
        <v>5122</v>
      </c>
      <c r="G125" s="1654">
        <v>95</v>
      </c>
      <c r="H125" s="1654" t="s">
        <v>1827</v>
      </c>
      <c r="I125" s="1654" t="s">
        <v>1022</v>
      </c>
      <c r="J125" s="1657" t="s">
        <v>4929</v>
      </c>
      <c r="K125" s="1657">
        <v>193.6</v>
      </c>
      <c r="L125" s="1656" t="s">
        <v>4935</v>
      </c>
      <c r="M125" s="1658">
        <v>44287</v>
      </c>
    </row>
    <row r="126" spans="1:13" s="1378" customFormat="1" ht="14.25">
      <c r="A126" s="1654">
        <v>117</v>
      </c>
      <c r="B126" s="1655" t="s">
        <v>1057</v>
      </c>
      <c r="C126" s="1656" t="s">
        <v>4680</v>
      </c>
      <c r="D126" s="1656" t="s">
        <v>4934</v>
      </c>
      <c r="E126" s="1656" t="s">
        <v>4926</v>
      </c>
      <c r="F126" s="1654" t="s">
        <v>5122</v>
      </c>
      <c r="G126" s="1654">
        <v>95</v>
      </c>
      <c r="H126" s="1654" t="s">
        <v>1827</v>
      </c>
      <c r="I126" s="1654" t="s">
        <v>1027</v>
      </c>
      <c r="J126" s="1657" t="s">
        <v>4929</v>
      </c>
      <c r="K126" s="1657">
        <v>191</v>
      </c>
      <c r="L126" s="1656" t="s">
        <v>4935</v>
      </c>
      <c r="M126" s="1658">
        <v>44287</v>
      </c>
    </row>
    <row r="127" spans="1:13" s="1378" customFormat="1" ht="14.25">
      <c r="A127" s="1654">
        <v>118</v>
      </c>
      <c r="B127" s="1655" t="s">
        <v>1057</v>
      </c>
      <c r="C127" s="1656" t="s">
        <v>4680</v>
      </c>
      <c r="D127" s="1656" t="s">
        <v>4934</v>
      </c>
      <c r="E127" s="1656" t="s">
        <v>4926</v>
      </c>
      <c r="F127" s="1654" t="s">
        <v>5122</v>
      </c>
      <c r="G127" s="1654">
        <v>95</v>
      </c>
      <c r="H127" s="1654" t="s">
        <v>1827</v>
      </c>
      <c r="I127" s="1654" t="s">
        <v>88</v>
      </c>
      <c r="J127" s="1657" t="s">
        <v>4929</v>
      </c>
      <c r="K127" s="1657">
        <v>188.4</v>
      </c>
      <c r="L127" s="1656" t="s">
        <v>4935</v>
      </c>
      <c r="M127" s="1658">
        <v>44287</v>
      </c>
    </row>
    <row r="128" spans="1:13" s="1378" customFormat="1" ht="14.25">
      <c r="A128" s="1654">
        <v>119</v>
      </c>
      <c r="B128" s="1655" t="s">
        <v>1057</v>
      </c>
      <c r="C128" s="1656" t="s">
        <v>4680</v>
      </c>
      <c r="D128" s="1656" t="s">
        <v>4934</v>
      </c>
      <c r="E128" s="1656" t="s">
        <v>4926</v>
      </c>
      <c r="F128" s="1654" t="s">
        <v>5122</v>
      </c>
      <c r="G128" s="1654">
        <v>95</v>
      </c>
      <c r="H128" s="1654" t="s">
        <v>1827</v>
      </c>
      <c r="I128" s="1654" t="s">
        <v>1034</v>
      </c>
      <c r="J128" s="1657" t="s">
        <v>4929</v>
      </c>
      <c r="K128" s="1657">
        <v>185.8</v>
      </c>
      <c r="L128" s="1656" t="s">
        <v>4935</v>
      </c>
      <c r="M128" s="1658">
        <v>44287</v>
      </c>
    </row>
    <row r="129" spans="1:13" s="1378" customFormat="1" ht="14.25">
      <c r="A129" s="1654">
        <v>120</v>
      </c>
      <c r="B129" s="1655" t="s">
        <v>1057</v>
      </c>
      <c r="C129" s="1656" t="s">
        <v>4704</v>
      </c>
      <c r="D129" s="1656" t="s">
        <v>732</v>
      </c>
      <c r="E129" s="1656" t="s">
        <v>4926</v>
      </c>
      <c r="F129" s="1654" t="s">
        <v>5122</v>
      </c>
      <c r="G129" s="1654">
        <v>90</v>
      </c>
      <c r="H129" s="1654" t="s">
        <v>1826</v>
      </c>
      <c r="I129" s="1654" t="s">
        <v>1012</v>
      </c>
      <c r="J129" s="1665">
        <v>2.75</v>
      </c>
      <c r="K129" s="1665">
        <v>2.75</v>
      </c>
      <c r="L129" s="1656" t="s">
        <v>5127</v>
      </c>
      <c r="M129" s="1658">
        <v>44287</v>
      </c>
    </row>
    <row r="130" spans="1:13" s="1378" customFormat="1" ht="14.25">
      <c r="A130" s="1654">
        <v>121</v>
      </c>
      <c r="B130" s="1655" t="s">
        <v>1057</v>
      </c>
      <c r="C130" s="1656" t="s">
        <v>4704</v>
      </c>
      <c r="D130" s="1656" t="s">
        <v>732</v>
      </c>
      <c r="E130" s="1656" t="s">
        <v>4926</v>
      </c>
      <c r="F130" s="1654" t="s">
        <v>5122</v>
      </c>
      <c r="G130" s="1654">
        <v>90</v>
      </c>
      <c r="H130" s="1654" t="s">
        <v>1826</v>
      </c>
      <c r="I130" s="1654" t="s">
        <v>1022</v>
      </c>
      <c r="J130" s="1665">
        <v>3</v>
      </c>
      <c r="K130" s="1665">
        <v>3.2</v>
      </c>
      <c r="L130" s="1656" t="s">
        <v>5127</v>
      </c>
      <c r="M130" s="1658">
        <v>44287</v>
      </c>
    </row>
    <row r="131" spans="1:13" s="1378" customFormat="1" ht="14.25">
      <c r="A131" s="1654">
        <v>122</v>
      </c>
      <c r="B131" s="1655" t="s">
        <v>1057</v>
      </c>
      <c r="C131" s="1656" t="s">
        <v>4704</v>
      </c>
      <c r="D131" s="1656" t="s">
        <v>732</v>
      </c>
      <c r="E131" s="1656" t="s">
        <v>4926</v>
      </c>
      <c r="F131" s="1654" t="s">
        <v>5122</v>
      </c>
      <c r="G131" s="1654">
        <v>90</v>
      </c>
      <c r="H131" s="1654" t="s">
        <v>1826</v>
      </c>
      <c r="I131" s="1654" t="s">
        <v>1027</v>
      </c>
      <c r="J131" s="1665">
        <v>3.4</v>
      </c>
      <c r="K131" s="1665">
        <v>3.8</v>
      </c>
      <c r="L131" s="1656" t="s">
        <v>5127</v>
      </c>
      <c r="M131" s="1658">
        <v>44287</v>
      </c>
    </row>
    <row r="132" spans="1:13" s="1378" customFormat="1" ht="14.25">
      <c r="A132" s="1654">
        <v>123</v>
      </c>
      <c r="B132" s="1655" t="s">
        <v>1057</v>
      </c>
      <c r="C132" s="1656" t="s">
        <v>4704</v>
      </c>
      <c r="D132" s="1656" t="s">
        <v>732</v>
      </c>
      <c r="E132" s="1656" t="s">
        <v>4926</v>
      </c>
      <c r="F132" s="1654" t="s">
        <v>5122</v>
      </c>
      <c r="G132" s="1654">
        <v>90</v>
      </c>
      <c r="H132" s="1654" t="s">
        <v>1826</v>
      </c>
      <c r="I132" s="1654" t="s">
        <v>88</v>
      </c>
      <c r="J132" s="1665">
        <v>3.6</v>
      </c>
      <c r="K132" s="1665">
        <v>4.3</v>
      </c>
      <c r="L132" s="1656" t="s">
        <v>5127</v>
      </c>
      <c r="M132" s="1658">
        <v>44287</v>
      </c>
    </row>
    <row r="133" spans="1:13" s="1378" customFormat="1" ht="14.25">
      <c r="A133" s="1654">
        <v>124</v>
      </c>
      <c r="B133" s="1655" t="s">
        <v>1057</v>
      </c>
      <c r="C133" s="1656" t="s">
        <v>4704</v>
      </c>
      <c r="D133" s="1656" t="s">
        <v>732</v>
      </c>
      <c r="E133" s="1656" t="s">
        <v>4926</v>
      </c>
      <c r="F133" s="1654" t="s">
        <v>5122</v>
      </c>
      <c r="G133" s="1654">
        <v>90</v>
      </c>
      <c r="H133" s="1654" t="s">
        <v>1826</v>
      </c>
      <c r="I133" s="1654" t="s">
        <v>1034</v>
      </c>
      <c r="J133" s="1665">
        <v>4</v>
      </c>
      <c r="K133" s="1665">
        <v>4.9000000000000004</v>
      </c>
      <c r="L133" s="1656" t="s">
        <v>5127</v>
      </c>
      <c r="M133" s="1658">
        <v>44287</v>
      </c>
    </row>
    <row r="134" spans="1:13" s="1378" customFormat="1" ht="57">
      <c r="A134" s="1660">
        <v>125</v>
      </c>
      <c r="B134" s="1661" t="s">
        <v>1057</v>
      </c>
      <c r="C134" s="1662" t="s">
        <v>4674</v>
      </c>
      <c r="D134" s="1662" t="s">
        <v>669</v>
      </c>
      <c r="E134" s="1662" t="s">
        <v>860</v>
      </c>
      <c r="F134" s="1660" t="s">
        <v>5122</v>
      </c>
      <c r="G134" s="1660">
        <v>41</v>
      </c>
      <c r="H134" s="1660" t="s">
        <v>1175</v>
      </c>
      <c r="I134" s="1660" t="s">
        <v>1079</v>
      </c>
      <c r="J134" s="1663" t="s">
        <v>1020</v>
      </c>
      <c r="K134" s="1663" t="s">
        <v>1010</v>
      </c>
      <c r="L134" s="1662" t="s">
        <v>5123</v>
      </c>
      <c r="M134" s="1664">
        <v>44225</v>
      </c>
    </row>
    <row r="135" spans="1:13" s="1378" customFormat="1" ht="57">
      <c r="A135" s="1660">
        <v>126</v>
      </c>
      <c r="B135" s="1661" t="s">
        <v>1057</v>
      </c>
      <c r="C135" s="1662" t="s">
        <v>4683</v>
      </c>
      <c r="D135" s="1662" t="s">
        <v>1902</v>
      </c>
      <c r="E135" s="1662" t="s">
        <v>860</v>
      </c>
      <c r="F135" s="1660" t="s">
        <v>5122</v>
      </c>
      <c r="G135" s="1660">
        <v>41</v>
      </c>
      <c r="H135" s="1660" t="s">
        <v>1175</v>
      </c>
      <c r="I135" s="1660" t="s">
        <v>1079</v>
      </c>
      <c r="J135" s="1663" t="s">
        <v>1020</v>
      </c>
      <c r="K135" s="1663" t="s">
        <v>1010</v>
      </c>
      <c r="L135" s="1662" t="s">
        <v>5124</v>
      </c>
      <c r="M135" s="1664">
        <v>44225</v>
      </c>
    </row>
    <row r="136" spans="1:13" s="1378" customFormat="1" ht="57">
      <c r="A136" s="1660">
        <v>127</v>
      </c>
      <c r="B136" s="1661" t="s">
        <v>1060</v>
      </c>
      <c r="C136" s="1662" t="s">
        <v>1894</v>
      </c>
      <c r="D136" s="1662" t="s">
        <v>669</v>
      </c>
      <c r="E136" s="1662" t="s">
        <v>860</v>
      </c>
      <c r="F136" s="1660" t="s">
        <v>5122</v>
      </c>
      <c r="G136" s="1660">
        <v>41</v>
      </c>
      <c r="H136" s="1660" t="s">
        <v>1175</v>
      </c>
      <c r="I136" s="1660" t="s">
        <v>1079</v>
      </c>
      <c r="J136" s="1663" t="s">
        <v>1020</v>
      </c>
      <c r="K136" s="1663" t="s">
        <v>1010</v>
      </c>
      <c r="L136" s="1662" t="s">
        <v>5123</v>
      </c>
      <c r="M136" s="1664">
        <v>44225</v>
      </c>
    </row>
    <row r="137" spans="1:13" s="1378" customFormat="1" ht="57">
      <c r="A137" s="1660">
        <v>128</v>
      </c>
      <c r="B137" s="1661" t="s">
        <v>1060</v>
      </c>
      <c r="C137" s="1662" t="s">
        <v>1900</v>
      </c>
      <c r="D137" s="1662" t="s">
        <v>1902</v>
      </c>
      <c r="E137" s="1662" t="s">
        <v>860</v>
      </c>
      <c r="F137" s="1660" t="s">
        <v>5122</v>
      </c>
      <c r="G137" s="1660">
        <v>41</v>
      </c>
      <c r="H137" s="1660" t="s">
        <v>1175</v>
      </c>
      <c r="I137" s="1660" t="s">
        <v>1079</v>
      </c>
      <c r="J137" s="1663" t="s">
        <v>1020</v>
      </c>
      <c r="K137" s="1663" t="s">
        <v>1010</v>
      </c>
      <c r="L137" s="1662" t="s">
        <v>5124</v>
      </c>
      <c r="M137" s="1664">
        <v>44225</v>
      </c>
    </row>
    <row r="138" spans="1:13" s="1378" customFormat="1" ht="57">
      <c r="A138" s="1660">
        <v>129</v>
      </c>
      <c r="B138" s="1661" t="s">
        <v>1013</v>
      </c>
      <c r="C138" s="1662" t="s">
        <v>2352</v>
      </c>
      <c r="D138" s="1662" t="s">
        <v>669</v>
      </c>
      <c r="E138" s="1662" t="s">
        <v>860</v>
      </c>
      <c r="F138" s="1660" t="s">
        <v>5122</v>
      </c>
      <c r="G138" s="1660">
        <v>41</v>
      </c>
      <c r="H138" s="1660" t="s">
        <v>1175</v>
      </c>
      <c r="I138" s="1660" t="s">
        <v>1079</v>
      </c>
      <c r="J138" s="1663" t="s">
        <v>1020</v>
      </c>
      <c r="K138" s="1663" t="s">
        <v>1010</v>
      </c>
      <c r="L138" s="1662" t="s">
        <v>5123</v>
      </c>
      <c r="M138" s="1664">
        <v>44225</v>
      </c>
    </row>
    <row r="139" spans="1:13" s="1378" customFormat="1" ht="57">
      <c r="A139" s="1660">
        <v>130</v>
      </c>
      <c r="B139" s="1661" t="s">
        <v>1013</v>
      </c>
      <c r="C139" s="1662" t="s">
        <v>2355</v>
      </c>
      <c r="D139" s="1662" t="s">
        <v>1902</v>
      </c>
      <c r="E139" s="1662" t="s">
        <v>860</v>
      </c>
      <c r="F139" s="1660" t="s">
        <v>5122</v>
      </c>
      <c r="G139" s="1660">
        <v>41</v>
      </c>
      <c r="H139" s="1660" t="s">
        <v>1175</v>
      </c>
      <c r="I139" s="1660" t="s">
        <v>1079</v>
      </c>
      <c r="J139" s="1663" t="s">
        <v>1020</v>
      </c>
      <c r="K139" s="1663" t="s">
        <v>1010</v>
      </c>
      <c r="L139" s="1662" t="s">
        <v>5124</v>
      </c>
      <c r="M139" s="1664">
        <v>44225</v>
      </c>
    </row>
    <row r="140" spans="1:13" s="1378" customFormat="1" ht="57">
      <c r="A140" s="1660">
        <v>131</v>
      </c>
      <c r="B140" s="1661" t="s">
        <v>1068</v>
      </c>
      <c r="C140" s="1662" t="s">
        <v>2704</v>
      </c>
      <c r="D140" s="1662" t="s">
        <v>669</v>
      </c>
      <c r="E140" s="1662" t="s">
        <v>860</v>
      </c>
      <c r="F140" s="1660" t="s">
        <v>5122</v>
      </c>
      <c r="G140" s="1660">
        <v>41</v>
      </c>
      <c r="H140" s="1660" t="s">
        <v>1175</v>
      </c>
      <c r="I140" s="1660" t="s">
        <v>1079</v>
      </c>
      <c r="J140" s="1663" t="s">
        <v>1020</v>
      </c>
      <c r="K140" s="1663" t="s">
        <v>1010</v>
      </c>
      <c r="L140" s="1662" t="s">
        <v>5123</v>
      </c>
      <c r="M140" s="1664">
        <v>44225</v>
      </c>
    </row>
    <row r="141" spans="1:13" s="1378" customFormat="1" ht="57">
      <c r="A141" s="1660">
        <v>132</v>
      </c>
      <c r="B141" s="1661" t="s">
        <v>1068</v>
      </c>
      <c r="C141" s="1662" t="s">
        <v>2708</v>
      </c>
      <c r="D141" s="1662" t="s">
        <v>1902</v>
      </c>
      <c r="E141" s="1662" t="s">
        <v>860</v>
      </c>
      <c r="F141" s="1660" t="s">
        <v>5122</v>
      </c>
      <c r="G141" s="1660">
        <v>41</v>
      </c>
      <c r="H141" s="1660" t="s">
        <v>1175</v>
      </c>
      <c r="I141" s="1660" t="s">
        <v>1079</v>
      </c>
      <c r="J141" s="1663" t="s">
        <v>1020</v>
      </c>
      <c r="K141" s="1663" t="s">
        <v>1010</v>
      </c>
      <c r="L141" s="1662" t="s">
        <v>5124</v>
      </c>
      <c r="M141" s="1664">
        <v>44225</v>
      </c>
    </row>
    <row r="142" spans="1:13" s="1378" customFormat="1" ht="57">
      <c r="A142" s="1660">
        <v>133</v>
      </c>
      <c r="B142" s="1661" t="s">
        <v>1071</v>
      </c>
      <c r="C142" s="1662" t="s">
        <v>2862</v>
      </c>
      <c r="D142" s="1662" t="s">
        <v>669</v>
      </c>
      <c r="E142" s="1662" t="s">
        <v>860</v>
      </c>
      <c r="F142" s="1660" t="s">
        <v>5122</v>
      </c>
      <c r="G142" s="1660">
        <v>41</v>
      </c>
      <c r="H142" s="1660" t="s">
        <v>1175</v>
      </c>
      <c r="I142" s="1660" t="s">
        <v>1079</v>
      </c>
      <c r="J142" s="1663" t="s">
        <v>1020</v>
      </c>
      <c r="K142" s="1663" t="s">
        <v>1010</v>
      </c>
      <c r="L142" s="1662" t="s">
        <v>5123</v>
      </c>
      <c r="M142" s="1664">
        <v>44225</v>
      </c>
    </row>
    <row r="143" spans="1:13" s="1378" customFormat="1" ht="57">
      <c r="A143" s="1660">
        <v>134</v>
      </c>
      <c r="B143" s="1661" t="s">
        <v>1071</v>
      </c>
      <c r="C143" s="1662" t="s">
        <v>2876</v>
      </c>
      <c r="D143" s="1662" t="s">
        <v>1902</v>
      </c>
      <c r="E143" s="1662" t="s">
        <v>860</v>
      </c>
      <c r="F143" s="1660" t="s">
        <v>5122</v>
      </c>
      <c r="G143" s="1660">
        <v>41</v>
      </c>
      <c r="H143" s="1660" t="s">
        <v>1175</v>
      </c>
      <c r="I143" s="1660" t="s">
        <v>1079</v>
      </c>
      <c r="J143" s="1663" t="s">
        <v>1020</v>
      </c>
      <c r="K143" s="1663" t="s">
        <v>1010</v>
      </c>
      <c r="L143" s="1662" t="s">
        <v>5124</v>
      </c>
      <c r="M143" s="1664">
        <v>44225</v>
      </c>
    </row>
    <row r="144" spans="1:13" s="1378" customFormat="1" ht="57">
      <c r="A144" s="1660">
        <v>135</v>
      </c>
      <c r="B144" s="1661" t="s">
        <v>1075</v>
      </c>
      <c r="C144" s="1662" t="s">
        <v>2933</v>
      </c>
      <c r="D144" s="1662" t="s">
        <v>669</v>
      </c>
      <c r="E144" s="1662" t="s">
        <v>860</v>
      </c>
      <c r="F144" s="1660" t="s">
        <v>5122</v>
      </c>
      <c r="G144" s="1660">
        <v>41</v>
      </c>
      <c r="H144" s="1660" t="s">
        <v>1175</v>
      </c>
      <c r="I144" s="1660" t="s">
        <v>1079</v>
      </c>
      <c r="J144" s="1663" t="s">
        <v>1020</v>
      </c>
      <c r="K144" s="1663" t="s">
        <v>1010</v>
      </c>
      <c r="L144" s="1662" t="s">
        <v>5123</v>
      </c>
      <c r="M144" s="1664">
        <v>44225</v>
      </c>
    </row>
    <row r="145" spans="1:13" s="1378" customFormat="1" ht="57">
      <c r="A145" s="1660">
        <v>136</v>
      </c>
      <c r="B145" s="1661" t="s">
        <v>1075</v>
      </c>
      <c r="C145" s="1662" t="s">
        <v>2937</v>
      </c>
      <c r="D145" s="1662" t="s">
        <v>1902</v>
      </c>
      <c r="E145" s="1662" t="s">
        <v>860</v>
      </c>
      <c r="F145" s="1660" t="s">
        <v>5122</v>
      </c>
      <c r="G145" s="1660">
        <v>41</v>
      </c>
      <c r="H145" s="1660" t="s">
        <v>1175</v>
      </c>
      <c r="I145" s="1660" t="s">
        <v>1079</v>
      </c>
      <c r="J145" s="1663" t="s">
        <v>1020</v>
      </c>
      <c r="K145" s="1663" t="s">
        <v>1010</v>
      </c>
      <c r="L145" s="1662" t="s">
        <v>5124</v>
      </c>
      <c r="M145" s="1664">
        <v>44225</v>
      </c>
    </row>
    <row r="146" spans="1:13" s="1378" customFormat="1" ht="57">
      <c r="A146" s="1660">
        <v>137</v>
      </c>
      <c r="B146" s="1661" t="s">
        <v>1038</v>
      </c>
      <c r="C146" s="1662" t="s">
        <v>3075</v>
      </c>
      <c r="D146" s="1662" t="s">
        <v>669</v>
      </c>
      <c r="E146" s="1662" t="s">
        <v>860</v>
      </c>
      <c r="F146" s="1660" t="s">
        <v>5122</v>
      </c>
      <c r="G146" s="1660">
        <v>41</v>
      </c>
      <c r="H146" s="1660" t="s">
        <v>1175</v>
      </c>
      <c r="I146" s="1660" t="s">
        <v>1079</v>
      </c>
      <c r="J146" s="1663" t="s">
        <v>1020</v>
      </c>
      <c r="K146" s="1663" t="s">
        <v>1010</v>
      </c>
      <c r="L146" s="1662" t="s">
        <v>5123</v>
      </c>
      <c r="M146" s="1664">
        <v>44225</v>
      </c>
    </row>
    <row r="147" spans="1:13" s="1378" customFormat="1" ht="57">
      <c r="A147" s="1660">
        <v>138</v>
      </c>
      <c r="B147" s="1661" t="s">
        <v>1038</v>
      </c>
      <c r="C147" s="1662" t="s">
        <v>3082</v>
      </c>
      <c r="D147" s="1662" t="s">
        <v>1902</v>
      </c>
      <c r="E147" s="1662" t="s">
        <v>860</v>
      </c>
      <c r="F147" s="1660" t="s">
        <v>5122</v>
      </c>
      <c r="G147" s="1660">
        <v>41</v>
      </c>
      <c r="H147" s="1660" t="s">
        <v>1175</v>
      </c>
      <c r="I147" s="1660" t="s">
        <v>1079</v>
      </c>
      <c r="J147" s="1663" t="s">
        <v>1020</v>
      </c>
      <c r="K147" s="1663" t="s">
        <v>1010</v>
      </c>
      <c r="L147" s="1662" t="s">
        <v>5124</v>
      </c>
      <c r="M147" s="1664">
        <v>44225</v>
      </c>
    </row>
    <row r="148" spans="1:13" s="1378" customFormat="1" ht="28.5">
      <c r="A148" s="1660">
        <v>139</v>
      </c>
      <c r="B148" s="1661" t="s">
        <v>1078</v>
      </c>
      <c r="C148" s="1662" t="s">
        <v>3351</v>
      </c>
      <c r="D148" s="1662" t="s">
        <v>3353</v>
      </c>
      <c r="E148" s="1662" t="s">
        <v>860</v>
      </c>
      <c r="F148" s="1660" t="s">
        <v>5122</v>
      </c>
      <c r="G148" s="1660">
        <v>38</v>
      </c>
      <c r="H148" s="1660" t="s">
        <v>1842</v>
      </c>
      <c r="I148" s="1660" t="s">
        <v>1079</v>
      </c>
      <c r="J148" s="1663" t="s">
        <v>1081</v>
      </c>
      <c r="K148" s="1663" t="s">
        <v>2177</v>
      </c>
      <c r="L148" s="1662" t="s">
        <v>4972</v>
      </c>
      <c r="M148" s="1664">
        <v>44225</v>
      </c>
    </row>
    <row r="149" spans="1:13" s="1378" customFormat="1" ht="57">
      <c r="A149" s="1660">
        <v>140</v>
      </c>
      <c r="B149" s="1661" t="s">
        <v>1078</v>
      </c>
      <c r="C149" s="1662" t="s">
        <v>3336</v>
      </c>
      <c r="D149" s="1662" t="s">
        <v>669</v>
      </c>
      <c r="E149" s="1662" t="s">
        <v>860</v>
      </c>
      <c r="F149" s="1660" t="s">
        <v>5122</v>
      </c>
      <c r="G149" s="1660">
        <v>41</v>
      </c>
      <c r="H149" s="1660" t="s">
        <v>1175</v>
      </c>
      <c r="I149" s="1660" t="s">
        <v>1079</v>
      </c>
      <c r="J149" s="1663" t="s">
        <v>1020</v>
      </c>
      <c r="K149" s="1663" t="s">
        <v>1010</v>
      </c>
      <c r="L149" s="1662" t="s">
        <v>5123</v>
      </c>
      <c r="M149" s="1664">
        <v>44225</v>
      </c>
    </row>
    <row r="150" spans="1:13" s="1378" customFormat="1" ht="57">
      <c r="A150" s="1660">
        <v>141</v>
      </c>
      <c r="B150" s="1661" t="s">
        <v>1078</v>
      </c>
      <c r="C150" s="1662" t="s">
        <v>3341</v>
      </c>
      <c r="D150" s="1662" t="s">
        <v>669</v>
      </c>
      <c r="E150" s="1662" t="s">
        <v>860</v>
      </c>
      <c r="F150" s="1660" t="s">
        <v>5122</v>
      </c>
      <c r="G150" s="1660">
        <v>41</v>
      </c>
      <c r="H150" s="1660" t="s">
        <v>1175</v>
      </c>
      <c r="I150" s="1660" t="s">
        <v>1079</v>
      </c>
      <c r="J150" s="1663" t="s">
        <v>1020</v>
      </c>
      <c r="K150" s="1663" t="s">
        <v>1010</v>
      </c>
      <c r="L150" s="1662" t="s">
        <v>5123</v>
      </c>
      <c r="M150" s="1664">
        <v>44225</v>
      </c>
    </row>
    <row r="151" spans="1:13" s="1378" customFormat="1" ht="57">
      <c r="A151" s="1660">
        <v>142</v>
      </c>
      <c r="B151" s="1661" t="s">
        <v>1078</v>
      </c>
      <c r="C151" s="1662" t="s">
        <v>3344</v>
      </c>
      <c r="D151" s="1662" t="s">
        <v>1902</v>
      </c>
      <c r="E151" s="1662" t="s">
        <v>860</v>
      </c>
      <c r="F151" s="1660" t="s">
        <v>5122</v>
      </c>
      <c r="G151" s="1660">
        <v>41</v>
      </c>
      <c r="H151" s="1660" t="s">
        <v>1175</v>
      </c>
      <c r="I151" s="1660" t="s">
        <v>1079</v>
      </c>
      <c r="J151" s="1663" t="s">
        <v>1020</v>
      </c>
      <c r="K151" s="1663" t="s">
        <v>1010</v>
      </c>
      <c r="L151" s="1662" t="s">
        <v>5124</v>
      </c>
      <c r="M151" s="1664">
        <v>44225</v>
      </c>
    </row>
    <row r="152" spans="1:13" s="1378" customFormat="1" ht="57">
      <c r="A152" s="1660">
        <v>143</v>
      </c>
      <c r="B152" s="1661" t="s">
        <v>1078</v>
      </c>
      <c r="C152" s="1662" t="s">
        <v>3348</v>
      </c>
      <c r="D152" s="1662" t="s">
        <v>1902</v>
      </c>
      <c r="E152" s="1662" t="s">
        <v>860</v>
      </c>
      <c r="F152" s="1660" t="s">
        <v>5122</v>
      </c>
      <c r="G152" s="1660">
        <v>41</v>
      </c>
      <c r="H152" s="1660" t="s">
        <v>1175</v>
      </c>
      <c r="I152" s="1660" t="s">
        <v>1079</v>
      </c>
      <c r="J152" s="1663" t="s">
        <v>1020</v>
      </c>
      <c r="K152" s="1663" t="s">
        <v>1010</v>
      </c>
      <c r="L152" s="1662" t="s">
        <v>5124</v>
      </c>
      <c r="M152" s="1664">
        <v>44225</v>
      </c>
    </row>
    <row r="153" spans="1:13" s="1378" customFormat="1" ht="57">
      <c r="A153" s="1660">
        <v>144</v>
      </c>
      <c r="B153" s="1661" t="s">
        <v>1036</v>
      </c>
      <c r="C153" s="1662" t="s">
        <v>3517</v>
      </c>
      <c r="D153" s="1662" t="s">
        <v>669</v>
      </c>
      <c r="E153" s="1662" t="s">
        <v>860</v>
      </c>
      <c r="F153" s="1660" t="s">
        <v>5122</v>
      </c>
      <c r="G153" s="1660">
        <v>41</v>
      </c>
      <c r="H153" s="1660" t="s">
        <v>1175</v>
      </c>
      <c r="I153" s="1660" t="s">
        <v>1079</v>
      </c>
      <c r="J153" s="1663" t="s">
        <v>1020</v>
      </c>
      <c r="K153" s="1663" t="s">
        <v>1010</v>
      </c>
      <c r="L153" s="1662" t="s">
        <v>5123</v>
      </c>
      <c r="M153" s="1664">
        <v>44225</v>
      </c>
    </row>
    <row r="154" spans="1:13" s="1378" customFormat="1" ht="57">
      <c r="A154" s="1660">
        <v>145</v>
      </c>
      <c r="B154" s="1661" t="s">
        <v>1036</v>
      </c>
      <c r="C154" s="1662" t="s">
        <v>3519</v>
      </c>
      <c r="D154" s="1662" t="s">
        <v>1902</v>
      </c>
      <c r="E154" s="1662" t="s">
        <v>860</v>
      </c>
      <c r="F154" s="1660" t="s">
        <v>5122</v>
      </c>
      <c r="G154" s="1660">
        <v>41</v>
      </c>
      <c r="H154" s="1660" t="s">
        <v>1175</v>
      </c>
      <c r="I154" s="1660" t="s">
        <v>1079</v>
      </c>
      <c r="J154" s="1663" t="s">
        <v>1020</v>
      </c>
      <c r="K154" s="1663" t="s">
        <v>1010</v>
      </c>
      <c r="L154" s="1662" t="s">
        <v>5124</v>
      </c>
      <c r="M154" s="1664">
        <v>44225</v>
      </c>
    </row>
    <row r="155" spans="1:13" s="1378" customFormat="1" ht="57">
      <c r="A155" s="1660">
        <v>146</v>
      </c>
      <c r="B155" s="1661" t="s">
        <v>1041</v>
      </c>
      <c r="C155" s="1662" t="s">
        <v>3607</v>
      </c>
      <c r="D155" s="1662" t="s">
        <v>1902</v>
      </c>
      <c r="E155" s="1662" t="s">
        <v>860</v>
      </c>
      <c r="F155" s="1660" t="s">
        <v>5122</v>
      </c>
      <c r="G155" s="1660">
        <v>41</v>
      </c>
      <c r="H155" s="1660" t="s">
        <v>1175</v>
      </c>
      <c r="I155" s="1660" t="s">
        <v>1079</v>
      </c>
      <c r="J155" s="1663" t="s">
        <v>1020</v>
      </c>
      <c r="K155" s="1663" t="s">
        <v>1010</v>
      </c>
      <c r="L155" s="1662" t="s">
        <v>5124</v>
      </c>
      <c r="M155" s="1664">
        <v>44225</v>
      </c>
    </row>
    <row r="156" spans="1:13" s="1378" customFormat="1" ht="57">
      <c r="A156" s="1660">
        <v>147</v>
      </c>
      <c r="B156" s="1661" t="s">
        <v>1045</v>
      </c>
      <c r="C156" s="1662" t="s">
        <v>3792</v>
      </c>
      <c r="D156" s="1662" t="s">
        <v>669</v>
      </c>
      <c r="E156" s="1662" t="s">
        <v>860</v>
      </c>
      <c r="F156" s="1660" t="s">
        <v>5122</v>
      </c>
      <c r="G156" s="1660">
        <v>41</v>
      </c>
      <c r="H156" s="1660" t="s">
        <v>1175</v>
      </c>
      <c r="I156" s="1660" t="s">
        <v>1079</v>
      </c>
      <c r="J156" s="1663" t="s">
        <v>1020</v>
      </c>
      <c r="K156" s="1663" t="s">
        <v>1010</v>
      </c>
      <c r="L156" s="1662" t="s">
        <v>5123</v>
      </c>
      <c r="M156" s="1664">
        <v>44225</v>
      </c>
    </row>
    <row r="157" spans="1:13" s="1378" customFormat="1" ht="57">
      <c r="A157" s="1660">
        <v>148</v>
      </c>
      <c r="B157" s="1661" t="s">
        <v>1045</v>
      </c>
      <c r="C157" s="1662" t="s">
        <v>3796</v>
      </c>
      <c r="D157" s="1662" t="s">
        <v>1902</v>
      </c>
      <c r="E157" s="1662" t="s">
        <v>860</v>
      </c>
      <c r="F157" s="1660" t="s">
        <v>5122</v>
      </c>
      <c r="G157" s="1660">
        <v>41</v>
      </c>
      <c r="H157" s="1660" t="s">
        <v>1175</v>
      </c>
      <c r="I157" s="1660" t="s">
        <v>1079</v>
      </c>
      <c r="J157" s="1663" t="s">
        <v>1020</v>
      </c>
      <c r="K157" s="1663" t="s">
        <v>1010</v>
      </c>
      <c r="L157" s="1662" t="s">
        <v>5124</v>
      </c>
      <c r="M157" s="1664">
        <v>44225</v>
      </c>
    </row>
    <row r="158" spans="1:13" s="1378" customFormat="1" ht="14.25">
      <c r="A158" s="1660">
        <v>149</v>
      </c>
      <c r="B158" s="1661" t="s">
        <v>1045</v>
      </c>
      <c r="C158" s="1662" t="s">
        <v>3901</v>
      </c>
      <c r="D158" s="1662" t="s">
        <v>3903</v>
      </c>
      <c r="E158" s="1662" t="s">
        <v>860</v>
      </c>
      <c r="F158" s="1660" t="s">
        <v>5122</v>
      </c>
      <c r="G158" s="1660">
        <v>80</v>
      </c>
      <c r="H158" s="1660" t="s">
        <v>1001</v>
      </c>
      <c r="I158" s="1660" t="s">
        <v>1012</v>
      </c>
      <c r="J158" s="1663" t="s">
        <v>4929</v>
      </c>
      <c r="K158" s="1663" t="s">
        <v>168</v>
      </c>
      <c r="L158" s="1662" t="s">
        <v>5128</v>
      </c>
      <c r="M158" s="1664">
        <v>44225</v>
      </c>
    </row>
    <row r="159" spans="1:13" s="1378" customFormat="1" ht="14.25">
      <c r="A159" s="1660">
        <v>150</v>
      </c>
      <c r="B159" s="1661" t="s">
        <v>1045</v>
      </c>
      <c r="C159" s="1662" t="s">
        <v>3901</v>
      </c>
      <c r="D159" s="1662" t="s">
        <v>3903</v>
      </c>
      <c r="E159" s="1662" t="s">
        <v>860</v>
      </c>
      <c r="F159" s="1660" t="s">
        <v>5122</v>
      </c>
      <c r="G159" s="1660">
        <v>80</v>
      </c>
      <c r="H159" s="1660" t="s">
        <v>1001</v>
      </c>
      <c r="I159" s="1660" t="s">
        <v>1022</v>
      </c>
      <c r="J159" s="1663" t="s">
        <v>4929</v>
      </c>
      <c r="K159" s="1663" t="s">
        <v>168</v>
      </c>
      <c r="L159" s="1662" t="s">
        <v>5128</v>
      </c>
      <c r="M159" s="1664">
        <v>44225</v>
      </c>
    </row>
    <row r="160" spans="1:13" s="1378" customFormat="1" ht="14.25">
      <c r="A160" s="1660">
        <v>151</v>
      </c>
      <c r="B160" s="1661" t="s">
        <v>1045</v>
      </c>
      <c r="C160" s="1662" t="s">
        <v>3901</v>
      </c>
      <c r="D160" s="1662" t="s">
        <v>3903</v>
      </c>
      <c r="E160" s="1662" t="s">
        <v>860</v>
      </c>
      <c r="F160" s="1660" t="s">
        <v>5122</v>
      </c>
      <c r="G160" s="1660">
        <v>80</v>
      </c>
      <c r="H160" s="1660" t="s">
        <v>1001</v>
      </c>
      <c r="I160" s="1660" t="s">
        <v>1027</v>
      </c>
      <c r="J160" s="1663" t="s">
        <v>4929</v>
      </c>
      <c r="K160" s="1663" t="s">
        <v>168</v>
      </c>
      <c r="L160" s="1662" t="s">
        <v>5128</v>
      </c>
      <c r="M160" s="1664">
        <v>44225</v>
      </c>
    </row>
    <row r="161" spans="1:13" s="1378" customFormat="1" ht="14.25">
      <c r="A161" s="1660">
        <v>152</v>
      </c>
      <c r="B161" s="1661" t="s">
        <v>1045</v>
      </c>
      <c r="C161" s="1662" t="s">
        <v>3901</v>
      </c>
      <c r="D161" s="1662" t="s">
        <v>3903</v>
      </c>
      <c r="E161" s="1662" t="s">
        <v>860</v>
      </c>
      <c r="F161" s="1660" t="s">
        <v>5122</v>
      </c>
      <c r="G161" s="1660">
        <v>80</v>
      </c>
      <c r="H161" s="1660" t="s">
        <v>1001</v>
      </c>
      <c r="I161" s="1660" t="s">
        <v>88</v>
      </c>
      <c r="J161" s="1663" t="s">
        <v>4929</v>
      </c>
      <c r="K161" s="1663" t="s">
        <v>168</v>
      </c>
      <c r="L161" s="1662" t="s">
        <v>5128</v>
      </c>
      <c r="M161" s="1664">
        <v>44225</v>
      </c>
    </row>
    <row r="162" spans="1:13" s="1378" customFormat="1" ht="57">
      <c r="A162" s="1660">
        <v>153</v>
      </c>
      <c r="B162" s="1661" t="s">
        <v>1050</v>
      </c>
      <c r="C162" s="1662" t="s">
        <v>4011</v>
      </c>
      <c r="D162" s="1662" t="s">
        <v>669</v>
      </c>
      <c r="E162" s="1662" t="s">
        <v>860</v>
      </c>
      <c r="F162" s="1660" t="s">
        <v>5122</v>
      </c>
      <c r="G162" s="1660">
        <v>41</v>
      </c>
      <c r="H162" s="1660" t="s">
        <v>1175</v>
      </c>
      <c r="I162" s="1660" t="s">
        <v>1079</v>
      </c>
      <c r="J162" s="1663" t="s">
        <v>1020</v>
      </c>
      <c r="K162" s="1663" t="s">
        <v>1010</v>
      </c>
      <c r="L162" s="1662" t="s">
        <v>5123</v>
      </c>
      <c r="M162" s="1664">
        <v>44225</v>
      </c>
    </row>
    <row r="163" spans="1:13" s="1378" customFormat="1" ht="57">
      <c r="A163" s="1660">
        <v>154</v>
      </c>
      <c r="B163" s="1661" t="s">
        <v>1050</v>
      </c>
      <c r="C163" s="1662" t="s">
        <v>4024</v>
      </c>
      <c r="D163" s="1662" t="s">
        <v>1902</v>
      </c>
      <c r="E163" s="1662" t="s">
        <v>860</v>
      </c>
      <c r="F163" s="1660" t="s">
        <v>5122</v>
      </c>
      <c r="G163" s="1660">
        <v>41</v>
      </c>
      <c r="H163" s="1660" t="s">
        <v>1175</v>
      </c>
      <c r="I163" s="1660" t="s">
        <v>1079</v>
      </c>
      <c r="J163" s="1663" t="s">
        <v>1020</v>
      </c>
      <c r="K163" s="1663" t="s">
        <v>1010</v>
      </c>
      <c r="L163" s="1662" t="s">
        <v>5124</v>
      </c>
      <c r="M163" s="1664">
        <v>44225</v>
      </c>
    </row>
    <row r="164" spans="1:13" s="1378" customFormat="1" ht="57">
      <c r="A164" s="1660">
        <v>155</v>
      </c>
      <c r="B164" s="1661" t="s">
        <v>1024</v>
      </c>
      <c r="C164" s="1662" t="s">
        <v>4232</v>
      </c>
      <c r="D164" s="1662" t="s">
        <v>669</v>
      </c>
      <c r="E164" s="1662" t="s">
        <v>860</v>
      </c>
      <c r="F164" s="1660" t="s">
        <v>5122</v>
      </c>
      <c r="G164" s="1660">
        <v>41</v>
      </c>
      <c r="H164" s="1660" t="s">
        <v>1175</v>
      </c>
      <c r="I164" s="1660" t="s">
        <v>1079</v>
      </c>
      <c r="J164" s="1663" t="s">
        <v>1020</v>
      </c>
      <c r="K164" s="1663" t="s">
        <v>1010</v>
      </c>
      <c r="L164" s="1662" t="s">
        <v>5123</v>
      </c>
      <c r="M164" s="1664">
        <v>44225</v>
      </c>
    </row>
    <row r="165" spans="1:13" s="1378" customFormat="1" ht="57">
      <c r="A165" s="1660">
        <v>156</v>
      </c>
      <c r="B165" s="1661" t="s">
        <v>1024</v>
      </c>
      <c r="C165" s="1662" t="s">
        <v>4236</v>
      </c>
      <c r="D165" s="1662" t="s">
        <v>1902</v>
      </c>
      <c r="E165" s="1662" t="s">
        <v>860</v>
      </c>
      <c r="F165" s="1660" t="s">
        <v>5122</v>
      </c>
      <c r="G165" s="1660">
        <v>41</v>
      </c>
      <c r="H165" s="1660" t="s">
        <v>1175</v>
      </c>
      <c r="I165" s="1660" t="s">
        <v>1079</v>
      </c>
      <c r="J165" s="1663" t="s">
        <v>1020</v>
      </c>
      <c r="K165" s="1663" t="s">
        <v>1010</v>
      </c>
      <c r="L165" s="1662" t="s">
        <v>5124</v>
      </c>
      <c r="M165" s="1664">
        <v>44225</v>
      </c>
    </row>
    <row r="166" spans="1:13" s="1378" customFormat="1" ht="57">
      <c r="A166" s="1660">
        <v>157</v>
      </c>
      <c r="B166" s="1661" t="s">
        <v>1054</v>
      </c>
      <c r="C166" s="1662" t="s">
        <v>4452</v>
      </c>
      <c r="D166" s="1662" t="s">
        <v>1902</v>
      </c>
      <c r="E166" s="1662" t="s">
        <v>860</v>
      </c>
      <c r="F166" s="1660" t="s">
        <v>5122</v>
      </c>
      <c r="G166" s="1660">
        <v>41</v>
      </c>
      <c r="H166" s="1660" t="s">
        <v>1175</v>
      </c>
      <c r="I166" s="1660" t="s">
        <v>1079</v>
      </c>
      <c r="J166" s="1663" t="s">
        <v>1020</v>
      </c>
      <c r="K166" s="1663" t="s">
        <v>1010</v>
      </c>
      <c r="L166" s="1662" t="s">
        <v>5124</v>
      </c>
      <c r="M166" s="1664">
        <v>44225</v>
      </c>
    </row>
    <row r="167" spans="1:13" s="1378" customFormat="1" ht="42.75">
      <c r="A167" s="1660">
        <v>158</v>
      </c>
      <c r="B167" s="1661" t="s">
        <v>4975</v>
      </c>
      <c r="C167" s="1662" t="s">
        <v>1079</v>
      </c>
      <c r="D167" s="1662" t="s">
        <v>4976</v>
      </c>
      <c r="E167" s="1662" t="s">
        <v>4977</v>
      </c>
      <c r="F167" s="1660" t="s">
        <v>5122</v>
      </c>
      <c r="G167" s="1660">
        <v>40</v>
      </c>
      <c r="H167" s="1669" t="s">
        <v>4979</v>
      </c>
      <c r="I167" s="1660" t="s">
        <v>1079</v>
      </c>
      <c r="J167" s="1663" t="s">
        <v>4929</v>
      </c>
      <c r="K167" s="1670">
        <v>0</v>
      </c>
      <c r="L167" s="1662" t="s">
        <v>5129</v>
      </c>
      <c r="M167" s="1664">
        <v>44327</v>
      </c>
    </row>
    <row r="168" spans="1:13" s="1378" customFormat="1" ht="28.5">
      <c r="A168" s="1660">
        <v>159</v>
      </c>
      <c r="B168" s="1661" t="s">
        <v>4975</v>
      </c>
      <c r="C168" s="1662" t="s">
        <v>1079</v>
      </c>
      <c r="D168" s="1662" t="s">
        <v>5130</v>
      </c>
      <c r="E168" s="1662" t="s">
        <v>860</v>
      </c>
      <c r="F168" s="1660" t="s">
        <v>5122</v>
      </c>
      <c r="G168" s="1669" t="s">
        <v>5131</v>
      </c>
      <c r="H168" s="1660" t="s">
        <v>4995</v>
      </c>
      <c r="I168" s="1660" t="s">
        <v>1079</v>
      </c>
      <c r="J168" s="1671" t="s">
        <v>4996</v>
      </c>
      <c r="K168" s="1671" t="s">
        <v>4997</v>
      </c>
      <c r="L168" s="1662" t="s">
        <v>4998</v>
      </c>
      <c r="M168" s="1664">
        <v>44329</v>
      </c>
    </row>
    <row r="169" spans="1:13" s="1378" customFormat="1" ht="42.75">
      <c r="A169" s="1660">
        <v>160</v>
      </c>
      <c r="B169" s="1661" t="s">
        <v>1024</v>
      </c>
      <c r="C169" s="1662" t="s">
        <v>4194</v>
      </c>
      <c r="D169" s="1662" t="s">
        <v>4999</v>
      </c>
      <c r="E169" s="1662" t="s">
        <v>4977</v>
      </c>
      <c r="F169" s="1660" t="s">
        <v>5122</v>
      </c>
      <c r="G169" s="1660">
        <v>105</v>
      </c>
      <c r="H169" s="1660" t="s">
        <v>1829</v>
      </c>
      <c r="I169" s="1660" t="s">
        <v>1012</v>
      </c>
      <c r="J169" s="1672">
        <v>1.1805555555555564E-3</v>
      </c>
      <c r="K169" s="1672">
        <v>3.4606481481481485E-3</v>
      </c>
      <c r="L169" s="1662" t="s">
        <v>5000</v>
      </c>
      <c r="M169" s="1664">
        <v>44334</v>
      </c>
    </row>
    <row r="170" spans="1:13" s="1378" customFormat="1" ht="42.75">
      <c r="A170" s="1660">
        <v>161</v>
      </c>
      <c r="B170" s="1661" t="s">
        <v>1024</v>
      </c>
      <c r="C170" s="1662" t="s">
        <v>4194</v>
      </c>
      <c r="D170" s="1662" t="s">
        <v>4999</v>
      </c>
      <c r="E170" s="1662" t="s">
        <v>4977</v>
      </c>
      <c r="F170" s="1660" t="s">
        <v>5122</v>
      </c>
      <c r="G170" s="1660">
        <v>105</v>
      </c>
      <c r="H170" s="1660" t="s">
        <v>1829</v>
      </c>
      <c r="I170" s="1660" t="s">
        <v>1022</v>
      </c>
      <c r="J170" s="1672">
        <v>1.2037037037037038E-3</v>
      </c>
      <c r="K170" s="1672">
        <v>3.0092592592592588E-3</v>
      </c>
      <c r="L170" s="1662" t="s">
        <v>5000</v>
      </c>
      <c r="M170" s="1664">
        <v>44334</v>
      </c>
    </row>
    <row r="171" spans="1:13" s="1378" customFormat="1" ht="42.75">
      <c r="A171" s="1660">
        <v>162</v>
      </c>
      <c r="B171" s="1661" t="s">
        <v>1024</v>
      </c>
      <c r="C171" s="1662" t="s">
        <v>4194</v>
      </c>
      <c r="D171" s="1662" t="s">
        <v>4999</v>
      </c>
      <c r="E171" s="1662" t="s">
        <v>4977</v>
      </c>
      <c r="F171" s="1660" t="s">
        <v>5122</v>
      </c>
      <c r="G171" s="1660">
        <v>105</v>
      </c>
      <c r="H171" s="1660" t="s">
        <v>1829</v>
      </c>
      <c r="I171" s="1660" t="s">
        <v>1027</v>
      </c>
      <c r="J171" s="1672">
        <v>1.1458333333333342E-3</v>
      </c>
      <c r="K171" s="1672">
        <v>2.615740740740741E-3</v>
      </c>
      <c r="L171" s="1662" t="s">
        <v>5000</v>
      </c>
      <c r="M171" s="1664">
        <v>44334</v>
      </c>
    </row>
    <row r="172" spans="1:13" s="1378" customFormat="1" ht="42.75">
      <c r="A172" s="1660">
        <v>163</v>
      </c>
      <c r="B172" s="1661" t="s">
        <v>1024</v>
      </c>
      <c r="C172" s="1662" t="s">
        <v>4194</v>
      </c>
      <c r="D172" s="1662" t="s">
        <v>4999</v>
      </c>
      <c r="E172" s="1662" t="s">
        <v>4977</v>
      </c>
      <c r="F172" s="1660" t="s">
        <v>5122</v>
      </c>
      <c r="G172" s="1660">
        <v>105</v>
      </c>
      <c r="H172" s="1660" t="s">
        <v>1829</v>
      </c>
      <c r="I172" s="1660" t="s">
        <v>88</v>
      </c>
      <c r="J172" s="1672">
        <v>1.3773148148148147E-3</v>
      </c>
      <c r="K172" s="1672">
        <v>2.1990740740740742E-3</v>
      </c>
      <c r="L172" s="1662" t="s">
        <v>5000</v>
      </c>
      <c r="M172" s="1664">
        <v>44334</v>
      </c>
    </row>
    <row r="173" spans="1:13" s="1378" customFormat="1" ht="42.75">
      <c r="A173" s="1660">
        <v>164</v>
      </c>
      <c r="B173" s="1661" t="s">
        <v>1024</v>
      </c>
      <c r="C173" s="1662" t="s">
        <v>4194</v>
      </c>
      <c r="D173" s="1662" t="s">
        <v>4999</v>
      </c>
      <c r="E173" s="1662" t="s">
        <v>4977</v>
      </c>
      <c r="F173" s="1660" t="s">
        <v>5122</v>
      </c>
      <c r="G173" s="1660">
        <v>105</v>
      </c>
      <c r="H173" s="1660" t="s">
        <v>1829</v>
      </c>
      <c r="I173" s="1660" t="s">
        <v>1034</v>
      </c>
      <c r="J173" s="1672">
        <v>1.3888888888888889E-3</v>
      </c>
      <c r="K173" s="1672">
        <v>1.8865740740740742E-3</v>
      </c>
      <c r="L173" s="1662" t="s">
        <v>5000</v>
      </c>
      <c r="M173" s="1664">
        <v>44334</v>
      </c>
    </row>
    <row r="174" spans="1:13" s="1378" customFormat="1" ht="42.75">
      <c r="A174" s="1660">
        <v>165</v>
      </c>
      <c r="B174" s="1661" t="s">
        <v>1057</v>
      </c>
      <c r="C174" s="1662" t="s">
        <v>4701</v>
      </c>
      <c r="D174" s="1662" t="s">
        <v>736</v>
      </c>
      <c r="E174" s="1662" t="s">
        <v>4977</v>
      </c>
      <c r="F174" s="1660" t="s">
        <v>5122</v>
      </c>
      <c r="G174" s="1660">
        <v>118</v>
      </c>
      <c r="H174" s="1660" t="s">
        <v>1185</v>
      </c>
      <c r="I174" s="1660" t="s">
        <v>1079</v>
      </c>
      <c r="J174" s="1663">
        <v>-1.224</v>
      </c>
      <c r="K174" s="1663">
        <v>-1.1950000000000001</v>
      </c>
      <c r="L174" s="1662" t="s">
        <v>5132</v>
      </c>
      <c r="M174" s="1664">
        <v>44335</v>
      </c>
    </row>
    <row r="175" spans="1:13" s="1378" customFormat="1" ht="42.75">
      <c r="A175" s="1660">
        <v>166</v>
      </c>
      <c r="B175" s="1661" t="s">
        <v>1057</v>
      </c>
      <c r="C175" s="1662" t="s">
        <v>4704</v>
      </c>
      <c r="D175" s="1662" t="s">
        <v>736</v>
      </c>
      <c r="E175" s="1662" t="s">
        <v>4977</v>
      </c>
      <c r="F175" s="1660" t="s">
        <v>5122</v>
      </c>
      <c r="G175" s="1660">
        <v>122</v>
      </c>
      <c r="H175" s="1660" t="s">
        <v>1184</v>
      </c>
      <c r="I175" s="1660" t="s">
        <v>1079</v>
      </c>
      <c r="J175" s="1663">
        <v>0.61399999999999999</v>
      </c>
      <c r="K175" s="1663">
        <v>0.6</v>
      </c>
      <c r="L175" s="1662" t="s">
        <v>5132</v>
      </c>
      <c r="M175" s="1664">
        <v>44335</v>
      </c>
    </row>
    <row r="176" spans="1:13" s="1378" customFormat="1" ht="42.75">
      <c r="A176" s="1660">
        <v>167</v>
      </c>
      <c r="B176" s="1662" t="s">
        <v>5003</v>
      </c>
      <c r="C176" s="1662" t="s">
        <v>1079</v>
      </c>
      <c r="D176" s="1662" t="s">
        <v>4976</v>
      </c>
      <c r="E176" s="1662" t="s">
        <v>4977</v>
      </c>
      <c r="F176" s="1660" t="s">
        <v>5122</v>
      </c>
      <c r="G176" s="1660">
        <v>40</v>
      </c>
      <c r="H176" s="1660" t="s">
        <v>5133</v>
      </c>
      <c r="I176" s="1660" t="s">
        <v>1079</v>
      </c>
      <c r="J176" s="1669" t="s">
        <v>4996</v>
      </c>
      <c r="K176" s="1660" t="s">
        <v>5005</v>
      </c>
      <c r="L176" s="1662" t="s">
        <v>5006</v>
      </c>
      <c r="M176" s="1664">
        <v>44335</v>
      </c>
    </row>
    <row r="177" spans="1:13" s="1378" customFormat="1" ht="57">
      <c r="A177" s="1660">
        <v>168</v>
      </c>
      <c r="B177" s="1662" t="s">
        <v>5007</v>
      </c>
      <c r="C177" s="1662" t="s">
        <v>1079</v>
      </c>
      <c r="D177" s="1662" t="s">
        <v>4976</v>
      </c>
      <c r="E177" s="1662" t="s">
        <v>4977</v>
      </c>
      <c r="F177" s="1660" t="s">
        <v>5122</v>
      </c>
      <c r="G177" s="1660">
        <v>40</v>
      </c>
      <c r="H177" s="1660" t="s">
        <v>5133</v>
      </c>
      <c r="I177" s="1660" t="s">
        <v>1079</v>
      </c>
      <c r="J177" s="1669" t="s">
        <v>4996</v>
      </c>
      <c r="K177" s="1660" t="s">
        <v>5005</v>
      </c>
      <c r="L177" s="1662" t="s">
        <v>5006</v>
      </c>
      <c r="M177" s="1664">
        <v>44335</v>
      </c>
    </row>
    <row r="178" spans="1:13" s="1378" customFormat="1" ht="42.75">
      <c r="A178" s="1660">
        <v>169</v>
      </c>
      <c r="B178" s="1661" t="s">
        <v>1064</v>
      </c>
      <c r="C178" s="1662" t="s">
        <v>2201</v>
      </c>
      <c r="D178" s="1662" t="s">
        <v>1892</v>
      </c>
      <c r="E178" s="1662" t="s">
        <v>4977</v>
      </c>
      <c r="F178" s="1660" t="s">
        <v>5122</v>
      </c>
      <c r="G178" s="1660">
        <v>87</v>
      </c>
      <c r="H178" s="1660" t="s">
        <v>1829</v>
      </c>
      <c r="I178" s="1660" t="s">
        <v>1012</v>
      </c>
      <c r="J178" s="1672">
        <v>2.58101851875E-3</v>
      </c>
      <c r="K178" s="1672">
        <v>1.8171296296296297E-3</v>
      </c>
      <c r="L178" s="1662" t="s">
        <v>5008</v>
      </c>
      <c r="M178" s="1664">
        <v>44335</v>
      </c>
    </row>
    <row r="179" spans="1:13" s="1378" customFormat="1" ht="42.75">
      <c r="A179" s="1660">
        <v>170</v>
      </c>
      <c r="B179" s="1661" t="s">
        <v>1064</v>
      </c>
      <c r="C179" s="1662" t="s">
        <v>2204</v>
      </c>
      <c r="D179" s="1662" t="s">
        <v>1892</v>
      </c>
      <c r="E179" s="1662" t="s">
        <v>4977</v>
      </c>
      <c r="F179" s="1660" t="s">
        <v>5122</v>
      </c>
      <c r="G179" s="1660">
        <v>87</v>
      </c>
      <c r="H179" s="1660" t="s">
        <v>1829</v>
      </c>
      <c r="I179" s="1660" t="s">
        <v>1022</v>
      </c>
      <c r="J179" s="1672">
        <v>2.546296296064815E-3</v>
      </c>
      <c r="K179" s="1672">
        <v>1.6203703703703703E-3</v>
      </c>
      <c r="L179" s="1662" t="s">
        <v>5008</v>
      </c>
      <c r="M179" s="1664">
        <v>44335</v>
      </c>
    </row>
    <row r="180" spans="1:13" s="1378" customFormat="1" ht="42.75">
      <c r="A180" s="1660">
        <v>171</v>
      </c>
      <c r="B180" s="1661" t="s">
        <v>1064</v>
      </c>
      <c r="C180" s="1662" t="s">
        <v>2208</v>
      </c>
      <c r="D180" s="1662" t="s">
        <v>1892</v>
      </c>
      <c r="E180" s="1662" t="s">
        <v>4977</v>
      </c>
      <c r="F180" s="1660" t="s">
        <v>5122</v>
      </c>
      <c r="G180" s="1660">
        <v>87</v>
      </c>
      <c r="H180" s="1660" t="s">
        <v>1829</v>
      </c>
      <c r="I180" s="1660" t="s">
        <v>1027</v>
      </c>
      <c r="J180" s="1672">
        <v>2.488425925694445E-3</v>
      </c>
      <c r="K180" s="1672">
        <v>1.0416666666666667E-3</v>
      </c>
      <c r="L180" s="1662" t="s">
        <v>5008</v>
      </c>
      <c r="M180" s="1664">
        <v>44335</v>
      </c>
    </row>
    <row r="181" spans="1:13" s="1378" customFormat="1" ht="42.75">
      <c r="A181" s="1660">
        <v>172</v>
      </c>
      <c r="B181" s="1661" t="s">
        <v>1064</v>
      </c>
      <c r="C181" s="1662" t="s">
        <v>2211</v>
      </c>
      <c r="D181" s="1662" t="s">
        <v>1892</v>
      </c>
      <c r="E181" s="1662" t="s">
        <v>4977</v>
      </c>
      <c r="F181" s="1660" t="s">
        <v>5122</v>
      </c>
      <c r="G181" s="1660">
        <v>87</v>
      </c>
      <c r="H181" s="1660" t="s">
        <v>1829</v>
      </c>
      <c r="I181" s="1660" t="s">
        <v>88</v>
      </c>
      <c r="J181" s="1672">
        <v>2.4421296293981485E-3</v>
      </c>
      <c r="K181" s="1672">
        <v>1.0416666666666667E-3</v>
      </c>
      <c r="L181" s="1662" t="s">
        <v>5008</v>
      </c>
      <c r="M181" s="1664">
        <v>44335</v>
      </c>
    </row>
    <row r="182" spans="1:13" s="1378" customFormat="1" ht="42.75">
      <c r="A182" s="1660">
        <v>173</v>
      </c>
      <c r="B182" s="1661" t="s">
        <v>1064</v>
      </c>
      <c r="C182" s="1662" t="s">
        <v>2215</v>
      </c>
      <c r="D182" s="1662" t="s">
        <v>1892</v>
      </c>
      <c r="E182" s="1662" t="s">
        <v>4977</v>
      </c>
      <c r="F182" s="1660" t="s">
        <v>5122</v>
      </c>
      <c r="G182" s="1660">
        <v>87</v>
      </c>
      <c r="H182" s="1660" t="s">
        <v>1829</v>
      </c>
      <c r="I182" s="1660" t="s">
        <v>1034</v>
      </c>
      <c r="J182" s="1672">
        <v>2.4305555555555556E-3</v>
      </c>
      <c r="K182" s="1672">
        <v>1.0416666666666667E-3</v>
      </c>
      <c r="L182" s="1662" t="s">
        <v>5008</v>
      </c>
      <c r="M182" s="1664">
        <v>44335</v>
      </c>
    </row>
    <row r="183" spans="1:13" s="1378" customFormat="1" ht="42.75">
      <c r="A183" s="1660">
        <v>174</v>
      </c>
      <c r="B183" s="1661" t="s">
        <v>1064</v>
      </c>
      <c r="C183" s="1673" t="s">
        <v>2317</v>
      </c>
      <c r="D183" s="1673" t="s">
        <v>2319</v>
      </c>
      <c r="E183" s="1662" t="s">
        <v>4977</v>
      </c>
      <c r="F183" s="1660" t="s">
        <v>5122</v>
      </c>
      <c r="G183" s="1660">
        <v>41</v>
      </c>
      <c r="H183" s="1660" t="s">
        <v>1175</v>
      </c>
      <c r="I183" s="1660" t="s">
        <v>5009</v>
      </c>
      <c r="J183" s="1663" t="s">
        <v>1010</v>
      </c>
      <c r="K183" s="1663" t="s">
        <v>1020</v>
      </c>
      <c r="L183" s="1662" t="s">
        <v>5008</v>
      </c>
      <c r="M183" s="1664">
        <v>44335</v>
      </c>
    </row>
    <row r="184" spans="1:13" s="1378" customFormat="1" ht="42.75">
      <c r="A184" s="1660">
        <v>175</v>
      </c>
      <c r="B184" s="1661" t="s">
        <v>4975</v>
      </c>
      <c r="C184" s="1662" t="s">
        <v>4975</v>
      </c>
      <c r="D184" s="1662" t="s">
        <v>4975</v>
      </c>
      <c r="E184" s="1662" t="s">
        <v>4977</v>
      </c>
      <c r="F184" s="1660" t="s">
        <v>5122</v>
      </c>
      <c r="G184" s="1660">
        <v>40</v>
      </c>
      <c r="H184" s="1660" t="s">
        <v>115</v>
      </c>
      <c r="I184" s="1660" t="s">
        <v>1079</v>
      </c>
      <c r="J184" s="1671" t="s">
        <v>4996</v>
      </c>
      <c r="K184" s="1671" t="s">
        <v>4997</v>
      </c>
      <c r="L184" s="1662" t="s">
        <v>5010</v>
      </c>
      <c r="M184" s="1664">
        <v>44336</v>
      </c>
    </row>
    <row r="185" spans="1:13" s="1378" customFormat="1" ht="42.75">
      <c r="A185" s="1660">
        <v>176</v>
      </c>
      <c r="B185" s="1661" t="s">
        <v>1064</v>
      </c>
      <c r="C185" s="1673" t="s">
        <v>2317</v>
      </c>
      <c r="D185" s="1673" t="s">
        <v>2319</v>
      </c>
      <c r="E185" s="1662" t="s">
        <v>4977</v>
      </c>
      <c r="F185" s="1660" t="s">
        <v>5122</v>
      </c>
      <c r="G185" s="1660">
        <v>38</v>
      </c>
      <c r="H185" s="1660" t="s">
        <v>1842</v>
      </c>
      <c r="I185" s="1660" t="s">
        <v>5009</v>
      </c>
      <c r="J185" s="1671" t="s">
        <v>278</v>
      </c>
      <c r="K185" s="1671" t="s">
        <v>1033</v>
      </c>
      <c r="L185" s="1662" t="s">
        <v>5008</v>
      </c>
      <c r="M185" s="1664">
        <v>44336</v>
      </c>
    </row>
    <row r="186" spans="1:13" s="1378" customFormat="1" ht="42.75">
      <c r="A186" s="1660">
        <v>177</v>
      </c>
      <c r="B186" s="1661" t="s">
        <v>1075</v>
      </c>
      <c r="C186" s="1673" t="s">
        <v>2982</v>
      </c>
      <c r="D186" s="1673" t="s">
        <v>2984</v>
      </c>
      <c r="E186" s="1662" t="s">
        <v>4977</v>
      </c>
      <c r="F186" s="1660" t="s">
        <v>5122</v>
      </c>
      <c r="G186" s="1660">
        <v>39</v>
      </c>
      <c r="H186" s="1660" t="s">
        <v>1843</v>
      </c>
      <c r="I186" s="1660" t="s">
        <v>5009</v>
      </c>
      <c r="J186" s="1671" t="s">
        <v>5015</v>
      </c>
      <c r="K186" s="1671" t="s">
        <v>2986</v>
      </c>
      <c r="L186" s="1662" t="s">
        <v>5016</v>
      </c>
      <c r="M186" s="1664">
        <v>44340</v>
      </c>
    </row>
    <row r="187" spans="1:13" s="1378" customFormat="1" ht="42.75">
      <c r="A187" s="1660">
        <v>178</v>
      </c>
      <c r="B187" s="1661" t="s">
        <v>1075</v>
      </c>
      <c r="C187" s="1673" t="s">
        <v>3004</v>
      </c>
      <c r="D187" s="1673" t="s">
        <v>3006</v>
      </c>
      <c r="E187" s="1662" t="s">
        <v>4977</v>
      </c>
      <c r="F187" s="1660" t="s">
        <v>5122</v>
      </c>
      <c r="G187" s="1660">
        <v>39</v>
      </c>
      <c r="H187" s="1660" t="s">
        <v>1843</v>
      </c>
      <c r="I187" s="1660" t="s">
        <v>5009</v>
      </c>
      <c r="J187" s="1671" t="s">
        <v>5015</v>
      </c>
      <c r="K187" s="1671" t="s">
        <v>2986</v>
      </c>
      <c r="L187" s="1662" t="s">
        <v>5016</v>
      </c>
      <c r="M187" s="1664">
        <v>44340</v>
      </c>
    </row>
    <row r="188" spans="1:13" s="1378" customFormat="1" ht="42.75">
      <c r="A188" s="1660">
        <v>179</v>
      </c>
      <c r="B188" s="1661" t="s">
        <v>1075</v>
      </c>
      <c r="C188" s="1673" t="s">
        <v>2982</v>
      </c>
      <c r="D188" s="1673" t="s">
        <v>2984</v>
      </c>
      <c r="E188" s="1662" t="s">
        <v>4977</v>
      </c>
      <c r="F188" s="1660" t="s">
        <v>5122</v>
      </c>
      <c r="G188" s="1660">
        <v>38</v>
      </c>
      <c r="H188" s="1660" t="s">
        <v>5017</v>
      </c>
      <c r="I188" s="1660" t="s">
        <v>5009</v>
      </c>
      <c r="J188" s="1671" t="s">
        <v>278</v>
      </c>
      <c r="K188" s="1671" t="s">
        <v>1081</v>
      </c>
      <c r="L188" s="1662" t="s">
        <v>5016</v>
      </c>
      <c r="M188" s="1664">
        <v>44340</v>
      </c>
    </row>
    <row r="189" spans="1:13" s="1378" customFormat="1" ht="42.75">
      <c r="A189" s="1660">
        <v>180</v>
      </c>
      <c r="B189" s="1661" t="s">
        <v>1075</v>
      </c>
      <c r="C189" s="1673" t="s">
        <v>3004</v>
      </c>
      <c r="D189" s="1673" t="s">
        <v>3006</v>
      </c>
      <c r="E189" s="1662" t="s">
        <v>4977</v>
      </c>
      <c r="F189" s="1660" t="s">
        <v>5122</v>
      </c>
      <c r="G189" s="1660">
        <v>38</v>
      </c>
      <c r="H189" s="1660" t="s">
        <v>5017</v>
      </c>
      <c r="I189" s="1660" t="s">
        <v>5009</v>
      </c>
      <c r="J189" s="1671" t="s">
        <v>278</v>
      </c>
      <c r="K189" s="1671" t="s">
        <v>1081</v>
      </c>
      <c r="L189" s="1662" t="s">
        <v>5016</v>
      </c>
      <c r="M189" s="1664">
        <v>44340</v>
      </c>
    </row>
    <row r="190" spans="1:13" s="1378" customFormat="1" ht="14.25">
      <c r="A190" s="1654">
        <v>181</v>
      </c>
      <c r="B190" s="1655" t="s">
        <v>1057</v>
      </c>
      <c r="C190" s="1656" t="s">
        <v>4674</v>
      </c>
      <c r="D190" s="1656" t="s">
        <v>669</v>
      </c>
      <c r="E190" s="1656" t="s">
        <v>4926</v>
      </c>
      <c r="F190" s="1654" t="s">
        <v>5122</v>
      </c>
      <c r="G190" s="1654">
        <v>90</v>
      </c>
      <c r="H190" s="1654" t="s">
        <v>1826</v>
      </c>
      <c r="I190" s="1654" t="s">
        <v>1012</v>
      </c>
      <c r="J190" s="1666">
        <v>-4.7</v>
      </c>
      <c r="K190" s="1666">
        <v>-20</v>
      </c>
      <c r="L190" s="1656" t="s">
        <v>4930</v>
      </c>
      <c r="M190" s="1658">
        <v>44341</v>
      </c>
    </row>
    <row r="191" spans="1:13" s="1378" customFormat="1" ht="14.25">
      <c r="A191" s="1654">
        <v>182</v>
      </c>
      <c r="B191" s="1655" t="s">
        <v>1057</v>
      </c>
      <c r="C191" s="1656" t="s">
        <v>4674</v>
      </c>
      <c r="D191" s="1656" t="s">
        <v>669</v>
      </c>
      <c r="E191" s="1656" t="s">
        <v>4926</v>
      </c>
      <c r="F191" s="1654" t="s">
        <v>5122</v>
      </c>
      <c r="G191" s="1654">
        <v>90</v>
      </c>
      <c r="H191" s="1654" t="s">
        <v>1826</v>
      </c>
      <c r="I191" s="1654" t="s">
        <v>1022</v>
      </c>
      <c r="J191" s="1666">
        <v>-4.7</v>
      </c>
      <c r="K191" s="1666">
        <v>-20</v>
      </c>
      <c r="L191" s="1656" t="s">
        <v>4930</v>
      </c>
      <c r="M191" s="1658">
        <v>44341</v>
      </c>
    </row>
    <row r="192" spans="1:13" s="1378" customFormat="1" ht="14.25">
      <c r="A192" s="1654">
        <v>183</v>
      </c>
      <c r="B192" s="1655" t="s">
        <v>1057</v>
      </c>
      <c r="C192" s="1656" t="s">
        <v>4674</v>
      </c>
      <c r="D192" s="1656" t="s">
        <v>669</v>
      </c>
      <c r="E192" s="1656" t="s">
        <v>4926</v>
      </c>
      <c r="F192" s="1654" t="s">
        <v>5122</v>
      </c>
      <c r="G192" s="1654">
        <v>90</v>
      </c>
      <c r="H192" s="1654" t="s">
        <v>1826</v>
      </c>
      <c r="I192" s="1654" t="s">
        <v>1027</v>
      </c>
      <c r="J192" s="1666">
        <v>-4.7</v>
      </c>
      <c r="K192" s="1666">
        <v>-20</v>
      </c>
      <c r="L192" s="1656" t="s">
        <v>4930</v>
      </c>
      <c r="M192" s="1658">
        <v>44341</v>
      </c>
    </row>
    <row r="193" spans="1:13" s="1378" customFormat="1" ht="14.25">
      <c r="A193" s="1654">
        <v>184</v>
      </c>
      <c r="B193" s="1655" t="s">
        <v>1057</v>
      </c>
      <c r="C193" s="1656" t="s">
        <v>4674</v>
      </c>
      <c r="D193" s="1656" t="s">
        <v>669</v>
      </c>
      <c r="E193" s="1656" t="s">
        <v>4926</v>
      </c>
      <c r="F193" s="1654" t="s">
        <v>5122</v>
      </c>
      <c r="G193" s="1654">
        <v>90</v>
      </c>
      <c r="H193" s="1654" t="s">
        <v>1826</v>
      </c>
      <c r="I193" s="1654" t="s">
        <v>88</v>
      </c>
      <c r="J193" s="1666">
        <v>-4.7</v>
      </c>
      <c r="K193" s="1666">
        <v>-20</v>
      </c>
      <c r="L193" s="1656" t="s">
        <v>4930</v>
      </c>
      <c r="M193" s="1658">
        <v>44341</v>
      </c>
    </row>
    <row r="194" spans="1:13" s="1378" customFormat="1" ht="14.25">
      <c r="A194" s="1654">
        <v>185</v>
      </c>
      <c r="B194" s="1655" t="s">
        <v>1057</v>
      </c>
      <c r="C194" s="1656" t="s">
        <v>4674</v>
      </c>
      <c r="D194" s="1656" t="s">
        <v>669</v>
      </c>
      <c r="E194" s="1656" t="s">
        <v>4926</v>
      </c>
      <c r="F194" s="1654" t="s">
        <v>5122</v>
      </c>
      <c r="G194" s="1654">
        <v>90</v>
      </c>
      <c r="H194" s="1654" t="s">
        <v>1826</v>
      </c>
      <c r="I194" s="1654" t="s">
        <v>1034</v>
      </c>
      <c r="J194" s="1666">
        <v>-4.7</v>
      </c>
      <c r="K194" s="1666">
        <v>-20</v>
      </c>
      <c r="L194" s="1656" t="s">
        <v>4930</v>
      </c>
      <c r="M194" s="1658">
        <v>44341</v>
      </c>
    </row>
    <row r="195" spans="1:13" s="1378" customFormat="1" ht="14.25">
      <c r="A195" s="1654">
        <v>186</v>
      </c>
      <c r="B195" s="1655" t="s">
        <v>1032</v>
      </c>
      <c r="C195" s="1656" t="s">
        <v>2489</v>
      </c>
      <c r="D195" s="1656" t="s">
        <v>5054</v>
      </c>
      <c r="E195" s="1656" t="s">
        <v>4926</v>
      </c>
      <c r="F195" s="1654" t="s">
        <v>5122</v>
      </c>
      <c r="G195" s="1654">
        <v>90</v>
      </c>
      <c r="H195" s="1654" t="s">
        <v>1826</v>
      </c>
      <c r="I195" s="1654" t="s">
        <v>1012</v>
      </c>
      <c r="J195" s="1666">
        <v>-20.2</v>
      </c>
      <c r="K195" s="1666">
        <v>-38</v>
      </c>
      <c r="L195" s="1656" t="s">
        <v>4930</v>
      </c>
      <c r="M195" s="1658">
        <v>44341</v>
      </c>
    </row>
    <row r="196" spans="1:13" s="1378" customFormat="1" ht="14.25">
      <c r="A196" s="1654">
        <v>187</v>
      </c>
      <c r="B196" s="1655" t="s">
        <v>1032</v>
      </c>
      <c r="C196" s="1656" t="s">
        <v>2489</v>
      </c>
      <c r="D196" s="1656" t="s">
        <v>5054</v>
      </c>
      <c r="E196" s="1656" t="s">
        <v>4926</v>
      </c>
      <c r="F196" s="1654" t="s">
        <v>5122</v>
      </c>
      <c r="G196" s="1654">
        <v>90</v>
      </c>
      <c r="H196" s="1654" t="s">
        <v>1826</v>
      </c>
      <c r="I196" s="1654" t="s">
        <v>1022</v>
      </c>
      <c r="J196" s="1666">
        <v>-20.2</v>
      </c>
      <c r="K196" s="1666">
        <v>-38</v>
      </c>
      <c r="L196" s="1656" t="s">
        <v>4930</v>
      </c>
      <c r="M196" s="1658">
        <v>44341</v>
      </c>
    </row>
    <row r="197" spans="1:13" s="1378" customFormat="1" ht="14.25">
      <c r="A197" s="1654">
        <v>188</v>
      </c>
      <c r="B197" s="1655" t="s">
        <v>1032</v>
      </c>
      <c r="C197" s="1656" t="s">
        <v>2489</v>
      </c>
      <c r="D197" s="1656" t="s">
        <v>5054</v>
      </c>
      <c r="E197" s="1656" t="s">
        <v>4926</v>
      </c>
      <c r="F197" s="1654" t="s">
        <v>5122</v>
      </c>
      <c r="G197" s="1654">
        <v>90</v>
      </c>
      <c r="H197" s="1654" t="s">
        <v>1826</v>
      </c>
      <c r="I197" s="1654" t="s">
        <v>1027</v>
      </c>
      <c r="J197" s="1666">
        <v>-20.2</v>
      </c>
      <c r="K197" s="1666">
        <v>-38</v>
      </c>
      <c r="L197" s="1656" t="s">
        <v>4930</v>
      </c>
      <c r="M197" s="1658">
        <v>44341</v>
      </c>
    </row>
    <row r="198" spans="1:13" s="1378" customFormat="1" ht="14.25">
      <c r="A198" s="1654">
        <v>189</v>
      </c>
      <c r="B198" s="1655" t="s">
        <v>1032</v>
      </c>
      <c r="C198" s="1656" t="s">
        <v>2489</v>
      </c>
      <c r="D198" s="1656" t="s">
        <v>5054</v>
      </c>
      <c r="E198" s="1656" t="s">
        <v>4926</v>
      </c>
      <c r="F198" s="1654" t="s">
        <v>5122</v>
      </c>
      <c r="G198" s="1654">
        <v>90</v>
      </c>
      <c r="H198" s="1654" t="s">
        <v>1826</v>
      </c>
      <c r="I198" s="1654" t="s">
        <v>88</v>
      </c>
      <c r="J198" s="1666">
        <v>-20.2</v>
      </c>
      <c r="K198" s="1666">
        <v>-38</v>
      </c>
      <c r="L198" s="1656" t="s">
        <v>4930</v>
      </c>
      <c r="M198" s="1658">
        <v>44341</v>
      </c>
    </row>
    <row r="199" spans="1:13" s="1378" customFormat="1" ht="14.25">
      <c r="A199" s="1654">
        <v>190</v>
      </c>
      <c r="B199" s="1655" t="s">
        <v>1032</v>
      </c>
      <c r="C199" s="1656" t="s">
        <v>2489</v>
      </c>
      <c r="D199" s="1656" t="s">
        <v>5054</v>
      </c>
      <c r="E199" s="1656" t="s">
        <v>4926</v>
      </c>
      <c r="F199" s="1654" t="s">
        <v>5122</v>
      </c>
      <c r="G199" s="1654">
        <v>90</v>
      </c>
      <c r="H199" s="1654" t="s">
        <v>1826</v>
      </c>
      <c r="I199" s="1654" t="s">
        <v>1034</v>
      </c>
      <c r="J199" s="1666">
        <v>-20.2</v>
      </c>
      <c r="K199" s="1666">
        <v>-38</v>
      </c>
      <c r="L199" s="1656" t="s">
        <v>4930</v>
      </c>
      <c r="M199" s="1658">
        <v>44341</v>
      </c>
    </row>
    <row r="200" spans="1:13" s="1378" customFormat="1" ht="14.25">
      <c r="A200" s="1654">
        <v>191</v>
      </c>
      <c r="B200" s="1655" t="s">
        <v>1032</v>
      </c>
      <c r="C200" s="1656" t="s">
        <v>2494</v>
      </c>
      <c r="D200" s="1656" t="s">
        <v>5134</v>
      </c>
      <c r="E200" s="1656" t="s">
        <v>4926</v>
      </c>
      <c r="F200" s="1654" t="s">
        <v>5122</v>
      </c>
      <c r="G200" s="1654">
        <v>90</v>
      </c>
      <c r="H200" s="1654" t="s">
        <v>1826</v>
      </c>
      <c r="I200" s="1654" t="s">
        <v>1012</v>
      </c>
      <c r="J200" s="1666">
        <v>-56.6</v>
      </c>
      <c r="K200" s="1666">
        <v>-77.3</v>
      </c>
      <c r="L200" s="1656" t="s">
        <v>4930</v>
      </c>
      <c r="M200" s="1658">
        <v>44341</v>
      </c>
    </row>
    <row r="201" spans="1:13" s="1378" customFormat="1" ht="14.25">
      <c r="A201" s="1654">
        <v>192</v>
      </c>
      <c r="B201" s="1655" t="s">
        <v>1032</v>
      </c>
      <c r="C201" s="1656" t="s">
        <v>2494</v>
      </c>
      <c r="D201" s="1656" t="s">
        <v>5134</v>
      </c>
      <c r="E201" s="1656" t="s">
        <v>4926</v>
      </c>
      <c r="F201" s="1654" t="s">
        <v>5122</v>
      </c>
      <c r="G201" s="1654">
        <v>90</v>
      </c>
      <c r="H201" s="1654" t="s">
        <v>1826</v>
      </c>
      <c r="I201" s="1654" t="s">
        <v>1022</v>
      </c>
      <c r="J201" s="1666">
        <v>-56.6</v>
      </c>
      <c r="K201" s="1666">
        <v>-77.3</v>
      </c>
      <c r="L201" s="1656" t="s">
        <v>4930</v>
      </c>
      <c r="M201" s="1658">
        <v>44341</v>
      </c>
    </row>
    <row r="202" spans="1:13" s="1378" customFormat="1" ht="14.25">
      <c r="A202" s="1654">
        <v>193</v>
      </c>
      <c r="B202" s="1655" t="s">
        <v>1032</v>
      </c>
      <c r="C202" s="1656" t="s">
        <v>2494</v>
      </c>
      <c r="D202" s="1656" t="s">
        <v>5134</v>
      </c>
      <c r="E202" s="1656" t="s">
        <v>4926</v>
      </c>
      <c r="F202" s="1654" t="s">
        <v>5122</v>
      </c>
      <c r="G202" s="1654">
        <v>90</v>
      </c>
      <c r="H202" s="1654" t="s">
        <v>1826</v>
      </c>
      <c r="I202" s="1654" t="s">
        <v>1027</v>
      </c>
      <c r="J202" s="1666">
        <v>-56.6</v>
      </c>
      <c r="K202" s="1666">
        <v>-77.3</v>
      </c>
      <c r="L202" s="1656" t="s">
        <v>4930</v>
      </c>
      <c r="M202" s="1658">
        <v>44341</v>
      </c>
    </row>
    <row r="203" spans="1:13" s="1378" customFormat="1" ht="14.25">
      <c r="A203" s="1654">
        <v>194</v>
      </c>
      <c r="B203" s="1655" t="s">
        <v>1032</v>
      </c>
      <c r="C203" s="1656" t="s">
        <v>2494</v>
      </c>
      <c r="D203" s="1656" t="s">
        <v>5134</v>
      </c>
      <c r="E203" s="1656" t="s">
        <v>4926</v>
      </c>
      <c r="F203" s="1654" t="s">
        <v>5122</v>
      </c>
      <c r="G203" s="1654">
        <v>90</v>
      </c>
      <c r="H203" s="1654" t="s">
        <v>1826</v>
      </c>
      <c r="I203" s="1654" t="s">
        <v>88</v>
      </c>
      <c r="J203" s="1666">
        <v>-56.6</v>
      </c>
      <c r="K203" s="1666">
        <v>-77.3</v>
      </c>
      <c r="L203" s="1656" t="s">
        <v>4930</v>
      </c>
      <c r="M203" s="1658">
        <v>44341</v>
      </c>
    </row>
    <row r="204" spans="1:13" s="1378" customFormat="1" ht="14.25">
      <c r="A204" s="1654">
        <v>195</v>
      </c>
      <c r="B204" s="1655" t="s">
        <v>1032</v>
      </c>
      <c r="C204" s="1656" t="s">
        <v>2494</v>
      </c>
      <c r="D204" s="1656" t="s">
        <v>5134</v>
      </c>
      <c r="E204" s="1656" t="s">
        <v>4926</v>
      </c>
      <c r="F204" s="1654" t="s">
        <v>5122</v>
      </c>
      <c r="G204" s="1654">
        <v>90</v>
      </c>
      <c r="H204" s="1654" t="s">
        <v>1826</v>
      </c>
      <c r="I204" s="1654" t="s">
        <v>1034</v>
      </c>
      <c r="J204" s="1666">
        <v>-56.6</v>
      </c>
      <c r="K204" s="1666">
        <v>-77.3</v>
      </c>
      <c r="L204" s="1656" t="s">
        <v>4930</v>
      </c>
      <c r="M204" s="1658">
        <v>44341</v>
      </c>
    </row>
    <row r="205" spans="1:13" s="1378" customFormat="1" ht="14.25">
      <c r="A205" s="1654">
        <v>196</v>
      </c>
      <c r="B205" s="1655" t="s">
        <v>1032</v>
      </c>
      <c r="C205" s="1656" t="s">
        <v>2489</v>
      </c>
      <c r="D205" s="1656" t="s">
        <v>2491</v>
      </c>
      <c r="E205" s="1656" t="s">
        <v>4926</v>
      </c>
      <c r="F205" s="1654" t="s">
        <v>5122</v>
      </c>
      <c r="G205" s="1654">
        <v>59</v>
      </c>
      <c r="H205" s="1654" t="s">
        <v>4938</v>
      </c>
      <c r="I205" s="1654" t="s">
        <v>1012</v>
      </c>
      <c r="J205" s="1666">
        <v>0.9</v>
      </c>
      <c r="K205" s="1666">
        <v>1</v>
      </c>
      <c r="L205" s="1656" t="s">
        <v>5019</v>
      </c>
      <c r="M205" s="1658">
        <v>44341</v>
      </c>
    </row>
    <row r="206" spans="1:13" s="1378" customFormat="1" ht="14.25">
      <c r="A206" s="1654">
        <v>197</v>
      </c>
      <c r="B206" s="1655" t="s">
        <v>1032</v>
      </c>
      <c r="C206" s="1656" t="s">
        <v>2489</v>
      </c>
      <c r="D206" s="1656" t="s">
        <v>2491</v>
      </c>
      <c r="E206" s="1656" t="s">
        <v>4926</v>
      </c>
      <c r="F206" s="1654" t="s">
        <v>5122</v>
      </c>
      <c r="G206" s="1654">
        <v>59</v>
      </c>
      <c r="H206" s="1654" t="s">
        <v>4938</v>
      </c>
      <c r="I206" s="1654" t="s">
        <v>1022</v>
      </c>
      <c r="J206" s="1666">
        <v>1.9</v>
      </c>
      <c r="K206" s="1666">
        <v>3</v>
      </c>
      <c r="L206" s="1656" t="s">
        <v>5019</v>
      </c>
      <c r="M206" s="1658">
        <v>44341</v>
      </c>
    </row>
    <row r="207" spans="1:13" s="1378" customFormat="1" ht="14.25">
      <c r="A207" s="1654">
        <v>198</v>
      </c>
      <c r="B207" s="1655" t="s">
        <v>1032</v>
      </c>
      <c r="C207" s="1656" t="s">
        <v>2489</v>
      </c>
      <c r="D207" s="1656" t="s">
        <v>2491</v>
      </c>
      <c r="E207" s="1656" t="s">
        <v>4926</v>
      </c>
      <c r="F207" s="1654" t="s">
        <v>5122</v>
      </c>
      <c r="G207" s="1654">
        <v>59</v>
      </c>
      <c r="H207" s="1654" t="s">
        <v>4938</v>
      </c>
      <c r="I207" s="1654" t="s">
        <v>1027</v>
      </c>
      <c r="J207" s="1666">
        <v>5</v>
      </c>
      <c r="K207" s="1666">
        <v>6</v>
      </c>
      <c r="L207" s="1656" t="s">
        <v>5019</v>
      </c>
      <c r="M207" s="1658">
        <v>44341</v>
      </c>
    </row>
    <row r="208" spans="1:13" s="1378" customFormat="1" ht="14.25">
      <c r="A208" s="1654">
        <v>199</v>
      </c>
      <c r="B208" s="1655" t="s">
        <v>1032</v>
      </c>
      <c r="C208" s="1656" t="s">
        <v>2489</v>
      </c>
      <c r="D208" s="1656" t="s">
        <v>2491</v>
      </c>
      <c r="E208" s="1656" t="s">
        <v>4926</v>
      </c>
      <c r="F208" s="1654" t="s">
        <v>5122</v>
      </c>
      <c r="G208" s="1654">
        <v>59</v>
      </c>
      <c r="H208" s="1654" t="s">
        <v>4938</v>
      </c>
      <c r="I208" s="1654" t="s">
        <v>88</v>
      </c>
      <c r="J208" s="1666">
        <v>8</v>
      </c>
      <c r="K208" s="1666">
        <v>9</v>
      </c>
      <c r="L208" s="1656" t="s">
        <v>5019</v>
      </c>
      <c r="M208" s="1658">
        <v>44341</v>
      </c>
    </row>
    <row r="209" spans="1:13" s="1378" customFormat="1" ht="14.25">
      <c r="A209" s="1654">
        <v>200</v>
      </c>
      <c r="B209" s="1655" t="s">
        <v>1032</v>
      </c>
      <c r="C209" s="1656" t="s">
        <v>2489</v>
      </c>
      <c r="D209" s="1656" t="s">
        <v>2491</v>
      </c>
      <c r="E209" s="1656" t="s">
        <v>4926</v>
      </c>
      <c r="F209" s="1654" t="s">
        <v>5122</v>
      </c>
      <c r="G209" s="1654">
        <v>59</v>
      </c>
      <c r="H209" s="1654" t="s">
        <v>4938</v>
      </c>
      <c r="I209" s="1654" t="s">
        <v>1034</v>
      </c>
      <c r="J209" s="1666">
        <v>11</v>
      </c>
      <c r="K209" s="1666">
        <v>12</v>
      </c>
      <c r="L209" s="1656" t="s">
        <v>5019</v>
      </c>
      <c r="M209" s="1658">
        <v>44341</v>
      </c>
    </row>
    <row r="210" spans="1:13" s="1378" customFormat="1" ht="14.25">
      <c r="A210" s="1654">
        <v>201</v>
      </c>
      <c r="B210" s="1655" t="s">
        <v>1032</v>
      </c>
      <c r="C210" s="1656" t="s">
        <v>2494</v>
      </c>
      <c r="D210" s="1656" t="s">
        <v>2496</v>
      </c>
      <c r="E210" s="1656" t="s">
        <v>4926</v>
      </c>
      <c r="F210" s="1654" t="s">
        <v>5122</v>
      </c>
      <c r="G210" s="1654">
        <v>59</v>
      </c>
      <c r="H210" s="1654" t="s">
        <v>4938</v>
      </c>
      <c r="I210" s="1654" t="s">
        <v>1012</v>
      </c>
      <c r="J210" s="1666">
        <v>6.2</v>
      </c>
      <c r="K210" s="1666">
        <v>1.3</v>
      </c>
      <c r="L210" s="1656" t="s">
        <v>5019</v>
      </c>
      <c r="M210" s="1658">
        <v>44341</v>
      </c>
    </row>
    <row r="211" spans="1:13" s="1378" customFormat="1" ht="14.25">
      <c r="A211" s="1654">
        <v>202</v>
      </c>
      <c r="B211" s="1655" t="s">
        <v>1032</v>
      </c>
      <c r="C211" s="1656" t="s">
        <v>2494</v>
      </c>
      <c r="D211" s="1656" t="s">
        <v>2496</v>
      </c>
      <c r="E211" s="1656" t="s">
        <v>4926</v>
      </c>
      <c r="F211" s="1654" t="s">
        <v>5122</v>
      </c>
      <c r="G211" s="1654">
        <v>59</v>
      </c>
      <c r="H211" s="1654" t="s">
        <v>4938</v>
      </c>
      <c r="I211" s="1654" t="s">
        <v>1022</v>
      </c>
      <c r="J211" s="1666">
        <v>8.5</v>
      </c>
      <c r="K211" s="1666">
        <v>3.7</v>
      </c>
      <c r="L211" s="1656" t="s">
        <v>5019</v>
      </c>
      <c r="M211" s="1658">
        <v>44341</v>
      </c>
    </row>
    <row r="212" spans="1:13" s="1378" customFormat="1" ht="14.25">
      <c r="A212" s="1654">
        <v>203</v>
      </c>
      <c r="B212" s="1655" t="s">
        <v>1032</v>
      </c>
      <c r="C212" s="1656" t="s">
        <v>2494</v>
      </c>
      <c r="D212" s="1656" t="s">
        <v>2496</v>
      </c>
      <c r="E212" s="1656" t="s">
        <v>4926</v>
      </c>
      <c r="F212" s="1654" t="s">
        <v>5122</v>
      </c>
      <c r="G212" s="1654">
        <v>59</v>
      </c>
      <c r="H212" s="1654" t="s">
        <v>4938</v>
      </c>
      <c r="I212" s="1654" t="s">
        <v>1027</v>
      </c>
      <c r="J212" s="1666">
        <v>11.8</v>
      </c>
      <c r="K212" s="1666">
        <v>7.2</v>
      </c>
      <c r="L212" s="1656" t="s">
        <v>5019</v>
      </c>
      <c r="M212" s="1658">
        <v>44341</v>
      </c>
    </row>
    <row r="213" spans="1:13" s="1378" customFormat="1" ht="14.25">
      <c r="A213" s="1654">
        <v>204</v>
      </c>
      <c r="B213" s="1655" t="s">
        <v>1032</v>
      </c>
      <c r="C213" s="1656" t="s">
        <v>2494</v>
      </c>
      <c r="D213" s="1656" t="s">
        <v>2496</v>
      </c>
      <c r="E213" s="1656" t="s">
        <v>4926</v>
      </c>
      <c r="F213" s="1654" t="s">
        <v>5122</v>
      </c>
      <c r="G213" s="1654">
        <v>59</v>
      </c>
      <c r="H213" s="1654" t="s">
        <v>4938</v>
      </c>
      <c r="I213" s="1654" t="s">
        <v>88</v>
      </c>
      <c r="J213" s="1666">
        <v>15.2</v>
      </c>
      <c r="K213" s="1666">
        <v>10.5</v>
      </c>
      <c r="L213" s="1656" t="s">
        <v>5019</v>
      </c>
      <c r="M213" s="1658">
        <v>44341</v>
      </c>
    </row>
    <row r="214" spans="1:13" s="1378" customFormat="1" ht="14.25">
      <c r="A214" s="1654">
        <v>205</v>
      </c>
      <c r="B214" s="1655" t="s">
        <v>1032</v>
      </c>
      <c r="C214" s="1656" t="s">
        <v>2494</v>
      </c>
      <c r="D214" s="1656" t="s">
        <v>2496</v>
      </c>
      <c r="E214" s="1656" t="s">
        <v>4926</v>
      </c>
      <c r="F214" s="1654" t="s">
        <v>5122</v>
      </c>
      <c r="G214" s="1654">
        <v>59</v>
      </c>
      <c r="H214" s="1654" t="s">
        <v>4938</v>
      </c>
      <c r="I214" s="1654" t="s">
        <v>1034</v>
      </c>
      <c r="J214" s="1666">
        <v>18.5</v>
      </c>
      <c r="K214" s="1666">
        <v>14.1</v>
      </c>
      <c r="L214" s="1656" t="s">
        <v>5019</v>
      </c>
      <c r="M214" s="1658">
        <v>44341</v>
      </c>
    </row>
    <row r="215" spans="1:13" s="1378" customFormat="1" ht="14.25">
      <c r="A215" s="1654">
        <v>206</v>
      </c>
      <c r="B215" s="1655" t="s">
        <v>1015</v>
      </c>
      <c r="C215" s="1656" t="s">
        <v>2048</v>
      </c>
      <c r="D215" s="1656" t="s">
        <v>669</v>
      </c>
      <c r="E215" s="1656" t="s">
        <v>4926</v>
      </c>
      <c r="F215" s="1654" t="s">
        <v>5122</v>
      </c>
      <c r="G215" s="1654">
        <v>90</v>
      </c>
      <c r="H215" s="1654" t="s">
        <v>1826</v>
      </c>
      <c r="I215" s="1654" t="s">
        <v>1012</v>
      </c>
      <c r="J215" s="1666">
        <v>-80.8</v>
      </c>
      <c r="K215" s="1666">
        <v>-109.5</v>
      </c>
      <c r="L215" s="1656" t="s">
        <v>5020</v>
      </c>
      <c r="M215" s="1658">
        <v>44342</v>
      </c>
    </row>
    <row r="216" spans="1:13" s="1378" customFormat="1" ht="14.25">
      <c r="A216" s="1654">
        <v>207</v>
      </c>
      <c r="B216" s="1655" t="s">
        <v>1015</v>
      </c>
      <c r="C216" s="1656" t="s">
        <v>2048</v>
      </c>
      <c r="D216" s="1656" t="s">
        <v>669</v>
      </c>
      <c r="E216" s="1656" t="s">
        <v>4926</v>
      </c>
      <c r="F216" s="1654" t="s">
        <v>5122</v>
      </c>
      <c r="G216" s="1654">
        <v>90</v>
      </c>
      <c r="H216" s="1654" t="s">
        <v>1826</v>
      </c>
      <c r="I216" s="1654" t="s">
        <v>1022</v>
      </c>
      <c r="J216" s="1666">
        <v>-80.8</v>
      </c>
      <c r="K216" s="1666">
        <v>-109.5</v>
      </c>
      <c r="L216" s="1656" t="s">
        <v>5020</v>
      </c>
      <c r="M216" s="1658">
        <v>44342</v>
      </c>
    </row>
    <row r="217" spans="1:13" s="1378" customFormat="1" ht="14.25">
      <c r="A217" s="1654">
        <v>208</v>
      </c>
      <c r="B217" s="1655" t="s">
        <v>1015</v>
      </c>
      <c r="C217" s="1656" t="s">
        <v>2048</v>
      </c>
      <c r="D217" s="1656" t="s">
        <v>669</v>
      </c>
      <c r="E217" s="1656" t="s">
        <v>4926</v>
      </c>
      <c r="F217" s="1654" t="s">
        <v>5122</v>
      </c>
      <c r="G217" s="1654">
        <v>90</v>
      </c>
      <c r="H217" s="1654" t="s">
        <v>1826</v>
      </c>
      <c r="I217" s="1654" t="s">
        <v>1027</v>
      </c>
      <c r="J217" s="1666">
        <v>-80.8</v>
      </c>
      <c r="K217" s="1666">
        <v>-109.5</v>
      </c>
      <c r="L217" s="1656" t="s">
        <v>5020</v>
      </c>
      <c r="M217" s="1658">
        <v>44342</v>
      </c>
    </row>
    <row r="218" spans="1:13" s="1378" customFormat="1" ht="14.25">
      <c r="A218" s="1654">
        <v>209</v>
      </c>
      <c r="B218" s="1655" t="s">
        <v>1015</v>
      </c>
      <c r="C218" s="1656" t="s">
        <v>2048</v>
      </c>
      <c r="D218" s="1656" t="s">
        <v>669</v>
      </c>
      <c r="E218" s="1656" t="s">
        <v>4926</v>
      </c>
      <c r="F218" s="1654" t="s">
        <v>5122</v>
      </c>
      <c r="G218" s="1654">
        <v>90</v>
      </c>
      <c r="H218" s="1654" t="s">
        <v>1826</v>
      </c>
      <c r="I218" s="1654" t="s">
        <v>88</v>
      </c>
      <c r="J218" s="1666">
        <v>-80.8</v>
      </c>
      <c r="K218" s="1666">
        <v>-109.5</v>
      </c>
      <c r="L218" s="1656" t="s">
        <v>5020</v>
      </c>
      <c r="M218" s="1658">
        <v>44342</v>
      </c>
    </row>
    <row r="219" spans="1:13" s="1378" customFormat="1" ht="14.25">
      <c r="A219" s="1654">
        <v>210</v>
      </c>
      <c r="B219" s="1655" t="s">
        <v>1015</v>
      </c>
      <c r="C219" s="1656" t="s">
        <v>2048</v>
      </c>
      <c r="D219" s="1656" t="s">
        <v>669</v>
      </c>
      <c r="E219" s="1656" t="s">
        <v>4926</v>
      </c>
      <c r="F219" s="1654" t="s">
        <v>5122</v>
      </c>
      <c r="G219" s="1654">
        <v>90</v>
      </c>
      <c r="H219" s="1654" t="s">
        <v>1826</v>
      </c>
      <c r="I219" s="1654" t="s">
        <v>1034</v>
      </c>
      <c r="J219" s="1666">
        <v>-80.8</v>
      </c>
      <c r="K219" s="1666">
        <v>-109.5</v>
      </c>
      <c r="L219" s="1656" t="s">
        <v>5020</v>
      </c>
      <c r="M219" s="1658">
        <v>44342</v>
      </c>
    </row>
    <row r="220" spans="1:13" s="1378" customFormat="1" ht="28.5">
      <c r="A220" s="1660">
        <v>211</v>
      </c>
      <c r="B220" s="1661" t="s">
        <v>1068</v>
      </c>
      <c r="C220" s="1662" t="s">
        <v>2782</v>
      </c>
      <c r="D220" s="1662" t="s">
        <v>535</v>
      </c>
      <c r="E220" s="1662" t="s">
        <v>860</v>
      </c>
      <c r="F220" s="1660" t="s">
        <v>5122</v>
      </c>
      <c r="G220" s="1660">
        <v>59</v>
      </c>
      <c r="H220" s="1660" t="s">
        <v>4938</v>
      </c>
      <c r="I220" s="1660" t="s">
        <v>1012</v>
      </c>
      <c r="J220" s="1660">
        <v>0.8</v>
      </c>
      <c r="K220" s="1674">
        <v>0.84</v>
      </c>
      <c r="L220" s="1662" t="s">
        <v>5035</v>
      </c>
      <c r="M220" s="1664">
        <v>44342</v>
      </c>
    </row>
    <row r="221" spans="1:13" s="1378" customFormat="1" ht="28.5">
      <c r="A221" s="1660">
        <v>212</v>
      </c>
      <c r="B221" s="1661" t="s">
        <v>1068</v>
      </c>
      <c r="C221" s="1662" t="s">
        <v>2782</v>
      </c>
      <c r="D221" s="1662" t="s">
        <v>535</v>
      </c>
      <c r="E221" s="1662" t="s">
        <v>860</v>
      </c>
      <c r="F221" s="1660" t="s">
        <v>5122</v>
      </c>
      <c r="G221" s="1660">
        <v>59</v>
      </c>
      <c r="H221" s="1660" t="s">
        <v>4938</v>
      </c>
      <c r="I221" s="1660" t="s">
        <v>1022</v>
      </c>
      <c r="J221" s="1660">
        <v>0.8</v>
      </c>
      <c r="K221" s="1674">
        <v>0.84</v>
      </c>
      <c r="L221" s="1662" t="s">
        <v>5035</v>
      </c>
      <c r="M221" s="1664">
        <v>44342</v>
      </c>
    </row>
    <row r="222" spans="1:13" s="1378" customFormat="1" ht="28.5">
      <c r="A222" s="1660">
        <v>213</v>
      </c>
      <c r="B222" s="1661" t="s">
        <v>1068</v>
      </c>
      <c r="C222" s="1662" t="s">
        <v>2782</v>
      </c>
      <c r="D222" s="1662" t="s">
        <v>535</v>
      </c>
      <c r="E222" s="1662" t="s">
        <v>860</v>
      </c>
      <c r="F222" s="1660" t="s">
        <v>5122</v>
      </c>
      <c r="G222" s="1660">
        <v>59</v>
      </c>
      <c r="H222" s="1660" t="s">
        <v>4938</v>
      </c>
      <c r="I222" s="1660" t="s">
        <v>1027</v>
      </c>
      <c r="J222" s="1660">
        <v>0.8</v>
      </c>
      <c r="K222" s="1674">
        <v>0.76</v>
      </c>
      <c r="L222" s="1662" t="s">
        <v>5035</v>
      </c>
      <c r="M222" s="1664">
        <v>44342</v>
      </c>
    </row>
    <row r="223" spans="1:13" s="1378" customFormat="1" ht="28.5">
      <c r="A223" s="1660">
        <v>214</v>
      </c>
      <c r="B223" s="1661" t="s">
        <v>1068</v>
      </c>
      <c r="C223" s="1662" t="s">
        <v>2782</v>
      </c>
      <c r="D223" s="1662" t="s">
        <v>535</v>
      </c>
      <c r="E223" s="1662" t="s">
        <v>860</v>
      </c>
      <c r="F223" s="1660" t="s">
        <v>5122</v>
      </c>
      <c r="G223" s="1660">
        <v>59</v>
      </c>
      <c r="H223" s="1660" t="s">
        <v>4938</v>
      </c>
      <c r="I223" s="1660" t="s">
        <v>88</v>
      </c>
      <c r="J223" s="1660">
        <v>0.7</v>
      </c>
      <c r="K223" s="1674">
        <v>0.68</v>
      </c>
      <c r="L223" s="1662" t="s">
        <v>5035</v>
      </c>
      <c r="M223" s="1664">
        <v>44342</v>
      </c>
    </row>
    <row r="224" spans="1:13" s="1378" customFormat="1" ht="28.5">
      <c r="A224" s="1660">
        <v>215</v>
      </c>
      <c r="B224" s="1661" t="s">
        <v>1068</v>
      </c>
      <c r="C224" s="1662" t="s">
        <v>2782</v>
      </c>
      <c r="D224" s="1662" t="s">
        <v>535</v>
      </c>
      <c r="E224" s="1662" t="s">
        <v>860</v>
      </c>
      <c r="F224" s="1660" t="s">
        <v>5122</v>
      </c>
      <c r="G224" s="1660">
        <v>59</v>
      </c>
      <c r="H224" s="1660" t="s">
        <v>4938</v>
      </c>
      <c r="I224" s="1660" t="s">
        <v>1034</v>
      </c>
      <c r="J224" s="1660">
        <v>0.3</v>
      </c>
      <c r="K224" s="1674">
        <v>0.32</v>
      </c>
      <c r="L224" s="1662" t="s">
        <v>5035</v>
      </c>
      <c r="M224" s="1664">
        <v>44342</v>
      </c>
    </row>
    <row r="225" spans="1:13" s="1378" customFormat="1" ht="14.25">
      <c r="A225" s="1660">
        <v>216</v>
      </c>
      <c r="B225" s="1661" t="s">
        <v>1054</v>
      </c>
      <c r="C225" s="1662" t="s">
        <v>4452</v>
      </c>
      <c r="D225" s="1662" t="s">
        <v>1902</v>
      </c>
      <c r="E225" s="1662" t="s">
        <v>860</v>
      </c>
      <c r="F225" s="1660" t="s">
        <v>5122</v>
      </c>
      <c r="G225" s="1660">
        <v>90</v>
      </c>
      <c r="H225" s="1660" t="s">
        <v>1826</v>
      </c>
      <c r="I225" s="1660" t="s">
        <v>1012</v>
      </c>
      <c r="J225" s="1663" t="s">
        <v>4929</v>
      </c>
      <c r="K225" s="1663">
        <v>-12.7</v>
      </c>
      <c r="L225" s="1662" t="s">
        <v>5135</v>
      </c>
      <c r="M225" s="1664">
        <v>44343</v>
      </c>
    </row>
    <row r="226" spans="1:13" s="1378" customFormat="1" ht="14.25">
      <c r="A226" s="1660">
        <v>217</v>
      </c>
      <c r="B226" s="1661" t="s">
        <v>1054</v>
      </c>
      <c r="C226" s="1662" t="s">
        <v>4456</v>
      </c>
      <c r="D226" s="1662" t="s">
        <v>1902</v>
      </c>
      <c r="E226" s="1662" t="s">
        <v>860</v>
      </c>
      <c r="F226" s="1660" t="s">
        <v>5122</v>
      </c>
      <c r="G226" s="1660">
        <v>90</v>
      </c>
      <c r="H226" s="1660" t="s">
        <v>1826</v>
      </c>
      <c r="I226" s="1660" t="s">
        <v>1022</v>
      </c>
      <c r="J226" s="1663" t="s">
        <v>4929</v>
      </c>
      <c r="K226" s="1663">
        <v>-12.7</v>
      </c>
      <c r="L226" s="1662" t="s">
        <v>5135</v>
      </c>
      <c r="M226" s="1664">
        <v>44342</v>
      </c>
    </row>
    <row r="227" spans="1:13" s="1378" customFormat="1" ht="14.25">
      <c r="A227" s="1660">
        <v>218</v>
      </c>
      <c r="B227" s="1661" t="s">
        <v>1054</v>
      </c>
      <c r="C227" s="1662" t="s">
        <v>4461</v>
      </c>
      <c r="D227" s="1662" t="s">
        <v>1902</v>
      </c>
      <c r="E227" s="1662" t="s">
        <v>860</v>
      </c>
      <c r="F227" s="1660" t="s">
        <v>5122</v>
      </c>
      <c r="G227" s="1660">
        <v>90</v>
      </c>
      <c r="H227" s="1660" t="s">
        <v>1826</v>
      </c>
      <c r="I227" s="1660" t="s">
        <v>1027</v>
      </c>
      <c r="J227" s="1663" t="s">
        <v>4929</v>
      </c>
      <c r="K227" s="1663">
        <v>-12.7</v>
      </c>
      <c r="L227" s="1662" t="s">
        <v>5135</v>
      </c>
      <c r="M227" s="1664">
        <v>44342</v>
      </c>
    </row>
    <row r="228" spans="1:13" s="1378" customFormat="1" ht="14.25">
      <c r="A228" s="1660">
        <v>219</v>
      </c>
      <c r="B228" s="1661" t="s">
        <v>1054</v>
      </c>
      <c r="C228" s="1662" t="s">
        <v>5136</v>
      </c>
      <c r="D228" s="1662" t="s">
        <v>1902</v>
      </c>
      <c r="E228" s="1662" t="s">
        <v>860</v>
      </c>
      <c r="F228" s="1660" t="s">
        <v>5122</v>
      </c>
      <c r="G228" s="1660">
        <v>90</v>
      </c>
      <c r="H228" s="1660" t="s">
        <v>1826</v>
      </c>
      <c r="I228" s="1660" t="s">
        <v>88</v>
      </c>
      <c r="J228" s="1663" t="s">
        <v>4929</v>
      </c>
      <c r="K228" s="1663">
        <v>-12.7</v>
      </c>
      <c r="L228" s="1662" t="s">
        <v>5135</v>
      </c>
      <c r="M228" s="1664">
        <v>44342</v>
      </c>
    </row>
    <row r="229" spans="1:13" s="1378" customFormat="1" ht="14.25">
      <c r="A229" s="1660">
        <v>220</v>
      </c>
      <c r="B229" s="1661" t="s">
        <v>1054</v>
      </c>
      <c r="C229" s="1662" t="s">
        <v>5137</v>
      </c>
      <c r="D229" s="1662" t="s">
        <v>1902</v>
      </c>
      <c r="E229" s="1662" t="s">
        <v>860</v>
      </c>
      <c r="F229" s="1660" t="s">
        <v>5122</v>
      </c>
      <c r="G229" s="1660">
        <v>90</v>
      </c>
      <c r="H229" s="1660" t="s">
        <v>1826</v>
      </c>
      <c r="I229" s="1660" t="s">
        <v>1034</v>
      </c>
      <c r="J229" s="1663" t="s">
        <v>4929</v>
      </c>
      <c r="K229" s="1663">
        <v>-12.7</v>
      </c>
      <c r="L229" s="1662" t="s">
        <v>5135</v>
      </c>
      <c r="M229" s="1664">
        <v>44342</v>
      </c>
    </row>
    <row r="230" spans="1:13" s="1378" customFormat="1" ht="14.25">
      <c r="A230" s="1660">
        <v>221</v>
      </c>
      <c r="B230" s="1661" t="s">
        <v>1024</v>
      </c>
      <c r="C230" s="1662" t="s">
        <v>4232</v>
      </c>
      <c r="D230" s="1662" t="s">
        <v>669</v>
      </c>
      <c r="E230" s="1662" t="s">
        <v>860</v>
      </c>
      <c r="F230" s="1660" t="s">
        <v>5122</v>
      </c>
      <c r="G230" s="1660">
        <v>105</v>
      </c>
      <c r="H230" s="1660" t="s">
        <v>1829</v>
      </c>
      <c r="I230" s="1660" t="s">
        <v>1012</v>
      </c>
      <c r="J230" s="1663">
        <v>4</v>
      </c>
      <c r="K230" s="1663">
        <v>11.5</v>
      </c>
      <c r="L230" s="1662" t="s">
        <v>5138</v>
      </c>
      <c r="M230" s="1664">
        <v>44344</v>
      </c>
    </row>
    <row r="231" spans="1:13" s="1378" customFormat="1" ht="14.25">
      <c r="A231" s="1660">
        <v>222</v>
      </c>
      <c r="B231" s="1661" t="s">
        <v>1024</v>
      </c>
      <c r="C231" s="1662" t="s">
        <v>4236</v>
      </c>
      <c r="D231" s="1662" t="s">
        <v>669</v>
      </c>
      <c r="E231" s="1662" t="s">
        <v>860</v>
      </c>
      <c r="F231" s="1660" t="s">
        <v>5122</v>
      </c>
      <c r="G231" s="1660">
        <v>105</v>
      </c>
      <c r="H231" s="1660" t="s">
        <v>1829</v>
      </c>
      <c r="I231" s="1660" t="s">
        <v>1022</v>
      </c>
      <c r="J231" s="1663">
        <v>6.4</v>
      </c>
      <c r="K231" s="1663">
        <v>13.7</v>
      </c>
      <c r="L231" s="1662" t="s">
        <v>5138</v>
      </c>
      <c r="M231" s="1664">
        <v>44344</v>
      </c>
    </row>
    <row r="232" spans="1:13" s="1378" customFormat="1" ht="14.25">
      <c r="A232" s="1660">
        <v>223</v>
      </c>
      <c r="B232" s="1661" t="s">
        <v>1024</v>
      </c>
      <c r="C232" s="1662" t="s">
        <v>4239</v>
      </c>
      <c r="D232" s="1662" t="s">
        <v>669</v>
      </c>
      <c r="E232" s="1662" t="s">
        <v>860</v>
      </c>
      <c r="F232" s="1660" t="s">
        <v>5122</v>
      </c>
      <c r="G232" s="1660">
        <v>105</v>
      </c>
      <c r="H232" s="1660" t="s">
        <v>1829</v>
      </c>
      <c r="I232" s="1660" t="s">
        <v>1027</v>
      </c>
      <c r="J232" s="1663">
        <v>9.5</v>
      </c>
      <c r="K232" s="1663">
        <v>16.5</v>
      </c>
      <c r="L232" s="1662" t="s">
        <v>5138</v>
      </c>
      <c r="M232" s="1664">
        <v>44344</v>
      </c>
    </row>
    <row r="233" spans="1:13" s="1378" customFormat="1" ht="14.25">
      <c r="A233" s="1660">
        <v>224</v>
      </c>
      <c r="B233" s="1661" t="s">
        <v>1024</v>
      </c>
      <c r="C233" s="1662" t="s">
        <v>4244</v>
      </c>
      <c r="D233" s="1662" t="s">
        <v>669</v>
      </c>
      <c r="E233" s="1662" t="s">
        <v>860</v>
      </c>
      <c r="F233" s="1660" t="s">
        <v>5122</v>
      </c>
      <c r="G233" s="1660">
        <v>105</v>
      </c>
      <c r="H233" s="1660" t="s">
        <v>1829</v>
      </c>
      <c r="I233" s="1660" t="s">
        <v>88</v>
      </c>
      <c r="J233" s="1663">
        <v>12.5</v>
      </c>
      <c r="K233" s="1663">
        <v>19.3</v>
      </c>
      <c r="L233" s="1662" t="s">
        <v>5138</v>
      </c>
      <c r="M233" s="1664">
        <v>44344</v>
      </c>
    </row>
    <row r="234" spans="1:13" s="1378" customFormat="1" ht="14.25">
      <c r="A234" s="1660">
        <v>225</v>
      </c>
      <c r="B234" s="1661" t="s">
        <v>1024</v>
      </c>
      <c r="C234" s="1662" t="s">
        <v>4248</v>
      </c>
      <c r="D234" s="1662" t="s">
        <v>669</v>
      </c>
      <c r="E234" s="1662" t="s">
        <v>860</v>
      </c>
      <c r="F234" s="1660" t="s">
        <v>5122</v>
      </c>
      <c r="G234" s="1660">
        <v>105</v>
      </c>
      <c r="H234" s="1660" t="s">
        <v>1829</v>
      </c>
      <c r="I234" s="1660" t="s">
        <v>1034</v>
      </c>
      <c r="J234" s="1663">
        <v>15.5</v>
      </c>
      <c r="K234" s="1663">
        <v>22.1</v>
      </c>
      <c r="L234" s="1662" t="s">
        <v>5138</v>
      </c>
      <c r="M234" s="1664">
        <v>44344</v>
      </c>
    </row>
    <row r="235" spans="1:13" s="1378" customFormat="1" ht="14.25">
      <c r="A235" s="1660">
        <v>226</v>
      </c>
      <c r="B235" s="1661" t="s">
        <v>1054</v>
      </c>
      <c r="C235" s="1662" t="s">
        <v>4536</v>
      </c>
      <c r="D235" s="1662" t="s">
        <v>736</v>
      </c>
      <c r="E235" s="1662" t="s">
        <v>860</v>
      </c>
      <c r="F235" s="1660" t="s">
        <v>5122</v>
      </c>
      <c r="G235" s="1660">
        <v>118</v>
      </c>
      <c r="H235" s="1660" t="s">
        <v>1879</v>
      </c>
      <c r="I235" s="1660" t="s">
        <v>4000</v>
      </c>
      <c r="J235" s="1663">
        <v>-0.85699999999999998</v>
      </c>
      <c r="K235" s="1663">
        <v>-0.85399999999999998</v>
      </c>
      <c r="L235" s="1662" t="s">
        <v>5139</v>
      </c>
      <c r="M235" s="1664">
        <v>44344</v>
      </c>
    </row>
    <row r="236" spans="1:13" s="1378" customFormat="1" ht="14.25">
      <c r="A236" s="1660">
        <v>227</v>
      </c>
      <c r="B236" s="1675" t="s">
        <v>1054</v>
      </c>
      <c r="C236" s="1676" t="s">
        <v>4536</v>
      </c>
      <c r="D236" s="1676" t="s">
        <v>736</v>
      </c>
      <c r="E236" s="1676" t="s">
        <v>860</v>
      </c>
      <c r="F236" s="1677" t="s">
        <v>5122</v>
      </c>
      <c r="G236" s="1677">
        <v>122</v>
      </c>
      <c r="H236" s="1677" t="s">
        <v>1883</v>
      </c>
      <c r="I236" s="1677" t="s">
        <v>4000</v>
      </c>
      <c r="J236" s="1678">
        <v>0.85699999999999998</v>
      </c>
      <c r="K236" s="1678">
        <v>0.85399999999999998</v>
      </c>
      <c r="L236" s="1676" t="s">
        <v>5139</v>
      </c>
      <c r="M236" s="1679">
        <v>44344</v>
      </c>
    </row>
    <row r="237" spans="1:13" s="1378" customFormat="1" ht="14.25">
      <c r="A237" s="1680">
        <v>228</v>
      </c>
      <c r="B237" s="1681" t="s">
        <v>1024</v>
      </c>
      <c r="C237" s="1681" t="s">
        <v>4194</v>
      </c>
      <c r="D237" s="1681" t="s">
        <v>137</v>
      </c>
      <c r="E237" s="1681" t="s">
        <v>860</v>
      </c>
      <c r="F237" s="1682" t="s">
        <v>5122</v>
      </c>
      <c r="G237" s="1682">
        <v>95</v>
      </c>
      <c r="H237" s="1681" t="s">
        <v>1827</v>
      </c>
      <c r="I237" s="1682" t="s">
        <v>1012</v>
      </c>
      <c r="J237" s="1683">
        <v>0</v>
      </c>
      <c r="K237" s="1681"/>
      <c r="L237" s="1684" t="s">
        <v>5140</v>
      </c>
      <c r="M237" s="1685">
        <v>44356</v>
      </c>
    </row>
    <row r="238" spans="1:13" s="1378" customFormat="1" ht="14.25">
      <c r="A238" s="1680">
        <v>229</v>
      </c>
      <c r="B238" s="1681" t="s">
        <v>1024</v>
      </c>
      <c r="C238" s="1681" t="s">
        <v>4194</v>
      </c>
      <c r="D238" s="1681" t="s">
        <v>137</v>
      </c>
      <c r="E238" s="1681" t="s">
        <v>860</v>
      </c>
      <c r="F238" s="1682" t="s">
        <v>5122</v>
      </c>
      <c r="G238" s="1682">
        <v>95</v>
      </c>
      <c r="H238" s="1681" t="s">
        <v>1827</v>
      </c>
      <c r="I238" s="1682" t="s">
        <v>1022</v>
      </c>
      <c r="J238" s="1683">
        <v>0</v>
      </c>
      <c r="K238" s="1681"/>
      <c r="L238" s="1684" t="s">
        <v>5140</v>
      </c>
      <c r="M238" s="1685">
        <v>44356</v>
      </c>
    </row>
    <row r="239" spans="1:13" s="1378" customFormat="1" ht="14.25">
      <c r="A239" s="1680">
        <v>230</v>
      </c>
      <c r="B239" s="1681" t="s">
        <v>1024</v>
      </c>
      <c r="C239" s="1681" t="s">
        <v>4194</v>
      </c>
      <c r="D239" s="1681" t="s">
        <v>137</v>
      </c>
      <c r="E239" s="1681" t="s">
        <v>860</v>
      </c>
      <c r="F239" s="1682" t="s">
        <v>5122</v>
      </c>
      <c r="G239" s="1682">
        <v>95</v>
      </c>
      <c r="H239" s="1681" t="s">
        <v>1827</v>
      </c>
      <c r="I239" s="1682" t="s">
        <v>1027</v>
      </c>
      <c r="J239" s="1683">
        <v>0</v>
      </c>
      <c r="K239" s="1681"/>
      <c r="L239" s="1684" t="s">
        <v>5140</v>
      </c>
      <c r="M239" s="1685">
        <v>44356</v>
      </c>
    </row>
    <row r="240" spans="1:13" s="1378" customFormat="1" ht="14.25">
      <c r="A240" s="1680">
        <v>231</v>
      </c>
      <c r="B240" s="1681" t="s">
        <v>1024</v>
      </c>
      <c r="C240" s="1681" t="s">
        <v>4194</v>
      </c>
      <c r="D240" s="1681" t="s">
        <v>137</v>
      </c>
      <c r="E240" s="1681" t="s">
        <v>860</v>
      </c>
      <c r="F240" s="1682" t="s">
        <v>5122</v>
      </c>
      <c r="G240" s="1682">
        <v>95</v>
      </c>
      <c r="H240" s="1681" t="s">
        <v>1827</v>
      </c>
      <c r="I240" s="1682" t="s">
        <v>88</v>
      </c>
      <c r="J240" s="1683">
        <v>0</v>
      </c>
      <c r="K240" s="1681"/>
      <c r="L240" s="1684" t="s">
        <v>5140</v>
      </c>
      <c r="M240" s="1685">
        <v>44356</v>
      </c>
    </row>
    <row r="241" spans="1:13" s="1378" customFormat="1" ht="14.25">
      <c r="A241" s="1680">
        <v>232</v>
      </c>
      <c r="B241" s="1681" t="s">
        <v>1024</v>
      </c>
      <c r="C241" s="1681" t="s">
        <v>4194</v>
      </c>
      <c r="D241" s="1681" t="s">
        <v>137</v>
      </c>
      <c r="E241" s="1681" t="s">
        <v>860</v>
      </c>
      <c r="F241" s="1682" t="s">
        <v>5122</v>
      </c>
      <c r="G241" s="1682">
        <v>95</v>
      </c>
      <c r="H241" s="1681" t="s">
        <v>1827</v>
      </c>
      <c r="I241" s="1682" t="s">
        <v>1034</v>
      </c>
      <c r="J241" s="1683">
        <v>0</v>
      </c>
      <c r="K241" s="1681"/>
      <c r="L241" s="1684" t="s">
        <v>5140</v>
      </c>
      <c r="M241" s="1685">
        <v>44356</v>
      </c>
    </row>
    <row r="242" spans="1:13" s="1378" customFormat="1" ht="14.25">
      <c r="A242" s="1680">
        <v>233</v>
      </c>
      <c r="B242" s="1681" t="s">
        <v>1024</v>
      </c>
      <c r="C242" s="1681" t="s">
        <v>4194</v>
      </c>
      <c r="D242" s="1681" t="s">
        <v>137</v>
      </c>
      <c r="E242" s="1681" t="s">
        <v>860</v>
      </c>
      <c r="F242" s="1682" t="s">
        <v>5122</v>
      </c>
      <c r="G242" s="1682">
        <v>100</v>
      </c>
      <c r="H242" s="1681" t="s">
        <v>1828</v>
      </c>
      <c r="I242" s="1682" t="s">
        <v>1012</v>
      </c>
      <c r="J242" s="1683">
        <v>0</v>
      </c>
      <c r="K242" s="1681"/>
      <c r="L242" s="1684" t="s">
        <v>5140</v>
      </c>
      <c r="M242" s="1685">
        <v>44356</v>
      </c>
    </row>
    <row r="243" spans="1:13" s="1378" customFormat="1" ht="14.25">
      <c r="A243" s="1680">
        <v>234</v>
      </c>
      <c r="B243" s="1681" t="s">
        <v>1024</v>
      </c>
      <c r="C243" s="1681" t="s">
        <v>4194</v>
      </c>
      <c r="D243" s="1681" t="s">
        <v>137</v>
      </c>
      <c r="E243" s="1681" t="s">
        <v>860</v>
      </c>
      <c r="F243" s="1682" t="s">
        <v>5122</v>
      </c>
      <c r="G243" s="1682">
        <v>100</v>
      </c>
      <c r="H243" s="1681" t="s">
        <v>1828</v>
      </c>
      <c r="I243" s="1682" t="s">
        <v>1022</v>
      </c>
      <c r="J243" s="1683">
        <v>0</v>
      </c>
      <c r="K243" s="1681"/>
      <c r="L243" s="1684" t="s">
        <v>5140</v>
      </c>
      <c r="M243" s="1685">
        <v>44356</v>
      </c>
    </row>
    <row r="244" spans="1:13" s="1378" customFormat="1" ht="14.25">
      <c r="A244" s="1680">
        <v>235</v>
      </c>
      <c r="B244" s="1681" t="s">
        <v>1024</v>
      </c>
      <c r="C244" s="1681" t="s">
        <v>4194</v>
      </c>
      <c r="D244" s="1681" t="s">
        <v>137</v>
      </c>
      <c r="E244" s="1681" t="s">
        <v>860</v>
      </c>
      <c r="F244" s="1682" t="s">
        <v>5122</v>
      </c>
      <c r="G244" s="1682">
        <v>100</v>
      </c>
      <c r="H244" s="1681" t="s">
        <v>1828</v>
      </c>
      <c r="I244" s="1682" t="s">
        <v>1027</v>
      </c>
      <c r="J244" s="1683">
        <v>0</v>
      </c>
      <c r="K244" s="1681"/>
      <c r="L244" s="1684" t="s">
        <v>5140</v>
      </c>
      <c r="M244" s="1685">
        <v>44356</v>
      </c>
    </row>
    <row r="245" spans="1:13" s="1378" customFormat="1" ht="14.25">
      <c r="A245" s="1680">
        <v>236</v>
      </c>
      <c r="B245" s="1681" t="s">
        <v>1024</v>
      </c>
      <c r="C245" s="1681" t="s">
        <v>4194</v>
      </c>
      <c r="D245" s="1681" t="s">
        <v>137</v>
      </c>
      <c r="E245" s="1681" t="s">
        <v>860</v>
      </c>
      <c r="F245" s="1682" t="s">
        <v>5122</v>
      </c>
      <c r="G245" s="1682">
        <v>100</v>
      </c>
      <c r="H245" s="1681" t="s">
        <v>1828</v>
      </c>
      <c r="I245" s="1682" t="s">
        <v>88</v>
      </c>
      <c r="J245" s="1683">
        <v>0</v>
      </c>
      <c r="K245" s="1681"/>
      <c r="L245" s="1684" t="s">
        <v>5140</v>
      </c>
      <c r="M245" s="1685">
        <v>44356</v>
      </c>
    </row>
    <row r="246" spans="1:13" s="1378" customFormat="1" ht="14.25">
      <c r="A246" s="1680">
        <v>237</v>
      </c>
      <c r="B246" s="1681" t="s">
        <v>1024</v>
      </c>
      <c r="C246" s="1681" t="s">
        <v>4194</v>
      </c>
      <c r="D246" s="1681" t="s">
        <v>137</v>
      </c>
      <c r="E246" s="1681" t="s">
        <v>860</v>
      </c>
      <c r="F246" s="1682" t="s">
        <v>5122</v>
      </c>
      <c r="G246" s="1682">
        <v>100</v>
      </c>
      <c r="H246" s="1681" t="s">
        <v>1828</v>
      </c>
      <c r="I246" s="1682" t="s">
        <v>1034</v>
      </c>
      <c r="J246" s="1683">
        <v>0</v>
      </c>
      <c r="K246" s="1681"/>
      <c r="L246" s="1684" t="s">
        <v>5140</v>
      </c>
      <c r="M246" s="1685">
        <v>44356</v>
      </c>
    </row>
    <row r="247" spans="1:13" s="1378" customFormat="1" ht="14.25">
      <c r="A247" s="1680">
        <v>238</v>
      </c>
      <c r="B247" s="1681" t="s">
        <v>1068</v>
      </c>
      <c r="C247" s="1681" t="s">
        <v>2719</v>
      </c>
      <c r="D247" s="1681" t="s">
        <v>137</v>
      </c>
      <c r="E247" s="1681" t="s">
        <v>860</v>
      </c>
      <c r="F247" s="1682" t="s">
        <v>5122</v>
      </c>
      <c r="G247" s="1682">
        <v>105</v>
      </c>
      <c r="H247" s="1681" t="s">
        <v>1829</v>
      </c>
      <c r="I247" s="1682" t="s">
        <v>1012</v>
      </c>
      <c r="J247" s="1683">
        <v>3.4722222222222225E-3</v>
      </c>
      <c r="K247" s="1683">
        <v>1.9328703703703704E-3</v>
      </c>
      <c r="L247" s="1681" t="s">
        <v>5043</v>
      </c>
      <c r="M247" s="1685">
        <v>44356</v>
      </c>
    </row>
    <row r="248" spans="1:13" s="1378" customFormat="1" ht="14.25">
      <c r="A248" s="1680">
        <v>239</v>
      </c>
      <c r="B248" s="1681" t="s">
        <v>1068</v>
      </c>
      <c r="C248" s="1681" t="s">
        <v>2719</v>
      </c>
      <c r="D248" s="1681" t="s">
        <v>137</v>
      </c>
      <c r="E248" s="1681" t="s">
        <v>860</v>
      </c>
      <c r="F248" s="1682" t="s">
        <v>5122</v>
      </c>
      <c r="G248" s="1682">
        <v>105</v>
      </c>
      <c r="H248" s="1681" t="s">
        <v>1829</v>
      </c>
      <c r="I248" s="1682" t="s">
        <v>1022</v>
      </c>
      <c r="J248" s="1683">
        <v>3.2175925925925931E-3</v>
      </c>
      <c r="K248" s="1683">
        <v>1.712962962962963E-3</v>
      </c>
      <c r="L248" s="1681" t="s">
        <v>5043</v>
      </c>
      <c r="M248" s="1685">
        <v>44356</v>
      </c>
    </row>
    <row r="249" spans="1:13" s="1378" customFormat="1" ht="14.25">
      <c r="A249" s="1680">
        <v>240</v>
      </c>
      <c r="B249" s="1681" t="s">
        <v>1068</v>
      </c>
      <c r="C249" s="1681" t="s">
        <v>2719</v>
      </c>
      <c r="D249" s="1681" t="s">
        <v>137</v>
      </c>
      <c r="E249" s="1681" t="s">
        <v>860</v>
      </c>
      <c r="F249" s="1682" t="s">
        <v>5122</v>
      </c>
      <c r="G249" s="1682">
        <v>105</v>
      </c>
      <c r="H249" s="1681" t="s">
        <v>1829</v>
      </c>
      <c r="I249" s="1682" t="s">
        <v>1027</v>
      </c>
      <c r="J249" s="1683">
        <v>2.9513888888888897E-3</v>
      </c>
      <c r="K249" s="1683">
        <v>1.5046296296296294E-3</v>
      </c>
      <c r="L249" s="1681" t="s">
        <v>5043</v>
      </c>
      <c r="M249" s="1685">
        <v>44356</v>
      </c>
    </row>
    <row r="250" spans="1:13" s="1378" customFormat="1" ht="14.25">
      <c r="A250" s="1680">
        <v>241</v>
      </c>
      <c r="B250" s="1681" t="s">
        <v>1068</v>
      </c>
      <c r="C250" s="1681" t="s">
        <v>2719</v>
      </c>
      <c r="D250" s="1681" t="s">
        <v>137</v>
      </c>
      <c r="E250" s="1681" t="s">
        <v>860</v>
      </c>
      <c r="F250" s="1682" t="s">
        <v>5122</v>
      </c>
      <c r="G250" s="1682">
        <v>105</v>
      </c>
      <c r="H250" s="1681" t="s">
        <v>1829</v>
      </c>
      <c r="I250" s="1682" t="s">
        <v>88</v>
      </c>
      <c r="J250" s="1683">
        <v>2.6967592592592594E-3</v>
      </c>
      <c r="K250" s="1683">
        <v>1.2962962962962963E-3</v>
      </c>
      <c r="L250" s="1681" t="s">
        <v>5043</v>
      </c>
      <c r="M250" s="1685">
        <v>44356</v>
      </c>
    </row>
    <row r="251" spans="1:13" s="1378" customFormat="1" ht="14.25">
      <c r="A251" s="1680">
        <v>242</v>
      </c>
      <c r="B251" s="1681" t="s">
        <v>1068</v>
      </c>
      <c r="C251" s="1681" t="s">
        <v>2719</v>
      </c>
      <c r="D251" s="1681" t="s">
        <v>137</v>
      </c>
      <c r="E251" s="1681" t="s">
        <v>860</v>
      </c>
      <c r="F251" s="1682" t="s">
        <v>5122</v>
      </c>
      <c r="G251" s="1682">
        <v>105</v>
      </c>
      <c r="H251" s="1681" t="s">
        <v>1829</v>
      </c>
      <c r="I251" s="1682" t="s">
        <v>1034</v>
      </c>
      <c r="J251" s="1683">
        <v>2.4305555555555556E-3</v>
      </c>
      <c r="K251" s="1683">
        <v>1.0416666666666667E-3</v>
      </c>
      <c r="L251" s="1681" t="s">
        <v>5043</v>
      </c>
      <c r="M251" s="1685">
        <v>44356</v>
      </c>
    </row>
    <row r="252" spans="1:13" s="1378" customFormat="1" ht="14.25">
      <c r="A252" s="1680">
        <v>243</v>
      </c>
      <c r="B252" s="1686" t="s">
        <v>1015</v>
      </c>
      <c r="C252" s="1687" t="s">
        <v>2056</v>
      </c>
      <c r="D252" s="1687" t="s">
        <v>732</v>
      </c>
      <c r="E252" s="1681" t="s">
        <v>860</v>
      </c>
      <c r="F252" s="1682" t="s">
        <v>5122</v>
      </c>
      <c r="G252" s="1680">
        <v>105</v>
      </c>
      <c r="H252" s="1681" t="s">
        <v>1829</v>
      </c>
      <c r="I252" s="1682" t="s">
        <v>1012</v>
      </c>
      <c r="J252" s="1688">
        <v>1.62</v>
      </c>
      <c r="K252" s="1688">
        <v>1.35</v>
      </c>
      <c r="L252" s="1687" t="s">
        <v>5034</v>
      </c>
      <c r="M252" s="1685">
        <v>44356</v>
      </c>
    </row>
    <row r="253" spans="1:13" s="1378" customFormat="1" ht="14.25">
      <c r="A253" s="1680">
        <v>244</v>
      </c>
      <c r="B253" s="1686" t="s">
        <v>1015</v>
      </c>
      <c r="C253" s="1687" t="s">
        <v>2056</v>
      </c>
      <c r="D253" s="1687" t="s">
        <v>732</v>
      </c>
      <c r="E253" s="1681" t="s">
        <v>860</v>
      </c>
      <c r="F253" s="1682" t="s">
        <v>5122</v>
      </c>
      <c r="G253" s="1680">
        <v>105</v>
      </c>
      <c r="H253" s="1681" t="s">
        <v>1829</v>
      </c>
      <c r="I253" s="1682" t="s">
        <v>1022</v>
      </c>
      <c r="J253" s="1688">
        <v>1.52</v>
      </c>
      <c r="K253" s="1688">
        <v>1.3</v>
      </c>
      <c r="L253" s="1687" t="s">
        <v>5034</v>
      </c>
      <c r="M253" s="1685">
        <v>44356</v>
      </c>
    </row>
    <row r="254" spans="1:13" s="1378" customFormat="1" ht="14.25">
      <c r="A254" s="1680">
        <v>245</v>
      </c>
      <c r="B254" s="1686" t="s">
        <v>1015</v>
      </c>
      <c r="C254" s="1687" t="s">
        <v>2056</v>
      </c>
      <c r="D254" s="1687" t="s">
        <v>732</v>
      </c>
      <c r="E254" s="1681" t="s">
        <v>860</v>
      </c>
      <c r="F254" s="1682" t="s">
        <v>5122</v>
      </c>
      <c r="G254" s="1680">
        <v>105</v>
      </c>
      <c r="H254" s="1681" t="s">
        <v>1829</v>
      </c>
      <c r="I254" s="1682" t="s">
        <v>1027</v>
      </c>
      <c r="J254" s="1688">
        <v>1.43</v>
      </c>
      <c r="K254" s="1688">
        <v>1.25</v>
      </c>
      <c r="L254" s="1687" t="s">
        <v>5034</v>
      </c>
      <c r="M254" s="1685">
        <v>44356</v>
      </c>
    </row>
    <row r="255" spans="1:13" s="1378" customFormat="1" ht="14.25">
      <c r="A255" s="1680">
        <v>246</v>
      </c>
      <c r="B255" s="1686" t="s">
        <v>1015</v>
      </c>
      <c r="C255" s="1687" t="s">
        <v>2056</v>
      </c>
      <c r="D255" s="1687" t="s">
        <v>732</v>
      </c>
      <c r="E255" s="1681" t="s">
        <v>860</v>
      </c>
      <c r="F255" s="1682" t="s">
        <v>5122</v>
      </c>
      <c r="G255" s="1680">
        <v>105</v>
      </c>
      <c r="H255" s="1681" t="s">
        <v>1829</v>
      </c>
      <c r="I255" s="1682" t="s">
        <v>88</v>
      </c>
      <c r="J255" s="1688">
        <v>1.23</v>
      </c>
      <c r="K255" s="1688">
        <v>1.1100000000000001</v>
      </c>
      <c r="L255" s="1687" t="s">
        <v>5034</v>
      </c>
      <c r="M255" s="1685">
        <v>44356</v>
      </c>
    </row>
    <row r="256" spans="1:13" s="1378" customFormat="1" ht="14.25">
      <c r="A256" s="1680">
        <v>247</v>
      </c>
      <c r="B256" s="1686" t="s">
        <v>1015</v>
      </c>
      <c r="C256" s="1687" t="s">
        <v>2056</v>
      </c>
      <c r="D256" s="1687" t="s">
        <v>732</v>
      </c>
      <c r="E256" s="1681" t="s">
        <v>860</v>
      </c>
      <c r="F256" s="1682" t="s">
        <v>5122</v>
      </c>
      <c r="G256" s="1680">
        <v>105</v>
      </c>
      <c r="H256" s="1681" t="s">
        <v>1829</v>
      </c>
      <c r="I256" s="1682" t="s">
        <v>1034</v>
      </c>
      <c r="J256" s="1688">
        <v>1.07</v>
      </c>
      <c r="K256" s="1688">
        <v>1.01</v>
      </c>
      <c r="L256" s="1687" t="s">
        <v>5034</v>
      </c>
      <c r="M256" s="1685">
        <v>44356</v>
      </c>
    </row>
    <row r="257" spans="1:13" s="1378" customFormat="1" ht="14.25">
      <c r="A257" s="1680">
        <v>248</v>
      </c>
      <c r="B257" s="1686" t="s">
        <v>1015</v>
      </c>
      <c r="C257" s="1687" t="s">
        <v>2060</v>
      </c>
      <c r="D257" s="1687" t="s">
        <v>736</v>
      </c>
      <c r="E257" s="1681" t="s">
        <v>860</v>
      </c>
      <c r="F257" s="1682" t="s">
        <v>5122</v>
      </c>
      <c r="G257" s="1680">
        <v>105</v>
      </c>
      <c r="H257" s="1681" t="s">
        <v>1829</v>
      </c>
      <c r="I257" s="1682" t="s">
        <v>1012</v>
      </c>
      <c r="J257" s="1688">
        <v>17</v>
      </c>
      <c r="K257" s="1688">
        <v>9.51</v>
      </c>
      <c r="L257" s="1687" t="s">
        <v>5034</v>
      </c>
      <c r="M257" s="1685">
        <v>44356</v>
      </c>
    </row>
    <row r="258" spans="1:13" s="1378" customFormat="1" ht="14.25">
      <c r="A258" s="1680">
        <v>249</v>
      </c>
      <c r="B258" s="1686" t="s">
        <v>1015</v>
      </c>
      <c r="C258" s="1687" t="s">
        <v>2060</v>
      </c>
      <c r="D258" s="1687" t="s">
        <v>736</v>
      </c>
      <c r="E258" s="1681" t="s">
        <v>860</v>
      </c>
      <c r="F258" s="1682" t="s">
        <v>5122</v>
      </c>
      <c r="G258" s="1680">
        <v>105</v>
      </c>
      <c r="H258" s="1681" t="s">
        <v>1829</v>
      </c>
      <c r="I258" s="1682" t="s">
        <v>1022</v>
      </c>
      <c r="J258" s="1688">
        <v>16.5</v>
      </c>
      <c r="K258" s="1688">
        <v>8.74</v>
      </c>
      <c r="L258" s="1687" t="s">
        <v>5034</v>
      </c>
      <c r="M258" s="1685">
        <v>44356</v>
      </c>
    </row>
    <row r="259" spans="1:13" s="1378" customFormat="1" ht="14.25">
      <c r="A259" s="1680">
        <v>250</v>
      </c>
      <c r="B259" s="1686" t="s">
        <v>1015</v>
      </c>
      <c r="C259" s="1687" t="s">
        <v>2060</v>
      </c>
      <c r="D259" s="1687" t="s">
        <v>736</v>
      </c>
      <c r="E259" s="1681" t="s">
        <v>860</v>
      </c>
      <c r="F259" s="1682" t="s">
        <v>5122</v>
      </c>
      <c r="G259" s="1680">
        <v>105</v>
      </c>
      <c r="H259" s="1681" t="s">
        <v>1829</v>
      </c>
      <c r="I259" s="1682" t="s">
        <v>1027</v>
      </c>
      <c r="J259" s="1688">
        <v>16</v>
      </c>
      <c r="K259" s="1688">
        <v>8</v>
      </c>
      <c r="L259" s="1687" t="s">
        <v>5034</v>
      </c>
      <c r="M259" s="1685">
        <v>44356</v>
      </c>
    </row>
    <row r="260" spans="1:13" s="1378" customFormat="1" ht="14.25">
      <c r="A260" s="1680">
        <v>251</v>
      </c>
      <c r="B260" s="1686" t="s">
        <v>1015</v>
      </c>
      <c r="C260" s="1687" t="s">
        <v>2060</v>
      </c>
      <c r="D260" s="1687" t="s">
        <v>736</v>
      </c>
      <c r="E260" s="1681" t="s">
        <v>860</v>
      </c>
      <c r="F260" s="1682" t="s">
        <v>5122</v>
      </c>
      <c r="G260" s="1680">
        <v>105</v>
      </c>
      <c r="H260" s="1681" t="s">
        <v>1829</v>
      </c>
      <c r="I260" s="1682" t="s">
        <v>88</v>
      </c>
      <c r="J260" s="1688">
        <v>15.5</v>
      </c>
      <c r="K260" s="1688">
        <v>7.4</v>
      </c>
      <c r="L260" s="1687" t="s">
        <v>5034</v>
      </c>
      <c r="M260" s="1685">
        <v>44356</v>
      </c>
    </row>
    <row r="261" spans="1:13" s="1378" customFormat="1" ht="14.25">
      <c r="A261" s="1680">
        <v>252</v>
      </c>
      <c r="B261" s="1686" t="s">
        <v>1015</v>
      </c>
      <c r="C261" s="1687" t="s">
        <v>2060</v>
      </c>
      <c r="D261" s="1687" t="s">
        <v>736</v>
      </c>
      <c r="E261" s="1681" t="s">
        <v>860</v>
      </c>
      <c r="F261" s="1682" t="s">
        <v>5122</v>
      </c>
      <c r="G261" s="1680">
        <v>105</v>
      </c>
      <c r="H261" s="1681" t="s">
        <v>1829</v>
      </c>
      <c r="I261" s="1682" t="s">
        <v>1034</v>
      </c>
      <c r="J261" s="1688">
        <v>15</v>
      </c>
      <c r="K261" s="1688">
        <v>4.5</v>
      </c>
      <c r="L261" s="1687" t="s">
        <v>5034</v>
      </c>
      <c r="M261" s="1685">
        <v>44356</v>
      </c>
    </row>
    <row r="262" spans="1:13" s="1378" customFormat="1" ht="14.25">
      <c r="A262" s="1680">
        <v>253</v>
      </c>
      <c r="B262" s="1686" t="s">
        <v>1015</v>
      </c>
      <c r="C262" s="1681" t="s">
        <v>2048</v>
      </c>
      <c r="D262" s="1687" t="s">
        <v>669</v>
      </c>
      <c r="E262" s="1681" t="s">
        <v>860</v>
      </c>
      <c r="F262" s="1682" t="s">
        <v>5122</v>
      </c>
      <c r="G262" s="1680">
        <v>105</v>
      </c>
      <c r="H262" s="1681" t="s">
        <v>1829</v>
      </c>
      <c r="I262" s="1680" t="s">
        <v>1012</v>
      </c>
      <c r="J262" s="1680">
        <v>6.6</v>
      </c>
      <c r="K262" s="1680" t="s">
        <v>4805</v>
      </c>
      <c r="L262" s="1687" t="s">
        <v>5047</v>
      </c>
      <c r="M262" s="1685">
        <v>44356</v>
      </c>
    </row>
    <row r="263" spans="1:13" s="1378" customFormat="1" ht="14.25">
      <c r="A263" s="1680">
        <v>254</v>
      </c>
      <c r="B263" s="1686" t="s">
        <v>1015</v>
      </c>
      <c r="C263" s="1681" t="s">
        <v>2048</v>
      </c>
      <c r="D263" s="1687" t="s">
        <v>669</v>
      </c>
      <c r="E263" s="1681" t="s">
        <v>860</v>
      </c>
      <c r="F263" s="1682" t="s">
        <v>5122</v>
      </c>
      <c r="G263" s="1680">
        <v>105</v>
      </c>
      <c r="H263" s="1681" t="s">
        <v>1829</v>
      </c>
      <c r="I263" s="1680" t="s">
        <v>1022</v>
      </c>
      <c r="J263" s="1680">
        <v>8.1999999999999993</v>
      </c>
      <c r="K263" s="1680" t="s">
        <v>4805</v>
      </c>
      <c r="L263" s="1687" t="s">
        <v>5047</v>
      </c>
      <c r="M263" s="1685">
        <v>44356</v>
      </c>
    </row>
    <row r="264" spans="1:13" s="1378" customFormat="1" ht="14.25">
      <c r="A264" s="1680">
        <v>255</v>
      </c>
      <c r="B264" s="1686" t="s">
        <v>1015</v>
      </c>
      <c r="C264" s="1681" t="s">
        <v>2048</v>
      </c>
      <c r="D264" s="1687" t="s">
        <v>669</v>
      </c>
      <c r="E264" s="1681" t="s">
        <v>860</v>
      </c>
      <c r="F264" s="1682" t="s">
        <v>5122</v>
      </c>
      <c r="G264" s="1680">
        <v>105</v>
      </c>
      <c r="H264" s="1681" t="s">
        <v>1829</v>
      </c>
      <c r="I264" s="1680" t="s">
        <v>1027</v>
      </c>
      <c r="J264" s="1680">
        <v>11.1</v>
      </c>
      <c r="K264" s="1680" t="s">
        <v>4805</v>
      </c>
      <c r="L264" s="1687" t="s">
        <v>5047</v>
      </c>
      <c r="M264" s="1685">
        <v>44356</v>
      </c>
    </row>
    <row r="265" spans="1:13" s="1378" customFormat="1" ht="14.25">
      <c r="A265" s="1680">
        <v>256</v>
      </c>
      <c r="B265" s="1686" t="s">
        <v>1015</v>
      </c>
      <c r="C265" s="1681" t="s">
        <v>2048</v>
      </c>
      <c r="D265" s="1687" t="s">
        <v>669</v>
      </c>
      <c r="E265" s="1681" t="s">
        <v>860</v>
      </c>
      <c r="F265" s="1682" t="s">
        <v>5122</v>
      </c>
      <c r="G265" s="1680">
        <v>105</v>
      </c>
      <c r="H265" s="1681" t="s">
        <v>1829</v>
      </c>
      <c r="I265" s="1680" t="s">
        <v>88</v>
      </c>
      <c r="J265" s="1680">
        <v>14.9</v>
      </c>
      <c r="K265" s="1680" t="s">
        <v>4805</v>
      </c>
      <c r="L265" s="1687" t="s">
        <v>5047</v>
      </c>
      <c r="M265" s="1685">
        <v>44356</v>
      </c>
    </row>
    <row r="266" spans="1:13" s="1378" customFormat="1" ht="14.25">
      <c r="A266" s="1680">
        <v>257</v>
      </c>
      <c r="B266" s="1686" t="s">
        <v>1015</v>
      </c>
      <c r="C266" s="1681" t="s">
        <v>2048</v>
      </c>
      <c r="D266" s="1687" t="s">
        <v>669</v>
      </c>
      <c r="E266" s="1681" t="s">
        <v>860</v>
      </c>
      <c r="F266" s="1682" t="s">
        <v>5122</v>
      </c>
      <c r="G266" s="1680">
        <v>105</v>
      </c>
      <c r="H266" s="1681" t="s">
        <v>1829</v>
      </c>
      <c r="I266" s="1680" t="s">
        <v>1034</v>
      </c>
      <c r="J266" s="1680">
        <v>18.7</v>
      </c>
      <c r="K266" s="1680" t="s">
        <v>4805</v>
      </c>
      <c r="L266" s="1687" t="s">
        <v>5047</v>
      </c>
      <c r="M266" s="1685">
        <v>44356</v>
      </c>
    </row>
    <row r="267" spans="1:13" s="1378" customFormat="1" ht="14.25">
      <c r="A267" s="1680">
        <v>258</v>
      </c>
      <c r="B267" s="1689" t="s">
        <v>1050</v>
      </c>
      <c r="C267" s="1690" t="s">
        <v>4015</v>
      </c>
      <c r="D267" s="1691" t="s">
        <v>161</v>
      </c>
      <c r="E267" s="1691" t="s">
        <v>860</v>
      </c>
      <c r="F267" s="1682" t="s">
        <v>5122</v>
      </c>
      <c r="G267" s="1692">
        <v>105</v>
      </c>
      <c r="H267" s="1681" t="s">
        <v>1829</v>
      </c>
      <c r="I267" s="1692" t="s">
        <v>1022</v>
      </c>
      <c r="J267" s="1692">
        <v>88.2</v>
      </c>
      <c r="K267" s="1692">
        <v>88.3</v>
      </c>
      <c r="L267" s="1691" t="s">
        <v>5043</v>
      </c>
      <c r="M267" s="1693">
        <v>44358</v>
      </c>
    </row>
    <row r="268" spans="1:13" s="1378" customFormat="1" ht="14.25">
      <c r="A268" s="1680">
        <v>259</v>
      </c>
      <c r="B268" s="1689" t="s">
        <v>1075</v>
      </c>
      <c r="C268" s="1681" t="s">
        <v>2929</v>
      </c>
      <c r="D268" s="1681" t="s">
        <v>137</v>
      </c>
      <c r="E268" s="1681" t="s">
        <v>860</v>
      </c>
      <c r="F268" s="1682" t="s">
        <v>5122</v>
      </c>
      <c r="G268" s="1680">
        <v>105</v>
      </c>
      <c r="H268" s="1681" t="s">
        <v>1829</v>
      </c>
      <c r="I268" s="1680" t="s">
        <v>1012</v>
      </c>
      <c r="J268" s="1683">
        <v>4.0972222222222226E-3</v>
      </c>
      <c r="K268" s="1683">
        <v>3.2291666666666666E-3</v>
      </c>
      <c r="L268" s="1691" t="s">
        <v>5043</v>
      </c>
      <c r="M268" s="1693">
        <v>44358</v>
      </c>
    </row>
    <row r="269" spans="1:13" s="1378" customFormat="1" ht="14.25">
      <c r="A269" s="1680">
        <v>260</v>
      </c>
      <c r="B269" s="1689" t="s">
        <v>1075</v>
      </c>
      <c r="C269" s="1681" t="s">
        <v>2929</v>
      </c>
      <c r="D269" s="1681" t="s">
        <v>137</v>
      </c>
      <c r="E269" s="1691" t="s">
        <v>860</v>
      </c>
      <c r="F269" s="1682" t="s">
        <v>5122</v>
      </c>
      <c r="G269" s="1692">
        <v>105</v>
      </c>
      <c r="H269" s="1681" t="s">
        <v>1829</v>
      </c>
      <c r="I269" s="1680" t="s">
        <v>1022</v>
      </c>
      <c r="J269" s="1683">
        <v>3.8425925925925932E-3</v>
      </c>
      <c r="K269" s="1683">
        <v>2.8240740740740739E-3</v>
      </c>
      <c r="L269" s="1691" t="s">
        <v>5043</v>
      </c>
      <c r="M269" s="1693">
        <v>44358</v>
      </c>
    </row>
    <row r="270" spans="1:13" s="1378" customFormat="1" ht="14.25">
      <c r="A270" s="1680">
        <v>261</v>
      </c>
      <c r="B270" s="1689" t="s">
        <v>1075</v>
      </c>
      <c r="C270" s="1681" t="s">
        <v>2929</v>
      </c>
      <c r="D270" s="1681" t="s">
        <v>137</v>
      </c>
      <c r="E270" s="1681" t="s">
        <v>860</v>
      </c>
      <c r="F270" s="1682" t="s">
        <v>5122</v>
      </c>
      <c r="G270" s="1680">
        <v>105</v>
      </c>
      <c r="H270" s="1681" t="s">
        <v>1829</v>
      </c>
      <c r="I270" s="1680" t="s">
        <v>1027</v>
      </c>
      <c r="J270" s="1683">
        <v>3.5763888888888898E-3</v>
      </c>
      <c r="K270" s="1683">
        <v>2.4421296296296296E-3</v>
      </c>
      <c r="L270" s="1691" t="s">
        <v>5043</v>
      </c>
      <c r="M270" s="1693">
        <v>44358</v>
      </c>
    </row>
    <row r="271" spans="1:13" s="1378" customFormat="1" ht="14.25">
      <c r="A271" s="1680">
        <v>262</v>
      </c>
      <c r="B271" s="1689" t="s">
        <v>1075</v>
      </c>
      <c r="C271" s="1681" t="s">
        <v>2929</v>
      </c>
      <c r="D271" s="1681" t="s">
        <v>137</v>
      </c>
      <c r="E271" s="1691" t="s">
        <v>860</v>
      </c>
      <c r="F271" s="1682" t="s">
        <v>5122</v>
      </c>
      <c r="G271" s="1692">
        <v>105</v>
      </c>
      <c r="H271" s="1681" t="s">
        <v>1829</v>
      </c>
      <c r="I271" s="1680" t="s">
        <v>88</v>
      </c>
      <c r="J271" s="1683">
        <v>3.3217592592592595E-3</v>
      </c>
      <c r="K271" s="1683">
        <v>2.0601851851851853E-3</v>
      </c>
      <c r="L271" s="1691" t="s">
        <v>5043</v>
      </c>
      <c r="M271" s="1693">
        <v>44358</v>
      </c>
    </row>
    <row r="272" spans="1:13" s="1378" customFormat="1" ht="14.25">
      <c r="A272" s="1680">
        <v>263</v>
      </c>
      <c r="B272" s="1689" t="s">
        <v>1075</v>
      </c>
      <c r="C272" s="1681" t="s">
        <v>2929</v>
      </c>
      <c r="D272" s="1681" t="s">
        <v>137</v>
      </c>
      <c r="E272" s="1681" t="s">
        <v>860</v>
      </c>
      <c r="F272" s="1682" t="s">
        <v>5122</v>
      </c>
      <c r="G272" s="1680">
        <v>105</v>
      </c>
      <c r="H272" s="1681" t="s">
        <v>1829</v>
      </c>
      <c r="I272" s="1680" t="s">
        <v>1034</v>
      </c>
      <c r="J272" s="1683">
        <v>3.0555555555555553E-3</v>
      </c>
      <c r="K272" s="1683">
        <v>1.6666666666666668E-3</v>
      </c>
      <c r="L272" s="1691" t="s">
        <v>5043</v>
      </c>
      <c r="M272" s="1693">
        <v>44358</v>
      </c>
    </row>
    <row r="273" spans="1:13" s="1378" customFormat="1" ht="14.25">
      <c r="A273" s="1680">
        <v>264</v>
      </c>
      <c r="B273" s="1681" t="s">
        <v>1015</v>
      </c>
      <c r="C273" s="1681" t="s">
        <v>2045</v>
      </c>
      <c r="D273" s="1681" t="s">
        <v>137</v>
      </c>
      <c r="E273" s="1681" t="s">
        <v>860</v>
      </c>
      <c r="F273" s="1682" t="s">
        <v>5122</v>
      </c>
      <c r="G273" s="1682">
        <v>95</v>
      </c>
      <c r="H273" s="1681" t="s">
        <v>5141</v>
      </c>
      <c r="I273" s="1682" t="s">
        <v>1012</v>
      </c>
      <c r="J273" s="1683">
        <v>0</v>
      </c>
      <c r="K273" s="1681"/>
      <c r="L273" s="1681" t="s">
        <v>5140</v>
      </c>
      <c r="M273" s="1685">
        <v>44358</v>
      </c>
    </row>
    <row r="274" spans="1:13" s="1378" customFormat="1" ht="14.25">
      <c r="A274" s="1680">
        <v>265</v>
      </c>
      <c r="B274" s="1681" t="s">
        <v>1015</v>
      </c>
      <c r="C274" s="1681" t="s">
        <v>2045</v>
      </c>
      <c r="D274" s="1681" t="s">
        <v>137</v>
      </c>
      <c r="E274" s="1681" t="s">
        <v>860</v>
      </c>
      <c r="F274" s="1682" t="s">
        <v>5122</v>
      </c>
      <c r="G274" s="1682">
        <v>95</v>
      </c>
      <c r="H274" s="1681" t="s">
        <v>5141</v>
      </c>
      <c r="I274" s="1682" t="s">
        <v>1022</v>
      </c>
      <c r="J274" s="1683">
        <v>0</v>
      </c>
      <c r="K274" s="1681"/>
      <c r="L274" s="1681" t="s">
        <v>5140</v>
      </c>
      <c r="M274" s="1685">
        <v>44358</v>
      </c>
    </row>
    <row r="275" spans="1:13" s="1378" customFormat="1" ht="14.25">
      <c r="A275" s="1680">
        <v>266</v>
      </c>
      <c r="B275" s="1681" t="s">
        <v>1015</v>
      </c>
      <c r="C275" s="1681" t="s">
        <v>2045</v>
      </c>
      <c r="D275" s="1681" t="s">
        <v>137</v>
      </c>
      <c r="E275" s="1681" t="s">
        <v>860</v>
      </c>
      <c r="F275" s="1682" t="s">
        <v>5122</v>
      </c>
      <c r="G275" s="1682">
        <v>95</v>
      </c>
      <c r="H275" s="1681" t="s">
        <v>5141</v>
      </c>
      <c r="I275" s="1682" t="s">
        <v>1027</v>
      </c>
      <c r="J275" s="1683">
        <v>0</v>
      </c>
      <c r="K275" s="1681"/>
      <c r="L275" s="1681" t="s">
        <v>5140</v>
      </c>
      <c r="M275" s="1685">
        <v>44358</v>
      </c>
    </row>
    <row r="276" spans="1:13" s="1378" customFormat="1" ht="14.25">
      <c r="A276" s="1680">
        <v>267</v>
      </c>
      <c r="B276" s="1681" t="s">
        <v>1015</v>
      </c>
      <c r="C276" s="1681" t="s">
        <v>2045</v>
      </c>
      <c r="D276" s="1681" t="s">
        <v>137</v>
      </c>
      <c r="E276" s="1681" t="s">
        <v>860</v>
      </c>
      <c r="F276" s="1682" t="s">
        <v>5122</v>
      </c>
      <c r="G276" s="1682">
        <v>95</v>
      </c>
      <c r="H276" s="1681" t="s">
        <v>5141</v>
      </c>
      <c r="I276" s="1682" t="s">
        <v>88</v>
      </c>
      <c r="J276" s="1683">
        <v>0</v>
      </c>
      <c r="K276" s="1681"/>
      <c r="L276" s="1681" t="s">
        <v>5140</v>
      </c>
      <c r="M276" s="1685">
        <v>44358</v>
      </c>
    </row>
    <row r="277" spans="1:13" s="1378" customFormat="1" ht="14.25">
      <c r="A277" s="1680">
        <v>268</v>
      </c>
      <c r="B277" s="1681" t="s">
        <v>1015</v>
      </c>
      <c r="C277" s="1681" t="s">
        <v>2045</v>
      </c>
      <c r="D277" s="1681" t="s">
        <v>137</v>
      </c>
      <c r="E277" s="1681" t="s">
        <v>860</v>
      </c>
      <c r="F277" s="1682" t="s">
        <v>5122</v>
      </c>
      <c r="G277" s="1682">
        <v>95</v>
      </c>
      <c r="H277" s="1681" t="s">
        <v>5141</v>
      </c>
      <c r="I277" s="1682" t="s">
        <v>1034</v>
      </c>
      <c r="J277" s="1683">
        <v>0</v>
      </c>
      <c r="K277" s="1681"/>
      <c r="L277" s="1681" t="s">
        <v>5140</v>
      </c>
      <c r="M277" s="1685">
        <v>44358</v>
      </c>
    </row>
    <row r="278" spans="1:13" s="1378" customFormat="1" ht="14.25">
      <c r="A278" s="1680">
        <v>269</v>
      </c>
      <c r="B278" s="1681" t="s">
        <v>1015</v>
      </c>
      <c r="C278" s="1681" t="s">
        <v>2045</v>
      </c>
      <c r="D278" s="1681" t="s">
        <v>137</v>
      </c>
      <c r="E278" s="1681" t="s">
        <v>860</v>
      </c>
      <c r="F278" s="1682" t="s">
        <v>5122</v>
      </c>
      <c r="G278" s="1682">
        <v>100</v>
      </c>
      <c r="H278" s="1681" t="s">
        <v>1828</v>
      </c>
      <c r="I278" s="1682" t="s">
        <v>1012</v>
      </c>
      <c r="J278" s="1683">
        <v>0</v>
      </c>
      <c r="K278" s="1681"/>
      <c r="L278" s="1681" t="s">
        <v>5140</v>
      </c>
      <c r="M278" s="1685">
        <v>44358</v>
      </c>
    </row>
    <row r="279" spans="1:13" s="1378" customFormat="1" ht="14.25">
      <c r="A279" s="1680">
        <v>270</v>
      </c>
      <c r="B279" s="1681" t="s">
        <v>1015</v>
      </c>
      <c r="C279" s="1681" t="s">
        <v>2045</v>
      </c>
      <c r="D279" s="1681" t="s">
        <v>137</v>
      </c>
      <c r="E279" s="1681" t="s">
        <v>860</v>
      </c>
      <c r="F279" s="1682" t="s">
        <v>5122</v>
      </c>
      <c r="G279" s="1682">
        <v>100</v>
      </c>
      <c r="H279" s="1681" t="s">
        <v>1828</v>
      </c>
      <c r="I279" s="1682" t="s">
        <v>1022</v>
      </c>
      <c r="J279" s="1683">
        <v>0</v>
      </c>
      <c r="K279" s="1681"/>
      <c r="L279" s="1681" t="s">
        <v>5140</v>
      </c>
      <c r="M279" s="1685">
        <v>44358</v>
      </c>
    </row>
    <row r="280" spans="1:13" s="1378" customFormat="1" ht="14.25">
      <c r="A280" s="1680">
        <v>271</v>
      </c>
      <c r="B280" s="1681" t="s">
        <v>1015</v>
      </c>
      <c r="C280" s="1681" t="s">
        <v>2045</v>
      </c>
      <c r="D280" s="1681" t="s">
        <v>137</v>
      </c>
      <c r="E280" s="1681" t="s">
        <v>860</v>
      </c>
      <c r="F280" s="1682" t="s">
        <v>5122</v>
      </c>
      <c r="G280" s="1682">
        <v>100</v>
      </c>
      <c r="H280" s="1681" t="s">
        <v>1828</v>
      </c>
      <c r="I280" s="1682" t="s">
        <v>1027</v>
      </c>
      <c r="J280" s="1683">
        <v>0</v>
      </c>
      <c r="K280" s="1681"/>
      <c r="L280" s="1681" t="s">
        <v>5140</v>
      </c>
      <c r="M280" s="1685">
        <v>44358</v>
      </c>
    </row>
    <row r="281" spans="1:13" s="1378" customFormat="1" ht="14.25">
      <c r="A281" s="1680">
        <v>272</v>
      </c>
      <c r="B281" s="1681" t="s">
        <v>1015</v>
      </c>
      <c r="C281" s="1681" t="s">
        <v>2045</v>
      </c>
      <c r="D281" s="1681" t="s">
        <v>137</v>
      </c>
      <c r="E281" s="1681" t="s">
        <v>860</v>
      </c>
      <c r="F281" s="1682" t="s">
        <v>5122</v>
      </c>
      <c r="G281" s="1682">
        <v>100</v>
      </c>
      <c r="H281" s="1681" t="s">
        <v>1828</v>
      </c>
      <c r="I281" s="1682" t="s">
        <v>88</v>
      </c>
      <c r="J281" s="1683">
        <v>0</v>
      </c>
      <c r="K281" s="1681"/>
      <c r="L281" s="1681" t="s">
        <v>5140</v>
      </c>
      <c r="M281" s="1685">
        <v>44358</v>
      </c>
    </row>
    <row r="282" spans="1:13" s="1378" customFormat="1" ht="14.25">
      <c r="A282" s="1680">
        <v>273</v>
      </c>
      <c r="B282" s="1681" t="s">
        <v>1015</v>
      </c>
      <c r="C282" s="1681" t="s">
        <v>2045</v>
      </c>
      <c r="D282" s="1681" t="s">
        <v>137</v>
      </c>
      <c r="E282" s="1681" t="s">
        <v>860</v>
      </c>
      <c r="F282" s="1682" t="s">
        <v>5122</v>
      </c>
      <c r="G282" s="1682">
        <v>100</v>
      </c>
      <c r="H282" s="1681" t="s">
        <v>1828</v>
      </c>
      <c r="I282" s="1682" t="s">
        <v>1034</v>
      </c>
      <c r="J282" s="1683">
        <v>0</v>
      </c>
      <c r="K282" s="1681"/>
      <c r="L282" s="1681" t="s">
        <v>5140</v>
      </c>
      <c r="M282" s="1685">
        <v>44358</v>
      </c>
    </row>
    <row r="283" spans="1:13" s="1378" customFormat="1" ht="14.25">
      <c r="A283" s="1680">
        <v>274</v>
      </c>
      <c r="B283" s="1681" t="s">
        <v>1064</v>
      </c>
      <c r="C283" s="1681" t="s">
        <v>2201</v>
      </c>
      <c r="D283" s="1681" t="s">
        <v>137</v>
      </c>
      <c r="E283" s="1681" t="s">
        <v>860</v>
      </c>
      <c r="F283" s="1682" t="s">
        <v>5122</v>
      </c>
      <c r="G283" s="1682">
        <v>95</v>
      </c>
      <c r="H283" s="1681" t="s">
        <v>5141</v>
      </c>
      <c r="I283" s="1682" t="s">
        <v>1012</v>
      </c>
      <c r="J283" s="1683">
        <v>0</v>
      </c>
      <c r="K283" s="1681"/>
      <c r="L283" s="1681" t="s">
        <v>5140</v>
      </c>
      <c r="M283" s="1685">
        <v>44358</v>
      </c>
    </row>
    <row r="284" spans="1:13" s="1378" customFormat="1" ht="14.25">
      <c r="A284" s="1680">
        <v>275</v>
      </c>
      <c r="B284" s="1681" t="s">
        <v>1064</v>
      </c>
      <c r="C284" s="1681" t="s">
        <v>2201</v>
      </c>
      <c r="D284" s="1681" t="s">
        <v>137</v>
      </c>
      <c r="E284" s="1681" t="s">
        <v>860</v>
      </c>
      <c r="F284" s="1682" t="s">
        <v>5122</v>
      </c>
      <c r="G284" s="1682">
        <v>95</v>
      </c>
      <c r="H284" s="1681" t="s">
        <v>5141</v>
      </c>
      <c r="I284" s="1682" t="s">
        <v>1022</v>
      </c>
      <c r="J284" s="1683">
        <v>0</v>
      </c>
      <c r="K284" s="1681"/>
      <c r="L284" s="1681" t="s">
        <v>5140</v>
      </c>
      <c r="M284" s="1685">
        <v>44358</v>
      </c>
    </row>
    <row r="285" spans="1:13" s="1378" customFormat="1" ht="14.25">
      <c r="A285" s="1680">
        <v>276</v>
      </c>
      <c r="B285" s="1681" t="s">
        <v>1064</v>
      </c>
      <c r="C285" s="1681" t="s">
        <v>2201</v>
      </c>
      <c r="D285" s="1681" t="s">
        <v>137</v>
      </c>
      <c r="E285" s="1681" t="s">
        <v>860</v>
      </c>
      <c r="F285" s="1682" t="s">
        <v>5122</v>
      </c>
      <c r="G285" s="1682">
        <v>95</v>
      </c>
      <c r="H285" s="1681" t="s">
        <v>5141</v>
      </c>
      <c r="I285" s="1682" t="s">
        <v>1027</v>
      </c>
      <c r="J285" s="1683">
        <v>0</v>
      </c>
      <c r="K285" s="1681"/>
      <c r="L285" s="1681" t="s">
        <v>5140</v>
      </c>
      <c r="M285" s="1685">
        <v>44358</v>
      </c>
    </row>
    <row r="286" spans="1:13" s="1378" customFormat="1" ht="14.25">
      <c r="A286" s="1680">
        <v>277</v>
      </c>
      <c r="B286" s="1681" t="s">
        <v>1064</v>
      </c>
      <c r="C286" s="1681" t="s">
        <v>2201</v>
      </c>
      <c r="D286" s="1681" t="s">
        <v>137</v>
      </c>
      <c r="E286" s="1681" t="s">
        <v>860</v>
      </c>
      <c r="F286" s="1682" t="s">
        <v>5122</v>
      </c>
      <c r="G286" s="1682">
        <v>95</v>
      </c>
      <c r="H286" s="1681" t="s">
        <v>5141</v>
      </c>
      <c r="I286" s="1682" t="s">
        <v>88</v>
      </c>
      <c r="J286" s="1683">
        <v>0</v>
      </c>
      <c r="K286" s="1681"/>
      <c r="L286" s="1681" t="s">
        <v>5140</v>
      </c>
      <c r="M286" s="1685">
        <v>44358</v>
      </c>
    </row>
    <row r="287" spans="1:13" s="1378" customFormat="1" ht="14.25">
      <c r="A287" s="1680">
        <v>278</v>
      </c>
      <c r="B287" s="1681" t="s">
        <v>1064</v>
      </c>
      <c r="C287" s="1681" t="s">
        <v>2201</v>
      </c>
      <c r="D287" s="1681" t="s">
        <v>137</v>
      </c>
      <c r="E287" s="1681" t="s">
        <v>860</v>
      </c>
      <c r="F287" s="1682" t="s">
        <v>5122</v>
      </c>
      <c r="G287" s="1682">
        <v>95</v>
      </c>
      <c r="H287" s="1681" t="s">
        <v>5141</v>
      </c>
      <c r="I287" s="1682" t="s">
        <v>1034</v>
      </c>
      <c r="J287" s="1683">
        <v>0</v>
      </c>
      <c r="K287" s="1681"/>
      <c r="L287" s="1681" t="s">
        <v>5140</v>
      </c>
      <c r="M287" s="1685">
        <v>44358</v>
      </c>
    </row>
    <row r="288" spans="1:13" s="1378" customFormat="1" ht="14.25">
      <c r="A288" s="1680">
        <v>279</v>
      </c>
      <c r="B288" s="1681" t="s">
        <v>1064</v>
      </c>
      <c r="C288" s="1681" t="s">
        <v>2201</v>
      </c>
      <c r="D288" s="1681" t="s">
        <v>137</v>
      </c>
      <c r="E288" s="1681" t="s">
        <v>860</v>
      </c>
      <c r="F288" s="1682" t="s">
        <v>5122</v>
      </c>
      <c r="G288" s="1682">
        <v>100</v>
      </c>
      <c r="H288" s="1681" t="s">
        <v>1828</v>
      </c>
      <c r="I288" s="1682" t="s">
        <v>1012</v>
      </c>
      <c r="J288" s="1683">
        <v>0</v>
      </c>
      <c r="K288" s="1681"/>
      <c r="L288" s="1681" t="s">
        <v>5140</v>
      </c>
      <c r="M288" s="1685">
        <v>44358</v>
      </c>
    </row>
    <row r="289" spans="1:13" s="1378" customFormat="1" ht="14.25">
      <c r="A289" s="1680">
        <v>280</v>
      </c>
      <c r="B289" s="1681" t="s">
        <v>1064</v>
      </c>
      <c r="C289" s="1681" t="s">
        <v>2201</v>
      </c>
      <c r="D289" s="1681" t="s">
        <v>137</v>
      </c>
      <c r="E289" s="1681" t="s">
        <v>860</v>
      </c>
      <c r="F289" s="1682" t="s">
        <v>5122</v>
      </c>
      <c r="G289" s="1682">
        <v>100</v>
      </c>
      <c r="H289" s="1681" t="s">
        <v>1828</v>
      </c>
      <c r="I289" s="1682" t="s">
        <v>1022</v>
      </c>
      <c r="J289" s="1683">
        <v>0</v>
      </c>
      <c r="K289" s="1681"/>
      <c r="L289" s="1681" t="s">
        <v>5140</v>
      </c>
      <c r="M289" s="1685">
        <v>44358</v>
      </c>
    </row>
    <row r="290" spans="1:13" s="1378" customFormat="1" ht="14.25">
      <c r="A290" s="1680">
        <v>281</v>
      </c>
      <c r="B290" s="1681" t="s">
        <v>1064</v>
      </c>
      <c r="C290" s="1681" t="s">
        <v>2201</v>
      </c>
      <c r="D290" s="1681" t="s">
        <v>137</v>
      </c>
      <c r="E290" s="1681" t="s">
        <v>860</v>
      </c>
      <c r="F290" s="1682" t="s">
        <v>5122</v>
      </c>
      <c r="G290" s="1682">
        <v>100</v>
      </c>
      <c r="H290" s="1681" t="s">
        <v>1828</v>
      </c>
      <c r="I290" s="1682" t="s">
        <v>1027</v>
      </c>
      <c r="J290" s="1683">
        <v>0</v>
      </c>
      <c r="K290" s="1681"/>
      <c r="L290" s="1681" t="s">
        <v>5140</v>
      </c>
      <c r="M290" s="1685">
        <v>44358</v>
      </c>
    </row>
    <row r="291" spans="1:13" s="1378" customFormat="1" ht="14.25">
      <c r="A291" s="1680">
        <v>282</v>
      </c>
      <c r="B291" s="1681" t="s">
        <v>1064</v>
      </c>
      <c r="C291" s="1681" t="s">
        <v>2201</v>
      </c>
      <c r="D291" s="1681" t="s">
        <v>137</v>
      </c>
      <c r="E291" s="1681" t="s">
        <v>860</v>
      </c>
      <c r="F291" s="1682" t="s">
        <v>5122</v>
      </c>
      <c r="G291" s="1682">
        <v>100</v>
      </c>
      <c r="H291" s="1681" t="s">
        <v>1828</v>
      </c>
      <c r="I291" s="1682" t="s">
        <v>88</v>
      </c>
      <c r="J291" s="1683">
        <v>0</v>
      </c>
      <c r="K291" s="1681"/>
      <c r="L291" s="1681" t="s">
        <v>5140</v>
      </c>
      <c r="M291" s="1685">
        <v>44358</v>
      </c>
    </row>
    <row r="292" spans="1:13" s="1378" customFormat="1" ht="14.25">
      <c r="A292" s="1680">
        <v>283</v>
      </c>
      <c r="B292" s="1681" t="s">
        <v>1064</v>
      </c>
      <c r="C292" s="1681" t="s">
        <v>2201</v>
      </c>
      <c r="D292" s="1681" t="s">
        <v>137</v>
      </c>
      <c r="E292" s="1681" t="s">
        <v>860</v>
      </c>
      <c r="F292" s="1682" t="s">
        <v>5122</v>
      </c>
      <c r="G292" s="1682">
        <v>100</v>
      </c>
      <c r="H292" s="1681" t="s">
        <v>1828</v>
      </c>
      <c r="I292" s="1682" t="s">
        <v>1034</v>
      </c>
      <c r="J292" s="1683">
        <v>0</v>
      </c>
      <c r="K292" s="1681"/>
      <c r="L292" s="1681" t="s">
        <v>5140</v>
      </c>
      <c r="M292" s="1685">
        <v>44358</v>
      </c>
    </row>
    <row r="293" spans="1:13" s="1378" customFormat="1" ht="14.25">
      <c r="A293" s="1680">
        <v>284</v>
      </c>
      <c r="B293" s="1681" t="s">
        <v>1071</v>
      </c>
      <c r="C293" s="1681" t="s">
        <v>2820</v>
      </c>
      <c r="D293" s="1681" t="s">
        <v>137</v>
      </c>
      <c r="E293" s="1681" t="s">
        <v>860</v>
      </c>
      <c r="F293" s="1682" t="s">
        <v>5122</v>
      </c>
      <c r="G293" s="1682">
        <v>95</v>
      </c>
      <c r="H293" s="1681" t="s">
        <v>5141</v>
      </c>
      <c r="I293" s="1682" t="s">
        <v>1012</v>
      </c>
      <c r="J293" s="1683">
        <v>0</v>
      </c>
      <c r="K293" s="1681"/>
      <c r="L293" s="1681" t="s">
        <v>5140</v>
      </c>
      <c r="M293" s="1685">
        <v>44358</v>
      </c>
    </row>
    <row r="294" spans="1:13" s="1378" customFormat="1" ht="14.25">
      <c r="A294" s="1680">
        <v>285</v>
      </c>
      <c r="B294" s="1681" t="s">
        <v>1071</v>
      </c>
      <c r="C294" s="1681" t="s">
        <v>2820</v>
      </c>
      <c r="D294" s="1681" t="s">
        <v>137</v>
      </c>
      <c r="E294" s="1681" t="s">
        <v>860</v>
      </c>
      <c r="F294" s="1682" t="s">
        <v>5122</v>
      </c>
      <c r="G294" s="1682">
        <v>95</v>
      </c>
      <c r="H294" s="1681" t="s">
        <v>5141</v>
      </c>
      <c r="I294" s="1682" t="s">
        <v>1022</v>
      </c>
      <c r="J294" s="1683">
        <v>0</v>
      </c>
      <c r="K294" s="1681"/>
      <c r="L294" s="1681" t="s">
        <v>5140</v>
      </c>
      <c r="M294" s="1685">
        <v>44358</v>
      </c>
    </row>
    <row r="295" spans="1:13" s="1378" customFormat="1" ht="14.25">
      <c r="A295" s="1680">
        <v>286</v>
      </c>
      <c r="B295" s="1681" t="s">
        <v>1071</v>
      </c>
      <c r="C295" s="1681" t="s">
        <v>2820</v>
      </c>
      <c r="D295" s="1681" t="s">
        <v>137</v>
      </c>
      <c r="E295" s="1681" t="s">
        <v>860</v>
      </c>
      <c r="F295" s="1682" t="s">
        <v>5122</v>
      </c>
      <c r="G295" s="1682">
        <v>95</v>
      </c>
      <c r="H295" s="1681" t="s">
        <v>5141</v>
      </c>
      <c r="I295" s="1682" t="s">
        <v>1027</v>
      </c>
      <c r="J295" s="1683">
        <v>0</v>
      </c>
      <c r="K295" s="1681"/>
      <c r="L295" s="1681" t="s">
        <v>5140</v>
      </c>
      <c r="M295" s="1685">
        <v>44358</v>
      </c>
    </row>
    <row r="296" spans="1:13" s="1378" customFormat="1" ht="14.25">
      <c r="A296" s="1680">
        <v>287</v>
      </c>
      <c r="B296" s="1681" t="s">
        <v>1071</v>
      </c>
      <c r="C296" s="1681" t="s">
        <v>2820</v>
      </c>
      <c r="D296" s="1681" t="s">
        <v>137</v>
      </c>
      <c r="E296" s="1681" t="s">
        <v>860</v>
      </c>
      <c r="F296" s="1682" t="s">
        <v>5122</v>
      </c>
      <c r="G296" s="1682">
        <v>95</v>
      </c>
      <c r="H296" s="1681" t="s">
        <v>5141</v>
      </c>
      <c r="I296" s="1682" t="s">
        <v>88</v>
      </c>
      <c r="J296" s="1683">
        <v>0</v>
      </c>
      <c r="K296" s="1681"/>
      <c r="L296" s="1681" t="s">
        <v>5140</v>
      </c>
      <c r="M296" s="1685">
        <v>44358</v>
      </c>
    </row>
    <row r="297" spans="1:13" s="1378" customFormat="1" ht="14.25">
      <c r="A297" s="1680">
        <v>288</v>
      </c>
      <c r="B297" s="1681" t="s">
        <v>1071</v>
      </c>
      <c r="C297" s="1681" t="s">
        <v>2820</v>
      </c>
      <c r="D297" s="1681" t="s">
        <v>137</v>
      </c>
      <c r="E297" s="1681" t="s">
        <v>860</v>
      </c>
      <c r="F297" s="1682" t="s">
        <v>5122</v>
      </c>
      <c r="G297" s="1682">
        <v>95</v>
      </c>
      <c r="H297" s="1681" t="s">
        <v>5141</v>
      </c>
      <c r="I297" s="1682" t="s">
        <v>1034</v>
      </c>
      <c r="J297" s="1683">
        <v>0</v>
      </c>
      <c r="K297" s="1681"/>
      <c r="L297" s="1681" t="s">
        <v>5140</v>
      </c>
      <c r="M297" s="1685">
        <v>44358</v>
      </c>
    </row>
    <row r="298" spans="1:13" s="1378" customFormat="1" ht="14.25">
      <c r="A298" s="1680">
        <v>289</v>
      </c>
      <c r="B298" s="1681" t="s">
        <v>1071</v>
      </c>
      <c r="C298" s="1681" t="s">
        <v>2820</v>
      </c>
      <c r="D298" s="1681" t="s">
        <v>137</v>
      </c>
      <c r="E298" s="1681" t="s">
        <v>860</v>
      </c>
      <c r="F298" s="1682" t="s">
        <v>5122</v>
      </c>
      <c r="G298" s="1682">
        <v>100</v>
      </c>
      <c r="H298" s="1681" t="s">
        <v>1828</v>
      </c>
      <c r="I298" s="1682" t="s">
        <v>1012</v>
      </c>
      <c r="J298" s="1683">
        <v>0</v>
      </c>
      <c r="K298" s="1681"/>
      <c r="L298" s="1681" t="s">
        <v>5140</v>
      </c>
      <c r="M298" s="1685">
        <v>44358</v>
      </c>
    </row>
    <row r="299" spans="1:13" s="1378" customFormat="1" ht="14.25">
      <c r="A299" s="1680">
        <v>290</v>
      </c>
      <c r="B299" s="1681" t="s">
        <v>1071</v>
      </c>
      <c r="C299" s="1681" t="s">
        <v>2820</v>
      </c>
      <c r="D299" s="1681" t="s">
        <v>137</v>
      </c>
      <c r="E299" s="1681" t="s">
        <v>860</v>
      </c>
      <c r="F299" s="1682" t="s">
        <v>5122</v>
      </c>
      <c r="G299" s="1682">
        <v>100</v>
      </c>
      <c r="H299" s="1681" t="s">
        <v>1828</v>
      </c>
      <c r="I299" s="1682" t="s">
        <v>1022</v>
      </c>
      <c r="J299" s="1683">
        <v>0</v>
      </c>
      <c r="K299" s="1681"/>
      <c r="L299" s="1681" t="s">
        <v>5140</v>
      </c>
      <c r="M299" s="1685">
        <v>44358</v>
      </c>
    </row>
    <row r="300" spans="1:13" s="1378" customFormat="1" ht="14.25">
      <c r="A300" s="1680">
        <v>291</v>
      </c>
      <c r="B300" s="1681" t="s">
        <v>1071</v>
      </c>
      <c r="C300" s="1681" t="s">
        <v>2820</v>
      </c>
      <c r="D300" s="1681" t="s">
        <v>137</v>
      </c>
      <c r="E300" s="1681" t="s">
        <v>860</v>
      </c>
      <c r="F300" s="1682" t="s">
        <v>5122</v>
      </c>
      <c r="G300" s="1682">
        <v>100</v>
      </c>
      <c r="H300" s="1681" t="s">
        <v>1828</v>
      </c>
      <c r="I300" s="1682" t="s">
        <v>1027</v>
      </c>
      <c r="J300" s="1683">
        <v>0</v>
      </c>
      <c r="K300" s="1681"/>
      <c r="L300" s="1681" t="s">
        <v>5140</v>
      </c>
      <c r="M300" s="1685">
        <v>44358</v>
      </c>
    </row>
    <row r="301" spans="1:13" s="1378" customFormat="1" ht="14.25">
      <c r="A301" s="1680">
        <v>292</v>
      </c>
      <c r="B301" s="1681" t="s">
        <v>1071</v>
      </c>
      <c r="C301" s="1681" t="s">
        <v>2820</v>
      </c>
      <c r="D301" s="1681" t="s">
        <v>137</v>
      </c>
      <c r="E301" s="1681" t="s">
        <v>860</v>
      </c>
      <c r="F301" s="1682" t="s">
        <v>5122</v>
      </c>
      <c r="G301" s="1682">
        <v>100</v>
      </c>
      <c r="H301" s="1681" t="s">
        <v>1828</v>
      </c>
      <c r="I301" s="1682" t="s">
        <v>88</v>
      </c>
      <c r="J301" s="1683">
        <v>0</v>
      </c>
      <c r="K301" s="1681"/>
      <c r="L301" s="1681" t="s">
        <v>5140</v>
      </c>
      <c r="M301" s="1685">
        <v>44358</v>
      </c>
    </row>
    <row r="302" spans="1:13" s="1378" customFormat="1" ht="14.25">
      <c r="A302" s="1680">
        <v>293</v>
      </c>
      <c r="B302" s="1681" t="s">
        <v>1071</v>
      </c>
      <c r="C302" s="1681" t="s">
        <v>2820</v>
      </c>
      <c r="D302" s="1681" t="s">
        <v>137</v>
      </c>
      <c r="E302" s="1681" t="s">
        <v>860</v>
      </c>
      <c r="F302" s="1682" t="s">
        <v>5122</v>
      </c>
      <c r="G302" s="1682">
        <v>100</v>
      </c>
      <c r="H302" s="1681" t="s">
        <v>1828</v>
      </c>
      <c r="I302" s="1682" t="s">
        <v>1034</v>
      </c>
      <c r="J302" s="1683">
        <v>0</v>
      </c>
      <c r="K302" s="1681"/>
      <c r="L302" s="1681" t="s">
        <v>5140</v>
      </c>
      <c r="M302" s="1685">
        <v>44358</v>
      </c>
    </row>
    <row r="303" spans="1:13" s="1378" customFormat="1" ht="14.25">
      <c r="A303" s="1680">
        <v>294</v>
      </c>
      <c r="B303" s="1686" t="s">
        <v>1015</v>
      </c>
      <c r="C303" s="1681" t="s">
        <v>2103</v>
      </c>
      <c r="D303" s="1687" t="s">
        <v>2104</v>
      </c>
      <c r="E303" s="1687" t="s">
        <v>860</v>
      </c>
      <c r="F303" s="1682" t="s">
        <v>5122</v>
      </c>
      <c r="G303" s="1680">
        <v>80</v>
      </c>
      <c r="H303" s="1680" t="s">
        <v>1001</v>
      </c>
      <c r="I303" s="1680" t="s">
        <v>1012</v>
      </c>
      <c r="J303" s="1680" t="s">
        <v>5048</v>
      </c>
      <c r="K303" s="1680"/>
      <c r="L303" s="1687" t="s">
        <v>5049</v>
      </c>
      <c r="M303" s="1685">
        <v>44372</v>
      </c>
    </row>
    <row r="304" spans="1:13" s="1378" customFormat="1" ht="14.25">
      <c r="A304" s="1680">
        <v>295</v>
      </c>
      <c r="B304" s="1686" t="s">
        <v>1015</v>
      </c>
      <c r="C304" s="1681" t="s">
        <v>2103</v>
      </c>
      <c r="D304" s="1687" t="s">
        <v>2104</v>
      </c>
      <c r="E304" s="1687" t="s">
        <v>860</v>
      </c>
      <c r="F304" s="1682" t="s">
        <v>5122</v>
      </c>
      <c r="G304" s="1680">
        <v>80</v>
      </c>
      <c r="H304" s="1680" t="s">
        <v>1001</v>
      </c>
      <c r="I304" s="1680" t="s">
        <v>1022</v>
      </c>
      <c r="J304" s="1680" t="s">
        <v>5048</v>
      </c>
      <c r="K304" s="1680"/>
      <c r="L304" s="1687" t="s">
        <v>5049</v>
      </c>
      <c r="M304" s="1685">
        <v>44372</v>
      </c>
    </row>
    <row r="305" spans="1:13" s="1378" customFormat="1" ht="14.25">
      <c r="A305" s="1680">
        <v>296</v>
      </c>
      <c r="B305" s="1686" t="s">
        <v>1015</v>
      </c>
      <c r="C305" s="1681" t="s">
        <v>2103</v>
      </c>
      <c r="D305" s="1687" t="s">
        <v>2104</v>
      </c>
      <c r="E305" s="1687" t="s">
        <v>860</v>
      </c>
      <c r="F305" s="1682" t="s">
        <v>5122</v>
      </c>
      <c r="G305" s="1680">
        <v>80</v>
      </c>
      <c r="H305" s="1680" t="s">
        <v>1001</v>
      </c>
      <c r="I305" s="1680" t="s">
        <v>1027</v>
      </c>
      <c r="J305" s="1680" t="s">
        <v>5048</v>
      </c>
      <c r="K305" s="1680"/>
      <c r="L305" s="1687" t="s">
        <v>5049</v>
      </c>
      <c r="M305" s="1685">
        <v>44372</v>
      </c>
    </row>
    <row r="306" spans="1:13" s="1378" customFormat="1" ht="14.25">
      <c r="A306" s="1680">
        <v>297</v>
      </c>
      <c r="B306" s="1686" t="s">
        <v>1015</v>
      </c>
      <c r="C306" s="1681" t="s">
        <v>2103</v>
      </c>
      <c r="D306" s="1687" t="s">
        <v>2104</v>
      </c>
      <c r="E306" s="1687" t="s">
        <v>860</v>
      </c>
      <c r="F306" s="1682" t="s">
        <v>5122</v>
      </c>
      <c r="G306" s="1680">
        <v>80</v>
      </c>
      <c r="H306" s="1680" t="s">
        <v>1001</v>
      </c>
      <c r="I306" s="1680" t="s">
        <v>88</v>
      </c>
      <c r="J306" s="1680" t="s">
        <v>5048</v>
      </c>
      <c r="K306" s="1680"/>
      <c r="L306" s="1687" t="s">
        <v>5049</v>
      </c>
      <c r="M306" s="1685">
        <v>44372</v>
      </c>
    </row>
    <row r="307" spans="1:13" s="1378" customFormat="1" ht="28.5">
      <c r="A307" s="1680">
        <v>298</v>
      </c>
      <c r="B307" s="1686" t="s">
        <v>1036</v>
      </c>
      <c r="C307" s="1681" t="s">
        <v>5142</v>
      </c>
      <c r="D307" s="1687" t="s">
        <v>732</v>
      </c>
      <c r="E307" s="1687" t="s">
        <v>860</v>
      </c>
      <c r="F307" s="1682" t="s">
        <v>5122</v>
      </c>
      <c r="G307" s="1680">
        <v>85</v>
      </c>
      <c r="H307" s="1681" t="s">
        <v>1825</v>
      </c>
      <c r="I307" s="1682" t="s">
        <v>1012</v>
      </c>
      <c r="J307" s="1680">
        <v>2.35</v>
      </c>
      <c r="K307" s="1680">
        <v>2.56</v>
      </c>
      <c r="L307" s="1687" t="s">
        <v>5143</v>
      </c>
      <c r="M307" s="1685">
        <v>44533</v>
      </c>
    </row>
    <row r="308" spans="1:13" s="1378" customFormat="1" ht="28.5">
      <c r="A308" s="1680">
        <v>299</v>
      </c>
      <c r="B308" s="1686" t="s">
        <v>1036</v>
      </c>
      <c r="C308" s="1681" t="s">
        <v>5142</v>
      </c>
      <c r="D308" s="1687" t="s">
        <v>732</v>
      </c>
      <c r="E308" s="1687" t="s">
        <v>860</v>
      </c>
      <c r="F308" s="1682" t="s">
        <v>5122</v>
      </c>
      <c r="G308" s="1680">
        <v>85</v>
      </c>
      <c r="H308" s="1681" t="s">
        <v>1825</v>
      </c>
      <c r="I308" s="1682" t="s">
        <v>1022</v>
      </c>
      <c r="J308" s="1680">
        <v>2.35</v>
      </c>
      <c r="K308" s="1680">
        <v>2.56</v>
      </c>
      <c r="L308" s="1687" t="s">
        <v>5143</v>
      </c>
      <c r="M308" s="1685">
        <v>44533</v>
      </c>
    </row>
    <row r="309" spans="1:13" s="1378" customFormat="1" ht="28.5">
      <c r="A309" s="1680">
        <v>300</v>
      </c>
      <c r="B309" s="1686" t="s">
        <v>1036</v>
      </c>
      <c r="C309" s="1681" t="s">
        <v>5142</v>
      </c>
      <c r="D309" s="1687" t="s">
        <v>732</v>
      </c>
      <c r="E309" s="1687" t="s">
        <v>860</v>
      </c>
      <c r="F309" s="1682" t="s">
        <v>5122</v>
      </c>
      <c r="G309" s="1680">
        <v>85</v>
      </c>
      <c r="H309" s="1681" t="s">
        <v>1825</v>
      </c>
      <c r="I309" s="1682" t="s">
        <v>1027</v>
      </c>
      <c r="J309" s="1680">
        <v>2.35</v>
      </c>
      <c r="K309" s="1680">
        <v>2.56</v>
      </c>
      <c r="L309" s="1687" t="s">
        <v>5143</v>
      </c>
      <c r="M309" s="1685">
        <v>44533</v>
      </c>
    </row>
    <row r="310" spans="1:13" s="1378" customFormat="1" ht="28.5">
      <c r="A310" s="1680">
        <v>301</v>
      </c>
      <c r="B310" s="1686" t="s">
        <v>1036</v>
      </c>
      <c r="C310" s="1681" t="s">
        <v>5142</v>
      </c>
      <c r="D310" s="1687" t="s">
        <v>732</v>
      </c>
      <c r="E310" s="1687" t="s">
        <v>860</v>
      </c>
      <c r="F310" s="1682" t="s">
        <v>5122</v>
      </c>
      <c r="G310" s="1680">
        <v>85</v>
      </c>
      <c r="H310" s="1681" t="s">
        <v>1825</v>
      </c>
      <c r="I310" s="1682" t="s">
        <v>88</v>
      </c>
      <c r="J310" s="1680">
        <v>2.35</v>
      </c>
      <c r="K310" s="1680">
        <v>2.56</v>
      </c>
      <c r="L310" s="1687" t="s">
        <v>5143</v>
      </c>
      <c r="M310" s="1685">
        <v>44533</v>
      </c>
    </row>
    <row r="311" spans="1:13" s="1378" customFormat="1" ht="28.5">
      <c r="A311" s="1680">
        <v>302</v>
      </c>
      <c r="B311" s="1686" t="s">
        <v>1036</v>
      </c>
      <c r="C311" s="1681" t="s">
        <v>5142</v>
      </c>
      <c r="D311" s="1687" t="s">
        <v>732</v>
      </c>
      <c r="E311" s="1687" t="s">
        <v>860</v>
      </c>
      <c r="F311" s="1682" t="s">
        <v>5122</v>
      </c>
      <c r="G311" s="1680">
        <v>85</v>
      </c>
      <c r="H311" s="1681" t="s">
        <v>1825</v>
      </c>
      <c r="I311" s="1682" t="s">
        <v>1034</v>
      </c>
      <c r="J311" s="1680">
        <v>2.35</v>
      </c>
      <c r="K311" s="1680">
        <v>2.56</v>
      </c>
      <c r="L311" s="1687" t="s">
        <v>5143</v>
      </c>
      <c r="M311" s="1685">
        <v>44533</v>
      </c>
    </row>
    <row r="312" spans="1:13" s="1378" customFormat="1" ht="28.5">
      <c r="A312" s="1680">
        <v>303</v>
      </c>
      <c r="B312" s="1686" t="s">
        <v>1036</v>
      </c>
      <c r="C312" s="1681" t="s">
        <v>5142</v>
      </c>
      <c r="D312" s="1687" t="s">
        <v>732</v>
      </c>
      <c r="E312" s="1687" t="s">
        <v>860</v>
      </c>
      <c r="F312" s="1682" t="s">
        <v>5122</v>
      </c>
      <c r="G312" s="1680">
        <v>90</v>
      </c>
      <c r="H312" s="1681" t="s">
        <v>1826</v>
      </c>
      <c r="I312" s="1682" t="s">
        <v>1012</v>
      </c>
      <c r="J312" s="1680">
        <v>2.56</v>
      </c>
      <c r="K312" s="1680">
        <v>2.35</v>
      </c>
      <c r="L312" s="1687" t="s">
        <v>5143</v>
      </c>
      <c r="M312" s="1685">
        <v>44533</v>
      </c>
    </row>
    <row r="313" spans="1:13" s="1378" customFormat="1" ht="28.5">
      <c r="A313" s="1680">
        <v>304</v>
      </c>
      <c r="B313" s="1686" t="s">
        <v>1036</v>
      </c>
      <c r="C313" s="1681" t="s">
        <v>5142</v>
      </c>
      <c r="D313" s="1687" t="s">
        <v>732</v>
      </c>
      <c r="E313" s="1687" t="s">
        <v>860</v>
      </c>
      <c r="F313" s="1682" t="s">
        <v>5122</v>
      </c>
      <c r="G313" s="1680">
        <v>90</v>
      </c>
      <c r="H313" s="1681" t="s">
        <v>1826</v>
      </c>
      <c r="I313" s="1682" t="s">
        <v>1022</v>
      </c>
      <c r="J313" s="1680">
        <v>2.56</v>
      </c>
      <c r="K313" s="1680">
        <v>2.35</v>
      </c>
      <c r="L313" s="1687" t="s">
        <v>5143</v>
      </c>
      <c r="M313" s="1685">
        <v>44533</v>
      </c>
    </row>
    <row r="314" spans="1:13" s="1378" customFormat="1" ht="28.5">
      <c r="A314" s="1680">
        <v>305</v>
      </c>
      <c r="B314" s="1686" t="s">
        <v>1036</v>
      </c>
      <c r="C314" s="1681" t="s">
        <v>5142</v>
      </c>
      <c r="D314" s="1687" t="s">
        <v>732</v>
      </c>
      <c r="E314" s="1687" t="s">
        <v>860</v>
      </c>
      <c r="F314" s="1682" t="s">
        <v>5122</v>
      </c>
      <c r="G314" s="1680">
        <v>90</v>
      </c>
      <c r="H314" s="1681" t="s">
        <v>1826</v>
      </c>
      <c r="I314" s="1682" t="s">
        <v>1027</v>
      </c>
      <c r="J314" s="1680">
        <v>2.56</v>
      </c>
      <c r="K314" s="1680">
        <v>2.35</v>
      </c>
      <c r="L314" s="1687" t="s">
        <v>5143</v>
      </c>
      <c r="M314" s="1685">
        <v>44533</v>
      </c>
    </row>
    <row r="315" spans="1:13" s="1378" customFormat="1" ht="28.5">
      <c r="A315" s="1680">
        <v>306</v>
      </c>
      <c r="B315" s="1686" t="s">
        <v>1036</v>
      </c>
      <c r="C315" s="1681" t="s">
        <v>5142</v>
      </c>
      <c r="D315" s="1687" t="s">
        <v>732</v>
      </c>
      <c r="E315" s="1687" t="s">
        <v>860</v>
      </c>
      <c r="F315" s="1682" t="s">
        <v>5122</v>
      </c>
      <c r="G315" s="1680">
        <v>90</v>
      </c>
      <c r="H315" s="1681" t="s">
        <v>1826</v>
      </c>
      <c r="I315" s="1682" t="s">
        <v>88</v>
      </c>
      <c r="J315" s="1680">
        <v>2.56</v>
      </c>
      <c r="K315" s="1680">
        <v>2.35</v>
      </c>
      <c r="L315" s="1687" t="s">
        <v>5143</v>
      </c>
      <c r="M315" s="1685">
        <v>44533</v>
      </c>
    </row>
    <row r="316" spans="1:13" s="1378" customFormat="1" ht="28.5">
      <c r="A316" s="1680">
        <v>307</v>
      </c>
      <c r="B316" s="1686" t="s">
        <v>1036</v>
      </c>
      <c r="C316" s="1681" t="s">
        <v>5142</v>
      </c>
      <c r="D316" s="1687" t="s">
        <v>732</v>
      </c>
      <c r="E316" s="1687" t="s">
        <v>860</v>
      </c>
      <c r="F316" s="1682" t="s">
        <v>5122</v>
      </c>
      <c r="G316" s="1680">
        <v>90</v>
      </c>
      <c r="H316" s="1681" t="s">
        <v>1826</v>
      </c>
      <c r="I316" s="1682" t="s">
        <v>1034</v>
      </c>
      <c r="J316" s="1680">
        <v>2.56</v>
      </c>
      <c r="K316" s="1680">
        <v>2.35</v>
      </c>
      <c r="L316" s="1687" t="s">
        <v>5143</v>
      </c>
      <c r="M316" s="1685">
        <v>44533</v>
      </c>
    </row>
    <row r="317" spans="1:13" s="1378" customFormat="1" ht="28.5">
      <c r="A317" s="1680">
        <v>308</v>
      </c>
      <c r="B317" s="1686" t="s">
        <v>1060</v>
      </c>
      <c r="C317" s="1684" t="s">
        <v>1900</v>
      </c>
      <c r="D317" s="1687" t="s">
        <v>646</v>
      </c>
      <c r="E317" s="1687" t="s">
        <v>860</v>
      </c>
      <c r="F317" s="1682" t="s">
        <v>5122</v>
      </c>
      <c r="G317" s="1680">
        <v>36</v>
      </c>
      <c r="H317" s="1680" t="s">
        <v>989</v>
      </c>
      <c r="I317" s="1692"/>
      <c r="J317" s="1692" t="s">
        <v>1009</v>
      </c>
      <c r="K317" s="1692" t="s">
        <v>1019</v>
      </c>
      <c r="L317" s="1687" t="s">
        <v>5050</v>
      </c>
      <c r="M317" s="1685">
        <v>44539</v>
      </c>
    </row>
    <row r="318" spans="1:13" s="1378" customFormat="1" ht="28.5">
      <c r="A318" s="1680">
        <v>309</v>
      </c>
      <c r="B318" s="1686" t="s">
        <v>1015</v>
      </c>
      <c r="C318" s="1684" t="s">
        <v>2052</v>
      </c>
      <c r="D318" s="1687" t="s">
        <v>646</v>
      </c>
      <c r="E318" s="1687" t="s">
        <v>860</v>
      </c>
      <c r="F318" s="1682" t="s">
        <v>5122</v>
      </c>
      <c r="G318" s="1680">
        <v>36</v>
      </c>
      <c r="H318" s="1680" t="s">
        <v>989</v>
      </c>
      <c r="I318" s="1692"/>
      <c r="J318" s="1692" t="s">
        <v>1009</v>
      </c>
      <c r="K318" s="1692" t="s">
        <v>1019</v>
      </c>
      <c r="L318" s="1687" t="s">
        <v>5050</v>
      </c>
      <c r="M318" s="1685">
        <v>44539</v>
      </c>
    </row>
    <row r="319" spans="1:13" s="1381" customFormat="1" ht="28.5">
      <c r="A319" s="1634">
        <v>310</v>
      </c>
      <c r="B319" s="1635" t="s">
        <v>1064</v>
      </c>
      <c r="C319" s="1636" t="s">
        <v>2271</v>
      </c>
      <c r="D319" s="1636" t="s">
        <v>646</v>
      </c>
      <c r="E319" s="1636" t="s">
        <v>860</v>
      </c>
      <c r="F319" s="1634" t="s">
        <v>5122</v>
      </c>
      <c r="G319" s="1634">
        <v>36</v>
      </c>
      <c r="H319" s="1634" t="s">
        <v>989</v>
      </c>
      <c r="I319" s="1629"/>
      <c r="J319" s="1629" t="s">
        <v>1009</v>
      </c>
      <c r="K319" s="1629" t="s">
        <v>1019</v>
      </c>
      <c r="L319" s="1636" t="s">
        <v>5050</v>
      </c>
      <c r="M319" s="1637">
        <v>44539</v>
      </c>
    </row>
    <row r="320" spans="1:13" s="1378" customFormat="1" ht="28.5">
      <c r="A320" s="1680">
        <v>311</v>
      </c>
      <c r="B320" s="1686" t="s">
        <v>5051</v>
      </c>
      <c r="C320" s="1684" t="s">
        <v>2355</v>
      </c>
      <c r="D320" s="1687" t="s">
        <v>646</v>
      </c>
      <c r="E320" s="1687" t="s">
        <v>860</v>
      </c>
      <c r="F320" s="1682" t="s">
        <v>5122</v>
      </c>
      <c r="G320" s="1680">
        <v>36</v>
      </c>
      <c r="H320" s="1680" t="s">
        <v>989</v>
      </c>
      <c r="I320" s="1692"/>
      <c r="J320" s="1692" t="s">
        <v>1009</v>
      </c>
      <c r="K320" s="1692" t="s">
        <v>1019</v>
      </c>
      <c r="L320" s="1687" t="s">
        <v>5050</v>
      </c>
      <c r="M320" s="1685">
        <v>44539</v>
      </c>
    </row>
    <row r="321" spans="1:13" s="1378" customFormat="1" ht="28.5">
      <c r="A321" s="1680">
        <v>312</v>
      </c>
      <c r="B321" s="1686" t="s">
        <v>1032</v>
      </c>
      <c r="C321" s="1684" t="s">
        <v>2497</v>
      </c>
      <c r="D321" s="1687" t="s">
        <v>646</v>
      </c>
      <c r="E321" s="1687" t="s">
        <v>860</v>
      </c>
      <c r="F321" s="1682" t="s">
        <v>5122</v>
      </c>
      <c r="G321" s="1680">
        <v>36</v>
      </c>
      <c r="H321" s="1680" t="s">
        <v>989</v>
      </c>
      <c r="I321" s="1692"/>
      <c r="J321" s="1692" t="s">
        <v>1009</v>
      </c>
      <c r="K321" s="1692" t="s">
        <v>1019</v>
      </c>
      <c r="L321" s="1687" t="s">
        <v>5050</v>
      </c>
      <c r="M321" s="1685">
        <v>44539</v>
      </c>
    </row>
    <row r="322" spans="1:13" s="1378" customFormat="1" ht="28.5">
      <c r="A322" s="1680">
        <v>313</v>
      </c>
      <c r="B322" s="1686" t="s">
        <v>1068</v>
      </c>
      <c r="C322" s="1684" t="s">
        <v>2708</v>
      </c>
      <c r="D322" s="1687" t="s">
        <v>646</v>
      </c>
      <c r="E322" s="1687" t="s">
        <v>860</v>
      </c>
      <c r="F322" s="1682" t="s">
        <v>5122</v>
      </c>
      <c r="G322" s="1680">
        <v>36</v>
      </c>
      <c r="H322" s="1680" t="s">
        <v>989</v>
      </c>
      <c r="I322" s="1692"/>
      <c r="J322" s="1692" t="s">
        <v>1009</v>
      </c>
      <c r="K322" s="1692" t="s">
        <v>1019</v>
      </c>
      <c r="L322" s="1687" t="s">
        <v>5050</v>
      </c>
      <c r="M322" s="1685">
        <v>44539</v>
      </c>
    </row>
    <row r="323" spans="1:13" s="1378" customFormat="1" ht="28.5">
      <c r="A323" s="1680">
        <v>314</v>
      </c>
      <c r="B323" s="1686" t="s">
        <v>5052</v>
      </c>
      <c r="C323" s="1684" t="s">
        <v>2876</v>
      </c>
      <c r="D323" s="1687" t="s">
        <v>646</v>
      </c>
      <c r="E323" s="1687" t="s">
        <v>860</v>
      </c>
      <c r="F323" s="1682" t="s">
        <v>5122</v>
      </c>
      <c r="G323" s="1680">
        <v>36</v>
      </c>
      <c r="H323" s="1680" t="s">
        <v>989</v>
      </c>
      <c r="I323" s="1692"/>
      <c r="J323" s="1692" t="s">
        <v>1009</v>
      </c>
      <c r="K323" s="1692" t="s">
        <v>1019</v>
      </c>
      <c r="L323" s="1687" t="s">
        <v>5050</v>
      </c>
      <c r="M323" s="1685">
        <v>44539</v>
      </c>
    </row>
    <row r="324" spans="1:13" s="1378" customFormat="1" ht="28.5">
      <c r="A324" s="1680">
        <v>315</v>
      </c>
      <c r="B324" s="1686" t="s">
        <v>1075</v>
      </c>
      <c r="C324" s="1684" t="s">
        <v>2937</v>
      </c>
      <c r="D324" s="1687" t="s">
        <v>646</v>
      </c>
      <c r="E324" s="1687" t="s">
        <v>860</v>
      </c>
      <c r="F324" s="1682" t="s">
        <v>5122</v>
      </c>
      <c r="G324" s="1680">
        <v>36</v>
      </c>
      <c r="H324" s="1680" t="s">
        <v>989</v>
      </c>
      <c r="I324" s="1692"/>
      <c r="J324" s="1692" t="s">
        <v>1009</v>
      </c>
      <c r="K324" s="1692" t="s">
        <v>1019</v>
      </c>
      <c r="L324" s="1687" t="s">
        <v>5050</v>
      </c>
      <c r="M324" s="1685">
        <v>44539</v>
      </c>
    </row>
    <row r="325" spans="1:13" s="1378" customFormat="1" ht="28.5">
      <c r="A325" s="1680">
        <v>316</v>
      </c>
      <c r="B325" s="1686" t="s">
        <v>1038</v>
      </c>
      <c r="C325" s="1684" t="s">
        <v>3082</v>
      </c>
      <c r="D325" s="1687" t="s">
        <v>646</v>
      </c>
      <c r="E325" s="1687" t="s">
        <v>860</v>
      </c>
      <c r="F325" s="1682" t="s">
        <v>5122</v>
      </c>
      <c r="G325" s="1680">
        <v>36</v>
      </c>
      <c r="H325" s="1680" t="s">
        <v>989</v>
      </c>
      <c r="I325" s="1692"/>
      <c r="J325" s="1692" t="s">
        <v>1009</v>
      </c>
      <c r="K325" s="1692" t="s">
        <v>1019</v>
      </c>
      <c r="L325" s="1687" t="s">
        <v>5050</v>
      </c>
      <c r="M325" s="1685">
        <v>44539</v>
      </c>
    </row>
    <row r="326" spans="1:13" s="1378" customFormat="1" ht="28.5">
      <c r="A326" s="1680">
        <v>317</v>
      </c>
      <c r="B326" s="1686" t="s">
        <v>1078</v>
      </c>
      <c r="C326" s="1684" t="s">
        <v>3344</v>
      </c>
      <c r="D326" s="1687" t="s">
        <v>646</v>
      </c>
      <c r="E326" s="1687" t="s">
        <v>860</v>
      </c>
      <c r="F326" s="1682" t="s">
        <v>5122</v>
      </c>
      <c r="G326" s="1680">
        <v>36</v>
      </c>
      <c r="H326" s="1680" t="s">
        <v>989</v>
      </c>
      <c r="I326" s="1692"/>
      <c r="J326" s="1692" t="s">
        <v>1009</v>
      </c>
      <c r="K326" s="1692" t="s">
        <v>1019</v>
      </c>
      <c r="L326" s="1687" t="s">
        <v>5050</v>
      </c>
      <c r="M326" s="1685">
        <v>44539</v>
      </c>
    </row>
    <row r="327" spans="1:13" s="1378" customFormat="1" ht="28.5">
      <c r="A327" s="1680">
        <v>318</v>
      </c>
      <c r="B327" s="1686" t="s">
        <v>1078</v>
      </c>
      <c r="C327" s="1684" t="s">
        <v>3348</v>
      </c>
      <c r="D327" s="1687" t="s">
        <v>646</v>
      </c>
      <c r="E327" s="1687" t="s">
        <v>860</v>
      </c>
      <c r="F327" s="1682" t="s">
        <v>5122</v>
      </c>
      <c r="G327" s="1680">
        <v>36</v>
      </c>
      <c r="H327" s="1680" t="s">
        <v>989</v>
      </c>
      <c r="I327" s="1692"/>
      <c r="J327" s="1692" t="s">
        <v>1009</v>
      </c>
      <c r="K327" s="1692" t="s">
        <v>1019</v>
      </c>
      <c r="L327" s="1687" t="s">
        <v>5050</v>
      </c>
      <c r="M327" s="1685">
        <v>44539</v>
      </c>
    </row>
    <row r="328" spans="1:13" s="1378" customFormat="1" ht="28.5">
      <c r="A328" s="1680">
        <v>319</v>
      </c>
      <c r="B328" s="1686" t="s">
        <v>1036</v>
      </c>
      <c r="C328" s="1684" t="s">
        <v>3519</v>
      </c>
      <c r="D328" s="1687" t="s">
        <v>646</v>
      </c>
      <c r="E328" s="1687" t="s">
        <v>860</v>
      </c>
      <c r="F328" s="1682" t="s">
        <v>5122</v>
      </c>
      <c r="G328" s="1680">
        <v>36</v>
      </c>
      <c r="H328" s="1680" t="s">
        <v>989</v>
      </c>
      <c r="I328" s="1692"/>
      <c r="J328" s="1692" t="s">
        <v>1009</v>
      </c>
      <c r="K328" s="1692" t="s">
        <v>1019</v>
      </c>
      <c r="L328" s="1687" t="s">
        <v>5050</v>
      </c>
      <c r="M328" s="1685">
        <v>44539</v>
      </c>
    </row>
    <row r="329" spans="1:13" s="1378" customFormat="1" ht="28.5">
      <c r="A329" s="1680">
        <v>320</v>
      </c>
      <c r="B329" s="1686" t="s">
        <v>1045</v>
      </c>
      <c r="C329" s="1684" t="s">
        <v>3796</v>
      </c>
      <c r="D329" s="1687" t="s">
        <v>646</v>
      </c>
      <c r="E329" s="1687" t="s">
        <v>860</v>
      </c>
      <c r="F329" s="1682" t="s">
        <v>5122</v>
      </c>
      <c r="G329" s="1680">
        <v>36</v>
      </c>
      <c r="H329" s="1680" t="s">
        <v>989</v>
      </c>
      <c r="I329" s="1692"/>
      <c r="J329" s="1692" t="s">
        <v>1009</v>
      </c>
      <c r="K329" s="1692" t="s">
        <v>1019</v>
      </c>
      <c r="L329" s="1687" t="s">
        <v>5050</v>
      </c>
      <c r="M329" s="1685">
        <v>44539</v>
      </c>
    </row>
    <row r="330" spans="1:13" s="1378" customFormat="1" ht="28.5">
      <c r="A330" s="1680">
        <v>321</v>
      </c>
      <c r="B330" s="1686" t="s">
        <v>1050</v>
      </c>
      <c r="C330" s="1684" t="s">
        <v>4024</v>
      </c>
      <c r="D330" s="1687" t="s">
        <v>646</v>
      </c>
      <c r="E330" s="1687" t="s">
        <v>860</v>
      </c>
      <c r="F330" s="1682" t="s">
        <v>5122</v>
      </c>
      <c r="G330" s="1680">
        <v>36</v>
      </c>
      <c r="H330" s="1680" t="s">
        <v>989</v>
      </c>
      <c r="I330" s="1692"/>
      <c r="J330" s="1692" t="s">
        <v>1009</v>
      </c>
      <c r="K330" s="1692" t="s">
        <v>1019</v>
      </c>
      <c r="L330" s="1687" t="s">
        <v>5050</v>
      </c>
      <c r="M330" s="1685">
        <v>44539</v>
      </c>
    </row>
    <row r="331" spans="1:13" s="1378" customFormat="1" ht="28.5">
      <c r="A331" s="1680">
        <v>322</v>
      </c>
      <c r="B331" s="1686" t="s">
        <v>1024</v>
      </c>
      <c r="C331" s="1684" t="s">
        <v>4236</v>
      </c>
      <c r="D331" s="1687" t="s">
        <v>646</v>
      </c>
      <c r="E331" s="1687" t="s">
        <v>860</v>
      </c>
      <c r="F331" s="1682" t="s">
        <v>5122</v>
      </c>
      <c r="G331" s="1680">
        <v>36</v>
      </c>
      <c r="H331" s="1680" t="s">
        <v>989</v>
      </c>
      <c r="I331" s="1692"/>
      <c r="J331" s="1692" t="s">
        <v>1009</v>
      </c>
      <c r="K331" s="1692" t="s">
        <v>1019</v>
      </c>
      <c r="L331" s="1687" t="s">
        <v>5050</v>
      </c>
      <c r="M331" s="1685">
        <v>44539</v>
      </c>
    </row>
    <row r="332" spans="1:13" s="1378" customFormat="1" ht="28.5">
      <c r="A332" s="1680">
        <v>323</v>
      </c>
      <c r="B332" s="1686" t="s">
        <v>1054</v>
      </c>
      <c r="C332" s="1684" t="s">
        <v>4452</v>
      </c>
      <c r="D332" s="1687" t="s">
        <v>646</v>
      </c>
      <c r="E332" s="1687" t="s">
        <v>860</v>
      </c>
      <c r="F332" s="1682" t="s">
        <v>5122</v>
      </c>
      <c r="G332" s="1680">
        <v>36</v>
      </c>
      <c r="H332" s="1680" t="s">
        <v>989</v>
      </c>
      <c r="I332" s="1692"/>
      <c r="J332" s="1692" t="s">
        <v>1009</v>
      </c>
      <c r="K332" s="1692" t="s">
        <v>1019</v>
      </c>
      <c r="L332" s="1687" t="s">
        <v>5050</v>
      </c>
      <c r="M332" s="1685">
        <v>44539</v>
      </c>
    </row>
    <row r="333" spans="1:13" s="1381" customFormat="1" ht="28.5">
      <c r="A333" s="1634">
        <v>324</v>
      </c>
      <c r="B333" s="1635" t="s">
        <v>1057</v>
      </c>
      <c r="C333" s="1636" t="s">
        <v>4683</v>
      </c>
      <c r="D333" s="1636" t="s">
        <v>646</v>
      </c>
      <c r="E333" s="1636" t="s">
        <v>860</v>
      </c>
      <c r="F333" s="1634" t="s">
        <v>5122</v>
      </c>
      <c r="G333" s="1634">
        <v>36</v>
      </c>
      <c r="H333" s="1634" t="s">
        <v>989</v>
      </c>
      <c r="I333" s="1629"/>
      <c r="J333" s="1629" t="s">
        <v>1009</v>
      </c>
      <c r="K333" s="1629" t="s">
        <v>1019</v>
      </c>
      <c r="L333" s="1636" t="s">
        <v>5050</v>
      </c>
      <c r="M333" s="1637">
        <v>44539</v>
      </c>
    </row>
    <row r="334" spans="1:13" s="1378" customFormat="1" ht="28.5">
      <c r="A334" s="1680">
        <v>325</v>
      </c>
      <c r="B334" s="1686" t="s">
        <v>1075</v>
      </c>
      <c r="C334" s="1684" t="s">
        <v>3018</v>
      </c>
      <c r="D334" s="1687" t="s">
        <v>3020</v>
      </c>
      <c r="E334" s="1687" t="s">
        <v>860</v>
      </c>
      <c r="F334" s="1682" t="s">
        <v>5122</v>
      </c>
      <c r="G334" s="1680">
        <v>36</v>
      </c>
      <c r="H334" s="1680" t="s">
        <v>989</v>
      </c>
      <c r="I334" s="1692"/>
      <c r="J334" s="1692" t="s">
        <v>1009</v>
      </c>
      <c r="K334" s="1692" t="s">
        <v>1019</v>
      </c>
      <c r="L334" s="1687" t="s">
        <v>5050</v>
      </c>
      <c r="M334" s="1685">
        <v>44539</v>
      </c>
    </row>
    <row r="335" spans="1:13" s="1381" customFormat="1" ht="52.5">
      <c r="A335" s="1634">
        <v>326</v>
      </c>
      <c r="B335" s="1635" t="s">
        <v>4975</v>
      </c>
      <c r="C335" s="1635" t="s">
        <v>4975</v>
      </c>
      <c r="D335" s="1635" t="s">
        <v>4975</v>
      </c>
      <c r="E335" s="1636" t="s">
        <v>860</v>
      </c>
      <c r="F335" s="1634" t="s">
        <v>5122</v>
      </c>
      <c r="G335" s="1634">
        <v>115</v>
      </c>
      <c r="H335" s="1694" t="s">
        <v>5144</v>
      </c>
      <c r="I335" s="1629" t="s">
        <v>5009</v>
      </c>
      <c r="J335" s="1526" t="s">
        <v>5145</v>
      </c>
      <c r="K335" s="1526" t="s">
        <v>1876</v>
      </c>
      <c r="L335" s="1636" t="s">
        <v>5146</v>
      </c>
      <c r="M335" s="1637">
        <v>44540</v>
      </c>
    </row>
    <row r="336" spans="1:13" s="1381" customFormat="1" ht="52.5">
      <c r="A336" s="1634">
        <v>327</v>
      </c>
      <c r="B336" s="1635" t="s">
        <v>4975</v>
      </c>
      <c r="C336" s="1635" t="s">
        <v>4975</v>
      </c>
      <c r="D336" s="1635" t="s">
        <v>4975</v>
      </c>
      <c r="E336" s="1636" t="s">
        <v>860</v>
      </c>
      <c r="F336" s="1634" t="s">
        <v>5122</v>
      </c>
      <c r="G336" s="1634">
        <v>115</v>
      </c>
      <c r="H336" s="1694" t="s">
        <v>5144</v>
      </c>
      <c r="I336" s="1629" t="s">
        <v>5009</v>
      </c>
      <c r="J336" s="1526" t="s">
        <v>5147</v>
      </c>
      <c r="K336" s="1526" t="s">
        <v>1877</v>
      </c>
      <c r="L336" s="1636" t="s">
        <v>5146</v>
      </c>
      <c r="M336" s="1637">
        <v>44540</v>
      </c>
    </row>
    <row r="337" spans="1:13" s="1381" customFormat="1" ht="52.5">
      <c r="A337" s="1634">
        <v>328</v>
      </c>
      <c r="B337" s="1635" t="s">
        <v>4975</v>
      </c>
      <c r="C337" s="1635" t="s">
        <v>4975</v>
      </c>
      <c r="D337" s="1635" t="s">
        <v>4975</v>
      </c>
      <c r="E337" s="1636" t="s">
        <v>860</v>
      </c>
      <c r="F337" s="1634" t="s">
        <v>5122</v>
      </c>
      <c r="G337" s="1634">
        <v>115</v>
      </c>
      <c r="H337" s="1694" t="s">
        <v>5144</v>
      </c>
      <c r="I337" s="1629" t="s">
        <v>5009</v>
      </c>
      <c r="J337" s="1526" t="s">
        <v>5148</v>
      </c>
      <c r="K337" s="1526" t="s">
        <v>1878</v>
      </c>
      <c r="L337" s="1636" t="s">
        <v>5146</v>
      </c>
      <c r="M337" s="1637">
        <v>44540</v>
      </c>
    </row>
    <row r="338" spans="1:13" s="1381" customFormat="1" ht="52.5">
      <c r="A338" s="1634">
        <v>329</v>
      </c>
      <c r="B338" s="1635" t="s">
        <v>4975</v>
      </c>
      <c r="C338" s="1635" t="s">
        <v>4975</v>
      </c>
      <c r="D338" s="1635" t="s">
        <v>4975</v>
      </c>
      <c r="E338" s="1636" t="s">
        <v>860</v>
      </c>
      <c r="F338" s="1634" t="s">
        <v>5122</v>
      </c>
      <c r="G338" s="1634">
        <v>119</v>
      </c>
      <c r="H338" s="1694" t="s">
        <v>5149</v>
      </c>
      <c r="I338" s="1629" t="s">
        <v>5009</v>
      </c>
      <c r="J338" s="1526" t="s">
        <v>5150</v>
      </c>
      <c r="K338" s="1526" t="s">
        <v>1880</v>
      </c>
      <c r="L338" s="1636" t="s">
        <v>5146</v>
      </c>
      <c r="M338" s="1637">
        <v>44540</v>
      </c>
    </row>
    <row r="339" spans="1:13" s="1381" customFormat="1" ht="52.5">
      <c r="A339" s="1634">
        <v>330</v>
      </c>
      <c r="B339" s="1635" t="s">
        <v>4975</v>
      </c>
      <c r="C339" s="1635" t="s">
        <v>4975</v>
      </c>
      <c r="D339" s="1635" t="s">
        <v>4975</v>
      </c>
      <c r="E339" s="1636" t="s">
        <v>860</v>
      </c>
      <c r="F339" s="1634" t="s">
        <v>5122</v>
      </c>
      <c r="G339" s="1634">
        <v>119</v>
      </c>
      <c r="H339" s="1694" t="s">
        <v>5149</v>
      </c>
      <c r="I339" s="1629" t="s">
        <v>5009</v>
      </c>
      <c r="J339" s="1526" t="s">
        <v>5151</v>
      </c>
      <c r="K339" s="1526" t="s">
        <v>1881</v>
      </c>
      <c r="L339" s="1636" t="s">
        <v>5146</v>
      </c>
      <c r="M339" s="1637">
        <v>44540</v>
      </c>
    </row>
    <row r="340" spans="1:13" s="1381" customFormat="1" ht="52.5">
      <c r="A340" s="1634">
        <v>331</v>
      </c>
      <c r="B340" s="1635" t="s">
        <v>4975</v>
      </c>
      <c r="C340" s="1635" t="s">
        <v>4975</v>
      </c>
      <c r="D340" s="1635" t="s">
        <v>4975</v>
      </c>
      <c r="E340" s="1636" t="s">
        <v>860</v>
      </c>
      <c r="F340" s="1634" t="s">
        <v>5122</v>
      </c>
      <c r="G340" s="1634">
        <v>119</v>
      </c>
      <c r="H340" s="1694" t="s">
        <v>5149</v>
      </c>
      <c r="I340" s="1629" t="s">
        <v>5009</v>
      </c>
      <c r="J340" s="1526" t="s">
        <v>5152</v>
      </c>
      <c r="K340" s="1526" t="s">
        <v>1882</v>
      </c>
      <c r="L340" s="1636" t="s">
        <v>5146</v>
      </c>
      <c r="M340" s="1637">
        <v>44540</v>
      </c>
    </row>
    <row r="341" spans="1:13" s="1378" customFormat="1" ht="14.25">
      <c r="A341" s="1680">
        <v>332</v>
      </c>
      <c r="B341" s="1686" t="s">
        <v>1032</v>
      </c>
      <c r="C341" s="1684" t="s">
        <v>2489</v>
      </c>
      <c r="D341" s="1686" t="s">
        <v>5054</v>
      </c>
      <c r="E341" s="1687" t="s">
        <v>4926</v>
      </c>
      <c r="F341" s="1682" t="s">
        <v>5122</v>
      </c>
      <c r="G341" s="1680">
        <v>105</v>
      </c>
      <c r="H341" s="1681" t="s">
        <v>1829</v>
      </c>
      <c r="I341" s="1682" t="s">
        <v>1012</v>
      </c>
      <c r="J341" s="1695">
        <v>37.700000000000003</v>
      </c>
      <c r="K341" s="1695" t="s">
        <v>4805</v>
      </c>
      <c r="L341" s="1687" t="s">
        <v>5047</v>
      </c>
      <c r="M341" s="1685">
        <v>44545</v>
      </c>
    </row>
    <row r="342" spans="1:13" s="1378" customFormat="1" ht="14.25">
      <c r="A342" s="1680">
        <v>333</v>
      </c>
      <c r="B342" s="1686" t="s">
        <v>1032</v>
      </c>
      <c r="C342" s="1684" t="s">
        <v>2489</v>
      </c>
      <c r="D342" s="1686" t="s">
        <v>5054</v>
      </c>
      <c r="E342" s="1687" t="s">
        <v>4926</v>
      </c>
      <c r="F342" s="1682" t="s">
        <v>5122</v>
      </c>
      <c r="G342" s="1680">
        <v>105</v>
      </c>
      <c r="H342" s="1681" t="s">
        <v>1829</v>
      </c>
      <c r="I342" s="1682" t="s">
        <v>1022</v>
      </c>
      <c r="J342" s="1695">
        <v>38.299999999999997</v>
      </c>
      <c r="K342" s="1695" t="s">
        <v>4805</v>
      </c>
      <c r="L342" s="1687" t="s">
        <v>5047</v>
      </c>
      <c r="M342" s="1685">
        <v>44545</v>
      </c>
    </row>
    <row r="343" spans="1:13" s="1378" customFormat="1" ht="14.25">
      <c r="A343" s="1680">
        <v>334</v>
      </c>
      <c r="B343" s="1686" t="s">
        <v>1032</v>
      </c>
      <c r="C343" s="1684" t="s">
        <v>2489</v>
      </c>
      <c r="D343" s="1686" t="s">
        <v>5054</v>
      </c>
      <c r="E343" s="1687" t="s">
        <v>4926</v>
      </c>
      <c r="F343" s="1682" t="s">
        <v>5122</v>
      </c>
      <c r="G343" s="1680">
        <v>105</v>
      </c>
      <c r="H343" s="1681" t="s">
        <v>1829</v>
      </c>
      <c r="I343" s="1682" t="s">
        <v>1027</v>
      </c>
      <c r="J343" s="1695">
        <v>39.200000000000003</v>
      </c>
      <c r="K343" s="1695" t="s">
        <v>4805</v>
      </c>
      <c r="L343" s="1687" t="s">
        <v>5047</v>
      </c>
      <c r="M343" s="1685">
        <v>44545</v>
      </c>
    </row>
    <row r="344" spans="1:13" s="1378" customFormat="1" ht="14.25">
      <c r="A344" s="1680">
        <v>335</v>
      </c>
      <c r="B344" s="1686" t="s">
        <v>1032</v>
      </c>
      <c r="C344" s="1684" t="s">
        <v>2489</v>
      </c>
      <c r="D344" s="1686" t="s">
        <v>5054</v>
      </c>
      <c r="E344" s="1687" t="s">
        <v>4926</v>
      </c>
      <c r="F344" s="1682" t="s">
        <v>5122</v>
      </c>
      <c r="G344" s="1680">
        <v>105</v>
      </c>
      <c r="H344" s="1681" t="s">
        <v>1829</v>
      </c>
      <c r="I344" s="1682" t="s">
        <v>88</v>
      </c>
      <c r="J344" s="1695">
        <v>40.299999999999997</v>
      </c>
      <c r="K344" s="1695" t="s">
        <v>4805</v>
      </c>
      <c r="L344" s="1687" t="s">
        <v>5047</v>
      </c>
      <c r="M344" s="1685">
        <v>44545</v>
      </c>
    </row>
    <row r="345" spans="1:13" s="1378" customFormat="1" ht="14.25">
      <c r="A345" s="1680">
        <v>336</v>
      </c>
      <c r="B345" s="1686" t="s">
        <v>1032</v>
      </c>
      <c r="C345" s="1684" t="s">
        <v>2489</v>
      </c>
      <c r="D345" s="1686" t="s">
        <v>5054</v>
      </c>
      <c r="E345" s="1687" t="s">
        <v>4926</v>
      </c>
      <c r="F345" s="1682" t="s">
        <v>5122</v>
      </c>
      <c r="G345" s="1680">
        <v>105</v>
      </c>
      <c r="H345" s="1681" t="s">
        <v>1829</v>
      </c>
      <c r="I345" s="1682" t="s">
        <v>1034</v>
      </c>
      <c r="J345" s="1695">
        <v>42.2</v>
      </c>
      <c r="K345" s="1695" t="s">
        <v>4805</v>
      </c>
      <c r="L345" s="1687" t="s">
        <v>5047</v>
      </c>
      <c r="M345" s="1685">
        <v>44545</v>
      </c>
    </row>
    <row r="346" spans="1:13" s="1378" customFormat="1" ht="14.25">
      <c r="A346" s="1680">
        <v>337</v>
      </c>
      <c r="B346" s="1681" t="s">
        <v>1015</v>
      </c>
      <c r="C346" s="1681" t="s">
        <v>2045</v>
      </c>
      <c r="D346" s="1687" t="s">
        <v>137</v>
      </c>
      <c r="E346" s="1687" t="s">
        <v>860</v>
      </c>
      <c r="F346" s="1680" t="s">
        <v>5122</v>
      </c>
      <c r="G346" s="1680">
        <v>105</v>
      </c>
      <c r="H346" s="1696" t="s">
        <v>1829</v>
      </c>
      <c r="I346" s="1682" t="s">
        <v>1012</v>
      </c>
      <c r="J346" s="1697" t="s">
        <v>5153</v>
      </c>
      <c r="K346" s="1698">
        <v>3.9004629629629632E-3</v>
      </c>
      <c r="L346" s="1687" t="s">
        <v>5154</v>
      </c>
      <c r="M346" s="1685">
        <v>44547</v>
      </c>
    </row>
    <row r="347" spans="1:13" s="1378" customFormat="1" ht="14.25">
      <c r="A347" s="1680">
        <v>338</v>
      </c>
      <c r="B347" s="1681" t="s">
        <v>1015</v>
      </c>
      <c r="C347" s="1681" t="s">
        <v>2045</v>
      </c>
      <c r="D347" s="1687" t="s">
        <v>137</v>
      </c>
      <c r="E347" s="1687" t="s">
        <v>860</v>
      </c>
      <c r="F347" s="1680" t="s">
        <v>5122</v>
      </c>
      <c r="G347" s="1680">
        <v>105</v>
      </c>
      <c r="H347" s="1696" t="s">
        <v>1829</v>
      </c>
      <c r="I347" s="1682" t="s">
        <v>1027</v>
      </c>
      <c r="J347" s="1697" t="s">
        <v>5155</v>
      </c>
      <c r="K347" s="1698">
        <v>2.8356481481481479E-3</v>
      </c>
      <c r="L347" s="1687" t="s">
        <v>5154</v>
      </c>
      <c r="M347" s="1685">
        <v>44547</v>
      </c>
    </row>
    <row r="348" spans="1:13" s="1378" customFormat="1" ht="14.25">
      <c r="A348" s="1680">
        <v>339</v>
      </c>
      <c r="B348" s="1681" t="s">
        <v>1015</v>
      </c>
      <c r="C348" s="1681" t="s">
        <v>2045</v>
      </c>
      <c r="D348" s="1687" t="s">
        <v>137</v>
      </c>
      <c r="E348" s="1687" t="s">
        <v>860</v>
      </c>
      <c r="F348" s="1680" t="s">
        <v>5122</v>
      </c>
      <c r="G348" s="1680">
        <v>105</v>
      </c>
      <c r="H348" s="1696" t="s">
        <v>1829</v>
      </c>
      <c r="I348" s="1682" t="s">
        <v>88</v>
      </c>
      <c r="J348" s="1697" t="s">
        <v>5156</v>
      </c>
      <c r="K348" s="1698">
        <v>2.2800925925925927E-3</v>
      </c>
      <c r="L348" s="1687" t="s">
        <v>5154</v>
      </c>
      <c r="M348" s="1685">
        <v>44547</v>
      </c>
    </row>
    <row r="349" spans="1:13" s="1378" customFormat="1" ht="14.25">
      <c r="A349" s="1680">
        <v>340</v>
      </c>
      <c r="B349" s="1681" t="s">
        <v>1015</v>
      </c>
      <c r="C349" s="1681" t="s">
        <v>2045</v>
      </c>
      <c r="D349" s="1687" t="s">
        <v>137</v>
      </c>
      <c r="E349" s="1687" t="s">
        <v>860</v>
      </c>
      <c r="F349" s="1680" t="s">
        <v>5122</v>
      </c>
      <c r="G349" s="1680">
        <v>105</v>
      </c>
      <c r="H349" s="1696" t="s">
        <v>1829</v>
      </c>
      <c r="I349" s="1682" t="s">
        <v>1034</v>
      </c>
      <c r="J349" s="1697" t="s">
        <v>5157</v>
      </c>
      <c r="K349" s="1698">
        <v>1.689814814814815E-3</v>
      </c>
      <c r="L349" s="1687" t="s">
        <v>5154</v>
      </c>
      <c r="M349" s="1685">
        <v>44547</v>
      </c>
    </row>
    <row r="350" spans="1:13" s="1378" customFormat="1" ht="14.25">
      <c r="A350" s="1680">
        <v>341</v>
      </c>
      <c r="B350" s="1681" t="s">
        <v>1032</v>
      </c>
      <c r="C350" s="1681" t="s">
        <v>2485</v>
      </c>
      <c r="D350" s="1687" t="s">
        <v>137</v>
      </c>
      <c r="E350" s="1687" t="s">
        <v>860</v>
      </c>
      <c r="F350" s="1680" t="s">
        <v>5122</v>
      </c>
      <c r="G350" s="1680">
        <v>85</v>
      </c>
      <c r="H350" s="1696" t="s">
        <v>1825</v>
      </c>
      <c r="I350" s="1680" t="s">
        <v>1012</v>
      </c>
      <c r="J350" s="1699" t="s">
        <v>5158</v>
      </c>
      <c r="K350" s="1698">
        <v>1.3391203703703704E-2</v>
      </c>
      <c r="L350" s="1687" t="s">
        <v>5154</v>
      </c>
      <c r="M350" s="1685">
        <v>44547</v>
      </c>
    </row>
    <row r="351" spans="1:13" s="1378" customFormat="1" ht="14.25">
      <c r="A351" s="1680">
        <v>342</v>
      </c>
      <c r="B351" s="1681" t="s">
        <v>1032</v>
      </c>
      <c r="C351" s="1681" t="s">
        <v>2485</v>
      </c>
      <c r="D351" s="1687" t="s">
        <v>137</v>
      </c>
      <c r="E351" s="1687" t="s">
        <v>860</v>
      </c>
      <c r="F351" s="1680" t="s">
        <v>5122</v>
      </c>
      <c r="G351" s="1680">
        <v>85</v>
      </c>
      <c r="H351" s="1680" t="s">
        <v>1825</v>
      </c>
      <c r="I351" s="1680" t="s">
        <v>1022</v>
      </c>
      <c r="J351" s="1700" t="s">
        <v>5158</v>
      </c>
      <c r="K351" s="1698">
        <v>1.3391203703703704E-2</v>
      </c>
      <c r="L351" s="1687" t="s">
        <v>5154</v>
      </c>
      <c r="M351" s="1685">
        <v>44547</v>
      </c>
    </row>
    <row r="352" spans="1:13" s="1378" customFormat="1" ht="14.25">
      <c r="A352" s="1680">
        <v>343</v>
      </c>
      <c r="B352" s="1681" t="s">
        <v>1032</v>
      </c>
      <c r="C352" s="1681" t="s">
        <v>2485</v>
      </c>
      <c r="D352" s="1687" t="s">
        <v>137</v>
      </c>
      <c r="E352" s="1687" t="s">
        <v>860</v>
      </c>
      <c r="F352" s="1680" t="s">
        <v>5122</v>
      </c>
      <c r="G352" s="1680">
        <v>85</v>
      </c>
      <c r="H352" s="1680" t="s">
        <v>1825</v>
      </c>
      <c r="I352" s="1680" t="s">
        <v>1027</v>
      </c>
      <c r="J352" s="1700" t="s">
        <v>5158</v>
      </c>
      <c r="K352" s="1698">
        <v>1.3391203703703704E-2</v>
      </c>
      <c r="L352" s="1687" t="s">
        <v>5154</v>
      </c>
      <c r="M352" s="1685">
        <v>44547</v>
      </c>
    </row>
    <row r="353" spans="1:13" s="1378" customFormat="1" ht="14.25">
      <c r="A353" s="1680">
        <v>344</v>
      </c>
      <c r="B353" s="1681" t="s">
        <v>1032</v>
      </c>
      <c r="C353" s="1681" t="s">
        <v>2485</v>
      </c>
      <c r="D353" s="1687" t="s">
        <v>137</v>
      </c>
      <c r="E353" s="1687" t="s">
        <v>860</v>
      </c>
      <c r="F353" s="1680" t="s">
        <v>5122</v>
      </c>
      <c r="G353" s="1680">
        <v>85</v>
      </c>
      <c r="H353" s="1680" t="s">
        <v>1825</v>
      </c>
      <c r="I353" s="1680" t="s">
        <v>88</v>
      </c>
      <c r="J353" s="1700" t="s">
        <v>5158</v>
      </c>
      <c r="K353" s="1698">
        <v>1.3391203703703704E-2</v>
      </c>
      <c r="L353" s="1687" t="s">
        <v>5154</v>
      </c>
      <c r="M353" s="1685">
        <v>44547</v>
      </c>
    </row>
    <row r="354" spans="1:13" s="1378" customFormat="1" ht="14.25">
      <c r="A354" s="1680">
        <v>345</v>
      </c>
      <c r="B354" s="1681" t="s">
        <v>1032</v>
      </c>
      <c r="C354" s="1681" t="s">
        <v>2485</v>
      </c>
      <c r="D354" s="1687" t="s">
        <v>137</v>
      </c>
      <c r="E354" s="1687" t="s">
        <v>860</v>
      </c>
      <c r="F354" s="1680" t="s">
        <v>5122</v>
      </c>
      <c r="G354" s="1680">
        <v>85</v>
      </c>
      <c r="H354" s="1680" t="s">
        <v>1825</v>
      </c>
      <c r="I354" s="1680" t="s">
        <v>1034</v>
      </c>
      <c r="J354" s="1700" t="s">
        <v>5158</v>
      </c>
      <c r="K354" s="1698">
        <v>1.3391203703703704E-2</v>
      </c>
      <c r="L354" s="1687" t="s">
        <v>5154</v>
      </c>
      <c r="M354" s="1685">
        <v>44547</v>
      </c>
    </row>
    <row r="355" spans="1:13" s="1378" customFormat="1" ht="14.25">
      <c r="A355" s="1680">
        <v>346</v>
      </c>
      <c r="B355" s="1681" t="s">
        <v>1032</v>
      </c>
      <c r="C355" s="1681" t="s">
        <v>2485</v>
      </c>
      <c r="D355" s="1687" t="s">
        <v>137</v>
      </c>
      <c r="E355" s="1687" t="s">
        <v>860</v>
      </c>
      <c r="F355" s="1680" t="s">
        <v>5122</v>
      </c>
      <c r="G355" s="1680">
        <v>90</v>
      </c>
      <c r="H355" s="1696" t="s">
        <v>1826</v>
      </c>
      <c r="I355" s="1680" t="s">
        <v>1012</v>
      </c>
      <c r="J355" s="1699" t="s">
        <v>5159</v>
      </c>
      <c r="K355" s="1698">
        <v>1.1793981481481482E-2</v>
      </c>
      <c r="L355" s="1687" t="s">
        <v>5154</v>
      </c>
      <c r="M355" s="1685">
        <v>44547</v>
      </c>
    </row>
    <row r="356" spans="1:13" s="1378" customFormat="1" ht="14.25">
      <c r="A356" s="1680">
        <v>347</v>
      </c>
      <c r="B356" s="1681" t="s">
        <v>1032</v>
      </c>
      <c r="C356" s="1681" t="s">
        <v>2485</v>
      </c>
      <c r="D356" s="1687" t="s">
        <v>137</v>
      </c>
      <c r="E356" s="1687" t="s">
        <v>860</v>
      </c>
      <c r="F356" s="1680" t="s">
        <v>5122</v>
      </c>
      <c r="G356" s="1680">
        <v>90</v>
      </c>
      <c r="H356" s="1696" t="s">
        <v>1826</v>
      </c>
      <c r="I356" s="1680" t="s">
        <v>1022</v>
      </c>
      <c r="J356" s="1699" t="s">
        <v>5159</v>
      </c>
      <c r="K356" s="1698">
        <v>1.1793981481481482E-2</v>
      </c>
      <c r="L356" s="1687" t="s">
        <v>5154</v>
      </c>
      <c r="M356" s="1685">
        <v>44547</v>
      </c>
    </row>
    <row r="357" spans="1:13" s="1378" customFormat="1" ht="14.25">
      <c r="A357" s="1680">
        <v>348</v>
      </c>
      <c r="B357" s="1681" t="s">
        <v>1032</v>
      </c>
      <c r="C357" s="1681" t="s">
        <v>2485</v>
      </c>
      <c r="D357" s="1687" t="s">
        <v>137</v>
      </c>
      <c r="E357" s="1687" t="s">
        <v>860</v>
      </c>
      <c r="F357" s="1680" t="s">
        <v>5122</v>
      </c>
      <c r="G357" s="1680">
        <v>90</v>
      </c>
      <c r="H357" s="1696" t="s">
        <v>1826</v>
      </c>
      <c r="I357" s="1680" t="s">
        <v>1027</v>
      </c>
      <c r="J357" s="1699" t="s">
        <v>5159</v>
      </c>
      <c r="K357" s="1698">
        <v>1.1793981481481482E-2</v>
      </c>
      <c r="L357" s="1687" t="s">
        <v>5154</v>
      </c>
      <c r="M357" s="1685">
        <v>44547</v>
      </c>
    </row>
    <row r="358" spans="1:13" s="1378" customFormat="1" ht="14.25">
      <c r="A358" s="1680">
        <v>349</v>
      </c>
      <c r="B358" s="1681" t="s">
        <v>1032</v>
      </c>
      <c r="C358" s="1681" t="s">
        <v>2485</v>
      </c>
      <c r="D358" s="1687" t="s">
        <v>137</v>
      </c>
      <c r="E358" s="1687" t="s">
        <v>860</v>
      </c>
      <c r="F358" s="1680" t="s">
        <v>5122</v>
      </c>
      <c r="G358" s="1680">
        <v>90</v>
      </c>
      <c r="H358" s="1696" t="s">
        <v>1826</v>
      </c>
      <c r="I358" s="1680" t="s">
        <v>88</v>
      </c>
      <c r="J358" s="1699" t="s">
        <v>5159</v>
      </c>
      <c r="K358" s="1698">
        <v>1.1793981481481482E-2</v>
      </c>
      <c r="L358" s="1687" t="s">
        <v>5154</v>
      </c>
      <c r="M358" s="1685">
        <v>44547</v>
      </c>
    </row>
    <row r="359" spans="1:13" s="1378" customFormat="1" ht="14.25">
      <c r="A359" s="1680">
        <v>350</v>
      </c>
      <c r="B359" s="1686" t="s">
        <v>1032</v>
      </c>
      <c r="C359" s="1681" t="s">
        <v>2485</v>
      </c>
      <c r="D359" s="1687" t="s">
        <v>137</v>
      </c>
      <c r="E359" s="1687" t="s">
        <v>860</v>
      </c>
      <c r="F359" s="1680" t="s">
        <v>5122</v>
      </c>
      <c r="G359" s="1680">
        <v>90</v>
      </c>
      <c r="H359" s="1696" t="s">
        <v>1826</v>
      </c>
      <c r="I359" s="1680" t="s">
        <v>1034</v>
      </c>
      <c r="J359" s="1699" t="s">
        <v>5159</v>
      </c>
      <c r="K359" s="1698">
        <v>1.1793981481481482E-2</v>
      </c>
      <c r="L359" s="1687" t="s">
        <v>5154</v>
      </c>
      <c r="M359" s="1685">
        <v>44547</v>
      </c>
    </row>
    <row r="360" spans="1:13" s="1378" customFormat="1" ht="14.25">
      <c r="A360" s="1680">
        <v>351</v>
      </c>
      <c r="B360" s="1686" t="s">
        <v>1032</v>
      </c>
      <c r="C360" s="1681" t="s">
        <v>2485</v>
      </c>
      <c r="D360" s="1687" t="s">
        <v>137</v>
      </c>
      <c r="E360" s="1687" t="s">
        <v>860</v>
      </c>
      <c r="F360" s="1680" t="s">
        <v>5122</v>
      </c>
      <c r="G360" s="1680">
        <v>105</v>
      </c>
      <c r="H360" s="1696" t="s">
        <v>1829</v>
      </c>
      <c r="I360" s="1680" t="s">
        <v>1012</v>
      </c>
      <c r="J360" s="1699" t="s">
        <v>5160</v>
      </c>
      <c r="K360" s="1698">
        <v>1.8287037037037037E-3</v>
      </c>
      <c r="L360" s="1687" t="s">
        <v>5154</v>
      </c>
      <c r="M360" s="1685">
        <v>44547</v>
      </c>
    </row>
    <row r="361" spans="1:13" s="1378" customFormat="1" ht="14.25">
      <c r="A361" s="1680">
        <v>352</v>
      </c>
      <c r="B361" s="1686" t="s">
        <v>1032</v>
      </c>
      <c r="C361" s="1681" t="s">
        <v>2485</v>
      </c>
      <c r="D361" s="1687" t="s">
        <v>137</v>
      </c>
      <c r="E361" s="1687" t="s">
        <v>860</v>
      </c>
      <c r="F361" s="1680" t="s">
        <v>5122</v>
      </c>
      <c r="G361" s="1680">
        <v>105</v>
      </c>
      <c r="H361" s="1696" t="s">
        <v>1829</v>
      </c>
      <c r="I361" s="1680" t="s">
        <v>1022</v>
      </c>
      <c r="J361" s="1699" t="s">
        <v>5161</v>
      </c>
      <c r="K361" s="1698">
        <v>1.689814814814815E-3</v>
      </c>
      <c r="L361" s="1687" t="s">
        <v>5154</v>
      </c>
      <c r="M361" s="1685">
        <v>44547</v>
      </c>
    </row>
    <row r="362" spans="1:13" s="1378" customFormat="1" ht="14.25">
      <c r="A362" s="1680">
        <v>353</v>
      </c>
      <c r="B362" s="1686" t="s">
        <v>1032</v>
      </c>
      <c r="C362" s="1681" t="s">
        <v>2485</v>
      </c>
      <c r="D362" s="1687" t="s">
        <v>137</v>
      </c>
      <c r="E362" s="1687" t="s">
        <v>860</v>
      </c>
      <c r="F362" s="1680" t="s">
        <v>5122</v>
      </c>
      <c r="G362" s="1680">
        <v>105</v>
      </c>
      <c r="H362" s="1696" t="s">
        <v>1829</v>
      </c>
      <c r="I362" s="1680" t="s">
        <v>1027</v>
      </c>
      <c r="J362" s="1699" t="s">
        <v>5162</v>
      </c>
      <c r="K362" s="1698">
        <v>1.5624999999999999E-3</v>
      </c>
      <c r="L362" s="1687" t="s">
        <v>5154</v>
      </c>
      <c r="M362" s="1685">
        <v>44547</v>
      </c>
    </row>
    <row r="363" spans="1:13" s="1378" customFormat="1" ht="14.25">
      <c r="A363" s="1680">
        <v>354</v>
      </c>
      <c r="B363" s="1686" t="s">
        <v>1032</v>
      </c>
      <c r="C363" s="1681" t="s">
        <v>2485</v>
      </c>
      <c r="D363" s="1687" t="s">
        <v>137</v>
      </c>
      <c r="E363" s="1687" t="s">
        <v>860</v>
      </c>
      <c r="F363" s="1680" t="s">
        <v>5122</v>
      </c>
      <c r="G363" s="1680">
        <v>105</v>
      </c>
      <c r="H363" s="1696" t="s">
        <v>1829</v>
      </c>
      <c r="I363" s="1680" t="s">
        <v>88</v>
      </c>
      <c r="J363" s="1701" t="s">
        <v>5163</v>
      </c>
      <c r="K363" s="1698">
        <v>1.4351851851851854E-3</v>
      </c>
      <c r="L363" s="1687" t="s">
        <v>5154</v>
      </c>
      <c r="M363" s="1685">
        <v>44547</v>
      </c>
    </row>
    <row r="364" spans="1:13" s="1378" customFormat="1" ht="14.25">
      <c r="A364" s="1680">
        <v>355</v>
      </c>
      <c r="B364" s="1681" t="s">
        <v>1071</v>
      </c>
      <c r="C364" s="1681" t="s">
        <v>2820</v>
      </c>
      <c r="D364" s="1687" t="s">
        <v>137</v>
      </c>
      <c r="E364" s="1687" t="s">
        <v>860</v>
      </c>
      <c r="F364" s="1680" t="s">
        <v>5122</v>
      </c>
      <c r="G364" s="1680">
        <v>85</v>
      </c>
      <c r="H364" s="1696" t="s">
        <v>1825</v>
      </c>
      <c r="I364" s="1680" t="s">
        <v>1012</v>
      </c>
      <c r="J364" s="1699" t="s">
        <v>5158</v>
      </c>
      <c r="K364" s="1698">
        <v>1.3391203703703704E-2</v>
      </c>
      <c r="L364" s="1687" t="s">
        <v>5154</v>
      </c>
      <c r="M364" s="1685">
        <v>44547</v>
      </c>
    </row>
    <row r="365" spans="1:13" s="1378" customFormat="1" ht="14.25">
      <c r="A365" s="1680">
        <v>356</v>
      </c>
      <c r="B365" s="1681" t="s">
        <v>1071</v>
      </c>
      <c r="C365" s="1681" t="s">
        <v>2820</v>
      </c>
      <c r="D365" s="1687" t="s">
        <v>137</v>
      </c>
      <c r="E365" s="1687" t="s">
        <v>860</v>
      </c>
      <c r="F365" s="1680" t="s">
        <v>5122</v>
      </c>
      <c r="G365" s="1680">
        <v>85</v>
      </c>
      <c r="H365" s="1680" t="s">
        <v>1825</v>
      </c>
      <c r="I365" s="1680" t="s">
        <v>1022</v>
      </c>
      <c r="J365" s="1700" t="s">
        <v>5158</v>
      </c>
      <c r="K365" s="1698">
        <v>1.3391203703703704E-2</v>
      </c>
      <c r="L365" s="1687" t="s">
        <v>5154</v>
      </c>
      <c r="M365" s="1685">
        <v>44547</v>
      </c>
    </row>
    <row r="366" spans="1:13" s="1378" customFormat="1" ht="14.25">
      <c r="A366" s="1680">
        <v>357</v>
      </c>
      <c r="B366" s="1681" t="s">
        <v>1071</v>
      </c>
      <c r="C366" s="1681" t="s">
        <v>2820</v>
      </c>
      <c r="D366" s="1687" t="s">
        <v>137</v>
      </c>
      <c r="E366" s="1687" t="s">
        <v>860</v>
      </c>
      <c r="F366" s="1680" t="s">
        <v>5122</v>
      </c>
      <c r="G366" s="1680">
        <v>85</v>
      </c>
      <c r="H366" s="1680" t="s">
        <v>1825</v>
      </c>
      <c r="I366" s="1680" t="s">
        <v>1027</v>
      </c>
      <c r="J366" s="1700" t="s">
        <v>5158</v>
      </c>
      <c r="K366" s="1698">
        <v>1.3391203703703704E-2</v>
      </c>
      <c r="L366" s="1687" t="s">
        <v>5154</v>
      </c>
      <c r="M366" s="1685">
        <v>44547</v>
      </c>
    </row>
    <row r="367" spans="1:13" s="1378" customFormat="1" ht="14.25">
      <c r="A367" s="1680">
        <v>358</v>
      </c>
      <c r="B367" s="1681" t="s">
        <v>1071</v>
      </c>
      <c r="C367" s="1681" t="s">
        <v>2820</v>
      </c>
      <c r="D367" s="1687" t="s">
        <v>137</v>
      </c>
      <c r="E367" s="1687" t="s">
        <v>860</v>
      </c>
      <c r="F367" s="1680" t="s">
        <v>5122</v>
      </c>
      <c r="G367" s="1680">
        <v>85</v>
      </c>
      <c r="H367" s="1680" t="s">
        <v>1825</v>
      </c>
      <c r="I367" s="1680" t="s">
        <v>88</v>
      </c>
      <c r="J367" s="1700" t="s">
        <v>5158</v>
      </c>
      <c r="K367" s="1698">
        <v>1.3391203703703704E-2</v>
      </c>
      <c r="L367" s="1687" t="s">
        <v>5154</v>
      </c>
      <c r="M367" s="1685">
        <v>44547</v>
      </c>
    </row>
    <row r="368" spans="1:13" s="1378" customFormat="1" ht="14.25">
      <c r="A368" s="1680">
        <v>359</v>
      </c>
      <c r="B368" s="1681" t="s">
        <v>1071</v>
      </c>
      <c r="C368" s="1681" t="s">
        <v>2820</v>
      </c>
      <c r="D368" s="1687" t="s">
        <v>137</v>
      </c>
      <c r="E368" s="1687" t="s">
        <v>860</v>
      </c>
      <c r="F368" s="1680" t="s">
        <v>5122</v>
      </c>
      <c r="G368" s="1680">
        <v>85</v>
      </c>
      <c r="H368" s="1680" t="s">
        <v>1825</v>
      </c>
      <c r="I368" s="1680" t="s">
        <v>1034</v>
      </c>
      <c r="J368" s="1700" t="s">
        <v>5158</v>
      </c>
      <c r="K368" s="1698">
        <v>1.3391203703703704E-2</v>
      </c>
      <c r="L368" s="1687" t="s">
        <v>5154</v>
      </c>
      <c r="M368" s="1685">
        <v>44547</v>
      </c>
    </row>
    <row r="369" spans="1:13" s="1378" customFormat="1" ht="14.25">
      <c r="A369" s="1680">
        <v>360</v>
      </c>
      <c r="B369" s="1681" t="s">
        <v>1071</v>
      </c>
      <c r="C369" s="1681" t="s">
        <v>2820</v>
      </c>
      <c r="D369" s="1687" t="s">
        <v>137</v>
      </c>
      <c r="E369" s="1687" t="s">
        <v>860</v>
      </c>
      <c r="F369" s="1680" t="s">
        <v>5122</v>
      </c>
      <c r="G369" s="1680">
        <v>90</v>
      </c>
      <c r="H369" s="1696" t="s">
        <v>1826</v>
      </c>
      <c r="I369" s="1680" t="s">
        <v>1012</v>
      </c>
      <c r="J369" s="1699" t="s">
        <v>5159</v>
      </c>
      <c r="K369" s="1698">
        <v>1.1793981481481482E-2</v>
      </c>
      <c r="L369" s="1687" t="s">
        <v>5154</v>
      </c>
      <c r="M369" s="1685">
        <v>44547</v>
      </c>
    </row>
    <row r="370" spans="1:13" s="1378" customFormat="1" ht="14.25">
      <c r="A370" s="1680">
        <v>361</v>
      </c>
      <c r="B370" s="1681" t="s">
        <v>1071</v>
      </c>
      <c r="C370" s="1681" t="s">
        <v>2820</v>
      </c>
      <c r="D370" s="1687" t="s">
        <v>137</v>
      </c>
      <c r="E370" s="1687" t="s">
        <v>860</v>
      </c>
      <c r="F370" s="1680" t="s">
        <v>5122</v>
      </c>
      <c r="G370" s="1680">
        <v>90</v>
      </c>
      <c r="H370" s="1696" t="s">
        <v>1826</v>
      </c>
      <c r="I370" s="1680" t="s">
        <v>1022</v>
      </c>
      <c r="J370" s="1699" t="s">
        <v>5159</v>
      </c>
      <c r="K370" s="1698">
        <v>1.1793981481481482E-2</v>
      </c>
      <c r="L370" s="1687" t="s">
        <v>5154</v>
      </c>
      <c r="M370" s="1685">
        <v>44547</v>
      </c>
    </row>
    <row r="371" spans="1:13" s="1378" customFormat="1" ht="14.25">
      <c r="A371" s="1680">
        <v>362</v>
      </c>
      <c r="B371" s="1681" t="s">
        <v>1071</v>
      </c>
      <c r="C371" s="1681" t="s">
        <v>2820</v>
      </c>
      <c r="D371" s="1687" t="s">
        <v>137</v>
      </c>
      <c r="E371" s="1687" t="s">
        <v>860</v>
      </c>
      <c r="F371" s="1680" t="s">
        <v>5122</v>
      </c>
      <c r="G371" s="1680">
        <v>90</v>
      </c>
      <c r="H371" s="1696" t="s">
        <v>1826</v>
      </c>
      <c r="I371" s="1680" t="s">
        <v>1027</v>
      </c>
      <c r="J371" s="1699" t="s">
        <v>5159</v>
      </c>
      <c r="K371" s="1698">
        <v>1.1793981481481482E-2</v>
      </c>
      <c r="L371" s="1687" t="s">
        <v>5154</v>
      </c>
      <c r="M371" s="1685">
        <v>44547</v>
      </c>
    </row>
    <row r="372" spans="1:13" s="1378" customFormat="1" ht="14.25">
      <c r="A372" s="1680">
        <v>363</v>
      </c>
      <c r="B372" s="1681" t="s">
        <v>1071</v>
      </c>
      <c r="C372" s="1681" t="s">
        <v>2820</v>
      </c>
      <c r="D372" s="1687" t="s">
        <v>137</v>
      </c>
      <c r="E372" s="1687" t="s">
        <v>860</v>
      </c>
      <c r="F372" s="1680" t="s">
        <v>5122</v>
      </c>
      <c r="G372" s="1680">
        <v>90</v>
      </c>
      <c r="H372" s="1696" t="s">
        <v>1826</v>
      </c>
      <c r="I372" s="1680" t="s">
        <v>88</v>
      </c>
      <c r="J372" s="1699" t="s">
        <v>5159</v>
      </c>
      <c r="K372" s="1698">
        <v>1.1793981481481482E-2</v>
      </c>
      <c r="L372" s="1687" t="s">
        <v>5154</v>
      </c>
      <c r="M372" s="1685">
        <v>44547</v>
      </c>
    </row>
    <row r="373" spans="1:13" s="1378" customFormat="1" ht="14.25">
      <c r="A373" s="1680">
        <v>364</v>
      </c>
      <c r="B373" s="1681" t="s">
        <v>1071</v>
      </c>
      <c r="C373" s="1681" t="s">
        <v>2820</v>
      </c>
      <c r="D373" s="1687" t="s">
        <v>137</v>
      </c>
      <c r="E373" s="1687" t="s">
        <v>860</v>
      </c>
      <c r="F373" s="1680" t="s">
        <v>5122</v>
      </c>
      <c r="G373" s="1680">
        <v>90</v>
      </c>
      <c r="H373" s="1696" t="s">
        <v>1826</v>
      </c>
      <c r="I373" s="1680" t="s">
        <v>1034</v>
      </c>
      <c r="J373" s="1699" t="s">
        <v>5159</v>
      </c>
      <c r="K373" s="1698">
        <v>1.1793981481481482E-2</v>
      </c>
      <c r="L373" s="1687" t="s">
        <v>5154</v>
      </c>
      <c r="M373" s="1685">
        <v>44547</v>
      </c>
    </row>
    <row r="374" spans="1:13" s="1378" customFormat="1" ht="14.25">
      <c r="A374" s="1680">
        <v>365</v>
      </c>
      <c r="B374" s="1681" t="s">
        <v>1071</v>
      </c>
      <c r="C374" s="1681" t="s">
        <v>2820</v>
      </c>
      <c r="D374" s="1687" t="s">
        <v>137</v>
      </c>
      <c r="E374" s="1687" t="s">
        <v>860</v>
      </c>
      <c r="F374" s="1680" t="s">
        <v>5122</v>
      </c>
      <c r="G374" s="1680">
        <v>105</v>
      </c>
      <c r="H374" s="1696" t="s">
        <v>1829</v>
      </c>
      <c r="I374" s="1680" t="s">
        <v>1012</v>
      </c>
      <c r="J374" s="1699" t="s">
        <v>5164</v>
      </c>
      <c r="K374" s="1698">
        <v>9.2592592592592585E-4</v>
      </c>
      <c r="L374" s="1687" t="s">
        <v>5154</v>
      </c>
      <c r="M374" s="1685">
        <v>44547</v>
      </c>
    </row>
    <row r="375" spans="1:13" s="1378" customFormat="1" ht="14.25">
      <c r="A375" s="1680">
        <v>366</v>
      </c>
      <c r="B375" s="1681" t="s">
        <v>1071</v>
      </c>
      <c r="C375" s="1681" t="s">
        <v>2820</v>
      </c>
      <c r="D375" s="1687" t="s">
        <v>137</v>
      </c>
      <c r="E375" s="1687" t="s">
        <v>860</v>
      </c>
      <c r="F375" s="1680" t="s">
        <v>5122</v>
      </c>
      <c r="G375" s="1680">
        <v>105</v>
      </c>
      <c r="H375" s="1696" t="s">
        <v>1829</v>
      </c>
      <c r="I375" s="1680" t="s">
        <v>1022</v>
      </c>
      <c r="J375" s="1699" t="s">
        <v>5165</v>
      </c>
      <c r="K375" s="1698">
        <v>8.7962962962962962E-4</v>
      </c>
      <c r="L375" s="1687" t="s">
        <v>5154</v>
      </c>
      <c r="M375" s="1685">
        <v>44547</v>
      </c>
    </row>
    <row r="376" spans="1:13" s="1378" customFormat="1" ht="14.25">
      <c r="A376" s="1680">
        <v>367</v>
      </c>
      <c r="B376" s="1681" t="s">
        <v>1071</v>
      </c>
      <c r="C376" s="1681" t="s">
        <v>2820</v>
      </c>
      <c r="D376" s="1687" t="s">
        <v>137</v>
      </c>
      <c r="E376" s="1687" t="s">
        <v>860</v>
      </c>
      <c r="F376" s="1680" t="s">
        <v>5122</v>
      </c>
      <c r="G376" s="1680">
        <v>105</v>
      </c>
      <c r="H376" s="1696" t="s">
        <v>1829</v>
      </c>
      <c r="I376" s="1680" t="s">
        <v>1027</v>
      </c>
      <c r="J376" s="1699" t="s">
        <v>5166</v>
      </c>
      <c r="K376" s="1698">
        <v>8.2175925925925917E-4</v>
      </c>
      <c r="L376" s="1687" t="s">
        <v>5154</v>
      </c>
      <c r="M376" s="1685">
        <v>44547</v>
      </c>
    </row>
    <row r="377" spans="1:13" s="1378" customFormat="1" ht="14.25">
      <c r="A377" s="1680">
        <v>368</v>
      </c>
      <c r="B377" s="1681" t="s">
        <v>1071</v>
      </c>
      <c r="C377" s="1681" t="s">
        <v>2820</v>
      </c>
      <c r="D377" s="1687" t="s">
        <v>137</v>
      </c>
      <c r="E377" s="1687" t="s">
        <v>860</v>
      </c>
      <c r="F377" s="1680" t="s">
        <v>5122</v>
      </c>
      <c r="G377" s="1680">
        <v>105</v>
      </c>
      <c r="H377" s="1696" t="s">
        <v>1829</v>
      </c>
      <c r="I377" s="1680" t="s">
        <v>88</v>
      </c>
      <c r="J377" s="1701" t="s">
        <v>5167</v>
      </c>
      <c r="K377" s="1698">
        <v>7.7546296296296304E-4</v>
      </c>
      <c r="L377" s="1687" t="s">
        <v>5154</v>
      </c>
      <c r="M377" s="1685">
        <v>44547</v>
      </c>
    </row>
    <row r="378" spans="1:13" s="1378" customFormat="1" ht="14.25">
      <c r="A378" s="1680">
        <v>369</v>
      </c>
      <c r="B378" s="1681" t="s">
        <v>1054</v>
      </c>
      <c r="C378" s="1681" t="s">
        <v>4505</v>
      </c>
      <c r="D378" s="1687" t="s">
        <v>137</v>
      </c>
      <c r="E378" s="1687" t="s">
        <v>860</v>
      </c>
      <c r="F378" s="1680" t="s">
        <v>5122</v>
      </c>
      <c r="G378" s="1680">
        <v>85</v>
      </c>
      <c r="H378" s="1696" t="s">
        <v>1825</v>
      </c>
      <c r="I378" s="1680" t="s">
        <v>1012</v>
      </c>
      <c r="J378" s="1699" t="s">
        <v>5158</v>
      </c>
      <c r="K378" s="1698">
        <v>1.3391203703703704E-2</v>
      </c>
      <c r="L378" s="1687" t="s">
        <v>5154</v>
      </c>
      <c r="M378" s="1685">
        <v>44547</v>
      </c>
    </row>
    <row r="379" spans="1:13" s="1378" customFormat="1" ht="14.25">
      <c r="A379" s="1680">
        <v>370</v>
      </c>
      <c r="B379" s="1681" t="s">
        <v>1054</v>
      </c>
      <c r="C379" s="1681" t="s">
        <v>4505</v>
      </c>
      <c r="D379" s="1687" t="s">
        <v>137</v>
      </c>
      <c r="E379" s="1687" t="s">
        <v>860</v>
      </c>
      <c r="F379" s="1680" t="s">
        <v>5122</v>
      </c>
      <c r="G379" s="1680">
        <v>85</v>
      </c>
      <c r="H379" s="1680" t="s">
        <v>1825</v>
      </c>
      <c r="I379" s="1680" t="s">
        <v>1022</v>
      </c>
      <c r="J379" s="1700" t="s">
        <v>5158</v>
      </c>
      <c r="K379" s="1698">
        <v>1.3391203703703704E-2</v>
      </c>
      <c r="L379" s="1687" t="s">
        <v>5154</v>
      </c>
      <c r="M379" s="1685">
        <v>44547</v>
      </c>
    </row>
    <row r="380" spans="1:13" s="1378" customFormat="1" ht="14.25">
      <c r="A380" s="1680">
        <v>371</v>
      </c>
      <c r="B380" s="1681" t="s">
        <v>1054</v>
      </c>
      <c r="C380" s="1681" t="s">
        <v>4505</v>
      </c>
      <c r="D380" s="1687" t="s">
        <v>137</v>
      </c>
      <c r="E380" s="1687" t="s">
        <v>860</v>
      </c>
      <c r="F380" s="1680" t="s">
        <v>5122</v>
      </c>
      <c r="G380" s="1680">
        <v>85</v>
      </c>
      <c r="H380" s="1680" t="s">
        <v>1825</v>
      </c>
      <c r="I380" s="1680" t="s">
        <v>1027</v>
      </c>
      <c r="J380" s="1700" t="s">
        <v>5158</v>
      </c>
      <c r="K380" s="1698">
        <v>1.3391203703703704E-2</v>
      </c>
      <c r="L380" s="1687" t="s">
        <v>5154</v>
      </c>
      <c r="M380" s="1685">
        <v>44547</v>
      </c>
    </row>
    <row r="381" spans="1:13" s="1378" customFormat="1" ht="14.25">
      <c r="A381" s="1680">
        <v>372</v>
      </c>
      <c r="B381" s="1681" t="s">
        <v>1054</v>
      </c>
      <c r="C381" s="1681" t="s">
        <v>4505</v>
      </c>
      <c r="D381" s="1687" t="s">
        <v>137</v>
      </c>
      <c r="E381" s="1687" t="s">
        <v>860</v>
      </c>
      <c r="F381" s="1680" t="s">
        <v>5122</v>
      </c>
      <c r="G381" s="1680">
        <v>85</v>
      </c>
      <c r="H381" s="1680" t="s">
        <v>1825</v>
      </c>
      <c r="I381" s="1680" t="s">
        <v>88</v>
      </c>
      <c r="J381" s="1700" t="s">
        <v>5158</v>
      </c>
      <c r="K381" s="1698">
        <v>1.3391203703703704E-2</v>
      </c>
      <c r="L381" s="1687" t="s">
        <v>5154</v>
      </c>
      <c r="M381" s="1685">
        <v>44547</v>
      </c>
    </row>
    <row r="382" spans="1:13" s="1378" customFormat="1" ht="14.25">
      <c r="A382" s="1680">
        <v>373</v>
      </c>
      <c r="B382" s="1681" t="s">
        <v>1054</v>
      </c>
      <c r="C382" s="1681" t="s">
        <v>4505</v>
      </c>
      <c r="D382" s="1687" t="s">
        <v>137</v>
      </c>
      <c r="E382" s="1687" t="s">
        <v>860</v>
      </c>
      <c r="F382" s="1680" t="s">
        <v>5122</v>
      </c>
      <c r="G382" s="1680">
        <v>85</v>
      </c>
      <c r="H382" s="1680" t="s">
        <v>1825</v>
      </c>
      <c r="I382" s="1680" t="s">
        <v>1034</v>
      </c>
      <c r="J382" s="1700" t="s">
        <v>5158</v>
      </c>
      <c r="K382" s="1698">
        <v>1.3391203703703704E-2</v>
      </c>
      <c r="L382" s="1687" t="s">
        <v>5154</v>
      </c>
      <c r="M382" s="1685">
        <v>44547</v>
      </c>
    </row>
    <row r="383" spans="1:13" s="1378" customFormat="1" ht="14.25">
      <c r="A383" s="1680">
        <v>374</v>
      </c>
      <c r="B383" s="1681" t="s">
        <v>1054</v>
      </c>
      <c r="C383" s="1681" t="s">
        <v>4505</v>
      </c>
      <c r="D383" s="1687" t="s">
        <v>137</v>
      </c>
      <c r="E383" s="1687" t="s">
        <v>860</v>
      </c>
      <c r="F383" s="1680" t="s">
        <v>5122</v>
      </c>
      <c r="G383" s="1680">
        <v>90</v>
      </c>
      <c r="H383" s="1696" t="s">
        <v>1826</v>
      </c>
      <c r="I383" s="1680" t="s">
        <v>1012</v>
      </c>
      <c r="J383" s="1699" t="s">
        <v>5159</v>
      </c>
      <c r="K383" s="1698">
        <v>1.1793981481481482E-2</v>
      </c>
      <c r="L383" s="1687" t="s">
        <v>5154</v>
      </c>
      <c r="M383" s="1685">
        <v>44547</v>
      </c>
    </row>
    <row r="384" spans="1:13" s="1378" customFormat="1" ht="14.25">
      <c r="A384" s="1680">
        <v>375</v>
      </c>
      <c r="B384" s="1681" t="s">
        <v>1054</v>
      </c>
      <c r="C384" s="1681" t="s">
        <v>4505</v>
      </c>
      <c r="D384" s="1687" t="s">
        <v>137</v>
      </c>
      <c r="E384" s="1687" t="s">
        <v>860</v>
      </c>
      <c r="F384" s="1680" t="s">
        <v>5122</v>
      </c>
      <c r="G384" s="1680">
        <v>90</v>
      </c>
      <c r="H384" s="1696" t="s">
        <v>1826</v>
      </c>
      <c r="I384" s="1680" t="s">
        <v>1022</v>
      </c>
      <c r="J384" s="1699" t="s">
        <v>5159</v>
      </c>
      <c r="K384" s="1698">
        <v>1.1793981481481482E-2</v>
      </c>
      <c r="L384" s="1687" t="s">
        <v>5154</v>
      </c>
      <c r="M384" s="1685">
        <v>44547</v>
      </c>
    </row>
    <row r="385" spans="1:13" s="1378" customFormat="1" ht="14.25">
      <c r="A385" s="1680">
        <v>376</v>
      </c>
      <c r="B385" s="1681" t="s">
        <v>1054</v>
      </c>
      <c r="C385" s="1681" t="s">
        <v>4505</v>
      </c>
      <c r="D385" s="1687" t="s">
        <v>137</v>
      </c>
      <c r="E385" s="1687" t="s">
        <v>860</v>
      </c>
      <c r="F385" s="1680" t="s">
        <v>5122</v>
      </c>
      <c r="G385" s="1680">
        <v>90</v>
      </c>
      <c r="H385" s="1696" t="s">
        <v>1826</v>
      </c>
      <c r="I385" s="1680" t="s">
        <v>1027</v>
      </c>
      <c r="J385" s="1699" t="s">
        <v>5159</v>
      </c>
      <c r="K385" s="1698">
        <v>1.1793981481481482E-2</v>
      </c>
      <c r="L385" s="1687" t="s">
        <v>5154</v>
      </c>
      <c r="M385" s="1685">
        <v>44547</v>
      </c>
    </row>
    <row r="386" spans="1:13" s="1378" customFormat="1" ht="14.25">
      <c r="A386" s="1680">
        <v>377</v>
      </c>
      <c r="B386" s="1681" t="s">
        <v>1054</v>
      </c>
      <c r="C386" s="1681" t="s">
        <v>4505</v>
      </c>
      <c r="D386" s="1687" t="s">
        <v>137</v>
      </c>
      <c r="E386" s="1687" t="s">
        <v>860</v>
      </c>
      <c r="F386" s="1680" t="s">
        <v>5122</v>
      </c>
      <c r="G386" s="1680">
        <v>90</v>
      </c>
      <c r="H386" s="1696" t="s">
        <v>1826</v>
      </c>
      <c r="I386" s="1680" t="s">
        <v>88</v>
      </c>
      <c r="J386" s="1699" t="s">
        <v>5159</v>
      </c>
      <c r="K386" s="1698">
        <v>1.1793981481481482E-2</v>
      </c>
      <c r="L386" s="1687" t="s">
        <v>5154</v>
      </c>
      <c r="M386" s="1685">
        <v>44547</v>
      </c>
    </row>
    <row r="387" spans="1:13" s="1378" customFormat="1" ht="14.25">
      <c r="A387" s="1680">
        <v>378</v>
      </c>
      <c r="B387" s="1681" t="s">
        <v>1054</v>
      </c>
      <c r="C387" s="1681" t="s">
        <v>4505</v>
      </c>
      <c r="D387" s="1687" t="s">
        <v>137</v>
      </c>
      <c r="E387" s="1687" t="s">
        <v>860</v>
      </c>
      <c r="F387" s="1680" t="s">
        <v>5122</v>
      </c>
      <c r="G387" s="1680">
        <v>90</v>
      </c>
      <c r="H387" s="1696" t="s">
        <v>1826</v>
      </c>
      <c r="I387" s="1680" t="s">
        <v>1034</v>
      </c>
      <c r="J387" s="1699" t="s">
        <v>5159</v>
      </c>
      <c r="K387" s="1698">
        <v>1.1793981481481482E-2</v>
      </c>
      <c r="L387" s="1687" t="s">
        <v>5154</v>
      </c>
      <c r="M387" s="1685">
        <v>44547</v>
      </c>
    </row>
    <row r="388" spans="1:13" s="1378" customFormat="1" ht="14.25">
      <c r="A388" s="1680">
        <v>379</v>
      </c>
      <c r="B388" s="1681" t="s">
        <v>1057</v>
      </c>
      <c r="C388" s="1681" t="s">
        <v>4671</v>
      </c>
      <c r="D388" s="1687" t="s">
        <v>137</v>
      </c>
      <c r="E388" s="1687" t="s">
        <v>860</v>
      </c>
      <c r="F388" s="1680" t="s">
        <v>5122</v>
      </c>
      <c r="G388" s="1680">
        <v>85</v>
      </c>
      <c r="H388" s="1696" t="s">
        <v>1825</v>
      </c>
      <c r="I388" s="1680" t="s">
        <v>1012</v>
      </c>
      <c r="J388" s="1699" t="s">
        <v>5158</v>
      </c>
      <c r="K388" s="1698">
        <v>1.3391203703703704E-2</v>
      </c>
      <c r="L388" s="1687" t="s">
        <v>5154</v>
      </c>
      <c r="M388" s="1685">
        <v>44547</v>
      </c>
    </row>
    <row r="389" spans="1:13" s="1378" customFormat="1" ht="14.25">
      <c r="A389" s="1680">
        <v>380</v>
      </c>
      <c r="B389" s="1681" t="s">
        <v>1057</v>
      </c>
      <c r="C389" s="1681" t="s">
        <v>4671</v>
      </c>
      <c r="D389" s="1687" t="s">
        <v>137</v>
      </c>
      <c r="E389" s="1687" t="s">
        <v>860</v>
      </c>
      <c r="F389" s="1680" t="s">
        <v>5122</v>
      </c>
      <c r="G389" s="1680">
        <v>85</v>
      </c>
      <c r="H389" s="1680" t="s">
        <v>1825</v>
      </c>
      <c r="I389" s="1680" t="s">
        <v>1022</v>
      </c>
      <c r="J389" s="1700" t="s">
        <v>5158</v>
      </c>
      <c r="K389" s="1698">
        <v>1.3391203703703704E-2</v>
      </c>
      <c r="L389" s="1687" t="s">
        <v>5154</v>
      </c>
      <c r="M389" s="1685">
        <v>44547</v>
      </c>
    </row>
    <row r="390" spans="1:13" s="1378" customFormat="1" ht="14.25">
      <c r="A390" s="1680">
        <v>381</v>
      </c>
      <c r="B390" s="1681" t="s">
        <v>1057</v>
      </c>
      <c r="C390" s="1681" t="s">
        <v>4671</v>
      </c>
      <c r="D390" s="1687" t="s">
        <v>137</v>
      </c>
      <c r="E390" s="1687" t="s">
        <v>860</v>
      </c>
      <c r="F390" s="1680" t="s">
        <v>5122</v>
      </c>
      <c r="G390" s="1680">
        <v>85</v>
      </c>
      <c r="H390" s="1680" t="s">
        <v>1825</v>
      </c>
      <c r="I390" s="1680" t="s">
        <v>1027</v>
      </c>
      <c r="J390" s="1700" t="s">
        <v>5158</v>
      </c>
      <c r="K390" s="1698">
        <v>1.3391203703703704E-2</v>
      </c>
      <c r="L390" s="1687" t="s">
        <v>5154</v>
      </c>
      <c r="M390" s="1685">
        <v>44547</v>
      </c>
    </row>
    <row r="391" spans="1:13" s="1378" customFormat="1" ht="14.25">
      <c r="A391" s="1680">
        <v>382</v>
      </c>
      <c r="B391" s="1681" t="s">
        <v>1057</v>
      </c>
      <c r="C391" s="1681" t="s">
        <v>4671</v>
      </c>
      <c r="D391" s="1687" t="s">
        <v>137</v>
      </c>
      <c r="E391" s="1687" t="s">
        <v>860</v>
      </c>
      <c r="F391" s="1680" t="s">
        <v>5122</v>
      </c>
      <c r="G391" s="1680">
        <v>85</v>
      </c>
      <c r="H391" s="1680" t="s">
        <v>1825</v>
      </c>
      <c r="I391" s="1680" t="s">
        <v>88</v>
      </c>
      <c r="J391" s="1700" t="s">
        <v>5158</v>
      </c>
      <c r="K391" s="1698">
        <v>1.3391203703703704E-2</v>
      </c>
      <c r="L391" s="1687" t="s">
        <v>5154</v>
      </c>
      <c r="M391" s="1685">
        <v>44547</v>
      </c>
    </row>
    <row r="392" spans="1:13" s="1378" customFormat="1" ht="14.25">
      <c r="A392" s="1680">
        <v>383</v>
      </c>
      <c r="B392" s="1681" t="s">
        <v>1057</v>
      </c>
      <c r="C392" s="1681" t="s">
        <v>4671</v>
      </c>
      <c r="D392" s="1687" t="s">
        <v>137</v>
      </c>
      <c r="E392" s="1687" t="s">
        <v>860</v>
      </c>
      <c r="F392" s="1680" t="s">
        <v>5122</v>
      </c>
      <c r="G392" s="1680">
        <v>85</v>
      </c>
      <c r="H392" s="1680" t="s">
        <v>1825</v>
      </c>
      <c r="I392" s="1680" t="s">
        <v>1034</v>
      </c>
      <c r="J392" s="1700" t="s">
        <v>5158</v>
      </c>
      <c r="K392" s="1698">
        <v>1.3391203703703704E-2</v>
      </c>
      <c r="L392" s="1687" t="s">
        <v>5154</v>
      </c>
      <c r="M392" s="1685">
        <v>44547</v>
      </c>
    </row>
    <row r="393" spans="1:13" s="1378" customFormat="1" ht="14.25">
      <c r="A393" s="1680">
        <v>384</v>
      </c>
      <c r="B393" s="1681" t="s">
        <v>1057</v>
      </c>
      <c r="C393" s="1681" t="s">
        <v>4671</v>
      </c>
      <c r="D393" s="1687" t="s">
        <v>137</v>
      </c>
      <c r="E393" s="1687" t="s">
        <v>860</v>
      </c>
      <c r="F393" s="1680" t="s">
        <v>5122</v>
      </c>
      <c r="G393" s="1680">
        <v>90</v>
      </c>
      <c r="H393" s="1696" t="s">
        <v>1826</v>
      </c>
      <c r="I393" s="1680" t="s">
        <v>1012</v>
      </c>
      <c r="J393" s="1699" t="s">
        <v>5159</v>
      </c>
      <c r="K393" s="1698">
        <v>1.1793981481481482E-2</v>
      </c>
      <c r="L393" s="1687" t="s">
        <v>5154</v>
      </c>
      <c r="M393" s="1685">
        <v>44547</v>
      </c>
    </row>
    <row r="394" spans="1:13" s="1378" customFormat="1" ht="14.25">
      <c r="A394" s="1680">
        <v>385</v>
      </c>
      <c r="B394" s="1681" t="s">
        <v>1057</v>
      </c>
      <c r="C394" s="1681" t="s">
        <v>4671</v>
      </c>
      <c r="D394" s="1687" t="s">
        <v>137</v>
      </c>
      <c r="E394" s="1687" t="s">
        <v>860</v>
      </c>
      <c r="F394" s="1680" t="s">
        <v>5122</v>
      </c>
      <c r="G394" s="1680">
        <v>90</v>
      </c>
      <c r="H394" s="1696" t="s">
        <v>1826</v>
      </c>
      <c r="I394" s="1680" t="s">
        <v>1022</v>
      </c>
      <c r="J394" s="1699" t="s">
        <v>5159</v>
      </c>
      <c r="K394" s="1698">
        <v>1.1793981481481482E-2</v>
      </c>
      <c r="L394" s="1687" t="s">
        <v>5154</v>
      </c>
      <c r="M394" s="1685">
        <v>44547</v>
      </c>
    </row>
    <row r="395" spans="1:13" s="1378" customFormat="1" ht="14.25">
      <c r="A395" s="1680">
        <v>386</v>
      </c>
      <c r="B395" s="1681" t="s">
        <v>1057</v>
      </c>
      <c r="C395" s="1681" t="s">
        <v>4671</v>
      </c>
      <c r="D395" s="1687" t="s">
        <v>137</v>
      </c>
      <c r="E395" s="1687" t="s">
        <v>860</v>
      </c>
      <c r="F395" s="1680" t="s">
        <v>5122</v>
      </c>
      <c r="G395" s="1680">
        <v>90</v>
      </c>
      <c r="H395" s="1696" t="s">
        <v>1826</v>
      </c>
      <c r="I395" s="1680" t="s">
        <v>1027</v>
      </c>
      <c r="J395" s="1699" t="s">
        <v>5159</v>
      </c>
      <c r="K395" s="1698">
        <v>1.1793981481481482E-2</v>
      </c>
      <c r="L395" s="1687" t="s">
        <v>5154</v>
      </c>
      <c r="M395" s="1685">
        <v>44547</v>
      </c>
    </row>
    <row r="396" spans="1:13" s="1378" customFormat="1" ht="14.25">
      <c r="A396" s="1680">
        <v>387</v>
      </c>
      <c r="B396" s="1681" t="s">
        <v>1057</v>
      </c>
      <c r="C396" s="1681" t="s">
        <v>4671</v>
      </c>
      <c r="D396" s="1687" t="s">
        <v>137</v>
      </c>
      <c r="E396" s="1687" t="s">
        <v>860</v>
      </c>
      <c r="F396" s="1680" t="s">
        <v>5122</v>
      </c>
      <c r="G396" s="1680">
        <v>90</v>
      </c>
      <c r="H396" s="1696" t="s">
        <v>1826</v>
      </c>
      <c r="I396" s="1680" t="s">
        <v>88</v>
      </c>
      <c r="J396" s="1699" t="s">
        <v>5159</v>
      </c>
      <c r="K396" s="1698">
        <v>1.1793981481481482E-2</v>
      </c>
      <c r="L396" s="1687" t="s">
        <v>5154</v>
      </c>
      <c r="M396" s="1685">
        <v>44547</v>
      </c>
    </row>
    <row r="397" spans="1:13" s="1378" customFormat="1" ht="14.25">
      <c r="A397" s="1680">
        <v>388</v>
      </c>
      <c r="B397" s="1681" t="s">
        <v>1057</v>
      </c>
      <c r="C397" s="1681" t="s">
        <v>4671</v>
      </c>
      <c r="D397" s="1687" t="s">
        <v>137</v>
      </c>
      <c r="E397" s="1687" t="s">
        <v>860</v>
      </c>
      <c r="F397" s="1680" t="s">
        <v>5122</v>
      </c>
      <c r="G397" s="1680">
        <v>90</v>
      </c>
      <c r="H397" s="1696" t="s">
        <v>1826</v>
      </c>
      <c r="I397" s="1680" t="s">
        <v>1034</v>
      </c>
      <c r="J397" s="1699" t="s">
        <v>5159</v>
      </c>
      <c r="K397" s="1698">
        <v>1.1793981481481482E-2</v>
      </c>
      <c r="L397" s="1687" t="s">
        <v>5154</v>
      </c>
      <c r="M397" s="1685">
        <v>44547</v>
      </c>
    </row>
    <row r="398" spans="1:13" s="1378" customFormat="1" ht="14.25">
      <c r="A398" s="1634">
        <v>389</v>
      </c>
      <c r="B398" s="1635" t="s">
        <v>1032</v>
      </c>
      <c r="C398" s="1636" t="s">
        <v>2494</v>
      </c>
      <c r="D398" s="1635" t="s">
        <v>5134</v>
      </c>
      <c r="E398" s="1636" t="s">
        <v>4926</v>
      </c>
      <c r="F398" s="1634" t="s">
        <v>5122</v>
      </c>
      <c r="G398" s="1634">
        <v>105</v>
      </c>
      <c r="H398" s="1635" t="s">
        <v>1829</v>
      </c>
      <c r="I398" s="1634" t="s">
        <v>1012</v>
      </c>
      <c r="J398" s="1702">
        <v>18.2</v>
      </c>
      <c r="K398" s="1702" t="s">
        <v>4805</v>
      </c>
      <c r="L398" s="1636" t="s">
        <v>5168</v>
      </c>
      <c r="M398" s="1637">
        <v>44572</v>
      </c>
    </row>
    <row r="399" spans="1:13" s="1378" customFormat="1" ht="14.25">
      <c r="A399" s="1634">
        <v>390</v>
      </c>
      <c r="B399" s="1635" t="s">
        <v>1032</v>
      </c>
      <c r="C399" s="1636" t="s">
        <v>2494</v>
      </c>
      <c r="D399" s="1635" t="s">
        <v>5134</v>
      </c>
      <c r="E399" s="1636" t="s">
        <v>4926</v>
      </c>
      <c r="F399" s="1634" t="s">
        <v>5122</v>
      </c>
      <c r="G399" s="1634">
        <v>105</v>
      </c>
      <c r="H399" s="1635" t="s">
        <v>1829</v>
      </c>
      <c r="I399" s="1634" t="s">
        <v>1022</v>
      </c>
      <c r="J399" s="1702">
        <v>19.3</v>
      </c>
      <c r="K399" s="1702" t="s">
        <v>4805</v>
      </c>
      <c r="L399" s="1636" t="s">
        <v>5168</v>
      </c>
      <c r="M399" s="1637">
        <v>44572</v>
      </c>
    </row>
    <row r="400" spans="1:13" s="1378" customFormat="1" ht="14.25">
      <c r="A400" s="1634">
        <v>391</v>
      </c>
      <c r="B400" s="1635" t="s">
        <v>1032</v>
      </c>
      <c r="C400" s="1636" t="s">
        <v>2494</v>
      </c>
      <c r="D400" s="1635" t="s">
        <v>5134</v>
      </c>
      <c r="E400" s="1636" t="s">
        <v>4926</v>
      </c>
      <c r="F400" s="1634" t="s">
        <v>5122</v>
      </c>
      <c r="G400" s="1634">
        <v>105</v>
      </c>
      <c r="H400" s="1635" t="s">
        <v>1829</v>
      </c>
      <c r="I400" s="1634" t="s">
        <v>1027</v>
      </c>
      <c r="J400" s="1702">
        <v>20.9</v>
      </c>
      <c r="K400" s="1702" t="s">
        <v>4805</v>
      </c>
      <c r="L400" s="1636" t="s">
        <v>5168</v>
      </c>
      <c r="M400" s="1637">
        <v>44572</v>
      </c>
    </row>
    <row r="401" spans="1:13" s="1378" customFormat="1" ht="14.25">
      <c r="A401" s="1634">
        <v>392</v>
      </c>
      <c r="B401" s="1635" t="s">
        <v>1032</v>
      </c>
      <c r="C401" s="1636" t="s">
        <v>2494</v>
      </c>
      <c r="D401" s="1635" t="s">
        <v>5134</v>
      </c>
      <c r="E401" s="1636" t="s">
        <v>4926</v>
      </c>
      <c r="F401" s="1634" t="s">
        <v>5122</v>
      </c>
      <c r="G401" s="1634">
        <v>105</v>
      </c>
      <c r="H401" s="1635" t="s">
        <v>1829</v>
      </c>
      <c r="I401" s="1634" t="s">
        <v>88</v>
      </c>
      <c r="J401" s="1702">
        <v>22.7</v>
      </c>
      <c r="K401" s="1702" t="s">
        <v>4805</v>
      </c>
      <c r="L401" s="1636" t="s">
        <v>5168</v>
      </c>
      <c r="M401" s="1637">
        <v>44572</v>
      </c>
    </row>
    <row r="402" spans="1:13" s="1378" customFormat="1" ht="14.25">
      <c r="A402" s="1634">
        <v>393</v>
      </c>
      <c r="B402" s="1635" t="s">
        <v>1032</v>
      </c>
      <c r="C402" s="1636" t="s">
        <v>2494</v>
      </c>
      <c r="D402" s="1635" t="s">
        <v>5134</v>
      </c>
      <c r="E402" s="1636" t="s">
        <v>4926</v>
      </c>
      <c r="F402" s="1634" t="s">
        <v>5122</v>
      </c>
      <c r="G402" s="1634">
        <v>105</v>
      </c>
      <c r="H402" s="1635" t="s">
        <v>1829</v>
      </c>
      <c r="I402" s="1634" t="s">
        <v>1034</v>
      </c>
      <c r="J402" s="1702">
        <v>24.9</v>
      </c>
      <c r="K402" s="1702" t="s">
        <v>4805</v>
      </c>
      <c r="L402" s="1636" t="s">
        <v>5168</v>
      </c>
      <c r="M402" s="1637">
        <v>44572</v>
      </c>
    </row>
    <row r="403" spans="1:13" s="1381" customFormat="1" ht="14.25">
      <c r="A403" s="1648">
        <v>394</v>
      </c>
      <c r="B403" s="1646" t="s">
        <v>1057</v>
      </c>
      <c r="C403" s="1647" t="s">
        <v>4674</v>
      </c>
      <c r="D403" s="1646" t="s">
        <v>669</v>
      </c>
      <c r="E403" s="1647" t="s">
        <v>4926</v>
      </c>
      <c r="F403" s="1648" t="s">
        <v>5122</v>
      </c>
      <c r="G403" s="1648">
        <v>105</v>
      </c>
      <c r="H403" s="1646" t="s">
        <v>1829</v>
      </c>
      <c r="I403" s="1648" t="s">
        <v>1012</v>
      </c>
      <c r="J403" s="1526">
        <v>47.7</v>
      </c>
      <c r="K403" s="1526" t="s">
        <v>4805</v>
      </c>
      <c r="L403" s="1647" t="s">
        <v>5168</v>
      </c>
      <c r="M403" s="1637">
        <v>44582</v>
      </c>
    </row>
    <row r="404" spans="1:13" s="1381" customFormat="1" ht="14.25">
      <c r="A404" s="1634">
        <v>395</v>
      </c>
      <c r="B404" s="1635" t="s">
        <v>1057</v>
      </c>
      <c r="C404" s="1636" t="s">
        <v>4674</v>
      </c>
      <c r="D404" s="1635" t="s">
        <v>669</v>
      </c>
      <c r="E404" s="1636" t="s">
        <v>4926</v>
      </c>
      <c r="F404" s="1634" t="s">
        <v>5122</v>
      </c>
      <c r="G404" s="1634">
        <v>105</v>
      </c>
      <c r="H404" s="1635" t="s">
        <v>1829</v>
      </c>
      <c r="I404" s="1634" t="s">
        <v>1022</v>
      </c>
      <c r="J404" s="1526">
        <v>47.7</v>
      </c>
      <c r="K404" s="1526" t="s">
        <v>4805</v>
      </c>
      <c r="L404" s="1636" t="s">
        <v>5168</v>
      </c>
      <c r="M404" s="1637">
        <v>44582</v>
      </c>
    </row>
    <row r="405" spans="1:13" s="1381" customFormat="1" ht="14.25">
      <c r="A405" s="1634">
        <v>396</v>
      </c>
      <c r="B405" s="1635" t="s">
        <v>1057</v>
      </c>
      <c r="C405" s="1636" t="s">
        <v>4674</v>
      </c>
      <c r="D405" s="1635" t="s">
        <v>669</v>
      </c>
      <c r="E405" s="1636" t="s">
        <v>4926</v>
      </c>
      <c r="F405" s="1634" t="s">
        <v>5122</v>
      </c>
      <c r="G405" s="1634">
        <v>105</v>
      </c>
      <c r="H405" s="1635" t="s">
        <v>1829</v>
      </c>
      <c r="I405" s="1634" t="s">
        <v>1027</v>
      </c>
      <c r="J405" s="1526">
        <v>47.7</v>
      </c>
      <c r="K405" s="1526" t="s">
        <v>4805</v>
      </c>
      <c r="L405" s="1636" t="s">
        <v>5168</v>
      </c>
      <c r="M405" s="1637">
        <v>44582</v>
      </c>
    </row>
    <row r="406" spans="1:13" s="1381" customFormat="1" ht="14.25">
      <c r="A406" s="1634">
        <v>397</v>
      </c>
      <c r="B406" s="1635" t="s">
        <v>1057</v>
      </c>
      <c r="C406" s="1636" t="s">
        <v>4674</v>
      </c>
      <c r="D406" s="1635" t="s">
        <v>669</v>
      </c>
      <c r="E406" s="1636" t="s">
        <v>4926</v>
      </c>
      <c r="F406" s="1634" t="s">
        <v>5122</v>
      </c>
      <c r="G406" s="1634">
        <v>105</v>
      </c>
      <c r="H406" s="1635" t="s">
        <v>1829</v>
      </c>
      <c r="I406" s="1634" t="s">
        <v>88</v>
      </c>
      <c r="J406" s="1526">
        <v>48.3</v>
      </c>
      <c r="K406" s="1526" t="s">
        <v>4805</v>
      </c>
      <c r="L406" s="1636" t="s">
        <v>5168</v>
      </c>
      <c r="M406" s="1637">
        <v>44582</v>
      </c>
    </row>
    <row r="407" spans="1:13" s="1381" customFormat="1" ht="14.25">
      <c r="A407" s="1634">
        <v>398</v>
      </c>
      <c r="B407" s="1635" t="s">
        <v>1057</v>
      </c>
      <c r="C407" s="1636" t="s">
        <v>4674</v>
      </c>
      <c r="D407" s="1635" t="s">
        <v>669</v>
      </c>
      <c r="E407" s="1636" t="s">
        <v>4926</v>
      </c>
      <c r="F407" s="1634" t="s">
        <v>5122</v>
      </c>
      <c r="G407" s="1634">
        <v>105</v>
      </c>
      <c r="H407" s="1635" t="s">
        <v>1829</v>
      </c>
      <c r="I407" s="1634" t="s">
        <v>1034</v>
      </c>
      <c r="J407" s="1526">
        <v>49.6</v>
      </c>
      <c r="K407" s="1526" t="s">
        <v>4805</v>
      </c>
      <c r="L407" s="1636" t="s">
        <v>5168</v>
      </c>
      <c r="M407" s="1637">
        <v>44582</v>
      </c>
    </row>
    <row r="408" spans="1:13" s="1381" customFormat="1" ht="28.5">
      <c r="A408" s="1634">
        <v>399</v>
      </c>
      <c r="B408" s="1635" t="s">
        <v>1057</v>
      </c>
      <c r="C408" s="1636" t="s">
        <v>4674</v>
      </c>
      <c r="D408" s="1635" t="s">
        <v>669</v>
      </c>
      <c r="E408" s="1636" t="s">
        <v>4926</v>
      </c>
      <c r="F408" s="1634" t="s">
        <v>5122</v>
      </c>
      <c r="G408" s="1634">
        <v>85</v>
      </c>
      <c r="H408" s="1635" t="s">
        <v>1825</v>
      </c>
      <c r="I408" s="1634" t="s">
        <v>1012</v>
      </c>
      <c r="J408" s="1526"/>
      <c r="K408" s="1526">
        <v>-20</v>
      </c>
      <c r="L408" s="1636" t="s">
        <v>5169</v>
      </c>
      <c r="M408" s="1637">
        <v>44589</v>
      </c>
    </row>
    <row r="409" spans="1:13" s="1381" customFormat="1" ht="28.5">
      <c r="A409" s="1634">
        <v>400</v>
      </c>
      <c r="B409" s="1635" t="s">
        <v>1057</v>
      </c>
      <c r="C409" s="1636" t="s">
        <v>4674</v>
      </c>
      <c r="D409" s="1635" t="s">
        <v>669</v>
      </c>
      <c r="E409" s="1636" t="s">
        <v>4926</v>
      </c>
      <c r="F409" s="1634" t="s">
        <v>5122</v>
      </c>
      <c r="G409" s="1634">
        <v>85</v>
      </c>
      <c r="H409" s="1635" t="s">
        <v>1825</v>
      </c>
      <c r="I409" s="1634" t="s">
        <v>1022</v>
      </c>
      <c r="J409" s="1526"/>
      <c r="K409" s="1526">
        <v>-20</v>
      </c>
      <c r="L409" s="1636" t="s">
        <v>5169</v>
      </c>
      <c r="M409" s="1637">
        <v>44589</v>
      </c>
    </row>
    <row r="410" spans="1:13" s="1381" customFormat="1" ht="28.5">
      <c r="A410" s="1634">
        <v>401</v>
      </c>
      <c r="B410" s="1635" t="s">
        <v>1057</v>
      </c>
      <c r="C410" s="1636" t="s">
        <v>4674</v>
      </c>
      <c r="D410" s="1635" t="s">
        <v>669</v>
      </c>
      <c r="E410" s="1636" t="s">
        <v>4926</v>
      </c>
      <c r="F410" s="1634" t="s">
        <v>5122</v>
      </c>
      <c r="G410" s="1634">
        <v>85</v>
      </c>
      <c r="H410" s="1635" t="s">
        <v>1825</v>
      </c>
      <c r="I410" s="1634" t="s">
        <v>1027</v>
      </c>
      <c r="J410" s="1526"/>
      <c r="K410" s="1526">
        <v>-20</v>
      </c>
      <c r="L410" s="1636" t="s">
        <v>5169</v>
      </c>
      <c r="M410" s="1637">
        <v>44589</v>
      </c>
    </row>
    <row r="411" spans="1:13" s="1381" customFormat="1" ht="28.5">
      <c r="A411" s="1634">
        <v>402</v>
      </c>
      <c r="B411" s="1635" t="s">
        <v>1057</v>
      </c>
      <c r="C411" s="1636" t="s">
        <v>4674</v>
      </c>
      <c r="D411" s="1635" t="s">
        <v>669</v>
      </c>
      <c r="E411" s="1636" t="s">
        <v>4926</v>
      </c>
      <c r="F411" s="1634" t="s">
        <v>5122</v>
      </c>
      <c r="G411" s="1634">
        <v>85</v>
      </c>
      <c r="H411" s="1635" t="s">
        <v>1825</v>
      </c>
      <c r="I411" s="1634" t="s">
        <v>88</v>
      </c>
      <c r="J411" s="1526"/>
      <c r="K411" s="1526">
        <v>-20</v>
      </c>
      <c r="L411" s="1636" t="s">
        <v>5169</v>
      </c>
      <c r="M411" s="1637">
        <v>44589</v>
      </c>
    </row>
    <row r="412" spans="1:13" s="1381" customFormat="1" ht="28.5">
      <c r="A412" s="1634">
        <v>403</v>
      </c>
      <c r="B412" s="1635" t="s">
        <v>1057</v>
      </c>
      <c r="C412" s="1636" t="s">
        <v>4674</v>
      </c>
      <c r="D412" s="1635" t="s">
        <v>669</v>
      </c>
      <c r="E412" s="1636" t="s">
        <v>4926</v>
      </c>
      <c r="F412" s="1634" t="s">
        <v>5122</v>
      </c>
      <c r="G412" s="1634">
        <v>85</v>
      </c>
      <c r="H412" s="1635" t="s">
        <v>1825</v>
      </c>
      <c r="I412" s="1634" t="s">
        <v>1034</v>
      </c>
      <c r="J412" s="1526"/>
      <c r="K412" s="1526">
        <v>-20</v>
      </c>
      <c r="L412" s="1636" t="s">
        <v>5169</v>
      </c>
      <c r="M412" s="1637">
        <v>44589</v>
      </c>
    </row>
    <row r="413" spans="1:13" s="1381" customFormat="1" ht="28.5">
      <c r="A413" s="1634">
        <v>404</v>
      </c>
      <c r="B413" s="1635" t="s">
        <v>1057</v>
      </c>
      <c r="C413" s="1636" t="s">
        <v>4674</v>
      </c>
      <c r="D413" s="1635" t="s">
        <v>669</v>
      </c>
      <c r="E413" s="1636" t="s">
        <v>4926</v>
      </c>
      <c r="F413" s="1634" t="s">
        <v>5122</v>
      </c>
      <c r="G413" s="1634">
        <v>90</v>
      </c>
      <c r="H413" s="1703" t="s">
        <v>1826</v>
      </c>
      <c r="I413" s="1634" t="s">
        <v>1012</v>
      </c>
      <c r="J413" s="1526">
        <v>-20</v>
      </c>
      <c r="K413" s="1526">
        <v>0</v>
      </c>
      <c r="L413" s="1636" t="s">
        <v>5170</v>
      </c>
      <c r="M413" s="1637">
        <v>44589</v>
      </c>
    </row>
    <row r="414" spans="1:13" s="1381" customFormat="1" ht="28.5">
      <c r="A414" s="1634">
        <v>405</v>
      </c>
      <c r="B414" s="1635" t="s">
        <v>1057</v>
      </c>
      <c r="C414" s="1636" t="s">
        <v>4674</v>
      </c>
      <c r="D414" s="1635" t="s">
        <v>669</v>
      </c>
      <c r="E414" s="1636" t="s">
        <v>4926</v>
      </c>
      <c r="F414" s="1634" t="s">
        <v>5122</v>
      </c>
      <c r="G414" s="1634">
        <v>90</v>
      </c>
      <c r="H414" s="1703" t="s">
        <v>1826</v>
      </c>
      <c r="I414" s="1634" t="s">
        <v>1022</v>
      </c>
      <c r="J414" s="1526">
        <v>-20</v>
      </c>
      <c r="K414" s="1526">
        <v>0</v>
      </c>
      <c r="L414" s="1636" t="s">
        <v>5170</v>
      </c>
      <c r="M414" s="1637">
        <v>44589</v>
      </c>
    </row>
    <row r="415" spans="1:13" s="1381" customFormat="1" ht="28.5">
      <c r="A415" s="1634">
        <v>406</v>
      </c>
      <c r="B415" s="1635" t="s">
        <v>1057</v>
      </c>
      <c r="C415" s="1636" t="s">
        <v>4674</v>
      </c>
      <c r="D415" s="1635" t="s">
        <v>669</v>
      </c>
      <c r="E415" s="1636" t="s">
        <v>4926</v>
      </c>
      <c r="F415" s="1634" t="s">
        <v>5122</v>
      </c>
      <c r="G415" s="1634">
        <v>90</v>
      </c>
      <c r="H415" s="1703" t="s">
        <v>1826</v>
      </c>
      <c r="I415" s="1634" t="s">
        <v>1027</v>
      </c>
      <c r="J415" s="1526">
        <v>-20</v>
      </c>
      <c r="K415" s="1526">
        <v>0</v>
      </c>
      <c r="L415" s="1636" t="s">
        <v>5170</v>
      </c>
      <c r="M415" s="1637">
        <v>44589</v>
      </c>
    </row>
    <row r="416" spans="1:13" s="1381" customFormat="1" ht="28.5">
      <c r="A416" s="1634">
        <v>407</v>
      </c>
      <c r="B416" s="1635" t="s">
        <v>1057</v>
      </c>
      <c r="C416" s="1636" t="s">
        <v>4674</v>
      </c>
      <c r="D416" s="1635" t="s">
        <v>669</v>
      </c>
      <c r="E416" s="1636" t="s">
        <v>4926</v>
      </c>
      <c r="F416" s="1634" t="s">
        <v>5122</v>
      </c>
      <c r="G416" s="1634">
        <v>90</v>
      </c>
      <c r="H416" s="1703" t="s">
        <v>1826</v>
      </c>
      <c r="I416" s="1634" t="s">
        <v>88</v>
      </c>
      <c r="J416" s="1526">
        <v>-20</v>
      </c>
      <c r="K416" s="1526">
        <v>0</v>
      </c>
      <c r="L416" s="1636" t="s">
        <v>5170</v>
      </c>
      <c r="M416" s="1637">
        <v>44589</v>
      </c>
    </row>
    <row r="417" spans="1:13" s="1381" customFormat="1" ht="28.5">
      <c r="A417" s="1634">
        <v>408</v>
      </c>
      <c r="B417" s="1635" t="s">
        <v>1057</v>
      </c>
      <c r="C417" s="1636" t="s">
        <v>4674</v>
      </c>
      <c r="D417" s="1635" t="s">
        <v>669</v>
      </c>
      <c r="E417" s="1636" t="s">
        <v>4926</v>
      </c>
      <c r="F417" s="1634" t="s">
        <v>5122</v>
      </c>
      <c r="G417" s="1634">
        <v>90</v>
      </c>
      <c r="H417" s="1703" t="s">
        <v>1826</v>
      </c>
      <c r="I417" s="1634" t="s">
        <v>1034</v>
      </c>
      <c r="J417" s="1526">
        <v>-20</v>
      </c>
      <c r="K417" s="1526">
        <v>0</v>
      </c>
      <c r="L417" s="1636" t="s">
        <v>5170</v>
      </c>
      <c r="M417" s="1637">
        <v>44589</v>
      </c>
    </row>
    <row r="418" spans="1:13" s="1378" customFormat="1" ht="28.5">
      <c r="A418" s="1634">
        <v>409</v>
      </c>
      <c r="B418" s="1635" t="s">
        <v>1064</v>
      </c>
      <c r="C418" s="1636" t="s">
        <v>2266</v>
      </c>
      <c r="D418" s="1635" t="s">
        <v>669</v>
      </c>
      <c r="E418" s="1636" t="s">
        <v>4926</v>
      </c>
      <c r="F418" s="1634" t="s">
        <v>5122</v>
      </c>
      <c r="G418" s="1634">
        <v>85</v>
      </c>
      <c r="H418" s="1635" t="s">
        <v>1825</v>
      </c>
      <c r="I418" s="1634" t="s">
        <v>1012</v>
      </c>
      <c r="J418" s="1526"/>
      <c r="K418" s="1526">
        <v>-5</v>
      </c>
      <c r="L418" s="1636" t="s">
        <v>5171</v>
      </c>
      <c r="M418" s="1637">
        <v>44589</v>
      </c>
    </row>
    <row r="419" spans="1:13" s="1378" customFormat="1" ht="28.5">
      <c r="A419" s="1634">
        <v>410</v>
      </c>
      <c r="B419" s="1635" t="s">
        <v>1064</v>
      </c>
      <c r="C419" s="1636" t="s">
        <v>2266</v>
      </c>
      <c r="D419" s="1635" t="s">
        <v>669</v>
      </c>
      <c r="E419" s="1636" t="s">
        <v>4926</v>
      </c>
      <c r="F419" s="1634" t="s">
        <v>5122</v>
      </c>
      <c r="G419" s="1634">
        <v>85</v>
      </c>
      <c r="H419" s="1635" t="s">
        <v>1825</v>
      </c>
      <c r="I419" s="1634" t="s">
        <v>1022</v>
      </c>
      <c r="J419" s="1526"/>
      <c r="K419" s="1526">
        <v>-5</v>
      </c>
      <c r="L419" s="1636" t="s">
        <v>5171</v>
      </c>
      <c r="M419" s="1637">
        <v>44589</v>
      </c>
    </row>
    <row r="420" spans="1:13" s="1378" customFormat="1" ht="28.5">
      <c r="A420" s="1634">
        <v>411</v>
      </c>
      <c r="B420" s="1635" t="s">
        <v>1064</v>
      </c>
      <c r="C420" s="1636" t="s">
        <v>2266</v>
      </c>
      <c r="D420" s="1635" t="s">
        <v>669</v>
      </c>
      <c r="E420" s="1636" t="s">
        <v>4926</v>
      </c>
      <c r="F420" s="1634" t="s">
        <v>5122</v>
      </c>
      <c r="G420" s="1634">
        <v>85</v>
      </c>
      <c r="H420" s="1635" t="s">
        <v>1825</v>
      </c>
      <c r="I420" s="1634" t="s">
        <v>1027</v>
      </c>
      <c r="J420" s="1526"/>
      <c r="K420" s="1526">
        <v>-5</v>
      </c>
      <c r="L420" s="1636" t="s">
        <v>5171</v>
      </c>
      <c r="M420" s="1637">
        <v>44589</v>
      </c>
    </row>
    <row r="421" spans="1:13" s="1378" customFormat="1" ht="28.5">
      <c r="A421" s="1634">
        <v>412</v>
      </c>
      <c r="B421" s="1635" t="s">
        <v>1064</v>
      </c>
      <c r="C421" s="1636" t="s">
        <v>2266</v>
      </c>
      <c r="D421" s="1635" t="s">
        <v>669</v>
      </c>
      <c r="E421" s="1636" t="s">
        <v>4926</v>
      </c>
      <c r="F421" s="1634" t="s">
        <v>5122</v>
      </c>
      <c r="G421" s="1634">
        <v>85</v>
      </c>
      <c r="H421" s="1635" t="s">
        <v>1825</v>
      </c>
      <c r="I421" s="1634" t="s">
        <v>88</v>
      </c>
      <c r="J421" s="1526"/>
      <c r="K421" s="1526">
        <v>-5</v>
      </c>
      <c r="L421" s="1636" t="s">
        <v>5171</v>
      </c>
      <c r="M421" s="1637">
        <v>44589</v>
      </c>
    </row>
    <row r="422" spans="1:13" s="1378" customFormat="1" ht="28.5">
      <c r="A422" s="1634">
        <v>413</v>
      </c>
      <c r="B422" s="1635" t="s">
        <v>1064</v>
      </c>
      <c r="C422" s="1636" t="s">
        <v>2266</v>
      </c>
      <c r="D422" s="1635" t="s">
        <v>669</v>
      </c>
      <c r="E422" s="1636" t="s">
        <v>4926</v>
      </c>
      <c r="F422" s="1634" t="s">
        <v>5122</v>
      </c>
      <c r="G422" s="1634">
        <v>85</v>
      </c>
      <c r="H422" s="1635" t="s">
        <v>1825</v>
      </c>
      <c r="I422" s="1634" t="s">
        <v>1034</v>
      </c>
      <c r="J422" s="1526"/>
      <c r="K422" s="1526">
        <v>-5</v>
      </c>
      <c r="L422" s="1636" t="s">
        <v>5171</v>
      </c>
      <c r="M422" s="1637">
        <v>44589</v>
      </c>
    </row>
    <row r="423" spans="1:13" s="1378" customFormat="1" ht="28.5">
      <c r="A423" s="1634">
        <v>414</v>
      </c>
      <c r="B423" s="1635" t="s">
        <v>1064</v>
      </c>
      <c r="C423" s="1636" t="s">
        <v>2266</v>
      </c>
      <c r="D423" s="1635" t="s">
        <v>669</v>
      </c>
      <c r="E423" s="1636" t="s">
        <v>4926</v>
      </c>
      <c r="F423" s="1634" t="s">
        <v>5122</v>
      </c>
      <c r="G423" s="1634">
        <v>90</v>
      </c>
      <c r="H423" s="1703" t="s">
        <v>1826</v>
      </c>
      <c r="I423" s="1634" t="s">
        <v>1012</v>
      </c>
      <c r="J423" s="1526">
        <v>-5</v>
      </c>
      <c r="K423" s="1526">
        <v>0</v>
      </c>
      <c r="L423" s="1636" t="s">
        <v>5170</v>
      </c>
      <c r="M423" s="1637">
        <v>44589</v>
      </c>
    </row>
    <row r="424" spans="1:13" s="1378" customFormat="1" ht="28.5">
      <c r="A424" s="1634">
        <v>415</v>
      </c>
      <c r="B424" s="1635" t="s">
        <v>1064</v>
      </c>
      <c r="C424" s="1636" t="s">
        <v>2266</v>
      </c>
      <c r="D424" s="1635" t="s">
        <v>669</v>
      </c>
      <c r="E424" s="1636" t="s">
        <v>4926</v>
      </c>
      <c r="F424" s="1634" t="s">
        <v>5122</v>
      </c>
      <c r="G424" s="1634">
        <v>90</v>
      </c>
      <c r="H424" s="1703" t="s">
        <v>1826</v>
      </c>
      <c r="I424" s="1634" t="s">
        <v>1022</v>
      </c>
      <c r="J424" s="1526">
        <v>-5</v>
      </c>
      <c r="K424" s="1526">
        <v>0</v>
      </c>
      <c r="L424" s="1636" t="s">
        <v>5170</v>
      </c>
      <c r="M424" s="1637">
        <v>44589</v>
      </c>
    </row>
    <row r="425" spans="1:13" s="1378" customFormat="1" ht="28.5">
      <c r="A425" s="1634">
        <v>416</v>
      </c>
      <c r="B425" s="1635" t="s">
        <v>1064</v>
      </c>
      <c r="C425" s="1636" t="s">
        <v>2266</v>
      </c>
      <c r="D425" s="1635" t="s">
        <v>669</v>
      </c>
      <c r="E425" s="1636" t="s">
        <v>4926</v>
      </c>
      <c r="F425" s="1634" t="s">
        <v>5122</v>
      </c>
      <c r="G425" s="1634">
        <v>90</v>
      </c>
      <c r="H425" s="1703" t="s">
        <v>1826</v>
      </c>
      <c r="I425" s="1634" t="s">
        <v>1027</v>
      </c>
      <c r="J425" s="1526">
        <v>-5</v>
      </c>
      <c r="K425" s="1526">
        <v>0</v>
      </c>
      <c r="L425" s="1636" t="s">
        <v>5170</v>
      </c>
      <c r="M425" s="1637">
        <v>44589</v>
      </c>
    </row>
    <row r="426" spans="1:13" s="1378" customFormat="1" ht="28.5">
      <c r="A426" s="1634">
        <v>417</v>
      </c>
      <c r="B426" s="1635" t="s">
        <v>1064</v>
      </c>
      <c r="C426" s="1636" t="s">
        <v>2266</v>
      </c>
      <c r="D426" s="1635" t="s">
        <v>669</v>
      </c>
      <c r="E426" s="1636" t="s">
        <v>4926</v>
      </c>
      <c r="F426" s="1634" t="s">
        <v>5122</v>
      </c>
      <c r="G426" s="1634">
        <v>90</v>
      </c>
      <c r="H426" s="1703" t="s">
        <v>1826</v>
      </c>
      <c r="I426" s="1634" t="s">
        <v>88</v>
      </c>
      <c r="J426" s="1526">
        <v>-5</v>
      </c>
      <c r="K426" s="1526">
        <v>0</v>
      </c>
      <c r="L426" s="1636" t="s">
        <v>5170</v>
      </c>
      <c r="M426" s="1637">
        <v>44589</v>
      </c>
    </row>
    <row r="427" spans="1:13" s="1378" customFormat="1" ht="28.5">
      <c r="A427" s="1634">
        <v>418</v>
      </c>
      <c r="B427" s="1635" t="s">
        <v>1064</v>
      </c>
      <c r="C427" s="1636" t="s">
        <v>2266</v>
      </c>
      <c r="D427" s="1635" t="s">
        <v>669</v>
      </c>
      <c r="E427" s="1636" t="s">
        <v>4926</v>
      </c>
      <c r="F427" s="1634" t="s">
        <v>5122</v>
      </c>
      <c r="G427" s="1634">
        <v>90</v>
      </c>
      <c r="H427" s="1703" t="s">
        <v>1826</v>
      </c>
      <c r="I427" s="1634" t="s">
        <v>1034</v>
      </c>
      <c r="J427" s="1526">
        <v>-5</v>
      </c>
      <c r="K427" s="1526">
        <v>0</v>
      </c>
      <c r="L427" s="1636" t="s">
        <v>5170</v>
      </c>
      <c r="M427" s="1637">
        <v>44589</v>
      </c>
    </row>
    <row r="428" spans="1:13" s="1378" customFormat="1" ht="28.5">
      <c r="A428" s="1634">
        <v>419</v>
      </c>
      <c r="B428" s="1635" t="s">
        <v>1015</v>
      </c>
      <c r="C428" s="1636" t="s">
        <v>2048</v>
      </c>
      <c r="D428" s="1635" t="s">
        <v>669</v>
      </c>
      <c r="E428" s="1636" t="s">
        <v>4926</v>
      </c>
      <c r="F428" s="1634" t="s">
        <v>5122</v>
      </c>
      <c r="G428" s="1634">
        <v>85</v>
      </c>
      <c r="H428" s="1635" t="s">
        <v>1825</v>
      </c>
      <c r="I428" s="1634" t="s">
        <v>1012</v>
      </c>
      <c r="J428" s="1815"/>
      <c r="K428" s="1815">
        <v>-109.5</v>
      </c>
      <c r="L428" s="1636" t="s">
        <v>5172</v>
      </c>
      <c r="M428" s="1651">
        <v>44589</v>
      </c>
    </row>
    <row r="429" spans="1:13" s="1378" customFormat="1" ht="28.5">
      <c r="A429" s="1634">
        <v>420</v>
      </c>
      <c r="B429" s="1635" t="s">
        <v>1015</v>
      </c>
      <c r="C429" s="1636" t="s">
        <v>2048</v>
      </c>
      <c r="D429" s="1635" t="s">
        <v>669</v>
      </c>
      <c r="E429" s="1636" t="s">
        <v>4926</v>
      </c>
      <c r="F429" s="1634" t="s">
        <v>5122</v>
      </c>
      <c r="G429" s="1634">
        <v>85</v>
      </c>
      <c r="H429" s="1635" t="s">
        <v>1825</v>
      </c>
      <c r="I429" s="1634" t="s">
        <v>1022</v>
      </c>
      <c r="J429" s="1815"/>
      <c r="K429" s="1815">
        <v>-109.5</v>
      </c>
      <c r="L429" s="1636" t="s">
        <v>5172</v>
      </c>
      <c r="M429" s="1637">
        <v>44589</v>
      </c>
    </row>
    <row r="430" spans="1:13" s="1378" customFormat="1" ht="28.5">
      <c r="A430" s="1634">
        <v>421</v>
      </c>
      <c r="B430" s="1635" t="s">
        <v>1015</v>
      </c>
      <c r="C430" s="1636" t="s">
        <v>2048</v>
      </c>
      <c r="D430" s="1635" t="s">
        <v>669</v>
      </c>
      <c r="E430" s="1636" t="s">
        <v>4926</v>
      </c>
      <c r="F430" s="1634" t="s">
        <v>5122</v>
      </c>
      <c r="G430" s="1634">
        <v>85</v>
      </c>
      <c r="H430" s="1635" t="s">
        <v>1825</v>
      </c>
      <c r="I430" s="1634" t="s">
        <v>1027</v>
      </c>
      <c r="J430" s="1815"/>
      <c r="K430" s="1815">
        <v>-109.5</v>
      </c>
      <c r="L430" s="1636" t="s">
        <v>5172</v>
      </c>
      <c r="M430" s="1637">
        <v>44589</v>
      </c>
    </row>
    <row r="431" spans="1:13" s="1378" customFormat="1" ht="28.5">
      <c r="A431" s="1634">
        <v>422</v>
      </c>
      <c r="B431" s="1635" t="s">
        <v>1015</v>
      </c>
      <c r="C431" s="1636" t="s">
        <v>2048</v>
      </c>
      <c r="D431" s="1635" t="s">
        <v>669</v>
      </c>
      <c r="E431" s="1636" t="s">
        <v>4926</v>
      </c>
      <c r="F431" s="1634" t="s">
        <v>5122</v>
      </c>
      <c r="G431" s="1634">
        <v>85</v>
      </c>
      <c r="H431" s="1635" t="s">
        <v>1825</v>
      </c>
      <c r="I431" s="1634" t="s">
        <v>88</v>
      </c>
      <c r="J431" s="1815"/>
      <c r="K431" s="1815">
        <v>-109.5</v>
      </c>
      <c r="L431" s="1636" t="s">
        <v>5172</v>
      </c>
      <c r="M431" s="1637">
        <v>44589</v>
      </c>
    </row>
    <row r="432" spans="1:13" s="1378" customFormat="1" ht="28.5">
      <c r="A432" s="1634">
        <v>423</v>
      </c>
      <c r="B432" s="1635" t="s">
        <v>1015</v>
      </c>
      <c r="C432" s="1636" t="s">
        <v>2048</v>
      </c>
      <c r="D432" s="1635" t="s">
        <v>669</v>
      </c>
      <c r="E432" s="1636" t="s">
        <v>4926</v>
      </c>
      <c r="F432" s="1634" t="s">
        <v>5122</v>
      </c>
      <c r="G432" s="1634">
        <v>85</v>
      </c>
      <c r="H432" s="1635" t="s">
        <v>1825</v>
      </c>
      <c r="I432" s="1634" t="s">
        <v>1034</v>
      </c>
      <c r="J432" s="1815"/>
      <c r="K432" s="1815">
        <v>-109.5</v>
      </c>
      <c r="L432" s="1636" t="s">
        <v>5172</v>
      </c>
      <c r="M432" s="1637">
        <v>44589</v>
      </c>
    </row>
    <row r="433" spans="1:13" s="1378" customFormat="1" ht="28.5">
      <c r="A433" s="1634">
        <v>424</v>
      </c>
      <c r="B433" s="1635" t="s">
        <v>1015</v>
      </c>
      <c r="C433" s="1636" t="s">
        <v>2048</v>
      </c>
      <c r="D433" s="1635" t="s">
        <v>669</v>
      </c>
      <c r="E433" s="1636" t="s">
        <v>4926</v>
      </c>
      <c r="F433" s="1634" t="s">
        <v>5122</v>
      </c>
      <c r="G433" s="1634">
        <v>90</v>
      </c>
      <c r="H433" s="1703" t="s">
        <v>1826</v>
      </c>
      <c r="I433" s="1634" t="s">
        <v>1012</v>
      </c>
      <c r="J433" s="1815">
        <v>-109.5</v>
      </c>
      <c r="K433" s="1815">
        <v>0</v>
      </c>
      <c r="L433" s="1636" t="s">
        <v>5170</v>
      </c>
      <c r="M433" s="1637">
        <v>44589</v>
      </c>
    </row>
    <row r="434" spans="1:13" s="1378" customFormat="1" ht="28.5">
      <c r="A434" s="1634">
        <v>425</v>
      </c>
      <c r="B434" s="1635" t="s">
        <v>1015</v>
      </c>
      <c r="C434" s="1636" t="s">
        <v>2048</v>
      </c>
      <c r="D434" s="1635" t="s">
        <v>669</v>
      </c>
      <c r="E434" s="1636" t="s">
        <v>4926</v>
      </c>
      <c r="F434" s="1634" t="s">
        <v>5122</v>
      </c>
      <c r="G434" s="1634">
        <v>90</v>
      </c>
      <c r="H434" s="1703" t="s">
        <v>1826</v>
      </c>
      <c r="I434" s="1634" t="s">
        <v>1022</v>
      </c>
      <c r="J434" s="1815">
        <v>-109.5</v>
      </c>
      <c r="K434" s="1815">
        <v>0</v>
      </c>
      <c r="L434" s="1636" t="s">
        <v>5170</v>
      </c>
      <c r="M434" s="1637">
        <v>44589</v>
      </c>
    </row>
    <row r="435" spans="1:13" s="1378" customFormat="1" ht="28.5">
      <c r="A435" s="1634">
        <v>426</v>
      </c>
      <c r="B435" s="1635" t="s">
        <v>1015</v>
      </c>
      <c r="C435" s="1636" t="s">
        <v>2048</v>
      </c>
      <c r="D435" s="1635" t="s">
        <v>669</v>
      </c>
      <c r="E435" s="1636" t="s">
        <v>4926</v>
      </c>
      <c r="F435" s="1634" t="s">
        <v>5122</v>
      </c>
      <c r="G435" s="1634">
        <v>90</v>
      </c>
      <c r="H435" s="1703" t="s">
        <v>1826</v>
      </c>
      <c r="I435" s="1634" t="s">
        <v>1027</v>
      </c>
      <c r="J435" s="1815">
        <v>-109.5</v>
      </c>
      <c r="K435" s="1815">
        <v>0</v>
      </c>
      <c r="L435" s="1636" t="s">
        <v>5170</v>
      </c>
      <c r="M435" s="1637">
        <v>44589</v>
      </c>
    </row>
    <row r="436" spans="1:13" s="1378" customFormat="1" ht="28.5">
      <c r="A436" s="1634">
        <v>427</v>
      </c>
      <c r="B436" s="1635" t="s">
        <v>1015</v>
      </c>
      <c r="C436" s="1636" t="s">
        <v>2048</v>
      </c>
      <c r="D436" s="1635" t="s">
        <v>669</v>
      </c>
      <c r="E436" s="1636" t="s">
        <v>4926</v>
      </c>
      <c r="F436" s="1634" t="s">
        <v>5122</v>
      </c>
      <c r="G436" s="1634">
        <v>90</v>
      </c>
      <c r="H436" s="1703" t="s">
        <v>1826</v>
      </c>
      <c r="I436" s="1634" t="s">
        <v>88</v>
      </c>
      <c r="J436" s="1815">
        <v>-109.5</v>
      </c>
      <c r="K436" s="1815">
        <v>0</v>
      </c>
      <c r="L436" s="1636" t="s">
        <v>5170</v>
      </c>
      <c r="M436" s="1637">
        <v>44589</v>
      </c>
    </row>
    <row r="437" spans="1:13" s="1378" customFormat="1" ht="28.5">
      <c r="A437" s="1634">
        <v>428</v>
      </c>
      <c r="B437" s="1635" t="s">
        <v>1015</v>
      </c>
      <c r="C437" s="1636" t="s">
        <v>2048</v>
      </c>
      <c r="D437" s="1635" t="s">
        <v>669</v>
      </c>
      <c r="E437" s="1636" t="s">
        <v>4926</v>
      </c>
      <c r="F437" s="1634" t="s">
        <v>5122</v>
      </c>
      <c r="G437" s="1634">
        <v>90</v>
      </c>
      <c r="H437" s="1703" t="s">
        <v>1826</v>
      </c>
      <c r="I437" s="1634" t="s">
        <v>1034</v>
      </c>
      <c r="J437" s="1815">
        <v>-109.5</v>
      </c>
      <c r="K437" s="1815">
        <v>0</v>
      </c>
      <c r="L437" s="1636" t="s">
        <v>5170</v>
      </c>
      <c r="M437" s="1637">
        <v>44589</v>
      </c>
    </row>
    <row r="438" spans="1:13" s="1378" customFormat="1" ht="57">
      <c r="A438" s="1634">
        <v>429</v>
      </c>
      <c r="B438" s="1636" t="s">
        <v>5068</v>
      </c>
      <c r="C438" s="1630"/>
      <c r="D438" s="1631" t="s">
        <v>5069</v>
      </c>
      <c r="E438" s="1636" t="s">
        <v>860</v>
      </c>
      <c r="F438" s="1634" t="s">
        <v>5122</v>
      </c>
      <c r="G438" s="1694" t="s">
        <v>5173</v>
      </c>
      <c r="H438" s="1634" t="s">
        <v>5173</v>
      </c>
      <c r="I438" s="1634" t="s">
        <v>4985</v>
      </c>
      <c r="J438" s="1818" t="s">
        <v>5071</v>
      </c>
      <c r="K438" s="1634"/>
      <c r="L438" s="1631" t="s">
        <v>5174</v>
      </c>
      <c r="M438" s="1928">
        <v>44634</v>
      </c>
    </row>
    <row r="439" spans="1:13" s="1378" customFormat="1" ht="57">
      <c r="A439" s="1943">
        <f>A438+1</f>
        <v>430</v>
      </c>
      <c r="B439" s="1945" t="s">
        <v>1032</v>
      </c>
      <c r="C439" s="1944" t="s">
        <v>2678</v>
      </c>
      <c r="D439" s="1945" t="s">
        <v>2680</v>
      </c>
      <c r="E439" s="1945" t="s">
        <v>5077</v>
      </c>
      <c r="F439" s="1943" t="s">
        <v>5122</v>
      </c>
      <c r="G439" s="1946">
        <v>41</v>
      </c>
      <c r="H439" s="1943" t="s">
        <v>1175</v>
      </c>
      <c r="I439" s="1943" t="s">
        <v>924</v>
      </c>
      <c r="J439" s="1950" t="s">
        <v>1020</v>
      </c>
      <c r="K439" s="1943" t="s">
        <v>1010</v>
      </c>
      <c r="L439" s="1945" t="s">
        <v>5078</v>
      </c>
      <c r="M439" s="1951">
        <v>44900</v>
      </c>
    </row>
    <row r="440" spans="1:13" s="1378" customFormat="1" ht="28.5">
      <c r="A440" s="1957">
        <f t="shared" ref="A440:A458" si="0">A439+1</f>
        <v>431</v>
      </c>
      <c r="B440" s="1959" t="s">
        <v>1041</v>
      </c>
      <c r="C440" s="1958" t="s">
        <v>3603</v>
      </c>
      <c r="D440" s="1959" t="s">
        <v>669</v>
      </c>
      <c r="E440" s="1959" t="s">
        <v>5096</v>
      </c>
      <c r="F440" s="1957" t="s">
        <v>5122</v>
      </c>
      <c r="G440" s="1960">
        <v>100</v>
      </c>
      <c r="H440" s="1957" t="s">
        <v>1828</v>
      </c>
      <c r="I440" s="1957" t="s">
        <v>1012</v>
      </c>
      <c r="J440" s="1999"/>
      <c r="K440" s="1988">
        <v>3</v>
      </c>
      <c r="L440" s="2020" t="s">
        <v>5097</v>
      </c>
      <c r="M440" s="1961">
        <v>44915</v>
      </c>
    </row>
    <row r="441" spans="1:13" s="1378" customFormat="1" ht="28.5">
      <c r="A441" s="1957">
        <f t="shared" si="0"/>
        <v>432</v>
      </c>
      <c r="B441" s="1959" t="s">
        <v>1041</v>
      </c>
      <c r="C441" s="1958" t="s">
        <v>3603</v>
      </c>
      <c r="D441" s="1959" t="s">
        <v>669</v>
      </c>
      <c r="E441" s="1959" t="s">
        <v>5096</v>
      </c>
      <c r="F441" s="1957" t="s">
        <v>5122</v>
      </c>
      <c r="G441" s="1960">
        <v>100</v>
      </c>
      <c r="H441" s="1957" t="s">
        <v>1828</v>
      </c>
      <c r="I441" s="1957" t="s">
        <v>1022</v>
      </c>
      <c r="J441" s="1999"/>
      <c r="K441" s="1988">
        <v>6</v>
      </c>
      <c r="L441" s="2020" t="s">
        <v>5097</v>
      </c>
      <c r="M441" s="1961">
        <v>44915</v>
      </c>
    </row>
    <row r="442" spans="1:13" s="1378" customFormat="1" ht="28.5">
      <c r="A442" s="1957">
        <f t="shared" si="0"/>
        <v>433</v>
      </c>
      <c r="B442" s="1959" t="s">
        <v>1041</v>
      </c>
      <c r="C442" s="1958" t="s">
        <v>3603</v>
      </c>
      <c r="D442" s="1959" t="s">
        <v>669</v>
      </c>
      <c r="E442" s="1959" t="s">
        <v>5096</v>
      </c>
      <c r="F442" s="1957" t="s">
        <v>5122</v>
      </c>
      <c r="G442" s="1960">
        <v>100</v>
      </c>
      <c r="H442" s="1957" t="s">
        <v>1828</v>
      </c>
      <c r="I442" s="1957" t="s">
        <v>1027</v>
      </c>
      <c r="J442" s="1999"/>
      <c r="K442" s="1988">
        <v>9.1</v>
      </c>
      <c r="L442" s="2020" t="s">
        <v>5097</v>
      </c>
      <c r="M442" s="1961">
        <v>44915</v>
      </c>
    </row>
    <row r="443" spans="1:13" s="1378" customFormat="1" ht="28.5">
      <c r="A443" s="1957">
        <f t="shared" si="0"/>
        <v>434</v>
      </c>
      <c r="B443" s="1959" t="s">
        <v>1041</v>
      </c>
      <c r="C443" s="1958" t="s">
        <v>3603</v>
      </c>
      <c r="D443" s="1959" t="s">
        <v>669</v>
      </c>
      <c r="E443" s="1959" t="s">
        <v>5096</v>
      </c>
      <c r="F443" s="1957" t="s">
        <v>5122</v>
      </c>
      <c r="G443" s="1960">
        <v>100</v>
      </c>
      <c r="H443" s="1957" t="s">
        <v>1828</v>
      </c>
      <c r="I443" s="1957" t="s">
        <v>88</v>
      </c>
      <c r="J443" s="1999"/>
      <c r="K443" s="1988">
        <v>12.3</v>
      </c>
      <c r="L443" s="2020" t="s">
        <v>5097</v>
      </c>
      <c r="M443" s="1961">
        <v>44915</v>
      </c>
    </row>
    <row r="444" spans="1:13" s="1378" customFormat="1" ht="28.5">
      <c r="A444" s="1957">
        <f t="shared" si="0"/>
        <v>435</v>
      </c>
      <c r="B444" s="1959" t="s">
        <v>1041</v>
      </c>
      <c r="C444" s="1958" t="s">
        <v>3603</v>
      </c>
      <c r="D444" s="1959" t="s">
        <v>669</v>
      </c>
      <c r="E444" s="1959" t="s">
        <v>5096</v>
      </c>
      <c r="F444" s="1957" t="s">
        <v>5122</v>
      </c>
      <c r="G444" s="1960">
        <v>100</v>
      </c>
      <c r="H444" s="1957" t="s">
        <v>1828</v>
      </c>
      <c r="I444" s="1957" t="s">
        <v>1034</v>
      </c>
      <c r="J444" s="1999"/>
      <c r="K444" s="1988">
        <v>15.6</v>
      </c>
      <c r="L444" s="2020" t="s">
        <v>5097</v>
      </c>
      <c r="M444" s="1961">
        <v>44915</v>
      </c>
    </row>
    <row r="445" spans="1:13" s="1378" customFormat="1" ht="28.5">
      <c r="A445" s="1957">
        <f t="shared" si="0"/>
        <v>436</v>
      </c>
      <c r="B445" s="1959" t="s">
        <v>1064</v>
      </c>
      <c r="C445" s="1958" t="s">
        <v>2266</v>
      </c>
      <c r="D445" s="1959" t="s">
        <v>669</v>
      </c>
      <c r="E445" s="1959" t="s">
        <v>1064</v>
      </c>
      <c r="F445" s="1957" t="s">
        <v>5122</v>
      </c>
      <c r="G445" s="1960">
        <v>115</v>
      </c>
      <c r="H445" s="2018" t="s">
        <v>1876</v>
      </c>
      <c r="I445" s="1957" t="s">
        <v>924</v>
      </c>
      <c r="J445" s="1999">
        <v>-0.191</v>
      </c>
      <c r="K445" s="1957">
        <v>-0.26200000000000001</v>
      </c>
      <c r="L445" s="1959" t="s">
        <v>5175</v>
      </c>
      <c r="M445" s="2019">
        <v>45002</v>
      </c>
    </row>
    <row r="446" spans="1:13" s="1378" customFormat="1" ht="28.5">
      <c r="A446" s="1957">
        <f t="shared" si="0"/>
        <v>437</v>
      </c>
      <c r="B446" s="1959" t="s">
        <v>1064</v>
      </c>
      <c r="C446" s="1958" t="s">
        <v>2266</v>
      </c>
      <c r="D446" s="1959" t="s">
        <v>669</v>
      </c>
      <c r="E446" s="1959" t="s">
        <v>1064</v>
      </c>
      <c r="F446" s="1957" t="s">
        <v>5122</v>
      </c>
      <c r="G446" s="1960">
        <v>115</v>
      </c>
      <c r="H446" s="2018" t="s">
        <v>1877</v>
      </c>
      <c r="I446" s="1957" t="s">
        <v>924</v>
      </c>
      <c r="J446" s="1999">
        <v>-0.26200000000000001</v>
      </c>
      <c r="K446" s="1957">
        <v>-0.191</v>
      </c>
      <c r="L446" s="1959" t="s">
        <v>5176</v>
      </c>
      <c r="M446" s="2019">
        <v>45002</v>
      </c>
    </row>
    <row r="447" spans="1:13" s="1378" customFormat="1" ht="42.75">
      <c r="A447" s="1957">
        <f t="shared" si="0"/>
        <v>438</v>
      </c>
      <c r="B447" s="1959" t="s">
        <v>1045</v>
      </c>
      <c r="C447" s="1958" t="s">
        <v>3792</v>
      </c>
      <c r="D447" s="1959" t="s">
        <v>669</v>
      </c>
      <c r="E447" s="1959" t="s">
        <v>5177</v>
      </c>
      <c r="F447" s="1957" t="s">
        <v>5122</v>
      </c>
      <c r="G447" s="1960">
        <v>59</v>
      </c>
      <c r="H447" s="1957" t="s">
        <v>1823</v>
      </c>
      <c r="I447" s="1957" t="s">
        <v>1034</v>
      </c>
      <c r="J447" s="1999">
        <v>20.399999999999999</v>
      </c>
      <c r="K447" s="1957">
        <v>20.5</v>
      </c>
      <c r="L447" s="2021" t="s">
        <v>5178</v>
      </c>
      <c r="M447" s="2019">
        <v>45009</v>
      </c>
    </row>
    <row r="448" spans="1:13" s="1378" customFormat="1" ht="42.75">
      <c r="A448" s="1957">
        <f t="shared" si="0"/>
        <v>439</v>
      </c>
      <c r="B448" s="1959" t="s">
        <v>1045</v>
      </c>
      <c r="C448" s="1958" t="s">
        <v>3780</v>
      </c>
      <c r="D448" s="1959" t="s">
        <v>161</v>
      </c>
      <c r="E448" s="1959" t="s">
        <v>5177</v>
      </c>
      <c r="F448" s="1957" t="s">
        <v>5122</v>
      </c>
      <c r="G448" s="1960">
        <v>59</v>
      </c>
      <c r="H448" s="1957" t="s">
        <v>1823</v>
      </c>
      <c r="I448" s="1957" t="s">
        <v>88</v>
      </c>
      <c r="J448" s="1999">
        <v>254.8</v>
      </c>
      <c r="K448" s="1957">
        <v>254.7</v>
      </c>
      <c r="L448" s="2021" t="s">
        <v>5178</v>
      </c>
      <c r="M448" s="2019">
        <v>45009</v>
      </c>
    </row>
    <row r="449" spans="1:13" s="1378" customFormat="1" ht="42.75">
      <c r="A449" s="1957">
        <f t="shared" si="0"/>
        <v>440</v>
      </c>
      <c r="B449" s="1959" t="s">
        <v>1045</v>
      </c>
      <c r="C449" s="1958" t="s">
        <v>3780</v>
      </c>
      <c r="D449" s="1959" t="s">
        <v>161</v>
      </c>
      <c r="E449" s="1959" t="s">
        <v>5177</v>
      </c>
      <c r="F449" s="1957" t="s">
        <v>5122</v>
      </c>
      <c r="G449" s="1960">
        <v>59</v>
      </c>
      <c r="H449" s="1957" t="s">
        <v>1823</v>
      </c>
      <c r="I449" s="1957" t="s">
        <v>1034</v>
      </c>
      <c r="J449" s="1999">
        <v>251.1</v>
      </c>
      <c r="K449" s="1957">
        <v>249.3</v>
      </c>
      <c r="L449" s="2021" t="s">
        <v>5178</v>
      </c>
      <c r="M449" s="2019">
        <v>45009</v>
      </c>
    </row>
    <row r="450" spans="1:13" s="1378" customFormat="1" ht="28.5">
      <c r="A450" s="1957">
        <f t="shared" si="0"/>
        <v>441</v>
      </c>
      <c r="B450" s="1959" t="s">
        <v>1015</v>
      </c>
      <c r="C450" s="1958" t="s">
        <v>2056</v>
      </c>
      <c r="D450" s="1959" t="s">
        <v>732</v>
      </c>
      <c r="E450" s="1959" t="s">
        <v>1015</v>
      </c>
      <c r="F450" s="1957" t="s">
        <v>5122</v>
      </c>
      <c r="G450" s="1960">
        <v>115</v>
      </c>
      <c r="H450" s="2018" t="s">
        <v>1876</v>
      </c>
      <c r="I450" s="1957" t="s">
        <v>924</v>
      </c>
      <c r="J450" s="1999">
        <v>-10.994</v>
      </c>
      <c r="K450" s="1957">
        <v>-10.944000000000001</v>
      </c>
      <c r="L450" s="1959" t="s">
        <v>5179</v>
      </c>
      <c r="M450" s="2019">
        <v>45065</v>
      </c>
    </row>
    <row r="451" spans="1:13" s="1378" customFormat="1" ht="28.5">
      <c r="A451" s="2030">
        <f t="shared" si="0"/>
        <v>442</v>
      </c>
      <c r="B451" s="2032" t="s">
        <v>1015</v>
      </c>
      <c r="C451" s="2031" t="s">
        <v>2048</v>
      </c>
      <c r="D451" s="2032" t="s">
        <v>669</v>
      </c>
      <c r="E451" s="2032" t="s">
        <v>1015</v>
      </c>
      <c r="F451" s="2030" t="s">
        <v>5122</v>
      </c>
      <c r="G451" s="2033">
        <v>115</v>
      </c>
      <c r="H451" s="2037" t="s">
        <v>1876</v>
      </c>
      <c r="I451" s="2030" t="s">
        <v>924</v>
      </c>
      <c r="J451" s="2035">
        <v>-0.36499999999999999</v>
      </c>
      <c r="K451" s="2038">
        <v>-0.7</v>
      </c>
      <c r="L451" s="2032" t="s">
        <v>5180</v>
      </c>
      <c r="M451" s="2036">
        <v>45190</v>
      </c>
    </row>
    <row r="452" spans="1:13" s="1378" customFormat="1" ht="28.5">
      <c r="A452" s="2030">
        <f t="shared" si="0"/>
        <v>443</v>
      </c>
      <c r="B452" s="2032" t="s">
        <v>1015</v>
      </c>
      <c r="C452" s="2031" t="s">
        <v>2048</v>
      </c>
      <c r="D452" s="2032" t="s">
        <v>669</v>
      </c>
      <c r="E452" s="2032" t="s">
        <v>1015</v>
      </c>
      <c r="F452" s="2030" t="s">
        <v>5122</v>
      </c>
      <c r="G452" s="2033">
        <v>115</v>
      </c>
      <c r="H452" s="2037" t="s">
        <v>1877</v>
      </c>
      <c r="I452" s="2030" t="s">
        <v>924</v>
      </c>
      <c r="J452" s="2041">
        <v>-0.7</v>
      </c>
      <c r="K452" s="2038">
        <v>-0.36499999999999999</v>
      </c>
      <c r="L452" s="2032" t="s">
        <v>5180</v>
      </c>
      <c r="M452" s="2036">
        <v>45190</v>
      </c>
    </row>
    <row r="453" spans="1:13" s="1378" customFormat="1" ht="28.5">
      <c r="A453" s="2030">
        <f t="shared" si="0"/>
        <v>444</v>
      </c>
      <c r="B453" s="2032" t="s">
        <v>1057</v>
      </c>
      <c r="C453" s="2031" t="s">
        <v>4674</v>
      </c>
      <c r="D453" s="2032" t="s">
        <v>669</v>
      </c>
      <c r="E453" s="2032" t="s">
        <v>1057</v>
      </c>
      <c r="F453" s="2030" t="s">
        <v>5122</v>
      </c>
      <c r="G453" s="2033">
        <v>115</v>
      </c>
      <c r="H453" s="2037" t="s">
        <v>1876</v>
      </c>
      <c r="I453" s="2030" t="s">
        <v>924</v>
      </c>
      <c r="J453" s="2035">
        <v>-0.16700000000000001</v>
      </c>
      <c r="K453" s="2038">
        <v>-0.253</v>
      </c>
      <c r="L453" s="2032" t="s">
        <v>5181</v>
      </c>
      <c r="M453" s="2036">
        <v>45190</v>
      </c>
    </row>
    <row r="454" spans="1:13" s="1378" customFormat="1" ht="28.5">
      <c r="A454" s="2030">
        <f t="shared" si="0"/>
        <v>445</v>
      </c>
      <c r="B454" s="2032" t="s">
        <v>1057</v>
      </c>
      <c r="C454" s="2031" t="s">
        <v>4674</v>
      </c>
      <c r="D454" s="2032" t="s">
        <v>669</v>
      </c>
      <c r="E454" s="2032" t="s">
        <v>1057</v>
      </c>
      <c r="F454" s="2030" t="s">
        <v>5122</v>
      </c>
      <c r="G454" s="2033">
        <v>115</v>
      </c>
      <c r="H454" s="2037" t="s">
        <v>1877</v>
      </c>
      <c r="I454" s="2030" t="s">
        <v>924</v>
      </c>
      <c r="J454" s="2035">
        <v>-0.253</v>
      </c>
      <c r="K454" s="2038">
        <v>-0.16700000000000001</v>
      </c>
      <c r="L454" s="2032" t="s">
        <v>5181</v>
      </c>
      <c r="M454" s="2036">
        <v>45190</v>
      </c>
    </row>
    <row r="455" spans="1:13" s="1378" customFormat="1" ht="14.25">
      <c r="A455" s="2030">
        <f t="shared" si="0"/>
        <v>446</v>
      </c>
      <c r="B455" s="2032"/>
      <c r="C455" s="2031"/>
      <c r="D455" s="2032"/>
      <c r="E455" s="2032"/>
      <c r="F455" s="2030"/>
      <c r="G455" s="2033"/>
      <c r="H455" s="2030"/>
      <c r="I455" s="2030"/>
      <c r="J455" s="2035"/>
      <c r="K455" s="2030"/>
      <c r="L455" s="2032"/>
      <c r="M455" s="2036"/>
    </row>
    <row r="456" spans="1:13" s="1378" customFormat="1" ht="14.25">
      <c r="A456" s="2030">
        <f t="shared" si="0"/>
        <v>447</v>
      </c>
      <c r="B456" s="2032"/>
      <c r="C456" s="2031"/>
      <c r="D456" s="2032"/>
      <c r="E456" s="2032"/>
      <c r="F456" s="2030"/>
      <c r="G456" s="2033"/>
      <c r="H456" s="2030"/>
      <c r="I456" s="2030"/>
      <c r="J456" s="2035"/>
      <c r="K456" s="2030"/>
      <c r="L456" s="2032"/>
      <c r="M456" s="2036"/>
    </row>
    <row r="457" spans="1:13" s="1378" customFormat="1" ht="14.25">
      <c r="A457" s="2030">
        <f t="shared" si="0"/>
        <v>448</v>
      </c>
      <c r="B457" s="2032"/>
      <c r="C457" s="2031"/>
      <c r="D457" s="2032"/>
      <c r="E457" s="2032"/>
      <c r="F457" s="2030"/>
      <c r="G457" s="2033"/>
      <c r="H457" s="2030"/>
      <c r="I457" s="2030"/>
      <c r="J457" s="2035"/>
      <c r="K457" s="2030"/>
      <c r="L457" s="2032"/>
      <c r="M457" s="2036"/>
    </row>
    <row r="458" spans="1:13" s="1378" customFormat="1" ht="14.25">
      <c r="A458" s="2030">
        <f t="shared" si="0"/>
        <v>449</v>
      </c>
      <c r="B458" s="2032"/>
      <c r="C458" s="2031"/>
      <c r="D458" s="2032"/>
      <c r="E458" s="2032"/>
      <c r="F458" s="2030"/>
      <c r="G458" s="2033"/>
      <c r="H458" s="2030"/>
      <c r="I458" s="2030"/>
      <c r="J458" s="2035"/>
      <c r="K458" s="2030"/>
      <c r="L458" s="2032"/>
      <c r="M458" s="2036"/>
    </row>
    <row r="459" spans="1:13" s="1378" customFormat="1" ht="14.25">
      <c r="A459" s="2030">
        <f t="shared" ref="A459" si="1">A458+1</f>
        <v>450</v>
      </c>
      <c r="B459" s="2032"/>
      <c r="C459" s="2031"/>
      <c r="D459" s="2032"/>
      <c r="E459" s="2032"/>
      <c r="F459" s="2030"/>
      <c r="G459" s="2033"/>
      <c r="H459" s="2030"/>
      <c r="I459" s="2030"/>
      <c r="J459" s="2035"/>
      <c r="K459" s="2030"/>
      <c r="L459" s="2032"/>
      <c r="M459" s="2036"/>
    </row>
    <row r="460" spans="1:13" s="1378" customFormat="1" ht="14.25">
      <c r="B460" s="1535"/>
      <c r="D460" s="1582"/>
      <c r="E460" s="1582"/>
      <c r="F460" s="1583"/>
      <c r="G460" s="1583"/>
      <c r="H460" s="1583"/>
      <c r="I460" s="1583"/>
      <c r="J460" s="1583"/>
      <c r="K460" s="1583"/>
      <c r="L460" s="1582"/>
    </row>
    <row r="461" spans="1:13" s="1378" customFormat="1" ht="14.25">
      <c r="B461" s="1535"/>
      <c r="D461" s="1582"/>
      <c r="E461" s="1582"/>
      <c r="F461" s="1583"/>
      <c r="G461" s="1583"/>
      <c r="H461" s="1583"/>
      <c r="I461" s="1583"/>
      <c r="J461" s="1583"/>
      <c r="K461" s="1583"/>
      <c r="L461" s="1582"/>
    </row>
    <row r="462" spans="1:13" s="1378" customFormat="1" ht="14.25">
      <c r="B462" s="1535"/>
      <c r="D462" s="1582"/>
      <c r="E462" s="1582"/>
      <c r="F462" s="1583"/>
      <c r="G462" s="1583"/>
      <c r="H462" s="1583"/>
      <c r="I462" s="1583"/>
      <c r="J462" s="1583"/>
      <c r="K462" s="1583"/>
      <c r="L462" s="1582"/>
    </row>
    <row r="463" spans="1:13" s="1378" customFormat="1" ht="14.25">
      <c r="B463" s="1535"/>
      <c r="D463" s="1582"/>
      <c r="E463" s="1582"/>
      <c r="F463" s="1583"/>
      <c r="G463" s="1583"/>
      <c r="H463" s="1583"/>
      <c r="I463" s="1583"/>
      <c r="J463" s="1583"/>
      <c r="K463" s="1583"/>
      <c r="L463" s="1582"/>
    </row>
    <row r="464" spans="1:13" s="1378" customFormat="1" ht="14.25">
      <c r="B464" s="1535"/>
      <c r="D464" s="1582"/>
      <c r="E464" s="1582"/>
      <c r="F464" s="1583"/>
      <c r="G464" s="1583"/>
      <c r="H464" s="1583"/>
      <c r="I464" s="1583"/>
      <c r="J464" s="1583"/>
      <c r="K464" s="1583"/>
      <c r="L464" s="1582"/>
    </row>
    <row r="465" spans="2:12" s="1378" customFormat="1" ht="14.25">
      <c r="B465" s="1535"/>
      <c r="D465" s="1582"/>
      <c r="E465" s="1582"/>
      <c r="F465" s="1583"/>
      <c r="G465" s="1583"/>
      <c r="H465" s="1583"/>
      <c r="I465" s="1583"/>
      <c r="J465" s="1583"/>
      <c r="K465" s="1583"/>
      <c r="L465" s="1582"/>
    </row>
    <row r="466" spans="2:12" s="1378" customFormat="1" ht="14.25">
      <c r="B466" s="1535"/>
      <c r="D466" s="1582"/>
      <c r="E466" s="1582"/>
      <c r="F466" s="1583"/>
      <c r="G466" s="1583"/>
      <c r="H466" s="1583"/>
      <c r="I466" s="1583"/>
      <c r="J466" s="1583"/>
      <c r="K466" s="1583"/>
      <c r="L466" s="1582"/>
    </row>
    <row r="467" spans="2:12" s="1378" customFormat="1" ht="14.25">
      <c r="B467" s="1535"/>
      <c r="D467" s="1582"/>
      <c r="E467" s="1582"/>
      <c r="F467" s="1583"/>
      <c r="G467" s="1583"/>
      <c r="H467" s="1583"/>
      <c r="I467" s="1583"/>
      <c r="J467" s="1583"/>
      <c r="K467" s="1583"/>
      <c r="L467" s="1582"/>
    </row>
    <row r="468" spans="2:12" s="1378" customFormat="1" ht="14.25">
      <c r="B468" s="1535"/>
      <c r="D468" s="1582"/>
      <c r="E468" s="1582"/>
      <c r="F468" s="1583"/>
      <c r="G468" s="1583"/>
      <c r="H468" s="1583"/>
      <c r="I468" s="1583"/>
      <c r="J468" s="1583"/>
      <c r="K468" s="1583"/>
      <c r="L468" s="1582"/>
    </row>
    <row r="469" spans="2:12" s="1378" customFormat="1" ht="14.25">
      <c r="B469" s="1535"/>
      <c r="D469" s="1582"/>
      <c r="E469" s="1582"/>
      <c r="F469" s="1583"/>
      <c r="G469" s="1583"/>
      <c r="H469" s="1583"/>
      <c r="I469" s="1583"/>
      <c r="J469" s="1583"/>
      <c r="K469" s="1583"/>
      <c r="L469" s="1582"/>
    </row>
    <row r="470" spans="2:12" s="1378" customFormat="1" ht="14.25">
      <c r="B470" s="1535"/>
      <c r="D470" s="1582"/>
      <c r="E470" s="1582"/>
      <c r="F470" s="1583"/>
      <c r="G470" s="1583"/>
      <c r="H470" s="1583"/>
      <c r="I470" s="1583"/>
      <c r="J470" s="1583"/>
      <c r="K470" s="1583"/>
      <c r="L470" s="1582"/>
    </row>
    <row r="471" spans="2:12" s="1378" customFormat="1" ht="14.25">
      <c r="B471" s="1535"/>
      <c r="D471" s="1582"/>
      <c r="E471" s="1582"/>
      <c r="F471" s="1583"/>
      <c r="G471" s="1583"/>
      <c r="H471" s="1583"/>
      <c r="I471" s="1583"/>
      <c r="J471" s="1583"/>
      <c r="K471" s="1583"/>
      <c r="L471" s="1582"/>
    </row>
    <row r="472" spans="2:12" s="1378" customFormat="1" ht="14.25">
      <c r="B472" s="1535"/>
      <c r="D472" s="1582"/>
      <c r="E472" s="1582"/>
      <c r="F472" s="1583"/>
      <c r="G472" s="1583"/>
      <c r="H472" s="1583"/>
      <c r="I472" s="1583"/>
      <c r="J472" s="1583"/>
      <c r="K472" s="1583"/>
      <c r="L472" s="1582"/>
    </row>
    <row r="473" spans="2:12" s="1378" customFormat="1" ht="14.25">
      <c r="B473" s="1535"/>
      <c r="D473" s="1582"/>
      <c r="E473" s="1582"/>
      <c r="F473" s="1583"/>
      <c r="G473" s="1583"/>
      <c r="H473" s="1583"/>
      <c r="I473" s="1583"/>
      <c r="J473" s="1583"/>
      <c r="K473" s="1583"/>
      <c r="L473" s="1582"/>
    </row>
    <row r="474" spans="2:12" s="1378" customFormat="1" ht="14.25">
      <c r="B474" s="1535"/>
      <c r="D474" s="1582"/>
      <c r="E474" s="1582"/>
      <c r="F474" s="1583"/>
      <c r="G474" s="1583"/>
      <c r="H474" s="1583"/>
      <c r="I474" s="1583"/>
      <c r="J474" s="1583"/>
      <c r="K474" s="1583"/>
      <c r="L474" s="1582"/>
    </row>
    <row r="475" spans="2:12" s="1378" customFormat="1" ht="14.25">
      <c r="B475" s="1535"/>
      <c r="D475" s="1582"/>
      <c r="E475" s="1582"/>
      <c r="F475" s="1583"/>
      <c r="G475" s="1583"/>
      <c r="H475" s="1583"/>
      <c r="I475" s="1583"/>
      <c r="J475" s="1583"/>
      <c r="K475" s="1583"/>
      <c r="L475" s="1582"/>
    </row>
    <row r="476" spans="2:12" s="1378" customFormat="1" ht="14.25">
      <c r="B476" s="1535"/>
      <c r="D476" s="1582"/>
      <c r="E476" s="1582"/>
      <c r="F476" s="1583"/>
      <c r="G476" s="1583"/>
      <c r="H476" s="1583"/>
      <c r="I476" s="1583"/>
      <c r="J476" s="1583"/>
      <c r="K476" s="1583"/>
      <c r="L476" s="1582"/>
    </row>
    <row r="477" spans="2:12" s="1378" customFormat="1" ht="14.25">
      <c r="B477" s="1535"/>
      <c r="D477" s="1582"/>
      <c r="E477" s="1582"/>
      <c r="F477" s="1583"/>
      <c r="G477" s="1583"/>
      <c r="H477" s="1583"/>
      <c r="I477" s="1583"/>
      <c r="J477" s="1583"/>
      <c r="K477" s="1583"/>
      <c r="L477" s="1582"/>
    </row>
    <row r="478" spans="2:12" s="1378" customFormat="1" ht="14.25">
      <c r="B478" s="1535"/>
      <c r="D478" s="1582"/>
      <c r="E478" s="1582"/>
      <c r="F478" s="1583"/>
      <c r="G478" s="1583"/>
      <c r="H478" s="1583"/>
      <c r="I478" s="1583"/>
      <c r="J478" s="1583"/>
      <c r="K478" s="1583"/>
      <c r="L478" s="1582"/>
    </row>
    <row r="479" spans="2:12" s="1378" customFormat="1" ht="14.25">
      <c r="B479" s="1535"/>
      <c r="D479" s="1582"/>
      <c r="E479" s="1582"/>
      <c r="F479" s="1583"/>
      <c r="G479" s="1583"/>
      <c r="H479" s="1583"/>
      <c r="I479" s="1583"/>
      <c r="J479" s="1583"/>
      <c r="K479" s="1583"/>
      <c r="L479" s="1582"/>
    </row>
    <row r="480" spans="2:12" s="1378" customFormat="1" ht="14.25">
      <c r="B480" s="1535"/>
      <c r="D480" s="1582"/>
      <c r="E480" s="1582"/>
      <c r="F480" s="1583"/>
      <c r="G480" s="1583"/>
      <c r="H480" s="1583"/>
      <c r="I480" s="1583"/>
      <c r="J480" s="1583"/>
      <c r="K480" s="1583"/>
      <c r="L480" s="1582"/>
    </row>
    <row r="481" spans="2:12" s="1378" customFormat="1" ht="14.25">
      <c r="B481" s="1535"/>
      <c r="D481" s="1582"/>
      <c r="E481" s="1582"/>
      <c r="F481" s="1583"/>
      <c r="G481" s="1583"/>
      <c r="H481" s="1583"/>
      <c r="I481" s="1583"/>
      <c r="J481" s="1583"/>
      <c r="K481" s="1583"/>
      <c r="L481" s="1582"/>
    </row>
    <row r="482" spans="2:12" s="1378" customFormat="1" ht="14.25">
      <c r="B482" s="1535"/>
      <c r="D482" s="1582"/>
      <c r="E482" s="1582"/>
      <c r="F482" s="1583"/>
      <c r="G482" s="1583"/>
      <c r="H482" s="1583"/>
      <c r="I482" s="1583"/>
      <c r="J482" s="1583"/>
      <c r="K482" s="1583"/>
      <c r="L482" s="1582"/>
    </row>
    <row r="483" spans="2:12" s="1378" customFormat="1" ht="14.25">
      <c r="B483" s="1535"/>
      <c r="D483" s="1582"/>
      <c r="E483" s="1582"/>
      <c r="F483" s="1583"/>
      <c r="G483" s="1583"/>
      <c r="H483" s="1583"/>
      <c r="I483" s="1583"/>
      <c r="J483" s="1583"/>
      <c r="K483" s="1583"/>
      <c r="L483" s="1582"/>
    </row>
    <row r="484" spans="2:12" s="1378" customFormat="1" ht="14.25">
      <c r="B484" s="1535"/>
      <c r="D484" s="1582"/>
      <c r="E484" s="1582"/>
      <c r="F484" s="1583"/>
      <c r="G484" s="1583"/>
      <c r="H484" s="1583"/>
      <c r="I484" s="1583"/>
      <c r="J484" s="1583"/>
      <c r="K484" s="1583"/>
      <c r="L484" s="1582"/>
    </row>
    <row r="485" spans="2:12" s="1378" customFormat="1" ht="14.25">
      <c r="B485" s="1535"/>
      <c r="D485" s="1582"/>
      <c r="E485" s="1582"/>
      <c r="F485" s="1583"/>
      <c r="G485" s="1583"/>
      <c r="H485" s="1583"/>
      <c r="I485" s="1583"/>
      <c r="J485" s="1583"/>
      <c r="K485" s="1583"/>
      <c r="L485" s="1582"/>
    </row>
    <row r="486" spans="2:12" s="1378" customFormat="1" ht="14.25">
      <c r="B486" s="1535"/>
      <c r="D486" s="1582"/>
      <c r="E486" s="1582"/>
      <c r="F486" s="1583"/>
      <c r="G486" s="1583"/>
      <c r="H486" s="1583"/>
      <c r="I486" s="1583"/>
      <c r="J486" s="1583"/>
      <c r="K486" s="1583"/>
      <c r="L486" s="1582"/>
    </row>
    <row r="487" spans="2:12" s="1378" customFormat="1" ht="14.25">
      <c r="B487" s="1535"/>
      <c r="D487" s="1582"/>
      <c r="E487" s="1582"/>
      <c r="F487" s="1583"/>
      <c r="G487" s="1583"/>
      <c r="H487" s="1583"/>
      <c r="I487" s="1583"/>
      <c r="J487" s="1583"/>
      <c r="K487" s="1583"/>
      <c r="L487" s="1582"/>
    </row>
    <row r="488" spans="2:12" s="1378" customFormat="1" ht="14.25">
      <c r="B488" s="1535"/>
      <c r="D488" s="1582"/>
      <c r="E488" s="1582"/>
      <c r="F488" s="1583"/>
      <c r="G488" s="1583"/>
      <c r="H488" s="1583"/>
      <c r="I488" s="1583"/>
      <c r="J488" s="1583"/>
      <c r="K488" s="1583"/>
      <c r="L488" s="1582"/>
    </row>
    <row r="489" spans="2:12" s="1378" customFormat="1" ht="14.25">
      <c r="B489" s="1535"/>
      <c r="D489" s="1582"/>
      <c r="E489" s="1582"/>
      <c r="F489" s="1583"/>
      <c r="G489" s="1583"/>
      <c r="H489" s="1583"/>
      <c r="I489" s="1583"/>
      <c r="J489" s="1583"/>
      <c r="K489" s="1583"/>
      <c r="L489" s="1582"/>
    </row>
    <row r="490" spans="2:12" s="1378" customFormat="1" ht="14.25">
      <c r="B490" s="1535"/>
      <c r="D490" s="1582"/>
      <c r="E490" s="1582"/>
      <c r="F490" s="1583"/>
      <c r="G490" s="1583"/>
      <c r="H490" s="1583"/>
      <c r="I490" s="1583"/>
      <c r="J490" s="1583"/>
      <c r="K490" s="1583"/>
      <c r="L490" s="1582"/>
    </row>
    <row r="491" spans="2:12" s="1378" customFormat="1" ht="14.25">
      <c r="B491" s="1535"/>
      <c r="D491" s="1582"/>
      <c r="E491" s="1582"/>
      <c r="F491" s="1583"/>
      <c r="G491" s="1583"/>
      <c r="H491" s="1583"/>
      <c r="I491" s="1583"/>
      <c r="J491" s="1583"/>
      <c r="K491" s="1583"/>
      <c r="L491" s="1582"/>
    </row>
    <row r="492" spans="2:12" s="1378" customFormat="1" ht="14.25">
      <c r="B492" s="1535"/>
      <c r="D492" s="1582"/>
      <c r="E492" s="1582"/>
      <c r="F492" s="1583"/>
      <c r="G492" s="1583"/>
      <c r="H492" s="1583"/>
      <c r="I492" s="1583"/>
      <c r="J492" s="1583"/>
      <c r="K492" s="1583"/>
      <c r="L492" s="1582"/>
    </row>
    <row r="493" spans="2:12" s="1378" customFormat="1" ht="14.25">
      <c r="B493" s="1535"/>
      <c r="D493" s="1582"/>
      <c r="E493" s="1582"/>
      <c r="F493" s="1583"/>
      <c r="G493" s="1583"/>
      <c r="H493" s="1583"/>
      <c r="I493" s="1583"/>
      <c r="J493" s="1583"/>
      <c r="K493" s="1583"/>
      <c r="L493" s="1582"/>
    </row>
    <row r="494" spans="2:12" s="1378" customFormat="1" ht="14.25">
      <c r="B494" s="1535"/>
      <c r="D494" s="1582"/>
      <c r="E494" s="1582"/>
      <c r="F494" s="1583"/>
      <c r="G494" s="1583"/>
      <c r="H494" s="1583"/>
      <c r="I494" s="1583"/>
      <c r="J494" s="1583"/>
      <c r="K494" s="1583"/>
      <c r="L494" s="1582"/>
    </row>
    <row r="495" spans="2:12" s="1378" customFormat="1" ht="14.25">
      <c r="B495" s="1535"/>
      <c r="D495" s="1582"/>
      <c r="E495" s="1582"/>
      <c r="F495" s="1583"/>
      <c r="G495" s="1583"/>
      <c r="H495" s="1583"/>
      <c r="I495" s="1583"/>
      <c r="J495" s="1583"/>
      <c r="K495" s="1583"/>
      <c r="L495" s="1582"/>
    </row>
    <row r="496" spans="2:12" s="1378" customFormat="1" ht="14.25">
      <c r="B496" s="1535"/>
      <c r="D496" s="1582"/>
      <c r="E496" s="1582"/>
      <c r="F496" s="1583"/>
      <c r="G496" s="1583"/>
      <c r="H496" s="1583"/>
      <c r="I496" s="1583"/>
      <c r="J496" s="1583"/>
      <c r="K496" s="1583"/>
      <c r="L496" s="1582"/>
    </row>
    <row r="497" spans="2:12" s="1378" customFormat="1" ht="14.25">
      <c r="B497" s="1535"/>
      <c r="D497" s="1582"/>
      <c r="E497" s="1582"/>
      <c r="F497" s="1583"/>
      <c r="G497" s="1583"/>
      <c r="H497" s="1583"/>
      <c r="I497" s="1583"/>
      <c r="J497" s="1583"/>
      <c r="K497" s="1583"/>
      <c r="L497" s="1582"/>
    </row>
    <row r="498" spans="2:12" s="1378" customFormat="1" ht="14.25">
      <c r="B498" s="1535"/>
      <c r="D498" s="1582"/>
      <c r="E498" s="1582"/>
      <c r="F498" s="1583"/>
      <c r="G498" s="1583"/>
      <c r="H498" s="1583"/>
      <c r="I498" s="1583"/>
      <c r="J498" s="1583"/>
      <c r="K498" s="1583"/>
      <c r="L498" s="1582"/>
    </row>
    <row r="499" spans="2:12" s="1378" customFormat="1" ht="14.25">
      <c r="B499" s="1535"/>
      <c r="D499" s="1582"/>
      <c r="E499" s="1582"/>
      <c r="F499" s="1583"/>
      <c r="G499" s="1583"/>
      <c r="H499" s="1583"/>
      <c r="I499" s="1583"/>
      <c r="J499" s="1583"/>
      <c r="K499" s="1583"/>
      <c r="L499" s="1582"/>
    </row>
    <row r="500" spans="2:12" s="1378" customFormat="1" ht="14.25">
      <c r="B500" s="1535"/>
      <c r="D500" s="1582"/>
      <c r="E500" s="1582"/>
      <c r="F500" s="1583"/>
      <c r="G500" s="1583"/>
      <c r="H500" s="1583"/>
      <c r="I500" s="1583"/>
      <c r="J500" s="1583"/>
      <c r="K500" s="1583"/>
      <c r="L500" s="1582"/>
    </row>
    <row r="501" spans="2:12" s="1378" customFormat="1" ht="14.25">
      <c r="B501" s="1535"/>
      <c r="D501" s="1582"/>
      <c r="E501" s="1582"/>
      <c r="F501" s="1583"/>
      <c r="G501" s="1583"/>
      <c r="H501" s="1583"/>
      <c r="I501" s="1583"/>
      <c r="J501" s="1583"/>
      <c r="K501" s="1583"/>
      <c r="L501" s="1582"/>
    </row>
    <row r="502" spans="2:12" s="1378" customFormat="1" ht="14.25">
      <c r="B502" s="1535"/>
      <c r="D502" s="1582"/>
      <c r="E502" s="1582"/>
      <c r="F502" s="1583"/>
      <c r="G502" s="1583"/>
      <c r="H502" s="1583"/>
      <c r="I502" s="1583"/>
      <c r="J502" s="1583"/>
      <c r="K502" s="1583"/>
      <c r="L502" s="1582"/>
    </row>
    <row r="503" spans="2:12" s="1378" customFormat="1" ht="14.25">
      <c r="B503" s="1535"/>
      <c r="D503" s="1582"/>
      <c r="E503" s="1582"/>
      <c r="F503" s="1583"/>
      <c r="G503" s="1583"/>
      <c r="H503" s="1583"/>
      <c r="I503" s="1583"/>
      <c r="J503" s="1583"/>
      <c r="K503" s="1583"/>
      <c r="L503" s="1582"/>
    </row>
    <row r="504" spans="2:12" s="1378" customFormat="1" ht="14.25">
      <c r="B504" s="1535"/>
      <c r="D504" s="1582"/>
      <c r="E504" s="1582"/>
      <c r="F504" s="1583"/>
      <c r="G504" s="1583"/>
      <c r="H504" s="1583"/>
      <c r="I504" s="1583"/>
      <c r="J504" s="1583"/>
      <c r="K504" s="1583"/>
      <c r="L504" s="1582"/>
    </row>
    <row r="505" spans="2:12" s="1378" customFormat="1" ht="14.25">
      <c r="B505" s="1535"/>
      <c r="D505" s="1582"/>
      <c r="E505" s="1582"/>
      <c r="F505" s="1583"/>
      <c r="G505" s="1583"/>
      <c r="H505" s="1583"/>
      <c r="I505" s="1583"/>
      <c r="J505" s="1583"/>
      <c r="K505" s="1583"/>
      <c r="L505" s="1582"/>
    </row>
    <row r="506" spans="2:12" s="1378" customFormat="1" ht="14.25">
      <c r="B506" s="1535"/>
      <c r="D506" s="1582"/>
      <c r="E506" s="1582"/>
      <c r="F506" s="1583"/>
      <c r="G506" s="1583"/>
      <c r="H506" s="1583"/>
      <c r="I506" s="1583"/>
      <c r="J506" s="1583"/>
      <c r="K506" s="1583"/>
      <c r="L506" s="1582"/>
    </row>
    <row r="507" spans="2:12" s="1378" customFormat="1" ht="14.25">
      <c r="B507" s="1535"/>
      <c r="D507" s="1582"/>
      <c r="E507" s="1582"/>
      <c r="F507" s="1583"/>
      <c r="G507" s="1583"/>
      <c r="H507" s="1583"/>
      <c r="I507" s="1583"/>
      <c r="J507" s="1583"/>
      <c r="K507" s="1583"/>
      <c r="L507" s="1582"/>
    </row>
    <row r="508" spans="2:12" s="1378" customFormat="1" ht="14.25">
      <c r="B508" s="1535"/>
      <c r="D508" s="1582"/>
      <c r="E508" s="1582"/>
      <c r="F508" s="1583"/>
      <c r="G508" s="1583"/>
      <c r="H508" s="1583"/>
      <c r="I508" s="1583"/>
      <c r="J508" s="1583"/>
      <c r="K508" s="1583"/>
      <c r="L508" s="1582"/>
    </row>
    <row r="509" spans="2:12" s="1378" customFormat="1" ht="14.25">
      <c r="B509" s="1535"/>
      <c r="D509" s="1582"/>
      <c r="E509" s="1582"/>
      <c r="F509" s="1583"/>
      <c r="G509" s="1583"/>
      <c r="H509" s="1583"/>
      <c r="I509" s="1583"/>
      <c r="J509" s="1583"/>
      <c r="K509" s="1583"/>
      <c r="L509" s="1582"/>
    </row>
    <row r="510" spans="2:12" s="1378" customFormat="1" ht="14.25">
      <c r="B510" s="1535"/>
      <c r="D510" s="1582"/>
      <c r="E510" s="1582"/>
      <c r="F510" s="1583"/>
      <c r="G510" s="1583"/>
      <c r="H510" s="1583"/>
      <c r="I510" s="1583"/>
      <c r="J510" s="1583"/>
      <c r="K510" s="1583"/>
      <c r="L510" s="1582"/>
    </row>
    <row r="511" spans="2:12" s="1378" customFormat="1" ht="14.25">
      <c r="B511" s="1535"/>
      <c r="D511" s="1582"/>
      <c r="E511" s="1582"/>
      <c r="F511" s="1583"/>
      <c r="G511" s="1583"/>
      <c r="H511" s="1583"/>
      <c r="I511" s="1583"/>
      <c r="J511" s="1583"/>
      <c r="K511" s="1583"/>
      <c r="L511" s="1582"/>
    </row>
    <row r="512" spans="2:12" s="1378" customFormat="1" ht="14.25">
      <c r="B512" s="1535"/>
      <c r="D512" s="1582"/>
      <c r="E512" s="1582"/>
      <c r="F512" s="1583"/>
      <c r="G512" s="1583"/>
      <c r="H512" s="1583"/>
      <c r="I512" s="1583"/>
      <c r="J512" s="1583"/>
      <c r="K512" s="1583"/>
      <c r="L512" s="1582"/>
    </row>
    <row r="513" spans="2:12" s="1378" customFormat="1" ht="14.25">
      <c r="B513" s="1535"/>
      <c r="D513" s="1582"/>
      <c r="E513" s="1582"/>
      <c r="F513" s="1583"/>
      <c r="G513" s="1583"/>
      <c r="H513" s="1583"/>
      <c r="I513" s="1583"/>
      <c r="J513" s="1583"/>
      <c r="K513" s="1583"/>
      <c r="L513" s="1582"/>
    </row>
    <row r="514" spans="2:12" s="1378" customFormat="1" ht="14.25">
      <c r="B514" s="1535"/>
      <c r="D514" s="1582"/>
      <c r="E514" s="1582"/>
      <c r="F514" s="1583"/>
      <c r="G514" s="1583"/>
      <c r="H514" s="1583"/>
      <c r="I514" s="1583"/>
      <c r="J514" s="1583"/>
      <c r="K514" s="1583"/>
      <c r="L514" s="1582"/>
    </row>
    <row r="515" spans="2:12" s="1378" customFormat="1" ht="14.25">
      <c r="B515" s="1535"/>
      <c r="D515" s="1582"/>
      <c r="E515" s="1582"/>
      <c r="F515" s="1583"/>
      <c r="G515" s="1583"/>
      <c r="H515" s="1583"/>
      <c r="I515" s="1583"/>
      <c r="J515" s="1583"/>
      <c r="K515" s="1583"/>
      <c r="L515" s="1582"/>
    </row>
    <row r="516" spans="2:12" s="1378" customFormat="1" ht="14.25">
      <c r="B516" s="1535"/>
      <c r="D516" s="1582"/>
      <c r="E516" s="1582"/>
      <c r="F516" s="1583"/>
      <c r="G516" s="1583"/>
      <c r="H516" s="1583"/>
      <c r="I516" s="1583"/>
      <c r="J516" s="1583"/>
      <c r="K516" s="1583"/>
      <c r="L516" s="1582"/>
    </row>
    <row r="517" spans="2:12" s="1378" customFormat="1" ht="14.25">
      <c r="B517" s="1535"/>
      <c r="D517" s="1582"/>
      <c r="E517" s="1582"/>
      <c r="F517" s="1583"/>
      <c r="G517" s="1583"/>
      <c r="H517" s="1583"/>
      <c r="I517" s="1583"/>
      <c r="J517" s="1583"/>
      <c r="K517" s="1583"/>
      <c r="L517" s="1582"/>
    </row>
    <row r="518" spans="2:12" s="1378" customFormat="1" ht="14.25">
      <c r="B518" s="1535"/>
      <c r="D518" s="1582"/>
      <c r="E518" s="1582"/>
      <c r="F518" s="1583"/>
      <c r="G518" s="1583"/>
      <c r="H518" s="1583"/>
      <c r="I518" s="1583"/>
      <c r="J518" s="1583"/>
      <c r="K518" s="1583"/>
      <c r="L518" s="1582"/>
    </row>
    <row r="519" spans="2:12" s="1378" customFormat="1" ht="14.25">
      <c r="B519" s="1535"/>
      <c r="D519" s="1582"/>
      <c r="E519" s="1582"/>
      <c r="F519" s="1583"/>
      <c r="G519" s="1583"/>
      <c r="H519" s="1583"/>
      <c r="I519" s="1583"/>
      <c r="J519" s="1583"/>
      <c r="K519" s="1583"/>
      <c r="L519" s="1582"/>
    </row>
    <row r="520" spans="2:12" s="1378" customFormat="1" ht="14.25">
      <c r="B520" s="1535"/>
      <c r="D520" s="1582"/>
      <c r="E520" s="1582"/>
      <c r="F520" s="1583"/>
      <c r="G520" s="1583"/>
      <c r="H520" s="1583"/>
      <c r="I520" s="1583"/>
      <c r="J520" s="1583"/>
      <c r="K520" s="1583"/>
      <c r="L520" s="1582"/>
    </row>
    <row r="521" spans="2:12" s="1378" customFormat="1" ht="14.25">
      <c r="B521" s="1535"/>
      <c r="D521" s="1582"/>
      <c r="E521" s="1582"/>
      <c r="F521" s="1583"/>
      <c r="G521" s="1583"/>
      <c r="H521" s="1583"/>
      <c r="I521" s="1583"/>
      <c r="J521" s="1583"/>
      <c r="K521" s="1583"/>
      <c r="L521" s="1582"/>
    </row>
    <row r="522" spans="2:12" s="1378" customFormat="1" ht="14.25">
      <c r="B522" s="1535"/>
      <c r="D522" s="1582"/>
      <c r="E522" s="1582"/>
      <c r="F522" s="1583"/>
      <c r="G522" s="1583"/>
      <c r="H522" s="1583"/>
      <c r="I522" s="1583"/>
      <c r="J522" s="1583"/>
      <c r="K522" s="1583"/>
      <c r="L522" s="1582"/>
    </row>
    <row r="523" spans="2:12" s="1378" customFormat="1" ht="14.25">
      <c r="B523" s="1535"/>
      <c r="D523" s="1582"/>
      <c r="E523" s="1582"/>
      <c r="F523" s="1583"/>
      <c r="G523" s="1583"/>
      <c r="H523" s="1583"/>
      <c r="I523" s="1583"/>
      <c r="J523" s="1583"/>
      <c r="K523" s="1583"/>
      <c r="L523" s="1582"/>
    </row>
    <row r="524" spans="2:12" s="1378" customFormat="1" ht="14.25">
      <c r="B524" s="1535"/>
      <c r="D524" s="1582"/>
      <c r="E524" s="1582"/>
      <c r="F524" s="1583"/>
      <c r="G524" s="1583"/>
      <c r="H524" s="1583"/>
      <c r="I524" s="1583"/>
      <c r="J524" s="1583"/>
      <c r="K524" s="1583"/>
      <c r="L524" s="1582"/>
    </row>
    <row r="525" spans="2:12" s="1378" customFormat="1" ht="14.25">
      <c r="B525" s="1535"/>
      <c r="D525" s="1582"/>
      <c r="E525" s="1582"/>
      <c r="F525" s="1583"/>
      <c r="G525" s="1583"/>
      <c r="H525" s="1583"/>
      <c r="I525" s="1583"/>
      <c r="J525" s="1583"/>
      <c r="K525" s="1583"/>
      <c r="L525" s="1582"/>
    </row>
    <row r="526" spans="2:12" s="1378" customFormat="1" ht="14.25">
      <c r="B526" s="1535"/>
      <c r="D526" s="1582"/>
      <c r="E526" s="1582"/>
      <c r="F526" s="1583"/>
      <c r="G526" s="1583"/>
      <c r="H526" s="1583"/>
      <c r="I526" s="1583"/>
      <c r="J526" s="1583"/>
      <c r="K526" s="1583"/>
      <c r="L526" s="1582"/>
    </row>
    <row r="527" spans="2:12" s="1378" customFormat="1" ht="14.25">
      <c r="B527" s="1535"/>
      <c r="D527" s="1582"/>
      <c r="E527" s="1582"/>
      <c r="F527" s="1583"/>
      <c r="G527" s="1583"/>
      <c r="H527" s="1583"/>
      <c r="I527" s="1583"/>
      <c r="J527" s="1583"/>
      <c r="K527" s="1583"/>
      <c r="L527" s="1582"/>
    </row>
    <row r="528" spans="2:12" s="1378" customFormat="1" ht="14.25">
      <c r="B528" s="1535"/>
      <c r="D528" s="1582"/>
      <c r="E528" s="1582"/>
      <c r="F528" s="1583"/>
      <c r="G528" s="1583"/>
      <c r="H528" s="1583"/>
      <c r="I528" s="1583"/>
      <c r="J528" s="1583"/>
      <c r="K528" s="1583"/>
      <c r="L528" s="1582"/>
    </row>
    <row r="529" spans="2:12" s="1378" customFormat="1" ht="14.25">
      <c r="B529" s="1535"/>
      <c r="D529" s="1582"/>
      <c r="E529" s="1582"/>
      <c r="F529" s="1583"/>
      <c r="G529" s="1583"/>
      <c r="H529" s="1583"/>
      <c r="I529" s="1583"/>
      <c r="J529" s="1583"/>
      <c r="K529" s="1583"/>
      <c r="L529" s="1582"/>
    </row>
    <row r="530" spans="2:12" s="1378" customFormat="1" ht="14.25">
      <c r="B530" s="1535"/>
      <c r="D530" s="1582"/>
      <c r="E530" s="1582"/>
      <c r="F530" s="1583"/>
      <c r="G530" s="1583"/>
      <c r="H530" s="1583"/>
      <c r="I530" s="1583"/>
      <c r="J530" s="1583"/>
      <c r="K530" s="1583"/>
      <c r="L530" s="1582"/>
    </row>
    <row r="531" spans="2:12" s="1378" customFormat="1" ht="14.25">
      <c r="B531" s="1535"/>
      <c r="D531" s="1582"/>
      <c r="E531" s="1582"/>
      <c r="F531" s="1583"/>
      <c r="G531" s="1583"/>
      <c r="H531" s="1583"/>
      <c r="I531" s="1583"/>
      <c r="J531" s="1583"/>
      <c r="K531" s="1583"/>
      <c r="L531" s="1582"/>
    </row>
    <row r="532" spans="2:12" s="1378" customFormat="1" ht="14.25">
      <c r="B532" s="1535"/>
      <c r="D532" s="1582"/>
      <c r="E532" s="1582"/>
      <c r="F532" s="1583"/>
      <c r="G532" s="1583"/>
      <c r="H532" s="1583"/>
      <c r="I532" s="1583"/>
      <c r="J532" s="1583"/>
      <c r="K532" s="1583"/>
      <c r="L532" s="1582"/>
    </row>
    <row r="533" spans="2:12" s="1378" customFormat="1" ht="14.25">
      <c r="B533" s="1535"/>
      <c r="D533" s="1582"/>
      <c r="E533" s="1582"/>
      <c r="F533" s="1583"/>
      <c r="G533" s="1583"/>
      <c r="H533" s="1583"/>
      <c r="I533" s="1583"/>
      <c r="J533" s="1583"/>
      <c r="K533" s="1583"/>
      <c r="L533" s="1582"/>
    </row>
    <row r="534" spans="2:12" s="1378" customFormat="1" ht="14.25">
      <c r="B534" s="1535"/>
      <c r="D534" s="1582"/>
      <c r="E534" s="1582"/>
      <c r="F534" s="1583"/>
      <c r="G534" s="1583"/>
      <c r="H534" s="1583"/>
      <c r="I534" s="1583"/>
      <c r="J534" s="1583"/>
      <c r="K534" s="1583"/>
      <c r="L534" s="1582"/>
    </row>
    <row r="535" spans="2:12" s="1378" customFormat="1" ht="14.25">
      <c r="B535" s="1535"/>
      <c r="D535" s="1582"/>
      <c r="E535" s="1582"/>
      <c r="F535" s="1583"/>
      <c r="G535" s="1583"/>
      <c r="H535" s="1583"/>
      <c r="I535" s="1583"/>
      <c r="J535" s="1583"/>
      <c r="K535" s="1583"/>
      <c r="L535" s="1582"/>
    </row>
    <row r="536" spans="2:12" s="1378" customFormat="1" ht="14.25">
      <c r="B536" s="1535"/>
      <c r="D536" s="1582"/>
      <c r="E536" s="1582"/>
      <c r="F536" s="1583"/>
      <c r="G536" s="1583"/>
      <c r="H536" s="1583"/>
      <c r="I536" s="1583"/>
      <c r="J536" s="1583"/>
      <c r="K536" s="1583"/>
      <c r="L536" s="1582"/>
    </row>
    <row r="537" spans="2:12" s="1378" customFormat="1" ht="14.25">
      <c r="B537" s="1535"/>
      <c r="D537" s="1582"/>
      <c r="E537" s="1582"/>
      <c r="F537" s="1583"/>
      <c r="G537" s="1583"/>
      <c r="H537" s="1583"/>
      <c r="I537" s="1583"/>
      <c r="J537" s="1583"/>
      <c r="K537" s="1583"/>
      <c r="L537" s="1582"/>
    </row>
    <row r="538" spans="2:12" s="1378" customFormat="1" ht="14.25">
      <c r="B538" s="1535"/>
      <c r="D538" s="1582"/>
      <c r="E538" s="1582"/>
      <c r="F538" s="1583"/>
      <c r="G538" s="1583"/>
      <c r="H538" s="1583"/>
      <c r="I538" s="1583"/>
      <c r="J538" s="1583"/>
      <c r="K538" s="1583"/>
      <c r="L538" s="1582"/>
    </row>
    <row r="539" spans="2:12" s="1378" customFormat="1" ht="14.25">
      <c r="B539" s="1535"/>
      <c r="D539" s="1582"/>
      <c r="E539" s="1582"/>
      <c r="F539" s="1583"/>
      <c r="G539" s="1583"/>
      <c r="H539" s="1583"/>
      <c r="I539" s="1583"/>
      <c r="J539" s="1583"/>
      <c r="K539" s="1583"/>
      <c r="L539" s="1582"/>
    </row>
    <row r="540" spans="2:12" s="1378" customFormat="1" ht="14.25">
      <c r="B540" s="1535"/>
      <c r="D540" s="1582"/>
      <c r="E540" s="1582"/>
      <c r="F540" s="1583"/>
      <c r="G540" s="1583"/>
      <c r="H540" s="1583"/>
      <c r="I540" s="1583"/>
      <c r="J540" s="1583"/>
      <c r="K540" s="1583"/>
      <c r="L540" s="1582"/>
    </row>
    <row r="541" spans="2:12" s="1378" customFormat="1" ht="14.25">
      <c r="B541" s="1535"/>
      <c r="D541" s="1582"/>
      <c r="E541" s="1582"/>
      <c r="F541" s="1583"/>
      <c r="G541" s="1583"/>
      <c r="H541" s="1583"/>
      <c r="I541" s="1583"/>
      <c r="J541" s="1583"/>
      <c r="K541" s="1583"/>
      <c r="L541" s="1582"/>
    </row>
    <row r="542" spans="2:12" s="1378" customFormat="1" ht="14.25">
      <c r="B542" s="1535"/>
      <c r="D542" s="1582"/>
      <c r="E542" s="1582"/>
      <c r="F542" s="1583"/>
      <c r="G542" s="1583"/>
      <c r="H542" s="1583"/>
      <c r="I542" s="1583"/>
      <c r="J542" s="1583"/>
      <c r="K542" s="1583"/>
      <c r="L542" s="1582"/>
    </row>
    <row r="543" spans="2:12" s="1378" customFormat="1" ht="14.25">
      <c r="B543" s="1535"/>
      <c r="D543" s="1582"/>
      <c r="E543" s="1582"/>
      <c r="F543" s="1583"/>
      <c r="G543" s="1583"/>
      <c r="H543" s="1583"/>
      <c r="I543" s="1583"/>
      <c r="J543" s="1583"/>
      <c r="K543" s="1583"/>
      <c r="L543" s="1582"/>
    </row>
    <row r="544" spans="2:12" s="1378" customFormat="1" ht="14.25">
      <c r="B544" s="1535"/>
      <c r="D544" s="1582"/>
      <c r="E544" s="1582"/>
      <c r="F544" s="1583"/>
      <c r="G544" s="1583"/>
      <c r="H544" s="1583"/>
      <c r="I544" s="1583"/>
      <c r="J544" s="1583"/>
      <c r="K544" s="1583"/>
      <c r="L544" s="1582"/>
    </row>
    <row r="545" spans="2:12" s="1378" customFormat="1" ht="14.25">
      <c r="B545" s="1535"/>
      <c r="D545" s="1582"/>
      <c r="E545" s="1582"/>
      <c r="F545" s="1583"/>
      <c r="G545" s="1583"/>
      <c r="H545" s="1583"/>
      <c r="I545" s="1583"/>
      <c r="J545" s="1583"/>
      <c r="K545" s="1583"/>
      <c r="L545" s="1582"/>
    </row>
    <row r="546" spans="2:12" s="1378" customFormat="1" ht="14.25">
      <c r="B546" s="1535"/>
      <c r="D546" s="1582"/>
      <c r="E546" s="1582"/>
      <c r="F546" s="1583"/>
      <c r="G546" s="1583"/>
      <c r="H546" s="1583"/>
      <c r="I546" s="1583"/>
      <c r="J546" s="1583"/>
      <c r="K546" s="1583"/>
      <c r="L546" s="1582"/>
    </row>
    <row r="547" spans="2:12" s="1378" customFormat="1" ht="14.25">
      <c r="B547" s="1535"/>
      <c r="D547" s="1582"/>
      <c r="E547" s="1582"/>
      <c r="F547" s="1583"/>
      <c r="G547" s="1583"/>
      <c r="H547" s="1583"/>
      <c r="I547" s="1583"/>
      <c r="J547" s="1583"/>
      <c r="K547" s="1583"/>
      <c r="L547" s="1582"/>
    </row>
    <row r="548" spans="2:12" s="1378" customFormat="1" ht="14.25">
      <c r="B548" s="1535"/>
      <c r="D548" s="1582"/>
      <c r="E548" s="1582"/>
      <c r="F548" s="1583"/>
      <c r="G548" s="1583"/>
      <c r="H548" s="1583"/>
      <c r="I548" s="1583"/>
      <c r="J548" s="1583"/>
      <c r="K548" s="1583"/>
      <c r="L548" s="1582"/>
    </row>
    <row r="549" spans="2:12" s="1378" customFormat="1" ht="14.25">
      <c r="B549" s="1535"/>
      <c r="D549" s="1582"/>
      <c r="E549" s="1582"/>
      <c r="F549" s="1583"/>
      <c r="G549" s="1583"/>
      <c r="H549" s="1583"/>
      <c r="I549" s="1583"/>
      <c r="J549" s="1583"/>
      <c r="K549" s="1583"/>
      <c r="L549" s="1582"/>
    </row>
    <row r="550" spans="2:12" s="1378" customFormat="1" ht="14.25">
      <c r="B550" s="1535"/>
      <c r="D550" s="1582"/>
      <c r="E550" s="1582"/>
      <c r="F550" s="1583"/>
      <c r="G550" s="1583"/>
      <c r="H550" s="1583"/>
      <c r="I550" s="1583"/>
      <c r="J550" s="1583"/>
      <c r="K550" s="1583"/>
      <c r="L550" s="1582"/>
    </row>
    <row r="551" spans="2:12" s="1378" customFormat="1" ht="14.25">
      <c r="B551" s="1535"/>
      <c r="D551" s="1582"/>
      <c r="E551" s="1582"/>
      <c r="F551" s="1583"/>
      <c r="G551" s="1583"/>
      <c r="H551" s="1583"/>
      <c r="I551" s="1583"/>
      <c r="J551" s="1583"/>
      <c r="K551" s="1583"/>
      <c r="L551" s="1582"/>
    </row>
    <row r="552" spans="2:12" s="1378" customFormat="1" ht="14.25">
      <c r="B552" s="1535"/>
      <c r="D552" s="1582"/>
      <c r="E552" s="1582"/>
      <c r="F552" s="1583"/>
      <c r="G552" s="1583"/>
      <c r="H552" s="1583"/>
      <c r="I552" s="1583"/>
      <c r="J552" s="1583"/>
      <c r="K552" s="1583"/>
      <c r="L552" s="1582"/>
    </row>
    <row r="553" spans="2:12" s="1378" customFormat="1" ht="14.25">
      <c r="B553" s="1535"/>
      <c r="D553" s="1582"/>
      <c r="E553" s="1582"/>
      <c r="F553" s="1583"/>
      <c r="G553" s="1583"/>
      <c r="H553" s="1583"/>
      <c r="I553" s="1583"/>
      <c r="J553" s="1583"/>
      <c r="K553" s="1583"/>
      <c r="L553" s="1582"/>
    </row>
    <row r="554" spans="2:12" s="1378" customFormat="1" ht="14.25">
      <c r="B554" s="1535"/>
      <c r="D554" s="1582"/>
      <c r="E554" s="1582"/>
      <c r="F554" s="1583"/>
      <c r="G554" s="1583"/>
      <c r="H554" s="1583"/>
      <c r="I554" s="1583"/>
      <c r="J554" s="1583"/>
      <c r="K554" s="1583"/>
      <c r="L554" s="1582"/>
    </row>
    <row r="555" spans="2:12" s="1378" customFormat="1" ht="14.25">
      <c r="B555" s="1535"/>
      <c r="D555" s="1582"/>
      <c r="E555" s="1582"/>
      <c r="F555" s="1583"/>
      <c r="G555" s="1583"/>
      <c r="H555" s="1583"/>
      <c r="I555" s="1583"/>
      <c r="J555" s="1583"/>
      <c r="K555" s="1583"/>
      <c r="L555" s="1582"/>
    </row>
    <row r="556" spans="2:12" s="1378" customFormat="1" ht="14.25">
      <c r="B556" s="1535"/>
      <c r="D556" s="1582"/>
      <c r="E556" s="1582"/>
      <c r="F556" s="1583"/>
      <c r="G556" s="1583"/>
      <c r="H556" s="1583"/>
      <c r="I556" s="1583"/>
      <c r="J556" s="1583"/>
      <c r="K556" s="1583"/>
      <c r="L556" s="1582"/>
    </row>
    <row r="557" spans="2:12" s="1378" customFormat="1" ht="14.25">
      <c r="B557" s="1535"/>
      <c r="D557" s="1582"/>
      <c r="E557" s="1582"/>
      <c r="F557" s="1583"/>
      <c r="G557" s="1583"/>
      <c r="H557" s="1583"/>
      <c r="I557" s="1583"/>
      <c r="J557" s="1583"/>
      <c r="K557" s="1583"/>
      <c r="L557" s="1582"/>
    </row>
    <row r="558" spans="2:12" s="1378" customFormat="1" ht="14.25">
      <c r="B558" s="1535"/>
      <c r="D558" s="1582"/>
      <c r="E558" s="1582"/>
      <c r="F558" s="1583"/>
      <c r="G558" s="1583"/>
      <c r="H558" s="1583"/>
      <c r="I558" s="1583"/>
      <c r="J558" s="1583"/>
      <c r="K558" s="1583"/>
      <c r="L558" s="1582"/>
    </row>
    <row r="559" spans="2:12" s="1378" customFormat="1" ht="14.25">
      <c r="B559" s="1535"/>
      <c r="D559" s="1582"/>
      <c r="E559" s="1582"/>
      <c r="F559" s="1583"/>
      <c r="G559" s="1583"/>
      <c r="H559" s="1583"/>
      <c r="I559" s="1583"/>
      <c r="J559" s="1583"/>
      <c r="K559" s="1583"/>
      <c r="L559" s="1582"/>
    </row>
    <row r="560" spans="2:12" s="1378" customFormat="1" ht="14.25">
      <c r="B560" s="1535"/>
      <c r="D560" s="1582"/>
      <c r="E560" s="1582"/>
      <c r="F560" s="1583"/>
      <c r="G560" s="1583"/>
      <c r="H560" s="1583"/>
      <c r="I560" s="1583"/>
      <c r="J560" s="1583"/>
      <c r="K560" s="1583"/>
      <c r="L560" s="1582"/>
    </row>
    <row r="561" spans="2:12" s="1378" customFormat="1" ht="14.25">
      <c r="B561" s="1535"/>
      <c r="D561" s="1582"/>
      <c r="E561" s="1582"/>
      <c r="F561" s="1583"/>
      <c r="G561" s="1583"/>
      <c r="H561" s="1583"/>
      <c r="I561" s="1583"/>
      <c r="J561" s="1583"/>
      <c r="K561" s="1583"/>
      <c r="L561" s="1582"/>
    </row>
    <row r="562" spans="2:12" s="1378" customFormat="1" ht="14.25">
      <c r="B562" s="1535"/>
      <c r="D562" s="1582"/>
      <c r="E562" s="1582"/>
      <c r="F562" s="1583"/>
      <c r="G562" s="1583"/>
      <c r="H562" s="1583"/>
      <c r="I562" s="1583"/>
      <c r="J562" s="1583"/>
      <c r="K562" s="1583"/>
      <c r="L562" s="1582"/>
    </row>
    <row r="563" spans="2:12" s="1378" customFormat="1" ht="14.25">
      <c r="B563" s="1535"/>
      <c r="D563" s="1582"/>
      <c r="E563" s="1582"/>
      <c r="F563" s="1583"/>
      <c r="G563" s="1583"/>
      <c r="H563" s="1583"/>
      <c r="I563" s="1583"/>
      <c r="J563" s="1583"/>
      <c r="K563" s="1583"/>
      <c r="L563" s="1582"/>
    </row>
    <row r="564" spans="2:12" s="1378" customFormat="1" ht="14.25">
      <c r="B564" s="1535"/>
      <c r="D564" s="1582"/>
      <c r="E564" s="1582"/>
      <c r="F564" s="1583"/>
      <c r="G564" s="1583"/>
      <c r="H564" s="1583"/>
      <c r="I564" s="1583"/>
      <c r="J564" s="1583"/>
      <c r="K564" s="1583"/>
      <c r="L564" s="1582"/>
    </row>
    <row r="565" spans="2:12" s="1378" customFormat="1" ht="14.25">
      <c r="B565" s="1535"/>
      <c r="D565" s="1582"/>
      <c r="E565" s="1582"/>
      <c r="F565" s="1583"/>
      <c r="G565" s="1583"/>
      <c r="H565" s="1583"/>
      <c r="I565" s="1583"/>
      <c r="J565" s="1583"/>
      <c r="K565" s="1583"/>
      <c r="L565" s="1582"/>
    </row>
    <row r="566" spans="2:12" s="1378" customFormat="1" ht="14.25">
      <c r="B566" s="1535"/>
      <c r="D566" s="1582"/>
      <c r="E566" s="1582"/>
      <c r="F566" s="1583"/>
      <c r="G566" s="1583"/>
      <c r="H566" s="1583"/>
      <c r="I566" s="1583"/>
      <c r="J566" s="1583"/>
      <c r="K566" s="1583"/>
      <c r="L566" s="1582"/>
    </row>
    <row r="567" spans="2:12" s="1378" customFormat="1" ht="14.25">
      <c r="B567" s="1535"/>
      <c r="D567" s="1582"/>
      <c r="E567" s="1582"/>
      <c r="F567" s="1583"/>
      <c r="G567" s="1583"/>
      <c r="H567" s="1583"/>
      <c r="I567" s="1583"/>
      <c r="J567" s="1583"/>
      <c r="K567" s="1583"/>
      <c r="L567" s="1582"/>
    </row>
    <row r="568" spans="2:12" s="1378" customFormat="1" ht="14.25">
      <c r="B568" s="1535"/>
      <c r="D568" s="1582"/>
      <c r="E568" s="1582"/>
      <c r="F568" s="1583"/>
      <c r="G568" s="1583"/>
      <c r="H568" s="1583"/>
      <c r="I568" s="1583"/>
      <c r="J568" s="1583"/>
      <c r="K568" s="1583"/>
      <c r="L568" s="1582"/>
    </row>
    <row r="569" spans="2:12" s="1378" customFormat="1" ht="14.25">
      <c r="B569" s="1535"/>
      <c r="D569" s="1582"/>
      <c r="E569" s="1582"/>
      <c r="F569" s="1583"/>
      <c r="G569" s="1583"/>
      <c r="H569" s="1583"/>
      <c r="I569" s="1583"/>
      <c r="J569" s="1583"/>
      <c r="K569" s="1583"/>
      <c r="L569" s="1582"/>
    </row>
    <row r="570" spans="2:12" s="1378" customFormat="1" ht="14.25">
      <c r="B570" s="1535"/>
      <c r="D570" s="1582"/>
      <c r="E570" s="1582"/>
      <c r="F570" s="1583"/>
      <c r="G570" s="1583"/>
      <c r="H570" s="1583"/>
      <c r="I570" s="1583"/>
      <c r="J570" s="1583"/>
      <c r="K570" s="1583"/>
      <c r="L570" s="1582"/>
    </row>
    <row r="571" spans="2:12" s="1378" customFormat="1" ht="14.25">
      <c r="B571" s="1535"/>
      <c r="D571" s="1582"/>
      <c r="E571" s="1582"/>
      <c r="F571" s="1583"/>
      <c r="G571" s="1583"/>
      <c r="H571" s="1583"/>
      <c r="I571" s="1583"/>
      <c r="J571" s="1583"/>
      <c r="K571" s="1583"/>
      <c r="L571" s="1582"/>
    </row>
    <row r="572" spans="2:12" s="1378" customFormat="1" ht="14.25">
      <c r="B572" s="1535"/>
      <c r="D572" s="1582"/>
      <c r="E572" s="1582"/>
      <c r="F572" s="1583"/>
      <c r="G572" s="1583"/>
      <c r="H572" s="1583"/>
      <c r="I572" s="1583"/>
      <c r="J572" s="1583"/>
      <c r="K572" s="1583"/>
      <c r="L572" s="1582"/>
    </row>
    <row r="573" spans="2:12" s="1378" customFormat="1" ht="14.25">
      <c r="B573" s="1535"/>
      <c r="D573" s="1582"/>
      <c r="E573" s="1582"/>
      <c r="F573" s="1583"/>
      <c r="G573" s="1583"/>
      <c r="H573" s="1583"/>
      <c r="I573" s="1583"/>
      <c r="J573" s="1583"/>
      <c r="K573" s="1583"/>
      <c r="L573" s="1582"/>
    </row>
    <row r="574" spans="2:12" s="1378" customFormat="1" ht="14.25">
      <c r="B574" s="1535"/>
      <c r="D574" s="1582"/>
      <c r="E574" s="1582"/>
      <c r="F574" s="1583"/>
      <c r="G574" s="1583"/>
      <c r="H574" s="1583"/>
      <c r="I574" s="1583"/>
      <c r="J574" s="1583"/>
      <c r="K574" s="1583"/>
      <c r="L574" s="1582"/>
    </row>
    <row r="575" spans="2:12" s="1378" customFormat="1" ht="14.25">
      <c r="B575" s="1535"/>
      <c r="D575" s="1582"/>
      <c r="E575" s="1582"/>
      <c r="F575" s="1583"/>
      <c r="G575" s="1583"/>
      <c r="H575" s="1583"/>
      <c r="I575" s="1583"/>
      <c r="J575" s="1583"/>
      <c r="K575" s="1583"/>
      <c r="L575" s="1582"/>
    </row>
    <row r="576" spans="2:12" s="1378" customFormat="1" ht="14.25">
      <c r="B576" s="1535"/>
      <c r="D576" s="1582"/>
      <c r="E576" s="1582"/>
      <c r="F576" s="1583"/>
      <c r="G576" s="1583"/>
      <c r="H576" s="1583"/>
      <c r="I576" s="1583"/>
      <c r="J576" s="1583"/>
      <c r="K576" s="1583"/>
      <c r="L576" s="1582"/>
    </row>
    <row r="577" spans="2:12" s="1378" customFormat="1" ht="14.25">
      <c r="B577" s="1535"/>
      <c r="D577" s="1582"/>
      <c r="E577" s="1582"/>
      <c r="F577" s="1583"/>
      <c r="G577" s="1583"/>
      <c r="H577" s="1583"/>
      <c r="I577" s="1583"/>
      <c r="J577" s="1583"/>
      <c r="K577" s="1583"/>
      <c r="L577" s="1582"/>
    </row>
    <row r="578" spans="2:12" s="1378" customFormat="1" ht="14.25">
      <c r="B578" s="1535"/>
      <c r="D578" s="1582"/>
      <c r="E578" s="1582"/>
      <c r="F578" s="1583"/>
      <c r="G578" s="1583"/>
      <c r="H578" s="1583"/>
      <c r="I578" s="1583"/>
      <c r="J578" s="1583"/>
      <c r="K578" s="1583"/>
      <c r="L578" s="1582"/>
    </row>
    <row r="579" spans="2:12" s="1378" customFormat="1" ht="14.25">
      <c r="B579" s="1535"/>
      <c r="D579" s="1582"/>
      <c r="E579" s="1582"/>
      <c r="F579" s="1583"/>
      <c r="G579" s="1583"/>
      <c r="H579" s="1583"/>
      <c r="I579" s="1583"/>
      <c r="J579" s="1583"/>
      <c r="K579" s="1583"/>
      <c r="L579" s="1582"/>
    </row>
    <row r="580" spans="2:12" s="1378" customFormat="1" ht="14.25">
      <c r="B580" s="1535"/>
      <c r="D580" s="1582"/>
      <c r="E580" s="1582"/>
      <c r="F580" s="1583"/>
      <c r="G580" s="1583"/>
      <c r="H580" s="1583"/>
      <c r="I580" s="1583"/>
      <c r="J580" s="1583"/>
      <c r="K580" s="1583"/>
      <c r="L580" s="1582"/>
    </row>
    <row r="581" spans="2:12" s="1378" customFormat="1" ht="14.25">
      <c r="B581" s="1535"/>
      <c r="D581" s="1582"/>
      <c r="E581" s="1582"/>
      <c r="F581" s="1583"/>
      <c r="G581" s="1583"/>
      <c r="H581" s="1583"/>
      <c r="I581" s="1583"/>
      <c r="J581" s="1583"/>
      <c r="K581" s="1583"/>
      <c r="L581" s="1582"/>
    </row>
    <row r="582" spans="2:12" s="1378" customFormat="1" ht="14.25">
      <c r="B582" s="1535"/>
      <c r="D582" s="1582"/>
      <c r="E582" s="1582"/>
      <c r="F582" s="1583"/>
      <c r="G582" s="1583"/>
      <c r="H582" s="1583"/>
      <c r="I582" s="1583"/>
      <c r="J582" s="1583"/>
      <c r="K582" s="1583"/>
      <c r="L582" s="1582"/>
    </row>
    <row r="583" spans="2:12" s="1378" customFormat="1" ht="14.25">
      <c r="B583" s="1535"/>
      <c r="D583" s="1582"/>
      <c r="E583" s="1582"/>
      <c r="F583" s="1583"/>
      <c r="G583" s="1583"/>
      <c r="H583" s="1583"/>
      <c r="I583" s="1583"/>
      <c r="J583" s="1583"/>
      <c r="K583" s="1583"/>
      <c r="L583" s="1582"/>
    </row>
    <row r="584" spans="2:12" s="1378" customFormat="1" ht="14.25">
      <c r="B584" s="1535"/>
      <c r="D584" s="1582"/>
      <c r="E584" s="1582"/>
      <c r="F584" s="1583"/>
      <c r="G584" s="1583"/>
      <c r="H584" s="1583"/>
      <c r="I584" s="1583"/>
      <c r="J584" s="1583"/>
      <c r="K584" s="1583"/>
      <c r="L584" s="1582"/>
    </row>
    <row r="585" spans="2:12" s="1378" customFormat="1" ht="14.25">
      <c r="B585" s="1535"/>
      <c r="D585" s="1582"/>
      <c r="E585" s="1582"/>
      <c r="F585" s="1583"/>
      <c r="G585" s="1583"/>
      <c r="H585" s="1583"/>
      <c r="I585" s="1583"/>
      <c r="J585" s="1583"/>
      <c r="K585" s="1583"/>
      <c r="L585" s="1582"/>
    </row>
    <row r="586" spans="2:12" s="1378" customFormat="1" ht="14.25">
      <c r="B586" s="1535"/>
      <c r="D586" s="1582"/>
      <c r="E586" s="1582"/>
      <c r="F586" s="1583"/>
      <c r="G586" s="1583"/>
      <c r="H586" s="1583"/>
      <c r="I586" s="1583"/>
      <c r="J586" s="1583"/>
      <c r="K586" s="1583"/>
      <c r="L586" s="1582"/>
    </row>
    <row r="587" spans="2:12" s="1378" customFormat="1" ht="14.25">
      <c r="B587" s="1535"/>
      <c r="D587" s="1582"/>
      <c r="E587" s="1582"/>
      <c r="F587" s="1583"/>
      <c r="G587" s="1583"/>
      <c r="H587" s="1583"/>
      <c r="I587" s="1583"/>
      <c r="J587" s="1583"/>
      <c r="K587" s="1583"/>
      <c r="L587" s="1582"/>
    </row>
    <row r="588" spans="2:12" s="1378" customFormat="1" ht="14.25">
      <c r="B588" s="1535"/>
      <c r="D588" s="1582"/>
      <c r="E588" s="1582"/>
      <c r="F588" s="1583"/>
      <c r="G588" s="1583"/>
      <c r="H588" s="1583"/>
      <c r="I588" s="1583"/>
      <c r="J588" s="1583"/>
      <c r="K588" s="1583"/>
      <c r="L588" s="1582"/>
    </row>
    <row r="589" spans="2:12" s="1378" customFormat="1" ht="14.25">
      <c r="B589" s="1535"/>
      <c r="D589" s="1582"/>
      <c r="E589" s="1582"/>
      <c r="F589" s="1583"/>
      <c r="G589" s="1583"/>
      <c r="H589" s="1583"/>
      <c r="I589" s="1583"/>
      <c r="J589" s="1583"/>
      <c r="K589" s="1583"/>
      <c r="L589" s="1582"/>
    </row>
    <row r="590" spans="2:12" s="1378" customFormat="1" ht="14.25">
      <c r="B590" s="1535"/>
      <c r="D590" s="1582"/>
      <c r="E590" s="1582"/>
      <c r="F590" s="1583"/>
      <c r="G590" s="1583"/>
      <c r="H590" s="1583"/>
      <c r="I590" s="1583"/>
      <c r="J590" s="1583"/>
      <c r="K590" s="1583"/>
      <c r="L590" s="1582"/>
    </row>
    <row r="591" spans="2:12" s="1378" customFormat="1" ht="14.25">
      <c r="B591" s="1535"/>
      <c r="D591" s="1582"/>
      <c r="E591" s="1582"/>
      <c r="F591" s="1583"/>
      <c r="G591" s="1583"/>
      <c r="H591" s="1583"/>
      <c r="I591" s="1583"/>
      <c r="J591" s="1583"/>
      <c r="K591" s="1583"/>
      <c r="L591" s="1582"/>
    </row>
    <row r="592" spans="2:12" s="1378" customFormat="1" ht="14.25">
      <c r="B592" s="1535"/>
      <c r="D592" s="1582"/>
      <c r="E592" s="1582"/>
      <c r="F592" s="1583"/>
      <c r="G592" s="1583"/>
      <c r="H592" s="1583"/>
      <c r="I592" s="1583"/>
      <c r="J592" s="1583"/>
      <c r="K592" s="1583"/>
      <c r="L592" s="1582"/>
    </row>
    <row r="593" spans="2:12" s="1378" customFormat="1" ht="14.25">
      <c r="B593" s="1535"/>
      <c r="D593" s="1582"/>
      <c r="E593" s="1582"/>
      <c r="F593" s="1583"/>
      <c r="G593" s="1583"/>
      <c r="H593" s="1583"/>
      <c r="I593" s="1583"/>
      <c r="J593" s="1583"/>
      <c r="K593" s="1583"/>
      <c r="L593" s="1582"/>
    </row>
    <row r="594" spans="2:12" s="1378" customFormat="1" ht="14.25">
      <c r="B594" s="1535"/>
      <c r="D594" s="1582"/>
      <c r="E594" s="1582"/>
      <c r="F594" s="1583"/>
      <c r="G594" s="1583"/>
      <c r="H594" s="1583"/>
      <c r="I594" s="1583"/>
      <c r="J594" s="1583"/>
      <c r="K594" s="1583"/>
      <c r="L594" s="1582"/>
    </row>
    <row r="595" spans="2:12" s="1378" customFormat="1" ht="14.25">
      <c r="B595" s="1535"/>
      <c r="D595" s="1582"/>
      <c r="E595" s="1582"/>
      <c r="F595" s="1583"/>
      <c r="G595" s="1583"/>
      <c r="H595" s="1583"/>
      <c r="I595" s="1583"/>
      <c r="J595" s="1583"/>
      <c r="K595" s="1583"/>
      <c r="L595" s="1582"/>
    </row>
    <row r="596" spans="2:12" s="1378" customFormat="1" ht="14.25">
      <c r="B596" s="1535"/>
      <c r="D596" s="1582"/>
      <c r="E596" s="1582"/>
      <c r="F596" s="1583"/>
      <c r="G596" s="1583"/>
      <c r="H596" s="1583"/>
      <c r="I596" s="1583"/>
      <c r="J596" s="1583"/>
      <c r="K596" s="1583"/>
      <c r="L596" s="1582"/>
    </row>
    <row r="597" spans="2:12" s="1378" customFormat="1" ht="14.25">
      <c r="B597" s="1535"/>
      <c r="D597" s="1582"/>
      <c r="E597" s="1582"/>
      <c r="F597" s="1583"/>
      <c r="G597" s="1583"/>
      <c r="H597" s="1583"/>
      <c r="I597" s="1583"/>
      <c r="J597" s="1583"/>
      <c r="K597" s="1583"/>
      <c r="L597" s="1582"/>
    </row>
    <row r="598" spans="2:12" s="1378" customFormat="1" ht="14.25">
      <c r="B598" s="1535"/>
      <c r="D598" s="1582"/>
      <c r="E598" s="1582"/>
      <c r="F598" s="1583"/>
      <c r="G598" s="1583"/>
      <c r="H598" s="1583"/>
      <c r="I598" s="1583"/>
      <c r="J598" s="1583"/>
      <c r="K598" s="1583"/>
      <c r="L598" s="1582"/>
    </row>
    <row r="599" spans="2:12" s="1378" customFormat="1" ht="14.25">
      <c r="B599" s="1535"/>
      <c r="D599" s="1582"/>
      <c r="E599" s="1582"/>
      <c r="F599" s="1583"/>
      <c r="G599" s="1583"/>
      <c r="H599" s="1583"/>
      <c r="I599" s="1583"/>
      <c r="J599" s="1583"/>
      <c r="K599" s="1583"/>
      <c r="L599" s="1582"/>
    </row>
    <row r="600" spans="2:12" s="1378" customFormat="1" ht="14.25">
      <c r="B600" s="1535"/>
      <c r="D600" s="1582"/>
      <c r="E600" s="1582"/>
      <c r="F600" s="1583"/>
      <c r="G600" s="1583"/>
      <c r="H600" s="1583"/>
      <c r="I600" s="1583"/>
      <c r="J600" s="1583"/>
      <c r="K600" s="1583"/>
      <c r="L600" s="1582"/>
    </row>
    <row r="601" spans="2:12" s="1378" customFormat="1" ht="14.25">
      <c r="B601" s="1535"/>
      <c r="D601" s="1582"/>
      <c r="E601" s="1582"/>
      <c r="F601" s="1583"/>
      <c r="G601" s="1583"/>
      <c r="H601" s="1583"/>
      <c r="I601" s="1583"/>
      <c r="J601" s="1583"/>
      <c r="K601" s="1583"/>
      <c r="L601" s="1582"/>
    </row>
    <row r="602" spans="2:12" s="1378" customFormat="1" ht="14.25">
      <c r="B602" s="1535"/>
      <c r="D602" s="1582"/>
      <c r="E602" s="1582"/>
      <c r="F602" s="1583"/>
      <c r="G602" s="1583"/>
      <c r="H602" s="1583"/>
      <c r="I602" s="1583"/>
      <c r="J602" s="1583"/>
      <c r="K602" s="1583"/>
      <c r="L602" s="1582"/>
    </row>
    <row r="603" spans="2:12" s="1378" customFormat="1" ht="14.25">
      <c r="B603" s="1535"/>
      <c r="D603" s="1582"/>
      <c r="E603" s="1582"/>
      <c r="F603" s="1583"/>
      <c r="G603" s="1583"/>
      <c r="H603" s="1583"/>
      <c r="I603" s="1583"/>
      <c r="J603" s="1583"/>
      <c r="K603" s="1583"/>
      <c r="L603" s="1582"/>
    </row>
    <row r="604" spans="2:12" s="1378" customFormat="1" ht="14.25">
      <c r="B604" s="1535"/>
      <c r="D604" s="1582"/>
      <c r="E604" s="1582"/>
      <c r="F604" s="1583"/>
      <c r="G604" s="1583"/>
      <c r="H604" s="1583"/>
      <c r="I604" s="1583"/>
      <c r="J604" s="1583"/>
      <c r="K604" s="1583"/>
      <c r="L604" s="1582"/>
    </row>
    <row r="605" spans="2:12" s="1378" customFormat="1" ht="14.25">
      <c r="B605" s="1535"/>
      <c r="D605" s="1582"/>
      <c r="E605" s="1582"/>
      <c r="F605" s="1583"/>
      <c r="G605" s="1583"/>
      <c r="H605" s="1583"/>
      <c r="I605" s="1583"/>
      <c r="J605" s="1583"/>
      <c r="K605" s="1583"/>
      <c r="L605" s="1582"/>
    </row>
    <row r="606" spans="2:12" s="1378" customFormat="1" ht="14.25">
      <c r="B606" s="1535"/>
      <c r="D606" s="1582"/>
      <c r="E606" s="1582"/>
      <c r="F606" s="1583"/>
      <c r="G606" s="1583"/>
      <c r="H606" s="1583"/>
      <c r="I606" s="1583"/>
      <c r="J606" s="1583"/>
      <c r="K606" s="1583"/>
      <c r="L606" s="1582"/>
    </row>
    <row r="607" spans="2:12" s="1378" customFormat="1" ht="14.25">
      <c r="B607" s="1535"/>
      <c r="D607" s="1582"/>
      <c r="E607" s="1582"/>
      <c r="F607" s="1583"/>
      <c r="G607" s="1583"/>
      <c r="H607" s="1583"/>
      <c r="I607" s="1583"/>
      <c r="J607" s="1583"/>
      <c r="K607" s="1583"/>
      <c r="L607" s="1582"/>
    </row>
    <row r="608" spans="2:12" s="1378" customFormat="1" ht="14.25">
      <c r="B608" s="1535"/>
      <c r="D608" s="1582"/>
      <c r="E608" s="1582"/>
      <c r="F608" s="1583"/>
      <c r="G608" s="1583"/>
      <c r="H608" s="1583"/>
      <c r="I608" s="1583"/>
      <c r="J608" s="1583"/>
      <c r="K608" s="1583"/>
      <c r="L608" s="1582"/>
    </row>
    <row r="609" spans="2:12" s="1378" customFormat="1" ht="14.25">
      <c r="B609" s="1535"/>
      <c r="D609" s="1582"/>
      <c r="E609" s="1582"/>
      <c r="F609" s="1583"/>
      <c r="G609" s="1583"/>
      <c r="H609" s="1583"/>
      <c r="I609" s="1583"/>
      <c r="J609" s="1583"/>
      <c r="K609" s="1583"/>
      <c r="L609" s="1582"/>
    </row>
    <row r="610" spans="2:12" s="1378" customFormat="1" ht="14.25">
      <c r="B610" s="1535"/>
      <c r="D610" s="1582"/>
      <c r="E610" s="1582"/>
      <c r="F610" s="1583"/>
      <c r="G610" s="1583"/>
      <c r="H610" s="1583"/>
      <c r="I610" s="1583"/>
      <c r="J610" s="1583"/>
      <c r="K610" s="1583"/>
      <c r="L610" s="1582"/>
    </row>
    <row r="611" spans="2:12" s="1378" customFormat="1" ht="14.25">
      <c r="B611" s="1535"/>
      <c r="D611" s="1582"/>
      <c r="E611" s="1582"/>
      <c r="F611" s="1583"/>
      <c r="G611" s="1583"/>
      <c r="H611" s="1583"/>
      <c r="I611" s="1583"/>
      <c r="J611" s="1583"/>
      <c r="K611" s="1583"/>
      <c r="L611" s="1582"/>
    </row>
    <row r="612" spans="2:12" s="1378" customFormat="1" ht="14.25">
      <c r="B612" s="1535"/>
      <c r="D612" s="1582"/>
      <c r="E612" s="1582"/>
      <c r="F612" s="1583"/>
      <c r="G612" s="1583"/>
      <c r="H612" s="1583"/>
      <c r="I612" s="1583"/>
      <c r="J612" s="1583"/>
      <c r="K612" s="1583"/>
      <c r="L612" s="1582"/>
    </row>
    <row r="613" spans="2:12" s="1378" customFormat="1" ht="14.25">
      <c r="B613" s="1535"/>
      <c r="D613" s="1582"/>
      <c r="E613" s="1582"/>
      <c r="F613" s="1583"/>
      <c r="G613" s="1583"/>
      <c r="H613" s="1583"/>
      <c r="I613" s="1583"/>
      <c r="J613" s="1583"/>
      <c r="K613" s="1583"/>
      <c r="L613" s="1582"/>
    </row>
    <row r="614" spans="2:12" s="1378" customFormat="1" ht="14.25">
      <c r="B614" s="1535"/>
      <c r="D614" s="1582"/>
      <c r="E614" s="1582"/>
      <c r="F614" s="1583"/>
      <c r="G614" s="1583"/>
      <c r="H614" s="1583"/>
      <c r="I614" s="1583"/>
      <c r="J614" s="1583"/>
      <c r="K614" s="1583"/>
      <c r="L614" s="1582"/>
    </row>
    <row r="615" spans="2:12" s="1378" customFormat="1" ht="14.25">
      <c r="B615" s="1535"/>
      <c r="D615" s="1582"/>
      <c r="E615" s="1582"/>
      <c r="F615" s="1583"/>
      <c r="G615" s="1583"/>
      <c r="H615" s="1583"/>
      <c r="I615" s="1583"/>
      <c r="J615" s="1583"/>
      <c r="K615" s="1583"/>
      <c r="L615" s="1582"/>
    </row>
    <row r="616" spans="2:12" s="1378" customFormat="1" ht="14.25">
      <c r="B616" s="1535"/>
      <c r="D616" s="1582"/>
      <c r="E616" s="1582"/>
      <c r="F616" s="1583"/>
      <c r="G616" s="1583"/>
      <c r="H616" s="1583"/>
      <c r="I616" s="1583"/>
      <c r="J616" s="1583"/>
      <c r="K616" s="1583"/>
      <c r="L616" s="1582"/>
    </row>
    <row r="617" spans="2:12" s="1378" customFormat="1" ht="14.25">
      <c r="B617" s="1535"/>
      <c r="D617" s="1582"/>
      <c r="E617" s="1582"/>
      <c r="F617" s="1583"/>
      <c r="G617" s="1583"/>
      <c r="H617" s="1583"/>
      <c r="I617" s="1583"/>
      <c r="J617" s="1583"/>
      <c r="K617" s="1583"/>
      <c r="L617" s="1582"/>
    </row>
    <row r="618" spans="2:12" s="1378" customFormat="1" ht="14.25">
      <c r="B618" s="1535"/>
      <c r="D618" s="1582"/>
      <c r="E618" s="1582"/>
      <c r="F618" s="1583"/>
      <c r="G618" s="1583"/>
      <c r="H618" s="1583"/>
      <c r="I618" s="1583"/>
      <c r="J618" s="1583"/>
      <c r="K618" s="1583"/>
      <c r="L618" s="1582"/>
    </row>
    <row r="619" spans="2:12" s="1378" customFormat="1" ht="14.25">
      <c r="B619" s="1535"/>
      <c r="D619" s="1582"/>
      <c r="E619" s="1582"/>
      <c r="F619" s="1583"/>
      <c r="G619" s="1583"/>
      <c r="H619" s="1583"/>
      <c r="I619" s="1583"/>
      <c r="J619" s="1583"/>
      <c r="K619" s="1583"/>
      <c r="L619" s="1582"/>
    </row>
    <row r="620" spans="2:12" s="1378" customFormat="1" ht="14.25">
      <c r="B620" s="1535"/>
      <c r="D620" s="1582"/>
      <c r="E620" s="1582"/>
      <c r="F620" s="1583"/>
      <c r="G620" s="1583"/>
      <c r="H620" s="1583"/>
      <c r="I620" s="1583"/>
      <c r="J620" s="1583"/>
      <c r="K620" s="1583"/>
      <c r="L620" s="1582"/>
    </row>
    <row r="621" spans="2:12" s="1378" customFormat="1" ht="14.25">
      <c r="B621" s="1535"/>
      <c r="D621" s="1582"/>
      <c r="E621" s="1582"/>
      <c r="F621" s="1583"/>
      <c r="G621" s="1583"/>
      <c r="H621" s="1583"/>
      <c r="I621" s="1583"/>
      <c r="J621" s="1583"/>
      <c r="K621" s="1583"/>
      <c r="L621" s="1582"/>
    </row>
    <row r="622" spans="2:12" s="1378" customFormat="1" ht="14.25">
      <c r="B622" s="1535"/>
      <c r="D622" s="1582"/>
      <c r="E622" s="1582"/>
      <c r="F622" s="1583"/>
      <c r="G622" s="1583"/>
      <c r="H622" s="1583"/>
      <c r="I622" s="1583"/>
      <c r="J622" s="1583"/>
      <c r="K622" s="1583"/>
      <c r="L622" s="1582"/>
    </row>
    <row r="623" spans="2:12" s="1378" customFormat="1" ht="14.25">
      <c r="B623" s="1535"/>
      <c r="D623" s="1582"/>
      <c r="E623" s="1582"/>
      <c r="F623" s="1583"/>
      <c r="G623" s="1583"/>
      <c r="H623" s="1583"/>
      <c r="I623" s="1583"/>
      <c r="J623" s="1583"/>
      <c r="K623" s="1583"/>
      <c r="L623" s="1582"/>
    </row>
    <row r="624" spans="2:12" s="1378" customFormat="1" ht="14.25">
      <c r="B624" s="1535"/>
      <c r="D624" s="1582"/>
      <c r="E624" s="1582"/>
      <c r="F624" s="1583"/>
      <c r="G624" s="1583"/>
      <c r="H624" s="1583"/>
      <c r="I624" s="1583"/>
      <c r="J624" s="1583"/>
      <c r="K624" s="1583"/>
      <c r="L624" s="1582"/>
    </row>
    <row r="625" spans="2:12" s="1378" customFormat="1" ht="14.25">
      <c r="B625" s="1535"/>
      <c r="D625" s="1582"/>
      <c r="E625" s="1582"/>
      <c r="F625" s="1583"/>
      <c r="G625" s="1583"/>
      <c r="H625" s="1583"/>
      <c r="I625" s="1583"/>
      <c r="J625" s="1583"/>
      <c r="K625" s="1583"/>
      <c r="L625" s="1582"/>
    </row>
    <row r="626" spans="2:12" s="1378" customFormat="1" ht="14.25">
      <c r="B626" s="1535"/>
      <c r="D626" s="1582"/>
      <c r="E626" s="1582"/>
      <c r="F626" s="1583"/>
      <c r="G626" s="1583"/>
      <c r="H626" s="1583"/>
      <c r="I626" s="1583"/>
      <c r="J626" s="1583"/>
      <c r="K626" s="1583"/>
      <c r="L626" s="1582"/>
    </row>
    <row r="627" spans="2:12" s="1378" customFormat="1" ht="14.25">
      <c r="B627" s="1535"/>
      <c r="D627" s="1582"/>
      <c r="E627" s="1582"/>
      <c r="F627" s="1583"/>
      <c r="G627" s="1583"/>
      <c r="H627" s="1583"/>
      <c r="I627" s="1583"/>
      <c r="J627" s="1583"/>
      <c r="K627" s="1583"/>
      <c r="L627" s="1582"/>
    </row>
    <row r="628" spans="2:12" s="1378" customFormat="1" ht="14.25">
      <c r="B628" s="1535"/>
      <c r="D628" s="1582"/>
      <c r="E628" s="1582"/>
      <c r="F628" s="1583"/>
      <c r="G628" s="1583"/>
      <c r="H628" s="1583"/>
      <c r="I628" s="1583"/>
      <c r="J628" s="1583"/>
      <c r="K628" s="1583"/>
      <c r="L628" s="1582"/>
    </row>
    <row r="629" spans="2:12" s="1378" customFormat="1" ht="14.25">
      <c r="B629" s="1535"/>
      <c r="D629" s="1582"/>
      <c r="E629" s="1582"/>
      <c r="F629" s="1583"/>
      <c r="G629" s="1583"/>
      <c r="H629" s="1583"/>
      <c r="I629" s="1583"/>
      <c r="J629" s="1583"/>
      <c r="K629" s="1583"/>
      <c r="L629" s="1582"/>
    </row>
    <row r="630" spans="2:12" s="1378" customFormat="1" ht="14.25">
      <c r="B630" s="1535"/>
      <c r="D630" s="1582"/>
      <c r="E630" s="1582"/>
      <c r="F630" s="1583"/>
      <c r="G630" s="1583"/>
      <c r="H630" s="1583"/>
      <c r="I630" s="1583"/>
      <c r="J630" s="1583"/>
      <c r="K630" s="1583"/>
      <c r="L630" s="1582"/>
    </row>
    <row r="631" spans="2:12" s="1378" customFormat="1" ht="14.25">
      <c r="B631" s="1535"/>
      <c r="D631" s="1582"/>
      <c r="E631" s="1582"/>
      <c r="F631" s="1583"/>
      <c r="G631" s="1583"/>
      <c r="H631" s="1583"/>
      <c r="I631" s="1583"/>
      <c r="J631" s="1583"/>
      <c r="K631" s="1583"/>
      <c r="L631" s="1582"/>
    </row>
    <row r="632" spans="2:12" s="1378" customFormat="1" ht="14.25">
      <c r="B632" s="1535"/>
      <c r="D632" s="1582"/>
      <c r="E632" s="1582"/>
      <c r="F632" s="1583"/>
      <c r="G632" s="1583"/>
      <c r="H632" s="1583"/>
      <c r="I632" s="1583"/>
      <c r="J632" s="1583"/>
      <c r="K632" s="1583"/>
      <c r="L632" s="1582"/>
    </row>
    <row r="633" spans="2:12" s="1378" customFormat="1" ht="14.25">
      <c r="B633" s="1535"/>
      <c r="D633" s="1582"/>
      <c r="E633" s="1582"/>
      <c r="F633" s="1583"/>
      <c r="G633" s="1583"/>
      <c r="H633" s="1583"/>
      <c r="I633" s="1583"/>
      <c r="J633" s="1583"/>
      <c r="K633" s="1583"/>
      <c r="L633" s="1582"/>
    </row>
    <row r="634" spans="2:12" s="1378" customFormat="1" ht="14.25">
      <c r="B634" s="1535"/>
      <c r="D634" s="1582"/>
      <c r="E634" s="1582"/>
      <c r="F634" s="1583"/>
      <c r="G634" s="1583"/>
      <c r="H634" s="1583"/>
      <c r="I634" s="1583"/>
      <c r="J634" s="1583"/>
      <c r="K634" s="1583"/>
      <c r="L634" s="1582"/>
    </row>
    <row r="635" spans="2:12" s="1378" customFormat="1" ht="14.25">
      <c r="B635" s="1535"/>
      <c r="D635" s="1582"/>
      <c r="E635" s="1582"/>
      <c r="F635" s="1583"/>
      <c r="G635" s="1583"/>
      <c r="H635" s="1583"/>
      <c r="I635" s="1583"/>
      <c r="J635" s="1583"/>
      <c r="K635" s="1583"/>
      <c r="L635" s="1582"/>
    </row>
    <row r="636" spans="2:12" s="1378" customFormat="1" ht="14.25">
      <c r="B636" s="1535"/>
      <c r="D636" s="1582"/>
      <c r="E636" s="1582"/>
      <c r="F636" s="1583"/>
      <c r="G636" s="1583"/>
      <c r="H636" s="1583"/>
      <c r="I636" s="1583"/>
      <c r="J636" s="1583"/>
      <c r="K636" s="1583"/>
      <c r="L636" s="1582"/>
    </row>
    <row r="637" spans="2:12" s="1378" customFormat="1" ht="14.25">
      <c r="B637" s="1535"/>
      <c r="D637" s="1582"/>
      <c r="E637" s="1582"/>
      <c r="F637" s="1583"/>
      <c r="G637" s="1583"/>
      <c r="H637" s="1583"/>
      <c r="I637" s="1583"/>
      <c r="J637" s="1583"/>
      <c r="K637" s="1583"/>
      <c r="L637" s="1582"/>
    </row>
    <row r="638" spans="2:12" s="1378" customFormat="1" ht="14.25">
      <c r="B638" s="1535"/>
      <c r="D638" s="1582"/>
      <c r="E638" s="1582"/>
      <c r="F638" s="1583"/>
      <c r="G638" s="1583"/>
      <c r="H638" s="1583"/>
      <c r="I638" s="1583"/>
      <c r="J638" s="1583"/>
      <c r="K638" s="1583"/>
      <c r="L638" s="1582"/>
    </row>
    <row r="639" spans="2:12" s="1378" customFormat="1" ht="14.25">
      <c r="B639" s="1535"/>
      <c r="D639" s="1582"/>
      <c r="E639" s="1582"/>
      <c r="F639" s="1583"/>
      <c r="G639" s="1583"/>
      <c r="H639" s="1583"/>
      <c r="I639" s="1583"/>
      <c r="J639" s="1583"/>
      <c r="K639" s="1583"/>
      <c r="L639" s="1582"/>
    </row>
    <row r="640" spans="2:12" s="1378" customFormat="1" ht="14.25">
      <c r="B640" s="1535"/>
      <c r="D640" s="1582"/>
      <c r="E640" s="1582"/>
      <c r="F640" s="1583"/>
      <c r="G640" s="1583"/>
      <c r="H640" s="1583"/>
      <c r="I640" s="1583"/>
      <c r="J640" s="1583"/>
      <c r="K640" s="1583"/>
      <c r="L640" s="1582"/>
    </row>
    <row r="641" spans="2:12" s="1378" customFormat="1" ht="14.25">
      <c r="B641" s="1535"/>
      <c r="D641" s="1582"/>
      <c r="E641" s="1582"/>
      <c r="F641" s="1583"/>
      <c r="G641" s="1583"/>
      <c r="H641" s="1583"/>
      <c r="I641" s="1583"/>
      <c r="J641" s="1583"/>
      <c r="K641" s="1583"/>
      <c r="L641" s="1582"/>
    </row>
    <row r="642" spans="2:12" s="1378" customFormat="1" ht="14.25">
      <c r="B642" s="1535"/>
      <c r="D642" s="1582"/>
      <c r="E642" s="1582"/>
      <c r="F642" s="1583"/>
      <c r="G642" s="1583"/>
      <c r="H642" s="1583"/>
      <c r="I642" s="1583"/>
      <c r="J642" s="1583"/>
      <c r="K642" s="1583"/>
      <c r="L642" s="1582"/>
    </row>
    <row r="643" spans="2:12" s="1378" customFormat="1" ht="14.25">
      <c r="B643" s="1535"/>
      <c r="D643" s="1582"/>
      <c r="E643" s="1582"/>
      <c r="F643" s="1583"/>
      <c r="G643" s="1583"/>
      <c r="H643" s="1583"/>
      <c r="I643" s="1583"/>
      <c r="J643" s="1583"/>
      <c r="K643" s="1583"/>
      <c r="L643" s="1582"/>
    </row>
    <row r="644" spans="2:12" s="1378" customFormat="1" ht="14.25">
      <c r="B644" s="1535"/>
      <c r="D644" s="1582"/>
      <c r="E644" s="1582"/>
      <c r="F644" s="1583"/>
      <c r="G644" s="1583"/>
      <c r="H644" s="1583"/>
      <c r="I644" s="1583"/>
      <c r="J644" s="1583"/>
      <c r="K644" s="1583"/>
      <c r="L644" s="1582"/>
    </row>
    <row r="645" spans="2:12" s="1378" customFormat="1" ht="14.25">
      <c r="B645" s="1535"/>
      <c r="D645" s="1582"/>
      <c r="E645" s="1582"/>
      <c r="F645" s="1583"/>
      <c r="G645" s="1583"/>
      <c r="H645" s="1583"/>
      <c r="I645" s="1583"/>
      <c r="J645" s="1583"/>
      <c r="K645" s="1583"/>
      <c r="L645" s="1582"/>
    </row>
    <row r="646" spans="2:12" s="1378" customFormat="1" ht="14.25">
      <c r="B646" s="1535"/>
      <c r="D646" s="1582"/>
      <c r="E646" s="1582"/>
      <c r="F646" s="1583"/>
      <c r="G646" s="1583"/>
      <c r="H646" s="1583"/>
      <c r="I646" s="1583"/>
      <c r="J646" s="1583"/>
      <c r="K646" s="1583"/>
      <c r="L646" s="1582"/>
    </row>
    <row r="647" spans="2:12" s="1378" customFormat="1" ht="14.25">
      <c r="B647" s="1535"/>
      <c r="D647" s="1582"/>
      <c r="E647" s="1582"/>
      <c r="F647" s="1583"/>
      <c r="G647" s="1583"/>
      <c r="H647" s="1583"/>
      <c r="I647" s="1583"/>
      <c r="J647" s="1583"/>
      <c r="K647" s="1583"/>
      <c r="L647" s="1582"/>
    </row>
    <row r="648" spans="2:12" s="1378" customFormat="1" ht="14.25">
      <c r="B648" s="1535"/>
      <c r="D648" s="1582"/>
      <c r="E648" s="1582"/>
      <c r="F648" s="1583"/>
      <c r="G648" s="1583"/>
      <c r="H648" s="1583"/>
      <c r="I648" s="1583"/>
      <c r="J648" s="1583"/>
      <c r="K648" s="1583"/>
      <c r="L648" s="1582"/>
    </row>
    <row r="649" spans="2:12" s="1378" customFormat="1" ht="14.25">
      <c r="B649" s="1535"/>
      <c r="D649" s="1582"/>
      <c r="E649" s="1582"/>
      <c r="F649" s="1583"/>
      <c r="G649" s="1583"/>
      <c r="H649" s="1583"/>
      <c r="I649" s="1583"/>
      <c r="J649" s="1583"/>
      <c r="K649" s="1583"/>
      <c r="L649" s="1582"/>
    </row>
    <row r="650" spans="2:12" s="1378" customFormat="1" ht="14.25">
      <c r="B650" s="1535"/>
      <c r="D650" s="1582"/>
      <c r="E650" s="1582"/>
      <c r="F650" s="1583"/>
      <c r="G650" s="1583"/>
      <c r="H650" s="1583"/>
      <c r="I650" s="1583"/>
      <c r="J650" s="1583"/>
      <c r="K650" s="1583"/>
      <c r="L650" s="1582"/>
    </row>
    <row r="651" spans="2:12" s="1378" customFormat="1" ht="14.25">
      <c r="B651" s="1535"/>
      <c r="D651" s="1582"/>
      <c r="E651" s="1582"/>
      <c r="F651" s="1583"/>
      <c r="G651" s="1583"/>
      <c r="H651" s="1583"/>
      <c r="I651" s="1583"/>
      <c r="J651" s="1583"/>
      <c r="K651" s="1583"/>
      <c r="L651" s="1582"/>
    </row>
    <row r="652" spans="2:12" s="1378" customFormat="1" ht="14.25">
      <c r="B652" s="1535"/>
      <c r="D652" s="1582"/>
      <c r="E652" s="1582"/>
      <c r="F652" s="1583"/>
      <c r="G652" s="1583"/>
      <c r="H652" s="1583"/>
      <c r="I652" s="1583"/>
      <c r="J652" s="1583"/>
      <c r="K652" s="1583"/>
      <c r="L652" s="1582"/>
    </row>
    <row r="653" spans="2:12" s="1378" customFormat="1" ht="14.25">
      <c r="B653" s="1535"/>
      <c r="D653" s="1582"/>
      <c r="E653" s="1582"/>
      <c r="F653" s="1583"/>
      <c r="G653" s="1583"/>
      <c r="H653" s="1583"/>
      <c r="I653" s="1583"/>
      <c r="J653" s="1583"/>
      <c r="K653" s="1583"/>
      <c r="L653" s="1582"/>
    </row>
    <row r="654" spans="2:12" s="1378" customFormat="1" ht="14.25">
      <c r="B654" s="1535"/>
      <c r="D654" s="1582"/>
      <c r="E654" s="1582"/>
      <c r="F654" s="1583"/>
      <c r="G654" s="1583"/>
      <c r="H654" s="1583"/>
      <c r="I654" s="1583"/>
      <c r="J654" s="1583"/>
      <c r="K654" s="1583"/>
      <c r="L654" s="1582"/>
    </row>
    <row r="655" spans="2:12" s="1378" customFormat="1" ht="14.25">
      <c r="B655" s="1535"/>
      <c r="D655" s="1582"/>
      <c r="E655" s="1582"/>
      <c r="F655" s="1583"/>
      <c r="G655" s="1583"/>
      <c r="H655" s="1583"/>
      <c r="I655" s="1583"/>
      <c r="J655" s="1583"/>
      <c r="K655" s="1583"/>
      <c r="L655" s="1582"/>
    </row>
    <row r="656" spans="2:12" s="1378" customFormat="1" ht="14.25">
      <c r="B656" s="1535"/>
      <c r="D656" s="1582"/>
      <c r="E656" s="1582"/>
      <c r="F656" s="1583"/>
      <c r="G656" s="1583"/>
      <c r="H656" s="1583"/>
      <c r="I656" s="1583"/>
      <c r="J656" s="1583"/>
      <c r="K656" s="1583"/>
      <c r="L656" s="1582"/>
    </row>
    <row r="657" spans="2:12" s="1378" customFormat="1" ht="14.25">
      <c r="B657" s="1535"/>
      <c r="D657" s="1582"/>
      <c r="E657" s="1582"/>
      <c r="F657" s="1583"/>
      <c r="G657" s="1583"/>
      <c r="H657" s="1583"/>
      <c r="I657" s="1583"/>
      <c r="J657" s="1583"/>
      <c r="K657" s="1583"/>
      <c r="L657" s="1582"/>
    </row>
    <row r="658" spans="2:12" s="1378" customFormat="1" ht="14.25">
      <c r="B658" s="1535"/>
      <c r="D658" s="1582"/>
      <c r="E658" s="1582"/>
      <c r="F658" s="1583"/>
      <c r="G658" s="1583"/>
      <c r="H658" s="1583"/>
      <c r="I658" s="1583"/>
      <c r="J658" s="1583"/>
      <c r="K658" s="1583"/>
      <c r="L658" s="1582"/>
    </row>
    <row r="659" spans="2:12" s="1378" customFormat="1" ht="14.25">
      <c r="B659" s="1535"/>
      <c r="D659" s="1582"/>
      <c r="E659" s="1582"/>
      <c r="F659" s="1583"/>
      <c r="G659" s="1583"/>
      <c r="H659" s="1583"/>
      <c r="I659" s="1583"/>
      <c r="J659" s="1583"/>
      <c r="K659" s="1583"/>
      <c r="L659" s="1582"/>
    </row>
    <row r="660" spans="2:12" s="1378" customFormat="1" ht="14.25">
      <c r="B660" s="1535"/>
      <c r="D660" s="1582"/>
      <c r="E660" s="1582"/>
      <c r="F660" s="1583"/>
      <c r="G660" s="1583"/>
      <c r="H660" s="1583"/>
      <c r="I660" s="1583"/>
      <c r="J660" s="1583"/>
      <c r="K660" s="1583"/>
      <c r="L660" s="1582"/>
    </row>
    <row r="661" spans="2:12" s="1378" customFormat="1" ht="14.25">
      <c r="B661" s="1535"/>
      <c r="D661" s="1582"/>
      <c r="E661" s="1582"/>
      <c r="F661" s="1583"/>
      <c r="G661" s="1583"/>
      <c r="H661" s="1583"/>
      <c r="I661" s="1583"/>
      <c r="J661" s="1583"/>
      <c r="K661" s="1583"/>
      <c r="L661" s="1582"/>
    </row>
    <row r="662" spans="2:12" s="1378" customFormat="1" ht="14.25">
      <c r="B662" s="1535"/>
      <c r="D662" s="1582"/>
      <c r="E662" s="1582"/>
      <c r="F662" s="1583"/>
      <c r="G662" s="1583"/>
      <c r="H662" s="1583"/>
      <c r="I662" s="1583"/>
      <c r="J662" s="1583"/>
      <c r="K662" s="1583"/>
      <c r="L662" s="1582"/>
    </row>
    <row r="663" spans="2:12" s="1378" customFormat="1" ht="14.25">
      <c r="B663" s="1535"/>
      <c r="D663" s="1582"/>
      <c r="E663" s="1582"/>
      <c r="F663" s="1583"/>
      <c r="G663" s="1583"/>
      <c r="H663" s="1583"/>
      <c r="I663" s="1583"/>
      <c r="J663" s="1583"/>
      <c r="K663" s="1583"/>
      <c r="L663" s="1582"/>
    </row>
    <row r="664" spans="2:12" s="1378" customFormat="1" ht="14.25">
      <c r="B664" s="1535"/>
      <c r="D664" s="1582"/>
      <c r="E664" s="1582"/>
      <c r="F664" s="1583"/>
      <c r="G664" s="1583"/>
      <c r="H664" s="1583"/>
      <c r="I664" s="1583"/>
      <c r="J664" s="1583"/>
      <c r="K664" s="1583"/>
      <c r="L664" s="1582"/>
    </row>
    <row r="665" spans="2:12" s="1378" customFormat="1" ht="14.25">
      <c r="B665" s="1535"/>
      <c r="D665" s="1582"/>
      <c r="E665" s="1582"/>
      <c r="F665" s="1583"/>
      <c r="G665" s="1583"/>
      <c r="H665" s="1583"/>
      <c r="I665" s="1583"/>
      <c r="J665" s="1583"/>
      <c r="K665" s="1583"/>
      <c r="L665" s="1582"/>
    </row>
    <row r="666" spans="2:12" s="1378" customFormat="1" ht="14.25">
      <c r="B666" s="1535"/>
      <c r="D666" s="1582"/>
      <c r="E666" s="1582"/>
      <c r="F666" s="1583"/>
      <c r="G666" s="1583"/>
      <c r="H666" s="1583"/>
      <c r="I666" s="1583"/>
      <c r="J666" s="1583"/>
      <c r="K666" s="1583"/>
      <c r="L666" s="1582"/>
    </row>
    <row r="667" spans="2:12" s="1378" customFormat="1" ht="14.25">
      <c r="B667" s="1535"/>
      <c r="D667" s="1582"/>
      <c r="E667" s="1582"/>
      <c r="F667" s="1583"/>
      <c r="G667" s="1583"/>
      <c r="H667" s="1583"/>
      <c r="I667" s="1583"/>
      <c r="J667" s="1583"/>
      <c r="K667" s="1583"/>
      <c r="L667" s="1582"/>
    </row>
    <row r="668" spans="2:12" s="1378" customFormat="1" ht="14.25">
      <c r="B668" s="1535"/>
      <c r="D668" s="1582"/>
      <c r="E668" s="1582"/>
      <c r="F668" s="1583"/>
      <c r="G668" s="1583"/>
      <c r="H668" s="1583"/>
      <c r="I668" s="1583"/>
      <c r="J668" s="1583"/>
      <c r="K668" s="1583"/>
      <c r="L668" s="1582"/>
    </row>
    <row r="669" spans="2:12" s="1378" customFormat="1" ht="14.25">
      <c r="B669" s="1535"/>
      <c r="D669" s="1582"/>
      <c r="E669" s="1582"/>
      <c r="F669" s="1583"/>
      <c r="G669" s="1583"/>
      <c r="H669" s="1583"/>
      <c r="I669" s="1583"/>
      <c r="J669" s="1583"/>
      <c r="K669" s="1583"/>
      <c r="L669" s="1582"/>
    </row>
    <row r="670" spans="2:12" s="1378" customFormat="1" ht="14.25">
      <c r="B670" s="1535"/>
      <c r="D670" s="1582"/>
      <c r="E670" s="1582"/>
      <c r="F670" s="1583"/>
      <c r="G670" s="1583"/>
      <c r="H670" s="1583"/>
      <c r="I670" s="1583"/>
      <c r="J670" s="1583"/>
      <c r="K670" s="1583"/>
      <c r="L670" s="1582"/>
    </row>
    <row r="671" spans="2:12" s="1378" customFormat="1" ht="14.25">
      <c r="B671" s="1535"/>
      <c r="D671" s="1582"/>
      <c r="E671" s="1582"/>
      <c r="F671" s="1583"/>
      <c r="G671" s="1583"/>
      <c r="H671" s="1583"/>
      <c r="I671" s="1583"/>
      <c r="J671" s="1583"/>
      <c r="K671" s="1583"/>
      <c r="L671" s="1582"/>
    </row>
    <row r="672" spans="2:12" s="1378" customFormat="1" ht="14.25">
      <c r="B672" s="1535"/>
      <c r="D672" s="1582"/>
      <c r="E672" s="1582"/>
      <c r="F672" s="1583"/>
      <c r="G672" s="1583"/>
      <c r="H672" s="1583"/>
      <c r="I672" s="1583"/>
      <c r="J672" s="1583"/>
      <c r="K672" s="1583"/>
      <c r="L672" s="1582"/>
    </row>
    <row r="673" spans="2:12" s="1378" customFormat="1" ht="14.25">
      <c r="B673" s="1535"/>
      <c r="D673" s="1582"/>
      <c r="E673" s="1582"/>
      <c r="F673" s="1583"/>
      <c r="G673" s="1583"/>
      <c r="H673" s="1583"/>
      <c r="I673" s="1583"/>
      <c r="J673" s="1583"/>
      <c r="K673" s="1583"/>
      <c r="L673" s="1582"/>
    </row>
    <row r="674" spans="2:12" s="1378" customFormat="1" ht="14.25">
      <c r="B674" s="1535"/>
      <c r="D674" s="1582"/>
      <c r="E674" s="1582"/>
      <c r="F674" s="1583"/>
      <c r="G674" s="1583"/>
      <c r="H674" s="1583"/>
      <c r="I674" s="1583"/>
      <c r="J674" s="1583"/>
      <c r="K674" s="1583"/>
      <c r="L674" s="1582"/>
    </row>
    <row r="675" spans="2:12" s="1378" customFormat="1" ht="14.25">
      <c r="B675" s="1535"/>
      <c r="D675" s="1582"/>
      <c r="E675" s="1582"/>
      <c r="F675" s="1583"/>
      <c r="G675" s="1583"/>
      <c r="H675" s="1583"/>
      <c r="I675" s="1583"/>
      <c r="J675" s="1583"/>
      <c r="K675" s="1583"/>
      <c r="L675" s="1582"/>
    </row>
    <row r="676" spans="2:12" s="1378" customFormat="1" ht="14.25">
      <c r="B676" s="1535"/>
      <c r="D676" s="1582"/>
      <c r="E676" s="1582"/>
      <c r="F676" s="1583"/>
      <c r="G676" s="1583"/>
      <c r="H676" s="1583"/>
      <c r="I676" s="1583"/>
      <c r="J676" s="1583"/>
      <c r="K676" s="1583"/>
      <c r="L676" s="1582"/>
    </row>
    <row r="677" spans="2:12" s="1378" customFormat="1" ht="14.25">
      <c r="B677" s="1535"/>
      <c r="D677" s="1582"/>
      <c r="E677" s="1582"/>
      <c r="F677" s="1583"/>
      <c r="G677" s="1583"/>
      <c r="H677" s="1583"/>
      <c r="I677" s="1583"/>
      <c r="J677" s="1583"/>
      <c r="K677" s="1583"/>
      <c r="L677" s="1582"/>
    </row>
    <row r="678" spans="2:12" s="1378" customFormat="1" ht="14.25">
      <c r="B678" s="1535"/>
      <c r="D678" s="1582"/>
      <c r="E678" s="1582"/>
      <c r="F678" s="1583"/>
      <c r="G678" s="1583"/>
      <c r="H678" s="1583"/>
      <c r="I678" s="1583"/>
      <c r="J678" s="1583"/>
      <c r="K678" s="1583"/>
      <c r="L678" s="1582"/>
    </row>
    <row r="679" spans="2:12" s="1378" customFormat="1" ht="14.25">
      <c r="B679" s="1535"/>
      <c r="D679" s="1582"/>
      <c r="E679" s="1582"/>
      <c r="F679" s="1583"/>
      <c r="G679" s="1583"/>
      <c r="H679" s="1583"/>
      <c r="I679" s="1583"/>
      <c r="J679" s="1583"/>
      <c r="K679" s="1583"/>
      <c r="L679" s="1582"/>
    </row>
    <row r="680" spans="2:12" s="1378" customFormat="1" ht="14.25">
      <c r="B680" s="1535"/>
      <c r="D680" s="1582"/>
      <c r="E680" s="1582"/>
      <c r="F680" s="1583"/>
      <c r="G680" s="1583"/>
      <c r="H680" s="1583"/>
      <c r="I680" s="1583"/>
      <c r="J680" s="1583"/>
      <c r="K680" s="1583"/>
      <c r="L680" s="1582"/>
    </row>
    <row r="681" spans="2:12" s="1378" customFormat="1" ht="14.25">
      <c r="B681" s="1535"/>
      <c r="D681" s="1582"/>
      <c r="E681" s="1582"/>
      <c r="F681" s="1583"/>
      <c r="G681" s="1583"/>
      <c r="H681" s="1583"/>
      <c r="I681" s="1583"/>
      <c r="J681" s="1583"/>
      <c r="K681" s="1583"/>
      <c r="L681" s="1582"/>
    </row>
    <row r="682" spans="2:12" s="1378" customFormat="1" ht="14.25">
      <c r="B682" s="1535"/>
      <c r="D682" s="1582"/>
      <c r="E682" s="1582"/>
      <c r="F682" s="1583"/>
      <c r="G682" s="1583"/>
      <c r="H682" s="1583"/>
      <c r="I682" s="1583"/>
      <c r="J682" s="1583"/>
      <c r="K682" s="1583"/>
      <c r="L682" s="1582"/>
    </row>
    <row r="683" spans="2:12" s="1378" customFormat="1" ht="14.25">
      <c r="B683" s="1535"/>
      <c r="D683" s="1582"/>
      <c r="E683" s="1582"/>
      <c r="F683" s="1583"/>
      <c r="G683" s="1583"/>
      <c r="H683" s="1583"/>
      <c r="I683" s="1583"/>
      <c r="J683" s="1583"/>
      <c r="K683" s="1583"/>
      <c r="L683" s="1582"/>
    </row>
    <row r="684" spans="2:12" s="1378" customFormat="1" ht="14.25">
      <c r="B684" s="1535"/>
      <c r="D684" s="1582"/>
      <c r="E684" s="1582"/>
      <c r="F684" s="1583"/>
      <c r="G684" s="1583"/>
      <c r="H684" s="1583"/>
      <c r="I684" s="1583"/>
      <c r="J684" s="1583"/>
      <c r="K684" s="1583"/>
      <c r="L684" s="1582"/>
    </row>
    <row r="685" spans="2:12" s="1378" customFormat="1" ht="14.25">
      <c r="B685" s="1535"/>
      <c r="D685" s="1582"/>
      <c r="E685" s="1582"/>
      <c r="F685" s="1583"/>
      <c r="G685" s="1583"/>
      <c r="H685" s="1583"/>
      <c r="I685" s="1583"/>
      <c r="J685" s="1583"/>
      <c r="K685" s="1583"/>
      <c r="L685" s="1582"/>
    </row>
  </sheetData>
  <autoFilter ref="A9:M437" xr:uid="{00000000-0009-0000-0000-000023000000}"/>
  <mergeCells count="1">
    <mergeCell ref="E3:F3"/>
  </mergeCells>
  <phoneticPr fontId="180" type="noConversion"/>
  <conditionalFormatting sqref="J178:J182">
    <cfRule type="expression" dxfId="3" priority="35">
      <formula>$AD178="NFI"</formula>
    </cfRule>
    <cfRule type="expression" dxfId="2" priority="36">
      <formula>J178=0</formula>
    </cfRule>
  </conditionalFormatting>
  <conditionalFormatting sqref="K179:K182">
    <cfRule type="expression" dxfId="1" priority="29">
      <formula>$AD179="NFI"</formula>
    </cfRule>
    <cfRule type="expression" dxfId="0" priority="30">
      <formula>K179=0</formula>
    </cfRule>
  </conditionalFormatting>
  <hyperlinks>
    <hyperlink ref="D3" r:id="rId1" xr:uid="{00000000-0004-0000-2300-000000000000}"/>
    <hyperlink ref="E3" r:id="rId2" xr:uid="{00000000-0004-0000-2300-000001000000}"/>
    <hyperlink ref="L440" r:id="rId3" xr:uid="{1EB95358-1A05-41E7-93C5-4AC8F3179F27}"/>
    <hyperlink ref="L441" r:id="rId4" xr:uid="{5E5AC459-2744-4ACF-B243-8093B6446C7C}"/>
    <hyperlink ref="L442" r:id="rId5" xr:uid="{9E406DD1-08F5-46C6-A73B-F7C525ADA0B7}"/>
    <hyperlink ref="L443" r:id="rId6" xr:uid="{31B329C3-436C-4D81-9E40-061C401AFEAC}"/>
    <hyperlink ref="L444" r:id="rId7" xr:uid="{F9B2F312-ADCC-4CC1-A7D9-7D169FD456D0}"/>
    <hyperlink ref="L447" r:id="rId8" xr:uid="{1030BF3C-1CF6-4FAC-9F71-BEEF8BADC9ED}"/>
    <hyperlink ref="L448" r:id="rId9" xr:uid="{A0211FA1-713F-4F53-9D5F-6C4803460809}"/>
    <hyperlink ref="L449" r:id="rId10" xr:uid="{2D1E0408-72BF-483C-9F8E-2E7D30228420}"/>
  </hyperlinks>
  <printOptions horizontalCentered="1"/>
  <pageMargins left="0.39370078740157483" right="0.39370078740157483" top="0.78740157480314965" bottom="0.78740157480314965" header="0.31496062992125984" footer="0.31496062992125984"/>
  <pageSetup paperSize="8" scale="56"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3A97-B374-4501-BDD9-68D2CCFD84A0}">
  <sheetPr>
    <tabColor rgb="FF003595"/>
    <pageSetUpPr fitToPage="1"/>
  </sheetPr>
  <dimension ref="A1"/>
  <sheetViews>
    <sheetView showGridLines="0" topLeftCell="XFD1048576" zoomScale="80" zoomScaleNormal="80" zoomScaleSheetLayoutView="80" workbookViewId="0"/>
  </sheetViews>
  <sheetFormatPr defaultColWidth="0" defaultRowHeight="13.5" zeroHeight="1"/>
  <cols>
    <col min="1" max="1" width="0" hidden="1" customWidth="1"/>
    <col min="2" max="16384" width="9" hidden="1"/>
  </cols>
  <sheetData>
    <row r="1" spans="1:1" ht="35.25" hidden="1" customHeight="1">
      <c r="A1" s="4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E0114-1F76-44F3-AEB9-1367064D495F}">
  <sheetPr>
    <tabColor rgb="FF0071CE"/>
    <pageSetUpPr fitToPage="1"/>
  </sheetPr>
  <dimension ref="A1:AO54"/>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625" style="8" hidden="1" customWidth="1"/>
    <col min="32" max="32" width="1.625" style="8" hidden="1" customWidth="1"/>
    <col min="33" max="33" width="8.625" style="279" customWidth="1"/>
    <col min="34" max="34" width="36.75" style="8" customWidth="1"/>
    <col min="35" max="35" width="20.625" style="8" customWidth="1"/>
    <col min="36" max="36" width="8.125" style="8" bestFit="1" customWidth="1"/>
    <col min="37" max="37" width="12.75" style="8" bestFit="1" customWidth="1"/>
    <col min="38" max="41" width="15.625" style="8" customWidth="1"/>
    <col min="42" max="16384" width="23.5" style="8"/>
  </cols>
  <sheetData>
    <row r="1" spans="2:41" s="1" customFormat="1" ht="35.25" customHeight="1">
      <c r="B1" s="44" t="s">
        <v>26</v>
      </c>
      <c r="C1" s="5"/>
      <c r="D1" s="5"/>
      <c r="E1" s="5"/>
      <c r="F1" s="5"/>
      <c r="G1" s="5"/>
      <c r="H1" s="7"/>
      <c r="R1" s="302" t="str">
        <f>VLOOKUP($K$3,Validation!$B$5:$C$22,2,0)</f>
        <v>SRN</v>
      </c>
      <c r="S1" s="302" t="str">
        <f>IF($R$1="NES","NES1",IF($R$1="SSC","SSC1",""))</f>
        <v/>
      </c>
      <c r="U1" s="322"/>
      <c r="AA1" s="322"/>
      <c r="AF1" s="322"/>
      <c r="AG1" s="324"/>
    </row>
    <row r="2" spans="2:41" s="1" customFormat="1" ht="9.75" customHeight="1">
      <c r="B2" s="7"/>
      <c r="C2" s="7"/>
      <c r="D2" s="7"/>
      <c r="E2" s="7"/>
      <c r="F2" s="7"/>
      <c r="G2" s="7"/>
      <c r="H2" s="7"/>
      <c r="U2" s="322"/>
      <c r="AA2" s="322"/>
      <c r="AF2" s="322"/>
      <c r="AG2" s="324"/>
    </row>
    <row r="3" spans="2:41" s="10" customFormat="1" ht="31.5" customHeight="1">
      <c r="B3" s="321" t="s">
        <v>108</v>
      </c>
      <c r="C3" s="297"/>
      <c r="D3" s="297"/>
      <c r="E3" s="297"/>
      <c r="F3" s="297"/>
      <c r="G3" s="297"/>
      <c r="H3" s="297"/>
      <c r="I3" s="297"/>
      <c r="J3" s="298"/>
      <c r="K3" s="309" t="str">
        <f>'Validation summary'!$B$3</f>
        <v>Southern Water</v>
      </c>
      <c r="L3" s="299"/>
      <c r="M3" s="300" t="s">
        <v>109</v>
      </c>
      <c r="N3" s="300"/>
      <c r="O3" s="318"/>
      <c r="P3" s="318"/>
      <c r="Q3" s="318"/>
      <c r="R3" s="1381"/>
      <c r="S3" s="1381"/>
      <c r="T3" s="1381"/>
      <c r="U3" s="1382"/>
      <c r="V3" s="1381"/>
      <c r="W3" s="1381"/>
      <c r="X3" s="1381"/>
      <c r="Y3" s="1381"/>
      <c r="Z3" s="1381"/>
      <c r="AA3" s="1382"/>
      <c r="AB3" s="1381"/>
      <c r="AC3" s="1381"/>
      <c r="AD3" s="1381"/>
      <c r="AE3" s="1381"/>
      <c r="AF3" s="1382"/>
      <c r="AG3" s="1383"/>
      <c r="AH3" s="297" t="s">
        <v>110</v>
      </c>
      <c r="AI3" s="297"/>
      <c r="AJ3" s="297"/>
      <c r="AK3" s="297"/>
      <c r="AL3" s="297"/>
      <c r="AM3" s="297"/>
      <c r="AN3" s="297"/>
      <c r="AO3" s="297"/>
    </row>
    <row r="4" spans="2:41" s="10" customFormat="1" ht="16.5" customHeight="1">
      <c r="B4" s="1378"/>
      <c r="C4" s="26">
        <v>1</v>
      </c>
      <c r="D4" s="26">
        <v>2</v>
      </c>
      <c r="E4" s="26" t="s">
        <v>111</v>
      </c>
      <c r="F4" s="26">
        <v>4</v>
      </c>
      <c r="G4" s="26">
        <v>5</v>
      </c>
      <c r="H4" s="26">
        <v>6</v>
      </c>
      <c r="I4" s="26">
        <v>7</v>
      </c>
      <c r="J4" s="36"/>
      <c r="K4" s="14"/>
      <c r="L4" s="1381"/>
      <c r="M4" s="1381"/>
      <c r="N4" s="1381"/>
      <c r="O4" s="1383"/>
      <c r="P4" s="1383"/>
      <c r="Q4" s="1383"/>
      <c r="R4" s="1381"/>
      <c r="S4" s="1381"/>
      <c r="T4" s="1381"/>
      <c r="U4" s="1382"/>
      <c r="V4" s="1381"/>
      <c r="W4" s="1381"/>
      <c r="X4" s="1381"/>
      <c r="Y4" s="1381"/>
      <c r="Z4" s="1381"/>
      <c r="AA4" s="1382"/>
      <c r="AB4" s="1381"/>
      <c r="AC4" s="1381"/>
      <c r="AD4" s="1381"/>
      <c r="AE4" s="1381"/>
      <c r="AF4" s="1382"/>
      <c r="AG4" s="1383"/>
      <c r="AH4" s="1381"/>
      <c r="AI4" s="1381"/>
      <c r="AJ4" s="1381"/>
      <c r="AK4" s="1381"/>
      <c r="AL4" s="1381"/>
      <c r="AM4" s="1381"/>
      <c r="AN4" s="1381"/>
      <c r="AO4" s="1381"/>
    </row>
    <row r="5" spans="2:41" s="10" customFormat="1" ht="126" customHeight="1">
      <c r="B5" s="2083" t="s">
        <v>112</v>
      </c>
      <c r="C5" s="2081" t="s">
        <v>113</v>
      </c>
      <c r="D5" s="2081" t="s">
        <v>114</v>
      </c>
      <c r="E5" s="2081" t="s">
        <v>115</v>
      </c>
      <c r="F5" s="2085" t="s">
        <v>116</v>
      </c>
      <c r="G5" s="2081" t="s">
        <v>117</v>
      </c>
      <c r="H5" s="280" t="s">
        <v>118</v>
      </c>
      <c r="I5" s="280" t="s">
        <v>119</v>
      </c>
      <c r="J5" s="281"/>
      <c r="K5" s="2081" t="s">
        <v>120</v>
      </c>
      <c r="L5" s="16"/>
      <c r="M5" s="2081" t="s">
        <v>121</v>
      </c>
      <c r="N5" s="2081" t="s">
        <v>122</v>
      </c>
      <c r="O5" s="287"/>
      <c r="P5" s="287"/>
      <c r="Q5" s="287"/>
      <c r="R5" s="1381"/>
      <c r="S5" s="1381"/>
      <c r="T5" s="1381"/>
      <c r="U5" s="1382"/>
      <c r="V5" s="1381" t="s">
        <v>121</v>
      </c>
      <c r="W5" s="1381"/>
      <c r="X5" s="1381"/>
      <c r="Y5" s="1381"/>
      <c r="Z5" s="1381"/>
      <c r="AA5" s="1382"/>
      <c r="AB5" s="1381"/>
      <c r="AC5" s="1381"/>
      <c r="AD5" s="1381"/>
      <c r="AE5" s="1381"/>
      <c r="AF5" s="1382"/>
      <c r="AG5" s="1383"/>
      <c r="AH5" s="2083" t="s">
        <v>112</v>
      </c>
      <c r="AI5" s="2081" t="s">
        <v>113</v>
      </c>
      <c r="AJ5" s="2081" t="s">
        <v>114</v>
      </c>
      <c r="AK5" s="2081" t="s">
        <v>115</v>
      </c>
      <c r="AL5" s="2085" t="s">
        <v>116</v>
      </c>
      <c r="AM5" s="2081" t="s">
        <v>117</v>
      </c>
      <c r="AN5" s="280" t="s">
        <v>118</v>
      </c>
      <c r="AO5" s="280" t="s">
        <v>119</v>
      </c>
    </row>
    <row r="6" spans="2:41" s="10" customFormat="1" ht="15.75">
      <c r="B6" s="2084"/>
      <c r="C6" s="2082"/>
      <c r="D6" s="2082"/>
      <c r="E6" s="2082"/>
      <c r="F6" s="2086"/>
      <c r="G6" s="2082"/>
      <c r="H6" s="1319" t="s">
        <v>123</v>
      </c>
      <c r="I6" s="1319" t="s">
        <v>123</v>
      </c>
      <c r="J6" s="281"/>
      <c r="K6" s="2081"/>
      <c r="L6" s="16"/>
      <c r="M6" s="2081"/>
      <c r="N6" s="2081"/>
      <c r="O6" s="287"/>
      <c r="P6" s="287"/>
      <c r="Q6" s="287"/>
      <c r="R6" s="1381"/>
      <c r="S6" s="1381"/>
      <c r="T6" s="1381"/>
      <c r="U6" s="1382"/>
      <c r="V6" s="330" t="s">
        <v>124</v>
      </c>
      <c r="W6" s="1381"/>
      <c r="X6" s="1381"/>
      <c r="Y6" s="1381"/>
      <c r="Z6" s="1381"/>
      <c r="AA6" s="1382"/>
      <c r="AB6" s="330" t="s">
        <v>125</v>
      </c>
      <c r="AC6" s="1381"/>
      <c r="AD6" s="330" t="s">
        <v>126</v>
      </c>
      <c r="AE6" s="1381"/>
      <c r="AF6" s="1382"/>
      <c r="AG6" s="1383"/>
      <c r="AH6" s="2084"/>
      <c r="AI6" s="2082"/>
      <c r="AJ6" s="2082"/>
      <c r="AK6" s="2082"/>
      <c r="AL6" s="2086"/>
      <c r="AM6" s="2082"/>
      <c r="AN6" s="1319" t="s">
        <v>123</v>
      </c>
      <c r="AO6" s="1319" t="s">
        <v>123</v>
      </c>
    </row>
    <row r="7" spans="2:41" s="10" customFormat="1" ht="15.75">
      <c r="B7" s="1378"/>
      <c r="C7" s="1378"/>
      <c r="D7" s="1378"/>
      <c r="E7" s="1378"/>
      <c r="F7" s="1378"/>
      <c r="G7" s="1378"/>
      <c r="H7" s="1378"/>
      <c r="I7" s="1378"/>
      <c r="J7" s="36"/>
      <c r="K7" s="14"/>
      <c r="L7" s="1381"/>
      <c r="M7" s="1381"/>
      <c r="N7" s="1381"/>
      <c r="O7" s="1383"/>
      <c r="P7" s="1383"/>
      <c r="Q7" s="1383"/>
      <c r="R7" s="1381"/>
      <c r="S7" s="1381"/>
      <c r="T7" s="1381"/>
      <c r="U7" s="1382"/>
      <c r="V7" s="1381" t="s">
        <v>127</v>
      </c>
      <c r="W7" s="1381"/>
      <c r="X7" s="1381"/>
      <c r="Y7" s="1381"/>
      <c r="Z7" s="1381"/>
      <c r="AA7" s="1382"/>
      <c r="AB7" s="1381"/>
      <c r="AC7" s="1381"/>
      <c r="AD7" s="330" t="s">
        <v>128</v>
      </c>
      <c r="AE7" s="1381"/>
      <c r="AF7" s="1382"/>
      <c r="AG7" s="1383"/>
      <c r="AH7" s="1381"/>
      <c r="AI7" s="1381"/>
      <c r="AJ7" s="1381"/>
      <c r="AK7" s="1381"/>
      <c r="AL7" s="1381"/>
      <c r="AM7" s="1381"/>
      <c r="AN7" s="1381"/>
      <c r="AO7" s="1381"/>
    </row>
    <row r="8" spans="2:41" s="10" customFormat="1" ht="15.75">
      <c r="B8" s="311" t="s">
        <v>129</v>
      </c>
      <c r="C8" s="13"/>
      <c r="D8" s="1378"/>
      <c r="E8" s="1378"/>
      <c r="F8" s="1378"/>
      <c r="G8" s="1378"/>
      <c r="H8" s="1378"/>
      <c r="I8" s="1378"/>
      <c r="J8" s="36"/>
      <c r="K8" s="14"/>
      <c r="L8" s="1381"/>
      <c r="M8" s="1381"/>
      <c r="N8" s="1381"/>
      <c r="O8" s="1383"/>
      <c r="P8" s="1383"/>
      <c r="Q8" s="1383"/>
      <c r="R8" s="1381"/>
      <c r="S8" s="1381"/>
      <c r="T8" s="1381"/>
      <c r="U8" s="1382"/>
      <c r="V8" s="327">
        <v>3</v>
      </c>
      <c r="W8" s="327">
        <v>4</v>
      </c>
      <c r="X8" s="327">
        <v>5</v>
      </c>
      <c r="Y8" s="327">
        <v>6</v>
      </c>
      <c r="Z8" s="327">
        <v>7</v>
      </c>
      <c r="AA8" s="331"/>
      <c r="AB8" s="327">
        <v>4</v>
      </c>
      <c r="AC8" s="327">
        <v>5</v>
      </c>
      <c r="AD8" s="327">
        <v>6</v>
      </c>
      <c r="AE8" s="327">
        <v>6</v>
      </c>
      <c r="AF8" s="1382"/>
      <c r="AG8" s="1383"/>
      <c r="AH8" s="311" t="s">
        <v>129</v>
      </c>
      <c r="AI8" s="13"/>
      <c r="AJ8" s="1378"/>
      <c r="AK8" s="1378"/>
      <c r="AL8" s="1378"/>
      <c r="AM8" s="1378"/>
      <c r="AN8" s="1378"/>
      <c r="AO8" s="1378"/>
    </row>
    <row r="9" spans="2:41" s="10" customFormat="1" ht="28.15" customHeight="1">
      <c r="B9" s="290" t="s">
        <v>130</v>
      </c>
      <c r="C9" s="291" t="str">
        <f>IF($K$3="Select company","",VLOOKUP($R$1,C_WQC,2,0))</f>
        <v>PR19SRN_WN02</v>
      </c>
      <c r="D9" s="291" t="str">
        <f>IF($K$3="Select company","",INDEX(App1bdata,MATCH($C9,App1bIDnrs,0),20))</f>
        <v>number</v>
      </c>
      <c r="E9" s="291">
        <f>IF($K$3="Select company","",INDEX(App1bdata,MATCH($C9,App1bIDnrs,0),22))</f>
        <v>2</v>
      </c>
      <c r="F9" s="1862">
        <v>3.0649999999999999</v>
      </c>
      <c r="G9" s="1863" t="s">
        <v>131</v>
      </c>
      <c r="H9" s="1870">
        <f>IF($C9="","",SUM(HLOOKUP($C9,'Model outputs - PC level'!$J$5:$BS$19,12,0),HLOOKUP($C9,'Model outputs - PC level'!$J$5:$BS$19,13,0)))</f>
        <v>-0.67195999999999989</v>
      </c>
      <c r="I9" s="1864">
        <v>-8.7857199999999995</v>
      </c>
      <c r="J9" s="36"/>
      <c r="K9" s="294" t="s">
        <v>132</v>
      </c>
      <c r="L9" s="1381"/>
      <c r="M9" s="329">
        <f>IF(SUM($V9:$Z9)=0,0,$V$6)</f>
        <v>0</v>
      </c>
      <c r="N9" s="343">
        <f>IF(SUM($AB9:$AB9)&lt;&gt;0,$AB$6,IF($AD9=1,$AD$6,IF($AE9=1,$AD$7,0)))</f>
        <v>0</v>
      </c>
      <c r="O9" s="333"/>
      <c r="P9" s="319"/>
      <c r="Q9" s="368"/>
      <c r="R9" s="1381"/>
      <c r="S9" s="272"/>
      <c r="T9" s="1381"/>
      <c r="U9" s="1382"/>
      <c r="V9" s="328"/>
      <c r="W9" s="328">
        <f>IF($C9="",0,IF(ISBLANK($F9)=TRUE,1,0))</f>
        <v>0</v>
      </c>
      <c r="X9" s="328">
        <f t="shared" ref="X9:X16" si="0">IF($C9="",0,IF(ISBLANK($G9)=TRUE,1,0))</f>
        <v>0</v>
      </c>
      <c r="Y9" s="328"/>
      <c r="Z9" s="328">
        <f t="shared" ref="Z9:Z16" si="1">IF($C9="",0,IF(ISBLANK($I9)=TRUE,1,0))</f>
        <v>0</v>
      </c>
      <c r="AA9" s="1382"/>
      <c r="AB9" s="332">
        <f>IF($F9&lt;0,1,0)</f>
        <v>0</v>
      </c>
      <c r="AC9" s="332"/>
      <c r="AD9" s="328">
        <f>IF(ISERROR($H9)=TRUE,1,0)</f>
        <v>0</v>
      </c>
      <c r="AE9" s="332">
        <f>IF(OR(AND(G9="Yes",H9&gt;=0),AND(G9="No",H9&lt;=0),AND(G9="-",H9=0)),0,1)</f>
        <v>0</v>
      </c>
      <c r="AF9" s="1382"/>
      <c r="AG9" s="1383"/>
      <c r="AH9" s="290" t="str">
        <f>B9</f>
        <v>Water quality compliance (CRI)</v>
      </c>
      <c r="AI9" s="290" t="str">
        <f t="shared" ref="AI9:AK9" si="2">C9</f>
        <v>PR19SRN_WN02</v>
      </c>
      <c r="AJ9" s="290" t="str">
        <f t="shared" si="2"/>
        <v>number</v>
      </c>
      <c r="AK9" s="290">
        <f t="shared" si="2"/>
        <v>2</v>
      </c>
      <c r="AL9" s="1470" t="s">
        <v>133</v>
      </c>
      <c r="AM9" s="1471" t="s">
        <v>134</v>
      </c>
      <c r="AN9" s="1472" t="s">
        <v>135</v>
      </c>
      <c r="AO9" s="1473" t="s">
        <v>136</v>
      </c>
    </row>
    <row r="10" spans="2:41" s="10" customFormat="1" ht="28.15" customHeight="1">
      <c r="B10" s="290" t="s">
        <v>137</v>
      </c>
      <c r="C10" s="292" t="str">
        <f>IF($K$3="Select company","",VLOOKUP($R$1,C_WSI,2,0))</f>
        <v>PR19SRN_WN03</v>
      </c>
      <c r="D10" s="292" t="str">
        <f>IF($K$3="Select company","",INDEX(App1bdata,MATCH($C10,App1bIDnrs,0),20))</f>
        <v>hh:mm:ss</v>
      </c>
      <c r="E10" s="292">
        <f>IF($K$3="Select company","",INDEX(App1bdata,MATCH($C10,App1bIDnrs,0),22))</f>
        <v>0</v>
      </c>
      <c r="F10" s="1867">
        <f>'3F'!$H$25</f>
        <v>5.6635957305140185E-2</v>
      </c>
      <c r="G10" s="1863" t="s">
        <v>131</v>
      </c>
      <c r="H10" s="1871">
        <f>IF($C10="","",SUM(HLOOKUP($C10,'Model outputs - PC level'!$J$5:$BS$19,12,0),HLOOKUP($C10,'Model outputs - PC level'!$J$5:$BS$19,13,0)))</f>
        <v>-4.2374666666666672</v>
      </c>
      <c r="I10" s="1864">
        <v>-15.022229856910563</v>
      </c>
      <c r="J10" s="36"/>
      <c r="K10" s="294" t="s">
        <v>138</v>
      </c>
      <c r="L10" s="1381"/>
      <c r="M10" s="329">
        <f t="shared" ref="M10:M16" si="3">IF(SUM($V10:$Z10)=0,0,$V$6)</f>
        <v>0</v>
      </c>
      <c r="N10" s="343">
        <f>IF(OR($AB10=1,$AD10=1),$AD$6,IF($AE10=1,$AD$7,0))</f>
        <v>0</v>
      </c>
      <c r="O10" s="333"/>
      <c r="P10" s="320"/>
      <c r="Q10" s="320"/>
      <c r="R10" s="1381"/>
      <c r="S10" s="273"/>
      <c r="T10" s="1381"/>
      <c r="U10" s="1382"/>
      <c r="V10" s="328"/>
      <c r="W10" s="328"/>
      <c r="X10" s="328">
        <f t="shared" si="0"/>
        <v>0</v>
      </c>
      <c r="Y10" s="328"/>
      <c r="Z10" s="328">
        <f t="shared" si="1"/>
        <v>0</v>
      </c>
      <c r="AA10" s="1382"/>
      <c r="AB10" s="332">
        <f>IF(ISERROR($F10)=TRUE,1,0)</f>
        <v>0</v>
      </c>
      <c r="AC10" s="1381"/>
      <c r="AD10" s="328">
        <f t="shared" ref="AD10:AD16" si="4">IF(ISERROR($H10)=TRUE,1,0)</f>
        <v>0</v>
      </c>
      <c r="AE10" s="332">
        <f>IF(OR(AND(G10="Yes",H10&gt;=0),AND(G10="No",H10&lt;=0),AND(G10="-",H10=0)),0,1)</f>
        <v>0</v>
      </c>
      <c r="AF10" s="1382"/>
      <c r="AG10" s="1383"/>
      <c r="AH10" s="290" t="str">
        <f t="shared" ref="AH10:AH16" si="5">B10</f>
        <v>Water supply interruptions</v>
      </c>
      <c r="AI10" s="290" t="str">
        <f t="shared" ref="AI10:AI16" si="6">C10</f>
        <v>PR19SRN_WN03</v>
      </c>
      <c r="AJ10" s="290" t="str">
        <f t="shared" ref="AJ10:AJ16" si="7">D10</f>
        <v>hh:mm:ss</v>
      </c>
      <c r="AK10" s="290">
        <f t="shared" ref="AK10:AK16" si="8">E10</f>
        <v>0</v>
      </c>
      <c r="AL10" s="1474" t="s">
        <v>139</v>
      </c>
      <c r="AM10" s="1471" t="s">
        <v>140</v>
      </c>
      <c r="AN10" s="1475" t="s">
        <v>141</v>
      </c>
      <c r="AO10" s="1473" t="s">
        <v>142</v>
      </c>
    </row>
    <row r="11" spans="2:41" s="10" customFormat="1" ht="28.15" customHeight="1">
      <c r="B11" s="290" t="str">
        <f>IF($R$1="NES","Leakage NW region",IF($R$1="SSC","Leakage South Staffs region","Leakage"))</f>
        <v>Leakage</v>
      </c>
      <c r="C11" s="292" t="str">
        <f>IF($K$3="Select company","",VLOOKUP($R$1,C_Leakage,2,0))</f>
        <v>PR19SRN_WN04</v>
      </c>
      <c r="D11" s="292" t="str">
        <f>IF($K$3="Select company","",INDEX(App1bdata,MATCH($C11,App1bIDnrs,0),20))</f>
        <v>%</v>
      </c>
      <c r="E11" s="292">
        <f>IF($K$3="Select company","",INDEX(App1bdata,MATCH($C11,App1bIDnrs,0),22))</f>
        <v>1</v>
      </c>
      <c r="F11" s="1868">
        <f>IF(OR($R$1="NES",$R$1="SSC"),'3F.1'!$N$18,'3F'!$N$18)</f>
        <v>-4.404404404404394</v>
      </c>
      <c r="G11" s="1863" t="s">
        <v>131</v>
      </c>
      <c r="H11" s="1871">
        <f>IF($C11="","",SUM(HLOOKUP($C11,'Model outputs - PC level'!$J$5:$BS$19,12,0),HLOOKUP($C11,'Model outputs - PC level'!$J$5:$BS$19,13,0)))</f>
        <v>-4.3460000000000001</v>
      </c>
      <c r="I11" s="1864">
        <v>-11.964299999999998</v>
      </c>
      <c r="J11" s="36"/>
      <c r="K11" s="294" t="s">
        <v>143</v>
      </c>
      <c r="L11" s="1381"/>
      <c r="M11" s="329">
        <f t="shared" si="3"/>
        <v>0</v>
      </c>
      <c r="N11" s="343">
        <f>IF(OR($AB11=1,$AD11=1),$AD$6,IF($AE11=1,$AD$7,0))</f>
        <v>0</v>
      </c>
      <c r="O11" s="320"/>
      <c r="P11" s="320"/>
      <c r="Q11" s="320"/>
      <c r="R11" s="1381"/>
      <c r="S11" s="265"/>
      <c r="T11" s="1381"/>
      <c r="U11" s="1382"/>
      <c r="V11" s="328"/>
      <c r="W11" s="328"/>
      <c r="X11" s="328">
        <f t="shared" si="0"/>
        <v>0</v>
      </c>
      <c r="Y11" s="328"/>
      <c r="Z11" s="328">
        <f t="shared" si="1"/>
        <v>0</v>
      </c>
      <c r="AA11" s="1382"/>
      <c r="AB11" s="332">
        <f>IF(ISERROR($F11)=TRUE,1,0)</f>
        <v>0</v>
      </c>
      <c r="AC11" s="1381"/>
      <c r="AD11" s="328">
        <f t="shared" si="4"/>
        <v>0</v>
      </c>
      <c r="AE11" s="332">
        <f>IF(OR(AND(G11="Yes",H11&gt;=0),AND(G11="No",H11&lt;=0),AND(G11="-",H11=0)),0,1)</f>
        <v>0</v>
      </c>
      <c r="AF11" s="1382"/>
      <c r="AG11" s="1383"/>
      <c r="AH11" s="290" t="str">
        <f t="shared" si="5"/>
        <v>Leakage</v>
      </c>
      <c r="AI11" s="290" t="str">
        <f t="shared" si="6"/>
        <v>PR19SRN_WN04</v>
      </c>
      <c r="AJ11" s="290" t="str">
        <f t="shared" si="7"/>
        <v>%</v>
      </c>
      <c r="AK11" s="290">
        <f t="shared" si="8"/>
        <v>1</v>
      </c>
      <c r="AL11" s="1476" t="s">
        <v>144</v>
      </c>
      <c r="AM11" s="1471" t="s">
        <v>145</v>
      </c>
      <c r="AN11" s="1475" t="s">
        <v>146</v>
      </c>
      <c r="AO11" s="1473" t="s">
        <v>147</v>
      </c>
    </row>
    <row r="12" spans="2:41" s="10" customFormat="1" ht="28.15" customHeight="1">
      <c r="B12" s="293" t="str">
        <f>IF($R$1="NES","Leakage ESW region",IF($R$1="SSC","Leakage Cambridge region","[For use by NES and SSC only]"))</f>
        <v>[For use by NES and SSC only]</v>
      </c>
      <c r="C12" s="292" t="str">
        <f>IF(OR($R$1="NES",$R$1="SSC"),VLOOKUP($S$1,C_Leakage,2,0),"")</f>
        <v/>
      </c>
      <c r="D12" s="292" t="str">
        <f>IF(OR($R$1="NES",$R$1="SSC"),INDEX(App1bdata,MATCH($C12,App1bIDnrs,0),20),"")</f>
        <v/>
      </c>
      <c r="E12" s="292" t="str">
        <f>IF(OR($R$1="NES",$R$1="SSC"),INDEX(App1bdata,MATCH($C12,App1bIDnrs,0),22),"")</f>
        <v/>
      </c>
      <c r="F12" s="1868" t="str">
        <f>IF(OR($R$1="NES",$R$1="SSC"),'3F.2'!$N$18,"")</f>
        <v/>
      </c>
      <c r="G12" s="1863"/>
      <c r="H12" s="1871" t="str">
        <f>IF($C12="","",SUM(HLOOKUP($C12,'Model outputs - PC level'!$J$5:$BS$19,12,0),HLOOKUP($C12,'Model outputs - PC level'!$J$5:$BS$19,13,0)))</f>
        <v/>
      </c>
      <c r="I12" s="1864"/>
      <c r="J12" s="36"/>
      <c r="K12" s="294" t="s">
        <v>143</v>
      </c>
      <c r="L12" s="1381"/>
      <c r="M12" s="329">
        <f>IF($C12="",0,IF(SUM($V12:$Z12)=0,0,$V$6))</f>
        <v>0</v>
      </c>
      <c r="N12" s="343">
        <f>IF($C12="",0,IF(OR($AB12=1,$AD12=1),$AD$6,IF($AE12=1,$AD$7,0)))</f>
        <v>0</v>
      </c>
      <c r="O12" s="320"/>
      <c r="P12" s="320"/>
      <c r="Q12" s="320"/>
      <c r="R12" s="1381"/>
      <c r="S12" s="265"/>
      <c r="T12" s="1381"/>
      <c r="U12" s="1382"/>
      <c r="V12" s="328"/>
      <c r="W12" s="328"/>
      <c r="X12" s="328">
        <f t="shared" si="0"/>
        <v>0</v>
      </c>
      <c r="Y12" s="328"/>
      <c r="Z12" s="328">
        <f t="shared" si="1"/>
        <v>0</v>
      </c>
      <c r="AA12" s="1382"/>
      <c r="AB12" s="332">
        <f>IF($C12="",0,IF(ISERROR($F12)=TRUE,1,0))</f>
        <v>0</v>
      </c>
      <c r="AC12" s="1381"/>
      <c r="AD12" s="332">
        <f>IF($C12="",0,IF(ISERROR($H12)=TRUE,1,0))</f>
        <v>0</v>
      </c>
      <c r="AE12" s="332">
        <f>IF($C12="",0,IF(OR(AND(G12="Yes",H12&gt;=0),AND(G12="No",H12&lt;=0),AND(G12="-",H12=0)),0,1))</f>
        <v>0</v>
      </c>
      <c r="AF12" s="1382"/>
      <c r="AG12" s="1383"/>
      <c r="AH12" s="290" t="str">
        <f t="shared" si="5"/>
        <v>[For use by NES and SSC only]</v>
      </c>
      <c r="AI12" s="290" t="str">
        <f t="shared" si="6"/>
        <v/>
      </c>
      <c r="AJ12" s="290" t="str">
        <f t="shared" si="7"/>
        <v/>
      </c>
      <c r="AK12" s="290" t="str">
        <f t="shared" si="8"/>
        <v/>
      </c>
      <c r="AL12" s="1476" t="s">
        <v>148</v>
      </c>
      <c r="AM12" s="1471" t="s">
        <v>149</v>
      </c>
      <c r="AN12" s="1475" t="s">
        <v>150</v>
      </c>
      <c r="AO12" s="1473" t="s">
        <v>151</v>
      </c>
    </row>
    <row r="13" spans="2:41" s="10" customFormat="1" ht="28.15" customHeight="1">
      <c r="B13" s="290" t="str">
        <f>IF($R$1="SSC","Per capita consumption South Staffs region","Per capita consumption")</f>
        <v>Per capita consumption</v>
      </c>
      <c r="C13" s="292" t="str">
        <f>IF($K$3="Select company","",VLOOKUP($R$1,C_PCC,2,0))</f>
        <v>PR19SRN_WR01</v>
      </c>
      <c r="D13" s="292" t="str">
        <f>IF($K$3="Select company","",INDEX(App1bdata,MATCH($C13,App1bIDnrs,0),20))</f>
        <v xml:space="preserve">% </v>
      </c>
      <c r="E13" s="292">
        <f>IF($K$3="Select company","",INDEX(App1bdata,MATCH($C13,App1bIDnrs,0),22))</f>
        <v>1</v>
      </c>
      <c r="F13" s="1868">
        <f>IF($R$1="SSC",'3F.1'!$N$19,'3F'!$N$19)</f>
        <v>-1.2499999999999956</v>
      </c>
      <c r="G13" s="1863" t="s">
        <v>131</v>
      </c>
      <c r="H13" s="1871">
        <f>IF($C13="","",SUM(HLOOKUP($C13,'Model outputs - PC level'!$J$5:$BS$19,12,0),HLOOKUP($C13,'Model outputs - PC level'!$J$5:$BS$19,13,0)))</f>
        <v>0</v>
      </c>
      <c r="I13" s="1864">
        <v>0</v>
      </c>
      <c r="J13" s="36"/>
      <c r="K13" s="294" t="s">
        <v>152</v>
      </c>
      <c r="L13" s="1381"/>
      <c r="M13" s="329">
        <f t="shared" si="3"/>
        <v>0</v>
      </c>
      <c r="N13" s="343">
        <f>IF(OR($AB13=1,$AD13=1),$AD$6,IF($AE13=1,$AD$7,0))</f>
        <v>0</v>
      </c>
      <c r="O13" s="320"/>
      <c r="P13" s="320"/>
      <c r="Q13" s="320"/>
      <c r="R13" s="1381"/>
      <c r="S13" s="265"/>
      <c r="T13" s="1381"/>
      <c r="U13" s="1382"/>
      <c r="V13" s="328"/>
      <c r="W13" s="328"/>
      <c r="X13" s="328">
        <f t="shared" si="0"/>
        <v>0</v>
      </c>
      <c r="Y13" s="328"/>
      <c r="Z13" s="328">
        <f t="shared" si="1"/>
        <v>0</v>
      </c>
      <c r="AA13" s="1382"/>
      <c r="AB13" s="332">
        <f>IF(ISERROR($F13)=TRUE,1,0)</f>
        <v>0</v>
      </c>
      <c r="AC13" s="1381"/>
      <c r="AD13" s="328">
        <f t="shared" si="4"/>
        <v>0</v>
      </c>
      <c r="AE13" s="332">
        <f>IF(OR(AND(G13="Yes",H13&gt;=0),AND(G13="No",H13&lt;=0),AND(G13="-",H13=0)),0,1)</f>
        <v>0</v>
      </c>
      <c r="AF13" s="1382"/>
      <c r="AG13" s="1383"/>
      <c r="AH13" s="290" t="str">
        <f t="shared" si="5"/>
        <v>Per capita consumption</v>
      </c>
      <c r="AI13" s="290" t="str">
        <f t="shared" si="6"/>
        <v>PR19SRN_WR01</v>
      </c>
      <c r="AJ13" s="290" t="str">
        <f t="shared" si="7"/>
        <v xml:space="preserve">% </v>
      </c>
      <c r="AK13" s="290">
        <f t="shared" si="8"/>
        <v>1</v>
      </c>
      <c r="AL13" s="1476" t="s">
        <v>153</v>
      </c>
      <c r="AM13" s="1471" t="s">
        <v>154</v>
      </c>
      <c r="AN13" s="1475" t="s">
        <v>155</v>
      </c>
      <c r="AO13" s="1473" t="s">
        <v>156</v>
      </c>
    </row>
    <row r="14" spans="2:41" s="10" customFormat="1" ht="28.15" customHeight="1">
      <c r="B14" s="290" t="str">
        <f>IF($R$1="SSC","Per capita consumption Cambridge region","[For use by SSC only]")</f>
        <v>[For use by SSC only]</v>
      </c>
      <c r="C14" s="292" t="str">
        <f>IF($R$1="SSC",VLOOKUP($S$1,C_PCC,2,0),"")</f>
        <v/>
      </c>
      <c r="D14" s="292" t="str">
        <f>IF($R$1="SSC",INDEX(App1bdata,MATCH($C14,App1bIDnrs,0),20),"")</f>
        <v/>
      </c>
      <c r="E14" s="292" t="str">
        <f>IF($R$1="SSC",INDEX(App1bdata,MATCH($C14,App1bIDnrs,0),22),"")</f>
        <v/>
      </c>
      <c r="F14" s="1868" t="str">
        <f>IF($R$1="SSC",'3F.2'!$N$19,"")</f>
        <v/>
      </c>
      <c r="G14" s="1863"/>
      <c r="H14" s="1871" t="str">
        <f>IF($C14="","",SUM(HLOOKUP($C14,'Model outputs - PC level'!$J$5:$BS$19,12,0),HLOOKUP($C14,'Model outputs - PC level'!$J$5:$BS$19,13,0)))</f>
        <v/>
      </c>
      <c r="I14" s="1864"/>
      <c r="J14" s="36"/>
      <c r="K14" s="294" t="s">
        <v>152</v>
      </c>
      <c r="L14" s="1381"/>
      <c r="M14" s="329">
        <f>IF($C14="",0,IF(SUM($V14:$Z14)=0,0,$V$6))</f>
        <v>0</v>
      </c>
      <c r="N14" s="343">
        <f>IF($C14="",0,IF(OR($AB14=1,$AD14=1),$AD$6,IF($AE14=1,$AD$7,0)))</f>
        <v>0</v>
      </c>
      <c r="O14" s="320"/>
      <c r="P14" s="320"/>
      <c r="Q14" s="320"/>
      <c r="R14" s="1381"/>
      <c r="S14" s="265"/>
      <c r="T14" s="1381"/>
      <c r="U14" s="1382"/>
      <c r="V14" s="328"/>
      <c r="W14" s="328"/>
      <c r="X14" s="328">
        <f t="shared" si="0"/>
        <v>0</v>
      </c>
      <c r="Y14" s="328"/>
      <c r="Z14" s="328">
        <f t="shared" si="1"/>
        <v>0</v>
      </c>
      <c r="AA14" s="1382"/>
      <c r="AB14" s="332">
        <f>IF($C14="",0,IF(ISERROR($F14)=TRUE,1,0))</f>
        <v>0</v>
      </c>
      <c r="AC14" s="1381"/>
      <c r="AD14" s="332">
        <f>IF($C14="",0,IF(ISERROR($H14)=TRUE,1,0))</f>
        <v>0</v>
      </c>
      <c r="AE14" s="332">
        <f>IF($C14="",0,IF(OR(AND(G14="Yes",H14&gt;=0),AND(G14="No",H14&lt;=0),AND(G14="-",H14=0)),0,1))</f>
        <v>0</v>
      </c>
      <c r="AF14" s="1382"/>
      <c r="AG14" s="1383"/>
      <c r="AH14" s="290" t="str">
        <f t="shared" si="5"/>
        <v>[For use by SSC only]</v>
      </c>
      <c r="AI14" s="290" t="str">
        <f t="shared" si="6"/>
        <v/>
      </c>
      <c r="AJ14" s="290" t="str">
        <f t="shared" si="7"/>
        <v/>
      </c>
      <c r="AK14" s="290" t="str">
        <f t="shared" si="8"/>
        <v/>
      </c>
      <c r="AL14" s="1476" t="s">
        <v>157</v>
      </c>
      <c r="AM14" s="1471" t="s">
        <v>158</v>
      </c>
      <c r="AN14" s="1475" t="s">
        <v>159</v>
      </c>
      <c r="AO14" s="1473" t="s">
        <v>160</v>
      </c>
    </row>
    <row r="15" spans="2:41" s="10" customFormat="1" ht="28.15" customHeight="1">
      <c r="B15" s="290" t="s">
        <v>161</v>
      </c>
      <c r="C15" s="292" t="str">
        <f>IF($K$3="Select company","",VLOOKUP($R$1,C_MRepair,2,0))</f>
        <v>PR19SRN_WN05</v>
      </c>
      <c r="D15" s="292" t="str">
        <f>IF($K$3="Select company","",INDEX(App1bdata,MATCH($C15,App1bIDnrs,0),20))</f>
        <v>number</v>
      </c>
      <c r="E15" s="292">
        <f>IF($K$3="Select company","",INDEX(App1bdata,MATCH($C15,App1bIDnrs,0),22))</f>
        <v>1</v>
      </c>
      <c r="F15" s="1868">
        <f>'3F'!$G$11</f>
        <v>121.09414139100812</v>
      </c>
      <c r="G15" s="1863" t="s">
        <v>131</v>
      </c>
      <c r="H15" s="1871">
        <f>IF($C15="","",SUM(HLOOKUP($C15,'Model outputs - PC level'!$J$5:$BS$19,12,0),HLOOKUP($C15,'Model outputs - PC level'!$J$5:$BS$19,13,0)))</f>
        <v>-1.9907999999999992</v>
      </c>
      <c r="I15" s="1864">
        <v>-11.877600000000005</v>
      </c>
      <c r="J15" s="36"/>
      <c r="K15" s="294" t="s">
        <v>162</v>
      </c>
      <c r="L15" s="1381"/>
      <c r="M15" s="329">
        <f t="shared" si="3"/>
        <v>0</v>
      </c>
      <c r="N15" s="343">
        <f>IF(OR($AB15=1,$AD15=1),$AD$6,IF($AE15=1,$AD$7,0))</f>
        <v>0</v>
      </c>
      <c r="O15" s="333"/>
      <c r="P15" s="320"/>
      <c r="Q15" s="320"/>
      <c r="R15" s="1381"/>
      <c r="S15" s="265"/>
      <c r="T15" s="1381"/>
      <c r="U15" s="1382"/>
      <c r="V15" s="328"/>
      <c r="W15" s="328"/>
      <c r="X15" s="328">
        <f t="shared" si="0"/>
        <v>0</v>
      </c>
      <c r="Y15" s="328"/>
      <c r="Z15" s="328">
        <f t="shared" si="1"/>
        <v>0</v>
      </c>
      <c r="AA15" s="1382"/>
      <c r="AB15" s="332">
        <f>IF(ISERROR($F15)=TRUE,1,0)</f>
        <v>0</v>
      </c>
      <c r="AC15" s="1381"/>
      <c r="AD15" s="328">
        <f t="shared" si="4"/>
        <v>0</v>
      </c>
      <c r="AE15" s="332">
        <f>IF(OR(AND(G15="Yes",H15&gt;=0),AND(G15="No",H15&lt;=0),AND(G15="-",H15=0)),0,1)</f>
        <v>0</v>
      </c>
      <c r="AF15" s="1382"/>
      <c r="AG15" s="1383"/>
      <c r="AH15" s="290" t="str">
        <f t="shared" si="5"/>
        <v>Mains repairs</v>
      </c>
      <c r="AI15" s="290" t="str">
        <f t="shared" si="6"/>
        <v>PR19SRN_WN05</v>
      </c>
      <c r="AJ15" s="290" t="str">
        <f t="shared" si="7"/>
        <v>number</v>
      </c>
      <c r="AK15" s="290">
        <f t="shared" si="8"/>
        <v>1</v>
      </c>
      <c r="AL15" s="1476" t="s">
        <v>163</v>
      </c>
      <c r="AM15" s="1471" t="s">
        <v>164</v>
      </c>
      <c r="AN15" s="1475" t="s">
        <v>165</v>
      </c>
      <c r="AO15" s="1473" t="s">
        <v>166</v>
      </c>
    </row>
    <row r="16" spans="2:41" s="10" customFormat="1" ht="28.15" customHeight="1">
      <c r="B16" s="290" t="s">
        <v>167</v>
      </c>
      <c r="C16" s="292" t="str">
        <f>IF($K$3="Select company","",VLOOKUP($R$1,C_UOutage,2,0))</f>
        <v>PR19SRN_WN06</v>
      </c>
      <c r="D16" s="292" t="str">
        <f>IF($K$3="Select company","",INDEX(App1bdata,MATCH($C16,App1bIDnrs,0),20))</f>
        <v>%</v>
      </c>
      <c r="E16" s="292">
        <f>IF($K$3="Select company","",INDEX(App1bdata,MATCH($C16,App1bIDnrs,0),22))</f>
        <v>2</v>
      </c>
      <c r="F16" s="1869">
        <f>'3F'!$E$31*100</f>
        <v>5.6772736178501049</v>
      </c>
      <c r="G16" s="1863" t="s">
        <v>168</v>
      </c>
      <c r="H16" s="1871">
        <f>IF($C16="","",SUM(HLOOKUP($C16,'Model outputs - PC level'!$J$5:$BS$19,12,0),HLOOKUP($C16,'Model outputs - PC level'!$J$5:$BS$19,13,0)))</f>
        <v>0</v>
      </c>
      <c r="I16" s="1864">
        <v>0</v>
      </c>
      <c r="J16" s="36"/>
      <c r="K16" s="294" t="s">
        <v>169</v>
      </c>
      <c r="L16" s="1381"/>
      <c r="M16" s="329">
        <f t="shared" si="3"/>
        <v>0</v>
      </c>
      <c r="N16" s="343">
        <f>IF(OR($AB16=1,$AD16=1),$AD$6,IF($AE16=1,$AD$7,0))</f>
        <v>0</v>
      </c>
      <c r="O16" s="333"/>
      <c r="P16" s="320"/>
      <c r="Q16" s="320"/>
      <c r="R16" s="1381"/>
      <c r="S16" s="265"/>
      <c r="T16" s="1381"/>
      <c r="U16" s="1382"/>
      <c r="V16" s="328"/>
      <c r="W16" s="328"/>
      <c r="X16" s="328">
        <f t="shared" si="0"/>
        <v>0</v>
      </c>
      <c r="Y16" s="328"/>
      <c r="Z16" s="328">
        <f t="shared" si="1"/>
        <v>0</v>
      </c>
      <c r="AA16" s="1382"/>
      <c r="AB16" s="332">
        <f>IF(ISERROR($F16)=TRUE,1,0)</f>
        <v>0</v>
      </c>
      <c r="AC16" s="1381"/>
      <c r="AD16" s="328">
        <f t="shared" si="4"/>
        <v>0</v>
      </c>
      <c r="AE16" s="332">
        <f>IF(OR(AND(G16="Yes",H16&gt;=0),AND(G16="No",H16&lt;=0),AND(G16="-",H16=0)),0,1)</f>
        <v>0</v>
      </c>
      <c r="AF16" s="1382"/>
      <c r="AG16" s="1383"/>
      <c r="AH16" s="290" t="str">
        <f t="shared" si="5"/>
        <v>Unplanned outage</v>
      </c>
      <c r="AI16" s="290" t="str">
        <f t="shared" si="6"/>
        <v>PR19SRN_WN06</v>
      </c>
      <c r="AJ16" s="290" t="str">
        <f t="shared" si="7"/>
        <v>%</v>
      </c>
      <c r="AK16" s="290">
        <f t="shared" si="8"/>
        <v>2</v>
      </c>
      <c r="AL16" s="1477" t="s">
        <v>170</v>
      </c>
      <c r="AM16" s="1471" t="s">
        <v>171</v>
      </c>
      <c r="AN16" s="1475" t="s">
        <v>172</v>
      </c>
      <c r="AO16" s="1473" t="s">
        <v>173</v>
      </c>
    </row>
    <row r="17" spans="2:41" s="10" customFormat="1" ht="14.25">
      <c r="B17" s="1378"/>
      <c r="C17" s="1378"/>
      <c r="D17" s="1378"/>
      <c r="E17" s="1378"/>
      <c r="F17" s="1378"/>
      <c r="G17" s="1378"/>
      <c r="H17" s="1378"/>
      <c r="I17" s="1378"/>
      <c r="J17" s="1381"/>
      <c r="K17" s="1381"/>
      <c r="L17" s="1381"/>
      <c r="M17" s="1381"/>
      <c r="N17" s="1381"/>
      <c r="O17" s="1383"/>
      <c r="P17" s="1383"/>
      <c r="Q17" s="1383"/>
      <c r="R17" s="1381"/>
      <c r="S17" s="1381"/>
      <c r="T17" s="1381"/>
      <c r="U17" s="1382"/>
      <c r="V17" s="1381" t="s">
        <v>174</v>
      </c>
      <c r="W17" s="1381"/>
      <c r="X17" s="1381"/>
      <c r="Y17" s="1381"/>
      <c r="Z17" s="1381"/>
      <c r="AA17" s="1382"/>
      <c r="AB17" s="1381"/>
      <c r="AC17" s="1381"/>
      <c r="AD17" s="1381"/>
      <c r="AE17" s="1381"/>
      <c r="AF17" s="1382"/>
      <c r="AG17" s="1383"/>
      <c r="AH17" s="1378"/>
      <c r="AI17" s="1378"/>
      <c r="AJ17" s="1378"/>
      <c r="AK17" s="1378"/>
      <c r="AL17" s="1378"/>
      <c r="AM17" s="1378"/>
      <c r="AN17" s="1378"/>
      <c r="AO17" s="1378"/>
    </row>
    <row r="18" spans="2:41" s="10" customFormat="1" ht="16.5" customHeight="1">
      <c r="B18" s="311" t="s">
        <v>175</v>
      </c>
      <c r="C18" s="13"/>
      <c r="D18" s="1378"/>
      <c r="E18" s="1378"/>
      <c r="F18" s="1378"/>
      <c r="G18" s="1378"/>
      <c r="H18" s="1378"/>
      <c r="I18" s="1378"/>
      <c r="J18" s="1381"/>
      <c r="K18" s="1381"/>
      <c r="L18" s="1381"/>
      <c r="M18" s="1381"/>
      <c r="N18" s="1381"/>
      <c r="O18" s="1383"/>
      <c r="P18" s="1383"/>
      <c r="Q18" s="1383"/>
      <c r="R18" s="1381"/>
      <c r="S18" s="1381"/>
      <c r="T18" s="1381"/>
      <c r="U18" s="1382"/>
      <c r="V18" s="327">
        <v>3</v>
      </c>
      <c r="W18" s="327">
        <v>4</v>
      </c>
      <c r="X18" s="327">
        <v>5</v>
      </c>
      <c r="Y18" s="327">
        <v>6</v>
      </c>
      <c r="Z18" s="327">
        <v>7</v>
      </c>
      <c r="AA18" s="331"/>
      <c r="AB18" s="327">
        <v>4</v>
      </c>
      <c r="AC18" s="327">
        <v>5</v>
      </c>
      <c r="AD18" s="327">
        <v>6</v>
      </c>
      <c r="AE18" s="327">
        <v>6</v>
      </c>
      <c r="AF18" s="1382"/>
      <c r="AG18" s="1383"/>
      <c r="AH18" s="311" t="s">
        <v>175</v>
      </c>
      <c r="AI18" s="13"/>
      <c r="AJ18" s="1378"/>
      <c r="AK18" s="1378"/>
      <c r="AL18" s="1378"/>
      <c r="AM18" s="1378"/>
      <c r="AN18" s="1378"/>
      <c r="AO18" s="1378"/>
    </row>
    <row r="19" spans="2:41" s="17" customFormat="1" ht="28.15" customHeight="1">
      <c r="B19" s="293" t="str">
        <f t="shared" ref="B19:B38" si="9">IF($K$3="Select company","",IF($C19="","",INDEX(App1data,MATCH($C19,App1IDnrs,0),5)))</f>
        <v>Drinking water appearance</v>
      </c>
      <c r="C19" s="295" t="str">
        <f>IF($K$3="Select company","",IF(HLOOKUP($R$1,BW_FIN_All,'PC lists'!$B33,0)="","",HLOOKUP($R$1,BW_FIN_All,'PC lists'!$B33,0)))</f>
        <v>PR19SRN_WN07</v>
      </c>
      <c r="D19" s="295" t="str">
        <f t="shared" ref="D19:D38" si="10">IF($C19="","",INDEX(App1data,MATCH($C19,App1IDnrs,0),20))</f>
        <v>nr</v>
      </c>
      <c r="E19" s="295">
        <f t="shared" ref="E19:E38" si="11">IF($C19="","",INDEX(App1data,MATCH($C19,App1IDnrs,0),22))</f>
        <v>2</v>
      </c>
      <c r="F19" s="1863">
        <v>1</v>
      </c>
      <c r="G19" s="1863" t="s">
        <v>131</v>
      </c>
      <c r="H19" s="1871">
        <f>IF($C19="","",SUM(HLOOKUP($C19,'Model outputs - PC level'!$J$5:$BS$19,12,0),HLOOKUP($C19,'Model outputs - PC level'!$J$5:$BS$19,13,0)))</f>
        <v>-2.0789999999999997</v>
      </c>
      <c r="I19" s="1866">
        <v>-7.0705164346411165</v>
      </c>
      <c r="K19" s="294" t="s">
        <v>176</v>
      </c>
      <c r="M19" s="329">
        <f t="shared" ref="M19:M38" si="12">IF(SUM($V19:$Z19)=0,0,$V$6)</f>
        <v>0</v>
      </c>
      <c r="N19" s="343">
        <f>IF($AD19=1,$AD$6,IF($AE19=1,$AD$7,0))</f>
        <v>0</v>
      </c>
      <c r="O19" s="320"/>
      <c r="P19" s="320"/>
      <c r="Q19" s="320"/>
      <c r="R19" s="326"/>
      <c r="S19" s="326"/>
      <c r="U19" s="323"/>
      <c r="V19" s="328"/>
      <c r="W19" s="328">
        <f t="shared" ref="W19:W38" si="13">IF($C19="",0,IF(ISBLANK($F19)=TRUE,1,0))</f>
        <v>0</v>
      </c>
      <c r="X19" s="328">
        <f t="shared" ref="X19:X38" si="14">IF($C19="",0,IF(ISBLANK($G19)=TRUE,1,0))</f>
        <v>0</v>
      </c>
      <c r="Y19" s="328"/>
      <c r="Z19" s="328">
        <f t="shared" ref="Z19:Z38" si="15">IF($C19="",0,IF(ISBLANK($I19)=TRUE,1,0))</f>
        <v>0</v>
      </c>
      <c r="AA19" s="323"/>
      <c r="AD19" s="332">
        <f t="shared" ref="AD19:AD38" si="16">IF($C19="",0,IF(ISERROR($H19)=TRUE,1,0))</f>
        <v>0</v>
      </c>
      <c r="AE19" s="332">
        <f>IF($C19="",0,IF(OR(AND(G19="Yes",H19&gt;=0),AND(G19="No",H19&lt;=0),AND(G19="-",H19=0)),0,1))</f>
        <v>0</v>
      </c>
      <c r="AF19" s="323"/>
      <c r="AG19" s="325"/>
      <c r="AH19" s="293" t="str">
        <f>B19</f>
        <v>Drinking water appearance</v>
      </c>
      <c r="AI19" s="293" t="str">
        <f t="shared" ref="AI19:AK19" si="17">C19</f>
        <v>PR19SRN_WN07</v>
      </c>
      <c r="AJ19" s="293" t="str">
        <f t="shared" si="17"/>
        <v>nr</v>
      </c>
      <c r="AK19" s="293">
        <f t="shared" si="17"/>
        <v>2</v>
      </c>
      <c r="AL19" s="1471" t="s">
        <v>177</v>
      </c>
      <c r="AM19" s="1471" t="s">
        <v>178</v>
      </c>
      <c r="AN19" s="1475" t="s">
        <v>179</v>
      </c>
      <c r="AO19" s="1478" t="s">
        <v>180</v>
      </c>
    </row>
    <row r="20" spans="2:41" s="17" customFormat="1" ht="28.15" customHeight="1">
      <c r="B20" s="290" t="str">
        <f t="shared" si="9"/>
        <v>Drinking water taste and Odour</v>
      </c>
      <c r="C20" s="295" t="str">
        <f>IF($K$3="Select company","",IF(HLOOKUP($R$1,BW_FIN_All,'PC lists'!$B34,0)="","",HLOOKUP($R$1,BW_FIN_All,'PC lists'!$B34,0)))</f>
        <v>PR19SRN_WN08</v>
      </c>
      <c r="D20" s="295" t="str">
        <f t="shared" si="10"/>
        <v>nr</v>
      </c>
      <c r="E20" s="295">
        <f t="shared" si="11"/>
        <v>2</v>
      </c>
      <c r="F20" s="1863">
        <v>0.24</v>
      </c>
      <c r="G20" s="1863" t="s">
        <v>131</v>
      </c>
      <c r="H20" s="1871">
        <f>IF($C20="","",SUM(HLOOKUP($C20,'Model outputs - PC level'!$J$5:$BS$19,12,0),HLOOKUP($C20,'Model outputs - PC level'!$J$5:$BS$19,13,0)))</f>
        <v>-9.2399999999999954E-2</v>
      </c>
      <c r="I20" s="1864">
        <v>-0.36960000000027388</v>
      </c>
      <c r="K20" s="294" t="s">
        <v>181</v>
      </c>
      <c r="M20" s="329">
        <f t="shared" si="12"/>
        <v>0</v>
      </c>
      <c r="N20" s="343">
        <f t="shared" ref="N20:N38" si="18">IF($AD20=1,$AD$6,IF($AE20=1,$AD$7,0))</f>
        <v>0</v>
      </c>
      <c r="O20" s="320"/>
      <c r="P20" s="320"/>
      <c r="Q20" s="320"/>
      <c r="S20" s="271"/>
      <c r="U20" s="323"/>
      <c r="V20" s="328"/>
      <c r="W20" s="328">
        <f t="shared" si="13"/>
        <v>0</v>
      </c>
      <c r="X20" s="328">
        <f t="shared" si="14"/>
        <v>0</v>
      </c>
      <c r="Y20" s="328"/>
      <c r="Z20" s="328">
        <f t="shared" si="15"/>
        <v>0</v>
      </c>
      <c r="AA20" s="323"/>
      <c r="AD20" s="332">
        <f t="shared" si="16"/>
        <v>0</v>
      </c>
      <c r="AE20" s="332">
        <f t="shared" ref="AE20:AE38" si="19">IF($C20="",0,IF(OR(AND(G20="Yes",H20&gt;=0),AND(G20="No",H20&lt;=0),AND(G20="-",H20=0)),0,1))</f>
        <v>0</v>
      </c>
      <c r="AF20" s="323"/>
      <c r="AG20" s="325"/>
      <c r="AH20" s="293" t="str">
        <f t="shared" ref="AH20:AH38" si="20">B20</f>
        <v>Drinking water taste and Odour</v>
      </c>
      <c r="AI20" s="293" t="str">
        <f t="shared" ref="AI20:AI38" si="21">C20</f>
        <v>PR19SRN_WN08</v>
      </c>
      <c r="AJ20" s="293" t="str">
        <f t="shared" ref="AJ20:AJ38" si="22">D20</f>
        <v>nr</v>
      </c>
      <c r="AK20" s="293">
        <f t="shared" ref="AK20:AK38" si="23">E20</f>
        <v>2</v>
      </c>
      <c r="AL20" s="1471" t="s">
        <v>182</v>
      </c>
      <c r="AM20" s="1471" t="s">
        <v>183</v>
      </c>
      <c r="AN20" s="1475" t="s">
        <v>184</v>
      </c>
      <c r="AO20" s="1473" t="s">
        <v>185</v>
      </c>
    </row>
    <row r="21" spans="2:41" s="17" customFormat="1" ht="28.15" customHeight="1">
      <c r="B21" s="290" t="str">
        <f t="shared" si="9"/>
        <v>Abstraction Incentive Mechanism</v>
      </c>
      <c r="C21" s="295" t="str">
        <f>IF($K$3="Select company","",IF(HLOOKUP($R$1,BW_FIN_All,'PC lists'!$B35,0)="","",HLOOKUP($R$1,BW_FIN_All,'PC lists'!$B35,0)))</f>
        <v>PR19SRN_WR05</v>
      </c>
      <c r="D21" s="295" t="str">
        <f t="shared" si="10"/>
        <v>nr</v>
      </c>
      <c r="E21" s="295">
        <f t="shared" si="11"/>
        <v>0</v>
      </c>
      <c r="F21" s="1865">
        <v>-19</v>
      </c>
      <c r="G21" s="1863" t="s">
        <v>168</v>
      </c>
      <c r="H21" s="1871">
        <f>IF($C21="","",SUM(HLOOKUP($C21,'Model outputs - PC level'!$J$5:$BS$19,12,0),HLOOKUP($C21,'Model outputs - PC level'!$J$5:$BS$19,13,0)))</f>
        <v>0.51100000000000001</v>
      </c>
      <c r="I21" s="1864">
        <v>0.89900000000000002</v>
      </c>
      <c r="K21" s="294" t="s">
        <v>186</v>
      </c>
      <c r="M21" s="329">
        <f t="shared" si="12"/>
        <v>0</v>
      </c>
      <c r="N21" s="343">
        <f t="shared" si="18"/>
        <v>0</v>
      </c>
      <c r="O21" s="320"/>
      <c r="P21" s="320"/>
      <c r="Q21" s="320"/>
      <c r="U21" s="323"/>
      <c r="V21" s="328"/>
      <c r="W21" s="328">
        <f t="shared" si="13"/>
        <v>0</v>
      </c>
      <c r="X21" s="328">
        <f t="shared" si="14"/>
        <v>0</v>
      </c>
      <c r="Y21" s="328"/>
      <c r="Z21" s="328">
        <f t="shared" si="15"/>
        <v>0</v>
      </c>
      <c r="AA21" s="323"/>
      <c r="AD21" s="332">
        <f t="shared" si="16"/>
        <v>0</v>
      </c>
      <c r="AE21" s="332">
        <f t="shared" si="19"/>
        <v>0</v>
      </c>
      <c r="AF21" s="323"/>
      <c r="AG21" s="325"/>
      <c r="AH21" s="293" t="str">
        <f t="shared" si="20"/>
        <v>Abstraction Incentive Mechanism</v>
      </c>
      <c r="AI21" s="293" t="str">
        <f t="shared" si="21"/>
        <v>PR19SRN_WR05</v>
      </c>
      <c r="AJ21" s="293" t="str">
        <f t="shared" si="22"/>
        <v>nr</v>
      </c>
      <c r="AK21" s="293">
        <f t="shared" si="23"/>
        <v>0</v>
      </c>
      <c r="AL21" s="1479" t="s">
        <v>187</v>
      </c>
      <c r="AM21" s="1471" t="s">
        <v>188</v>
      </c>
      <c r="AN21" s="1475" t="s">
        <v>189</v>
      </c>
      <c r="AO21" s="1473" t="s">
        <v>190</v>
      </c>
    </row>
    <row r="22" spans="2:41" s="17" customFormat="1" ht="28.15" customHeight="1">
      <c r="B22" s="290" t="str">
        <f t="shared" si="9"/>
        <v>Access to daily water consumption data</v>
      </c>
      <c r="C22" s="295" t="str">
        <f>IF($K$3="Select company","",IF(HLOOKUP($R$1,BW_FIN_All,'PC lists'!$B36,0)="","",HLOOKUP($R$1,BW_FIN_All,'PC lists'!$B36,0)))</f>
        <v>PR19SRN_RR02</v>
      </c>
      <c r="D22" s="295" t="str">
        <f t="shared" si="10"/>
        <v>nr</v>
      </c>
      <c r="E22" s="295">
        <f t="shared" si="11"/>
        <v>0</v>
      </c>
      <c r="F22" s="1863">
        <v>0</v>
      </c>
      <c r="G22" s="1863" t="s">
        <v>131</v>
      </c>
      <c r="H22" s="1871">
        <f>IF($C22="","",SUM(HLOOKUP($C22,'Model outputs - PC level'!$J$5:$BS$19,12,0),HLOOKUP($C22,'Model outputs - PC level'!$J$5:$BS$19,13,0)))</f>
        <v>0</v>
      </c>
      <c r="I22" s="1864">
        <v>0</v>
      </c>
      <c r="K22" s="294" t="s">
        <v>191</v>
      </c>
      <c r="M22" s="329">
        <f t="shared" si="12"/>
        <v>0</v>
      </c>
      <c r="N22" s="343">
        <f t="shared" si="18"/>
        <v>0</v>
      </c>
      <c r="O22" s="320"/>
      <c r="P22" s="320"/>
      <c r="Q22" s="320"/>
      <c r="U22" s="323"/>
      <c r="V22" s="328"/>
      <c r="W22" s="328">
        <f t="shared" si="13"/>
        <v>0</v>
      </c>
      <c r="X22" s="328">
        <f t="shared" si="14"/>
        <v>0</v>
      </c>
      <c r="Y22" s="328"/>
      <c r="Z22" s="328">
        <f t="shared" si="15"/>
        <v>0</v>
      </c>
      <c r="AA22" s="323"/>
      <c r="AD22" s="332">
        <f t="shared" si="16"/>
        <v>0</v>
      </c>
      <c r="AE22" s="332">
        <f t="shared" si="19"/>
        <v>0</v>
      </c>
      <c r="AF22" s="323"/>
      <c r="AG22" s="325"/>
      <c r="AH22" s="293" t="str">
        <f t="shared" si="20"/>
        <v>Access to daily water consumption data</v>
      </c>
      <c r="AI22" s="293" t="str">
        <f t="shared" si="21"/>
        <v>PR19SRN_RR02</v>
      </c>
      <c r="AJ22" s="293" t="str">
        <f t="shared" si="22"/>
        <v>nr</v>
      </c>
      <c r="AK22" s="293">
        <f t="shared" si="23"/>
        <v>0</v>
      </c>
      <c r="AL22" s="1471" t="s">
        <v>192</v>
      </c>
      <c r="AM22" s="1471" t="s">
        <v>193</v>
      </c>
      <c r="AN22" s="1475" t="s">
        <v>194</v>
      </c>
      <c r="AO22" s="1473" t="s">
        <v>195</v>
      </c>
    </row>
    <row r="23" spans="2:41" s="17" customFormat="1" ht="28.15" customHeight="1">
      <c r="B23" s="290" t="str">
        <f t="shared" si="9"/>
        <v>Void properties</v>
      </c>
      <c r="C23" s="295" t="str">
        <f>IF($K$3="Select company","",IF(HLOOKUP($R$1,BW_FIN_All,'PC lists'!$B37,0)="","",HLOOKUP($R$1,BW_FIN_All,'PC lists'!$B37,0)))</f>
        <v>PR19SRN_RR03</v>
      </c>
      <c r="D23" s="295" t="str">
        <f t="shared" si="10"/>
        <v>%</v>
      </c>
      <c r="E23" s="295">
        <f t="shared" si="11"/>
        <v>2</v>
      </c>
      <c r="F23" s="1863">
        <v>2.97</v>
      </c>
      <c r="G23" s="1863" t="s">
        <v>131</v>
      </c>
      <c r="H23" s="1871">
        <f>IF($C23="","",SUM(HLOOKUP($C23,'Model outputs - PC level'!$J$5:$BS$19,12,0),HLOOKUP($C23,'Model outputs - PC level'!$J$5:$BS$19,13,0)))</f>
        <v>-0.6</v>
      </c>
      <c r="I23" s="1864">
        <v>-2.9999999999999996</v>
      </c>
      <c r="K23" s="294" t="s">
        <v>196</v>
      </c>
      <c r="M23" s="329">
        <f t="shared" si="12"/>
        <v>0</v>
      </c>
      <c r="N23" s="343">
        <f t="shared" si="18"/>
        <v>0</v>
      </c>
      <c r="O23" s="320"/>
      <c r="P23" s="320"/>
      <c r="Q23" s="320"/>
      <c r="U23" s="323"/>
      <c r="V23" s="328"/>
      <c r="W23" s="328">
        <f t="shared" si="13"/>
        <v>0</v>
      </c>
      <c r="X23" s="328">
        <f t="shared" si="14"/>
        <v>0</v>
      </c>
      <c r="Y23" s="328"/>
      <c r="Z23" s="328">
        <f t="shared" si="15"/>
        <v>0</v>
      </c>
      <c r="AA23" s="323"/>
      <c r="AD23" s="332">
        <f t="shared" si="16"/>
        <v>0</v>
      </c>
      <c r="AE23" s="332">
        <f t="shared" si="19"/>
        <v>0</v>
      </c>
      <c r="AF23" s="323"/>
      <c r="AG23" s="325"/>
      <c r="AH23" s="293" t="str">
        <f t="shared" si="20"/>
        <v>Void properties</v>
      </c>
      <c r="AI23" s="293" t="str">
        <f t="shared" si="21"/>
        <v>PR19SRN_RR03</v>
      </c>
      <c r="AJ23" s="293" t="str">
        <f t="shared" si="22"/>
        <v>%</v>
      </c>
      <c r="AK23" s="293">
        <f t="shared" si="23"/>
        <v>2</v>
      </c>
      <c r="AL23" s="1471" t="s">
        <v>197</v>
      </c>
      <c r="AM23" s="1471" t="s">
        <v>198</v>
      </c>
      <c r="AN23" s="1475" t="s">
        <v>199</v>
      </c>
      <c r="AO23" s="1473" t="s">
        <v>200</v>
      </c>
    </row>
    <row r="24" spans="2:41" s="17" customFormat="1" ht="28.15" customHeight="1">
      <c r="B24" s="290" t="str">
        <f t="shared" si="9"/>
        <v>Replace lead customer pipes</v>
      </c>
      <c r="C24" s="295" t="str">
        <f>IF($K$3="Select company","",IF(HLOOKUP($R$1,BW_FIN_All,'PC lists'!$B38,0)="","",HLOOKUP($R$1,BW_FIN_All,'PC lists'!$B38,0)))</f>
        <v>PR19SRN_WN09</v>
      </c>
      <c r="D24" s="295" t="str">
        <f t="shared" si="10"/>
        <v>nr</v>
      </c>
      <c r="E24" s="295">
        <f t="shared" si="11"/>
        <v>0</v>
      </c>
      <c r="F24" s="1863">
        <v>0</v>
      </c>
      <c r="G24" s="1863" t="s">
        <v>131</v>
      </c>
      <c r="H24" s="1871">
        <f>IF($C24="","",SUM(HLOOKUP($C24,'Model outputs - PC level'!$J$5:$BS$19,12,0),HLOOKUP($C24,'Model outputs - PC level'!$J$5:$BS$19,13,0)))</f>
        <v>0</v>
      </c>
      <c r="I24" s="1864">
        <v>0</v>
      </c>
      <c r="K24" s="294" t="s">
        <v>201</v>
      </c>
      <c r="M24" s="329">
        <f t="shared" si="12"/>
        <v>0</v>
      </c>
      <c r="N24" s="343">
        <f t="shared" si="18"/>
        <v>0</v>
      </c>
      <c r="O24" s="320"/>
      <c r="P24" s="320"/>
      <c r="Q24" s="320"/>
      <c r="U24" s="323"/>
      <c r="V24" s="328"/>
      <c r="W24" s="328">
        <f t="shared" si="13"/>
        <v>0</v>
      </c>
      <c r="X24" s="328">
        <f t="shared" si="14"/>
        <v>0</v>
      </c>
      <c r="Y24" s="328"/>
      <c r="Z24" s="328">
        <f t="shared" si="15"/>
        <v>0</v>
      </c>
      <c r="AA24" s="323"/>
      <c r="AD24" s="332">
        <f t="shared" si="16"/>
        <v>0</v>
      </c>
      <c r="AE24" s="332">
        <f t="shared" si="19"/>
        <v>0</v>
      </c>
      <c r="AF24" s="323"/>
      <c r="AG24" s="325"/>
      <c r="AH24" s="293" t="str">
        <f t="shared" si="20"/>
        <v>Replace lead customer pipes</v>
      </c>
      <c r="AI24" s="293" t="str">
        <f t="shared" si="21"/>
        <v>PR19SRN_WN09</v>
      </c>
      <c r="AJ24" s="293" t="str">
        <f t="shared" si="22"/>
        <v>nr</v>
      </c>
      <c r="AK24" s="293">
        <f t="shared" si="23"/>
        <v>0</v>
      </c>
      <c r="AL24" s="1471" t="s">
        <v>202</v>
      </c>
      <c r="AM24" s="1471" t="s">
        <v>203</v>
      </c>
      <c r="AN24" s="1475" t="s">
        <v>204</v>
      </c>
      <c r="AO24" s="1473" t="s">
        <v>205</v>
      </c>
    </row>
    <row r="25" spans="2:41" s="17" customFormat="1" ht="28.15" customHeight="1">
      <c r="B25" s="290" t="str">
        <f t="shared" si="9"/>
        <v>Properties at risk of receiving low pressure</v>
      </c>
      <c r="C25" s="295" t="str">
        <f>IF($K$3="Select company","",IF(HLOOKUP($R$1,BW_FIN_All,'PC lists'!$B39,0)="","",HLOOKUP($R$1,BW_FIN_All,'PC lists'!$B39,0)))</f>
        <v>PR19SRN_WN11</v>
      </c>
      <c r="D25" s="295" t="str">
        <f t="shared" si="10"/>
        <v>nr</v>
      </c>
      <c r="E25" s="295">
        <f t="shared" si="11"/>
        <v>0</v>
      </c>
      <c r="F25" s="1863">
        <v>173</v>
      </c>
      <c r="G25" s="1863" t="s">
        <v>168</v>
      </c>
      <c r="H25" s="1871">
        <f>IF($C25="","",SUM(HLOOKUP($C25,'Model outputs - PC level'!$J$5:$BS$19,12,0),HLOOKUP($C25,'Model outputs - PC level'!$J$5:$BS$19,13,0)))</f>
        <v>0</v>
      </c>
      <c r="I25" s="1864">
        <v>-0.24255999999998984</v>
      </c>
      <c r="K25" s="294" t="s">
        <v>206</v>
      </c>
      <c r="M25" s="329">
        <f t="shared" si="12"/>
        <v>0</v>
      </c>
      <c r="N25" s="343">
        <f t="shared" si="18"/>
        <v>0</v>
      </c>
      <c r="O25" s="320"/>
      <c r="P25" s="320"/>
      <c r="Q25" s="320"/>
      <c r="U25" s="323"/>
      <c r="V25" s="328"/>
      <c r="W25" s="328">
        <f t="shared" si="13"/>
        <v>0</v>
      </c>
      <c r="X25" s="328">
        <f t="shared" si="14"/>
        <v>0</v>
      </c>
      <c r="Y25" s="328"/>
      <c r="Z25" s="328">
        <f t="shared" si="15"/>
        <v>0</v>
      </c>
      <c r="AA25" s="323"/>
      <c r="AD25" s="332">
        <f t="shared" si="16"/>
        <v>0</v>
      </c>
      <c r="AE25" s="332">
        <f t="shared" si="19"/>
        <v>0</v>
      </c>
      <c r="AF25" s="323"/>
      <c r="AG25" s="325"/>
      <c r="AH25" s="293" t="str">
        <f t="shared" si="20"/>
        <v>Properties at risk of receiving low pressure</v>
      </c>
      <c r="AI25" s="293" t="str">
        <f t="shared" si="21"/>
        <v>PR19SRN_WN11</v>
      </c>
      <c r="AJ25" s="293" t="str">
        <f t="shared" si="22"/>
        <v>nr</v>
      </c>
      <c r="AK25" s="293">
        <f t="shared" si="23"/>
        <v>0</v>
      </c>
      <c r="AL25" s="1471" t="s">
        <v>207</v>
      </c>
      <c r="AM25" s="1471" t="s">
        <v>208</v>
      </c>
      <c r="AN25" s="1475" t="s">
        <v>209</v>
      </c>
      <c r="AO25" s="1473" t="s">
        <v>210</v>
      </c>
    </row>
    <row r="26" spans="2:41" s="17" customFormat="1" ht="28.15" customHeight="1">
      <c r="B26" s="290" t="str">
        <f t="shared" si="9"/>
        <v>Long term supply demand schemes</v>
      </c>
      <c r="C26" s="295" t="str">
        <f>IF($K$3="Select company","",IF(HLOOKUP($R$1,BW_FIN_All,'PC lists'!$B40,0)="","",HLOOKUP($R$1,BW_FIN_All,'PC lists'!$B40,0)))</f>
        <v>PR19SRN_WN13</v>
      </c>
      <c r="D26" s="295" t="str">
        <f t="shared" si="10"/>
        <v>months</v>
      </c>
      <c r="E26" s="295">
        <f t="shared" si="11"/>
        <v>0</v>
      </c>
      <c r="F26" s="1863">
        <v>51</v>
      </c>
      <c r="G26" s="1863" t="s">
        <v>211</v>
      </c>
      <c r="H26" s="1871">
        <f>IF($C26="","",SUM(HLOOKUP($C26,'Model outputs - PC level'!$J$5:$BS$19,12,0),HLOOKUP($C26,'Model outputs - PC level'!$J$5:$BS$19,13,0)))</f>
        <v>0</v>
      </c>
      <c r="I26" s="1864">
        <v>0</v>
      </c>
      <c r="K26" s="294" t="s">
        <v>212</v>
      </c>
      <c r="M26" s="329">
        <f t="shared" si="12"/>
        <v>0</v>
      </c>
      <c r="N26" s="343">
        <f t="shared" si="18"/>
        <v>0</v>
      </c>
      <c r="O26" s="320"/>
      <c r="P26" s="320"/>
      <c r="Q26" s="320"/>
      <c r="U26" s="323"/>
      <c r="V26" s="328"/>
      <c r="W26" s="328">
        <f t="shared" si="13"/>
        <v>0</v>
      </c>
      <c r="X26" s="328">
        <f t="shared" si="14"/>
        <v>0</v>
      </c>
      <c r="Y26" s="328"/>
      <c r="Z26" s="328">
        <f t="shared" si="15"/>
        <v>0</v>
      </c>
      <c r="AA26" s="323"/>
      <c r="AD26" s="332">
        <f t="shared" si="16"/>
        <v>0</v>
      </c>
      <c r="AE26" s="332">
        <f t="shared" si="19"/>
        <v>0</v>
      </c>
      <c r="AF26" s="323"/>
      <c r="AG26" s="325"/>
      <c r="AH26" s="293" t="str">
        <f t="shared" si="20"/>
        <v>Long term supply demand schemes</v>
      </c>
      <c r="AI26" s="293" t="str">
        <f t="shared" si="21"/>
        <v>PR19SRN_WN13</v>
      </c>
      <c r="AJ26" s="293" t="str">
        <f t="shared" si="22"/>
        <v>months</v>
      </c>
      <c r="AK26" s="293">
        <f t="shared" si="23"/>
        <v>0</v>
      </c>
      <c r="AL26" s="1471" t="s">
        <v>213</v>
      </c>
      <c r="AM26" s="1471" t="s">
        <v>214</v>
      </c>
      <c r="AN26" s="1475" t="s">
        <v>215</v>
      </c>
      <c r="AO26" s="1473" t="s">
        <v>216</v>
      </c>
    </row>
    <row r="27" spans="2:41" s="17" customFormat="1" ht="28.15" customHeight="1">
      <c r="B27" s="290" t="str">
        <f t="shared" si="9"/>
        <v>Impounding reservoirs</v>
      </c>
      <c r="C27" s="295" t="str">
        <f>IF($K$3="Select company","",IF(HLOOKUP($R$1,BW_FIN_All,'PC lists'!$B41,0)="","",HLOOKUP($R$1,BW_FIN_All,'PC lists'!$B41,0)))</f>
        <v>PR19SRN_WR07</v>
      </c>
      <c r="D27" s="295" t="str">
        <f t="shared" si="10"/>
        <v>%</v>
      </c>
      <c r="E27" s="295">
        <f t="shared" si="11"/>
        <v>1</v>
      </c>
      <c r="F27" s="1865">
        <v>0</v>
      </c>
      <c r="G27" s="1863" t="s">
        <v>131</v>
      </c>
      <c r="H27" s="1871">
        <f>IF($C27="","",SUM(HLOOKUP($C27,'Model outputs - PC level'!$J$5:$BS$19,12,0),HLOOKUP($C27,'Model outputs - PC level'!$J$5:$BS$19,13,0)))</f>
        <v>-0.32354399999999994</v>
      </c>
      <c r="I27" s="1864">
        <v>-3.8100879999999999</v>
      </c>
      <c r="K27" s="294" t="s">
        <v>217</v>
      </c>
      <c r="M27" s="329">
        <f t="shared" si="12"/>
        <v>0</v>
      </c>
      <c r="N27" s="343">
        <f t="shared" si="18"/>
        <v>0</v>
      </c>
      <c r="O27" s="320"/>
      <c r="P27" s="320"/>
      <c r="Q27" s="320"/>
      <c r="U27" s="323"/>
      <c r="V27" s="328"/>
      <c r="W27" s="328">
        <f t="shared" si="13"/>
        <v>0</v>
      </c>
      <c r="X27" s="328">
        <f t="shared" si="14"/>
        <v>0</v>
      </c>
      <c r="Y27" s="328"/>
      <c r="Z27" s="328">
        <f t="shared" si="15"/>
        <v>0</v>
      </c>
      <c r="AA27" s="323"/>
      <c r="AD27" s="332">
        <f t="shared" si="16"/>
        <v>0</v>
      </c>
      <c r="AE27" s="332">
        <f t="shared" si="19"/>
        <v>0</v>
      </c>
      <c r="AF27" s="323"/>
      <c r="AG27" s="325"/>
      <c r="AH27" s="293" t="str">
        <f t="shared" si="20"/>
        <v>Impounding reservoirs</v>
      </c>
      <c r="AI27" s="293" t="str">
        <f t="shared" si="21"/>
        <v>PR19SRN_WR07</v>
      </c>
      <c r="AJ27" s="293" t="str">
        <f t="shared" si="22"/>
        <v>%</v>
      </c>
      <c r="AK27" s="293">
        <f t="shared" si="23"/>
        <v>1</v>
      </c>
      <c r="AL27" s="1479" t="s">
        <v>218</v>
      </c>
      <c r="AM27" s="1471" t="s">
        <v>219</v>
      </c>
      <c r="AN27" s="1475" t="s">
        <v>220</v>
      </c>
      <c r="AO27" s="1473" t="s">
        <v>221</v>
      </c>
    </row>
    <row r="28" spans="2:41" s="17" customFormat="1" ht="28.15" customHeight="1">
      <c r="B28" s="290" t="str">
        <f t="shared" si="9"/>
        <v/>
      </c>
      <c r="C28" s="295" t="str">
        <f>IF($K$3="Select company","",IF(HLOOKUP($R$1,BW_FIN_All,'PC lists'!$B42,0)="","",HLOOKUP($R$1,BW_FIN_All,'PC lists'!$B42,0)))</f>
        <v/>
      </c>
      <c r="D28" s="295" t="str">
        <f t="shared" si="10"/>
        <v/>
      </c>
      <c r="E28" s="295" t="str">
        <f t="shared" si="11"/>
        <v/>
      </c>
      <c r="F28" s="1863"/>
      <c r="G28" s="1863"/>
      <c r="H28" s="1871" t="str">
        <f>IF($C28="","",SUM(HLOOKUP($C28,'Model outputs - PC level'!$J$5:$BS$19,12,0),HLOOKUP($C28,'Model outputs - PC level'!$J$5:$BS$19,13,0)))</f>
        <v/>
      </c>
      <c r="I28" s="1864"/>
      <c r="K28" s="294" t="s">
        <v>222</v>
      </c>
      <c r="M28" s="329">
        <f t="shared" si="12"/>
        <v>0</v>
      </c>
      <c r="N28" s="343">
        <f t="shared" si="18"/>
        <v>0</v>
      </c>
      <c r="O28" s="320"/>
      <c r="P28" s="320"/>
      <c r="Q28" s="320"/>
      <c r="U28" s="323"/>
      <c r="V28" s="328"/>
      <c r="W28" s="328">
        <f t="shared" si="13"/>
        <v>0</v>
      </c>
      <c r="X28" s="328">
        <f t="shared" si="14"/>
        <v>0</v>
      </c>
      <c r="Y28" s="328"/>
      <c r="Z28" s="328">
        <f t="shared" si="15"/>
        <v>0</v>
      </c>
      <c r="AA28" s="323"/>
      <c r="AD28" s="332">
        <f t="shared" si="16"/>
        <v>0</v>
      </c>
      <c r="AE28" s="332">
        <f t="shared" si="19"/>
        <v>0</v>
      </c>
      <c r="AF28" s="323"/>
      <c r="AG28" s="325"/>
      <c r="AH28" s="293" t="str">
        <f t="shared" si="20"/>
        <v/>
      </c>
      <c r="AI28" s="293" t="str">
        <f t="shared" si="21"/>
        <v/>
      </c>
      <c r="AJ28" s="293" t="str">
        <f t="shared" si="22"/>
        <v/>
      </c>
      <c r="AK28" s="293" t="str">
        <f t="shared" si="23"/>
        <v/>
      </c>
      <c r="AL28" s="1471" t="s">
        <v>223</v>
      </c>
      <c r="AM28" s="1471" t="s">
        <v>224</v>
      </c>
      <c r="AN28" s="1475" t="s">
        <v>225</v>
      </c>
      <c r="AO28" s="1473" t="s">
        <v>226</v>
      </c>
    </row>
    <row r="29" spans="2:41" s="17" customFormat="1" ht="28.15" customHeight="1">
      <c r="B29" s="290" t="str">
        <f t="shared" si="9"/>
        <v/>
      </c>
      <c r="C29" s="295" t="str">
        <f>IF($K$3="Select company","",IF(HLOOKUP($R$1,BW_FIN_All,'PC lists'!$B43,0)="","",HLOOKUP($R$1,BW_FIN_All,'PC lists'!$B43,0)))</f>
        <v/>
      </c>
      <c r="D29" s="295" t="str">
        <f t="shared" si="10"/>
        <v/>
      </c>
      <c r="E29" s="295" t="str">
        <f t="shared" si="11"/>
        <v/>
      </c>
      <c r="F29" s="1863"/>
      <c r="G29" s="1863"/>
      <c r="H29" s="1871" t="str">
        <f>IF($C29="","",SUM(HLOOKUP($C29,'Model outputs - PC level'!$J$5:$BS$19,12,0),HLOOKUP($C29,'Model outputs - PC level'!$J$5:$BS$19,13,0)))</f>
        <v/>
      </c>
      <c r="I29" s="1864"/>
      <c r="K29" s="294" t="s">
        <v>227</v>
      </c>
      <c r="M29" s="329">
        <f t="shared" si="12"/>
        <v>0</v>
      </c>
      <c r="N29" s="343">
        <f t="shared" si="18"/>
        <v>0</v>
      </c>
      <c r="O29" s="320"/>
      <c r="P29" s="320"/>
      <c r="Q29" s="320"/>
      <c r="U29" s="323"/>
      <c r="V29" s="328"/>
      <c r="W29" s="328">
        <f t="shared" si="13"/>
        <v>0</v>
      </c>
      <c r="X29" s="328">
        <f t="shared" si="14"/>
        <v>0</v>
      </c>
      <c r="Y29" s="328"/>
      <c r="Z29" s="328">
        <f t="shared" si="15"/>
        <v>0</v>
      </c>
      <c r="AA29" s="323"/>
      <c r="AD29" s="332">
        <f t="shared" si="16"/>
        <v>0</v>
      </c>
      <c r="AE29" s="332">
        <f t="shared" si="19"/>
        <v>0</v>
      </c>
      <c r="AF29" s="323"/>
      <c r="AG29" s="325"/>
      <c r="AH29" s="293" t="str">
        <f t="shared" si="20"/>
        <v/>
      </c>
      <c r="AI29" s="293" t="str">
        <f t="shared" si="21"/>
        <v/>
      </c>
      <c r="AJ29" s="293" t="str">
        <f t="shared" si="22"/>
        <v/>
      </c>
      <c r="AK29" s="293" t="str">
        <f t="shared" si="23"/>
        <v/>
      </c>
      <c r="AL29" s="1471" t="s">
        <v>228</v>
      </c>
      <c r="AM29" s="1471" t="s">
        <v>229</v>
      </c>
      <c r="AN29" s="1475" t="s">
        <v>230</v>
      </c>
      <c r="AO29" s="1473" t="s">
        <v>231</v>
      </c>
    </row>
    <row r="30" spans="2:41" s="17" customFormat="1" ht="28.15" customHeight="1">
      <c r="B30" s="290" t="str">
        <f t="shared" si="9"/>
        <v/>
      </c>
      <c r="C30" s="295" t="str">
        <f>IF($K$3="Select company","",IF(HLOOKUP($R$1,BW_FIN_All,'PC lists'!$B44,0)="","",HLOOKUP($R$1,BW_FIN_All,'PC lists'!$B44,0)))</f>
        <v/>
      </c>
      <c r="D30" s="295" t="str">
        <f t="shared" si="10"/>
        <v/>
      </c>
      <c r="E30" s="295" t="str">
        <f t="shared" si="11"/>
        <v/>
      </c>
      <c r="F30" s="1863"/>
      <c r="G30" s="1863"/>
      <c r="H30" s="1871" t="str">
        <f>IF($C30="","",SUM(HLOOKUP($C30,'Model outputs - PC level'!$J$5:$BS$19,12,0),HLOOKUP($C30,'Model outputs - PC level'!$J$5:$BS$19,13,0)))</f>
        <v/>
      </c>
      <c r="I30" s="1864"/>
      <c r="K30" s="294" t="s">
        <v>232</v>
      </c>
      <c r="M30" s="329">
        <f t="shared" si="12"/>
        <v>0</v>
      </c>
      <c r="N30" s="343">
        <f t="shared" si="18"/>
        <v>0</v>
      </c>
      <c r="O30" s="320"/>
      <c r="P30" s="320"/>
      <c r="Q30" s="320"/>
      <c r="U30" s="323"/>
      <c r="V30" s="328"/>
      <c r="W30" s="328">
        <f t="shared" si="13"/>
        <v>0</v>
      </c>
      <c r="X30" s="328">
        <f t="shared" si="14"/>
        <v>0</v>
      </c>
      <c r="Y30" s="328"/>
      <c r="Z30" s="328">
        <f t="shared" si="15"/>
        <v>0</v>
      </c>
      <c r="AA30" s="323"/>
      <c r="AD30" s="332">
        <f t="shared" si="16"/>
        <v>0</v>
      </c>
      <c r="AE30" s="332">
        <f t="shared" si="19"/>
        <v>0</v>
      </c>
      <c r="AF30" s="323"/>
      <c r="AG30" s="325"/>
      <c r="AH30" s="293" t="str">
        <f t="shared" si="20"/>
        <v/>
      </c>
      <c r="AI30" s="293" t="str">
        <f t="shared" si="21"/>
        <v/>
      </c>
      <c r="AJ30" s="293" t="str">
        <f t="shared" si="22"/>
        <v/>
      </c>
      <c r="AK30" s="293" t="str">
        <f t="shared" si="23"/>
        <v/>
      </c>
      <c r="AL30" s="1471" t="s">
        <v>233</v>
      </c>
      <c r="AM30" s="1471" t="s">
        <v>234</v>
      </c>
      <c r="AN30" s="1475" t="s">
        <v>235</v>
      </c>
      <c r="AO30" s="1473" t="s">
        <v>236</v>
      </c>
    </row>
    <row r="31" spans="2:41" s="17" customFormat="1" ht="28.15" customHeight="1">
      <c r="B31" s="290" t="str">
        <f t="shared" si="9"/>
        <v/>
      </c>
      <c r="C31" s="295" t="str">
        <f>IF($K$3="Select company","",IF(HLOOKUP($R$1,BW_FIN_All,'PC lists'!$B45,0)="","",HLOOKUP($R$1,BW_FIN_All,'PC lists'!$B45,0)))</f>
        <v/>
      </c>
      <c r="D31" s="295" t="str">
        <f t="shared" si="10"/>
        <v/>
      </c>
      <c r="E31" s="295" t="str">
        <f t="shared" si="11"/>
        <v/>
      </c>
      <c r="F31" s="1865"/>
      <c r="G31" s="1863"/>
      <c r="H31" s="1871" t="str">
        <f>IF($C31="","",SUM(HLOOKUP($C31,'Model outputs - PC level'!$J$5:$BS$19,12,0),HLOOKUP($C31,'Model outputs - PC level'!$J$5:$BS$19,13,0)))</f>
        <v/>
      </c>
      <c r="I31" s="1864"/>
      <c r="K31" s="294" t="s">
        <v>237</v>
      </c>
      <c r="M31" s="329">
        <f t="shared" si="12"/>
        <v>0</v>
      </c>
      <c r="N31" s="343">
        <f t="shared" si="18"/>
        <v>0</v>
      </c>
      <c r="O31" s="320"/>
      <c r="P31" s="320"/>
      <c r="Q31" s="320"/>
      <c r="U31" s="323"/>
      <c r="V31" s="328"/>
      <c r="W31" s="328">
        <f t="shared" si="13"/>
        <v>0</v>
      </c>
      <c r="X31" s="328">
        <f t="shared" si="14"/>
        <v>0</v>
      </c>
      <c r="Y31" s="328"/>
      <c r="Z31" s="328">
        <f t="shared" si="15"/>
        <v>0</v>
      </c>
      <c r="AA31" s="323"/>
      <c r="AD31" s="332">
        <f t="shared" si="16"/>
        <v>0</v>
      </c>
      <c r="AE31" s="332">
        <f t="shared" si="19"/>
        <v>0</v>
      </c>
      <c r="AF31" s="323"/>
      <c r="AG31" s="325"/>
      <c r="AH31" s="293" t="str">
        <f t="shared" si="20"/>
        <v/>
      </c>
      <c r="AI31" s="293" t="str">
        <f t="shared" si="21"/>
        <v/>
      </c>
      <c r="AJ31" s="293" t="str">
        <f t="shared" si="22"/>
        <v/>
      </c>
      <c r="AK31" s="293" t="str">
        <f t="shared" si="23"/>
        <v/>
      </c>
      <c r="AL31" s="1479" t="s">
        <v>238</v>
      </c>
      <c r="AM31" s="1471" t="s">
        <v>239</v>
      </c>
      <c r="AN31" s="1475" t="s">
        <v>240</v>
      </c>
      <c r="AO31" s="1473" t="s">
        <v>241</v>
      </c>
    </row>
    <row r="32" spans="2:41" s="17" customFormat="1" ht="28.15" customHeight="1">
      <c r="B32" s="290" t="str">
        <f t="shared" si="9"/>
        <v/>
      </c>
      <c r="C32" s="295" t="str">
        <f>IF($K$3="Select company","",IF(HLOOKUP($R$1,BW_FIN_All,'PC lists'!$B46,0)="","",HLOOKUP($R$1,BW_FIN_All,'PC lists'!$B46,0)))</f>
        <v/>
      </c>
      <c r="D32" s="295" t="str">
        <f t="shared" si="10"/>
        <v/>
      </c>
      <c r="E32" s="295" t="str">
        <f t="shared" si="11"/>
        <v/>
      </c>
      <c r="F32" s="1863"/>
      <c r="G32" s="1863"/>
      <c r="H32" s="1871" t="str">
        <f>IF($C32="","",SUM(HLOOKUP($C32,'Model outputs - PC level'!$J$5:$BS$19,12,0),HLOOKUP($C32,'Model outputs - PC level'!$J$5:$BS$19,13,0)))</f>
        <v/>
      </c>
      <c r="I32" s="1864"/>
      <c r="K32" s="294" t="s">
        <v>242</v>
      </c>
      <c r="M32" s="329">
        <f t="shared" si="12"/>
        <v>0</v>
      </c>
      <c r="N32" s="343">
        <f t="shared" si="18"/>
        <v>0</v>
      </c>
      <c r="O32" s="320"/>
      <c r="P32" s="320"/>
      <c r="Q32" s="320"/>
      <c r="U32" s="323"/>
      <c r="V32" s="328"/>
      <c r="W32" s="328">
        <f t="shared" si="13"/>
        <v>0</v>
      </c>
      <c r="X32" s="328">
        <f t="shared" si="14"/>
        <v>0</v>
      </c>
      <c r="Y32" s="328"/>
      <c r="Z32" s="328">
        <f t="shared" si="15"/>
        <v>0</v>
      </c>
      <c r="AA32" s="323"/>
      <c r="AD32" s="332">
        <f t="shared" si="16"/>
        <v>0</v>
      </c>
      <c r="AE32" s="332">
        <f t="shared" si="19"/>
        <v>0</v>
      </c>
      <c r="AF32" s="323"/>
      <c r="AG32" s="325"/>
      <c r="AH32" s="293" t="str">
        <f t="shared" si="20"/>
        <v/>
      </c>
      <c r="AI32" s="293" t="str">
        <f t="shared" si="21"/>
        <v/>
      </c>
      <c r="AJ32" s="293" t="str">
        <f t="shared" si="22"/>
        <v/>
      </c>
      <c r="AK32" s="293" t="str">
        <f t="shared" si="23"/>
        <v/>
      </c>
      <c r="AL32" s="1471" t="s">
        <v>243</v>
      </c>
      <c r="AM32" s="1471" t="s">
        <v>244</v>
      </c>
      <c r="AN32" s="1475" t="s">
        <v>245</v>
      </c>
      <c r="AO32" s="1473" t="s">
        <v>246</v>
      </c>
    </row>
    <row r="33" spans="1:41" s="17" customFormat="1" ht="28.15" customHeight="1">
      <c r="B33" s="290" t="str">
        <f t="shared" si="9"/>
        <v/>
      </c>
      <c r="C33" s="295" t="str">
        <f>IF($K$3="Select company","",IF(HLOOKUP($R$1,BW_FIN_All,'PC lists'!$B47,0)="","",HLOOKUP($R$1,BW_FIN_All,'PC lists'!$B47,0)))</f>
        <v/>
      </c>
      <c r="D33" s="295" t="str">
        <f t="shared" si="10"/>
        <v/>
      </c>
      <c r="E33" s="295" t="str">
        <f t="shared" si="11"/>
        <v/>
      </c>
      <c r="F33" s="1863"/>
      <c r="G33" s="1863"/>
      <c r="H33" s="1871" t="str">
        <f>IF($C33="","",SUM(HLOOKUP($C33,'Model outputs - PC level'!$J$5:$BS$19,12,0),HLOOKUP($C33,'Model outputs - PC level'!$J$5:$BS$19,13,0)))</f>
        <v/>
      </c>
      <c r="I33" s="1864"/>
      <c r="K33" s="294" t="s">
        <v>247</v>
      </c>
      <c r="M33" s="329">
        <f t="shared" si="12"/>
        <v>0</v>
      </c>
      <c r="N33" s="343">
        <f t="shared" si="18"/>
        <v>0</v>
      </c>
      <c r="O33" s="320"/>
      <c r="P33" s="320"/>
      <c r="Q33" s="320"/>
      <c r="U33" s="323"/>
      <c r="V33" s="328"/>
      <c r="W33" s="328">
        <f t="shared" si="13"/>
        <v>0</v>
      </c>
      <c r="X33" s="328">
        <f t="shared" si="14"/>
        <v>0</v>
      </c>
      <c r="Y33" s="328"/>
      <c r="Z33" s="328">
        <f t="shared" si="15"/>
        <v>0</v>
      </c>
      <c r="AA33" s="323"/>
      <c r="AD33" s="332">
        <f t="shared" si="16"/>
        <v>0</v>
      </c>
      <c r="AE33" s="332">
        <f t="shared" si="19"/>
        <v>0</v>
      </c>
      <c r="AF33" s="323"/>
      <c r="AG33" s="325"/>
      <c r="AH33" s="293" t="str">
        <f t="shared" si="20"/>
        <v/>
      </c>
      <c r="AI33" s="293" t="str">
        <f t="shared" si="21"/>
        <v/>
      </c>
      <c r="AJ33" s="293" t="str">
        <f t="shared" si="22"/>
        <v/>
      </c>
      <c r="AK33" s="293" t="str">
        <f t="shared" si="23"/>
        <v/>
      </c>
      <c r="AL33" s="1471" t="s">
        <v>248</v>
      </c>
      <c r="AM33" s="1471" t="s">
        <v>249</v>
      </c>
      <c r="AN33" s="1475" t="s">
        <v>250</v>
      </c>
      <c r="AO33" s="1473" t="s">
        <v>251</v>
      </c>
    </row>
    <row r="34" spans="1:41" s="17" customFormat="1" ht="28.15" customHeight="1">
      <c r="B34" s="290" t="str">
        <f t="shared" si="9"/>
        <v/>
      </c>
      <c r="C34" s="295" t="str">
        <f>IF($K$3="Select company","",IF(HLOOKUP($R$1,BW_FIN_All,'PC lists'!$B48,0)="","",HLOOKUP($R$1,BW_FIN_All,'PC lists'!$B48,0)))</f>
        <v/>
      </c>
      <c r="D34" s="295" t="str">
        <f t="shared" si="10"/>
        <v/>
      </c>
      <c r="E34" s="295" t="str">
        <f t="shared" si="11"/>
        <v/>
      </c>
      <c r="F34" s="1863"/>
      <c r="G34" s="1863"/>
      <c r="H34" s="1871" t="str">
        <f>IF($C34="","",SUM(HLOOKUP($C34,'Model outputs - PC level'!$J$5:$BS$19,12,0),HLOOKUP($C34,'Model outputs - PC level'!$J$5:$BS$19,13,0)))</f>
        <v/>
      </c>
      <c r="I34" s="1864"/>
      <c r="K34" s="294" t="s">
        <v>252</v>
      </c>
      <c r="M34" s="329">
        <f t="shared" si="12"/>
        <v>0</v>
      </c>
      <c r="N34" s="343">
        <f t="shared" si="18"/>
        <v>0</v>
      </c>
      <c r="O34" s="320"/>
      <c r="P34" s="320"/>
      <c r="Q34" s="320"/>
      <c r="U34" s="323"/>
      <c r="V34" s="328"/>
      <c r="W34" s="328">
        <f t="shared" si="13"/>
        <v>0</v>
      </c>
      <c r="X34" s="328">
        <f t="shared" si="14"/>
        <v>0</v>
      </c>
      <c r="Y34" s="328"/>
      <c r="Z34" s="328">
        <f t="shared" si="15"/>
        <v>0</v>
      </c>
      <c r="AA34" s="323"/>
      <c r="AD34" s="332">
        <f t="shared" si="16"/>
        <v>0</v>
      </c>
      <c r="AE34" s="332">
        <f t="shared" si="19"/>
        <v>0</v>
      </c>
      <c r="AF34" s="323"/>
      <c r="AG34" s="325"/>
      <c r="AH34" s="293" t="str">
        <f t="shared" si="20"/>
        <v/>
      </c>
      <c r="AI34" s="293" t="str">
        <f t="shared" si="21"/>
        <v/>
      </c>
      <c r="AJ34" s="293" t="str">
        <f t="shared" si="22"/>
        <v/>
      </c>
      <c r="AK34" s="293" t="str">
        <f t="shared" si="23"/>
        <v/>
      </c>
      <c r="AL34" s="1471" t="s">
        <v>253</v>
      </c>
      <c r="AM34" s="1471" t="s">
        <v>254</v>
      </c>
      <c r="AN34" s="1475" t="s">
        <v>255</v>
      </c>
      <c r="AO34" s="1473" t="s">
        <v>256</v>
      </c>
    </row>
    <row r="35" spans="1:41" s="17" customFormat="1" ht="28.15" customHeight="1">
      <c r="B35" s="290" t="str">
        <f t="shared" si="9"/>
        <v/>
      </c>
      <c r="C35" s="295" t="str">
        <f>IF($K$3="Select company","",IF(HLOOKUP($R$1,BW_FIN_All,'PC lists'!$B49,0)="","",HLOOKUP($R$1,BW_FIN_All,'PC lists'!$B49,0)))</f>
        <v/>
      </c>
      <c r="D35" s="295" t="str">
        <f t="shared" si="10"/>
        <v/>
      </c>
      <c r="E35" s="295" t="str">
        <f t="shared" si="11"/>
        <v/>
      </c>
      <c r="F35" s="1863"/>
      <c r="G35" s="1863"/>
      <c r="H35" s="1871" t="str">
        <f>IF($C35="","",SUM(HLOOKUP($C35,'Model outputs - PC level'!$J$5:$BS$19,12,0),HLOOKUP($C35,'Model outputs - PC level'!$J$5:$BS$19,13,0)))</f>
        <v/>
      </c>
      <c r="I35" s="1864"/>
      <c r="K35" s="294" t="s">
        <v>257</v>
      </c>
      <c r="M35" s="329">
        <f t="shared" si="12"/>
        <v>0</v>
      </c>
      <c r="N35" s="343">
        <f t="shared" si="18"/>
        <v>0</v>
      </c>
      <c r="O35" s="320"/>
      <c r="P35" s="320"/>
      <c r="Q35" s="320"/>
      <c r="U35" s="323"/>
      <c r="V35" s="328"/>
      <c r="W35" s="328">
        <f t="shared" si="13"/>
        <v>0</v>
      </c>
      <c r="X35" s="328">
        <f t="shared" si="14"/>
        <v>0</v>
      </c>
      <c r="Y35" s="328"/>
      <c r="Z35" s="328">
        <f t="shared" si="15"/>
        <v>0</v>
      </c>
      <c r="AA35" s="323"/>
      <c r="AD35" s="332">
        <f t="shared" si="16"/>
        <v>0</v>
      </c>
      <c r="AE35" s="332">
        <f t="shared" si="19"/>
        <v>0</v>
      </c>
      <c r="AF35" s="323"/>
      <c r="AG35" s="325"/>
      <c r="AH35" s="293" t="str">
        <f t="shared" si="20"/>
        <v/>
      </c>
      <c r="AI35" s="293" t="str">
        <f t="shared" si="21"/>
        <v/>
      </c>
      <c r="AJ35" s="293" t="str">
        <f t="shared" si="22"/>
        <v/>
      </c>
      <c r="AK35" s="293" t="str">
        <f t="shared" si="23"/>
        <v/>
      </c>
      <c r="AL35" s="1471" t="s">
        <v>258</v>
      </c>
      <c r="AM35" s="1471" t="s">
        <v>259</v>
      </c>
      <c r="AN35" s="1475" t="s">
        <v>260</v>
      </c>
      <c r="AO35" s="1473" t="s">
        <v>261</v>
      </c>
    </row>
    <row r="36" spans="1:41" s="17" customFormat="1" ht="28.15" customHeight="1">
      <c r="B36" s="290" t="str">
        <f t="shared" si="9"/>
        <v/>
      </c>
      <c r="C36" s="295" t="str">
        <f>IF($K$3="Select company","",IF(HLOOKUP($R$1,BW_FIN_All,'PC lists'!$B50,0)="","",HLOOKUP($R$1,BW_FIN_All,'PC lists'!$B50,0)))</f>
        <v/>
      </c>
      <c r="D36" s="295" t="str">
        <f t="shared" si="10"/>
        <v/>
      </c>
      <c r="E36" s="295" t="str">
        <f t="shared" si="11"/>
        <v/>
      </c>
      <c r="F36" s="1863"/>
      <c r="G36" s="1863"/>
      <c r="H36" s="1871" t="str">
        <f>IF($C36="","",SUM(HLOOKUP($C36,'Model outputs - PC level'!$J$5:$BS$19,12,0),HLOOKUP($C36,'Model outputs - PC level'!$J$5:$BS$19,13,0)))</f>
        <v/>
      </c>
      <c r="I36" s="1864"/>
      <c r="K36" s="294" t="s">
        <v>262</v>
      </c>
      <c r="M36" s="329">
        <f t="shared" si="12"/>
        <v>0</v>
      </c>
      <c r="N36" s="343">
        <f t="shared" si="18"/>
        <v>0</v>
      </c>
      <c r="O36" s="320"/>
      <c r="P36" s="320"/>
      <c r="Q36" s="320"/>
      <c r="U36" s="323"/>
      <c r="V36" s="328"/>
      <c r="W36" s="328">
        <f t="shared" si="13"/>
        <v>0</v>
      </c>
      <c r="X36" s="328">
        <f t="shared" si="14"/>
        <v>0</v>
      </c>
      <c r="Y36" s="328"/>
      <c r="Z36" s="328">
        <f t="shared" si="15"/>
        <v>0</v>
      </c>
      <c r="AA36" s="323"/>
      <c r="AD36" s="332">
        <f t="shared" si="16"/>
        <v>0</v>
      </c>
      <c r="AE36" s="332">
        <f t="shared" si="19"/>
        <v>0</v>
      </c>
      <c r="AF36" s="323"/>
      <c r="AG36" s="325"/>
      <c r="AH36" s="293" t="str">
        <f t="shared" si="20"/>
        <v/>
      </c>
      <c r="AI36" s="293" t="str">
        <f t="shared" si="21"/>
        <v/>
      </c>
      <c r="AJ36" s="293" t="str">
        <f t="shared" si="22"/>
        <v/>
      </c>
      <c r="AK36" s="293" t="str">
        <f t="shared" si="23"/>
        <v/>
      </c>
      <c r="AL36" s="1471" t="s">
        <v>263</v>
      </c>
      <c r="AM36" s="1471" t="s">
        <v>264</v>
      </c>
      <c r="AN36" s="1475" t="s">
        <v>265</v>
      </c>
      <c r="AO36" s="1473" t="s">
        <v>266</v>
      </c>
    </row>
    <row r="37" spans="1:41" s="17" customFormat="1" ht="28.15" customHeight="1">
      <c r="B37" s="290" t="str">
        <f t="shared" si="9"/>
        <v/>
      </c>
      <c r="C37" s="295" t="str">
        <f>IF($K$3="Select company","",IF(HLOOKUP($R$1,BW_FIN_All,'PC lists'!$B51,0)="","",HLOOKUP($R$1,BW_FIN_All,'PC lists'!$B51,0)))</f>
        <v/>
      </c>
      <c r="D37" s="295" t="str">
        <f t="shared" si="10"/>
        <v/>
      </c>
      <c r="E37" s="295" t="str">
        <f t="shared" si="11"/>
        <v/>
      </c>
      <c r="F37" s="1863"/>
      <c r="G37" s="1863"/>
      <c r="H37" s="1871" t="str">
        <f>IF($C37="","",SUM(HLOOKUP($C37,'Model outputs - PC level'!$J$5:$BS$19,12,0),HLOOKUP($C37,'Model outputs - PC level'!$J$5:$BS$19,13,0)))</f>
        <v/>
      </c>
      <c r="I37" s="1864"/>
      <c r="K37" s="294" t="s">
        <v>267</v>
      </c>
      <c r="M37" s="329">
        <f t="shared" si="12"/>
        <v>0</v>
      </c>
      <c r="N37" s="343">
        <f t="shared" si="18"/>
        <v>0</v>
      </c>
      <c r="O37" s="320"/>
      <c r="P37" s="320"/>
      <c r="Q37" s="320"/>
      <c r="U37" s="323"/>
      <c r="V37" s="328"/>
      <c r="W37" s="328">
        <f t="shared" si="13"/>
        <v>0</v>
      </c>
      <c r="X37" s="328">
        <f t="shared" si="14"/>
        <v>0</v>
      </c>
      <c r="Y37" s="328"/>
      <c r="Z37" s="328">
        <f t="shared" si="15"/>
        <v>0</v>
      </c>
      <c r="AA37" s="323"/>
      <c r="AD37" s="332">
        <f t="shared" si="16"/>
        <v>0</v>
      </c>
      <c r="AE37" s="332">
        <f t="shared" si="19"/>
        <v>0</v>
      </c>
      <c r="AF37" s="323"/>
      <c r="AG37" s="325"/>
      <c r="AH37" s="293" t="str">
        <f t="shared" si="20"/>
        <v/>
      </c>
      <c r="AI37" s="293" t="str">
        <f t="shared" si="21"/>
        <v/>
      </c>
      <c r="AJ37" s="293" t="str">
        <f t="shared" si="22"/>
        <v/>
      </c>
      <c r="AK37" s="293" t="str">
        <f t="shared" si="23"/>
        <v/>
      </c>
      <c r="AL37" s="1471" t="s">
        <v>268</v>
      </c>
      <c r="AM37" s="1471" t="s">
        <v>269</v>
      </c>
      <c r="AN37" s="1475" t="s">
        <v>270</v>
      </c>
      <c r="AO37" s="1473" t="s">
        <v>271</v>
      </c>
    </row>
    <row r="38" spans="1:41" s="10" customFormat="1" ht="28.15" customHeight="1">
      <c r="A38" s="1381"/>
      <c r="B38" s="290" t="str">
        <f t="shared" si="9"/>
        <v/>
      </c>
      <c r="C38" s="295" t="str">
        <f>IF($K$3="Select company","",IF(HLOOKUP($R$1,BW_FIN_All,'PC lists'!$B52,0)="","",HLOOKUP($R$1,BW_FIN_All,'PC lists'!$B52,0)))</f>
        <v/>
      </c>
      <c r="D38" s="295" t="str">
        <f t="shared" si="10"/>
        <v/>
      </c>
      <c r="E38" s="295" t="str">
        <f t="shared" si="11"/>
        <v/>
      </c>
      <c r="F38" s="1863"/>
      <c r="G38" s="1863"/>
      <c r="H38" s="1871" t="str">
        <f>IF($C38="","",SUM(HLOOKUP($C38,'Model outputs - PC level'!$J$5:$BS$19,12,0),HLOOKUP($C38,'Model outputs - PC level'!$J$5:$BS$19,13,0)))</f>
        <v/>
      </c>
      <c r="I38" s="1864"/>
      <c r="J38" s="17"/>
      <c r="K38" s="294" t="s">
        <v>272</v>
      </c>
      <c r="L38" s="1381"/>
      <c r="M38" s="329">
        <f t="shared" si="12"/>
        <v>0</v>
      </c>
      <c r="N38" s="343">
        <f t="shared" si="18"/>
        <v>0</v>
      </c>
      <c r="O38" s="320"/>
      <c r="P38" s="320"/>
      <c r="Q38" s="320"/>
      <c r="R38" s="1381"/>
      <c r="S38" s="1381"/>
      <c r="T38" s="1381"/>
      <c r="U38" s="1382"/>
      <c r="V38" s="328"/>
      <c r="W38" s="328">
        <f t="shared" si="13"/>
        <v>0</v>
      </c>
      <c r="X38" s="328">
        <f t="shared" si="14"/>
        <v>0</v>
      </c>
      <c r="Y38" s="328"/>
      <c r="Z38" s="328">
        <f t="shared" si="15"/>
        <v>0</v>
      </c>
      <c r="AA38" s="1382"/>
      <c r="AB38" s="1381"/>
      <c r="AC38" s="1381"/>
      <c r="AD38" s="332">
        <f t="shared" si="16"/>
        <v>0</v>
      </c>
      <c r="AE38" s="332">
        <f t="shared" si="19"/>
        <v>0</v>
      </c>
      <c r="AF38" s="1382"/>
      <c r="AG38" s="1383"/>
      <c r="AH38" s="293" t="str">
        <f t="shared" si="20"/>
        <v/>
      </c>
      <c r="AI38" s="293" t="str">
        <f t="shared" si="21"/>
        <v/>
      </c>
      <c r="AJ38" s="293" t="str">
        <f t="shared" si="22"/>
        <v/>
      </c>
      <c r="AK38" s="293" t="str">
        <f t="shared" si="23"/>
        <v/>
      </c>
      <c r="AL38" s="1471" t="s">
        <v>273</v>
      </c>
      <c r="AM38" s="1471" t="s">
        <v>274</v>
      </c>
      <c r="AN38" s="1475" t="s">
        <v>275</v>
      </c>
      <c r="AO38" s="1473" t="s">
        <v>276</v>
      </c>
    </row>
    <row r="39" spans="1:41" s="10" customFormat="1" ht="14.25">
      <c r="A39" s="1381"/>
      <c r="B39" s="1381"/>
      <c r="C39" s="1381"/>
      <c r="D39" s="1381"/>
      <c r="E39" s="1381"/>
      <c r="F39" s="1381"/>
      <c r="G39" s="1381"/>
      <c r="H39" s="1381"/>
      <c r="I39" s="1381"/>
      <c r="J39" s="1381"/>
      <c r="K39" s="1381"/>
      <c r="L39" s="1381"/>
      <c r="M39" s="1381"/>
      <c r="N39" s="1381"/>
      <c r="O39" s="1383"/>
      <c r="P39" s="1383"/>
      <c r="Q39" s="1383"/>
      <c r="R39" s="1381"/>
      <c r="S39" s="1381"/>
      <c r="T39" s="1381"/>
      <c r="U39" s="1382"/>
      <c r="V39" s="1383"/>
      <c r="W39" s="1383"/>
      <c r="X39" s="1383"/>
      <c r="Y39" s="1383"/>
      <c r="Z39" s="1383"/>
      <c r="AA39" s="1382"/>
      <c r="AB39" s="1383"/>
      <c r="AC39" s="1383"/>
      <c r="AD39" s="1383"/>
      <c r="AE39" s="1383"/>
      <c r="AF39" s="1382"/>
      <c r="AG39" s="1383"/>
      <c r="AH39" s="1381"/>
      <c r="AI39" s="1381"/>
      <c r="AJ39" s="1381"/>
      <c r="AK39" s="1381"/>
      <c r="AL39" s="1381"/>
      <c r="AM39" s="1381"/>
      <c r="AN39" s="1381"/>
      <c r="AO39" s="1381"/>
    </row>
    <row r="40" spans="1:41" s="10" customFormat="1" ht="26.25">
      <c r="A40" s="1381"/>
      <c r="B40" s="290" t="s">
        <v>277</v>
      </c>
      <c r="C40" s="353"/>
      <c r="D40" s="295" t="s">
        <v>278</v>
      </c>
      <c r="E40" s="295">
        <v>0</v>
      </c>
      <c r="F40" s="350"/>
      <c r="G40" s="1875">
        <f>(COUNTIF($G$9:$G$38,"Yes")/(COUNTA($G$9:$G$38) - COUNTIF($G$9:$G$38,"-")))*100</f>
        <v>21.428571428571427</v>
      </c>
      <c r="H40" s="366"/>
      <c r="I40" s="352"/>
      <c r="J40" s="17"/>
      <c r="K40" s="294" t="s">
        <v>279</v>
      </c>
      <c r="L40" s="1381"/>
      <c r="M40" s="329"/>
      <c r="N40" s="329"/>
      <c r="O40" s="1383"/>
      <c r="P40" s="1383"/>
      <c r="Q40" s="1383"/>
      <c r="R40" s="1381"/>
      <c r="S40" s="1381"/>
      <c r="T40" s="1381"/>
      <c r="U40" s="1382"/>
      <c r="V40" s="1383"/>
      <c r="W40" s="1383"/>
      <c r="X40" s="1383"/>
      <c r="Y40" s="1383"/>
      <c r="Z40" s="1383"/>
      <c r="AA40" s="1382"/>
      <c r="AB40" s="1383"/>
      <c r="AC40" s="1383"/>
      <c r="AD40" s="1383"/>
      <c r="AE40" s="1383"/>
      <c r="AF40" s="1382"/>
      <c r="AG40" s="1383"/>
      <c r="AH40" s="290" t="str">
        <f>B40</f>
        <v>Financial water performance commitments achieved</v>
      </c>
      <c r="AI40" s="353"/>
      <c r="AJ40" s="295" t="str">
        <f>D40</f>
        <v>%</v>
      </c>
      <c r="AK40" s="295"/>
      <c r="AL40" s="350"/>
      <c r="AM40" s="1480" t="s">
        <v>280</v>
      </c>
      <c r="AN40" s="366"/>
      <c r="AO40" s="352"/>
    </row>
    <row r="41" spans="1:41" s="10" customFormat="1" ht="28.5" customHeight="1">
      <c r="A41" s="1381"/>
      <c r="B41" s="290" t="s">
        <v>281</v>
      </c>
      <c r="C41" s="353"/>
      <c r="D41" s="295" t="s">
        <v>278</v>
      </c>
      <c r="E41" s="295">
        <v>0</v>
      </c>
      <c r="F41" s="350"/>
      <c r="G41" s="1876">
        <f>IF('Validation summary'!$F$3="WoC",((COUNTIF($G$9:$G$38,"Yes")+COUNTIF('3E'!$G$9:$G$38,"Yes"))/(COUNTA($G$9:$G$38)-COUNTIF($G$9:$G$38,"-")+COUNTA('3E'!$G$9:$G$38)-COUNTIF('3E'!$G$9:$G$38,"-"))*100),((COUNTIF($G$9:$G$38,"Yes")+COUNTIF('3B'!$G$9:$G$28,"Yes")+COUNTIF('3E'!$G$9:$G$38,"Yes"))/(COUNTA($G$9:$G$38)-COUNTIF($G$9:$G$38,"-")+COUNTA('3B'!$G$9:$G$28)-COUNTIF('3B'!$G$9:$G$28,"-")+COUNTA('3E'!$G$9:$G$38)-COUNTIF('3E'!$G$9:$G$38,"-")))*100)</f>
        <v>41.304347826086953</v>
      </c>
      <c r="H41" s="351"/>
      <c r="I41" s="352"/>
      <c r="J41" s="17"/>
      <c r="K41" s="294" t="s">
        <v>282</v>
      </c>
      <c r="L41" s="1381"/>
      <c r="M41" s="329"/>
      <c r="N41" s="329"/>
      <c r="O41" s="1383"/>
      <c r="P41" s="1383"/>
      <c r="Q41" s="1383"/>
      <c r="R41" s="1381"/>
      <c r="S41" s="1381"/>
      <c r="T41" s="1381"/>
      <c r="U41" s="1382"/>
      <c r="V41" s="1383"/>
      <c r="W41" s="1383"/>
      <c r="X41" s="1383"/>
      <c r="Y41" s="1383"/>
      <c r="Z41" s="1383"/>
      <c r="AA41" s="1382"/>
      <c r="AB41" s="1383"/>
      <c r="AC41" s="1383"/>
      <c r="AD41" s="1383"/>
      <c r="AE41" s="1383"/>
      <c r="AF41" s="1382"/>
      <c r="AG41" s="1383"/>
      <c r="AH41" s="290" t="str">
        <f>B41</f>
        <v>Overall performance commitments achieved (excluding C-MEX and D-MEX)</v>
      </c>
      <c r="AI41" s="353"/>
      <c r="AJ41" s="295" t="str">
        <f>D41</f>
        <v>%</v>
      </c>
      <c r="AK41" s="295"/>
      <c r="AL41" s="350"/>
      <c r="AM41" s="1481" t="s">
        <v>283</v>
      </c>
      <c r="AN41" s="351"/>
      <c r="AO41" s="352"/>
    </row>
    <row r="42" spans="1:41" s="10" customFormat="1" ht="14.25">
      <c r="A42" s="1381"/>
      <c r="B42" s="1381"/>
      <c r="C42" s="1381"/>
      <c r="D42" s="1381"/>
      <c r="E42" s="1381"/>
      <c r="F42" s="1381"/>
      <c r="G42" s="1381"/>
      <c r="H42" s="1381"/>
      <c r="I42" s="1381"/>
      <c r="J42" s="1381"/>
      <c r="K42" s="1381"/>
      <c r="L42" s="1381"/>
      <c r="M42" s="1381"/>
      <c r="N42" s="1381"/>
      <c r="O42" s="1383"/>
      <c r="P42" s="1383"/>
      <c r="Q42" s="1383"/>
      <c r="R42" s="1381"/>
      <c r="S42" s="1381"/>
      <c r="T42" s="1381"/>
      <c r="U42" s="1382"/>
      <c r="V42" s="1382"/>
      <c r="W42" s="1382"/>
      <c r="X42" s="1382"/>
      <c r="Y42" s="1382"/>
      <c r="Z42" s="1382"/>
      <c r="AA42" s="1382"/>
      <c r="AB42" s="1382"/>
      <c r="AC42" s="1382"/>
      <c r="AD42" s="1382"/>
      <c r="AE42" s="1382"/>
      <c r="AF42" s="1382"/>
      <c r="AG42" s="1383"/>
      <c r="AH42" s="1381"/>
      <c r="AI42" s="1381"/>
      <c r="AJ42" s="1381"/>
      <c r="AK42" s="1381"/>
      <c r="AL42" s="1381"/>
      <c r="AM42" s="1381"/>
      <c r="AN42" s="1381"/>
      <c r="AO42" s="1381"/>
    </row>
    <row r="43" spans="1:41" ht="14.25">
      <c r="B43" s="278" t="s">
        <v>284</v>
      </c>
      <c r="O43" s="279"/>
      <c r="P43" s="279"/>
      <c r="Q43" s="279"/>
      <c r="U43" s="279"/>
      <c r="V43" s="279"/>
      <c r="W43" s="279"/>
      <c r="X43" s="279"/>
      <c r="Y43" s="279"/>
      <c r="Z43" s="279"/>
      <c r="AA43" s="279"/>
      <c r="AB43" s="279"/>
      <c r="AC43" s="279"/>
      <c r="AD43" s="279"/>
      <c r="AE43" s="279"/>
      <c r="AF43" s="279"/>
    </row>
    <row r="44" spans="1:41">
      <c r="O44" s="279"/>
      <c r="P44" s="279"/>
      <c r="Q44" s="279"/>
      <c r="U44" s="279"/>
      <c r="V44" s="279"/>
      <c r="W44" s="279"/>
      <c r="X44" s="279"/>
      <c r="Y44" s="279"/>
      <c r="Z44" s="279"/>
      <c r="AA44" s="279"/>
      <c r="AB44" s="279"/>
      <c r="AC44" s="279"/>
      <c r="AD44" s="279"/>
      <c r="AE44" s="279"/>
      <c r="AF44" s="279"/>
    </row>
    <row r="45" spans="1:41">
      <c r="B45" s="1858" t="s">
        <v>285</v>
      </c>
      <c r="I45" s="376"/>
      <c r="O45" s="279"/>
      <c r="P45" s="279"/>
      <c r="Q45" s="279"/>
      <c r="U45" s="279"/>
      <c r="V45" s="279"/>
      <c r="W45" s="279"/>
      <c r="X45" s="279"/>
      <c r="Y45" s="279"/>
      <c r="Z45" s="279"/>
      <c r="AA45" s="279"/>
      <c r="AB45" s="279"/>
      <c r="AC45" s="279"/>
      <c r="AD45" s="279"/>
      <c r="AE45" s="279"/>
      <c r="AF45" s="279"/>
    </row>
    <row r="46" spans="1:41" ht="13.9" thickBot="1">
      <c r="A46" s="279"/>
      <c r="B46" s="378"/>
      <c r="I46" s="376"/>
      <c r="O46" s="279"/>
      <c r="P46" s="279"/>
      <c r="Q46" s="279"/>
      <c r="U46" s="279"/>
      <c r="V46" s="279"/>
      <c r="W46" s="279"/>
      <c r="X46" s="279"/>
      <c r="Y46" s="279"/>
      <c r="Z46" s="279"/>
      <c r="AA46" s="279"/>
      <c r="AB46" s="279"/>
      <c r="AC46" s="279"/>
      <c r="AD46" s="279"/>
      <c r="AE46" s="279"/>
      <c r="AF46" s="279"/>
    </row>
    <row r="47" spans="1:41" ht="14.25" thickTop="1" thickBot="1">
      <c r="A47" s="279"/>
      <c r="B47" s="1859" t="s">
        <v>286</v>
      </c>
      <c r="I47" s="376"/>
      <c r="O47" s="279"/>
      <c r="P47" s="279"/>
      <c r="Q47" s="279"/>
      <c r="U47" s="279"/>
      <c r="V47" s="279"/>
      <c r="W47" s="279"/>
      <c r="X47" s="279"/>
      <c r="Y47" s="279"/>
      <c r="Z47" s="279"/>
      <c r="AA47" s="279"/>
      <c r="AB47" s="279"/>
      <c r="AC47" s="279"/>
      <c r="AD47" s="279"/>
      <c r="AE47" s="279"/>
      <c r="AF47" s="279"/>
    </row>
    <row r="48" spans="1:41" ht="13.9" thickTop="1">
      <c r="O48" s="279"/>
      <c r="P48" s="279"/>
      <c r="Q48" s="279"/>
      <c r="U48" s="279"/>
      <c r="V48" s="279"/>
      <c r="W48" s="279"/>
      <c r="X48" s="279"/>
      <c r="Y48" s="279"/>
      <c r="Z48" s="279"/>
      <c r="AA48" s="279"/>
      <c r="AB48" s="279"/>
      <c r="AC48" s="279"/>
      <c r="AD48" s="279"/>
      <c r="AE48" s="279"/>
      <c r="AF48" s="279"/>
    </row>
    <row r="49" spans="2:32">
      <c r="B49" s="1860" t="s">
        <v>287</v>
      </c>
      <c r="O49" s="279"/>
      <c r="P49" s="279"/>
      <c r="Q49" s="279"/>
      <c r="U49" s="279"/>
      <c r="V49" s="279"/>
      <c r="W49" s="279"/>
      <c r="X49" s="279"/>
      <c r="Y49" s="279"/>
      <c r="Z49" s="279"/>
      <c r="AA49" s="279"/>
      <c r="AB49" s="279"/>
      <c r="AC49" s="279"/>
      <c r="AD49" s="279"/>
      <c r="AE49" s="279"/>
      <c r="AF49" s="279"/>
    </row>
    <row r="50" spans="2:32">
      <c r="U50" s="279"/>
      <c r="V50" s="279"/>
      <c r="W50" s="279"/>
      <c r="X50" s="279"/>
      <c r="Y50" s="279"/>
      <c r="Z50" s="279"/>
      <c r="AA50" s="279"/>
      <c r="AB50" s="279"/>
      <c r="AC50" s="279"/>
      <c r="AD50" s="279"/>
      <c r="AE50" s="279"/>
      <c r="AF50" s="279"/>
    </row>
    <row r="51" spans="2:32">
      <c r="B51" s="1861" t="s">
        <v>288</v>
      </c>
      <c r="U51" s="279"/>
      <c r="V51" s="279"/>
      <c r="W51" s="279"/>
      <c r="X51" s="279"/>
      <c r="Y51" s="279"/>
      <c r="Z51" s="279"/>
      <c r="AA51" s="279"/>
      <c r="AB51" s="279"/>
      <c r="AC51" s="279"/>
      <c r="AD51" s="279"/>
      <c r="AE51" s="279"/>
      <c r="AF51" s="279"/>
    </row>
    <row r="52" spans="2:32">
      <c r="U52" s="279"/>
      <c r="V52" s="279"/>
      <c r="W52" s="279"/>
      <c r="X52" s="279"/>
      <c r="Y52" s="279"/>
      <c r="Z52" s="279"/>
      <c r="AA52" s="279"/>
      <c r="AB52" s="279"/>
      <c r="AC52" s="279"/>
      <c r="AD52" s="279"/>
      <c r="AE52" s="279"/>
      <c r="AF52" s="279"/>
    </row>
    <row r="53" spans="2:32" ht="14.25">
      <c r="B53" s="296" t="s">
        <v>289</v>
      </c>
      <c r="C53" s="279"/>
      <c r="D53" s="279"/>
      <c r="E53" s="279"/>
      <c r="F53" s="279"/>
      <c r="G53" s="279"/>
      <c r="H53" s="279"/>
      <c r="I53" s="279"/>
      <c r="J53" s="279"/>
      <c r="K53" s="279"/>
      <c r="U53" s="279"/>
      <c r="V53" s="279"/>
      <c r="W53" s="279"/>
      <c r="X53" s="279"/>
      <c r="Y53" s="279"/>
      <c r="Z53" s="279"/>
      <c r="AA53" s="279"/>
      <c r="AB53" s="279"/>
      <c r="AC53" s="279"/>
      <c r="AD53" s="279"/>
      <c r="AE53" s="279"/>
      <c r="AF53" s="279"/>
    </row>
    <row r="54" spans="2:32"/>
  </sheetData>
  <mergeCells count="15">
    <mergeCell ref="N5:N6"/>
    <mergeCell ref="B5:B6"/>
    <mergeCell ref="E5:E6"/>
    <mergeCell ref="M5:M6"/>
    <mergeCell ref="K5:K6"/>
    <mergeCell ref="G5:G6"/>
    <mergeCell ref="D5:D6"/>
    <mergeCell ref="C5:C6"/>
    <mergeCell ref="F5:F6"/>
    <mergeCell ref="AM5:AM6"/>
    <mergeCell ref="AH5:AH6"/>
    <mergeCell ref="AI5:AI6"/>
    <mergeCell ref="AJ5:AJ6"/>
    <mergeCell ref="AK5:AK6"/>
    <mergeCell ref="AL5:AL6"/>
  </mergeCells>
  <conditionalFormatting sqref="B12">
    <cfRule type="expression" dxfId="311" priority="95">
      <formula>B12="[For use by NES and SSC only]"</formula>
    </cfRule>
  </conditionalFormatting>
  <conditionalFormatting sqref="B14">
    <cfRule type="expression" dxfId="310" priority="94">
      <formula>B14="[For use by SSC only]"</formula>
    </cfRule>
  </conditionalFormatting>
  <conditionalFormatting sqref="E9:E16 E19:E38 E40:E41">
    <cfRule type="cellIs" dxfId="309" priority="46" operator="equal">
      <formula>0</formula>
    </cfRule>
  </conditionalFormatting>
  <conditionalFormatting sqref="F19:F38 F40:F41">
    <cfRule type="expression" dxfId="308" priority="97">
      <formula>INDIRECT("E" &amp; ROW()) = 5</formula>
    </cfRule>
    <cfRule type="expression" dxfId="307" priority="98">
      <formula>INDIRECT("E" &amp; ROW()) = 4</formula>
    </cfRule>
    <cfRule type="expression" dxfId="306" priority="99">
      <formula>INDIRECT("E" &amp; ROW()) = 3</formula>
    </cfRule>
    <cfRule type="expression" dxfId="305" priority="100">
      <formula>INDIRECT("E" &amp; ROW()) = 2</formula>
    </cfRule>
    <cfRule type="expression" dxfId="304" priority="101">
      <formula>INDIRECT("E" &amp; ROW()) = 1</formula>
    </cfRule>
    <cfRule type="expression" dxfId="303" priority="102">
      <formula>INDIRECT("E" &amp; ROW()) = 0</formula>
    </cfRule>
  </conditionalFormatting>
  <conditionalFormatting sqref="M9:N16">
    <cfRule type="cellIs" dxfId="302" priority="11" operator="equal">
      <formula>0</formula>
    </cfRule>
  </conditionalFormatting>
  <conditionalFormatting sqref="M19:N38">
    <cfRule type="cellIs" dxfId="301" priority="10" operator="equal">
      <formula>0</formula>
    </cfRule>
  </conditionalFormatting>
  <conditionalFormatting sqref="M40:N41">
    <cfRule type="cellIs" dxfId="300" priority="47" operator="equal">
      <formula>0</formula>
    </cfRule>
  </conditionalFormatting>
  <conditionalFormatting sqref="AL19:AL38 AL40:AL41">
    <cfRule type="expression" dxfId="299" priority="4">
      <formula>INDIRECT("E" &amp; ROW()) = 5</formula>
    </cfRule>
    <cfRule type="expression" dxfId="298" priority="5">
      <formula>INDIRECT("E" &amp; ROW()) = 4</formula>
    </cfRule>
    <cfRule type="expression" dxfId="297" priority="6">
      <formula>INDIRECT("E" &amp; ROW()) = 3</formula>
    </cfRule>
    <cfRule type="expression" dxfId="296" priority="7">
      <formula>INDIRECT("E" &amp; ROW()) = 2</formula>
    </cfRule>
    <cfRule type="expression" dxfId="295" priority="8">
      <formula>INDIRECT("E" &amp; ROW()) = 1</formula>
    </cfRule>
    <cfRule type="expression" dxfId="294"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 AM9:AM16 AM19:AM38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3003-1A32-4AF1-B3F7-D878ACEF54A8}">
  <sheetPr>
    <tabColor rgb="FF0071CE"/>
    <pageSetUpPr fitToPage="1"/>
  </sheetPr>
  <dimension ref="B1:AO45"/>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9" width="10.625" style="8" customWidth="1"/>
    <col min="10" max="10" width="2.625" style="8" customWidth="1"/>
    <col min="11" max="11" width="8.125" style="8" customWidth="1"/>
    <col min="12" max="12" width="1.625" style="8" customWidth="1"/>
    <col min="13" max="14" width="12.625" style="8" customWidth="1"/>
    <col min="15" max="20" width="8.625" style="8" customWidth="1"/>
    <col min="21" max="21" width="1.625" style="8" hidden="1" customWidth="1"/>
    <col min="22" max="26" width="3.625" style="8" hidden="1" customWidth="1"/>
    <col min="27" max="27" width="1.625" style="8" hidden="1" customWidth="1"/>
    <col min="28" max="30" width="3.625" style="8" hidden="1" customWidth="1"/>
    <col min="31" max="31" width="6.25" style="8" hidden="1" customWidth="1"/>
    <col min="32" max="32" width="1.625" style="8" hidden="1" customWidth="1"/>
    <col min="33" max="33" width="8.625" style="8" customWidth="1"/>
    <col min="34" max="34" width="34.375" style="8" customWidth="1"/>
    <col min="35" max="35" width="20.625" style="8" customWidth="1"/>
    <col min="36" max="36" width="23.5" style="8"/>
    <col min="37" max="41" width="15.625" style="8" customWidth="1"/>
    <col min="42" max="16384" width="23.5" style="8"/>
  </cols>
  <sheetData>
    <row r="1" spans="2:41" s="1" customFormat="1" ht="35.25" customHeight="1">
      <c r="B1" s="44" t="s">
        <v>28</v>
      </c>
      <c r="C1" s="5"/>
      <c r="D1" s="5"/>
      <c r="E1" s="5"/>
      <c r="F1" s="5"/>
      <c r="G1" s="5"/>
      <c r="H1" s="7"/>
      <c r="U1" s="322"/>
      <c r="AA1" s="322"/>
      <c r="AF1" s="322"/>
    </row>
    <row r="2" spans="2:41" s="1" customFormat="1" ht="9.75" customHeight="1">
      <c r="B2" s="7"/>
      <c r="C2" s="7"/>
      <c r="D2" s="7"/>
      <c r="E2" s="7"/>
      <c r="F2" s="7"/>
      <c r="G2" s="7"/>
      <c r="H2" s="7"/>
      <c r="U2" s="322"/>
      <c r="AA2" s="322"/>
      <c r="AF2" s="322"/>
    </row>
    <row r="3" spans="2:41" s="10" customFormat="1" ht="31.5" customHeight="1">
      <c r="B3" s="321" t="s">
        <v>290</v>
      </c>
      <c r="C3" s="297"/>
      <c r="D3" s="297"/>
      <c r="E3" s="297"/>
      <c r="F3" s="297"/>
      <c r="G3" s="297"/>
      <c r="H3" s="297"/>
      <c r="I3" s="297"/>
      <c r="J3" s="298"/>
      <c r="K3" s="309" t="str">
        <f>'Validation summary'!$B$3</f>
        <v>Southern Water</v>
      </c>
      <c r="L3" s="299"/>
      <c r="M3" s="300" t="s">
        <v>109</v>
      </c>
      <c r="N3" s="300"/>
      <c r="O3" s="1381"/>
      <c r="P3" s="1381"/>
      <c r="Q3" s="1381"/>
      <c r="R3" s="1381"/>
      <c r="S3" s="1381"/>
      <c r="T3" s="1381"/>
      <c r="U3" s="1382"/>
      <c r="V3" s="1381"/>
      <c r="W3" s="1381"/>
      <c r="X3" s="1381"/>
      <c r="Y3" s="1381"/>
      <c r="Z3" s="1381"/>
      <c r="AA3" s="1382"/>
      <c r="AB3" s="1381"/>
      <c r="AC3" s="1381"/>
      <c r="AD3" s="1381"/>
      <c r="AE3" s="1381"/>
      <c r="AF3" s="1382"/>
      <c r="AG3" s="1381"/>
      <c r="AH3" s="300" t="s">
        <v>110</v>
      </c>
      <c r="AI3" s="1381"/>
      <c r="AJ3" s="1381"/>
      <c r="AK3" s="1381"/>
      <c r="AL3" s="1381"/>
      <c r="AM3" s="1381"/>
      <c r="AN3" s="1381"/>
      <c r="AO3" s="1381"/>
    </row>
    <row r="4" spans="2:41" s="10" customFormat="1" ht="16.5" customHeight="1">
      <c r="B4" s="1378"/>
      <c r="C4" s="26">
        <v>1</v>
      </c>
      <c r="D4" s="26">
        <v>2</v>
      </c>
      <c r="E4" s="26" t="s">
        <v>111</v>
      </c>
      <c r="F4" s="26">
        <v>4</v>
      </c>
      <c r="G4" s="26">
        <v>5</v>
      </c>
      <c r="H4" s="26">
        <v>6</v>
      </c>
      <c r="I4" s="26">
        <v>7</v>
      </c>
      <c r="J4" s="36"/>
      <c r="K4" s="14"/>
      <c r="L4" s="1381"/>
      <c r="M4" s="1381"/>
      <c r="N4" s="1381"/>
      <c r="O4" s="1381"/>
      <c r="P4" s="1381"/>
      <c r="Q4" s="1381"/>
      <c r="R4" s="1381"/>
      <c r="S4" s="1381"/>
      <c r="T4" s="1381"/>
      <c r="U4" s="1382"/>
      <c r="V4" s="1381"/>
      <c r="W4" s="1381"/>
      <c r="X4" s="1381"/>
      <c r="Y4" s="1381"/>
      <c r="Z4" s="1381"/>
      <c r="AA4" s="1382"/>
      <c r="AB4" s="1381"/>
      <c r="AC4" s="1381"/>
      <c r="AD4" s="1381"/>
      <c r="AE4" s="1381"/>
      <c r="AF4" s="1382"/>
      <c r="AG4" s="1381"/>
      <c r="AH4" s="1381"/>
      <c r="AI4" s="1381"/>
      <c r="AJ4" s="1381"/>
      <c r="AK4" s="1381"/>
      <c r="AL4" s="1381"/>
      <c r="AM4" s="1381"/>
      <c r="AN4" s="1381"/>
      <c r="AO4" s="1381"/>
    </row>
    <row r="5" spans="2:41" s="10" customFormat="1" ht="126" customHeight="1">
      <c r="B5" s="2088" t="s">
        <v>112</v>
      </c>
      <c r="C5" s="2087" t="s">
        <v>113</v>
      </c>
      <c r="D5" s="2087" t="s">
        <v>114</v>
      </c>
      <c r="E5" s="2087" t="s">
        <v>115</v>
      </c>
      <c r="F5" s="2090" t="s">
        <v>116</v>
      </c>
      <c r="G5" s="2087" t="s">
        <v>117</v>
      </c>
      <c r="H5" s="301" t="s">
        <v>118</v>
      </c>
      <c r="I5" s="301" t="s">
        <v>119</v>
      </c>
      <c r="J5" s="282"/>
      <c r="K5" s="2087" t="s">
        <v>120</v>
      </c>
      <c r="L5" s="16"/>
      <c r="M5" s="2081" t="s">
        <v>121</v>
      </c>
      <c r="N5" s="2081" t="s">
        <v>122</v>
      </c>
      <c r="O5" s="1381"/>
      <c r="P5" s="1381"/>
      <c r="Q5" s="1381"/>
      <c r="R5" s="1381"/>
      <c r="S5" s="1381"/>
      <c r="T5" s="1381"/>
      <c r="U5" s="1382"/>
      <c r="V5" s="1381" t="s">
        <v>121</v>
      </c>
      <c r="W5" s="1381"/>
      <c r="X5" s="1381"/>
      <c r="Y5" s="1381"/>
      <c r="Z5" s="1381"/>
      <c r="AA5" s="1382"/>
      <c r="AB5" s="1381" t="s">
        <v>122</v>
      </c>
      <c r="AC5" s="1381"/>
      <c r="AD5" s="1381"/>
      <c r="AE5" s="1381"/>
      <c r="AF5" s="1382"/>
      <c r="AG5" s="1381"/>
      <c r="AH5" s="1482" t="s">
        <v>112</v>
      </c>
      <c r="AI5" s="1482" t="s">
        <v>113</v>
      </c>
      <c r="AJ5" s="1483" t="s">
        <v>291</v>
      </c>
      <c r="AK5" s="1319" t="s">
        <v>292</v>
      </c>
      <c r="AL5" s="1320" t="s">
        <v>293</v>
      </c>
      <c r="AM5" s="1482" t="s">
        <v>117</v>
      </c>
      <c r="AN5" s="301" t="s">
        <v>118</v>
      </c>
      <c r="AO5" s="301" t="s">
        <v>119</v>
      </c>
    </row>
    <row r="6" spans="2:41" s="10" customFormat="1" ht="16.149999999999999" customHeight="1">
      <c r="B6" s="2088"/>
      <c r="C6" s="2087"/>
      <c r="D6" s="2087"/>
      <c r="E6" s="2089"/>
      <c r="F6" s="2091"/>
      <c r="G6" s="2087"/>
      <c r="H6" s="1320" t="s">
        <v>123</v>
      </c>
      <c r="I6" s="1320" t="s">
        <v>123</v>
      </c>
      <c r="J6" s="282"/>
      <c r="K6" s="2087"/>
      <c r="L6" s="16"/>
      <c r="M6" s="2081"/>
      <c r="N6" s="2081"/>
      <c r="O6" s="1381"/>
      <c r="P6" s="1381"/>
      <c r="Q6" s="1381"/>
      <c r="R6" s="1381"/>
      <c r="S6" s="1381"/>
      <c r="T6" s="1381"/>
      <c r="U6" s="1382"/>
      <c r="V6" s="330" t="s">
        <v>124</v>
      </c>
      <c r="W6" s="1381"/>
      <c r="X6" s="1381"/>
      <c r="Y6" s="1381"/>
      <c r="Z6" s="1381"/>
      <c r="AA6" s="1382"/>
      <c r="AB6" s="330" t="s">
        <v>125</v>
      </c>
      <c r="AC6" s="1381"/>
      <c r="AD6" s="330" t="s">
        <v>294</v>
      </c>
      <c r="AE6" s="1381"/>
      <c r="AF6" s="1382"/>
      <c r="AG6" s="1381"/>
      <c r="AH6" s="1482"/>
      <c r="AI6" s="1482"/>
      <c r="AJ6" s="1482"/>
      <c r="AK6" s="1484"/>
      <c r="AL6" s="1320"/>
      <c r="AM6" s="1482" t="s">
        <v>295</v>
      </c>
      <c r="AN6" s="1320" t="s">
        <v>123</v>
      </c>
      <c r="AO6" s="1320" t="s">
        <v>123</v>
      </c>
    </row>
    <row r="7" spans="2:41" s="10" customFormat="1" ht="16.5" customHeight="1">
      <c r="B7" s="1378"/>
      <c r="C7" s="1378"/>
      <c r="D7" s="1378"/>
      <c r="E7" s="1378"/>
      <c r="F7" s="1378"/>
      <c r="G7" s="1378"/>
      <c r="H7" s="1378"/>
      <c r="I7" s="1378"/>
      <c r="J7" s="36"/>
      <c r="K7" s="14"/>
      <c r="L7" s="1381"/>
      <c r="M7" s="1381"/>
      <c r="N7" s="1381"/>
      <c r="O7" s="1381"/>
      <c r="P7" s="1381"/>
      <c r="Q7" s="1381"/>
      <c r="R7" s="1381"/>
      <c r="S7" s="1381"/>
      <c r="T7" s="1381"/>
      <c r="U7" s="1382"/>
      <c r="V7" s="1381" t="s">
        <v>127</v>
      </c>
      <c r="W7" s="1381"/>
      <c r="X7" s="1381"/>
      <c r="Y7" s="1381"/>
      <c r="Z7" s="1381"/>
      <c r="AA7" s="1382"/>
      <c r="AB7" s="330" t="s">
        <v>296</v>
      </c>
      <c r="AC7" s="1381"/>
      <c r="AD7" s="330" t="s">
        <v>128</v>
      </c>
      <c r="AE7" s="1381"/>
      <c r="AF7" s="1382"/>
      <c r="AG7" s="1381"/>
      <c r="AH7" s="1378"/>
      <c r="AI7" s="1378"/>
      <c r="AJ7" s="1378"/>
      <c r="AK7" s="1378"/>
      <c r="AL7" s="1378"/>
      <c r="AM7" s="1378"/>
      <c r="AN7" s="1378"/>
      <c r="AO7" s="1378"/>
    </row>
    <row r="8" spans="2:41" s="10" customFormat="1" ht="16.5" customHeight="1">
      <c r="B8" s="311" t="s">
        <v>297</v>
      </c>
      <c r="C8" s="13"/>
      <c r="D8" s="1378"/>
      <c r="E8" s="1378"/>
      <c r="F8" s="1378"/>
      <c r="G8" s="1378"/>
      <c r="H8" s="1378"/>
      <c r="I8" s="1378"/>
      <c r="J8" s="36"/>
      <c r="K8" s="14"/>
      <c r="L8" s="1381"/>
      <c r="M8" s="1381"/>
      <c r="N8" s="1381"/>
      <c r="O8" s="1381"/>
      <c r="P8" s="1381"/>
      <c r="Q8" s="1381"/>
      <c r="R8" s="1381"/>
      <c r="S8" s="1381"/>
      <c r="T8" s="1381"/>
      <c r="U8" s="1382"/>
      <c r="V8" s="327">
        <v>3</v>
      </c>
      <c r="W8" s="327">
        <v>4</v>
      </c>
      <c r="X8" s="327">
        <v>5</v>
      </c>
      <c r="Y8" s="327">
        <v>6</v>
      </c>
      <c r="Z8" s="327">
        <v>7</v>
      </c>
      <c r="AA8" s="331"/>
      <c r="AB8" s="327">
        <v>4</v>
      </c>
      <c r="AC8" s="327">
        <v>5</v>
      </c>
      <c r="AD8" s="327">
        <v>6</v>
      </c>
      <c r="AE8" s="327">
        <v>6</v>
      </c>
      <c r="AF8" s="1382"/>
      <c r="AG8" s="1381"/>
      <c r="AH8" s="311" t="s">
        <v>297</v>
      </c>
      <c r="AI8" s="13"/>
      <c r="AJ8" s="1378"/>
      <c r="AK8" s="1378"/>
      <c r="AL8" s="1378"/>
      <c r="AM8" s="1378"/>
      <c r="AN8" s="1378"/>
      <c r="AO8" s="1378"/>
    </row>
    <row r="9" spans="2:41" s="10" customFormat="1" ht="39.4">
      <c r="B9" s="290" t="str">
        <f>IF('Validation summary'!$F$3="Woc","","Internal sewer flooding")</f>
        <v>Internal sewer flooding</v>
      </c>
      <c r="C9" s="295" t="str">
        <f>IF(OR($K$3="Select company",'Validation summary'!$F$3="WoC"),"",VLOOKUP('3A'!$R$1,C_ISF,2,0))</f>
        <v>PR19SRN_WWN01</v>
      </c>
      <c r="D9" s="295" t="str">
        <f>IF('Validation summary'!$F$3="Woc","","Number of internal sewer flooding incidents per 10,000 sewer connection")</f>
        <v>Number of internal sewer flooding incidents per 10,000 sewer connection</v>
      </c>
      <c r="E9" s="295">
        <f>IF(OR($K$3="Select company",'Validation summary'!$F$3="WoC"),"",INDEX(App1bdata,MATCH($C9,App1bIDnrs,0),22))</f>
        <v>2</v>
      </c>
      <c r="F9" s="1872">
        <f>IF('Validation summary'!$F$3="WoC","",'3G'!$H$11)</f>
        <v>2.5721106095414079</v>
      </c>
      <c r="G9" s="1863" t="s">
        <v>131</v>
      </c>
      <c r="H9" s="1871">
        <f>IF($C9="","",SUM(HLOOKUP($C9,'Model outputs - PC level'!$J$5:$BS$19,12,0),HLOOKUP($C9,'Model outputs - PC level'!$J$5:$BS$19,13,0)))</f>
        <v>-6.2794099999999995</v>
      </c>
      <c r="I9" s="1873">
        <v>-21.029856919959762</v>
      </c>
      <c r="J9" s="36"/>
      <c r="K9" s="294" t="s">
        <v>298</v>
      </c>
      <c r="L9" s="1381"/>
      <c r="M9" s="329">
        <f>IF(SUM($V9:$Z9)=0,0,$V$6)</f>
        <v>0</v>
      </c>
      <c r="N9" s="343">
        <f>IF(OR($AB9=1,$AD9=1),$AD$6,IF($AE9=1,$AD$7,0))</f>
        <v>0</v>
      </c>
      <c r="O9" s="1381"/>
      <c r="P9" s="1381"/>
      <c r="Q9" s="1381"/>
      <c r="R9" s="1381"/>
      <c r="S9" s="1381"/>
      <c r="T9" s="1381"/>
      <c r="U9" s="1382"/>
      <c r="V9" s="328"/>
      <c r="W9" s="328"/>
      <c r="X9" s="328">
        <f>IF($C9="",0,IF(ISBLANK($G9)=TRUE,1,0))</f>
        <v>0</v>
      </c>
      <c r="Y9" s="328"/>
      <c r="Z9" s="328">
        <f>IF($C9="",0,IF(ISBLANK($I9)=TRUE,1,0))</f>
        <v>0</v>
      </c>
      <c r="AA9" s="1382"/>
      <c r="AB9" s="332">
        <f>IF(ISERROR($F9)=TRUE,1,0)</f>
        <v>0</v>
      </c>
      <c r="AC9" s="332"/>
      <c r="AD9" s="328">
        <f>IF(ISERROR($H9)=TRUE,1,0)</f>
        <v>0</v>
      </c>
      <c r="AE9" s="332">
        <f>IF($C15="",0,IF(OR(AND(G9="Yes",H9&gt;=0),AND(G9="No",H9&lt;=0),AND(G9="-",H9=0)),0,1))</f>
        <v>0</v>
      </c>
      <c r="AF9" s="1382"/>
      <c r="AG9" s="1381"/>
      <c r="AH9" s="290" t="str">
        <f>B9</f>
        <v>Internal sewer flooding</v>
      </c>
      <c r="AI9" s="290" t="str">
        <f t="shared" ref="AI9:AK12" si="0">C9</f>
        <v>PR19SRN_WWN01</v>
      </c>
      <c r="AJ9" s="290" t="str">
        <f t="shared" si="0"/>
        <v>Number of internal sewer flooding incidents per 10,000 sewer connection</v>
      </c>
      <c r="AK9" s="290">
        <f t="shared" si="0"/>
        <v>2</v>
      </c>
      <c r="AL9" s="1485" t="s">
        <v>299</v>
      </c>
      <c r="AM9" s="1486" t="s">
        <v>300</v>
      </c>
      <c r="AN9" s="1486" t="s">
        <v>301</v>
      </c>
      <c r="AO9" s="1487" t="s">
        <v>302</v>
      </c>
    </row>
    <row r="10" spans="2:41" s="10" customFormat="1" ht="28.5" customHeight="1">
      <c r="B10" s="290" t="str">
        <f>IF('Validation summary'!$F$3="Woc","","Pollution incidents")</f>
        <v>Pollution incidents</v>
      </c>
      <c r="C10" s="295" t="str">
        <f>IF(OR($K$3="Select company",'Validation summary'!$F$3="WoC"),"",VLOOKUP('3A'!$R$1,C_PI,2,0))</f>
        <v>PR19SRN_WWN02</v>
      </c>
      <c r="D10" s="295" t="str">
        <f>IF('Validation summary'!$F$3="Woc","","Pollution incidents per 10,000 km of sewer length")</f>
        <v>Pollution incidents per 10,000 km of sewer length</v>
      </c>
      <c r="E10" s="295">
        <f>IF(OR($K$3="Select company",'Validation summary'!$F$3="WoC"),"",INDEX(App1bdata,MATCH($C10,App1bIDnrs,0),22))</f>
        <v>2</v>
      </c>
      <c r="F10" s="1872">
        <f>IF('Validation summary'!$F$3="WoC","",'3G'!$H$12)</f>
        <v>58.899041002793929</v>
      </c>
      <c r="G10" s="1863" t="s">
        <v>131</v>
      </c>
      <c r="H10" s="1871">
        <f>IF($C10="","",SUM(HLOOKUP($C10,'Model outputs - PC level'!$J$5:$BS$19,12,0),HLOOKUP($C10,'Model outputs - PC level'!$J$5:$BS$19,13,0)))</f>
        <v>-8.3821499999999993</v>
      </c>
      <c r="I10" s="1873">
        <v>-41.548499999999997</v>
      </c>
      <c r="J10" s="36"/>
      <c r="K10" s="294" t="s">
        <v>303</v>
      </c>
      <c r="L10" s="1381"/>
      <c r="M10" s="329">
        <f>IF(SUM($V10:$Z10)=0,0,$V$6)</f>
        <v>0</v>
      </c>
      <c r="N10" s="343">
        <f>IF(OR($AB10=1,$AD10=1),$AD$6,IF($AE10=1,$AD$7,0))</f>
        <v>0</v>
      </c>
      <c r="O10" s="1381"/>
      <c r="P10" s="1381"/>
      <c r="Q10" s="1381"/>
      <c r="R10" s="1381"/>
      <c r="S10" s="1381"/>
      <c r="T10" s="1381"/>
      <c r="U10" s="1382"/>
      <c r="V10" s="328"/>
      <c r="W10" s="328"/>
      <c r="X10" s="328">
        <f>IF($C10="",0,IF(ISBLANK($G10)=TRUE,1,0))</f>
        <v>0</v>
      </c>
      <c r="Y10" s="328"/>
      <c r="Z10" s="328">
        <f>IF($C10="",0,IF(ISBLANK($I10)=TRUE,1,0))</f>
        <v>0</v>
      </c>
      <c r="AA10" s="1382"/>
      <c r="AB10" s="332">
        <f t="shared" ref="AB10:AB11" si="1">IF(ISERROR($F10)=TRUE,1,0)</f>
        <v>0</v>
      </c>
      <c r="AC10" s="332"/>
      <c r="AD10" s="328">
        <f t="shared" ref="AD10:AD12" si="2">IF(ISERROR($H10)=TRUE,1,0)</f>
        <v>0</v>
      </c>
      <c r="AE10" s="332">
        <f>IF($C16="",0,IF(OR(AND(G10="Yes",H10&gt;=0),AND(G10="No",H10&lt;=0),AND(G10="-",H10=0)),0,1))</f>
        <v>0</v>
      </c>
      <c r="AF10" s="1382"/>
      <c r="AG10" s="1381"/>
      <c r="AH10" s="290" t="str">
        <f t="shared" ref="AH10:AH12" si="3">B10</f>
        <v>Pollution incidents</v>
      </c>
      <c r="AI10" s="290" t="str">
        <f t="shared" si="0"/>
        <v>PR19SRN_WWN02</v>
      </c>
      <c r="AJ10" s="290" t="str">
        <f t="shared" si="0"/>
        <v>Pollution incidents per 10,000 km of sewer length</v>
      </c>
      <c r="AK10" s="290">
        <f t="shared" si="0"/>
        <v>2</v>
      </c>
      <c r="AL10" s="1485" t="s">
        <v>304</v>
      </c>
      <c r="AM10" s="1486" t="s">
        <v>305</v>
      </c>
      <c r="AN10" s="1486" t="s">
        <v>306</v>
      </c>
      <c r="AO10" s="1487" t="s">
        <v>307</v>
      </c>
    </row>
    <row r="11" spans="2:41" s="10" customFormat="1" ht="39.4" customHeight="1">
      <c r="B11" s="290" t="str">
        <f>IF('Validation summary'!$F$3="Woc","","Sewer collapses")</f>
        <v>Sewer collapses</v>
      </c>
      <c r="C11" s="295" t="str">
        <f>IF(OR($K$3="Select company",'Validation summary'!$F$3="WoC"),"",VLOOKUP('3A'!$R$1,C_SC,2,0))</f>
        <v>PR19SRN_WWN04</v>
      </c>
      <c r="D11" s="295" t="str">
        <f>IF('Validation summary'!$F$3="Woc","","Number of sewer collapses per 1,000 km of all sewers")</f>
        <v>Number of sewer collapses per 1,000 km of all sewers</v>
      </c>
      <c r="E11" s="295">
        <f>IF(OR($K$3="Select company",'Validation summary'!$F$3="WoC"),"",INDEX(App1bdata,MATCH($C11,App1bIDnrs,0),22))</f>
        <v>2</v>
      </c>
      <c r="F11" s="1872">
        <f>IF('Validation summary'!$F$3="WoC","",'3G'!$H$13)</f>
        <v>5.8454697609352753</v>
      </c>
      <c r="G11" s="1863" t="s">
        <v>131</v>
      </c>
      <c r="H11" s="1871">
        <f>IF($C11="","",SUM(HLOOKUP($C11,'Model outputs - PC level'!$J$5:$BS$19,12,0),HLOOKUP($C11,'Model outputs - PC level'!$J$5:$BS$19,13,0)))</f>
        <v>-0.58975999999999884</v>
      </c>
      <c r="I11" s="1873">
        <v>-10.357659999999864</v>
      </c>
      <c r="J11" s="36"/>
      <c r="K11" s="294" t="s">
        <v>308</v>
      </c>
      <c r="L11" s="1381"/>
      <c r="M11" s="329">
        <f>IF(SUM($V11:$Z11)=0,0,$V$6)</f>
        <v>0</v>
      </c>
      <c r="N11" s="343">
        <f>IF(OR($AB11=1,$AD11=1),$AD$6,IF($AE11=1,$AD$7,0))</f>
        <v>0</v>
      </c>
      <c r="O11" s="1381"/>
      <c r="P11" s="1381"/>
      <c r="Q11" s="1381"/>
      <c r="R11" s="1381"/>
      <c r="S11" s="1381"/>
      <c r="T11" s="1381"/>
      <c r="U11" s="1382"/>
      <c r="V11" s="328"/>
      <c r="W11" s="328"/>
      <c r="X11" s="328">
        <f>IF($C11="",0,IF(ISBLANK($G11)=TRUE,1,0))</f>
        <v>0</v>
      </c>
      <c r="Y11" s="328"/>
      <c r="Z11" s="328">
        <f>IF($C11="",0,IF(ISBLANK($I11)=TRUE,1,0))</f>
        <v>0</v>
      </c>
      <c r="AA11" s="1382"/>
      <c r="AB11" s="332">
        <f t="shared" si="1"/>
        <v>0</v>
      </c>
      <c r="AC11" s="332"/>
      <c r="AD11" s="328">
        <f t="shared" si="2"/>
        <v>0</v>
      </c>
      <c r="AE11" s="332">
        <f>IF($C17="",0,IF(OR(AND(G11="Yes",H11&gt;=0),AND(G11="No",H11&lt;=0),AND(G11="-",H11=0)),0,1))</f>
        <v>0</v>
      </c>
      <c r="AF11" s="1382"/>
      <c r="AG11" s="1381"/>
      <c r="AH11" s="290" t="str">
        <f t="shared" si="3"/>
        <v>Sewer collapses</v>
      </c>
      <c r="AI11" s="290" t="str">
        <f t="shared" si="0"/>
        <v>PR19SRN_WWN04</v>
      </c>
      <c r="AJ11" s="290" t="str">
        <f t="shared" si="0"/>
        <v>Number of sewer collapses per 1,000 km of all sewers</v>
      </c>
      <c r="AK11" s="290">
        <f t="shared" si="0"/>
        <v>2</v>
      </c>
      <c r="AL11" s="1485" t="s">
        <v>309</v>
      </c>
      <c r="AM11" s="1486" t="s">
        <v>310</v>
      </c>
      <c r="AN11" s="1486" t="s">
        <v>311</v>
      </c>
      <c r="AO11" s="1487" t="s">
        <v>312</v>
      </c>
    </row>
    <row r="12" spans="2:41" s="10" customFormat="1" ht="28.5" customHeight="1">
      <c r="B12" s="290" t="str">
        <f>IF('Validation summary'!$F$3="Woc","","Treatment works compliance")</f>
        <v>Treatment works compliance</v>
      </c>
      <c r="C12" s="295" t="str">
        <f>IF(OR($K$3="Select company",'Validation summary'!$F$3="WoC"),"",VLOOKUP('3A'!$R$1,C_TWC,2,0))</f>
        <v>PR19SRN_WWN05</v>
      </c>
      <c r="D12" s="295" t="str">
        <f>IF('Validation summary'!$F$3="Woc","","%")</f>
        <v>%</v>
      </c>
      <c r="E12" s="295">
        <f>IF(OR($K$3="Select company",'Validation summary'!$F$3="WoC"),"",INDEX(App1bdata,MATCH($C12,App1bIDnrs,0),22))</f>
        <v>2</v>
      </c>
      <c r="F12" s="1874">
        <v>99.36</v>
      </c>
      <c r="G12" s="1863" t="s">
        <v>131</v>
      </c>
      <c r="H12" s="1871">
        <f>IF($C12="","",SUM(HLOOKUP($C12,'Model outputs - PC level'!$J$5:$BS$19,12,0),HLOOKUP($C12,'Model outputs - PC level'!$J$5:$BS$19,13,0)))</f>
        <v>0</v>
      </c>
      <c r="I12" s="1873">
        <v>-37.799999999999997</v>
      </c>
      <c r="J12" s="36"/>
      <c r="K12" s="294" t="s">
        <v>313</v>
      </c>
      <c r="L12" s="1381"/>
      <c r="M12" s="329">
        <f>IF(SUM($V12:$Z12)=0,0,$V$6)</f>
        <v>0</v>
      </c>
      <c r="N12" s="343">
        <f>IF(SUM($AB12:$AB12)&lt;&gt;0,$AB$7,IF($AD12=1,$AD$6,IF($AE12=1,$AD$7,0)))</f>
        <v>0</v>
      </c>
      <c r="O12" s="1381"/>
      <c r="P12" s="1381"/>
      <c r="Q12" s="1381"/>
      <c r="R12" s="1381"/>
      <c r="S12" s="1381"/>
      <c r="T12" s="1381"/>
      <c r="U12" s="1382"/>
      <c r="V12" s="328"/>
      <c r="W12" s="328">
        <f>IF($C12="",0,IF(ISBLANK($F12)=TRUE,1,0))</f>
        <v>0</v>
      </c>
      <c r="X12" s="328">
        <f>IF($C12="",0,IF(ISBLANK($G12)=TRUE,1,0))</f>
        <v>0</v>
      </c>
      <c r="Y12" s="328"/>
      <c r="Z12" s="328">
        <f>IF($C12="",0,IF(ISBLANK($I12)=TRUE,1,0))</f>
        <v>0</v>
      </c>
      <c r="AA12" s="1382"/>
      <c r="AB12" s="332">
        <f>IF(OR($F12&lt;0,$F12&gt;100),1,0)</f>
        <v>0</v>
      </c>
      <c r="AC12" s="332"/>
      <c r="AD12" s="328">
        <f t="shared" si="2"/>
        <v>0</v>
      </c>
      <c r="AE12" s="332">
        <f>IF($C18="",0,IF(OR(AND(G12="Yes",H12&gt;=0),AND(G12="No",H12&lt;=0),AND(G12="-",H12=0)),0,1))</f>
        <v>0</v>
      </c>
      <c r="AF12" s="1382"/>
      <c r="AG12" s="1381"/>
      <c r="AH12" s="290" t="str">
        <f t="shared" si="3"/>
        <v>Treatment works compliance</v>
      </c>
      <c r="AI12" s="290" t="str">
        <f t="shared" si="0"/>
        <v>PR19SRN_WWN05</v>
      </c>
      <c r="AJ12" s="290" t="str">
        <f t="shared" si="0"/>
        <v>%</v>
      </c>
      <c r="AK12" s="290">
        <f t="shared" si="0"/>
        <v>2</v>
      </c>
      <c r="AL12" s="1486" t="s">
        <v>314</v>
      </c>
      <c r="AM12" s="1486" t="s">
        <v>315</v>
      </c>
      <c r="AN12" s="1486" t="s">
        <v>316</v>
      </c>
      <c r="AO12" s="1487" t="s">
        <v>317</v>
      </c>
    </row>
    <row r="13" spans="2:41" s="10" customFormat="1" ht="15.75">
      <c r="B13" s="1378"/>
      <c r="C13" s="1378"/>
      <c r="D13" s="1378"/>
      <c r="E13" s="1378"/>
      <c r="F13" s="1378"/>
      <c r="G13" s="1378"/>
      <c r="H13" s="1378"/>
      <c r="I13" s="1378"/>
      <c r="J13" s="36"/>
      <c r="K13" s="1381"/>
      <c r="L13" s="1381"/>
      <c r="M13" s="1381"/>
      <c r="N13" s="1381"/>
      <c r="O13" s="1381"/>
      <c r="P13" s="1381"/>
      <c r="Q13" s="1381"/>
      <c r="R13" s="1381"/>
      <c r="S13" s="1381"/>
      <c r="T13" s="1381"/>
      <c r="U13" s="1382"/>
      <c r="V13" s="1381" t="s">
        <v>174</v>
      </c>
      <c r="W13" s="328"/>
      <c r="X13" s="328"/>
      <c r="Y13" s="328"/>
      <c r="Z13" s="328"/>
      <c r="AA13" s="1382"/>
      <c r="AB13" s="1381"/>
      <c r="AC13" s="1381"/>
      <c r="AD13" s="332"/>
      <c r="AE13" s="1381"/>
      <c r="AF13" s="1382"/>
      <c r="AG13" s="1381"/>
      <c r="AH13" s="1378"/>
      <c r="AI13" s="1378"/>
      <c r="AJ13" s="1378"/>
      <c r="AK13" s="1378"/>
      <c r="AL13" s="1378"/>
      <c r="AM13" s="1378"/>
      <c r="AN13" s="1378"/>
      <c r="AO13" s="1378"/>
    </row>
    <row r="14" spans="2:41" s="10" customFormat="1" ht="16.5" customHeight="1">
      <c r="B14" s="311" t="s">
        <v>318</v>
      </c>
      <c r="C14" s="13"/>
      <c r="D14" s="1378"/>
      <c r="E14" s="1378"/>
      <c r="F14" s="1378"/>
      <c r="G14" s="1378"/>
      <c r="H14" s="1378"/>
      <c r="I14" s="1378"/>
      <c r="J14" s="1381"/>
      <c r="K14" s="1381"/>
      <c r="L14" s="1381"/>
      <c r="M14" s="1381"/>
      <c r="N14" s="1381"/>
      <c r="O14" s="1381"/>
      <c r="P14" s="1381"/>
      <c r="Q14" s="1381"/>
      <c r="R14" s="1381"/>
      <c r="S14" s="1381"/>
      <c r="T14" s="1381"/>
      <c r="U14" s="1382"/>
      <c r="V14" s="327">
        <v>3</v>
      </c>
      <c r="W14" s="327">
        <v>4</v>
      </c>
      <c r="X14" s="327">
        <v>5</v>
      </c>
      <c r="Y14" s="327">
        <v>6</v>
      </c>
      <c r="Z14" s="327">
        <v>7</v>
      </c>
      <c r="AA14" s="331"/>
      <c r="AB14" s="327">
        <v>4</v>
      </c>
      <c r="AC14" s="327">
        <v>5</v>
      </c>
      <c r="AD14" s="327">
        <v>6</v>
      </c>
      <c r="AE14" s="327">
        <v>6</v>
      </c>
      <c r="AF14" s="1382"/>
      <c r="AG14" s="1381"/>
      <c r="AH14" s="311" t="s">
        <v>318</v>
      </c>
      <c r="AI14" s="13"/>
      <c r="AJ14" s="1378"/>
      <c r="AK14" s="1378"/>
      <c r="AL14" s="1378"/>
      <c r="AM14" s="1378"/>
      <c r="AN14" s="1378"/>
      <c r="AO14" s="1378"/>
    </row>
    <row r="15" spans="2:41" s="10" customFormat="1" ht="28.5" customHeight="1">
      <c r="B15" s="290" t="str">
        <f>IF(OR($K$3="Select company",'Validation summary'!$F$3="WoC"),"",IF($C15="","",INDEX(App1data,MATCH($C15,App1IDnrs,0),5)))</f>
        <v>Effluent re-use</v>
      </c>
      <c r="C15" s="295" t="str">
        <f>IF(OR($K$3="Select company",'Validation summary'!$F$3="WoC"),"",IF(HLOOKUP('3A'!$R$1,BWW_FIN_All,'PC lists'!$B59,0)="","",HLOOKUP('3A'!$R$1,BWW_FIN_All,'PC lists'!$B59,0)))</f>
        <v>PR19SRN_WWN07</v>
      </c>
      <c r="D15" s="295" t="str">
        <f t="shared" ref="D15:D28" si="4">IF($C15="","",INDEX(App1data,MATCH($C15,App1IDnrs,0),20))</f>
        <v>nr</v>
      </c>
      <c r="E15" s="295">
        <f t="shared" ref="E15:E28" si="5">IF($C15="","",INDEX(App1data,MATCH($C15,App1IDnrs,0),22))</f>
        <v>0</v>
      </c>
      <c r="F15" s="1863">
        <v>79</v>
      </c>
      <c r="G15" s="1863" t="s">
        <v>168</v>
      </c>
      <c r="H15" s="1871">
        <f>IF($C15="","",SUM(HLOOKUP($C15,'Model outputs - PC level'!$J$5:$BS$19,12,0),HLOOKUP($C15,'Model outputs - PC level'!$J$5:$BS$19,13,0)))</f>
        <v>2.5990999999999997E-4</v>
      </c>
      <c r="I15" s="1873">
        <v>2.0437479999999997E-3</v>
      </c>
      <c r="J15" s="1381"/>
      <c r="K15" s="294" t="s">
        <v>319</v>
      </c>
      <c r="L15" s="1381"/>
      <c r="M15" s="329">
        <f t="shared" ref="M15:M28" si="6">IF(SUM($V15:$Z15)=0,0,$V$6)</f>
        <v>0</v>
      </c>
      <c r="N15" s="329">
        <f>IF($AD15=1,$AD$6,IF($AE15=1,$AD$7,0))</f>
        <v>0</v>
      </c>
      <c r="O15" s="1381"/>
      <c r="P15" s="1381"/>
      <c r="Q15" s="1381"/>
      <c r="R15" s="1381"/>
      <c r="S15" s="1381"/>
      <c r="T15" s="1381"/>
      <c r="U15" s="1382"/>
      <c r="V15" s="328"/>
      <c r="W15" s="328">
        <f t="shared" ref="W15:W28" si="7">IF($C15="",0,IF(ISBLANK($F15)=TRUE,1,0))</f>
        <v>0</v>
      </c>
      <c r="X15" s="328">
        <f t="shared" ref="X15:X28" si="8">IF($C15="",0,IF(ISBLANK($G15)=TRUE,1,0))</f>
        <v>0</v>
      </c>
      <c r="Y15" s="328"/>
      <c r="Z15" s="328">
        <f t="shared" ref="Z15:Z28" si="9">IF($C15="",0,IF(ISBLANK($I15)=TRUE,1,0))</f>
        <v>0</v>
      </c>
      <c r="AA15" s="323"/>
      <c r="AB15" s="17"/>
      <c r="AC15" s="17"/>
      <c r="AD15" s="332">
        <f t="shared" ref="AD15:AD28" si="10">IF($C15="",0,IF(ISERROR($H15)=TRUE,1,0))</f>
        <v>0</v>
      </c>
      <c r="AE15" s="332">
        <f>IF($C15="",0,IF(OR(AND(G15="Yes",H15&gt;=0),AND(G15="No",H15&lt;=0),AND(G15="-",H15=0)),0,1))</f>
        <v>0</v>
      </c>
      <c r="AF15" s="1382"/>
      <c r="AG15" s="1381"/>
      <c r="AH15" s="290" t="str">
        <f t="shared" ref="AH15:AK28" si="11">B15</f>
        <v>Effluent re-use</v>
      </c>
      <c r="AI15" s="290" t="str">
        <f t="shared" si="11"/>
        <v>PR19SRN_WWN07</v>
      </c>
      <c r="AJ15" s="290" t="str">
        <f t="shared" si="11"/>
        <v>nr</v>
      </c>
      <c r="AK15" s="290">
        <f t="shared" si="11"/>
        <v>0</v>
      </c>
      <c r="AL15" s="1486" t="s">
        <v>320</v>
      </c>
      <c r="AM15" s="1486" t="s">
        <v>321</v>
      </c>
      <c r="AN15" s="1486" t="s">
        <v>322</v>
      </c>
      <c r="AO15" s="1487" t="s">
        <v>323</v>
      </c>
    </row>
    <row r="16" spans="2:41" s="10" customFormat="1" ht="28.5" customHeight="1">
      <c r="B16" s="290" t="str">
        <f>IF(OR($K$3="Select company",'Validation summary'!$F$3="WoC"),"",IF($C16="","",INDEX(App1data,MATCH($C16,App1IDnrs,0),5)))</f>
        <v xml:space="preserve">Renewable Generation </v>
      </c>
      <c r="C16" s="295" t="str">
        <f>IF(OR($K$3="Select company",'Validation summary'!$F$3="WoC"),"",IF(HLOOKUP('3A'!$R$1,BWW_FIN_All,'PC lists'!$B60,0)="","",HLOOKUP('3A'!$R$1,BWW_FIN_All,'PC lists'!$B60,0)))</f>
        <v>PR19SRN_BIO01</v>
      </c>
      <c r="D16" s="295" t="str">
        <f t="shared" si="4"/>
        <v>%</v>
      </c>
      <c r="E16" s="295">
        <f t="shared" si="5"/>
        <v>2</v>
      </c>
      <c r="F16" s="1863">
        <v>13.32</v>
      </c>
      <c r="G16" s="1863" t="s">
        <v>131</v>
      </c>
      <c r="H16" s="1871">
        <f>IF($C16="","",SUM(HLOOKUP($C16,'Model outputs - PC level'!$J$5:$BS$19,12,0),HLOOKUP($C16,'Model outputs - PC level'!$J$5:$BS$19,13,0)))</f>
        <v>-1.3260000000000001</v>
      </c>
      <c r="I16" s="1873">
        <v>-6.6300000000000008</v>
      </c>
      <c r="J16" s="1381"/>
      <c r="K16" s="294" t="s">
        <v>324</v>
      </c>
      <c r="L16" s="1381"/>
      <c r="M16" s="329">
        <f t="shared" si="6"/>
        <v>0</v>
      </c>
      <c r="N16" s="329">
        <f t="shared" ref="N16:N28" si="12">IF($AD16=1,$AD$6,IF($AE16=1,$AD$7,0))</f>
        <v>0</v>
      </c>
      <c r="O16" s="1381"/>
      <c r="P16" s="1381"/>
      <c r="Q16" s="1381"/>
      <c r="R16" s="1381"/>
      <c r="S16" s="1381"/>
      <c r="T16" s="1381"/>
      <c r="U16" s="1382"/>
      <c r="V16" s="328"/>
      <c r="W16" s="328">
        <f t="shared" si="7"/>
        <v>0</v>
      </c>
      <c r="X16" s="328">
        <f t="shared" si="8"/>
        <v>0</v>
      </c>
      <c r="Y16" s="328"/>
      <c r="Z16" s="328">
        <f t="shared" si="9"/>
        <v>0</v>
      </c>
      <c r="AA16" s="323"/>
      <c r="AB16" s="17"/>
      <c r="AC16" s="17"/>
      <c r="AD16" s="332">
        <f t="shared" si="10"/>
        <v>0</v>
      </c>
      <c r="AE16" s="332">
        <f t="shared" ref="AE16:AE28" si="13">IF($C16="",0,IF(OR(AND(G16="Yes",H16&gt;=0),AND(G16="No",H16&lt;=0),AND(G16="-",H16=0)),0,1))</f>
        <v>0</v>
      </c>
      <c r="AF16" s="1382"/>
      <c r="AG16" s="1381"/>
      <c r="AH16" s="290" t="str">
        <f t="shared" si="11"/>
        <v xml:space="preserve">Renewable Generation </v>
      </c>
      <c r="AI16" s="290" t="str">
        <f t="shared" si="11"/>
        <v>PR19SRN_BIO01</v>
      </c>
      <c r="AJ16" s="290" t="str">
        <f t="shared" si="11"/>
        <v>%</v>
      </c>
      <c r="AK16" s="290">
        <f t="shared" si="11"/>
        <v>2</v>
      </c>
      <c r="AL16" s="1486" t="s">
        <v>325</v>
      </c>
      <c r="AM16" s="1486" t="s">
        <v>326</v>
      </c>
      <c r="AN16" s="1486" t="s">
        <v>327</v>
      </c>
      <c r="AO16" s="1487" t="s">
        <v>328</v>
      </c>
    </row>
    <row r="17" spans="2:41" s="10" customFormat="1" ht="28.5" customHeight="1">
      <c r="B17" s="290" t="str">
        <f>IF(OR($K$3="Select company",'Validation summary'!$F$3="WoC"),"",IF($C17="","",INDEX(App1data,MATCH($C17,App1IDnrs,0),5)))</f>
        <v>Satisfactory bioresources recycling</v>
      </c>
      <c r="C17" s="295" t="str">
        <f>IF(OR($K$3="Select company",'Validation summary'!$F$3="WoC"),"",IF(HLOOKUP('3A'!$R$1,BWW_FIN_All,'PC lists'!$B61,0)="","",HLOOKUP('3A'!$R$1,BWW_FIN_All,'PC lists'!$B61,0)))</f>
        <v>PR19SRN_BIO02</v>
      </c>
      <c r="D17" s="295" t="str">
        <f t="shared" si="4"/>
        <v>%</v>
      </c>
      <c r="E17" s="295">
        <f t="shared" si="5"/>
        <v>2</v>
      </c>
      <c r="F17" s="1863">
        <v>100</v>
      </c>
      <c r="G17" s="1863" t="s">
        <v>168</v>
      </c>
      <c r="H17" s="1871">
        <f>IF($C17="","",SUM(HLOOKUP($C17,'Model outputs - PC level'!$J$5:$BS$19,12,0),HLOOKUP($C17,'Model outputs - PC level'!$J$5:$BS$19,13,0)))</f>
        <v>0</v>
      </c>
      <c r="I17" s="1873">
        <v>7.1054273576010019E-15</v>
      </c>
      <c r="J17" s="1381"/>
      <c r="K17" s="294" t="s">
        <v>329</v>
      </c>
      <c r="L17" s="1381"/>
      <c r="M17" s="329">
        <f t="shared" si="6"/>
        <v>0</v>
      </c>
      <c r="N17" s="329">
        <f t="shared" si="12"/>
        <v>0</v>
      </c>
      <c r="O17" s="1381"/>
      <c r="P17" s="1381"/>
      <c r="Q17" s="1381"/>
      <c r="R17" s="1381"/>
      <c r="S17" s="1381"/>
      <c r="T17" s="1381"/>
      <c r="U17" s="1382"/>
      <c r="V17" s="328"/>
      <c r="W17" s="328">
        <f t="shared" si="7"/>
        <v>0</v>
      </c>
      <c r="X17" s="328">
        <f t="shared" si="8"/>
        <v>0</v>
      </c>
      <c r="Y17" s="328"/>
      <c r="Z17" s="328">
        <f t="shared" si="9"/>
        <v>0</v>
      </c>
      <c r="AA17" s="323"/>
      <c r="AB17" s="17"/>
      <c r="AC17" s="17"/>
      <c r="AD17" s="332">
        <f t="shared" si="10"/>
        <v>0</v>
      </c>
      <c r="AE17" s="332">
        <f t="shared" si="13"/>
        <v>0</v>
      </c>
      <c r="AF17" s="1382"/>
      <c r="AG17" s="1381"/>
      <c r="AH17" s="290" t="str">
        <f t="shared" si="11"/>
        <v>Satisfactory bioresources recycling</v>
      </c>
      <c r="AI17" s="290" t="str">
        <f t="shared" si="11"/>
        <v>PR19SRN_BIO02</v>
      </c>
      <c r="AJ17" s="290" t="str">
        <f t="shared" si="11"/>
        <v>%</v>
      </c>
      <c r="AK17" s="290">
        <f t="shared" si="11"/>
        <v>2</v>
      </c>
      <c r="AL17" s="1486" t="s">
        <v>330</v>
      </c>
      <c r="AM17" s="1486" t="s">
        <v>331</v>
      </c>
      <c r="AN17" s="1486" t="s">
        <v>332</v>
      </c>
      <c r="AO17" s="1487" t="s">
        <v>333</v>
      </c>
    </row>
    <row r="18" spans="2:41" s="10" customFormat="1" ht="28.5" customHeight="1">
      <c r="B18" s="290" t="str">
        <f>IF(OR($K$3="Select company",'Validation summary'!$F$3="WoC"),"",IF($C18="","",INDEX(App1data,MATCH($C18,App1IDnrs,0),5)))</f>
        <v>River water quality</v>
      </c>
      <c r="C18" s="295" t="str">
        <f>IF(OR($K$3="Select company",'Validation summary'!$F$3="WoC"),"",IF(HLOOKUP('3A'!$R$1,BWW_FIN_All,'PC lists'!$B62,0)="","",HLOOKUP('3A'!$R$1,BWW_FIN_All,'PC lists'!$B62,0)))</f>
        <v>PR19SRN_WWN09</v>
      </c>
      <c r="D18" s="295" t="str">
        <f t="shared" si="4"/>
        <v>nr</v>
      </c>
      <c r="E18" s="295">
        <f t="shared" si="5"/>
        <v>2</v>
      </c>
      <c r="F18" s="1865">
        <v>102.7</v>
      </c>
      <c r="G18" s="1863" t="s">
        <v>168</v>
      </c>
      <c r="H18" s="1871">
        <f>IF($C18="","",SUM(HLOOKUP($C18,'Model outputs - PC level'!$J$5:$BS$19,12,0),HLOOKUP($C18,'Model outputs - PC level'!$J$5:$BS$19,13,0)))</f>
        <v>0</v>
      </c>
      <c r="I18" s="1873">
        <v>-0.44640000000001123</v>
      </c>
      <c r="J18" s="1381"/>
      <c r="K18" s="294" t="s">
        <v>334</v>
      </c>
      <c r="L18" s="1381"/>
      <c r="M18" s="329">
        <f t="shared" si="6"/>
        <v>0</v>
      </c>
      <c r="N18" s="329">
        <f t="shared" si="12"/>
        <v>0</v>
      </c>
      <c r="O18" s="1381"/>
      <c r="P18" s="1381"/>
      <c r="Q18" s="1381"/>
      <c r="R18" s="1381"/>
      <c r="S18" s="1381"/>
      <c r="T18" s="1381"/>
      <c r="U18" s="1382"/>
      <c r="V18" s="328"/>
      <c r="W18" s="328">
        <f t="shared" si="7"/>
        <v>0</v>
      </c>
      <c r="X18" s="328">
        <f t="shared" si="8"/>
        <v>0</v>
      </c>
      <c r="Y18" s="328"/>
      <c r="Z18" s="328">
        <f t="shared" si="9"/>
        <v>0</v>
      </c>
      <c r="AA18" s="323"/>
      <c r="AB18" s="17"/>
      <c r="AC18" s="17"/>
      <c r="AD18" s="332">
        <f t="shared" si="10"/>
        <v>0</v>
      </c>
      <c r="AE18" s="332">
        <f t="shared" si="13"/>
        <v>0</v>
      </c>
      <c r="AF18" s="1382"/>
      <c r="AG18" s="1381"/>
      <c r="AH18" s="290" t="str">
        <f t="shared" si="11"/>
        <v>River water quality</v>
      </c>
      <c r="AI18" s="290" t="str">
        <f t="shared" si="11"/>
        <v>PR19SRN_WWN09</v>
      </c>
      <c r="AJ18" s="290" t="str">
        <f t="shared" si="11"/>
        <v>nr</v>
      </c>
      <c r="AK18" s="290">
        <f t="shared" si="11"/>
        <v>2</v>
      </c>
      <c r="AL18" s="1486" t="s">
        <v>335</v>
      </c>
      <c r="AM18" s="1486" t="s">
        <v>336</v>
      </c>
      <c r="AN18" s="1486" t="s">
        <v>337</v>
      </c>
      <c r="AO18" s="1487" t="s">
        <v>338</v>
      </c>
    </row>
    <row r="19" spans="2:41" s="10" customFormat="1" ht="28.5" customHeight="1">
      <c r="B19" s="290" t="str">
        <f>IF(OR($K$3="Select company",'Validation summary'!$F$3="WoC"),"",IF($C19="","",INDEX(App1data,MATCH($C19,App1IDnrs,0),5)))</f>
        <v>Maintain Bathing waters at ‘Excellent’.</v>
      </c>
      <c r="C19" s="295" t="str">
        <f>IF(OR($K$3="Select company",'Validation summary'!$F$3="WoC"),"",IF(HLOOKUP('3A'!$R$1,BWW_FIN_All,'PC lists'!$B63,0)="","",HLOOKUP('3A'!$R$1,BWW_FIN_All,'PC lists'!$B63,0)))</f>
        <v>PR19SRN_WWN11</v>
      </c>
      <c r="D19" s="295" t="str">
        <f t="shared" si="4"/>
        <v>nr</v>
      </c>
      <c r="E19" s="295">
        <f t="shared" si="5"/>
        <v>0</v>
      </c>
      <c r="F19" s="1863">
        <v>48</v>
      </c>
      <c r="G19" s="1863" t="s">
        <v>131</v>
      </c>
      <c r="H19" s="1871">
        <f>IF($C19="","",SUM(HLOOKUP($C19,'Model outputs - PC level'!$J$5:$BS$19,12,0),HLOOKUP($C19,'Model outputs - PC level'!$J$5:$BS$19,13,0)))</f>
        <v>-4.05</v>
      </c>
      <c r="I19" s="1873">
        <v>-7.6499999999999977</v>
      </c>
      <c r="J19" s="1381"/>
      <c r="K19" s="294" t="s">
        <v>339</v>
      </c>
      <c r="L19" s="1381"/>
      <c r="M19" s="329">
        <f t="shared" si="6"/>
        <v>0</v>
      </c>
      <c r="N19" s="329">
        <f t="shared" si="12"/>
        <v>0</v>
      </c>
      <c r="O19" s="1381"/>
      <c r="P19" s="1381"/>
      <c r="Q19" s="1381"/>
      <c r="R19" s="1381"/>
      <c r="S19" s="1381"/>
      <c r="T19" s="1381"/>
      <c r="U19" s="323"/>
      <c r="V19" s="328"/>
      <c r="W19" s="328">
        <f t="shared" si="7"/>
        <v>0</v>
      </c>
      <c r="X19" s="328">
        <f t="shared" si="8"/>
        <v>0</v>
      </c>
      <c r="Y19" s="328"/>
      <c r="Z19" s="328">
        <f t="shared" si="9"/>
        <v>0</v>
      </c>
      <c r="AA19" s="323"/>
      <c r="AB19" s="17"/>
      <c r="AC19" s="17"/>
      <c r="AD19" s="332">
        <f t="shared" si="10"/>
        <v>0</v>
      </c>
      <c r="AE19" s="332">
        <f t="shared" si="13"/>
        <v>0</v>
      </c>
      <c r="AF19" s="323"/>
      <c r="AG19" s="1381"/>
      <c r="AH19" s="290" t="str">
        <f t="shared" si="11"/>
        <v>Maintain Bathing waters at ‘Excellent’.</v>
      </c>
      <c r="AI19" s="290" t="str">
        <f t="shared" si="11"/>
        <v>PR19SRN_WWN11</v>
      </c>
      <c r="AJ19" s="290" t="str">
        <f t="shared" si="11"/>
        <v>nr</v>
      </c>
      <c r="AK19" s="290">
        <f t="shared" si="11"/>
        <v>0</v>
      </c>
      <c r="AL19" s="1486" t="s">
        <v>340</v>
      </c>
      <c r="AM19" s="1486" t="s">
        <v>341</v>
      </c>
      <c r="AN19" s="1486" t="s">
        <v>342</v>
      </c>
      <c r="AO19" s="1487" t="s">
        <v>343</v>
      </c>
    </row>
    <row r="20" spans="2:41" s="10" customFormat="1" ht="28.5" customHeight="1">
      <c r="B20" s="290" t="str">
        <f>IF(OR($K$3="Select company",'Validation summary'!$F$3="WoC"),"",IF($C20="","",INDEX(App1data,MATCH($C20,App1IDnrs,0),5)))</f>
        <v>Improve the number of Bathing waters to at least ‘Good’ (Cost Adjustment Claim).</v>
      </c>
      <c r="C20" s="295" t="str">
        <f>IF(OR($K$3="Select company",'Validation summary'!$F$3="WoC"),"",IF(HLOOKUP('3A'!$R$1,BWW_FIN_All,'PC lists'!$B64,0)="","",HLOOKUP('3A'!$R$1,BWW_FIN_All,'PC lists'!$B64,0)))</f>
        <v>PR19SRN_WWN12</v>
      </c>
      <c r="D20" s="295" t="str">
        <f t="shared" si="4"/>
        <v>nr</v>
      </c>
      <c r="E20" s="295">
        <f t="shared" si="5"/>
        <v>0</v>
      </c>
      <c r="F20" s="1863">
        <v>4</v>
      </c>
      <c r="G20" s="1863" t="s">
        <v>168</v>
      </c>
      <c r="H20" s="2070">
        <f>IF($C20="","",SUM(HLOOKUP($C20,'Model outputs - PC level'!$J$5:$BS$19,12,0),HLOOKUP($C20,'Model outputs - PC level'!$J$5:$BS$19,13,0)))</f>
        <v>0</v>
      </c>
      <c r="I20" s="1873">
        <v>0.53</v>
      </c>
      <c r="J20" s="1381"/>
      <c r="K20" s="294" t="s">
        <v>344</v>
      </c>
      <c r="L20" s="1381"/>
      <c r="M20" s="329">
        <f t="shared" si="6"/>
        <v>0</v>
      </c>
      <c r="N20" s="329">
        <f t="shared" si="12"/>
        <v>0</v>
      </c>
      <c r="O20" s="1381"/>
      <c r="P20" s="1381"/>
      <c r="Q20" s="1381"/>
      <c r="R20" s="1381"/>
      <c r="S20" s="1381"/>
      <c r="T20" s="1381"/>
      <c r="U20" s="323"/>
      <c r="V20" s="328"/>
      <c r="W20" s="328">
        <f t="shared" si="7"/>
        <v>0</v>
      </c>
      <c r="X20" s="328">
        <f t="shared" si="8"/>
        <v>0</v>
      </c>
      <c r="Y20" s="328"/>
      <c r="Z20" s="328">
        <f t="shared" si="9"/>
        <v>0</v>
      </c>
      <c r="AA20" s="323"/>
      <c r="AB20" s="17"/>
      <c r="AC20" s="17"/>
      <c r="AD20" s="332">
        <f t="shared" si="10"/>
        <v>0</v>
      </c>
      <c r="AE20" s="332">
        <f t="shared" si="13"/>
        <v>0</v>
      </c>
      <c r="AF20" s="323"/>
      <c r="AG20" s="1381"/>
      <c r="AH20" s="290" t="str">
        <f t="shared" si="11"/>
        <v>Improve the number of Bathing waters to at least ‘Good’ (Cost Adjustment Claim).</v>
      </c>
      <c r="AI20" s="290" t="str">
        <f t="shared" si="11"/>
        <v>PR19SRN_WWN12</v>
      </c>
      <c r="AJ20" s="290" t="str">
        <f t="shared" si="11"/>
        <v>nr</v>
      </c>
      <c r="AK20" s="290">
        <f t="shared" si="11"/>
        <v>0</v>
      </c>
      <c r="AL20" s="1486" t="s">
        <v>345</v>
      </c>
      <c r="AM20" s="1486" t="s">
        <v>346</v>
      </c>
      <c r="AN20" s="1486" t="s">
        <v>347</v>
      </c>
      <c r="AO20" s="1487" t="s">
        <v>348</v>
      </c>
    </row>
    <row r="21" spans="2:41" s="10" customFormat="1" ht="28.5" customHeight="1">
      <c r="B21" s="290" t="str">
        <f>IF(OR($K$3="Select company",'Validation summary'!$F$3="WoC"),"",IF($C21="","",INDEX(App1data,MATCH($C21,App1IDnrs,0),5)))</f>
        <v>Improve the bathing waters at ‘Excellent’ quality (Cost Adjustment Claim).</v>
      </c>
      <c r="C21" s="295" t="str">
        <f>IF(OR($K$3="Select company",'Validation summary'!$F$3="WoC"),"",IF(HLOOKUP('3A'!$R$1,BWW_FIN_All,'PC lists'!$B65,0)="","",HLOOKUP('3A'!$R$1,BWW_FIN_All,'PC lists'!$B65,0)))</f>
        <v>PR19SRN_WWN13</v>
      </c>
      <c r="D21" s="295" t="str">
        <f t="shared" si="4"/>
        <v>nr</v>
      </c>
      <c r="E21" s="295">
        <f t="shared" si="5"/>
        <v>0</v>
      </c>
      <c r="F21" s="1863">
        <v>4</v>
      </c>
      <c r="G21" s="1863" t="s">
        <v>168</v>
      </c>
      <c r="H21" s="2070">
        <f>IF($C21="","",SUM(HLOOKUP($C21,'Model outputs - PC level'!$J$5:$BS$19,12,0),HLOOKUP($C21,'Model outputs - PC level'!$J$5:$BS$19,13,0)))</f>
        <v>0</v>
      </c>
      <c r="I21" s="1873">
        <v>7.1460000000000008</v>
      </c>
      <c r="J21" s="1381"/>
      <c r="K21" s="294" t="s">
        <v>349</v>
      </c>
      <c r="L21" s="1381"/>
      <c r="M21" s="329">
        <f t="shared" si="6"/>
        <v>0</v>
      </c>
      <c r="N21" s="329">
        <f t="shared" si="12"/>
        <v>0</v>
      </c>
      <c r="O21" s="1381"/>
      <c r="P21" s="1381"/>
      <c r="Q21" s="1381"/>
      <c r="R21" s="1381"/>
      <c r="S21" s="1381"/>
      <c r="T21" s="1381"/>
      <c r="U21" s="323"/>
      <c r="V21" s="328"/>
      <c r="W21" s="328">
        <f t="shared" si="7"/>
        <v>0</v>
      </c>
      <c r="X21" s="328">
        <f t="shared" si="8"/>
        <v>0</v>
      </c>
      <c r="Y21" s="328"/>
      <c r="Z21" s="328">
        <f t="shared" si="9"/>
        <v>0</v>
      </c>
      <c r="AA21" s="323"/>
      <c r="AB21" s="17"/>
      <c r="AC21" s="17"/>
      <c r="AD21" s="332">
        <f t="shared" si="10"/>
        <v>0</v>
      </c>
      <c r="AE21" s="332">
        <f t="shared" si="13"/>
        <v>0</v>
      </c>
      <c r="AF21" s="323"/>
      <c r="AG21" s="1381"/>
      <c r="AH21" s="290" t="str">
        <f t="shared" si="11"/>
        <v>Improve the bathing waters at ‘Excellent’ quality (Cost Adjustment Claim).</v>
      </c>
      <c r="AI21" s="290" t="str">
        <f t="shared" si="11"/>
        <v>PR19SRN_WWN13</v>
      </c>
      <c r="AJ21" s="290" t="str">
        <f t="shared" si="11"/>
        <v>nr</v>
      </c>
      <c r="AK21" s="290">
        <f t="shared" si="11"/>
        <v>0</v>
      </c>
      <c r="AL21" s="1486" t="s">
        <v>350</v>
      </c>
      <c r="AM21" s="1486" t="s">
        <v>351</v>
      </c>
      <c r="AN21" s="1486" t="s">
        <v>352</v>
      </c>
      <c r="AO21" s="1487" t="s">
        <v>353</v>
      </c>
    </row>
    <row r="22" spans="2:41" s="10" customFormat="1" ht="28.5" customHeight="1">
      <c r="B22" s="290" t="str">
        <f>IF(OR($K$3="Select company",'Validation summary'!$F$3="WoC"),"",IF($C22="","",INDEX(App1data,MATCH($C22,App1IDnrs,0),5)))</f>
        <v>Surface water management</v>
      </c>
      <c r="C22" s="295" t="str">
        <f>IF(OR($K$3="Select company",'Validation summary'!$F$3="WoC"),"",IF(HLOOKUP('3A'!$R$1,BWW_FIN_All,'PC lists'!$B66,0)="","",HLOOKUP('3A'!$R$1,BWW_FIN_All,'PC lists'!$B66,0)))</f>
        <v>PR19SRN_WWN06</v>
      </c>
      <c r="D22" s="295" t="str">
        <f t="shared" si="4"/>
        <v>m3</v>
      </c>
      <c r="E22" s="295">
        <f t="shared" si="5"/>
        <v>0</v>
      </c>
      <c r="F22" s="1865">
        <v>0</v>
      </c>
      <c r="G22" s="1863" t="s">
        <v>131</v>
      </c>
      <c r="H22" s="1871">
        <f>IF($C22="","",SUM(HLOOKUP($C22,'Model outputs - PC level'!$J$5:$BS$19,12,0),HLOOKUP($C22,'Model outputs - PC level'!$J$5:$BS$19,13,0)))</f>
        <v>-5.2218399999999998E-2</v>
      </c>
      <c r="I22" s="1873">
        <v>-0.23898991999999999</v>
      </c>
      <c r="J22" s="1381"/>
      <c r="K22" s="294" t="s">
        <v>354</v>
      </c>
      <c r="L22" s="1381"/>
      <c r="M22" s="329">
        <f t="shared" si="6"/>
        <v>0</v>
      </c>
      <c r="N22" s="329">
        <f t="shared" si="12"/>
        <v>0</v>
      </c>
      <c r="O22" s="1381"/>
      <c r="P22" s="1381"/>
      <c r="Q22" s="1381"/>
      <c r="R22" s="1381"/>
      <c r="S22" s="1381"/>
      <c r="T22" s="1381"/>
      <c r="U22" s="323"/>
      <c r="V22" s="328"/>
      <c r="W22" s="328">
        <f t="shared" si="7"/>
        <v>0</v>
      </c>
      <c r="X22" s="328">
        <f t="shared" si="8"/>
        <v>0</v>
      </c>
      <c r="Y22" s="328"/>
      <c r="Z22" s="328">
        <f t="shared" si="9"/>
        <v>0</v>
      </c>
      <c r="AA22" s="323"/>
      <c r="AB22" s="17"/>
      <c r="AC22" s="17"/>
      <c r="AD22" s="332">
        <f t="shared" si="10"/>
        <v>0</v>
      </c>
      <c r="AE22" s="332">
        <f t="shared" si="13"/>
        <v>0</v>
      </c>
      <c r="AF22" s="323"/>
      <c r="AG22" s="1381"/>
      <c r="AH22" s="290" t="str">
        <f t="shared" si="11"/>
        <v>Surface water management</v>
      </c>
      <c r="AI22" s="290" t="str">
        <f t="shared" si="11"/>
        <v>PR19SRN_WWN06</v>
      </c>
      <c r="AJ22" s="290" t="str">
        <f t="shared" si="11"/>
        <v>m3</v>
      </c>
      <c r="AK22" s="290">
        <f t="shared" si="11"/>
        <v>0</v>
      </c>
      <c r="AL22" s="1486" t="s">
        <v>355</v>
      </c>
      <c r="AM22" s="1486" t="s">
        <v>356</v>
      </c>
      <c r="AN22" s="1486" t="s">
        <v>357</v>
      </c>
      <c r="AO22" s="1487" t="s">
        <v>358</v>
      </c>
    </row>
    <row r="23" spans="2:41" s="10" customFormat="1" ht="28.5" customHeight="1">
      <c r="B23" s="290" t="str">
        <f>IF(OR($K$3="Select company",'Validation summary'!$F$3="WoC"),"",IF($C23="","",INDEX(App1data,MATCH($C23,App1IDnrs,0),5)))</f>
        <v>External sewer flooding</v>
      </c>
      <c r="C23" s="295" t="str">
        <f>IF(OR($K$3="Select company",'Validation summary'!$F$3="WoC"),"",IF(HLOOKUP('3A'!$R$1,BWW_FIN_All,'PC lists'!$B67,0)="","",HLOOKUP('3A'!$R$1,BWW_FIN_All,'PC lists'!$B67,0)))</f>
        <v>PR19SRN_WWN08</v>
      </c>
      <c r="D23" s="295" t="str">
        <f t="shared" si="4"/>
        <v>nr</v>
      </c>
      <c r="E23" s="295">
        <f t="shared" si="5"/>
        <v>0</v>
      </c>
      <c r="F23" s="1863">
        <v>3245</v>
      </c>
      <c r="G23" s="1863" t="s">
        <v>168</v>
      </c>
      <c r="H23" s="1871">
        <f>IF($C23="","",SUM(HLOOKUP($C23,'Model outputs - PC level'!$J$5:$BS$19,12,0),HLOOKUP($C23,'Model outputs - PC level'!$J$5:$BS$19,13,0)))</f>
        <v>1.7027399999999999</v>
      </c>
      <c r="I23" s="1873">
        <v>5.0360699999999969</v>
      </c>
      <c r="J23" s="1381"/>
      <c r="K23" s="294" t="s">
        <v>359</v>
      </c>
      <c r="L23" s="1381"/>
      <c r="M23" s="329">
        <f t="shared" si="6"/>
        <v>0</v>
      </c>
      <c r="N23" s="329">
        <f t="shared" si="12"/>
        <v>0</v>
      </c>
      <c r="O23" s="1381"/>
      <c r="P23" s="1381"/>
      <c r="Q23" s="1381"/>
      <c r="R23" s="1381"/>
      <c r="S23" s="1381"/>
      <c r="T23" s="1381"/>
      <c r="U23" s="323"/>
      <c r="V23" s="328"/>
      <c r="W23" s="328">
        <f t="shared" si="7"/>
        <v>0</v>
      </c>
      <c r="X23" s="328">
        <f t="shared" si="8"/>
        <v>0</v>
      </c>
      <c r="Y23" s="328"/>
      <c r="Z23" s="328">
        <f t="shared" si="9"/>
        <v>0</v>
      </c>
      <c r="AA23" s="323"/>
      <c r="AB23" s="17"/>
      <c r="AC23" s="17"/>
      <c r="AD23" s="332">
        <f t="shared" si="10"/>
        <v>0</v>
      </c>
      <c r="AE23" s="332">
        <f t="shared" si="13"/>
        <v>0</v>
      </c>
      <c r="AF23" s="323"/>
      <c r="AG23" s="1381"/>
      <c r="AH23" s="290" t="str">
        <f t="shared" si="11"/>
        <v>External sewer flooding</v>
      </c>
      <c r="AI23" s="290" t="str">
        <f t="shared" si="11"/>
        <v>PR19SRN_WWN08</v>
      </c>
      <c r="AJ23" s="290" t="str">
        <f t="shared" si="11"/>
        <v>nr</v>
      </c>
      <c r="AK23" s="290">
        <f t="shared" si="11"/>
        <v>0</v>
      </c>
      <c r="AL23" s="1486" t="s">
        <v>360</v>
      </c>
      <c r="AM23" s="1486" t="s">
        <v>361</v>
      </c>
      <c r="AN23" s="1486" t="s">
        <v>362</v>
      </c>
      <c r="AO23" s="1487" t="s">
        <v>363</v>
      </c>
    </row>
    <row r="24" spans="2:41" s="10" customFormat="1" ht="28.5" customHeight="1">
      <c r="B24" s="290" t="str">
        <f>IF(OR($K$3="Select company",'Validation summary'!$F$3="WoC"),"",IF($C24="","",INDEX(App1data,MATCH($C24,App1IDnrs,0),5)))</f>
        <v>Thanet Sewers</v>
      </c>
      <c r="C24" s="295" t="str">
        <f>IF(OR($K$3="Select company",'Validation summary'!$F$3="WoC"),"",IF(HLOOKUP('3A'!$R$1,BWW_FIN_All,'PC lists'!$B68,0)="","",HLOOKUP('3A'!$R$1,BWW_FIN_All,'PC lists'!$B68,0)))</f>
        <v>PR19SRN_WWN16</v>
      </c>
      <c r="D24" s="295" t="str">
        <f t="shared" si="4"/>
        <v>months</v>
      </c>
      <c r="E24" s="295">
        <f t="shared" si="5"/>
        <v>0</v>
      </c>
      <c r="F24" s="1863">
        <v>0</v>
      </c>
      <c r="G24" s="1863" t="s">
        <v>168</v>
      </c>
      <c r="H24" s="1871">
        <f>IF($C24="","",SUM(HLOOKUP($C24,'Model outputs - PC level'!$J$5:$BS$19,12,0),HLOOKUP($C24,'Model outputs - PC level'!$J$5:$BS$19,13,0)))</f>
        <v>0</v>
      </c>
      <c r="I24" s="1873">
        <v>0</v>
      </c>
      <c r="J24" s="1381"/>
      <c r="K24" s="294" t="s">
        <v>364</v>
      </c>
      <c r="L24" s="1381"/>
      <c r="M24" s="329">
        <f t="shared" si="6"/>
        <v>0</v>
      </c>
      <c r="N24" s="329">
        <f t="shared" si="12"/>
        <v>0</v>
      </c>
      <c r="O24" s="1381"/>
      <c r="P24" s="1381"/>
      <c r="Q24" s="1381"/>
      <c r="R24" s="1381"/>
      <c r="S24" s="1381"/>
      <c r="T24" s="1381"/>
      <c r="U24" s="323"/>
      <c r="V24" s="328"/>
      <c r="W24" s="328">
        <f t="shared" si="7"/>
        <v>0</v>
      </c>
      <c r="X24" s="328">
        <f t="shared" si="8"/>
        <v>0</v>
      </c>
      <c r="Y24" s="328"/>
      <c r="Z24" s="328">
        <f t="shared" si="9"/>
        <v>0</v>
      </c>
      <c r="AA24" s="323"/>
      <c r="AB24" s="17"/>
      <c r="AC24" s="17"/>
      <c r="AD24" s="332">
        <f t="shared" si="10"/>
        <v>0</v>
      </c>
      <c r="AE24" s="332">
        <f t="shared" si="13"/>
        <v>0</v>
      </c>
      <c r="AF24" s="323"/>
      <c r="AG24" s="1381"/>
      <c r="AH24" s="290" t="str">
        <f t="shared" si="11"/>
        <v>Thanet Sewers</v>
      </c>
      <c r="AI24" s="290" t="str">
        <f t="shared" si="11"/>
        <v>PR19SRN_WWN16</v>
      </c>
      <c r="AJ24" s="290" t="str">
        <f t="shared" si="11"/>
        <v>months</v>
      </c>
      <c r="AK24" s="290">
        <f t="shared" si="11"/>
        <v>0</v>
      </c>
      <c r="AL24" s="1486" t="s">
        <v>365</v>
      </c>
      <c r="AM24" s="1486" t="s">
        <v>366</v>
      </c>
      <c r="AN24" s="1486" t="s">
        <v>367</v>
      </c>
      <c r="AO24" s="1487" t="s">
        <v>368</v>
      </c>
    </row>
    <row r="25" spans="2:41" s="10" customFormat="1" ht="28.5" customHeight="1">
      <c r="B25" s="290" t="str">
        <f>IF(OR($K$3="Select company",'Validation summary'!$F$3="WoC"),"",IF($C25="","",INDEX(App1data,MATCH($C25,App1IDnrs,0),5)))</f>
        <v/>
      </c>
      <c r="C25" s="295" t="str">
        <f>IF(OR($K$3="Select company",'Validation summary'!$F$3="WoC"),"",IF(HLOOKUP('3A'!$R$1,BWW_FIN_All,'PC lists'!$B69,0)="","",HLOOKUP('3A'!$R$1,BWW_FIN_All,'PC lists'!$B69,0)))</f>
        <v/>
      </c>
      <c r="D25" s="295" t="str">
        <f t="shared" si="4"/>
        <v/>
      </c>
      <c r="E25" s="295" t="str">
        <f t="shared" si="5"/>
        <v/>
      </c>
      <c r="F25" s="1863"/>
      <c r="G25" s="1863"/>
      <c r="H25" s="1871" t="str">
        <f>IF($C25="","",SUM(HLOOKUP($C25,'Model outputs - PC level'!$J$5:$BS$19,12,0),HLOOKUP($C25,'Model outputs - PC level'!$J$5:$BS$19,13,0)))</f>
        <v/>
      </c>
      <c r="I25" s="1873"/>
      <c r="J25" s="1381"/>
      <c r="K25" s="294" t="s">
        <v>369</v>
      </c>
      <c r="L25" s="1381"/>
      <c r="M25" s="329">
        <f t="shared" si="6"/>
        <v>0</v>
      </c>
      <c r="N25" s="329">
        <f t="shared" si="12"/>
        <v>0</v>
      </c>
      <c r="O25" s="1381"/>
      <c r="P25" s="1381"/>
      <c r="Q25" s="1381"/>
      <c r="R25" s="1381"/>
      <c r="S25" s="1381"/>
      <c r="T25" s="1381"/>
      <c r="U25" s="323"/>
      <c r="V25" s="328"/>
      <c r="W25" s="328">
        <f t="shared" si="7"/>
        <v>0</v>
      </c>
      <c r="X25" s="328">
        <f t="shared" si="8"/>
        <v>0</v>
      </c>
      <c r="Y25" s="328"/>
      <c r="Z25" s="328">
        <f t="shared" si="9"/>
        <v>0</v>
      </c>
      <c r="AA25" s="323"/>
      <c r="AB25" s="17"/>
      <c r="AC25" s="17"/>
      <c r="AD25" s="332">
        <f t="shared" si="10"/>
        <v>0</v>
      </c>
      <c r="AE25" s="332">
        <f t="shared" si="13"/>
        <v>0</v>
      </c>
      <c r="AF25" s="323"/>
      <c r="AG25" s="1381"/>
      <c r="AH25" s="290" t="str">
        <f t="shared" si="11"/>
        <v/>
      </c>
      <c r="AI25" s="290" t="str">
        <f t="shared" si="11"/>
        <v/>
      </c>
      <c r="AJ25" s="290" t="str">
        <f t="shared" si="11"/>
        <v/>
      </c>
      <c r="AK25" s="290" t="str">
        <f t="shared" si="11"/>
        <v/>
      </c>
      <c r="AL25" s="1486" t="s">
        <v>370</v>
      </c>
      <c r="AM25" s="1486" t="s">
        <v>371</v>
      </c>
      <c r="AN25" s="1486" t="s">
        <v>372</v>
      </c>
      <c r="AO25" s="1487" t="s">
        <v>373</v>
      </c>
    </row>
    <row r="26" spans="2:41" s="10" customFormat="1" ht="28.5" customHeight="1">
      <c r="B26" s="290" t="str">
        <f>IF(OR($K$3="Select company",'Validation summary'!$F$3="WoC"),"",IF($C26="","",INDEX(App1data,MATCH($C26,App1IDnrs,0),5)))</f>
        <v/>
      </c>
      <c r="C26" s="295" t="str">
        <f>IF(OR($K$3="Select company",'Validation summary'!$F$3="WoC"),"",IF(HLOOKUP('3A'!$R$1,BWW_FIN_All,'PC lists'!$B70,0)="","",HLOOKUP('3A'!$R$1,BWW_FIN_All,'PC lists'!$B70,0)))</f>
        <v/>
      </c>
      <c r="D26" s="295" t="str">
        <f t="shared" si="4"/>
        <v/>
      </c>
      <c r="E26" s="295" t="str">
        <f t="shared" si="5"/>
        <v/>
      </c>
      <c r="F26" s="1863"/>
      <c r="G26" s="1863"/>
      <c r="H26" s="1871" t="str">
        <f>IF($C26="","",SUM(HLOOKUP($C26,'Model outputs - PC level'!$J$5:$BS$19,12,0),HLOOKUP($C26,'Model outputs - PC level'!$J$5:$BS$19,13,0)))</f>
        <v/>
      </c>
      <c r="I26" s="1873"/>
      <c r="J26" s="1381"/>
      <c r="K26" s="294" t="s">
        <v>374</v>
      </c>
      <c r="L26" s="1381"/>
      <c r="M26" s="329">
        <f t="shared" si="6"/>
        <v>0</v>
      </c>
      <c r="N26" s="329">
        <f t="shared" si="12"/>
        <v>0</v>
      </c>
      <c r="O26" s="1381"/>
      <c r="P26" s="1381"/>
      <c r="Q26" s="1381"/>
      <c r="R26" s="1381"/>
      <c r="S26" s="1381"/>
      <c r="T26" s="1381"/>
      <c r="U26" s="323"/>
      <c r="V26" s="328"/>
      <c r="W26" s="328">
        <f t="shared" si="7"/>
        <v>0</v>
      </c>
      <c r="X26" s="328">
        <f t="shared" si="8"/>
        <v>0</v>
      </c>
      <c r="Y26" s="328"/>
      <c r="Z26" s="328">
        <f t="shared" si="9"/>
        <v>0</v>
      </c>
      <c r="AA26" s="323"/>
      <c r="AB26" s="17"/>
      <c r="AC26" s="17"/>
      <c r="AD26" s="332">
        <f t="shared" si="10"/>
        <v>0</v>
      </c>
      <c r="AE26" s="332">
        <f t="shared" si="13"/>
        <v>0</v>
      </c>
      <c r="AF26" s="323"/>
      <c r="AG26" s="1381"/>
      <c r="AH26" s="290" t="str">
        <f t="shared" si="11"/>
        <v/>
      </c>
      <c r="AI26" s="290" t="str">
        <f t="shared" si="11"/>
        <v/>
      </c>
      <c r="AJ26" s="290" t="str">
        <f t="shared" si="11"/>
        <v/>
      </c>
      <c r="AK26" s="290" t="str">
        <f t="shared" si="11"/>
        <v/>
      </c>
      <c r="AL26" s="1486" t="s">
        <v>375</v>
      </c>
      <c r="AM26" s="1486" t="s">
        <v>376</v>
      </c>
      <c r="AN26" s="1486" t="s">
        <v>377</v>
      </c>
      <c r="AO26" s="1487" t="s">
        <v>378</v>
      </c>
    </row>
    <row r="27" spans="2:41" s="10" customFormat="1" ht="28.5" customHeight="1">
      <c r="B27" s="290" t="str">
        <f>IF(OR($K$3="Select company",'Validation summary'!$F$3="WoC"),"",IF($C27="","",INDEX(App1data,MATCH($C27,App1IDnrs,0),5)))</f>
        <v/>
      </c>
      <c r="C27" s="295" t="str">
        <f>IF(OR($K$3="Select company",'Validation summary'!$F$3="WoC"),"",IF(HLOOKUP('3A'!$R$1,BWW_FIN_All,'PC lists'!$B71,0)="","",HLOOKUP('3A'!$R$1,BWW_FIN_All,'PC lists'!$B71,0)))</f>
        <v/>
      </c>
      <c r="D27" s="295" t="str">
        <f t="shared" si="4"/>
        <v/>
      </c>
      <c r="E27" s="295" t="str">
        <f t="shared" si="5"/>
        <v/>
      </c>
      <c r="F27" s="1863"/>
      <c r="G27" s="1863"/>
      <c r="H27" s="1871" t="str">
        <f>IF($C27="","",SUM(HLOOKUP($C27,'Model outputs - PC level'!$J$5:$BS$19,12,0),HLOOKUP($C27,'Model outputs - PC level'!$J$5:$BS$19,13,0)))</f>
        <v/>
      </c>
      <c r="I27" s="1873"/>
      <c r="J27" s="1381"/>
      <c r="K27" s="294" t="s">
        <v>379</v>
      </c>
      <c r="L27" s="1381"/>
      <c r="M27" s="329">
        <f t="shared" si="6"/>
        <v>0</v>
      </c>
      <c r="N27" s="329">
        <f t="shared" si="12"/>
        <v>0</v>
      </c>
      <c r="O27" s="1381"/>
      <c r="P27" s="1381"/>
      <c r="Q27" s="1381"/>
      <c r="R27" s="1381"/>
      <c r="S27" s="1381"/>
      <c r="T27" s="1381"/>
      <c r="U27" s="323"/>
      <c r="V27" s="328"/>
      <c r="W27" s="328">
        <f t="shared" si="7"/>
        <v>0</v>
      </c>
      <c r="X27" s="328">
        <f t="shared" si="8"/>
        <v>0</v>
      </c>
      <c r="Y27" s="328"/>
      <c r="Z27" s="328">
        <f t="shared" si="9"/>
        <v>0</v>
      </c>
      <c r="AA27" s="323"/>
      <c r="AB27" s="17"/>
      <c r="AC27" s="17"/>
      <c r="AD27" s="332">
        <f t="shared" si="10"/>
        <v>0</v>
      </c>
      <c r="AE27" s="332">
        <f t="shared" si="13"/>
        <v>0</v>
      </c>
      <c r="AF27" s="323"/>
      <c r="AG27" s="1381"/>
      <c r="AH27" s="290" t="str">
        <f t="shared" si="11"/>
        <v/>
      </c>
      <c r="AI27" s="290" t="str">
        <f t="shared" si="11"/>
        <v/>
      </c>
      <c r="AJ27" s="290" t="str">
        <f t="shared" si="11"/>
        <v/>
      </c>
      <c r="AK27" s="290" t="str">
        <f t="shared" si="11"/>
        <v/>
      </c>
      <c r="AL27" s="1486" t="s">
        <v>380</v>
      </c>
      <c r="AM27" s="1486" t="s">
        <v>381</v>
      </c>
      <c r="AN27" s="1486" t="s">
        <v>382</v>
      </c>
      <c r="AO27" s="1487" t="s">
        <v>383</v>
      </c>
    </row>
    <row r="28" spans="2:41" s="10" customFormat="1" ht="28.5" customHeight="1">
      <c r="B28" s="290" t="str">
        <f>IF(OR($K$3="Select company",'Validation summary'!$F$3="WoC"),"",IF($C28="","",INDEX(App1data,MATCH($C28,App1IDnrs,0),5)))</f>
        <v/>
      </c>
      <c r="C28" s="295" t="str">
        <f>IF(OR($K$3="Select company",'Validation summary'!$F$3="WoC"),"",IF(HLOOKUP('3A'!$R$1,BWW_FIN_All,'PC lists'!$B72,0)="","",HLOOKUP('3A'!$R$1,BWW_FIN_All,'PC lists'!$B72,0)))</f>
        <v/>
      </c>
      <c r="D28" s="295" t="str">
        <f t="shared" si="4"/>
        <v/>
      </c>
      <c r="E28" s="295" t="str">
        <f t="shared" si="5"/>
        <v/>
      </c>
      <c r="F28" s="1863"/>
      <c r="G28" s="1863"/>
      <c r="H28" s="1871" t="str">
        <f>IF($C28="","",SUM(HLOOKUP($C28,'Model outputs - PC level'!$J$5:$BS$19,12,0),HLOOKUP($C28,'Model outputs - PC level'!$J$5:$BS$19,13,0)))</f>
        <v/>
      </c>
      <c r="I28" s="1873"/>
      <c r="J28" s="1381"/>
      <c r="K28" s="294" t="s">
        <v>384</v>
      </c>
      <c r="L28" s="1381"/>
      <c r="M28" s="329">
        <f t="shared" si="6"/>
        <v>0</v>
      </c>
      <c r="N28" s="329">
        <f t="shared" si="12"/>
        <v>0</v>
      </c>
      <c r="O28" s="1381"/>
      <c r="P28" s="1381"/>
      <c r="Q28" s="1381"/>
      <c r="R28" s="1381"/>
      <c r="S28" s="1381"/>
      <c r="T28" s="1381"/>
      <c r="U28" s="323"/>
      <c r="V28" s="328"/>
      <c r="W28" s="328">
        <f t="shared" si="7"/>
        <v>0</v>
      </c>
      <c r="X28" s="328">
        <f t="shared" si="8"/>
        <v>0</v>
      </c>
      <c r="Y28" s="328"/>
      <c r="Z28" s="328">
        <f t="shared" si="9"/>
        <v>0</v>
      </c>
      <c r="AA28" s="323"/>
      <c r="AB28" s="17"/>
      <c r="AC28" s="17"/>
      <c r="AD28" s="332">
        <f t="shared" si="10"/>
        <v>0</v>
      </c>
      <c r="AE28" s="332">
        <f t="shared" si="13"/>
        <v>0</v>
      </c>
      <c r="AF28" s="323"/>
      <c r="AG28" s="1381"/>
      <c r="AH28" s="290" t="str">
        <f t="shared" si="11"/>
        <v/>
      </c>
      <c r="AI28" s="290" t="str">
        <f t="shared" si="11"/>
        <v/>
      </c>
      <c r="AJ28" s="290" t="str">
        <f t="shared" si="11"/>
        <v/>
      </c>
      <c r="AK28" s="290" t="str">
        <f t="shared" si="11"/>
        <v/>
      </c>
      <c r="AL28" s="1486" t="s">
        <v>385</v>
      </c>
      <c r="AM28" s="1486" t="s">
        <v>386</v>
      </c>
      <c r="AN28" s="1486" t="s">
        <v>387</v>
      </c>
      <c r="AO28" s="1487" t="s">
        <v>388</v>
      </c>
    </row>
    <row r="29" spans="2:41" s="10" customFormat="1" ht="15.75">
      <c r="B29" s="1381"/>
      <c r="C29" s="1381"/>
      <c r="D29" s="1381"/>
      <c r="E29" s="1381"/>
      <c r="F29" s="1381"/>
      <c r="G29" s="1381"/>
      <c r="H29" s="1381"/>
      <c r="I29" s="1381"/>
      <c r="J29" s="1381"/>
      <c r="K29" s="1381"/>
      <c r="L29" s="1381"/>
      <c r="M29" s="1381"/>
      <c r="N29" s="1381"/>
      <c r="O29" s="1381"/>
      <c r="P29" s="1381"/>
      <c r="Q29" s="1381"/>
      <c r="R29" s="1381"/>
      <c r="S29" s="1381"/>
      <c r="T29" s="1381"/>
      <c r="U29" s="1382"/>
      <c r="V29" s="328"/>
      <c r="W29" s="328"/>
      <c r="X29" s="328"/>
      <c r="Y29" s="328"/>
      <c r="Z29" s="328"/>
      <c r="AA29" s="323"/>
      <c r="AB29" s="17"/>
      <c r="AC29" s="17"/>
      <c r="AD29" s="332"/>
      <c r="AE29" s="17"/>
      <c r="AF29" s="1382"/>
      <c r="AG29" s="1381"/>
      <c r="AH29" s="1381"/>
      <c r="AI29" s="1381"/>
      <c r="AJ29" s="1381"/>
      <c r="AK29" s="1381"/>
      <c r="AL29" s="1381"/>
      <c r="AM29" s="1381"/>
      <c r="AN29" s="1381"/>
      <c r="AO29" s="1381"/>
    </row>
    <row r="30" spans="2:41" s="10" customFormat="1" ht="28.5" customHeight="1">
      <c r="B30" s="290" t="s">
        <v>389</v>
      </c>
      <c r="C30" s="353"/>
      <c r="D30" s="295" t="s">
        <v>278</v>
      </c>
      <c r="E30" s="295">
        <v>0</v>
      </c>
      <c r="F30" s="367"/>
      <c r="G30" s="1875">
        <f>IF('Validation summary'!F3="Woc","",(COUNTIF($G$9:$G$28,"Yes")/(COUNTA($G$9:$G$28) - COUNTIF($G$9:$G$28,"-")))*100)</f>
        <v>50</v>
      </c>
      <c r="H30" s="351"/>
      <c r="I30" s="352"/>
      <c r="J30" s="17"/>
      <c r="K30" s="294" t="s">
        <v>390</v>
      </c>
      <c r="L30" s="1381"/>
      <c r="M30" s="329"/>
      <c r="N30" s="329"/>
      <c r="O30" s="1381"/>
      <c r="P30" s="1381"/>
      <c r="Q30" s="1381"/>
      <c r="R30" s="1381"/>
      <c r="S30" s="1381"/>
      <c r="T30" s="1381"/>
      <c r="U30" s="1382"/>
      <c r="V30" s="328"/>
      <c r="W30" s="328"/>
      <c r="X30" s="328"/>
      <c r="Y30" s="328"/>
      <c r="Z30" s="328"/>
      <c r="AA30" s="323"/>
      <c r="AB30" s="17"/>
      <c r="AC30" s="17"/>
      <c r="AD30" s="332"/>
      <c r="AE30" s="17"/>
      <c r="AF30" s="1382"/>
      <c r="AG30" s="1381"/>
      <c r="AH30" s="290" t="s">
        <v>389</v>
      </c>
      <c r="AI30" s="353"/>
      <c r="AJ30" s="295" t="s">
        <v>278</v>
      </c>
      <c r="AK30" s="295">
        <v>0</v>
      </c>
      <c r="AL30" s="1381"/>
      <c r="AM30" s="1488" t="s">
        <v>391</v>
      </c>
      <c r="AN30" s="351"/>
      <c r="AO30" s="352"/>
    </row>
    <row r="31" spans="2:41" s="10" customFormat="1" ht="14.25">
      <c r="B31" s="1381"/>
      <c r="C31" s="1381"/>
      <c r="D31" s="1381"/>
      <c r="E31" s="1381"/>
      <c r="F31" s="1381"/>
      <c r="G31" s="1381"/>
      <c r="H31" s="1381"/>
      <c r="I31" s="1381"/>
      <c r="J31" s="1381"/>
      <c r="K31" s="1381"/>
      <c r="L31" s="1381"/>
      <c r="M31" s="1381"/>
      <c r="N31" s="1381"/>
      <c r="O31" s="1381"/>
      <c r="P31" s="1381"/>
      <c r="Q31" s="1381"/>
      <c r="R31" s="1381"/>
      <c r="S31" s="1381"/>
      <c r="T31" s="1381"/>
      <c r="U31" s="1382"/>
      <c r="V31" s="1382"/>
      <c r="W31" s="1382"/>
      <c r="X31" s="1382"/>
      <c r="Y31" s="1382"/>
      <c r="Z31" s="1382"/>
      <c r="AA31" s="1382"/>
      <c r="AB31" s="1382"/>
      <c r="AC31" s="1382"/>
      <c r="AD31" s="1382"/>
      <c r="AE31" s="1382"/>
      <c r="AF31" s="1382"/>
      <c r="AG31" s="1381"/>
      <c r="AH31" s="1381"/>
      <c r="AI31" s="1381"/>
      <c r="AJ31" s="1381"/>
      <c r="AK31" s="1381"/>
      <c r="AL31" s="1381"/>
      <c r="AM31" s="1381"/>
      <c r="AN31" s="1381"/>
      <c r="AO31" s="1381"/>
    </row>
    <row r="32" spans="2:41" s="10" customFormat="1" ht="15.75">
      <c r="B32" s="278" t="s">
        <v>284</v>
      </c>
      <c r="C32" s="1381"/>
      <c r="D32" s="1381"/>
      <c r="E32" s="1381"/>
      <c r="F32" s="1381"/>
      <c r="G32" s="1381"/>
      <c r="H32" s="1381"/>
      <c r="I32" s="1381"/>
      <c r="J32" s="1381"/>
      <c r="K32" s="1381"/>
      <c r="L32" s="1381"/>
      <c r="M32" s="1381"/>
      <c r="N32" s="1381"/>
      <c r="O32" s="1381"/>
      <c r="P32" s="1381"/>
      <c r="Q32" s="1381"/>
      <c r="R32" s="1381"/>
      <c r="S32" s="1381"/>
      <c r="T32" s="1381"/>
      <c r="U32" s="325"/>
      <c r="V32" s="339"/>
      <c r="W32" s="339"/>
      <c r="X32" s="339"/>
      <c r="Y32" s="339"/>
      <c r="Z32" s="339"/>
      <c r="AA32" s="325"/>
      <c r="AB32" s="325"/>
      <c r="AC32" s="325"/>
      <c r="AD32" s="340"/>
      <c r="AE32" s="325"/>
      <c r="AF32" s="325"/>
      <c r="AG32" s="1381"/>
      <c r="AH32" s="1381"/>
      <c r="AI32" s="1381"/>
      <c r="AJ32" s="1381"/>
      <c r="AK32" s="1381"/>
      <c r="AL32" s="1381"/>
      <c r="AM32" s="1381"/>
      <c r="AN32" s="1381"/>
      <c r="AO32" s="1381"/>
    </row>
    <row r="33" spans="2:32" ht="15.75">
      <c r="U33" s="325"/>
      <c r="V33" s="339"/>
      <c r="W33" s="339"/>
      <c r="X33" s="339"/>
      <c r="Y33" s="339"/>
      <c r="Z33" s="339"/>
      <c r="AA33" s="325"/>
      <c r="AB33" s="325"/>
      <c r="AC33" s="325"/>
      <c r="AD33" s="340"/>
      <c r="AE33" s="325"/>
      <c r="AF33" s="325"/>
    </row>
    <row r="34" spans="2:32" ht="15.75">
      <c r="B34" s="1858" t="s">
        <v>285</v>
      </c>
      <c r="U34" s="325"/>
      <c r="V34" s="339"/>
      <c r="W34" s="339"/>
      <c r="X34" s="339"/>
      <c r="Y34" s="339"/>
      <c r="Z34" s="339"/>
      <c r="AA34" s="325"/>
      <c r="AB34" s="325"/>
      <c r="AC34" s="325"/>
      <c r="AD34" s="340"/>
      <c r="AE34" s="325"/>
      <c r="AF34" s="325"/>
    </row>
    <row r="35" spans="2:32" ht="16.149999999999999" thickBot="1">
      <c r="B35" s="378"/>
      <c r="U35" s="325"/>
      <c r="V35" s="339"/>
      <c r="W35" s="339"/>
      <c r="X35" s="339"/>
      <c r="Y35" s="339"/>
      <c r="Z35" s="339"/>
      <c r="AA35" s="325"/>
      <c r="AB35" s="325"/>
      <c r="AC35" s="325"/>
      <c r="AD35" s="340"/>
      <c r="AE35" s="325"/>
      <c r="AF35" s="325"/>
    </row>
    <row r="36" spans="2:32" ht="16.5" thickTop="1" thickBot="1">
      <c r="B36" s="1859" t="s">
        <v>286</v>
      </c>
      <c r="U36" s="325"/>
      <c r="V36" s="339"/>
      <c r="W36" s="339"/>
      <c r="X36" s="339"/>
      <c r="Y36" s="339"/>
      <c r="Z36" s="339"/>
      <c r="AA36" s="325"/>
      <c r="AB36" s="325"/>
      <c r="AC36" s="325"/>
      <c r="AD36" s="340"/>
      <c r="AE36" s="325"/>
      <c r="AF36" s="325"/>
    </row>
    <row r="37" spans="2:32" ht="16.149999999999999" thickTop="1">
      <c r="U37" s="325"/>
      <c r="V37" s="339"/>
      <c r="W37" s="339"/>
      <c r="X37" s="339"/>
      <c r="Y37" s="339"/>
      <c r="Z37" s="339"/>
      <c r="AA37" s="325"/>
      <c r="AB37" s="325"/>
      <c r="AC37" s="325"/>
      <c r="AD37" s="340"/>
      <c r="AE37" s="325"/>
      <c r="AF37" s="325"/>
    </row>
    <row r="38" spans="2:32" ht="15.75">
      <c r="B38" s="1860" t="s">
        <v>287</v>
      </c>
      <c r="U38" s="325"/>
      <c r="V38" s="339"/>
      <c r="W38" s="339"/>
      <c r="X38" s="339"/>
      <c r="Y38" s="339"/>
      <c r="Z38" s="339"/>
      <c r="AA38" s="325"/>
      <c r="AB38" s="325"/>
      <c r="AC38" s="325"/>
      <c r="AD38" s="340"/>
      <c r="AE38" s="325"/>
      <c r="AF38" s="325"/>
    </row>
    <row r="39" spans="2:32" ht="15.75">
      <c r="U39" s="325"/>
      <c r="V39" s="339"/>
      <c r="W39" s="339"/>
      <c r="X39" s="339"/>
      <c r="Y39" s="339"/>
      <c r="Z39" s="339"/>
      <c r="AA39" s="325"/>
      <c r="AB39" s="325"/>
      <c r="AC39" s="325"/>
      <c r="AD39" s="340"/>
      <c r="AE39" s="325"/>
      <c r="AF39" s="325"/>
    </row>
    <row r="40" spans="2:32" ht="15.75">
      <c r="B40" s="1861" t="s">
        <v>288</v>
      </c>
      <c r="U40" s="325"/>
      <c r="V40" s="339"/>
      <c r="W40" s="339"/>
      <c r="X40" s="339"/>
      <c r="Y40" s="339"/>
      <c r="Z40" s="339"/>
      <c r="AA40" s="325"/>
      <c r="AB40" s="325"/>
      <c r="AC40" s="325"/>
      <c r="AD40" s="340"/>
      <c r="AE40" s="325"/>
      <c r="AF40" s="325"/>
    </row>
    <row r="41" spans="2:32" ht="15.75">
      <c r="U41" s="325"/>
      <c r="V41" s="339"/>
      <c r="W41" s="339"/>
      <c r="X41" s="339"/>
      <c r="Y41" s="339"/>
      <c r="Z41" s="339"/>
      <c r="AA41" s="325"/>
      <c r="AB41" s="325"/>
      <c r="AC41" s="325"/>
      <c r="AD41" s="340"/>
      <c r="AE41" s="325"/>
      <c r="AF41" s="325"/>
    </row>
    <row r="42" spans="2:32" ht="14.25">
      <c r="B42" s="296" t="str">
        <f>'3A'!$B$53</f>
        <v>Please refer to RAG 4.12 - Guideline for the table definitions in the annual performance report for the reporting year 2023-24</v>
      </c>
      <c r="C42" s="279"/>
      <c r="D42" s="279"/>
      <c r="E42" s="279"/>
      <c r="F42" s="279"/>
      <c r="G42" s="279"/>
      <c r="H42" s="279"/>
      <c r="I42" s="279"/>
      <c r="J42" s="279"/>
      <c r="K42" s="279"/>
      <c r="U42" s="1383"/>
      <c r="V42" s="339"/>
      <c r="W42" s="339"/>
      <c r="X42" s="339"/>
      <c r="Y42" s="339"/>
      <c r="Z42" s="339"/>
      <c r="AA42" s="1383"/>
      <c r="AB42" s="1383"/>
      <c r="AC42" s="1383"/>
      <c r="AD42" s="340"/>
      <c r="AE42" s="1383"/>
      <c r="AF42" s="1383"/>
    </row>
    <row r="43" spans="2:32">
      <c r="U43" s="279"/>
      <c r="V43" s="279"/>
      <c r="W43" s="279"/>
      <c r="X43" s="279"/>
      <c r="Y43" s="279"/>
      <c r="Z43" s="279"/>
      <c r="AA43" s="279"/>
      <c r="AB43" s="279"/>
      <c r="AC43" s="279"/>
      <c r="AD43" s="279"/>
      <c r="AE43" s="279"/>
      <c r="AF43" s="279"/>
    </row>
    <row r="44" spans="2:32" hidden="1">
      <c r="U44" s="279"/>
      <c r="V44" s="279"/>
      <c r="W44" s="279"/>
      <c r="X44" s="279"/>
      <c r="Y44" s="279"/>
      <c r="Z44" s="279"/>
      <c r="AA44" s="279"/>
      <c r="AB44" s="279"/>
      <c r="AC44" s="279"/>
      <c r="AD44" s="279"/>
      <c r="AE44" s="279"/>
      <c r="AF44" s="279"/>
    </row>
    <row r="45" spans="2:32" hidden="1">
      <c r="U45" s="279"/>
      <c r="V45" s="279"/>
      <c r="W45" s="279"/>
      <c r="X45" s="279"/>
      <c r="Y45" s="279"/>
      <c r="Z45" s="279"/>
      <c r="AA45" s="279"/>
      <c r="AB45" s="279"/>
      <c r="AC45" s="279"/>
      <c r="AD45" s="279"/>
      <c r="AE45" s="279"/>
      <c r="AF45" s="279"/>
    </row>
  </sheetData>
  <mergeCells count="9">
    <mergeCell ref="N5:N6"/>
    <mergeCell ref="M5:M6"/>
    <mergeCell ref="K5:K6"/>
    <mergeCell ref="B5:B6"/>
    <mergeCell ref="C5:C6"/>
    <mergeCell ref="D5:D6"/>
    <mergeCell ref="G5:G6"/>
    <mergeCell ref="E5:E6"/>
    <mergeCell ref="F5:F6"/>
  </mergeCells>
  <conditionalFormatting sqref="E9:E12 E15:E28 E30">
    <cfRule type="cellIs" dxfId="292" priority="21" operator="equal">
      <formula>0</formula>
    </cfRule>
  </conditionalFormatting>
  <conditionalFormatting sqref="F15:F28 F30">
    <cfRule type="expression" dxfId="291" priority="52">
      <formula>INDIRECT("E" &amp; ROW()) = 5</formula>
    </cfRule>
    <cfRule type="expression" dxfId="290" priority="53">
      <formula>INDIRECT("E" &amp; ROW()) = 4</formula>
    </cfRule>
    <cfRule type="expression" dxfId="289" priority="54">
      <formula>INDIRECT("E" &amp; ROW()) = 3</formula>
    </cfRule>
    <cfRule type="expression" dxfId="288" priority="55">
      <formula>INDIRECT("E" &amp; ROW()) = 2</formula>
    </cfRule>
    <cfRule type="expression" dxfId="287" priority="56">
      <formula>INDIRECT("E" &amp; ROW()) = 1</formula>
    </cfRule>
    <cfRule type="expression" dxfId="286" priority="57">
      <formula>INDIRECT("E" &amp; ROW()) = 0</formula>
    </cfRule>
  </conditionalFormatting>
  <conditionalFormatting sqref="M9:N12">
    <cfRule type="cellIs" dxfId="284" priority="8" operator="equal">
      <formula>0</formula>
    </cfRule>
  </conditionalFormatting>
  <conditionalFormatting sqref="M15:N28">
    <cfRule type="cellIs" dxfId="283" priority="32" operator="equal">
      <formula>0</formula>
    </cfRule>
  </conditionalFormatting>
  <conditionalFormatting sqref="M30:N30">
    <cfRule type="cellIs" dxfId="282" priority="23" operator="equal">
      <formula>0</formula>
    </cfRule>
  </conditionalFormatting>
  <conditionalFormatting sqref="AK30">
    <cfRule type="cellIs" dxfId="281" priority="1" operator="equal">
      <formula>0</formula>
    </cfRule>
  </conditionalFormatting>
  <conditionalFormatting sqref="AL15:AL28">
    <cfRule type="expression" dxfId="280" priority="2">
      <formula>INDIRECT("E" &amp; ROW()) = 5</formula>
    </cfRule>
    <cfRule type="expression" dxfId="279" priority="3">
      <formula>INDIRECT("E" &amp; ROW()) = 4</formula>
    </cfRule>
    <cfRule type="expression" dxfId="278" priority="4">
      <formula>INDIRECT("E" &amp; ROW()) = 3</formula>
    </cfRule>
    <cfRule type="expression" dxfId="277" priority="5">
      <formula>INDIRECT("E" &amp; ROW()) = 2</formula>
    </cfRule>
    <cfRule type="expression" dxfId="276" priority="6">
      <formula>INDIRECT("E" &amp; ROW()) = 1</formula>
    </cfRule>
    <cfRule type="expression" dxfId="275"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989C4-129B-4F07-A50A-49406F18DDC4}">
  <sheetPr>
    <tabColor rgb="FF0071CE"/>
    <pageSetUpPr autoPageBreaks="0" fitToPage="1"/>
  </sheetPr>
  <dimension ref="B1:AJ26"/>
  <sheetViews>
    <sheetView showGridLines="0" zoomScale="80" zoomScaleNormal="80" zoomScaleSheetLayoutView="100" workbookViewId="0"/>
  </sheetViews>
  <sheetFormatPr defaultColWidth="8.625" defaultRowHeight="15" zeroHeight="1"/>
  <cols>
    <col min="1" max="1" width="1.625" style="2" customWidth="1"/>
    <col min="2" max="2" width="46" style="2" customWidth="1"/>
    <col min="3" max="4" width="14.375" style="2" customWidth="1"/>
    <col min="5" max="5" width="6.375" style="2" customWidth="1"/>
    <col min="6" max="6" width="9.125" style="2" customWidth="1"/>
    <col min="7" max="7" width="6" style="2" customWidth="1"/>
    <col min="8" max="8" width="8.375" style="3" customWidth="1"/>
    <col min="9" max="10" width="12.625" style="2" customWidth="1"/>
    <col min="11" max="14" width="8.625" style="2" customWidth="1"/>
    <col min="15" max="15" width="1.625" style="2" hidden="1" customWidth="1"/>
    <col min="16" max="20" width="3.625" style="2" hidden="1" customWidth="1"/>
    <col min="21" max="21" width="1.625" style="2" hidden="1" customWidth="1"/>
    <col min="22" max="26" width="3.625" style="2" hidden="1" customWidth="1"/>
    <col min="27" max="27" width="1.625" style="2" hidden="1" customWidth="1"/>
    <col min="28" max="33" width="8.625" style="2" customWidth="1"/>
    <col min="34" max="34" width="31.125" style="2" customWidth="1"/>
    <col min="35" max="36" width="15.625" style="2" customWidth="1"/>
    <col min="37" max="16384" width="8.625" style="2"/>
  </cols>
  <sheetData>
    <row r="1" spans="2:36" ht="35.25" customHeight="1">
      <c r="B1" s="41" t="s">
        <v>30</v>
      </c>
      <c r="C1" s="6"/>
      <c r="D1" s="6"/>
      <c r="E1" s="6"/>
      <c r="O1" s="322"/>
      <c r="P1" s="1"/>
      <c r="Q1" s="1"/>
      <c r="R1" s="1"/>
      <c r="S1" s="1"/>
      <c r="T1" s="1"/>
      <c r="U1" s="322"/>
      <c r="V1" s="1"/>
      <c r="W1" s="1"/>
      <c r="X1" s="1"/>
      <c r="Y1" s="1"/>
      <c r="Z1" s="1"/>
      <c r="AA1" s="322"/>
    </row>
    <row r="2" spans="2:36" ht="10.15" customHeight="1">
      <c r="B2" s="7"/>
      <c r="C2" s="7"/>
      <c r="D2" s="7"/>
      <c r="E2" s="7"/>
      <c r="F2" s="7"/>
      <c r="O2" s="322"/>
      <c r="P2" s="1"/>
      <c r="Q2" s="1"/>
      <c r="R2" s="1"/>
      <c r="S2" s="1"/>
      <c r="T2" s="1"/>
      <c r="U2" s="322"/>
      <c r="V2" s="1"/>
      <c r="W2" s="1"/>
      <c r="X2" s="1"/>
      <c r="Y2" s="1"/>
      <c r="Z2" s="1"/>
      <c r="AA2" s="322"/>
    </row>
    <row r="3" spans="2:36" s="19" customFormat="1" ht="31.5" customHeight="1">
      <c r="B3" s="321" t="s">
        <v>31</v>
      </c>
      <c r="C3" s="297"/>
      <c r="D3" s="297"/>
      <c r="E3" s="303"/>
      <c r="F3" s="309" t="str">
        <f>'Validation summary'!$B$3</f>
        <v>Southern Water</v>
      </c>
      <c r="G3" s="1384"/>
      <c r="H3" s="300"/>
      <c r="I3" s="300" t="s">
        <v>109</v>
      </c>
      <c r="J3" s="300"/>
      <c r="O3" s="1382"/>
      <c r="P3" s="1381" t="s">
        <v>121</v>
      </c>
      <c r="Q3" s="1381"/>
      <c r="R3" s="1381"/>
      <c r="S3" s="1381"/>
      <c r="T3" s="1381"/>
      <c r="U3" s="1382"/>
      <c r="V3" s="1381" t="s">
        <v>122</v>
      </c>
      <c r="W3" s="1381"/>
      <c r="X3" s="1381"/>
      <c r="Y3" s="1381"/>
      <c r="Z3" s="1381"/>
      <c r="AA3" s="1382"/>
      <c r="AH3" s="300" t="s">
        <v>110</v>
      </c>
    </row>
    <row r="4" spans="2:36" s="19" customFormat="1" ht="16.5" customHeight="1">
      <c r="B4" s="1381"/>
      <c r="C4" s="1381"/>
      <c r="D4" s="1381"/>
      <c r="E4" s="1381"/>
      <c r="F4" s="1381"/>
      <c r="G4" s="1381"/>
      <c r="I4" s="20"/>
      <c r="O4" s="1382"/>
      <c r="P4" s="330" t="s">
        <v>392</v>
      </c>
      <c r="Q4" s="1381"/>
      <c r="R4" s="1381"/>
      <c r="S4" s="1381"/>
      <c r="T4" s="1381"/>
      <c r="U4" s="1382"/>
      <c r="V4" s="330" t="s">
        <v>125</v>
      </c>
      <c r="W4" s="1381"/>
      <c r="X4" s="330"/>
      <c r="Y4" s="330"/>
      <c r="Z4" s="1381"/>
      <c r="AA4" s="1382"/>
    </row>
    <row r="5" spans="2:36" s="19" customFormat="1" ht="27.75" customHeight="1">
      <c r="B5" s="1320" t="s">
        <v>393</v>
      </c>
      <c r="C5" s="1320" t="s">
        <v>114</v>
      </c>
      <c r="D5" s="1320" t="s">
        <v>394</v>
      </c>
      <c r="E5" s="283"/>
      <c r="F5" s="1320" t="s">
        <v>120</v>
      </c>
      <c r="I5" s="334" t="s">
        <v>121</v>
      </c>
      <c r="J5" s="334" t="s">
        <v>122</v>
      </c>
      <c r="O5" s="1382"/>
      <c r="P5" s="327">
        <v>3</v>
      </c>
      <c r="Q5" s="327"/>
      <c r="R5" s="327"/>
      <c r="S5" s="327"/>
      <c r="T5" s="327"/>
      <c r="U5" s="331"/>
      <c r="V5" s="327">
        <v>3</v>
      </c>
      <c r="W5" s="327"/>
      <c r="X5" s="327"/>
      <c r="Y5" s="327"/>
      <c r="Z5" s="327"/>
      <c r="AA5" s="1382"/>
      <c r="AH5" s="1320" t="s">
        <v>393</v>
      </c>
      <c r="AI5" s="1320" t="s">
        <v>114</v>
      </c>
      <c r="AJ5" s="1320" t="s">
        <v>394</v>
      </c>
    </row>
    <row r="6" spans="2:36" s="19" customFormat="1" ht="28.5" customHeight="1">
      <c r="B6" s="290" t="s">
        <v>395</v>
      </c>
      <c r="C6" s="295" t="s">
        <v>396</v>
      </c>
      <c r="D6" s="1862">
        <v>63.57</v>
      </c>
      <c r="E6" s="1381"/>
      <c r="F6" s="294" t="s">
        <v>397</v>
      </c>
      <c r="I6" s="329">
        <f>IF($P6=0,0,$P$4)</f>
        <v>0</v>
      </c>
      <c r="J6" s="329">
        <f>IF($V6=0,0,$V$4)</f>
        <v>0</v>
      </c>
      <c r="O6" s="1382"/>
      <c r="P6" s="328">
        <f>IF(ISBLANK($D6)=TRUE,1,0)</f>
        <v>0</v>
      </c>
      <c r="Q6" s="328"/>
      <c r="R6" s="328"/>
      <c r="S6" s="328"/>
      <c r="T6" s="328"/>
      <c r="U6" s="1382"/>
      <c r="V6" s="332">
        <f>IF($D6&lt;0,1,0)</f>
        <v>0</v>
      </c>
      <c r="W6" s="332"/>
      <c r="X6" s="332"/>
      <c r="Y6" s="328"/>
      <c r="Z6" s="332"/>
      <c r="AA6" s="1382"/>
      <c r="AH6" s="290" t="str">
        <f>B6</f>
        <v>Annual customer satisfaction score for the customer service survey</v>
      </c>
      <c r="AI6" s="290" t="str">
        <f>C6</f>
        <v>Number</v>
      </c>
      <c r="AJ6" s="1470" t="s">
        <v>398</v>
      </c>
    </row>
    <row r="7" spans="2:36" s="19" customFormat="1" ht="28.5" customHeight="1">
      <c r="B7" s="290" t="s">
        <v>399</v>
      </c>
      <c r="C7" s="295" t="s">
        <v>396</v>
      </c>
      <c r="D7" s="1862">
        <v>70.17</v>
      </c>
      <c r="E7" s="1381"/>
      <c r="F7" s="294" t="s">
        <v>400</v>
      </c>
      <c r="I7" s="329">
        <f>IF($P7=0,0,$P$4)</f>
        <v>0</v>
      </c>
      <c r="J7" s="329">
        <f t="shared" ref="J7:J11" si="0">IF($V7=0,0,$V$4)</f>
        <v>0</v>
      </c>
      <c r="O7" s="1382"/>
      <c r="P7" s="328">
        <f t="shared" ref="P7:P13" si="1">IF(ISBLANK($D7)=TRUE,1,0)</f>
        <v>0</v>
      </c>
      <c r="Q7" s="1381"/>
      <c r="R7" s="1381"/>
      <c r="S7" s="1381"/>
      <c r="T7" s="1381"/>
      <c r="U7" s="1382"/>
      <c r="V7" s="332">
        <f t="shared" ref="V7:V11" si="2">IF($D7&lt;0,1,0)</f>
        <v>0</v>
      </c>
      <c r="W7" s="1381"/>
      <c r="X7" s="1381"/>
      <c r="Y7" s="1381"/>
      <c r="Z7" s="1381"/>
      <c r="AA7" s="1382"/>
      <c r="AH7" s="290" t="str">
        <f t="shared" ref="AH7:AI13" si="3">B7</f>
        <v>Annual customer satisfaction score for the customer experience survey</v>
      </c>
      <c r="AI7" s="290" t="str">
        <f t="shared" si="3"/>
        <v>Number</v>
      </c>
      <c r="AJ7" s="1470" t="s">
        <v>401</v>
      </c>
    </row>
    <row r="8" spans="2:36" s="19" customFormat="1" ht="28.5" customHeight="1">
      <c r="B8" s="290" t="s">
        <v>402</v>
      </c>
      <c r="C8" s="295" t="s">
        <v>396</v>
      </c>
      <c r="D8" s="1877">
        <f>(D6*50%)+(D7*50%)</f>
        <v>66.87</v>
      </c>
      <c r="E8" s="1381"/>
      <c r="F8" s="294" t="s">
        <v>403</v>
      </c>
      <c r="I8" s="329"/>
      <c r="J8" s="329"/>
      <c r="O8" s="1382"/>
      <c r="P8" s="328"/>
      <c r="Q8" s="327"/>
      <c r="R8" s="327"/>
      <c r="S8" s="327"/>
      <c r="T8" s="327"/>
      <c r="U8" s="331"/>
      <c r="V8" s="332"/>
      <c r="W8" s="327"/>
      <c r="X8" s="327"/>
      <c r="Y8" s="327"/>
      <c r="Z8" s="327"/>
      <c r="AA8" s="1382"/>
      <c r="AH8" s="290" t="str">
        <f t="shared" si="3"/>
        <v>Annual C-MeX score</v>
      </c>
      <c r="AI8" s="290" t="str">
        <f t="shared" si="3"/>
        <v>Number</v>
      </c>
      <c r="AJ8" s="1485" t="s">
        <v>404</v>
      </c>
    </row>
    <row r="9" spans="2:36" s="19" customFormat="1" ht="28.5" customHeight="1">
      <c r="B9" s="290" t="s">
        <v>405</v>
      </c>
      <c r="C9" s="295" t="s">
        <v>396</v>
      </c>
      <c r="D9" s="1862">
        <v>-16.5</v>
      </c>
      <c r="E9" s="1381"/>
      <c r="F9" s="294" t="s">
        <v>406</v>
      </c>
      <c r="I9" s="329">
        <f>IF($P9=0,0,$P$4)</f>
        <v>0</v>
      </c>
      <c r="J9" s="329">
        <f t="shared" si="0"/>
        <v>0</v>
      </c>
      <c r="O9" s="1382"/>
      <c r="P9" s="328">
        <f t="shared" si="1"/>
        <v>0</v>
      </c>
      <c r="Q9" s="328"/>
      <c r="R9" s="328"/>
      <c r="S9" s="328"/>
      <c r="T9" s="328"/>
      <c r="U9" s="1382"/>
      <c r="V9" s="332"/>
      <c r="W9" s="332"/>
      <c r="X9" s="332"/>
      <c r="Y9" s="328"/>
      <c r="Z9" s="332"/>
      <c r="AA9" s="1382"/>
      <c r="AH9" s="290" t="str">
        <f t="shared" si="3"/>
        <v>Annual net promoter score</v>
      </c>
      <c r="AI9" s="290" t="str">
        <f t="shared" si="3"/>
        <v>Number</v>
      </c>
      <c r="AJ9" s="1470" t="s">
        <v>407</v>
      </c>
    </row>
    <row r="10" spans="2:36" s="19" customFormat="1" ht="28.5" customHeight="1">
      <c r="B10" s="290" t="s">
        <v>408</v>
      </c>
      <c r="C10" s="295" t="s">
        <v>396</v>
      </c>
      <c r="D10" s="1879">
        <v>18975</v>
      </c>
      <c r="E10" s="1381"/>
      <c r="F10" s="294" t="s">
        <v>409</v>
      </c>
      <c r="I10" s="329">
        <f>IF($P10=0,0,$P$4)</f>
        <v>0</v>
      </c>
      <c r="J10" s="329">
        <f t="shared" si="0"/>
        <v>0</v>
      </c>
      <c r="O10" s="1382"/>
      <c r="P10" s="328">
        <f t="shared" si="1"/>
        <v>0</v>
      </c>
      <c r="Q10" s="328"/>
      <c r="R10" s="328"/>
      <c r="S10" s="328"/>
      <c r="T10" s="328"/>
      <c r="U10" s="1382"/>
      <c r="V10" s="332">
        <f t="shared" si="2"/>
        <v>0</v>
      </c>
      <c r="W10" s="332"/>
      <c r="X10" s="332"/>
      <c r="Y10" s="328"/>
      <c r="Z10" s="1381"/>
      <c r="AA10" s="1382"/>
      <c r="AH10" s="290" t="str">
        <f t="shared" si="3"/>
        <v>Total household complaints</v>
      </c>
      <c r="AI10" s="290" t="str">
        <f t="shared" si="3"/>
        <v>Number</v>
      </c>
      <c r="AJ10" s="1470" t="s">
        <v>410</v>
      </c>
    </row>
    <row r="11" spans="2:36" s="19" customFormat="1" ht="28.5" customHeight="1">
      <c r="B11" s="290" t="s">
        <v>411</v>
      </c>
      <c r="C11" s="295" t="s">
        <v>396</v>
      </c>
      <c r="D11" s="1880">
        <v>2077571</v>
      </c>
      <c r="E11" s="1381"/>
      <c r="F11" s="294" t="s">
        <v>412</v>
      </c>
      <c r="I11" s="329">
        <f>IF($P11=0,0,$P$4)</f>
        <v>0</v>
      </c>
      <c r="J11" s="329">
        <f t="shared" si="0"/>
        <v>0</v>
      </c>
      <c r="O11" s="1382"/>
      <c r="P11" s="328">
        <f t="shared" si="1"/>
        <v>0</v>
      </c>
      <c r="Q11" s="328"/>
      <c r="R11" s="328"/>
      <c r="S11" s="328"/>
      <c r="T11" s="328"/>
      <c r="U11" s="1382"/>
      <c r="V11" s="332">
        <f t="shared" si="2"/>
        <v>0</v>
      </c>
      <c r="W11" s="332"/>
      <c r="X11" s="332"/>
      <c r="Y11" s="328"/>
      <c r="Z11" s="1381"/>
      <c r="AA11" s="1382"/>
      <c r="AH11" s="290" t="str">
        <f t="shared" si="3"/>
        <v>Total connected household properties</v>
      </c>
      <c r="AI11" s="290" t="str">
        <f t="shared" si="3"/>
        <v>Number</v>
      </c>
      <c r="AJ11" s="1470" t="s">
        <v>413</v>
      </c>
    </row>
    <row r="12" spans="2:36" s="19" customFormat="1" ht="28.5" customHeight="1">
      <c r="B12" s="290" t="s">
        <v>414</v>
      </c>
      <c r="C12" s="295" t="s">
        <v>396</v>
      </c>
      <c r="D12" s="1878">
        <f>D10*(10000/D11)</f>
        <v>91.332618716761061</v>
      </c>
      <c r="E12" s="1381"/>
      <c r="F12" s="294" t="s">
        <v>415</v>
      </c>
      <c r="I12" s="329"/>
      <c r="J12" s="329"/>
      <c r="O12" s="1382"/>
      <c r="P12" s="328"/>
      <c r="Q12" s="328"/>
      <c r="R12" s="328"/>
      <c r="S12" s="328"/>
      <c r="T12" s="328"/>
      <c r="U12" s="1382"/>
      <c r="V12" s="332"/>
      <c r="W12" s="332"/>
      <c r="X12" s="332"/>
      <c r="Y12" s="328"/>
      <c r="Z12" s="1381"/>
      <c r="AA12" s="1382"/>
      <c r="AH12" s="290" t="str">
        <f t="shared" si="3"/>
        <v>Total household complaints per 10,000 connections</v>
      </c>
      <c r="AI12" s="290" t="str">
        <f t="shared" si="3"/>
        <v>Number</v>
      </c>
      <c r="AJ12" s="1475" t="s">
        <v>416</v>
      </c>
    </row>
    <row r="13" spans="2:36" s="19" customFormat="1" ht="28.5" customHeight="1">
      <c r="B13" s="290" t="s">
        <v>417</v>
      </c>
      <c r="C13" s="304" t="s">
        <v>418</v>
      </c>
      <c r="D13" s="1881" t="b">
        <v>1</v>
      </c>
      <c r="E13" s="1381"/>
      <c r="F13" s="294" t="s">
        <v>419</v>
      </c>
      <c r="I13" s="329">
        <f>IF($P13=0,0,$P$4)</f>
        <v>0</v>
      </c>
      <c r="J13" s="329"/>
      <c r="O13" s="1385"/>
      <c r="P13" s="328">
        <f t="shared" si="1"/>
        <v>0</v>
      </c>
      <c r="Q13" s="328"/>
      <c r="R13" s="328"/>
      <c r="S13" s="328"/>
      <c r="T13" s="328"/>
      <c r="U13" s="1382"/>
      <c r="V13" s="332"/>
      <c r="W13" s="332"/>
      <c r="X13" s="332"/>
      <c r="Y13" s="328"/>
      <c r="Z13" s="1381"/>
      <c r="AA13" s="1382"/>
      <c r="AH13" s="290" t="str">
        <f t="shared" si="3"/>
        <v>Confirmation of communication channels offered</v>
      </c>
      <c r="AI13" s="290" t="str">
        <f t="shared" si="3"/>
        <v>TRUE or FALSE</v>
      </c>
      <c r="AJ13" s="1487" t="s">
        <v>420</v>
      </c>
    </row>
    <row r="14" spans="2:36" s="19" customFormat="1" ht="15" customHeight="1">
      <c r="H14" s="21"/>
      <c r="O14" s="341"/>
      <c r="P14" s="341"/>
      <c r="Q14" s="341"/>
      <c r="R14" s="341"/>
      <c r="S14" s="341"/>
      <c r="T14" s="341"/>
      <c r="U14" s="341"/>
      <c r="V14" s="341"/>
      <c r="W14" s="341"/>
      <c r="X14" s="341"/>
      <c r="Y14" s="341"/>
      <c r="Z14" s="341"/>
      <c r="AA14" s="341"/>
    </row>
    <row r="15" spans="2:36" s="19" customFormat="1" ht="15.75">
      <c r="B15" s="278" t="s">
        <v>284</v>
      </c>
      <c r="C15" s="1381"/>
      <c r="D15" s="1381"/>
      <c r="E15" s="1381"/>
      <c r="F15" s="1381"/>
      <c r="G15" s="1381"/>
      <c r="H15" s="1381"/>
      <c r="I15" s="1381"/>
      <c r="J15" s="1381"/>
      <c r="K15" s="1381"/>
      <c r="L15" s="1381"/>
    </row>
    <row r="16" spans="2:36">
      <c r="B16" s="8"/>
      <c r="C16" s="8"/>
      <c r="D16" s="8"/>
      <c r="E16" s="8"/>
      <c r="F16" s="8"/>
      <c r="G16" s="8"/>
      <c r="H16" s="8"/>
      <c r="I16" s="8"/>
      <c r="J16" s="8"/>
      <c r="K16" s="8"/>
      <c r="L16" s="8"/>
    </row>
    <row r="17" spans="2:12">
      <c r="B17" s="1858" t="s">
        <v>285</v>
      </c>
      <c r="C17" s="8"/>
      <c r="D17" s="8"/>
      <c r="E17" s="8"/>
      <c r="F17" s="8"/>
      <c r="G17" s="8"/>
      <c r="H17" s="8"/>
      <c r="I17" s="8"/>
      <c r="J17" s="8"/>
      <c r="K17" s="8"/>
      <c r="L17" s="8"/>
    </row>
    <row r="18" spans="2:12" ht="15.4" thickBot="1">
      <c r="B18" s="378"/>
      <c r="C18" s="8"/>
      <c r="D18" s="8"/>
      <c r="E18" s="8"/>
      <c r="F18" s="8"/>
      <c r="G18" s="8"/>
      <c r="H18" s="8"/>
      <c r="I18" s="8"/>
      <c r="J18" s="8"/>
      <c r="K18" s="8"/>
      <c r="L18" s="8"/>
    </row>
    <row r="19" spans="2:12" ht="15.75" thickTop="1" thickBot="1">
      <c r="B19" s="1859" t="s">
        <v>286</v>
      </c>
      <c r="C19" s="8"/>
      <c r="D19" s="8"/>
      <c r="E19" s="8"/>
      <c r="F19" s="8"/>
      <c r="G19" s="8"/>
      <c r="H19" s="8"/>
      <c r="I19" s="8"/>
      <c r="J19" s="8"/>
      <c r="K19" s="8"/>
      <c r="L19" s="8"/>
    </row>
    <row r="20" spans="2:12" ht="15.4" thickTop="1">
      <c r="B20" s="8"/>
      <c r="C20" s="8"/>
      <c r="D20" s="8"/>
      <c r="E20" s="8"/>
      <c r="F20" s="8"/>
      <c r="G20" s="8"/>
      <c r="H20" s="8"/>
      <c r="I20" s="8"/>
      <c r="J20" s="8"/>
      <c r="K20" s="8"/>
      <c r="L20" s="8"/>
    </row>
    <row r="21" spans="2:12">
      <c r="B21" s="1860" t="s">
        <v>287</v>
      </c>
      <c r="C21" s="8"/>
      <c r="D21" s="8"/>
      <c r="E21" s="8"/>
      <c r="F21" s="8"/>
      <c r="G21" s="8"/>
      <c r="H21" s="8"/>
      <c r="I21" s="8"/>
      <c r="J21" s="8"/>
      <c r="K21" s="8"/>
      <c r="L21" s="8"/>
    </row>
    <row r="22" spans="2:12">
      <c r="B22" s="8"/>
      <c r="C22" s="8"/>
      <c r="D22" s="8"/>
      <c r="E22" s="8"/>
      <c r="F22" s="8"/>
      <c r="G22" s="8"/>
      <c r="H22" s="8"/>
      <c r="I22" s="8"/>
      <c r="J22" s="8"/>
      <c r="K22" s="8"/>
      <c r="L22" s="8"/>
    </row>
    <row r="23" spans="2:12">
      <c r="B23" s="1861" t="s">
        <v>288</v>
      </c>
      <c r="C23" s="8"/>
      <c r="D23" s="8"/>
      <c r="E23" s="8"/>
      <c r="F23" s="8"/>
      <c r="G23" s="8"/>
      <c r="H23" s="8"/>
      <c r="I23" s="8"/>
      <c r="J23" s="8"/>
      <c r="K23" s="8"/>
      <c r="L23" s="8"/>
    </row>
    <row r="24" spans="2:12">
      <c r="B24" s="8"/>
      <c r="C24" s="8"/>
      <c r="D24" s="8"/>
      <c r="E24" s="8"/>
      <c r="F24" s="8"/>
      <c r="G24" s="8"/>
      <c r="H24" s="8"/>
      <c r="I24" s="8"/>
      <c r="J24" s="8"/>
      <c r="K24" s="8"/>
      <c r="L24" s="8"/>
    </row>
    <row r="25" spans="2:12">
      <c r="B25" s="296" t="str">
        <f>'3A'!$B$53</f>
        <v>Please refer to RAG 4.12 - Guideline for the table definitions in the annual performance report for the reporting year 2023-24</v>
      </c>
      <c r="C25" s="279"/>
      <c r="D25" s="279"/>
      <c r="E25" s="279"/>
      <c r="F25" s="279"/>
      <c r="G25" s="279"/>
      <c r="H25" s="279"/>
      <c r="I25" s="279"/>
      <c r="J25" s="279"/>
      <c r="K25" s="279"/>
      <c r="L25" s="279"/>
    </row>
    <row r="26" spans="2:12"/>
  </sheetData>
  <conditionalFormatting sqref="I6:J13">
    <cfRule type="cellIs" dxfId="274" priority="1" operator="equal">
      <formula>0</formula>
    </cfRule>
  </conditionalFormatting>
  <dataValidations count="1">
    <dataValidation operator="greaterThanOrEqual" allowBlank="1" showInputMessage="1" showErrorMessage="1" sqref="AJ6" xr:uid="{045FD829-508B-4C97-8F89-D22F3CC9EE73}"/>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B28D5-4548-4FDF-8941-A4C1E3C4542D}">
  <sheetPr>
    <tabColor rgb="FF0071CE"/>
    <pageSetUpPr autoPageBreaks="0" fitToPage="1"/>
  </sheetPr>
  <dimension ref="B1:AF80"/>
  <sheetViews>
    <sheetView showGridLines="0" zoomScale="80" zoomScaleNormal="80" zoomScaleSheetLayoutView="100" workbookViewId="0"/>
  </sheetViews>
  <sheetFormatPr defaultColWidth="8.625" defaultRowHeight="15" zeroHeight="1"/>
  <cols>
    <col min="1" max="1" width="1.625" style="2" customWidth="1"/>
    <col min="2" max="2" width="42.875" style="2" customWidth="1"/>
    <col min="3" max="3" width="7.625" style="2" customWidth="1"/>
    <col min="4" max="4" width="15.5" style="2" customWidth="1"/>
    <col min="5" max="5" width="9.375" style="2" customWidth="1"/>
    <col min="6" max="6" width="1.875" style="2" customWidth="1"/>
    <col min="7" max="7" width="8.5" style="2" customWidth="1"/>
    <col min="8" max="8" width="1" style="2" customWidth="1"/>
    <col min="9" max="10" width="15.625" style="3" customWidth="1"/>
    <col min="11" max="11" width="9.625" style="2" customWidth="1"/>
    <col min="12" max="12" width="12.25" style="2" customWidth="1"/>
    <col min="13" max="13" width="10.75" style="2" customWidth="1"/>
    <col min="14" max="14" width="1.625" style="2" hidden="1" customWidth="1"/>
    <col min="15" max="19" width="3.625" style="2" hidden="1" customWidth="1"/>
    <col min="20" max="20" width="1.625" style="2" hidden="1" customWidth="1"/>
    <col min="21" max="25" width="3.625" style="2" hidden="1" customWidth="1"/>
    <col min="26" max="26" width="1.625" style="2" hidden="1" customWidth="1"/>
    <col min="27" max="27" width="8.625" style="2" customWidth="1"/>
    <col min="28" max="28" width="34.75" style="2" customWidth="1"/>
    <col min="29" max="30" width="15.625" style="2" customWidth="1"/>
    <col min="31" max="16384" width="8.625" style="2"/>
  </cols>
  <sheetData>
    <row r="1" spans="2:30" ht="35.25" customHeight="1">
      <c r="B1" s="41" t="s">
        <v>32</v>
      </c>
      <c r="C1" s="6"/>
      <c r="D1" s="6"/>
      <c r="E1" s="6"/>
      <c r="F1" s="6"/>
      <c r="N1" s="322"/>
      <c r="O1" s="1"/>
      <c r="P1" s="1"/>
      <c r="Q1" s="1"/>
      <c r="R1" s="1"/>
      <c r="S1" s="1"/>
      <c r="T1" s="322"/>
      <c r="U1" s="1"/>
      <c r="V1" s="1"/>
      <c r="W1" s="1"/>
      <c r="X1" s="1"/>
      <c r="Y1" s="1"/>
      <c r="Z1" s="322"/>
    </row>
    <row r="2" spans="2:30" ht="10.15" customHeight="1">
      <c r="B2" s="7"/>
      <c r="C2" s="7"/>
      <c r="D2" s="7"/>
      <c r="E2" s="7"/>
      <c r="F2" s="7"/>
      <c r="G2" s="7"/>
      <c r="N2" s="322"/>
      <c r="O2" s="1"/>
      <c r="P2" s="1"/>
      <c r="Q2" s="1"/>
      <c r="R2" s="1"/>
      <c r="S2" s="1"/>
      <c r="T2" s="322"/>
      <c r="U2" s="1"/>
      <c r="V2" s="1"/>
      <c r="W2" s="1"/>
      <c r="X2" s="1"/>
      <c r="Y2" s="1"/>
      <c r="Z2" s="322"/>
    </row>
    <row r="3" spans="2:30" s="19" customFormat="1" ht="31.5" customHeight="1">
      <c r="B3" s="321" t="s">
        <v>33</v>
      </c>
      <c r="C3" s="297"/>
      <c r="D3" s="297"/>
      <c r="E3" s="297"/>
      <c r="F3" s="305"/>
      <c r="G3" s="309" t="str">
        <f>'Validation summary'!$B$3</f>
        <v>Southern Water</v>
      </c>
      <c r="H3" s="1384"/>
      <c r="I3" s="300" t="s">
        <v>109</v>
      </c>
      <c r="J3" s="300"/>
      <c r="N3" s="1382"/>
      <c r="O3" s="1381" t="s">
        <v>121</v>
      </c>
      <c r="P3" s="1381"/>
      <c r="Q3" s="1381"/>
      <c r="R3" s="1381"/>
      <c r="S3" s="1381"/>
      <c r="T3" s="1382"/>
      <c r="U3" s="1381" t="s">
        <v>122</v>
      </c>
      <c r="V3" s="1381"/>
      <c r="W3" s="1381"/>
      <c r="X3" s="1381"/>
      <c r="Y3" s="1381"/>
      <c r="Z3" s="1382"/>
      <c r="AB3" s="300" t="s">
        <v>110</v>
      </c>
    </row>
    <row r="4" spans="2:30" s="19" customFormat="1" ht="16.5" customHeight="1">
      <c r="B4" s="1381"/>
      <c r="C4" s="1381"/>
      <c r="D4" s="1381"/>
      <c r="E4" s="1381"/>
      <c r="F4" s="1381"/>
      <c r="G4" s="1381"/>
      <c r="H4" s="1381"/>
      <c r="I4" s="20"/>
      <c r="J4" s="20"/>
      <c r="N4" s="1382"/>
      <c r="O4" s="330" t="s">
        <v>392</v>
      </c>
      <c r="P4" s="1381"/>
      <c r="Q4" s="1381"/>
      <c r="R4" s="1381"/>
      <c r="S4" s="1381"/>
      <c r="T4" s="1382"/>
      <c r="U4" s="330" t="s">
        <v>125</v>
      </c>
      <c r="V4" s="1381"/>
      <c r="W4" s="330"/>
      <c r="X4" s="330"/>
      <c r="Y4" s="1381"/>
      <c r="Z4" s="1382"/>
    </row>
    <row r="5" spans="2:30" s="19" customFormat="1" ht="30.75" customHeight="1">
      <c r="B5" s="1320" t="s">
        <v>393</v>
      </c>
      <c r="C5" s="1320" t="s">
        <v>114</v>
      </c>
      <c r="D5" s="1320" t="s">
        <v>394</v>
      </c>
      <c r="E5" s="283"/>
      <c r="F5" s="283"/>
      <c r="G5" s="1320" t="s">
        <v>120</v>
      </c>
      <c r="I5" s="334" t="s">
        <v>121</v>
      </c>
      <c r="J5" s="334" t="s">
        <v>122</v>
      </c>
      <c r="N5" s="1382"/>
      <c r="O5" s="327">
        <v>1</v>
      </c>
      <c r="P5" s="327">
        <v>2</v>
      </c>
      <c r="Q5" s="327">
        <v>3</v>
      </c>
      <c r="R5" s="327">
        <v>4</v>
      </c>
      <c r="S5" s="327">
        <v>5</v>
      </c>
      <c r="T5" s="331"/>
      <c r="U5" s="327">
        <v>1</v>
      </c>
      <c r="V5" s="327">
        <v>2</v>
      </c>
      <c r="W5" s="327">
        <v>3</v>
      </c>
      <c r="X5" s="327">
        <v>4</v>
      </c>
      <c r="Y5" s="327">
        <v>5</v>
      </c>
      <c r="Z5" s="1382"/>
      <c r="AB5" s="1320" t="s">
        <v>393</v>
      </c>
      <c r="AC5" s="1320" t="s">
        <v>114</v>
      </c>
      <c r="AD5" s="1458" t="s">
        <v>394</v>
      </c>
    </row>
    <row r="6" spans="2:30" s="19" customFormat="1" ht="21" customHeight="1">
      <c r="B6" s="290" t="s">
        <v>421</v>
      </c>
      <c r="C6" s="295" t="s">
        <v>396</v>
      </c>
      <c r="D6" s="1862">
        <v>68.27</v>
      </c>
      <c r="F6" s="1381"/>
      <c r="G6" s="294" t="s">
        <v>422</v>
      </c>
      <c r="I6" s="329">
        <f>IF($Q6=0,0,$O$4)</f>
        <v>0</v>
      </c>
      <c r="J6" s="329">
        <f>IF($W6=0,0,$U$4)</f>
        <v>0</v>
      </c>
      <c r="N6" s="1382"/>
      <c r="Q6" s="328">
        <f>IF(ISBLANK($D6)=TRUE,1,0)</f>
        <v>0</v>
      </c>
      <c r="R6" s="328"/>
      <c r="S6" s="328"/>
      <c r="T6" s="1382"/>
      <c r="V6" s="332"/>
      <c r="W6" s="332">
        <f>IF($D6&lt;0,1,0)</f>
        <v>0</v>
      </c>
      <c r="X6" s="328"/>
      <c r="Y6" s="332"/>
      <c r="Z6" s="1382"/>
      <c r="AB6" s="290" t="str">
        <f t="shared" ref="AB6:AC10" si="0">B6</f>
        <v>Qualitative component annual results</v>
      </c>
      <c r="AC6" s="1489" t="str">
        <f t="shared" si="0"/>
        <v>Number</v>
      </c>
      <c r="AD6" s="1490" t="s">
        <v>423</v>
      </c>
    </row>
    <row r="7" spans="2:30" s="19" customFormat="1" ht="21" customHeight="1">
      <c r="B7" s="290" t="s">
        <v>424</v>
      </c>
      <c r="C7" s="295" t="s">
        <v>396</v>
      </c>
      <c r="D7" s="1877">
        <f>$E$66*100</f>
        <v>98.760909090909095</v>
      </c>
      <c r="F7" s="1381"/>
      <c r="G7" s="294" t="s">
        <v>425</v>
      </c>
      <c r="I7" s="342"/>
      <c r="J7" s="342"/>
      <c r="N7" s="1382"/>
      <c r="Q7" s="328"/>
      <c r="R7" s="1381"/>
      <c r="S7" s="1381"/>
      <c r="T7" s="1382"/>
      <c r="U7" s="332"/>
      <c r="V7" s="1381"/>
      <c r="W7" s="1381"/>
      <c r="X7" s="1381"/>
      <c r="Y7" s="1381"/>
      <c r="Z7" s="1382"/>
      <c r="AB7" s="290" t="str">
        <f t="shared" si="0"/>
        <v>Quantitative component annual results</v>
      </c>
      <c r="AC7" s="1489" t="str">
        <f t="shared" si="0"/>
        <v>Number</v>
      </c>
      <c r="AD7" s="1491" t="s">
        <v>426</v>
      </c>
    </row>
    <row r="8" spans="2:30" s="19" customFormat="1" ht="21" customHeight="1" thickBot="1">
      <c r="B8" s="290" t="s">
        <v>427</v>
      </c>
      <c r="C8" s="295" t="s">
        <v>396</v>
      </c>
      <c r="D8" s="1885">
        <f>(D6*50%)+(D7*50%)</f>
        <v>83.515454545454546</v>
      </c>
      <c r="F8" s="1381"/>
      <c r="G8" s="294" t="s">
        <v>428</v>
      </c>
      <c r="I8" s="320"/>
      <c r="J8" s="320"/>
      <c r="N8" s="1382"/>
      <c r="Q8" s="328"/>
      <c r="R8" s="327"/>
      <c r="S8" s="327"/>
      <c r="T8" s="331"/>
      <c r="U8" s="332"/>
      <c r="V8" s="327"/>
      <c r="W8" s="327"/>
      <c r="X8" s="327"/>
      <c r="Y8" s="327"/>
      <c r="Z8" s="1382"/>
      <c r="AB8" s="290" t="str">
        <f t="shared" si="0"/>
        <v>D-MeX score</v>
      </c>
      <c r="AC8" s="1489" t="str">
        <f t="shared" si="0"/>
        <v>Number</v>
      </c>
      <c r="AD8" s="1492" t="s">
        <v>429</v>
      </c>
    </row>
    <row r="9" spans="2:30" s="19" customFormat="1" ht="21" customHeight="1" thickTop="1" thickBot="1">
      <c r="B9" s="290" t="s">
        <v>430</v>
      </c>
      <c r="C9" s="379" t="s">
        <v>123</v>
      </c>
      <c r="D9" s="1882">
        <v>12.993</v>
      </c>
      <c r="F9" s="1381"/>
      <c r="G9" s="294" t="s">
        <v>431</v>
      </c>
      <c r="I9" s="329">
        <f>IF($Q9=0,0,$O$4)</f>
        <v>0</v>
      </c>
      <c r="J9" s="329"/>
      <c r="L9" s="257"/>
      <c r="N9" s="1382"/>
      <c r="Q9" s="328">
        <f>IF(ISBLANK($D9)=TRUE,1,0)</f>
        <v>0</v>
      </c>
      <c r="R9" s="328"/>
      <c r="S9" s="328"/>
      <c r="T9" s="1382"/>
      <c r="U9" s="332"/>
      <c r="V9" s="332"/>
      <c r="W9" s="332"/>
      <c r="X9" s="328"/>
      <c r="Y9" s="332"/>
      <c r="Z9" s="1382"/>
      <c r="AB9" s="290" t="str">
        <f t="shared" si="0"/>
        <v>Developer services revenue (water)</v>
      </c>
      <c r="AC9" s="1489" t="str">
        <f t="shared" si="0"/>
        <v>£m</v>
      </c>
      <c r="AD9" s="1493" t="s">
        <v>432</v>
      </c>
    </row>
    <row r="10" spans="2:30" s="19" customFormat="1" ht="21" customHeight="1" thickTop="1" thickBot="1">
      <c r="B10" s="290" t="s">
        <v>433</v>
      </c>
      <c r="C10" s="379" t="s">
        <v>123</v>
      </c>
      <c r="D10" s="1882">
        <v>16.582999999999998</v>
      </c>
      <c r="F10" s="1381"/>
      <c r="G10" s="294" t="s">
        <v>434</v>
      </c>
      <c r="I10" s="329">
        <f>IF($Q10=0,0,$O$4)</f>
        <v>0</v>
      </c>
      <c r="J10" s="329"/>
      <c r="N10" s="1382"/>
      <c r="Q10" s="328">
        <f>IF(ISBLANK($D10)=TRUE,1,0)</f>
        <v>0</v>
      </c>
      <c r="R10" s="328"/>
      <c r="S10" s="328"/>
      <c r="T10" s="1382"/>
      <c r="U10" s="332"/>
      <c r="V10" s="332"/>
      <c r="W10" s="332"/>
      <c r="X10" s="328"/>
      <c r="Y10" s="1381"/>
      <c r="Z10" s="1382"/>
      <c r="AB10" s="290" t="str">
        <f t="shared" si="0"/>
        <v>Developer services revenue (wastewater)</v>
      </c>
      <c r="AC10" s="1489" t="str">
        <f t="shared" si="0"/>
        <v>£m</v>
      </c>
      <c r="AD10" s="1493" t="s">
        <v>435</v>
      </c>
    </row>
    <row r="11" spans="2:30" s="19" customFormat="1" ht="16.5" customHeight="1" thickTop="1">
      <c r="N11" s="1382"/>
      <c r="O11" s="328"/>
      <c r="P11" s="328"/>
      <c r="Q11" s="328"/>
      <c r="R11" s="328"/>
      <c r="S11" s="328"/>
      <c r="T11" s="1382"/>
      <c r="U11" s="332"/>
      <c r="V11" s="332"/>
      <c r="W11" s="332"/>
      <c r="X11" s="328"/>
      <c r="Y11" s="1381"/>
      <c r="Z11" s="1382"/>
    </row>
    <row r="12" spans="2:30" s="19" customFormat="1" ht="15.75">
      <c r="B12" s="312" t="s">
        <v>436</v>
      </c>
      <c r="N12" s="1382"/>
      <c r="O12" s="327">
        <v>1</v>
      </c>
      <c r="P12" s="327">
        <v>2</v>
      </c>
      <c r="Q12" s="327">
        <v>3</v>
      </c>
      <c r="R12" s="327">
        <v>4</v>
      </c>
      <c r="S12" s="327">
        <v>5</v>
      </c>
      <c r="T12" s="331"/>
      <c r="U12" s="327"/>
      <c r="V12" s="327"/>
      <c r="W12" s="327">
        <v>3</v>
      </c>
      <c r="X12" s="327">
        <v>3</v>
      </c>
      <c r="Y12" s="327"/>
      <c r="Z12" s="1382"/>
    </row>
    <row r="13" spans="2:30" s="19" customFormat="1" ht="39.4">
      <c r="B13" s="1320" t="s">
        <v>437</v>
      </c>
      <c r="C13" s="1320" t="s">
        <v>114</v>
      </c>
      <c r="D13" s="1320" t="s">
        <v>438</v>
      </c>
      <c r="E13" s="1320" t="s">
        <v>439</v>
      </c>
      <c r="F13" s="283"/>
      <c r="G13" s="1320" t="s">
        <v>120</v>
      </c>
      <c r="I13" s="316"/>
      <c r="J13" s="316"/>
      <c r="N13" s="1382"/>
      <c r="O13" s="330" t="s">
        <v>440</v>
      </c>
      <c r="P13" s="328"/>
      <c r="Q13" s="330"/>
      <c r="R13" s="328"/>
      <c r="S13" s="328"/>
      <c r="T13" s="1382"/>
      <c r="U13" s="330"/>
      <c r="V13" s="332"/>
      <c r="W13" s="330" t="s">
        <v>125</v>
      </c>
      <c r="X13" s="328"/>
      <c r="Y13" s="1381"/>
      <c r="Z13" s="1382"/>
    </row>
    <row r="14" spans="2:30" s="19" customFormat="1" ht="21" customHeight="1">
      <c r="B14" s="1884" t="s">
        <v>441</v>
      </c>
      <c r="C14" s="304" t="s">
        <v>278</v>
      </c>
      <c r="D14" s="1883">
        <v>1</v>
      </c>
      <c r="G14" s="294" t="s">
        <v>442</v>
      </c>
      <c r="I14" s="329">
        <f>IF($O14=0,0,$O$13)</f>
        <v>0</v>
      </c>
      <c r="J14" s="329">
        <f>IF($X14=1,$W$13,0)</f>
        <v>0</v>
      </c>
      <c r="N14" s="1382"/>
      <c r="O14" s="328">
        <f>IF(AND(ISBLANK($B14)=TRUE,OR(ISTEXT($D14)=TRUE,ISNUMBER($D14)=TRUE)),1,0)</f>
        <v>0</v>
      </c>
      <c r="P14" s="328"/>
      <c r="Q14" s="328"/>
      <c r="R14" s="328"/>
      <c r="S14" s="328"/>
      <c r="T14" s="1382"/>
      <c r="V14" s="332"/>
      <c r="W14" s="340"/>
      <c r="X14" s="332">
        <f>IF($D14&lt;0,1,0)</f>
        <v>0</v>
      </c>
      <c r="Y14" s="1381"/>
      <c r="Z14" s="1382"/>
      <c r="AB14" s="1539"/>
      <c r="AC14" s="1539"/>
      <c r="AD14" s="1539"/>
    </row>
    <row r="15" spans="2:30" s="19" customFormat="1" ht="21" customHeight="1">
      <c r="B15" s="1884" t="s">
        <v>443</v>
      </c>
      <c r="C15" s="304" t="s">
        <v>278</v>
      </c>
      <c r="D15" s="1883">
        <v>0.99429999999999996</v>
      </c>
      <c r="G15" s="294" t="s">
        <v>444</v>
      </c>
      <c r="I15" s="329">
        <f t="shared" ref="I15:I63" si="1">IF($O15=0,0,$O$13)</f>
        <v>0</v>
      </c>
      <c r="J15" s="329">
        <f t="shared" ref="J15:J63" si="2">IF($X15=1,$W$13,0)</f>
        <v>0</v>
      </c>
      <c r="N15" s="1382"/>
      <c r="O15" s="328">
        <f t="shared" ref="O15:O63" si="3">IF(AND(ISBLANK($B15)=TRUE,OR(ISTEXT($D15)=TRUE,ISNUMBER($D15)=TRUE)),1,0)</f>
        <v>0</v>
      </c>
      <c r="P15" s="328"/>
      <c r="Q15" s="328"/>
      <c r="R15" s="328"/>
      <c r="S15" s="328"/>
      <c r="T15" s="1382"/>
      <c r="V15" s="332"/>
      <c r="W15" s="340"/>
      <c r="X15" s="332">
        <f t="shared" ref="X15:X63" si="4">IF($D15&lt;0,1,0)</f>
        <v>0</v>
      </c>
      <c r="Y15" s="1381"/>
      <c r="Z15" s="1382"/>
    </row>
    <row r="16" spans="2:30" s="19" customFormat="1" ht="21" customHeight="1">
      <c r="B16" s="1884" t="s">
        <v>445</v>
      </c>
      <c r="C16" s="304" t="s">
        <v>278</v>
      </c>
      <c r="D16" s="1883">
        <v>0.95530000000000004</v>
      </c>
      <c r="G16" s="294" t="s">
        <v>446</v>
      </c>
      <c r="I16" s="329">
        <f t="shared" si="1"/>
        <v>0</v>
      </c>
      <c r="J16" s="329">
        <f t="shared" si="2"/>
        <v>0</v>
      </c>
      <c r="N16" s="1382"/>
      <c r="O16" s="328">
        <f t="shared" si="3"/>
        <v>0</v>
      </c>
      <c r="P16" s="328"/>
      <c r="Q16" s="328"/>
      <c r="R16" s="328"/>
      <c r="S16" s="328"/>
      <c r="T16" s="1382"/>
      <c r="V16" s="332"/>
      <c r="W16" s="340"/>
      <c r="X16" s="332">
        <f t="shared" si="4"/>
        <v>0</v>
      </c>
      <c r="Y16" s="1381"/>
      <c r="Z16" s="1382"/>
    </row>
    <row r="17" spans="2:26" s="19" customFormat="1" ht="21" customHeight="1">
      <c r="B17" s="1884" t="s">
        <v>447</v>
      </c>
      <c r="C17" s="304" t="s">
        <v>278</v>
      </c>
      <c r="D17" s="1883">
        <v>1</v>
      </c>
      <c r="G17" s="294" t="s">
        <v>448</v>
      </c>
      <c r="I17" s="329">
        <f t="shared" si="1"/>
        <v>0</v>
      </c>
      <c r="J17" s="329">
        <f t="shared" si="2"/>
        <v>0</v>
      </c>
      <c r="N17" s="1382"/>
      <c r="O17" s="328">
        <f t="shared" si="3"/>
        <v>0</v>
      </c>
      <c r="P17" s="328"/>
      <c r="Q17" s="328"/>
      <c r="R17" s="328"/>
      <c r="S17" s="328"/>
      <c r="T17" s="1382"/>
      <c r="V17" s="332"/>
      <c r="W17" s="340"/>
      <c r="X17" s="332">
        <f t="shared" si="4"/>
        <v>0</v>
      </c>
      <c r="Y17" s="1381"/>
      <c r="Z17" s="1382"/>
    </row>
    <row r="18" spans="2:26" s="19" customFormat="1" ht="21" customHeight="1">
      <c r="B18" s="1884" t="s">
        <v>449</v>
      </c>
      <c r="C18" s="304" t="s">
        <v>278</v>
      </c>
      <c r="D18" s="1883"/>
      <c r="G18" s="294" t="s">
        <v>450</v>
      </c>
      <c r="I18" s="329">
        <f t="shared" si="1"/>
        <v>0</v>
      </c>
      <c r="J18" s="329">
        <f t="shared" si="2"/>
        <v>0</v>
      </c>
      <c r="N18" s="1382"/>
      <c r="O18" s="328">
        <f t="shared" si="3"/>
        <v>0</v>
      </c>
      <c r="P18" s="328"/>
      <c r="Q18" s="328"/>
      <c r="R18" s="328"/>
      <c r="S18" s="328"/>
      <c r="T18" s="1382"/>
      <c r="V18" s="332"/>
      <c r="W18" s="340"/>
      <c r="X18" s="332">
        <f t="shared" si="4"/>
        <v>0</v>
      </c>
      <c r="Y18" s="1381"/>
      <c r="Z18" s="1382"/>
    </row>
    <row r="19" spans="2:26" s="19" customFormat="1" ht="21" customHeight="1">
      <c r="B19" s="1884" t="s">
        <v>451</v>
      </c>
      <c r="C19" s="304" t="s">
        <v>278</v>
      </c>
      <c r="D19" s="1883">
        <v>1</v>
      </c>
      <c r="G19" s="294" t="s">
        <v>452</v>
      </c>
      <c r="I19" s="329">
        <f t="shared" si="1"/>
        <v>0</v>
      </c>
      <c r="J19" s="329">
        <f t="shared" si="2"/>
        <v>0</v>
      </c>
      <c r="N19" s="1382"/>
      <c r="O19" s="328">
        <f t="shared" si="3"/>
        <v>0</v>
      </c>
      <c r="P19" s="328"/>
      <c r="Q19" s="328"/>
      <c r="R19" s="328"/>
      <c r="S19" s="328"/>
      <c r="T19" s="1382"/>
      <c r="V19" s="332"/>
      <c r="W19" s="340"/>
      <c r="X19" s="332">
        <f t="shared" si="4"/>
        <v>0</v>
      </c>
      <c r="Y19" s="1381"/>
      <c r="Z19" s="1382"/>
    </row>
    <row r="20" spans="2:26" s="19" customFormat="1" ht="21" customHeight="1">
      <c r="B20" s="1884" t="s">
        <v>453</v>
      </c>
      <c r="C20" s="304" t="s">
        <v>278</v>
      </c>
      <c r="D20" s="1883">
        <v>1</v>
      </c>
      <c r="G20" s="294" t="s">
        <v>454</v>
      </c>
      <c r="I20" s="329">
        <f t="shared" si="1"/>
        <v>0</v>
      </c>
      <c r="J20" s="329">
        <f t="shared" si="2"/>
        <v>0</v>
      </c>
      <c r="N20" s="1382"/>
      <c r="O20" s="328">
        <f t="shared" si="3"/>
        <v>0</v>
      </c>
      <c r="P20" s="328"/>
      <c r="Q20" s="328"/>
      <c r="R20" s="328"/>
      <c r="S20" s="328"/>
      <c r="T20" s="1382"/>
      <c r="V20" s="332"/>
      <c r="W20" s="340"/>
      <c r="X20" s="332">
        <f t="shared" si="4"/>
        <v>0</v>
      </c>
      <c r="Y20" s="1381"/>
      <c r="Z20" s="1382"/>
    </row>
    <row r="21" spans="2:26" s="19" customFormat="1" ht="21" customHeight="1">
      <c r="B21" s="1884" t="s">
        <v>455</v>
      </c>
      <c r="C21" s="304" t="s">
        <v>278</v>
      </c>
      <c r="D21" s="1883">
        <v>1</v>
      </c>
      <c r="G21" s="294" t="s">
        <v>456</v>
      </c>
      <c r="I21" s="329">
        <f t="shared" si="1"/>
        <v>0</v>
      </c>
      <c r="J21" s="329">
        <f t="shared" si="2"/>
        <v>0</v>
      </c>
      <c r="N21" s="1382"/>
      <c r="O21" s="328">
        <f t="shared" si="3"/>
        <v>0</v>
      </c>
      <c r="P21" s="328"/>
      <c r="Q21" s="328"/>
      <c r="R21" s="328"/>
      <c r="S21" s="328"/>
      <c r="T21" s="1382"/>
      <c r="V21" s="332"/>
      <c r="W21" s="340"/>
      <c r="X21" s="332">
        <f t="shared" si="4"/>
        <v>0</v>
      </c>
      <c r="Y21" s="1381"/>
      <c r="Z21" s="1382"/>
    </row>
    <row r="22" spans="2:26" s="19" customFormat="1" ht="21" customHeight="1">
      <c r="B22" s="1884" t="s">
        <v>457</v>
      </c>
      <c r="C22" s="304" t="s">
        <v>278</v>
      </c>
      <c r="D22" s="1883">
        <v>1</v>
      </c>
      <c r="G22" s="294" t="s">
        <v>458</v>
      </c>
      <c r="I22" s="329">
        <f t="shared" si="1"/>
        <v>0</v>
      </c>
      <c r="J22" s="329">
        <f t="shared" si="2"/>
        <v>0</v>
      </c>
      <c r="N22" s="1382"/>
      <c r="O22" s="328">
        <f t="shared" si="3"/>
        <v>0</v>
      </c>
      <c r="P22" s="328"/>
      <c r="Q22" s="328"/>
      <c r="R22" s="328"/>
      <c r="S22" s="328"/>
      <c r="T22" s="1382"/>
      <c r="V22" s="332"/>
      <c r="W22" s="340"/>
      <c r="X22" s="332">
        <f t="shared" si="4"/>
        <v>0</v>
      </c>
      <c r="Y22" s="1381"/>
      <c r="Z22" s="1382"/>
    </row>
    <row r="23" spans="2:26" s="19" customFormat="1" ht="21" customHeight="1">
      <c r="B23" s="1884" t="s">
        <v>459</v>
      </c>
      <c r="C23" s="304" t="s">
        <v>278</v>
      </c>
      <c r="D23" s="1883"/>
      <c r="G23" s="294" t="s">
        <v>460</v>
      </c>
      <c r="I23" s="329">
        <f t="shared" si="1"/>
        <v>0</v>
      </c>
      <c r="J23" s="329">
        <f t="shared" si="2"/>
        <v>0</v>
      </c>
      <c r="N23" s="1382"/>
      <c r="O23" s="328">
        <f t="shared" si="3"/>
        <v>0</v>
      </c>
      <c r="P23" s="328"/>
      <c r="Q23" s="328"/>
      <c r="R23" s="328"/>
      <c r="S23" s="328"/>
      <c r="T23" s="1382"/>
      <c r="V23" s="332"/>
      <c r="W23" s="340"/>
      <c r="X23" s="332">
        <f t="shared" si="4"/>
        <v>0</v>
      </c>
      <c r="Y23" s="1381"/>
      <c r="Z23" s="1382"/>
    </row>
    <row r="24" spans="2:26" s="19" customFormat="1" ht="21" customHeight="1">
      <c r="B24" s="1884" t="s">
        <v>461</v>
      </c>
      <c r="C24" s="304" t="s">
        <v>278</v>
      </c>
      <c r="D24" s="1883"/>
      <c r="G24" s="294" t="s">
        <v>462</v>
      </c>
      <c r="I24" s="329">
        <f t="shared" si="1"/>
        <v>0</v>
      </c>
      <c r="J24" s="329">
        <f t="shared" si="2"/>
        <v>0</v>
      </c>
      <c r="N24" s="1382"/>
      <c r="O24" s="328">
        <f t="shared" si="3"/>
        <v>0</v>
      </c>
      <c r="P24" s="328"/>
      <c r="Q24" s="328"/>
      <c r="R24" s="328"/>
      <c r="S24" s="328"/>
      <c r="T24" s="1382"/>
      <c r="V24" s="332"/>
      <c r="W24" s="340"/>
      <c r="X24" s="332">
        <f t="shared" si="4"/>
        <v>0</v>
      </c>
      <c r="Y24" s="1381"/>
      <c r="Z24" s="1382"/>
    </row>
    <row r="25" spans="2:26" s="19" customFormat="1" ht="21" customHeight="1">
      <c r="B25" s="1884" t="s">
        <v>463</v>
      </c>
      <c r="C25" s="304" t="s">
        <v>278</v>
      </c>
      <c r="D25" s="1883"/>
      <c r="G25" s="294" t="s">
        <v>464</v>
      </c>
      <c r="I25" s="329">
        <f t="shared" si="1"/>
        <v>0</v>
      </c>
      <c r="J25" s="329">
        <f t="shared" si="2"/>
        <v>0</v>
      </c>
      <c r="N25" s="1382"/>
      <c r="O25" s="328">
        <f t="shared" si="3"/>
        <v>0</v>
      </c>
      <c r="P25" s="328"/>
      <c r="Q25" s="328"/>
      <c r="R25" s="328"/>
      <c r="S25" s="328"/>
      <c r="T25" s="1382"/>
      <c r="V25" s="332"/>
      <c r="W25" s="340"/>
      <c r="X25" s="332">
        <f t="shared" si="4"/>
        <v>0</v>
      </c>
      <c r="Y25" s="1381"/>
      <c r="Z25" s="1382"/>
    </row>
    <row r="26" spans="2:26" s="19" customFormat="1" ht="21" customHeight="1">
      <c r="B26" s="1884" t="s">
        <v>465</v>
      </c>
      <c r="C26" s="304" t="s">
        <v>278</v>
      </c>
      <c r="D26" s="1883"/>
      <c r="G26" s="294" t="s">
        <v>466</v>
      </c>
      <c r="I26" s="329">
        <f t="shared" si="1"/>
        <v>0</v>
      </c>
      <c r="J26" s="329">
        <f t="shared" si="2"/>
        <v>0</v>
      </c>
      <c r="N26" s="1382"/>
      <c r="O26" s="328">
        <f t="shared" si="3"/>
        <v>0</v>
      </c>
      <c r="P26" s="328"/>
      <c r="Q26" s="328"/>
      <c r="R26" s="328"/>
      <c r="S26" s="328"/>
      <c r="T26" s="1382"/>
      <c r="V26" s="332"/>
      <c r="W26" s="340"/>
      <c r="X26" s="332">
        <f t="shared" si="4"/>
        <v>0</v>
      </c>
      <c r="Y26" s="1381"/>
      <c r="Z26" s="1382"/>
    </row>
    <row r="27" spans="2:26" s="19" customFormat="1" ht="21" customHeight="1">
      <c r="B27" s="1884" t="s">
        <v>467</v>
      </c>
      <c r="C27" s="304" t="s">
        <v>278</v>
      </c>
      <c r="D27" s="1883"/>
      <c r="G27" s="294" t="s">
        <v>468</v>
      </c>
      <c r="I27" s="329">
        <f t="shared" si="1"/>
        <v>0</v>
      </c>
      <c r="J27" s="329">
        <f t="shared" si="2"/>
        <v>0</v>
      </c>
      <c r="N27" s="1382"/>
      <c r="O27" s="328">
        <f t="shared" si="3"/>
        <v>0</v>
      </c>
      <c r="P27" s="328"/>
      <c r="Q27" s="328"/>
      <c r="R27" s="328"/>
      <c r="S27" s="328"/>
      <c r="T27" s="1382"/>
      <c r="V27" s="332"/>
      <c r="W27" s="340"/>
      <c r="X27" s="332">
        <f t="shared" si="4"/>
        <v>0</v>
      </c>
      <c r="Y27" s="1381"/>
      <c r="Z27" s="1382"/>
    </row>
    <row r="28" spans="2:26" s="19" customFormat="1" ht="21" customHeight="1">
      <c r="B28" s="1884" t="s">
        <v>469</v>
      </c>
      <c r="C28" s="304" t="s">
        <v>278</v>
      </c>
      <c r="D28" s="1883"/>
      <c r="G28" s="294" t="s">
        <v>470</v>
      </c>
      <c r="I28" s="329">
        <f t="shared" si="1"/>
        <v>0</v>
      </c>
      <c r="J28" s="329">
        <f t="shared" si="2"/>
        <v>0</v>
      </c>
      <c r="N28" s="1382"/>
      <c r="O28" s="328">
        <f t="shared" si="3"/>
        <v>0</v>
      </c>
      <c r="P28" s="328"/>
      <c r="Q28" s="328"/>
      <c r="R28" s="328"/>
      <c r="S28" s="328"/>
      <c r="T28" s="1382"/>
      <c r="V28" s="332"/>
      <c r="W28" s="340"/>
      <c r="X28" s="332">
        <f t="shared" si="4"/>
        <v>0</v>
      </c>
      <c r="Y28" s="1381"/>
      <c r="Z28" s="1382"/>
    </row>
    <row r="29" spans="2:26" s="19" customFormat="1" ht="21" customHeight="1">
      <c r="B29" s="1884" t="s">
        <v>471</v>
      </c>
      <c r="C29" s="304" t="s">
        <v>278</v>
      </c>
      <c r="D29" s="1883"/>
      <c r="G29" s="294" t="s">
        <v>472</v>
      </c>
      <c r="I29" s="329">
        <f t="shared" si="1"/>
        <v>0</v>
      </c>
      <c r="J29" s="329">
        <f t="shared" si="2"/>
        <v>0</v>
      </c>
      <c r="N29" s="1382"/>
      <c r="O29" s="328">
        <f t="shared" si="3"/>
        <v>0</v>
      </c>
      <c r="P29" s="328"/>
      <c r="Q29" s="328"/>
      <c r="R29" s="328"/>
      <c r="S29" s="328"/>
      <c r="T29" s="1382"/>
      <c r="V29" s="332"/>
      <c r="W29" s="340"/>
      <c r="X29" s="332">
        <f t="shared" si="4"/>
        <v>0</v>
      </c>
      <c r="Y29" s="1381"/>
      <c r="Z29" s="1382"/>
    </row>
    <row r="30" spans="2:26" s="19" customFormat="1" ht="21" customHeight="1">
      <c r="B30" s="1884" t="s">
        <v>473</v>
      </c>
      <c r="C30" s="304" t="s">
        <v>278</v>
      </c>
      <c r="D30" s="1883">
        <v>0.99370000000000003</v>
      </c>
      <c r="G30" s="294" t="s">
        <v>474</v>
      </c>
      <c r="I30" s="329">
        <f t="shared" si="1"/>
        <v>0</v>
      </c>
      <c r="J30" s="329">
        <f t="shared" si="2"/>
        <v>0</v>
      </c>
      <c r="N30" s="1382"/>
      <c r="O30" s="328">
        <f t="shared" si="3"/>
        <v>0</v>
      </c>
      <c r="P30" s="328"/>
      <c r="Q30" s="328"/>
      <c r="R30" s="328"/>
      <c r="S30" s="328"/>
      <c r="T30" s="1382"/>
      <c r="V30" s="332"/>
      <c r="W30" s="340"/>
      <c r="X30" s="332">
        <f t="shared" si="4"/>
        <v>0</v>
      </c>
      <c r="Y30" s="1381"/>
      <c r="Z30" s="1382"/>
    </row>
    <row r="31" spans="2:26" s="19" customFormat="1" ht="21" customHeight="1">
      <c r="B31" s="1884" t="s">
        <v>475</v>
      </c>
      <c r="C31" s="304" t="s">
        <v>278</v>
      </c>
      <c r="D31" s="1883">
        <v>0.90910000000000002</v>
      </c>
      <c r="G31" s="294" t="s">
        <v>476</v>
      </c>
      <c r="I31" s="329">
        <f t="shared" si="1"/>
        <v>0</v>
      </c>
      <c r="J31" s="329">
        <f t="shared" si="2"/>
        <v>0</v>
      </c>
      <c r="N31" s="1382"/>
      <c r="O31" s="328">
        <f t="shared" si="3"/>
        <v>0</v>
      </c>
      <c r="P31" s="328"/>
      <c r="Q31" s="328"/>
      <c r="R31" s="328"/>
      <c r="S31" s="328"/>
      <c r="T31" s="1382"/>
      <c r="V31" s="332"/>
      <c r="W31" s="340"/>
      <c r="X31" s="332">
        <f t="shared" si="4"/>
        <v>0</v>
      </c>
      <c r="Y31" s="1381"/>
      <c r="Z31" s="1382"/>
    </row>
    <row r="32" spans="2:26" s="19" customFormat="1" ht="21" customHeight="1">
      <c r="B32" s="1884" t="s">
        <v>477</v>
      </c>
      <c r="C32" s="304" t="s">
        <v>278</v>
      </c>
      <c r="D32" s="1883"/>
      <c r="G32" s="294" t="s">
        <v>478</v>
      </c>
      <c r="I32" s="329">
        <f t="shared" si="1"/>
        <v>0</v>
      </c>
      <c r="J32" s="329">
        <f t="shared" si="2"/>
        <v>0</v>
      </c>
      <c r="N32" s="1382"/>
      <c r="O32" s="328">
        <f t="shared" si="3"/>
        <v>0</v>
      </c>
      <c r="P32" s="328"/>
      <c r="Q32" s="328"/>
      <c r="R32" s="328"/>
      <c r="S32" s="328"/>
      <c r="T32" s="1382"/>
      <c r="V32" s="332"/>
      <c r="W32" s="340"/>
      <c r="X32" s="332">
        <f t="shared" si="4"/>
        <v>0</v>
      </c>
      <c r="Y32" s="1381"/>
      <c r="Z32" s="1382"/>
    </row>
    <row r="33" spans="2:26" s="19" customFormat="1" ht="21" customHeight="1">
      <c r="B33" s="1884" t="s">
        <v>479</v>
      </c>
      <c r="C33" s="304" t="s">
        <v>278</v>
      </c>
      <c r="D33" s="1883"/>
      <c r="G33" s="294" t="s">
        <v>480</v>
      </c>
      <c r="I33" s="329">
        <f t="shared" si="1"/>
        <v>0</v>
      </c>
      <c r="J33" s="329">
        <f t="shared" si="2"/>
        <v>0</v>
      </c>
      <c r="N33" s="1382"/>
      <c r="O33" s="328">
        <f t="shared" si="3"/>
        <v>0</v>
      </c>
      <c r="P33" s="328"/>
      <c r="Q33" s="328"/>
      <c r="R33" s="328"/>
      <c r="S33" s="328"/>
      <c r="T33" s="1382"/>
      <c r="V33" s="332"/>
      <c r="W33" s="340"/>
      <c r="X33" s="332">
        <f t="shared" si="4"/>
        <v>0</v>
      </c>
      <c r="Y33" s="1381"/>
      <c r="Z33" s="1382"/>
    </row>
    <row r="34" spans="2:26" s="19" customFormat="1" ht="21" customHeight="1">
      <c r="B34" s="1884" t="s">
        <v>481</v>
      </c>
      <c r="C34" s="304" t="s">
        <v>278</v>
      </c>
      <c r="D34" s="1883">
        <v>1</v>
      </c>
      <c r="G34" s="294" t="s">
        <v>482</v>
      </c>
      <c r="I34" s="329">
        <f t="shared" si="1"/>
        <v>0</v>
      </c>
      <c r="J34" s="329">
        <f t="shared" si="2"/>
        <v>0</v>
      </c>
      <c r="N34" s="1382"/>
      <c r="O34" s="328">
        <f t="shared" si="3"/>
        <v>0</v>
      </c>
      <c r="P34" s="328"/>
      <c r="Q34" s="328"/>
      <c r="R34" s="328"/>
      <c r="S34" s="328"/>
      <c r="T34" s="1382"/>
      <c r="V34" s="332"/>
      <c r="W34" s="340"/>
      <c r="X34" s="332">
        <f t="shared" si="4"/>
        <v>0</v>
      </c>
      <c r="Y34" s="1381"/>
      <c r="Z34" s="1382"/>
    </row>
    <row r="35" spans="2:26" s="19" customFormat="1" ht="21" customHeight="1">
      <c r="B35" s="1884" t="s">
        <v>483</v>
      </c>
      <c r="C35" s="304" t="s">
        <v>278</v>
      </c>
      <c r="D35" s="1883"/>
      <c r="G35" s="294" t="s">
        <v>484</v>
      </c>
      <c r="I35" s="329">
        <f t="shared" si="1"/>
        <v>0</v>
      </c>
      <c r="J35" s="329">
        <f t="shared" si="2"/>
        <v>0</v>
      </c>
      <c r="N35" s="1382"/>
      <c r="O35" s="328">
        <f t="shared" si="3"/>
        <v>0</v>
      </c>
      <c r="P35" s="328"/>
      <c r="Q35" s="328"/>
      <c r="R35" s="328"/>
      <c r="S35" s="328"/>
      <c r="T35" s="1382"/>
      <c r="V35" s="332"/>
      <c r="W35" s="340"/>
      <c r="X35" s="332">
        <f t="shared" si="4"/>
        <v>0</v>
      </c>
      <c r="Y35" s="1381"/>
      <c r="Z35" s="1382"/>
    </row>
    <row r="36" spans="2:26" s="19" customFormat="1" ht="21" customHeight="1">
      <c r="B36" s="1884" t="s">
        <v>485</v>
      </c>
      <c r="C36" s="304" t="s">
        <v>278</v>
      </c>
      <c r="D36" s="1883">
        <v>1</v>
      </c>
      <c r="G36" s="294" t="s">
        <v>486</v>
      </c>
      <c r="I36" s="329">
        <f t="shared" si="1"/>
        <v>0</v>
      </c>
      <c r="J36" s="329">
        <f t="shared" si="2"/>
        <v>0</v>
      </c>
      <c r="N36" s="1382"/>
      <c r="O36" s="328">
        <f t="shared" si="3"/>
        <v>0</v>
      </c>
      <c r="P36" s="328"/>
      <c r="Q36" s="328"/>
      <c r="R36" s="328"/>
      <c r="S36" s="328"/>
      <c r="T36" s="1382"/>
      <c r="V36" s="332"/>
      <c r="W36" s="340"/>
      <c r="X36" s="332">
        <f t="shared" si="4"/>
        <v>0</v>
      </c>
      <c r="Y36" s="1381"/>
      <c r="Z36" s="1382"/>
    </row>
    <row r="37" spans="2:26" s="19" customFormat="1" ht="21" customHeight="1">
      <c r="B37" s="1884" t="s">
        <v>487</v>
      </c>
      <c r="C37" s="304" t="s">
        <v>278</v>
      </c>
      <c r="D37" s="1883">
        <v>1</v>
      </c>
      <c r="G37" s="294" t="s">
        <v>488</v>
      </c>
      <c r="I37" s="329">
        <f t="shared" si="1"/>
        <v>0</v>
      </c>
      <c r="J37" s="329">
        <f t="shared" si="2"/>
        <v>0</v>
      </c>
      <c r="N37" s="1382"/>
      <c r="O37" s="328">
        <f t="shared" si="3"/>
        <v>0</v>
      </c>
      <c r="P37" s="328"/>
      <c r="Q37" s="328"/>
      <c r="R37" s="328"/>
      <c r="S37" s="328"/>
      <c r="T37" s="1382"/>
      <c r="V37" s="332"/>
      <c r="W37" s="340"/>
      <c r="X37" s="332">
        <f t="shared" si="4"/>
        <v>0</v>
      </c>
      <c r="Y37" s="1381"/>
      <c r="Z37" s="1382"/>
    </row>
    <row r="38" spans="2:26" s="19" customFormat="1" ht="21" customHeight="1">
      <c r="B38" s="1884" t="s">
        <v>489</v>
      </c>
      <c r="C38" s="304" t="s">
        <v>278</v>
      </c>
      <c r="D38" s="1883">
        <v>1</v>
      </c>
      <c r="G38" s="294" t="s">
        <v>490</v>
      </c>
      <c r="I38" s="329">
        <f t="shared" si="1"/>
        <v>0</v>
      </c>
      <c r="J38" s="329">
        <f t="shared" si="2"/>
        <v>0</v>
      </c>
      <c r="N38" s="1382"/>
      <c r="O38" s="328">
        <f t="shared" si="3"/>
        <v>0</v>
      </c>
      <c r="P38" s="328"/>
      <c r="Q38" s="328"/>
      <c r="R38" s="328"/>
      <c r="S38" s="328"/>
      <c r="T38" s="1382"/>
      <c r="V38" s="332"/>
      <c r="W38" s="340"/>
      <c r="X38" s="332">
        <f t="shared" si="4"/>
        <v>0</v>
      </c>
      <c r="Y38" s="1381"/>
      <c r="Z38" s="1382"/>
    </row>
    <row r="39" spans="2:26" s="19" customFormat="1" ht="21" customHeight="1">
      <c r="B39" s="1884" t="s">
        <v>491</v>
      </c>
      <c r="C39" s="304" t="s">
        <v>278</v>
      </c>
      <c r="D39" s="1883"/>
      <c r="G39" s="294" t="s">
        <v>492</v>
      </c>
      <c r="I39" s="329">
        <f t="shared" si="1"/>
        <v>0</v>
      </c>
      <c r="J39" s="329">
        <f t="shared" si="2"/>
        <v>0</v>
      </c>
      <c r="N39" s="1382"/>
      <c r="O39" s="328">
        <f t="shared" si="3"/>
        <v>0</v>
      </c>
      <c r="P39" s="328"/>
      <c r="Q39" s="328"/>
      <c r="R39" s="328"/>
      <c r="S39" s="328"/>
      <c r="T39" s="1382"/>
      <c r="V39" s="332"/>
      <c r="W39" s="340"/>
      <c r="X39" s="332">
        <f t="shared" si="4"/>
        <v>0</v>
      </c>
      <c r="Y39" s="1381"/>
      <c r="Z39" s="1382"/>
    </row>
    <row r="40" spans="2:26" s="19" customFormat="1" ht="21" customHeight="1">
      <c r="B40" s="1884" t="s">
        <v>493</v>
      </c>
      <c r="C40" s="304" t="s">
        <v>278</v>
      </c>
      <c r="D40" s="1883"/>
      <c r="G40" s="294" t="s">
        <v>494</v>
      </c>
      <c r="I40" s="329">
        <f t="shared" si="1"/>
        <v>0</v>
      </c>
      <c r="J40" s="329">
        <f t="shared" si="2"/>
        <v>0</v>
      </c>
      <c r="N40" s="1382"/>
      <c r="O40" s="328">
        <f t="shared" si="3"/>
        <v>0</v>
      </c>
      <c r="P40" s="328"/>
      <c r="Q40" s="328"/>
      <c r="R40" s="328"/>
      <c r="S40" s="328"/>
      <c r="T40" s="1382"/>
      <c r="V40" s="332"/>
      <c r="W40" s="340"/>
      <c r="X40" s="332">
        <f t="shared" si="4"/>
        <v>0</v>
      </c>
      <c r="Y40" s="1381"/>
      <c r="Z40" s="1382"/>
    </row>
    <row r="41" spans="2:26" s="19" customFormat="1" ht="21" customHeight="1">
      <c r="B41" s="1884" t="s">
        <v>495</v>
      </c>
      <c r="C41" s="304" t="s">
        <v>278</v>
      </c>
      <c r="D41" s="1883">
        <v>1</v>
      </c>
      <c r="G41" s="294" t="s">
        <v>496</v>
      </c>
      <c r="I41" s="329">
        <f t="shared" si="1"/>
        <v>0</v>
      </c>
      <c r="J41" s="329">
        <f t="shared" si="2"/>
        <v>0</v>
      </c>
      <c r="N41" s="1382"/>
      <c r="O41" s="328">
        <f t="shared" si="3"/>
        <v>0</v>
      </c>
      <c r="P41" s="328"/>
      <c r="Q41" s="328"/>
      <c r="R41" s="328"/>
      <c r="S41" s="328"/>
      <c r="T41" s="1382"/>
      <c r="V41" s="332"/>
      <c r="W41" s="340"/>
      <c r="X41" s="332">
        <f t="shared" si="4"/>
        <v>0</v>
      </c>
      <c r="Y41" s="1381"/>
      <c r="Z41" s="1382"/>
    </row>
    <row r="42" spans="2:26" s="19" customFormat="1" ht="21" customHeight="1">
      <c r="B42" s="1884" t="s">
        <v>497</v>
      </c>
      <c r="C42" s="304" t="s">
        <v>278</v>
      </c>
      <c r="D42" s="1883">
        <v>1</v>
      </c>
      <c r="G42" s="294" t="s">
        <v>498</v>
      </c>
      <c r="I42" s="329">
        <f t="shared" si="1"/>
        <v>0</v>
      </c>
      <c r="J42" s="329">
        <f t="shared" si="2"/>
        <v>0</v>
      </c>
      <c r="N42" s="1382"/>
      <c r="O42" s="328">
        <f t="shared" si="3"/>
        <v>0</v>
      </c>
      <c r="P42" s="328"/>
      <c r="Q42" s="328"/>
      <c r="R42" s="328"/>
      <c r="S42" s="328"/>
      <c r="T42" s="1382"/>
      <c r="V42" s="332"/>
      <c r="W42" s="340"/>
      <c r="X42" s="332">
        <f t="shared" si="4"/>
        <v>0</v>
      </c>
      <c r="Y42" s="1381"/>
      <c r="Z42" s="1382"/>
    </row>
    <row r="43" spans="2:26" s="19" customFormat="1" ht="21" customHeight="1">
      <c r="B43" s="1884" t="s">
        <v>499</v>
      </c>
      <c r="C43" s="304" t="s">
        <v>278</v>
      </c>
      <c r="D43" s="1883">
        <v>1</v>
      </c>
      <c r="G43" s="294" t="s">
        <v>500</v>
      </c>
      <c r="I43" s="329">
        <f t="shared" si="1"/>
        <v>0</v>
      </c>
      <c r="J43" s="329">
        <f t="shared" si="2"/>
        <v>0</v>
      </c>
      <c r="N43" s="1382"/>
      <c r="O43" s="328">
        <f t="shared" si="3"/>
        <v>0</v>
      </c>
      <c r="P43" s="328"/>
      <c r="Q43" s="328"/>
      <c r="R43" s="328"/>
      <c r="S43" s="328"/>
      <c r="T43" s="1382"/>
      <c r="V43" s="332"/>
      <c r="W43" s="340"/>
      <c r="X43" s="332">
        <f t="shared" si="4"/>
        <v>0</v>
      </c>
      <c r="Y43" s="1381"/>
      <c r="Z43" s="1382"/>
    </row>
    <row r="44" spans="2:26" s="19" customFormat="1" ht="21" customHeight="1">
      <c r="B44" s="1884" t="s">
        <v>501</v>
      </c>
      <c r="C44" s="304" t="s">
        <v>278</v>
      </c>
      <c r="D44" s="1883">
        <v>1</v>
      </c>
      <c r="G44" s="294" t="s">
        <v>502</v>
      </c>
      <c r="I44" s="329">
        <f t="shared" si="1"/>
        <v>0</v>
      </c>
      <c r="J44" s="329">
        <f t="shared" si="2"/>
        <v>0</v>
      </c>
      <c r="N44" s="1382"/>
      <c r="O44" s="328">
        <f t="shared" si="3"/>
        <v>0</v>
      </c>
      <c r="P44" s="328"/>
      <c r="Q44" s="328"/>
      <c r="R44" s="328"/>
      <c r="S44" s="328"/>
      <c r="T44" s="1382"/>
      <c r="V44" s="332"/>
      <c r="W44" s="340"/>
      <c r="X44" s="332">
        <f t="shared" si="4"/>
        <v>0</v>
      </c>
      <c r="Y44" s="1381"/>
      <c r="Z44" s="1382"/>
    </row>
    <row r="45" spans="2:26" s="19" customFormat="1" ht="21" customHeight="1">
      <c r="B45" s="1884" t="s">
        <v>503</v>
      </c>
      <c r="C45" s="304" t="s">
        <v>278</v>
      </c>
      <c r="D45" s="1883">
        <v>0.875</v>
      </c>
      <c r="G45" s="294" t="s">
        <v>504</v>
      </c>
      <c r="I45" s="329">
        <f t="shared" si="1"/>
        <v>0</v>
      </c>
      <c r="J45" s="329">
        <f t="shared" si="2"/>
        <v>0</v>
      </c>
      <c r="N45" s="1382"/>
      <c r="O45" s="328">
        <f t="shared" si="3"/>
        <v>0</v>
      </c>
      <c r="P45" s="328"/>
      <c r="Q45" s="328"/>
      <c r="R45" s="328"/>
      <c r="S45" s="328"/>
      <c r="T45" s="1382"/>
      <c r="V45" s="332"/>
      <c r="W45" s="340"/>
      <c r="X45" s="332">
        <f t="shared" si="4"/>
        <v>0</v>
      </c>
      <c r="Y45" s="1381"/>
      <c r="Z45" s="1382"/>
    </row>
    <row r="46" spans="2:26" s="19" customFormat="1" ht="21" customHeight="1">
      <c r="B46" s="1884" t="s">
        <v>505</v>
      </c>
      <c r="C46" s="304" t="s">
        <v>278</v>
      </c>
      <c r="D46" s="1883">
        <v>1</v>
      </c>
      <c r="G46" s="294" t="s">
        <v>506</v>
      </c>
      <c r="I46" s="329">
        <f t="shared" si="1"/>
        <v>0</v>
      </c>
      <c r="J46" s="329">
        <f t="shared" si="2"/>
        <v>0</v>
      </c>
      <c r="N46" s="1382"/>
      <c r="O46" s="328">
        <f t="shared" si="3"/>
        <v>0</v>
      </c>
      <c r="P46" s="328"/>
      <c r="Q46" s="328"/>
      <c r="R46" s="328"/>
      <c r="S46" s="328"/>
      <c r="T46" s="1382"/>
      <c r="V46" s="332"/>
      <c r="W46" s="340"/>
      <c r="X46" s="332">
        <f t="shared" si="4"/>
        <v>0</v>
      </c>
      <c r="Y46" s="1381"/>
      <c r="Z46" s="1382"/>
    </row>
    <row r="47" spans="2:26" s="19" customFormat="1" ht="21" customHeight="1">
      <c r="B47" s="1884" t="s">
        <v>507</v>
      </c>
      <c r="C47" s="304" t="s">
        <v>278</v>
      </c>
      <c r="D47" s="1883">
        <v>1</v>
      </c>
      <c r="G47" s="294" t="s">
        <v>508</v>
      </c>
      <c r="I47" s="329">
        <f t="shared" si="1"/>
        <v>0</v>
      </c>
      <c r="J47" s="329">
        <f t="shared" si="2"/>
        <v>0</v>
      </c>
      <c r="N47" s="1382"/>
      <c r="O47" s="328">
        <f t="shared" si="3"/>
        <v>0</v>
      </c>
      <c r="P47" s="328"/>
      <c r="Q47" s="328"/>
      <c r="R47" s="328"/>
      <c r="S47" s="328"/>
      <c r="T47" s="1382"/>
      <c r="V47" s="332"/>
      <c r="W47" s="340"/>
      <c r="X47" s="332">
        <f t="shared" si="4"/>
        <v>0</v>
      </c>
      <c r="Y47" s="1381"/>
      <c r="Z47" s="1382"/>
    </row>
    <row r="48" spans="2:26" s="19" customFormat="1" ht="21" customHeight="1">
      <c r="B48" s="1884" t="s">
        <v>509</v>
      </c>
      <c r="C48" s="304" t="s">
        <v>278</v>
      </c>
      <c r="D48" s="1883"/>
      <c r="G48" s="294" t="s">
        <v>510</v>
      </c>
      <c r="I48" s="329">
        <f t="shared" si="1"/>
        <v>0</v>
      </c>
      <c r="J48" s="329">
        <f t="shared" si="2"/>
        <v>0</v>
      </c>
      <c r="N48" s="1382"/>
      <c r="O48" s="328">
        <f t="shared" si="3"/>
        <v>0</v>
      </c>
      <c r="P48" s="328"/>
      <c r="Q48" s="328"/>
      <c r="R48" s="328"/>
      <c r="S48" s="328"/>
      <c r="T48" s="1382"/>
      <c r="V48" s="332"/>
      <c r="W48" s="340"/>
      <c r="X48" s="332">
        <f t="shared" si="4"/>
        <v>0</v>
      </c>
      <c r="Y48" s="1381"/>
      <c r="Z48" s="1382"/>
    </row>
    <row r="49" spans="2:26" s="19" customFormat="1" ht="21" customHeight="1">
      <c r="B49" s="1884" t="s">
        <v>511</v>
      </c>
      <c r="C49" s="304" t="s">
        <v>278</v>
      </c>
      <c r="D49" s="1883">
        <v>1</v>
      </c>
      <c r="G49" s="294" t="s">
        <v>512</v>
      </c>
      <c r="I49" s="329">
        <f t="shared" si="1"/>
        <v>0</v>
      </c>
      <c r="J49" s="329">
        <f t="shared" si="2"/>
        <v>0</v>
      </c>
      <c r="N49" s="1382"/>
      <c r="O49" s="328">
        <f t="shared" si="3"/>
        <v>0</v>
      </c>
      <c r="P49" s="328"/>
      <c r="Q49" s="328"/>
      <c r="R49" s="328"/>
      <c r="S49" s="328"/>
      <c r="T49" s="1382"/>
      <c r="V49" s="332"/>
      <c r="W49" s="340"/>
      <c r="X49" s="332">
        <f t="shared" si="4"/>
        <v>0</v>
      </c>
      <c r="Y49" s="1381"/>
      <c r="Z49" s="1382"/>
    </row>
    <row r="50" spans="2:26" s="19" customFormat="1" ht="21" customHeight="1">
      <c r="B50" s="1884"/>
      <c r="C50" s="304" t="s">
        <v>278</v>
      </c>
      <c r="D50" s="1883"/>
      <c r="G50" s="294" t="s">
        <v>513</v>
      </c>
      <c r="I50" s="329">
        <f t="shared" si="1"/>
        <v>0</v>
      </c>
      <c r="J50" s="329">
        <f t="shared" si="2"/>
        <v>0</v>
      </c>
      <c r="N50" s="1382"/>
      <c r="O50" s="328">
        <f t="shared" si="3"/>
        <v>0</v>
      </c>
      <c r="P50" s="328"/>
      <c r="Q50" s="328"/>
      <c r="R50" s="328"/>
      <c r="S50" s="328"/>
      <c r="T50" s="1382"/>
      <c r="V50" s="332"/>
      <c r="W50" s="340"/>
      <c r="X50" s="332">
        <f t="shared" si="4"/>
        <v>0</v>
      </c>
      <c r="Y50" s="1381"/>
      <c r="Z50" s="1382"/>
    </row>
    <row r="51" spans="2:26" s="19" customFormat="1" ht="21" customHeight="1">
      <c r="B51" s="1884"/>
      <c r="C51" s="304" t="s">
        <v>278</v>
      </c>
      <c r="D51" s="1883"/>
      <c r="G51" s="294" t="s">
        <v>514</v>
      </c>
      <c r="I51" s="329">
        <f t="shared" si="1"/>
        <v>0</v>
      </c>
      <c r="J51" s="329">
        <f t="shared" si="2"/>
        <v>0</v>
      </c>
      <c r="N51" s="1382"/>
      <c r="O51" s="328">
        <f t="shared" si="3"/>
        <v>0</v>
      </c>
      <c r="P51" s="328"/>
      <c r="Q51" s="328"/>
      <c r="R51" s="328"/>
      <c r="S51" s="328"/>
      <c r="T51" s="1382"/>
      <c r="V51" s="332"/>
      <c r="W51" s="340"/>
      <c r="X51" s="332">
        <f t="shared" si="4"/>
        <v>0</v>
      </c>
      <c r="Y51" s="1381"/>
      <c r="Z51" s="1382"/>
    </row>
    <row r="52" spans="2:26" s="19" customFormat="1" ht="21" customHeight="1">
      <c r="B52" s="1884"/>
      <c r="C52" s="304" t="s">
        <v>278</v>
      </c>
      <c r="D52" s="1883"/>
      <c r="G52" s="294" t="s">
        <v>515</v>
      </c>
      <c r="I52" s="329">
        <f t="shared" si="1"/>
        <v>0</v>
      </c>
      <c r="J52" s="329">
        <f t="shared" si="2"/>
        <v>0</v>
      </c>
      <c r="N52" s="1382"/>
      <c r="O52" s="328">
        <f t="shared" si="3"/>
        <v>0</v>
      </c>
      <c r="P52" s="328"/>
      <c r="Q52" s="328"/>
      <c r="R52" s="328"/>
      <c r="S52" s="328"/>
      <c r="T52" s="1382"/>
      <c r="V52" s="332"/>
      <c r="W52" s="340"/>
      <c r="X52" s="332">
        <f t="shared" si="4"/>
        <v>0</v>
      </c>
      <c r="Y52" s="1381"/>
      <c r="Z52" s="1382"/>
    </row>
    <row r="53" spans="2:26" s="19" customFormat="1" ht="21" customHeight="1">
      <c r="B53" s="1884"/>
      <c r="C53" s="304" t="s">
        <v>278</v>
      </c>
      <c r="D53" s="1883"/>
      <c r="G53" s="294" t="s">
        <v>516</v>
      </c>
      <c r="I53" s="329">
        <f t="shared" si="1"/>
        <v>0</v>
      </c>
      <c r="J53" s="329">
        <f t="shared" si="2"/>
        <v>0</v>
      </c>
      <c r="N53" s="1382"/>
      <c r="O53" s="328">
        <f t="shared" si="3"/>
        <v>0</v>
      </c>
      <c r="P53" s="328"/>
      <c r="Q53" s="328"/>
      <c r="R53" s="328"/>
      <c r="S53" s="328"/>
      <c r="T53" s="1382"/>
      <c r="V53" s="332"/>
      <c r="W53" s="340"/>
      <c r="X53" s="332">
        <f t="shared" si="4"/>
        <v>0</v>
      </c>
      <c r="Y53" s="1381"/>
      <c r="Z53" s="1382"/>
    </row>
    <row r="54" spans="2:26" s="19" customFormat="1" ht="21" customHeight="1">
      <c r="B54" s="1884"/>
      <c r="C54" s="304" t="s">
        <v>278</v>
      </c>
      <c r="D54" s="1883"/>
      <c r="G54" s="294" t="s">
        <v>517</v>
      </c>
      <c r="I54" s="329">
        <f t="shared" si="1"/>
        <v>0</v>
      </c>
      <c r="J54" s="329">
        <f t="shared" si="2"/>
        <v>0</v>
      </c>
      <c r="N54" s="1382"/>
      <c r="O54" s="328">
        <f t="shared" si="3"/>
        <v>0</v>
      </c>
      <c r="P54" s="328"/>
      <c r="Q54" s="328"/>
      <c r="R54" s="328"/>
      <c r="S54" s="328"/>
      <c r="T54" s="1382"/>
      <c r="V54" s="332"/>
      <c r="W54" s="340"/>
      <c r="X54" s="332">
        <f t="shared" si="4"/>
        <v>0</v>
      </c>
      <c r="Y54" s="1381"/>
      <c r="Z54" s="1382"/>
    </row>
    <row r="55" spans="2:26" s="19" customFormat="1" ht="21" customHeight="1">
      <c r="B55" s="1884"/>
      <c r="C55" s="304" t="s">
        <v>278</v>
      </c>
      <c r="D55" s="1883"/>
      <c r="G55" s="294" t="s">
        <v>518</v>
      </c>
      <c r="I55" s="329">
        <f t="shared" si="1"/>
        <v>0</v>
      </c>
      <c r="J55" s="329">
        <f t="shared" si="2"/>
        <v>0</v>
      </c>
      <c r="N55" s="1382"/>
      <c r="O55" s="328">
        <f t="shared" si="3"/>
        <v>0</v>
      </c>
      <c r="P55" s="328"/>
      <c r="Q55" s="328"/>
      <c r="R55" s="328"/>
      <c r="S55" s="328"/>
      <c r="T55" s="1382"/>
      <c r="V55" s="332"/>
      <c r="W55" s="340"/>
      <c r="X55" s="332">
        <f t="shared" si="4"/>
        <v>0</v>
      </c>
      <c r="Y55" s="1381"/>
      <c r="Z55" s="1382"/>
    </row>
    <row r="56" spans="2:26" s="19" customFormat="1" ht="21" customHeight="1">
      <c r="B56" s="1884"/>
      <c r="C56" s="304" t="s">
        <v>278</v>
      </c>
      <c r="D56" s="1883"/>
      <c r="G56" s="294" t="s">
        <v>519</v>
      </c>
      <c r="I56" s="329">
        <f t="shared" si="1"/>
        <v>0</v>
      </c>
      <c r="J56" s="329">
        <f t="shared" si="2"/>
        <v>0</v>
      </c>
      <c r="N56" s="1382"/>
      <c r="O56" s="328">
        <f t="shared" si="3"/>
        <v>0</v>
      </c>
      <c r="P56" s="328"/>
      <c r="Q56" s="328"/>
      <c r="R56" s="328"/>
      <c r="S56" s="328"/>
      <c r="T56" s="1382"/>
      <c r="V56" s="332"/>
      <c r="W56" s="340"/>
      <c r="X56" s="332">
        <f t="shared" si="4"/>
        <v>0</v>
      </c>
      <c r="Y56" s="1381"/>
      <c r="Z56" s="1382"/>
    </row>
    <row r="57" spans="2:26" s="19" customFormat="1" ht="21" customHeight="1">
      <c r="B57" s="1884"/>
      <c r="C57" s="304" t="s">
        <v>278</v>
      </c>
      <c r="D57" s="1883"/>
      <c r="G57" s="294" t="s">
        <v>520</v>
      </c>
      <c r="I57" s="329">
        <f t="shared" si="1"/>
        <v>0</v>
      </c>
      <c r="J57" s="329">
        <f t="shared" si="2"/>
        <v>0</v>
      </c>
      <c r="N57" s="1382"/>
      <c r="O57" s="328">
        <f t="shared" si="3"/>
        <v>0</v>
      </c>
      <c r="P57" s="328"/>
      <c r="Q57" s="328"/>
      <c r="R57" s="328"/>
      <c r="S57" s="328"/>
      <c r="T57" s="1382"/>
      <c r="V57" s="332"/>
      <c r="W57" s="340"/>
      <c r="X57" s="332">
        <f t="shared" si="4"/>
        <v>0</v>
      </c>
      <c r="Y57" s="1381"/>
      <c r="Z57" s="1382"/>
    </row>
    <row r="58" spans="2:26" s="19" customFormat="1" ht="21" customHeight="1">
      <c r="B58" s="1884"/>
      <c r="C58" s="304" t="s">
        <v>278</v>
      </c>
      <c r="D58" s="1883"/>
      <c r="G58" s="294" t="s">
        <v>521</v>
      </c>
      <c r="I58" s="329">
        <f t="shared" si="1"/>
        <v>0</v>
      </c>
      <c r="J58" s="329">
        <f t="shared" si="2"/>
        <v>0</v>
      </c>
      <c r="N58" s="1382"/>
      <c r="O58" s="328">
        <f t="shared" si="3"/>
        <v>0</v>
      </c>
      <c r="P58" s="328"/>
      <c r="Q58" s="328"/>
      <c r="R58" s="328"/>
      <c r="S58" s="328"/>
      <c r="T58" s="1382"/>
      <c r="V58" s="332"/>
      <c r="W58" s="340"/>
      <c r="X58" s="332">
        <f t="shared" si="4"/>
        <v>0</v>
      </c>
      <c r="Y58" s="1381"/>
      <c r="Z58" s="1382"/>
    </row>
    <row r="59" spans="2:26" s="19" customFormat="1" ht="21" customHeight="1">
      <c r="B59" s="1884"/>
      <c r="C59" s="304" t="s">
        <v>278</v>
      </c>
      <c r="D59" s="1883"/>
      <c r="G59" s="294" t="s">
        <v>522</v>
      </c>
      <c r="I59" s="329">
        <f t="shared" si="1"/>
        <v>0</v>
      </c>
      <c r="J59" s="329">
        <f t="shared" si="2"/>
        <v>0</v>
      </c>
      <c r="N59" s="1382"/>
      <c r="O59" s="328">
        <f t="shared" si="3"/>
        <v>0</v>
      </c>
      <c r="P59" s="328"/>
      <c r="Q59" s="328"/>
      <c r="R59" s="328"/>
      <c r="S59" s="328"/>
      <c r="T59" s="1382"/>
      <c r="V59" s="332"/>
      <c r="W59" s="340"/>
      <c r="X59" s="332">
        <f t="shared" si="4"/>
        <v>0</v>
      </c>
      <c r="Y59" s="1381"/>
      <c r="Z59" s="1382"/>
    </row>
    <row r="60" spans="2:26" s="19" customFormat="1" ht="21" customHeight="1">
      <c r="B60" s="1884"/>
      <c r="C60" s="304" t="s">
        <v>278</v>
      </c>
      <c r="D60" s="1883"/>
      <c r="G60" s="294" t="s">
        <v>523</v>
      </c>
      <c r="I60" s="329">
        <f t="shared" si="1"/>
        <v>0</v>
      </c>
      <c r="J60" s="329">
        <f t="shared" si="2"/>
        <v>0</v>
      </c>
      <c r="N60" s="1382"/>
      <c r="O60" s="328">
        <f t="shared" si="3"/>
        <v>0</v>
      </c>
      <c r="P60" s="328"/>
      <c r="Q60" s="328"/>
      <c r="R60" s="328"/>
      <c r="S60" s="328"/>
      <c r="T60" s="1382"/>
      <c r="V60" s="332"/>
      <c r="W60" s="340"/>
      <c r="X60" s="332">
        <f t="shared" si="4"/>
        <v>0</v>
      </c>
      <c r="Y60" s="1381"/>
      <c r="Z60" s="1382"/>
    </row>
    <row r="61" spans="2:26" s="19" customFormat="1" ht="21" customHeight="1">
      <c r="B61" s="1884"/>
      <c r="C61" s="304" t="s">
        <v>278</v>
      </c>
      <c r="D61" s="1883"/>
      <c r="G61" s="294" t="s">
        <v>524</v>
      </c>
      <c r="I61" s="329">
        <f t="shared" si="1"/>
        <v>0</v>
      </c>
      <c r="J61" s="329">
        <f t="shared" si="2"/>
        <v>0</v>
      </c>
      <c r="N61" s="1382"/>
      <c r="O61" s="328">
        <f t="shared" si="3"/>
        <v>0</v>
      </c>
      <c r="P61" s="328"/>
      <c r="Q61" s="328"/>
      <c r="R61" s="328"/>
      <c r="S61" s="328"/>
      <c r="T61" s="1382"/>
      <c r="V61" s="332"/>
      <c r="W61" s="340"/>
      <c r="X61" s="332">
        <f t="shared" si="4"/>
        <v>0</v>
      </c>
      <c r="Y61" s="1381"/>
      <c r="Z61" s="1382"/>
    </row>
    <row r="62" spans="2:26" s="19" customFormat="1" ht="21" customHeight="1">
      <c r="B62" s="1884"/>
      <c r="C62" s="304" t="s">
        <v>278</v>
      </c>
      <c r="D62" s="1883"/>
      <c r="G62" s="294" t="s">
        <v>525</v>
      </c>
      <c r="I62" s="329">
        <f t="shared" si="1"/>
        <v>0</v>
      </c>
      <c r="J62" s="329">
        <f t="shared" si="2"/>
        <v>0</v>
      </c>
      <c r="N62" s="1382"/>
      <c r="O62" s="328">
        <f t="shared" si="3"/>
        <v>0</v>
      </c>
      <c r="P62" s="328"/>
      <c r="Q62" s="328"/>
      <c r="R62" s="328"/>
      <c r="S62" s="328"/>
      <c r="T62" s="1382"/>
      <c r="V62" s="332"/>
      <c r="W62" s="340"/>
      <c r="X62" s="332">
        <f t="shared" si="4"/>
        <v>0</v>
      </c>
      <c r="Y62" s="1381"/>
      <c r="Z62" s="1382"/>
    </row>
    <row r="63" spans="2:26" s="19" customFormat="1" ht="21" customHeight="1">
      <c r="B63" s="1884"/>
      <c r="C63" s="304" t="s">
        <v>278</v>
      </c>
      <c r="D63" s="1883"/>
      <c r="G63" s="294" t="s">
        <v>526</v>
      </c>
      <c r="I63" s="329">
        <f t="shared" si="1"/>
        <v>0</v>
      </c>
      <c r="J63" s="329">
        <f t="shared" si="2"/>
        <v>0</v>
      </c>
      <c r="N63" s="1382"/>
      <c r="O63" s="328">
        <f t="shared" si="3"/>
        <v>0</v>
      </c>
      <c r="P63" s="328"/>
      <c r="Q63" s="328"/>
      <c r="R63" s="328"/>
      <c r="S63" s="328"/>
      <c r="T63" s="1382"/>
      <c r="V63" s="332"/>
      <c r="W63" s="340"/>
      <c r="X63" s="332">
        <f t="shared" si="4"/>
        <v>0</v>
      </c>
      <c r="Y63" s="1381"/>
      <c r="Z63" s="1382"/>
    </row>
    <row r="64" spans="2:26" s="19" customFormat="1" ht="15.75">
      <c r="N64" s="1382"/>
      <c r="O64" s="328"/>
      <c r="P64" s="328"/>
      <c r="Q64" s="328"/>
      <c r="R64" s="328"/>
      <c r="S64" s="328"/>
      <c r="T64" s="1382"/>
      <c r="U64" s="332"/>
      <c r="V64" s="332"/>
      <c r="W64" s="332"/>
      <c r="X64" s="328"/>
      <c r="Y64" s="1381"/>
      <c r="Z64" s="1382"/>
    </row>
    <row r="65" spans="2:32" s="19" customFormat="1" ht="21" customHeight="1">
      <c r="B65" s="306" t="s">
        <v>527</v>
      </c>
      <c r="C65" s="304" t="s">
        <v>278</v>
      </c>
      <c r="D65" s="1886">
        <f>AVERAGE(D14:D63)</f>
        <v>0.98760909090909099</v>
      </c>
      <c r="G65" s="294" t="s">
        <v>528</v>
      </c>
      <c r="I65" s="329"/>
      <c r="J65" s="329"/>
      <c r="N65" s="1382"/>
      <c r="O65" s="328"/>
      <c r="P65" s="328"/>
      <c r="Q65" s="328"/>
      <c r="R65" s="328"/>
      <c r="S65" s="328"/>
      <c r="T65" s="1382"/>
      <c r="U65" s="332"/>
      <c r="V65" s="332"/>
      <c r="W65" s="332"/>
      <c r="X65" s="328"/>
      <c r="Y65" s="1381"/>
      <c r="Z65" s="1382"/>
      <c r="AB65" s="306" t="str">
        <f>B65</f>
        <v>D-MeX quantitative score (for the reporting period)</v>
      </c>
      <c r="AC65" s="306" t="str">
        <f>C65</f>
        <v>%</v>
      </c>
    </row>
    <row r="66" spans="2:32" s="19" customFormat="1" ht="21" customHeight="1">
      <c r="B66" s="306" t="s">
        <v>529</v>
      </c>
      <c r="C66" s="304" t="s">
        <v>396</v>
      </c>
      <c r="E66" s="1887">
        <f>D65</f>
        <v>0.98760909090909099</v>
      </c>
      <c r="G66" s="294" t="s">
        <v>530</v>
      </c>
      <c r="I66" s="329"/>
      <c r="J66" s="329"/>
      <c r="N66" s="1382"/>
      <c r="O66" s="328"/>
      <c r="P66" s="328"/>
      <c r="Q66" s="328"/>
      <c r="R66" s="328"/>
      <c r="S66" s="328"/>
      <c r="T66" s="1382"/>
      <c r="U66" s="332"/>
      <c r="V66" s="332"/>
      <c r="W66" s="332"/>
      <c r="X66" s="328"/>
      <c r="Y66" s="1381"/>
      <c r="Z66" s="1382"/>
      <c r="AB66" s="306" t="str">
        <f>B66</f>
        <v>D-MeX quantitative score (annual)</v>
      </c>
      <c r="AC66" s="306" t="str">
        <f>C66</f>
        <v>Number</v>
      </c>
      <c r="AF66" s="1494" t="s">
        <v>531</v>
      </c>
    </row>
    <row r="67" spans="2:32" s="19" customFormat="1" ht="15.75">
      <c r="I67" s="21"/>
      <c r="J67" s="21"/>
      <c r="N67" s="341"/>
      <c r="O67" s="341"/>
      <c r="P67" s="341"/>
      <c r="Q67" s="341"/>
      <c r="R67" s="341"/>
      <c r="S67" s="341"/>
      <c r="T67" s="341"/>
      <c r="U67" s="341"/>
      <c r="V67" s="341"/>
      <c r="W67" s="341"/>
      <c r="X67" s="341"/>
      <c r="Y67" s="341"/>
      <c r="Z67" s="341"/>
    </row>
    <row r="68" spans="2:32">
      <c r="B68" s="278" t="s">
        <v>284</v>
      </c>
      <c r="C68" s="1381"/>
      <c r="D68" s="1381"/>
      <c r="E68" s="1381"/>
      <c r="F68" s="1381"/>
      <c r="G68" s="1381"/>
    </row>
    <row r="69" spans="2:32">
      <c r="B69" s="8"/>
      <c r="C69" s="8"/>
      <c r="D69" s="8"/>
      <c r="E69" s="8"/>
      <c r="F69" s="8"/>
      <c r="G69" s="8"/>
    </row>
    <row r="70" spans="2:32">
      <c r="B70" s="1858" t="s">
        <v>285</v>
      </c>
      <c r="C70" s="8"/>
      <c r="D70" s="8"/>
      <c r="E70" s="8"/>
      <c r="F70" s="8"/>
      <c r="G70" s="8"/>
    </row>
    <row r="71" spans="2:32" ht="15.4" thickBot="1">
      <c r="B71" s="378"/>
      <c r="C71" s="8"/>
      <c r="D71" s="8"/>
      <c r="E71" s="8"/>
      <c r="F71" s="8"/>
      <c r="G71" s="8"/>
    </row>
    <row r="72" spans="2:32" ht="15.75" thickTop="1" thickBot="1">
      <c r="B72" s="1859" t="s">
        <v>286</v>
      </c>
      <c r="C72" s="8"/>
      <c r="D72" s="8"/>
      <c r="E72" s="8"/>
      <c r="F72" s="8"/>
      <c r="G72" s="8"/>
    </row>
    <row r="73" spans="2:32" ht="15.4" thickTop="1">
      <c r="B73" s="8"/>
      <c r="C73" s="8"/>
      <c r="D73" s="8"/>
      <c r="E73" s="8"/>
      <c r="F73" s="8"/>
      <c r="G73" s="8"/>
    </row>
    <row r="74" spans="2:32">
      <c r="B74" s="1860" t="s">
        <v>287</v>
      </c>
      <c r="C74" s="8"/>
      <c r="D74" s="8"/>
      <c r="E74" s="8"/>
      <c r="F74" s="8"/>
      <c r="G74" s="8"/>
    </row>
    <row r="75" spans="2:32">
      <c r="B75" s="8"/>
      <c r="C75" s="8"/>
      <c r="D75" s="8"/>
      <c r="E75" s="8"/>
      <c r="F75" s="8"/>
      <c r="G75" s="8"/>
    </row>
    <row r="76" spans="2:32">
      <c r="B76" s="1861" t="s">
        <v>288</v>
      </c>
      <c r="C76" s="8"/>
      <c r="D76" s="8"/>
      <c r="E76" s="8"/>
      <c r="F76" s="8"/>
      <c r="G76" s="8"/>
    </row>
    <row r="77" spans="2:32">
      <c r="B77" s="8"/>
      <c r="C77" s="8"/>
      <c r="D77" s="8"/>
      <c r="E77" s="8"/>
      <c r="F77" s="8"/>
      <c r="G77" s="8"/>
    </row>
    <row r="78" spans="2:32">
      <c r="B78" s="296" t="str">
        <f>'3A'!$B$53</f>
        <v>Please refer to RAG 4.12 - Guideline for the table definitions in the annual performance report for the reporting year 2023-24</v>
      </c>
      <c r="C78" s="279"/>
      <c r="D78" s="279"/>
      <c r="E78" s="279"/>
      <c r="F78" s="279"/>
      <c r="G78" s="279"/>
    </row>
    <row r="79" spans="2:32"/>
    <row r="80" spans="2:32" ht="15.4" hidden="1" customHeight="1"/>
  </sheetData>
  <conditionalFormatting sqref="I6:J6">
    <cfRule type="cellIs" dxfId="273" priority="16" operator="equal">
      <formula>0</formula>
    </cfRule>
  </conditionalFormatting>
  <conditionalFormatting sqref="I9:J10">
    <cfRule type="cellIs" dxfId="272" priority="1" operator="equal">
      <formula>0</formula>
    </cfRule>
  </conditionalFormatting>
  <conditionalFormatting sqref="I14:J63">
    <cfRule type="cellIs" dxfId="271" priority="10" operator="equal">
      <formula>0</formula>
    </cfRule>
  </conditionalFormatting>
  <conditionalFormatting sqref="I65:J66">
    <cfRule type="cellIs" dxfId="270"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05C1-A23C-489C-856E-B38F22A09340}">
  <sheetPr>
    <tabColor rgb="FF0071CE"/>
    <pageSetUpPr fitToPage="1"/>
  </sheetPr>
  <dimension ref="B1:AN53"/>
  <sheetViews>
    <sheetView showGridLines="0" zoomScale="80" zoomScaleNormal="80" zoomScaleSheetLayoutView="100" workbookViewId="0"/>
  </sheetViews>
  <sheetFormatPr defaultColWidth="23.5" defaultRowHeight="13.5" zeroHeight="1"/>
  <cols>
    <col min="1" max="1" width="1.625" style="8" customWidth="1"/>
    <col min="2" max="2" width="42.625" style="8" customWidth="1"/>
    <col min="3" max="4" width="20.625" style="8" customWidth="1"/>
    <col min="5" max="5" width="8.625" style="8" customWidth="1"/>
    <col min="6" max="6" width="12.5" style="8" customWidth="1"/>
    <col min="7" max="7" width="7.375" style="8" customWidth="1"/>
    <col min="8" max="8" width="2.625" style="8" customWidth="1"/>
    <col min="9" max="9" width="8.125" style="8" customWidth="1"/>
    <col min="10" max="10" width="1.625" style="8" customWidth="1"/>
    <col min="11" max="12" width="12.625" style="8" customWidth="1"/>
    <col min="13" max="20" width="8.625" style="8" customWidth="1"/>
    <col min="21" max="21" width="1.625" style="8" hidden="1" customWidth="1"/>
    <col min="22" max="26" width="3.625" style="8" hidden="1" customWidth="1"/>
    <col min="27" max="27" width="1.625" style="8" hidden="1" customWidth="1"/>
    <col min="28" max="31" width="3.625" style="8" hidden="1" customWidth="1"/>
    <col min="32" max="32" width="1.625" style="8" hidden="1" customWidth="1"/>
    <col min="33" max="33" width="8.625" style="8" customWidth="1"/>
    <col min="34" max="34" width="43.875" style="8" customWidth="1"/>
    <col min="35" max="35" width="20.625" style="8" customWidth="1"/>
    <col min="36" max="39" width="15.625" style="8" customWidth="1"/>
    <col min="40" max="16384" width="23.5" style="8"/>
  </cols>
  <sheetData>
    <row r="1" spans="2:40" s="1" customFormat="1" ht="35.25" customHeight="1">
      <c r="B1" s="41" t="s">
        <v>34</v>
      </c>
      <c r="C1" s="6"/>
      <c r="D1" s="6"/>
      <c r="E1" s="6"/>
      <c r="F1" s="5"/>
      <c r="G1" s="5"/>
      <c r="U1" s="322"/>
      <c r="AA1" s="322"/>
      <c r="AF1" s="322"/>
    </row>
    <row r="2" spans="2:40" s="1" customFormat="1" ht="10.15" customHeight="1">
      <c r="B2" s="7"/>
      <c r="C2" s="7"/>
      <c r="D2" s="7"/>
      <c r="E2" s="7"/>
      <c r="F2" s="7"/>
      <c r="G2" s="7"/>
      <c r="U2" s="322"/>
      <c r="AA2" s="322"/>
      <c r="AF2" s="322"/>
    </row>
    <row r="3" spans="2:40" s="10" customFormat="1" ht="31.5" customHeight="1">
      <c r="B3" s="321" t="s">
        <v>532</v>
      </c>
      <c r="C3" s="297"/>
      <c r="D3" s="297"/>
      <c r="E3" s="297"/>
      <c r="F3" s="297"/>
      <c r="G3" s="307"/>
      <c r="H3" s="298"/>
      <c r="I3" s="309" t="str">
        <f>'Validation summary'!$B$3</f>
        <v>Southern Water</v>
      </c>
      <c r="J3" s="299"/>
      <c r="K3" s="300" t="s">
        <v>109</v>
      </c>
      <c r="L3" s="300"/>
      <c r="M3" s="1381"/>
      <c r="N3" s="1381"/>
      <c r="O3" s="1381"/>
      <c r="P3" s="1381"/>
      <c r="Q3" s="1381"/>
      <c r="R3" s="1381"/>
      <c r="S3" s="1381"/>
      <c r="T3" s="1381"/>
      <c r="U3" s="1382"/>
      <c r="V3" s="1381"/>
      <c r="W3" s="1381"/>
      <c r="X3" s="1381"/>
      <c r="Y3" s="1381"/>
      <c r="Z3" s="1381"/>
      <c r="AA3" s="1382"/>
      <c r="AB3" s="1381"/>
      <c r="AC3" s="1381"/>
      <c r="AD3" s="1381"/>
      <c r="AE3" s="1381"/>
      <c r="AF3" s="1382"/>
      <c r="AG3" s="1381"/>
      <c r="AH3" s="300" t="s">
        <v>110</v>
      </c>
      <c r="AI3" s="1381"/>
      <c r="AJ3" s="1381"/>
      <c r="AK3" s="1381"/>
      <c r="AL3" s="1381"/>
      <c r="AM3" s="1381"/>
      <c r="AN3" s="1381"/>
    </row>
    <row r="4" spans="2:40" s="10" customFormat="1" ht="16.5" customHeight="1">
      <c r="B4" s="1378"/>
      <c r="C4" s="26">
        <v>1</v>
      </c>
      <c r="D4" s="26">
        <v>2</v>
      </c>
      <c r="E4" s="26" t="s">
        <v>111</v>
      </c>
      <c r="F4" s="26">
        <v>4</v>
      </c>
      <c r="G4" s="26">
        <v>5</v>
      </c>
      <c r="H4" s="36"/>
      <c r="I4" s="14"/>
      <c r="J4" s="1381"/>
      <c r="K4" s="1381"/>
      <c r="L4" s="1381"/>
      <c r="M4" s="1381"/>
      <c r="N4" s="1381"/>
      <c r="O4" s="1381"/>
      <c r="P4" s="1381"/>
      <c r="Q4" s="1381"/>
      <c r="R4" s="1381"/>
      <c r="S4" s="1381"/>
      <c r="T4" s="1381"/>
      <c r="U4" s="1382"/>
      <c r="V4" s="1381"/>
      <c r="W4" s="1381"/>
      <c r="X4" s="1381"/>
      <c r="Y4" s="1381"/>
      <c r="Z4" s="1381"/>
      <c r="AA4" s="1382"/>
      <c r="AB4" s="1381"/>
      <c r="AC4" s="1381"/>
      <c r="AD4" s="1381"/>
      <c r="AE4" s="1381"/>
      <c r="AF4" s="1382"/>
      <c r="AG4" s="1381"/>
      <c r="AH4" s="1381"/>
      <c r="AI4" s="1381"/>
      <c r="AJ4" s="1381"/>
      <c r="AK4" s="1381"/>
      <c r="AL4" s="1381"/>
      <c r="AM4" s="1381"/>
      <c r="AN4" s="1381"/>
    </row>
    <row r="5" spans="2:40" s="10" customFormat="1" ht="33" customHeight="1">
      <c r="B5" s="2088" t="s">
        <v>112</v>
      </c>
      <c r="C5" s="2087" t="s">
        <v>113</v>
      </c>
      <c r="D5" s="2087" t="s">
        <v>114</v>
      </c>
      <c r="E5" s="2087" t="s">
        <v>115</v>
      </c>
      <c r="F5" s="2090" t="s">
        <v>116</v>
      </c>
      <c r="G5" s="2087" t="s">
        <v>117</v>
      </c>
      <c r="H5" s="282"/>
      <c r="I5" s="2087" t="s">
        <v>120</v>
      </c>
      <c r="J5" s="16"/>
      <c r="K5" s="2081" t="s">
        <v>121</v>
      </c>
      <c r="L5" s="2081" t="s">
        <v>122</v>
      </c>
      <c r="M5" s="1381"/>
      <c r="N5" s="1381"/>
      <c r="O5" s="1381"/>
      <c r="P5" s="1381"/>
      <c r="Q5" s="1381"/>
      <c r="R5" s="1381"/>
      <c r="S5" s="1381"/>
      <c r="T5" s="1381"/>
      <c r="U5" s="1382"/>
      <c r="V5" s="1381" t="s">
        <v>121</v>
      </c>
      <c r="W5" s="1381"/>
      <c r="X5" s="1381"/>
      <c r="Y5" s="1381"/>
      <c r="Z5" s="1381"/>
      <c r="AA5" s="1382"/>
      <c r="AB5" s="1381" t="s">
        <v>122</v>
      </c>
      <c r="AC5" s="1381"/>
      <c r="AD5" s="1381"/>
      <c r="AE5" s="1381"/>
      <c r="AF5" s="1382"/>
      <c r="AG5" s="1381"/>
      <c r="AH5" s="2088" t="s">
        <v>112</v>
      </c>
      <c r="AI5" s="2087" t="s">
        <v>113</v>
      </c>
      <c r="AJ5" s="2087" t="s">
        <v>114</v>
      </c>
      <c r="AK5" s="2087" t="s">
        <v>115</v>
      </c>
      <c r="AL5" s="2090" t="s">
        <v>116</v>
      </c>
      <c r="AM5" s="2087" t="s">
        <v>117</v>
      </c>
      <c r="AN5" s="282"/>
    </row>
    <row r="6" spans="2:40" s="10" customFormat="1" ht="60" customHeight="1">
      <c r="B6" s="2088"/>
      <c r="C6" s="2087"/>
      <c r="D6" s="2087"/>
      <c r="E6" s="2089"/>
      <c r="F6" s="2091"/>
      <c r="G6" s="2087"/>
      <c r="H6" s="282"/>
      <c r="I6" s="2087"/>
      <c r="J6" s="16"/>
      <c r="K6" s="2081"/>
      <c r="L6" s="2081"/>
      <c r="M6" s="1381"/>
      <c r="N6" s="1381"/>
      <c r="O6" s="1381"/>
      <c r="P6" s="1381"/>
      <c r="Q6" s="1381"/>
      <c r="R6" s="1381"/>
      <c r="S6" s="1381"/>
      <c r="T6" s="1381"/>
      <c r="U6" s="1382"/>
      <c r="V6" s="330" t="s">
        <v>124</v>
      </c>
      <c r="W6" s="1381"/>
      <c r="X6" s="1381"/>
      <c r="Y6" s="1381"/>
      <c r="Z6" s="1381"/>
      <c r="AA6" s="1382"/>
      <c r="AB6" s="330" t="s">
        <v>125</v>
      </c>
      <c r="AC6" s="330" t="s">
        <v>533</v>
      </c>
      <c r="AD6" s="330"/>
      <c r="AE6" s="1381"/>
      <c r="AF6" s="1382"/>
      <c r="AG6" s="1381"/>
      <c r="AH6" s="2088"/>
      <c r="AI6" s="2087"/>
      <c r="AJ6" s="2087"/>
      <c r="AK6" s="2089"/>
      <c r="AL6" s="2091"/>
      <c r="AM6" s="2087"/>
      <c r="AN6" s="282"/>
    </row>
    <row r="7" spans="2:40" s="10" customFormat="1" ht="16.5" customHeight="1">
      <c r="B7" s="1378"/>
      <c r="C7" s="1378"/>
      <c r="D7" s="1378"/>
      <c r="E7" s="1378"/>
      <c r="F7" s="1378"/>
      <c r="G7" s="1378"/>
      <c r="H7" s="36"/>
      <c r="I7" s="14"/>
      <c r="J7" s="1381"/>
      <c r="K7" s="1381"/>
      <c r="L7" s="1381"/>
      <c r="M7" s="1381"/>
      <c r="N7" s="1381"/>
      <c r="O7" s="1381"/>
      <c r="P7" s="1381"/>
      <c r="Q7" s="1381"/>
      <c r="R7" s="1381"/>
      <c r="S7" s="1381"/>
      <c r="T7" s="1381"/>
      <c r="U7" s="1382"/>
      <c r="V7" s="1381" t="s">
        <v>127</v>
      </c>
      <c r="W7" s="1381"/>
      <c r="X7" s="1381"/>
      <c r="Y7" s="1381"/>
      <c r="Z7" s="1381"/>
      <c r="AA7" s="1382"/>
      <c r="AB7" s="1381"/>
      <c r="AC7" s="1381"/>
      <c r="AD7" s="1381"/>
      <c r="AE7" s="1381"/>
      <c r="AF7" s="1382"/>
      <c r="AG7" s="1381"/>
      <c r="AH7" s="1381"/>
      <c r="AI7" s="1381"/>
      <c r="AJ7" s="1381"/>
      <c r="AK7" s="1381"/>
      <c r="AL7" s="1381"/>
      <c r="AM7" s="1381"/>
      <c r="AN7" s="1381"/>
    </row>
    <row r="8" spans="2:40" s="10" customFormat="1" ht="15.75">
      <c r="B8" s="311" t="s">
        <v>534</v>
      </c>
      <c r="C8" s="13"/>
      <c r="D8" s="1378"/>
      <c r="E8" s="1378"/>
      <c r="F8" s="1378"/>
      <c r="G8" s="1378"/>
      <c r="H8" s="36"/>
      <c r="I8" s="14"/>
      <c r="J8" s="1381"/>
      <c r="K8" s="1381"/>
      <c r="L8" s="1381"/>
      <c r="M8" s="1381"/>
      <c r="N8" s="1381"/>
      <c r="O8" s="1381"/>
      <c r="P8" s="1381"/>
      <c r="Q8" s="1381"/>
      <c r="R8" s="1381"/>
      <c r="S8" s="1381"/>
      <c r="T8" s="1381"/>
      <c r="U8" s="1382"/>
      <c r="V8" s="327">
        <v>3</v>
      </c>
      <c r="W8" s="327">
        <v>4</v>
      </c>
      <c r="X8" s="327">
        <v>5</v>
      </c>
      <c r="Y8" s="327"/>
      <c r="Z8" s="327"/>
      <c r="AA8" s="331"/>
      <c r="AB8" s="327">
        <v>4</v>
      </c>
      <c r="AC8" s="327">
        <v>5</v>
      </c>
      <c r="AD8" s="327"/>
      <c r="AE8" s="327"/>
      <c r="AF8" s="1382"/>
      <c r="AG8" s="1381"/>
      <c r="AH8" s="311" t="s">
        <v>534</v>
      </c>
      <c r="AI8" s="13"/>
      <c r="AJ8" s="1378"/>
      <c r="AK8" s="1378"/>
      <c r="AL8" s="1378"/>
      <c r="AM8" s="1378"/>
      <c r="AN8" s="1381"/>
    </row>
    <row r="9" spans="2:40" s="10" customFormat="1" ht="28.5" customHeight="1">
      <c r="B9" s="290" t="s">
        <v>535</v>
      </c>
      <c r="C9" s="295" t="str">
        <f>IF($I$3="Select company","",VLOOKUP('3A'!$R$1,C_RSRinD,2,0))</f>
        <v>PR19SRN_WR02</v>
      </c>
      <c r="D9" s="308" t="str">
        <f>IF($I$3="Select company","",INDEX(App1bdata,MATCH($C9,App1bIDnrs,0),20))</f>
        <v>%</v>
      </c>
      <c r="E9" s="308">
        <f>IF($I$3="Select company","",INDEX(App1bdata,MATCH($C9,App1bIDnrs,0),22))</f>
        <v>1</v>
      </c>
      <c r="F9" s="1888">
        <v>0</v>
      </c>
      <c r="G9" s="1863" t="s">
        <v>168</v>
      </c>
      <c r="H9" s="36"/>
      <c r="I9" s="294" t="s">
        <v>536</v>
      </c>
      <c r="J9" s="1381"/>
      <c r="K9" s="329">
        <f>IF(SUM($V9:$X9)=0,0,$V$6)</f>
        <v>0</v>
      </c>
      <c r="L9" s="343">
        <f>IF(SUM(AB9:AB9)&lt;&gt;0,$AB$6,0)</f>
        <v>0</v>
      </c>
      <c r="M9" s="1381"/>
      <c r="N9" s="1381"/>
      <c r="O9" s="1381"/>
      <c r="P9" s="1381"/>
      <c r="Q9" s="1381"/>
      <c r="R9" s="1381"/>
      <c r="S9" s="1381"/>
      <c r="T9" s="1381"/>
      <c r="U9" s="1382"/>
      <c r="V9" s="328"/>
      <c r="W9" s="328">
        <f>IF($C9="",0,IF(ISBLANK($F9)=TRUE,1,0))</f>
        <v>0</v>
      </c>
      <c r="X9" s="328">
        <f>IF($C9="",0,IF(ISBLANK($G9)=TRUE,1,0))</f>
        <v>0</v>
      </c>
      <c r="Y9" s="328"/>
      <c r="Z9" s="328"/>
      <c r="AA9" s="1382"/>
      <c r="AB9" s="332">
        <f>IF($F9&lt;0,1,0)</f>
        <v>0</v>
      </c>
      <c r="AC9" s="332"/>
      <c r="AD9" s="328"/>
      <c r="AE9" s="332"/>
      <c r="AF9" s="1382"/>
      <c r="AG9" s="1381"/>
      <c r="AH9" s="290" t="str">
        <f>B9</f>
        <v>Risk of severe restrictions in a drought</v>
      </c>
      <c r="AI9" s="290" t="str">
        <f t="shared" ref="AI9:AK13" si="0">C9</f>
        <v>PR19SRN_WR02</v>
      </c>
      <c r="AJ9" s="290" t="str">
        <f t="shared" si="0"/>
        <v>%</v>
      </c>
      <c r="AK9" s="290">
        <f t="shared" si="0"/>
        <v>1</v>
      </c>
      <c r="AL9" s="1495" t="s">
        <v>537</v>
      </c>
      <c r="AM9" s="1486" t="s">
        <v>538</v>
      </c>
      <c r="AN9" s="1381"/>
    </row>
    <row r="10" spans="2:40" s="10" customFormat="1" ht="28.5" customHeight="1">
      <c r="B10" s="290" t="s">
        <v>539</v>
      </c>
      <c r="C10" s="295" t="str">
        <f>IF($I$3="Select company","",VLOOKUP('3A'!$R$1,C_PSR,2,0))</f>
        <v>PR19SRN_RR08</v>
      </c>
      <c r="D10" s="295" t="str">
        <f>IF($I$3="Select company","",INDEX(App1bdata,MATCH($C10,App1bIDnrs,0),20))</f>
        <v>%</v>
      </c>
      <c r="E10" s="295">
        <f>IF($I$3="Select company","",INDEX(App1bdata,MATCH($C10,App1bIDnrs,0),22))</f>
        <v>1</v>
      </c>
      <c r="F10" s="1868">
        <f>'3F'!$E$37*100</f>
        <v>11.700000000000001</v>
      </c>
      <c r="G10" s="1863" t="s">
        <v>168</v>
      </c>
      <c r="H10" s="36"/>
      <c r="I10" s="294" t="s">
        <v>540</v>
      </c>
      <c r="J10" s="1381"/>
      <c r="K10" s="329">
        <f>IF(SUM($V10:$X10)=0,0,$V$6)</f>
        <v>0</v>
      </c>
      <c r="L10" s="343">
        <f>IF($AB10=0,0,$AC$6)</f>
        <v>0</v>
      </c>
      <c r="M10" s="1381"/>
      <c r="N10" s="1381"/>
      <c r="O10" s="1381"/>
      <c r="P10" s="1381"/>
      <c r="Q10" s="1381"/>
      <c r="R10" s="1381"/>
      <c r="S10" s="1381"/>
      <c r="T10" s="1381"/>
      <c r="U10" s="1382"/>
      <c r="V10" s="328"/>
      <c r="W10" s="328"/>
      <c r="X10" s="328">
        <f>IF($C10="",0,IF(ISBLANK($G10)=TRUE,1,0))</f>
        <v>0</v>
      </c>
      <c r="Y10" s="328"/>
      <c r="Z10" s="328"/>
      <c r="AA10" s="1382"/>
      <c r="AB10" s="332">
        <f>IF(ISERROR($F10)=TRUE,1,IF($F10&lt;0,1,0))</f>
        <v>0</v>
      </c>
      <c r="AC10" s="332"/>
      <c r="AD10" s="328"/>
      <c r="AE10" s="332"/>
      <c r="AF10" s="1382"/>
      <c r="AG10" s="1381"/>
      <c r="AH10" s="290" t="str">
        <f t="shared" ref="AH10:AH13" si="1">B10</f>
        <v>Priority services for customers in vulnerable circumstances - PSR reach</v>
      </c>
      <c r="AI10" s="290" t="str">
        <f t="shared" si="0"/>
        <v>PR19SRN_RR08</v>
      </c>
      <c r="AJ10" s="290" t="str">
        <f t="shared" si="0"/>
        <v>%</v>
      </c>
      <c r="AK10" s="290">
        <f t="shared" si="0"/>
        <v>1</v>
      </c>
      <c r="AL10" s="1476" t="s">
        <v>541</v>
      </c>
      <c r="AM10" s="1486" t="s">
        <v>542</v>
      </c>
      <c r="AN10" s="1381"/>
    </row>
    <row r="11" spans="2:40" s="10" customFormat="1" ht="28.5" customHeight="1">
      <c r="B11" s="290" t="s">
        <v>543</v>
      </c>
      <c r="C11" s="295" t="str">
        <f>IF($I$3="Select company","",VLOOKUP('3A'!$R$1,C_PSR,2,0))</f>
        <v>PR19SRN_RR08</v>
      </c>
      <c r="D11" s="295" t="str">
        <f>IF($I$3="Select company","",INDEX(App1bdata,MATCH($C11,App1bIDnrs,0),20))</f>
        <v>%</v>
      </c>
      <c r="E11" s="295">
        <f>IF($I$3="Select company","",INDEX(App1bdata,MATCH($C11,App1bIDnrs,0),22))</f>
        <v>1</v>
      </c>
      <c r="F11" s="1868">
        <f>'3F'!$H$37*100</f>
        <v>98.7</v>
      </c>
      <c r="G11" s="1863" t="s">
        <v>168</v>
      </c>
      <c r="H11" s="36"/>
      <c r="I11" s="294" t="s">
        <v>544</v>
      </c>
      <c r="J11" s="1381"/>
      <c r="K11" s="329">
        <f>IF(SUM($V11:$X11)=0,0,$V$6)</f>
        <v>0</v>
      </c>
      <c r="L11" s="343">
        <f>IF($AB11=0,0,$AC$6)</f>
        <v>0</v>
      </c>
      <c r="M11" s="1381"/>
      <c r="N11" s="1381"/>
      <c r="O11" s="1381"/>
      <c r="P11" s="1381"/>
      <c r="Q11" s="1381"/>
      <c r="R11" s="1381"/>
      <c r="S11" s="1381"/>
      <c r="T11" s="1381"/>
      <c r="U11" s="1382"/>
      <c r="V11" s="328"/>
      <c r="W11" s="328"/>
      <c r="X11" s="328">
        <f>IF($C11="",0,IF(ISBLANK($G11)=TRUE,1,0))</f>
        <v>0</v>
      </c>
      <c r="Y11" s="328"/>
      <c r="Z11" s="328"/>
      <c r="AA11" s="1382"/>
      <c r="AB11" s="332">
        <f>IF(ISERROR($F11)=TRUE,1,IF($F11&lt;0,1,0))</f>
        <v>0</v>
      </c>
      <c r="AC11" s="332"/>
      <c r="AD11" s="328"/>
      <c r="AE11" s="332"/>
      <c r="AF11" s="1382"/>
      <c r="AG11" s="1381"/>
      <c r="AH11" s="290" t="str">
        <f t="shared" si="1"/>
        <v>Priority services for customers in vulnerable circumstances - Attempted contacts</v>
      </c>
      <c r="AI11" s="290" t="str">
        <f t="shared" si="0"/>
        <v>PR19SRN_RR08</v>
      </c>
      <c r="AJ11" s="290" t="str">
        <f t="shared" si="0"/>
        <v>%</v>
      </c>
      <c r="AK11" s="290">
        <f t="shared" si="0"/>
        <v>1</v>
      </c>
      <c r="AL11" s="1476" t="s">
        <v>545</v>
      </c>
      <c r="AM11" s="1486" t="s">
        <v>546</v>
      </c>
      <c r="AN11" s="1381"/>
    </row>
    <row r="12" spans="2:40" s="10" customFormat="1" ht="28.5" customHeight="1">
      <c r="B12" s="290" t="s">
        <v>547</v>
      </c>
      <c r="C12" s="295" t="str">
        <f>IF($I$3="Select company","",VLOOKUP('3A'!$R$1,C_PSR,2,0))</f>
        <v>PR19SRN_RR08</v>
      </c>
      <c r="D12" s="295" t="str">
        <f>IF($I$3="Select company","",INDEX(App1bdata,MATCH($C12,App1bIDnrs,0),20))</f>
        <v>%</v>
      </c>
      <c r="E12" s="295">
        <f>IF($I$3="Select company","",INDEX(App1bdata,MATCH($C12,App1bIDnrs,0),22))</f>
        <v>1</v>
      </c>
      <c r="F12" s="1868">
        <f>'3F'!$J$37*100</f>
        <v>36.4</v>
      </c>
      <c r="G12" s="1863" t="s">
        <v>168</v>
      </c>
      <c r="H12" s="36"/>
      <c r="I12" s="294" t="s">
        <v>548</v>
      </c>
      <c r="J12" s="1381"/>
      <c r="K12" s="329">
        <f>IF(SUM($V12:$X12)=0,0,$V$6)</f>
        <v>0</v>
      </c>
      <c r="L12" s="343">
        <f>IF($AB12=0,0,$AC$6)</f>
        <v>0</v>
      </c>
      <c r="M12" s="1381"/>
      <c r="N12" s="1381"/>
      <c r="O12" s="1381"/>
      <c r="P12" s="1381"/>
      <c r="Q12" s="1381"/>
      <c r="R12" s="1381"/>
      <c r="S12" s="1381"/>
      <c r="T12" s="1381"/>
      <c r="U12" s="1382"/>
      <c r="V12" s="328"/>
      <c r="W12" s="328"/>
      <c r="X12" s="328">
        <f>IF($C12="",0,IF(ISBLANK($G12)=TRUE,1,0))</f>
        <v>0</v>
      </c>
      <c r="Y12" s="328"/>
      <c r="Z12" s="328"/>
      <c r="AA12" s="1382"/>
      <c r="AB12" s="332">
        <f>IF(ISERROR($F12)=TRUE,1,IF($F12&lt;0,1,0))</f>
        <v>0</v>
      </c>
      <c r="AC12" s="332"/>
      <c r="AD12" s="328"/>
      <c r="AE12" s="332"/>
      <c r="AF12" s="1382"/>
      <c r="AG12" s="1381"/>
      <c r="AH12" s="290" t="str">
        <f t="shared" si="1"/>
        <v>Priority services for customers in vulnerable circumstances - Actual contacts</v>
      </c>
      <c r="AI12" s="290" t="str">
        <f t="shared" si="0"/>
        <v>PR19SRN_RR08</v>
      </c>
      <c r="AJ12" s="290" t="str">
        <f t="shared" si="0"/>
        <v>%</v>
      </c>
      <c r="AK12" s="290">
        <f t="shared" si="0"/>
        <v>1</v>
      </c>
      <c r="AL12" s="1476" t="s">
        <v>549</v>
      </c>
      <c r="AM12" s="1486" t="s">
        <v>550</v>
      </c>
      <c r="AN12" s="1381"/>
    </row>
    <row r="13" spans="2:40" s="10" customFormat="1" ht="28.5" customHeight="1">
      <c r="B13" s="290" t="str">
        <f>IF('Validation summary'!$F$3="Woc","","Risk of sewer flooding in a storm")</f>
        <v>Risk of sewer flooding in a storm</v>
      </c>
      <c r="C13" s="295" t="str">
        <f>IF(OR($I$3="Select company",'Validation summary'!$F$3="WoC"),"",VLOOKUP('3A'!$R$1,C_RSFinS,2,0))</f>
        <v>PR19SRN_WWN03</v>
      </c>
      <c r="D13" s="295" t="str">
        <f>IF(OR($I$3="Select company",'Validation summary'!$F$3="WoC"),"",INDEX(App1bdata,MATCH($C13,App1bIDnrs,0),20))</f>
        <v>%</v>
      </c>
      <c r="E13" s="295">
        <f>IF(OR($I$3="Select company",'Validation summary'!$F$3="WoC"),"",INDEX(App1bdata,MATCH($C13,App1bIDnrs,0),22))</f>
        <v>2</v>
      </c>
      <c r="F13" s="1874">
        <v>10.87</v>
      </c>
      <c r="G13" s="1863" t="s">
        <v>168</v>
      </c>
      <c r="H13" s="1381"/>
      <c r="I13" s="294" t="s">
        <v>551</v>
      </c>
      <c r="J13" s="1381"/>
      <c r="K13" s="329">
        <f>IF(SUM($V13:$X13)=0,0,$V$6)</f>
        <v>0</v>
      </c>
      <c r="L13" s="343">
        <f>IF(SUM(AB13:AB13)&lt;&gt;0,$AB$6,0)</f>
        <v>0</v>
      </c>
      <c r="M13" s="1381"/>
      <c r="N13" s="1381"/>
      <c r="O13" s="1381"/>
      <c r="P13" s="1381"/>
      <c r="Q13" s="1381"/>
      <c r="R13" s="1381"/>
      <c r="S13" s="1381"/>
      <c r="T13" s="1381"/>
      <c r="U13" s="1382"/>
      <c r="V13" s="328"/>
      <c r="W13" s="328">
        <f>IF($C13="",0,IF(ISBLANK($F13)=TRUE,1,0))</f>
        <v>0</v>
      </c>
      <c r="X13" s="328">
        <f>IF($C13="",0,IF(ISBLANK($G13)=TRUE,1,0))</f>
        <v>0</v>
      </c>
      <c r="Y13" s="328"/>
      <c r="Z13" s="328"/>
      <c r="AA13" s="1382"/>
      <c r="AB13" s="332">
        <f>IF($F13&lt;0,1,0)</f>
        <v>0</v>
      </c>
      <c r="AC13" s="332"/>
      <c r="AD13" s="328"/>
      <c r="AE13" s="332"/>
      <c r="AF13" s="1382"/>
      <c r="AG13" s="1381"/>
      <c r="AH13" s="290" t="str">
        <f t="shared" si="1"/>
        <v>Risk of sewer flooding in a storm</v>
      </c>
      <c r="AI13" s="290" t="str">
        <f t="shared" si="0"/>
        <v>PR19SRN_WWN03</v>
      </c>
      <c r="AJ13" s="290" t="str">
        <f t="shared" si="0"/>
        <v>%</v>
      </c>
      <c r="AK13" s="290">
        <f t="shared" si="0"/>
        <v>2</v>
      </c>
      <c r="AL13" s="1496" t="s">
        <v>552</v>
      </c>
      <c r="AM13" s="1486" t="s">
        <v>553</v>
      </c>
      <c r="AN13" s="1381"/>
    </row>
    <row r="14" spans="2:40" s="10" customFormat="1" ht="16.5" customHeight="1">
      <c r="B14" s="1378"/>
      <c r="C14" s="1378"/>
      <c r="D14" s="1378"/>
      <c r="E14" s="1378"/>
      <c r="F14" s="1378"/>
      <c r="G14" s="1378"/>
      <c r="H14" s="1381"/>
      <c r="I14" s="1381"/>
      <c r="J14" s="1381"/>
      <c r="K14" s="1381"/>
      <c r="L14" s="1381"/>
      <c r="M14" s="1381"/>
      <c r="N14" s="1381"/>
      <c r="O14" s="1381"/>
      <c r="P14" s="1381"/>
      <c r="Q14" s="1381"/>
      <c r="R14" s="1381"/>
      <c r="S14" s="1381"/>
      <c r="T14" s="1381"/>
      <c r="U14" s="1382"/>
      <c r="V14" s="1381" t="s">
        <v>174</v>
      </c>
      <c r="W14" s="328"/>
      <c r="X14" s="328"/>
      <c r="Y14" s="328"/>
      <c r="Z14" s="328"/>
      <c r="AA14" s="1382"/>
      <c r="AB14" s="1381"/>
      <c r="AC14" s="1381"/>
      <c r="AD14" s="332"/>
      <c r="AE14" s="1381"/>
      <c r="AF14" s="1382"/>
      <c r="AG14" s="1381"/>
      <c r="AH14" s="1378"/>
      <c r="AI14" s="1378"/>
      <c r="AJ14" s="1378"/>
      <c r="AK14" s="1378"/>
      <c r="AL14" s="1378"/>
      <c r="AM14" s="1378"/>
      <c r="AN14" s="1381"/>
    </row>
    <row r="15" spans="2:40" s="10" customFormat="1" ht="18" customHeight="1">
      <c r="B15" s="311" t="s">
        <v>554</v>
      </c>
      <c r="C15" s="13"/>
      <c r="D15" s="1378"/>
      <c r="E15" s="1378"/>
      <c r="F15" s="1378"/>
      <c r="G15" s="1378"/>
      <c r="H15" s="1381"/>
      <c r="I15" s="1381"/>
      <c r="J15" s="1381"/>
      <c r="K15" s="1381"/>
      <c r="L15" s="1381"/>
      <c r="M15" s="1381"/>
      <c r="N15" s="1381"/>
      <c r="O15" s="1381"/>
      <c r="P15" s="1381"/>
      <c r="Q15" s="1381"/>
      <c r="R15" s="1381"/>
      <c r="S15" s="1381"/>
      <c r="T15" s="1381"/>
      <c r="U15" s="1382"/>
      <c r="V15" s="327">
        <v>3</v>
      </c>
      <c r="W15" s="327">
        <v>4</v>
      </c>
      <c r="X15" s="327">
        <v>5</v>
      </c>
      <c r="Y15" s="327"/>
      <c r="Z15" s="327"/>
      <c r="AA15" s="331"/>
      <c r="AB15" s="327">
        <v>4</v>
      </c>
      <c r="AC15" s="327">
        <v>5</v>
      </c>
      <c r="AD15" s="327"/>
      <c r="AE15" s="327"/>
      <c r="AF15" s="1382"/>
      <c r="AG15" s="1381"/>
      <c r="AH15" s="311" t="s">
        <v>554</v>
      </c>
      <c r="AI15" s="13"/>
      <c r="AJ15" s="1378"/>
      <c r="AK15" s="1378"/>
      <c r="AL15" s="1378"/>
      <c r="AM15" s="1378"/>
      <c r="AN15" s="1381"/>
    </row>
    <row r="16" spans="2:40" s="17" customFormat="1" ht="28.5" customHeight="1">
      <c r="B16" s="290" t="str">
        <f t="shared" ref="B16:B38" si="2">IF($I$3="Select company","",IF($C16="","",INDEX(App1data,MATCH($C16,App1IDnrs,0),5)))</f>
        <v>Target 100</v>
      </c>
      <c r="C16" s="295" t="str">
        <f>IF($I$3="Select company","",IF(HLOOKUP('3A'!$R$1,B_NFIN_All,'PC lists'!$B79,0)="","",HLOOKUP('3A'!$R$1,B_NFIN_All,'PC lists'!$B79,0)))</f>
        <v>PR19SRN_WR03</v>
      </c>
      <c r="D16" s="295" t="str">
        <f t="shared" ref="D16:D38" si="3">IF($C16="","",INDEX(App1data,MATCH($C16,App1IDnrs,0),20))</f>
        <v>%</v>
      </c>
      <c r="E16" s="295">
        <f t="shared" ref="E16:E38" si="4">IF($C16="","",INDEX(App1data,MATCH($C16,App1IDnrs,0),22))</f>
        <v>0</v>
      </c>
      <c r="F16" s="1936">
        <v>38</v>
      </c>
      <c r="G16" s="1863" t="s">
        <v>131</v>
      </c>
      <c r="I16" s="294" t="s">
        <v>555</v>
      </c>
      <c r="K16" s="329">
        <f>IF(SUM($V16:$X16)=0,0,$V$6)</f>
        <v>0</v>
      </c>
      <c r="L16" s="343"/>
      <c r="U16" s="1382"/>
      <c r="V16" s="328"/>
      <c r="W16" s="328">
        <f t="shared" ref="W16:W38" si="5">IF($C16="",0,IF(ISBLANK($F16)=TRUE,1,0))</f>
        <v>0</v>
      </c>
      <c r="X16" s="328">
        <f t="shared" ref="X16:X38" si="6">IF($C16="",0,IF(ISBLANK($G16)=TRUE,1,0))</f>
        <v>0</v>
      </c>
      <c r="Y16" s="328"/>
      <c r="Z16" s="328"/>
      <c r="AA16" s="323"/>
      <c r="AD16" s="332"/>
      <c r="AF16" s="1382"/>
      <c r="AH16" s="290" t="str">
        <f t="shared" ref="AH16:AK38" si="7">B16</f>
        <v>Target 100</v>
      </c>
      <c r="AI16" s="290" t="str">
        <f t="shared" si="7"/>
        <v>PR19SRN_WR03</v>
      </c>
      <c r="AJ16" s="290" t="str">
        <f t="shared" si="7"/>
        <v>%</v>
      </c>
      <c r="AK16" s="290">
        <f t="shared" si="7"/>
        <v>0</v>
      </c>
      <c r="AL16" s="1497" t="s">
        <v>556</v>
      </c>
      <c r="AM16" s="1486" t="s">
        <v>557</v>
      </c>
    </row>
    <row r="17" spans="2:39" s="17" customFormat="1" ht="28.5" customHeight="1">
      <c r="B17" s="290" t="str">
        <f t="shared" si="2"/>
        <v>Water saved from water efficiency visits</v>
      </c>
      <c r="C17" s="295" t="str">
        <f>IF($I$3="Select company","",IF(HLOOKUP('3A'!$R$1,B_NFIN_All,'PC lists'!$B80,0)="","",HLOOKUP('3A'!$R$1,B_NFIN_All,'PC lists'!$B80,0)))</f>
        <v>PR19SRN_WR04</v>
      </c>
      <c r="D17" s="295" t="str">
        <f t="shared" si="3"/>
        <v>nr</v>
      </c>
      <c r="E17" s="295">
        <f t="shared" si="4"/>
        <v>0</v>
      </c>
      <c r="F17" s="1863">
        <v>832</v>
      </c>
      <c r="G17" s="1863" t="s">
        <v>131</v>
      </c>
      <c r="I17" s="294" t="s">
        <v>558</v>
      </c>
      <c r="K17" s="329">
        <f t="shared" ref="K17:K38" si="8">IF(SUM($V17:$X17)=0,0,$V$6)</f>
        <v>0</v>
      </c>
      <c r="L17" s="343"/>
      <c r="U17" s="1382"/>
      <c r="V17" s="328"/>
      <c r="W17" s="328">
        <f t="shared" si="5"/>
        <v>0</v>
      </c>
      <c r="X17" s="328">
        <f t="shared" si="6"/>
        <v>0</v>
      </c>
      <c r="Y17" s="328"/>
      <c r="Z17" s="328"/>
      <c r="AA17" s="323"/>
      <c r="AD17" s="332"/>
      <c r="AF17" s="1382"/>
      <c r="AH17" s="290" t="str">
        <f t="shared" si="7"/>
        <v>Water saved from water efficiency visits</v>
      </c>
      <c r="AI17" s="290" t="str">
        <f t="shared" si="7"/>
        <v>PR19SRN_WR04</v>
      </c>
      <c r="AJ17" s="290" t="str">
        <f t="shared" si="7"/>
        <v>nr</v>
      </c>
      <c r="AK17" s="290">
        <f t="shared" si="7"/>
        <v>0</v>
      </c>
      <c r="AL17" s="1497" t="s">
        <v>559</v>
      </c>
      <c r="AM17" s="1486" t="s">
        <v>560</v>
      </c>
    </row>
    <row r="18" spans="2:39" s="17" customFormat="1" ht="28.5" customHeight="1">
      <c r="B18" s="290" t="str">
        <f t="shared" si="2"/>
        <v>Effectiveness of Financial Assistance</v>
      </c>
      <c r="C18" s="295" t="str">
        <f>IF($I$3="Select company","",IF(HLOOKUP('3A'!$R$1,B_NFIN_All,'PC lists'!$B81,0)="","",HLOOKUP('3A'!$R$1,B_NFIN_All,'PC lists'!$B81,0)))</f>
        <v>PR19SRN_RR04</v>
      </c>
      <c r="D18" s="295" t="str">
        <f t="shared" si="3"/>
        <v>%</v>
      </c>
      <c r="E18" s="295">
        <f t="shared" si="4"/>
        <v>0</v>
      </c>
      <c r="F18" s="1863">
        <v>76</v>
      </c>
      <c r="G18" s="1863" t="s">
        <v>131</v>
      </c>
      <c r="I18" s="294" t="s">
        <v>561</v>
      </c>
      <c r="K18" s="329">
        <f t="shared" si="8"/>
        <v>0</v>
      </c>
      <c r="L18" s="343"/>
      <c r="U18" s="1382"/>
      <c r="V18" s="328"/>
      <c r="W18" s="328">
        <f t="shared" si="5"/>
        <v>0</v>
      </c>
      <c r="X18" s="328">
        <f t="shared" si="6"/>
        <v>0</v>
      </c>
      <c r="Y18" s="328"/>
      <c r="Z18" s="328"/>
      <c r="AA18" s="323"/>
      <c r="AD18" s="332"/>
      <c r="AF18" s="1382"/>
      <c r="AH18" s="290" t="str">
        <f t="shared" si="7"/>
        <v>Effectiveness of Financial Assistance</v>
      </c>
      <c r="AI18" s="290" t="str">
        <f t="shared" si="7"/>
        <v>PR19SRN_RR04</v>
      </c>
      <c r="AJ18" s="290" t="str">
        <f t="shared" si="7"/>
        <v>%</v>
      </c>
      <c r="AK18" s="290">
        <f t="shared" si="7"/>
        <v>0</v>
      </c>
      <c r="AL18" s="1497" t="s">
        <v>562</v>
      </c>
      <c r="AM18" s="1486" t="s">
        <v>563</v>
      </c>
    </row>
    <row r="19" spans="2:39" s="17" customFormat="1" ht="28.5" customHeight="1">
      <c r="B19" s="290" t="str">
        <f t="shared" si="2"/>
        <v>Customer satisfaction with vulnerability support</v>
      </c>
      <c r="C19" s="295" t="str">
        <f>IF($I$3="Select company","",IF(HLOOKUP('3A'!$R$1,B_NFIN_All,'PC lists'!$B82,0)="","",HLOOKUP('3A'!$R$1,B_NFIN_All,'PC lists'!$B82,0)))</f>
        <v>PR19SRN_RR05</v>
      </c>
      <c r="D19" s="295" t="str">
        <f t="shared" si="3"/>
        <v>%</v>
      </c>
      <c r="E19" s="295">
        <f t="shared" si="4"/>
        <v>0</v>
      </c>
      <c r="F19" s="1865">
        <v>70</v>
      </c>
      <c r="G19" s="1863" t="s">
        <v>131</v>
      </c>
      <c r="I19" s="294" t="s">
        <v>564</v>
      </c>
      <c r="K19" s="329">
        <f t="shared" si="8"/>
        <v>0</v>
      </c>
      <c r="L19" s="343"/>
      <c r="U19" s="323"/>
      <c r="V19" s="328"/>
      <c r="W19" s="328">
        <f t="shared" si="5"/>
        <v>0</v>
      </c>
      <c r="X19" s="328">
        <f t="shared" si="6"/>
        <v>0</v>
      </c>
      <c r="Y19" s="328"/>
      <c r="Z19" s="328"/>
      <c r="AA19" s="323"/>
      <c r="AD19" s="332"/>
      <c r="AF19" s="323"/>
      <c r="AH19" s="290" t="str">
        <f t="shared" si="7"/>
        <v>Customer satisfaction with vulnerability support</v>
      </c>
      <c r="AI19" s="290" t="str">
        <f t="shared" si="7"/>
        <v>PR19SRN_RR05</v>
      </c>
      <c r="AJ19" s="290" t="str">
        <f t="shared" si="7"/>
        <v>%</v>
      </c>
      <c r="AK19" s="290">
        <f t="shared" si="7"/>
        <v>0</v>
      </c>
      <c r="AL19" s="1497" t="s">
        <v>565</v>
      </c>
      <c r="AM19" s="1486" t="s">
        <v>566</v>
      </c>
    </row>
    <row r="20" spans="2:39" s="17" customFormat="1" ht="28.5" customHeight="1">
      <c r="B20" s="290" t="str">
        <f t="shared" si="2"/>
        <v xml:space="preserve">Community engagement </v>
      </c>
      <c r="C20" s="295" t="str">
        <f>IF($I$3="Select company","",IF(HLOOKUP('3A'!$R$1,B_NFIN_All,'PC lists'!$B83,0)="","",HLOOKUP('3A'!$R$1,B_NFIN_All,'PC lists'!$B83,0)))</f>
        <v>PR19SRN_N01</v>
      </c>
      <c r="D20" s="295" t="str">
        <f t="shared" si="3"/>
        <v>rank</v>
      </c>
      <c r="E20" s="295">
        <f t="shared" si="4"/>
        <v>0</v>
      </c>
      <c r="F20" s="1863">
        <v>33</v>
      </c>
      <c r="G20" s="1863" t="s">
        <v>131</v>
      </c>
      <c r="I20" s="294" t="s">
        <v>567</v>
      </c>
      <c r="K20" s="329">
        <f t="shared" si="8"/>
        <v>0</v>
      </c>
      <c r="L20" s="343"/>
      <c r="U20" s="323"/>
      <c r="V20" s="328"/>
      <c r="W20" s="328">
        <f t="shared" si="5"/>
        <v>0</v>
      </c>
      <c r="X20" s="328">
        <f t="shared" si="6"/>
        <v>0</v>
      </c>
      <c r="Y20" s="328"/>
      <c r="Z20" s="328"/>
      <c r="AA20" s="323"/>
      <c r="AD20" s="332"/>
      <c r="AF20" s="323"/>
      <c r="AH20" s="290" t="str">
        <f t="shared" si="7"/>
        <v xml:space="preserve">Community engagement </v>
      </c>
      <c r="AI20" s="290" t="str">
        <f t="shared" si="7"/>
        <v>PR19SRN_N01</v>
      </c>
      <c r="AJ20" s="290" t="str">
        <f t="shared" si="7"/>
        <v>rank</v>
      </c>
      <c r="AK20" s="290">
        <f t="shared" si="7"/>
        <v>0</v>
      </c>
      <c r="AL20" s="1497" t="s">
        <v>568</v>
      </c>
      <c r="AM20" s="1486" t="s">
        <v>569</v>
      </c>
    </row>
    <row r="21" spans="2:39" s="17" customFormat="1" ht="28.5" customHeight="1">
      <c r="B21" s="290" t="str">
        <f t="shared" si="2"/>
        <v>Schools visited and engagement with children</v>
      </c>
      <c r="C21" s="295" t="str">
        <f>IF($I$3="Select company","",IF(HLOOKUP('3A'!$R$1,B_NFIN_All,'PC lists'!$B84,0)="","",HLOOKUP('3A'!$R$1,B_NFIN_All,'PC lists'!$B84,0)))</f>
        <v>PR19SRN_N02</v>
      </c>
      <c r="D21" s="295" t="str">
        <f t="shared" si="3"/>
        <v>%</v>
      </c>
      <c r="E21" s="295">
        <f t="shared" si="4"/>
        <v>0</v>
      </c>
      <c r="F21" s="1863">
        <v>99</v>
      </c>
      <c r="G21" s="1863" t="s">
        <v>168</v>
      </c>
      <c r="I21" s="294" t="s">
        <v>570</v>
      </c>
      <c r="K21" s="329">
        <f t="shared" si="8"/>
        <v>0</v>
      </c>
      <c r="L21" s="343"/>
      <c r="U21" s="323"/>
      <c r="V21" s="328"/>
      <c r="W21" s="328">
        <f t="shared" si="5"/>
        <v>0</v>
      </c>
      <c r="X21" s="328">
        <f t="shared" si="6"/>
        <v>0</v>
      </c>
      <c r="Y21" s="328"/>
      <c r="Z21" s="328"/>
      <c r="AA21" s="323"/>
      <c r="AD21" s="332"/>
      <c r="AF21" s="323"/>
      <c r="AH21" s="290" t="str">
        <f t="shared" si="7"/>
        <v>Schools visited and engagement with children</v>
      </c>
      <c r="AI21" s="290" t="str">
        <f t="shared" si="7"/>
        <v>PR19SRN_N02</v>
      </c>
      <c r="AJ21" s="290" t="str">
        <f t="shared" si="7"/>
        <v>%</v>
      </c>
      <c r="AK21" s="290">
        <f t="shared" si="7"/>
        <v>0</v>
      </c>
      <c r="AL21" s="1497" t="s">
        <v>571</v>
      </c>
      <c r="AM21" s="1486" t="s">
        <v>572</v>
      </c>
    </row>
    <row r="22" spans="2:39" s="17" customFormat="1" ht="28.5" customHeight="1">
      <c r="B22" s="290" t="str">
        <f t="shared" si="2"/>
        <v xml:space="preserve">Water supply resilience </v>
      </c>
      <c r="C22" s="295" t="str">
        <f>IF($I$3="Select company","",IF(HLOOKUP('3A'!$R$1,B_NFIN_All,'PC lists'!$B85,0)="","",HLOOKUP('3A'!$R$1,B_NFIN_All,'PC lists'!$B85,0)))</f>
        <v xml:space="preserve">PR19SRN_WN10 </v>
      </c>
      <c r="D22" s="295" t="str">
        <f t="shared" si="3"/>
        <v>nr</v>
      </c>
      <c r="E22" s="295">
        <f t="shared" si="4"/>
        <v>0</v>
      </c>
      <c r="F22" s="1863">
        <v>131610</v>
      </c>
      <c r="G22" s="1863" t="s">
        <v>168</v>
      </c>
      <c r="I22" s="294" t="s">
        <v>573</v>
      </c>
      <c r="K22" s="329">
        <f t="shared" si="8"/>
        <v>0</v>
      </c>
      <c r="L22" s="343"/>
      <c r="U22" s="323"/>
      <c r="V22" s="328"/>
      <c r="W22" s="328">
        <f t="shared" si="5"/>
        <v>0</v>
      </c>
      <c r="X22" s="328">
        <f t="shared" si="6"/>
        <v>0</v>
      </c>
      <c r="Y22" s="328"/>
      <c r="Z22" s="328"/>
      <c r="AA22" s="323"/>
      <c r="AD22" s="332"/>
      <c r="AF22" s="323"/>
      <c r="AH22" s="290" t="str">
        <f t="shared" si="7"/>
        <v xml:space="preserve">Water supply resilience </v>
      </c>
      <c r="AI22" s="290" t="str">
        <f t="shared" si="7"/>
        <v xml:space="preserve">PR19SRN_WN10 </v>
      </c>
      <c r="AJ22" s="290" t="str">
        <f t="shared" si="7"/>
        <v>nr</v>
      </c>
      <c r="AK22" s="290">
        <f t="shared" si="7"/>
        <v>0</v>
      </c>
      <c r="AL22" s="1497" t="s">
        <v>574</v>
      </c>
      <c r="AM22" s="1486" t="s">
        <v>575</v>
      </c>
    </row>
    <row r="23" spans="2:39" s="17" customFormat="1" ht="28.5" customHeight="1">
      <c r="B23" s="290" t="str">
        <f t="shared" si="2"/>
        <v>Combined Sewer Overflows (CSO) monitoring</v>
      </c>
      <c r="C23" s="295" t="str">
        <f>IF($I$3="Select company","",IF(HLOOKUP('3A'!$R$1,B_NFIN_All,'PC lists'!$B86,0)="","",HLOOKUP('3A'!$R$1,B_NFIN_All,'PC lists'!$B86,0)))</f>
        <v xml:space="preserve">PR19SRN_WWN10 </v>
      </c>
      <c r="D23" s="295" t="str">
        <f t="shared" si="3"/>
        <v>%</v>
      </c>
      <c r="E23" s="295">
        <f t="shared" si="4"/>
        <v>2</v>
      </c>
      <c r="F23" s="1863">
        <v>86.59</v>
      </c>
      <c r="G23" s="1863" t="s">
        <v>131</v>
      </c>
      <c r="I23" s="294" t="s">
        <v>576</v>
      </c>
      <c r="K23" s="329">
        <f t="shared" si="8"/>
        <v>0</v>
      </c>
      <c r="L23" s="343"/>
      <c r="U23" s="323"/>
      <c r="V23" s="328"/>
      <c r="W23" s="328">
        <f t="shared" si="5"/>
        <v>0</v>
      </c>
      <c r="X23" s="328">
        <f t="shared" si="6"/>
        <v>0</v>
      </c>
      <c r="Y23" s="328"/>
      <c r="Z23" s="328"/>
      <c r="AA23" s="323"/>
      <c r="AD23" s="332"/>
      <c r="AF23" s="323"/>
      <c r="AH23" s="290" t="str">
        <f t="shared" si="7"/>
        <v>Combined Sewer Overflows (CSO) monitoring</v>
      </c>
      <c r="AI23" s="290" t="str">
        <f t="shared" si="7"/>
        <v xml:space="preserve">PR19SRN_WWN10 </v>
      </c>
      <c r="AJ23" s="290" t="str">
        <f t="shared" si="7"/>
        <v>%</v>
      </c>
      <c r="AK23" s="290">
        <f t="shared" si="7"/>
        <v>2</v>
      </c>
      <c r="AL23" s="1497" t="s">
        <v>577</v>
      </c>
      <c r="AM23" s="1486" t="s">
        <v>578</v>
      </c>
    </row>
    <row r="24" spans="2:39" s="17" customFormat="1" ht="28.5" customHeight="1">
      <c r="B24" s="290" t="str">
        <f t="shared" si="2"/>
        <v>Natural Capital</v>
      </c>
      <c r="C24" s="295" t="str">
        <f>IF($I$3="Select company","",IF(HLOOKUP('3A'!$R$1,B_NFIN_All,'PC lists'!$B87,0)="","",HLOOKUP('3A'!$R$1,B_NFIN_All,'PC lists'!$B87,0)))</f>
        <v>PR19SRN_WWN15</v>
      </c>
      <c r="D24" s="295" t="str">
        <f t="shared" si="3"/>
        <v>nr</v>
      </c>
      <c r="E24" s="295">
        <f t="shared" si="4"/>
        <v>0</v>
      </c>
      <c r="F24" s="1863">
        <v>11</v>
      </c>
      <c r="G24" s="1863" t="s">
        <v>168</v>
      </c>
      <c r="I24" s="294" t="s">
        <v>579</v>
      </c>
      <c r="K24" s="329">
        <f t="shared" si="8"/>
        <v>0</v>
      </c>
      <c r="L24" s="343"/>
      <c r="U24" s="323"/>
      <c r="V24" s="328"/>
      <c r="W24" s="328">
        <f t="shared" si="5"/>
        <v>0</v>
      </c>
      <c r="X24" s="328">
        <f t="shared" si="6"/>
        <v>0</v>
      </c>
      <c r="Y24" s="328"/>
      <c r="Z24" s="328"/>
      <c r="AA24" s="323"/>
      <c r="AD24" s="332"/>
      <c r="AF24" s="323"/>
      <c r="AH24" s="290" t="str">
        <f t="shared" si="7"/>
        <v>Natural Capital</v>
      </c>
      <c r="AI24" s="290" t="str">
        <f t="shared" si="7"/>
        <v>PR19SRN_WWN15</v>
      </c>
      <c r="AJ24" s="290" t="str">
        <f t="shared" si="7"/>
        <v>nr</v>
      </c>
      <c r="AK24" s="290">
        <f t="shared" si="7"/>
        <v>0</v>
      </c>
      <c r="AL24" s="1497" t="s">
        <v>580</v>
      </c>
      <c r="AM24" s="1486" t="s">
        <v>581</v>
      </c>
    </row>
    <row r="25" spans="2:39" s="17" customFormat="1" ht="28.5" customHeight="1">
      <c r="B25" s="290" t="str">
        <f t="shared" si="2"/>
        <v>Gap Sites</v>
      </c>
      <c r="C25" s="295" t="str">
        <f>IF($I$3="Select company","",IF(HLOOKUP('3A'!$R$1,B_NFIN_All,'PC lists'!$B88,0)="","",HLOOKUP('3A'!$R$1,B_NFIN_All,'PC lists'!$B88,0)))</f>
        <v>PR19SRN_RR06</v>
      </c>
      <c r="D25" s="295" t="str">
        <f t="shared" si="3"/>
        <v>nr</v>
      </c>
      <c r="E25" s="295">
        <f t="shared" si="4"/>
        <v>0</v>
      </c>
      <c r="F25" s="1863">
        <v>39</v>
      </c>
      <c r="G25" s="1863" t="s">
        <v>131</v>
      </c>
      <c r="I25" s="294" t="s">
        <v>582</v>
      </c>
      <c r="K25" s="329">
        <f t="shared" si="8"/>
        <v>0</v>
      </c>
      <c r="L25" s="343"/>
      <c r="U25" s="323"/>
      <c r="V25" s="328"/>
      <c r="W25" s="328">
        <f t="shared" si="5"/>
        <v>0</v>
      </c>
      <c r="X25" s="328">
        <f t="shared" si="6"/>
        <v>0</v>
      </c>
      <c r="Y25" s="328"/>
      <c r="Z25" s="328"/>
      <c r="AA25" s="323"/>
      <c r="AD25" s="332"/>
      <c r="AF25" s="323"/>
      <c r="AH25" s="290" t="str">
        <f t="shared" si="7"/>
        <v>Gap Sites</v>
      </c>
      <c r="AI25" s="290" t="str">
        <f t="shared" si="7"/>
        <v>PR19SRN_RR06</v>
      </c>
      <c r="AJ25" s="290" t="str">
        <f t="shared" si="7"/>
        <v>nr</v>
      </c>
      <c r="AK25" s="290">
        <f t="shared" si="7"/>
        <v>0</v>
      </c>
      <c r="AL25" s="1497" t="s">
        <v>583</v>
      </c>
      <c r="AM25" s="1486" t="s">
        <v>584</v>
      </c>
    </row>
    <row r="26" spans="2:39" s="17" customFormat="1" ht="28.5" customHeight="1">
      <c r="B26" s="290" t="str">
        <f t="shared" si="2"/>
        <v>Distribution input</v>
      </c>
      <c r="C26" s="295" t="str">
        <f>IF($I$3="Select company","",IF(HLOOKUP('3A'!$R$1,B_NFIN_All,'PC lists'!$B89,0)="","",HLOOKUP('3A'!$R$1,B_NFIN_All,'PC lists'!$B89,0)))</f>
        <v>PR19SRN_WN12</v>
      </c>
      <c r="D26" s="295" t="str">
        <f t="shared" si="3"/>
        <v>nr</v>
      </c>
      <c r="E26" s="295">
        <f t="shared" si="4"/>
        <v>0</v>
      </c>
      <c r="F26" s="1863">
        <v>565</v>
      </c>
      <c r="G26" s="1863" t="s">
        <v>131</v>
      </c>
      <c r="I26" s="294" t="s">
        <v>585</v>
      </c>
      <c r="K26" s="329">
        <f t="shared" si="8"/>
        <v>0</v>
      </c>
      <c r="L26" s="343"/>
      <c r="U26" s="323"/>
      <c r="V26" s="328"/>
      <c r="W26" s="328">
        <f t="shared" si="5"/>
        <v>0</v>
      </c>
      <c r="X26" s="328">
        <f t="shared" si="6"/>
        <v>0</v>
      </c>
      <c r="Y26" s="328"/>
      <c r="Z26" s="328"/>
      <c r="AA26" s="323"/>
      <c r="AD26" s="332"/>
      <c r="AF26" s="323"/>
      <c r="AH26" s="290" t="str">
        <f t="shared" si="7"/>
        <v>Distribution input</v>
      </c>
      <c r="AI26" s="290" t="str">
        <f t="shared" si="7"/>
        <v>PR19SRN_WN12</v>
      </c>
      <c r="AJ26" s="290" t="str">
        <f t="shared" si="7"/>
        <v>nr</v>
      </c>
      <c r="AK26" s="290">
        <f t="shared" si="7"/>
        <v>0</v>
      </c>
      <c r="AL26" s="1497" t="s">
        <v>586</v>
      </c>
      <c r="AM26" s="1486" t="s">
        <v>587</v>
      </c>
    </row>
    <row r="27" spans="2:39" s="17" customFormat="1" ht="28.5" customHeight="1">
      <c r="B27" s="290" t="str">
        <f t="shared" si="2"/>
        <v>Value for Money</v>
      </c>
      <c r="C27" s="295" t="str">
        <f>IF($I$3="Select company","",IF(HLOOKUP('3A'!$R$1,B_NFIN_All,'PC lists'!$B90,0)="","",HLOOKUP('3A'!$R$1,B_NFIN_All,'PC lists'!$B90,0)))</f>
        <v>PR19SRN_RR07</v>
      </c>
      <c r="D27" s="295" t="str">
        <f t="shared" si="3"/>
        <v>%</v>
      </c>
      <c r="E27" s="295">
        <f t="shared" si="4"/>
        <v>0</v>
      </c>
      <c r="F27" s="1863">
        <v>57</v>
      </c>
      <c r="G27" s="1863" t="s">
        <v>131</v>
      </c>
      <c r="I27" s="294" t="s">
        <v>588</v>
      </c>
      <c r="K27" s="329">
        <f t="shared" si="8"/>
        <v>0</v>
      </c>
      <c r="L27" s="343"/>
      <c r="U27" s="323"/>
      <c r="V27" s="328"/>
      <c r="W27" s="328">
        <f t="shared" si="5"/>
        <v>0</v>
      </c>
      <c r="X27" s="328">
        <f t="shared" si="6"/>
        <v>0</v>
      </c>
      <c r="Y27" s="328"/>
      <c r="Z27" s="328"/>
      <c r="AA27" s="323"/>
      <c r="AD27" s="332"/>
      <c r="AF27" s="323"/>
      <c r="AH27" s="290" t="str">
        <f t="shared" si="7"/>
        <v>Value for Money</v>
      </c>
      <c r="AI27" s="290" t="str">
        <f t="shared" si="7"/>
        <v>PR19SRN_RR07</v>
      </c>
      <c r="AJ27" s="290" t="str">
        <f t="shared" si="7"/>
        <v>%</v>
      </c>
      <c r="AK27" s="290">
        <f t="shared" si="7"/>
        <v>0</v>
      </c>
      <c r="AL27" s="1497" t="s">
        <v>589</v>
      </c>
      <c r="AM27" s="1486" t="s">
        <v>590</v>
      </c>
    </row>
    <row r="28" spans="2:39" s="17" customFormat="1" ht="28.5" customHeight="1">
      <c r="B28" s="290" t="str">
        <f t="shared" si="2"/>
        <v>WINEP Delivery</v>
      </c>
      <c r="C28" s="295" t="str">
        <f>IF($I$3="Select company","",IF(HLOOKUP('3A'!$R$1,B_NFIN_All,'PC lists'!$B91,0)="","",HLOOKUP('3A'!$R$1,B_NFIN_All,'PC lists'!$B91,0)))</f>
        <v>PR19SRN_NEP01</v>
      </c>
      <c r="D28" s="295" t="str">
        <f t="shared" si="3"/>
        <v>text</v>
      </c>
      <c r="E28" s="295">
        <f t="shared" si="4"/>
        <v>0</v>
      </c>
      <c r="F28" s="1863" t="s">
        <v>591</v>
      </c>
      <c r="G28" s="1863" t="s">
        <v>168</v>
      </c>
      <c r="I28" s="294" t="s">
        <v>592</v>
      </c>
      <c r="K28" s="329">
        <f t="shared" si="8"/>
        <v>0</v>
      </c>
      <c r="L28" s="343"/>
      <c r="U28" s="323"/>
      <c r="V28" s="328"/>
      <c r="W28" s="328">
        <f t="shared" si="5"/>
        <v>0</v>
      </c>
      <c r="X28" s="328">
        <f t="shared" si="6"/>
        <v>0</v>
      </c>
      <c r="Y28" s="328"/>
      <c r="Z28" s="328"/>
      <c r="AA28" s="323"/>
      <c r="AD28" s="332"/>
      <c r="AF28" s="323"/>
      <c r="AH28" s="290" t="str">
        <f t="shared" si="7"/>
        <v>WINEP Delivery</v>
      </c>
      <c r="AI28" s="290" t="str">
        <f t="shared" si="7"/>
        <v>PR19SRN_NEP01</v>
      </c>
      <c r="AJ28" s="290" t="str">
        <f t="shared" si="7"/>
        <v>text</v>
      </c>
      <c r="AK28" s="290">
        <f t="shared" si="7"/>
        <v>0</v>
      </c>
      <c r="AL28" s="1497" t="s">
        <v>593</v>
      </c>
      <c r="AM28" s="1486" t="s">
        <v>594</v>
      </c>
    </row>
    <row r="29" spans="2:39" s="17" customFormat="1" ht="28.5" customHeight="1">
      <c r="B29" s="290" t="str">
        <f t="shared" si="2"/>
        <v/>
      </c>
      <c r="C29" s="295" t="str">
        <f>IF($I$3="Select company","",IF(HLOOKUP('3A'!$R$1,B_NFIN_All,'PC lists'!$B92,0)="","",HLOOKUP('3A'!$R$1,B_NFIN_All,'PC lists'!$B92,0)))</f>
        <v/>
      </c>
      <c r="D29" s="295" t="str">
        <f t="shared" si="3"/>
        <v/>
      </c>
      <c r="E29" s="295" t="str">
        <f t="shared" si="4"/>
        <v/>
      </c>
      <c r="F29" s="1863"/>
      <c r="G29" s="1863"/>
      <c r="I29" s="294" t="s">
        <v>595</v>
      </c>
      <c r="K29" s="329">
        <f t="shared" si="8"/>
        <v>0</v>
      </c>
      <c r="L29" s="343"/>
      <c r="U29" s="323"/>
      <c r="V29" s="328"/>
      <c r="W29" s="328">
        <f t="shared" si="5"/>
        <v>0</v>
      </c>
      <c r="X29" s="328">
        <f t="shared" si="6"/>
        <v>0</v>
      </c>
      <c r="Y29" s="328"/>
      <c r="Z29" s="328"/>
      <c r="AA29" s="323"/>
      <c r="AD29" s="332"/>
      <c r="AF29" s="323"/>
      <c r="AH29" s="290" t="str">
        <f t="shared" si="7"/>
        <v/>
      </c>
      <c r="AI29" s="290" t="str">
        <f t="shared" si="7"/>
        <v/>
      </c>
      <c r="AJ29" s="290" t="str">
        <f t="shared" si="7"/>
        <v/>
      </c>
      <c r="AK29" s="290" t="str">
        <f t="shared" si="7"/>
        <v/>
      </c>
      <c r="AL29" s="1497" t="s">
        <v>596</v>
      </c>
      <c r="AM29" s="1486" t="s">
        <v>597</v>
      </c>
    </row>
    <row r="30" spans="2:39" s="17" customFormat="1" ht="28.5" customHeight="1">
      <c r="B30" s="290" t="str">
        <f t="shared" si="2"/>
        <v/>
      </c>
      <c r="C30" s="295" t="str">
        <f>IF($I$3="Select company","",IF(HLOOKUP('3A'!$R$1,B_NFIN_All,'PC lists'!$B93,0)="","",HLOOKUP('3A'!$R$1,B_NFIN_All,'PC lists'!$B93,0)))</f>
        <v/>
      </c>
      <c r="D30" s="295" t="str">
        <f t="shared" si="3"/>
        <v/>
      </c>
      <c r="E30" s="295" t="str">
        <f t="shared" si="4"/>
        <v/>
      </c>
      <c r="F30" s="1863"/>
      <c r="G30" s="1863"/>
      <c r="I30" s="294" t="s">
        <v>598</v>
      </c>
      <c r="K30" s="329">
        <f t="shared" si="8"/>
        <v>0</v>
      </c>
      <c r="L30" s="343"/>
      <c r="U30" s="323"/>
      <c r="V30" s="328"/>
      <c r="W30" s="328">
        <f t="shared" si="5"/>
        <v>0</v>
      </c>
      <c r="X30" s="328">
        <f t="shared" si="6"/>
        <v>0</v>
      </c>
      <c r="Y30" s="328"/>
      <c r="Z30" s="328"/>
      <c r="AA30" s="323"/>
      <c r="AD30" s="332"/>
      <c r="AF30" s="323"/>
      <c r="AH30" s="290" t="str">
        <f t="shared" si="7"/>
        <v/>
      </c>
      <c r="AI30" s="290" t="str">
        <f t="shared" si="7"/>
        <v/>
      </c>
      <c r="AJ30" s="290" t="str">
        <f t="shared" si="7"/>
        <v/>
      </c>
      <c r="AK30" s="290" t="str">
        <f t="shared" si="7"/>
        <v/>
      </c>
      <c r="AL30" s="1497" t="s">
        <v>599</v>
      </c>
      <c r="AM30" s="1486" t="s">
        <v>600</v>
      </c>
    </row>
    <row r="31" spans="2:39" s="17" customFormat="1" ht="28.5" customHeight="1">
      <c r="B31" s="290" t="str">
        <f t="shared" si="2"/>
        <v/>
      </c>
      <c r="C31" s="295" t="str">
        <f>IF($I$3="Select company","",IF(HLOOKUP('3A'!$R$1,B_NFIN_All,'PC lists'!$B94,0)="","",HLOOKUP('3A'!$R$1,B_NFIN_All,'PC lists'!$B94,0)))</f>
        <v/>
      </c>
      <c r="D31" s="295" t="str">
        <f t="shared" si="3"/>
        <v/>
      </c>
      <c r="E31" s="295" t="str">
        <f t="shared" si="4"/>
        <v/>
      </c>
      <c r="F31" s="1863"/>
      <c r="G31" s="1863"/>
      <c r="I31" s="294" t="s">
        <v>601</v>
      </c>
      <c r="K31" s="329">
        <f t="shared" si="8"/>
        <v>0</v>
      </c>
      <c r="L31" s="343"/>
      <c r="U31" s="323"/>
      <c r="V31" s="328"/>
      <c r="W31" s="328">
        <f t="shared" si="5"/>
        <v>0</v>
      </c>
      <c r="X31" s="328">
        <f t="shared" si="6"/>
        <v>0</v>
      </c>
      <c r="Y31" s="328"/>
      <c r="Z31" s="328"/>
      <c r="AA31" s="323"/>
      <c r="AD31" s="332"/>
      <c r="AF31" s="323"/>
      <c r="AH31" s="290" t="str">
        <f t="shared" si="7"/>
        <v/>
      </c>
      <c r="AI31" s="290" t="str">
        <f t="shared" si="7"/>
        <v/>
      </c>
      <c r="AJ31" s="290" t="str">
        <f t="shared" si="7"/>
        <v/>
      </c>
      <c r="AK31" s="290" t="str">
        <f t="shared" si="7"/>
        <v/>
      </c>
      <c r="AL31" s="1497" t="s">
        <v>602</v>
      </c>
      <c r="AM31" s="1486" t="s">
        <v>603</v>
      </c>
    </row>
    <row r="32" spans="2:39" s="17" customFormat="1" ht="28.5" customHeight="1">
      <c r="B32" s="290" t="str">
        <f t="shared" si="2"/>
        <v/>
      </c>
      <c r="C32" s="295" t="str">
        <f>IF($I$3="Select company","",IF(HLOOKUP('3A'!$R$1,B_NFIN_All,'PC lists'!$B95,0)="","",HLOOKUP('3A'!$R$1,B_NFIN_All,'PC lists'!$B95,0)))</f>
        <v/>
      </c>
      <c r="D32" s="295" t="str">
        <f t="shared" si="3"/>
        <v/>
      </c>
      <c r="E32" s="295" t="str">
        <f t="shared" si="4"/>
        <v/>
      </c>
      <c r="F32" s="1863"/>
      <c r="G32" s="1863"/>
      <c r="I32" s="294" t="s">
        <v>604</v>
      </c>
      <c r="K32" s="329">
        <f t="shared" si="8"/>
        <v>0</v>
      </c>
      <c r="L32" s="343"/>
      <c r="U32" s="323"/>
      <c r="V32" s="328"/>
      <c r="W32" s="328">
        <f t="shared" si="5"/>
        <v>0</v>
      </c>
      <c r="X32" s="328">
        <f t="shared" si="6"/>
        <v>0</v>
      </c>
      <c r="Y32" s="328"/>
      <c r="Z32" s="328"/>
      <c r="AA32" s="323"/>
      <c r="AD32" s="332"/>
      <c r="AF32" s="323"/>
      <c r="AH32" s="290" t="str">
        <f t="shared" si="7"/>
        <v/>
      </c>
      <c r="AI32" s="290" t="str">
        <f t="shared" si="7"/>
        <v/>
      </c>
      <c r="AJ32" s="290" t="str">
        <f t="shared" si="7"/>
        <v/>
      </c>
      <c r="AK32" s="290" t="str">
        <f t="shared" si="7"/>
        <v/>
      </c>
      <c r="AL32" s="1497" t="s">
        <v>605</v>
      </c>
      <c r="AM32" s="1486" t="s">
        <v>606</v>
      </c>
    </row>
    <row r="33" spans="2:39" s="10" customFormat="1" ht="28.5" customHeight="1">
      <c r="B33" s="290" t="str">
        <f t="shared" si="2"/>
        <v/>
      </c>
      <c r="C33" s="295" t="str">
        <f>IF($I$3="Select company","",IF(HLOOKUP('3A'!$R$1,B_NFIN_All,'PC lists'!$B96,0)="","",HLOOKUP('3A'!$R$1,B_NFIN_All,'PC lists'!$B96,0)))</f>
        <v/>
      </c>
      <c r="D33" s="295" t="str">
        <f t="shared" si="3"/>
        <v/>
      </c>
      <c r="E33" s="295" t="str">
        <f t="shared" si="4"/>
        <v/>
      </c>
      <c r="F33" s="1863"/>
      <c r="G33" s="1863"/>
      <c r="H33" s="17"/>
      <c r="I33" s="294" t="s">
        <v>607</v>
      </c>
      <c r="J33" s="1381"/>
      <c r="K33" s="329">
        <f t="shared" si="8"/>
        <v>0</v>
      </c>
      <c r="L33" s="343"/>
      <c r="M33" s="1381"/>
      <c r="N33" s="1381"/>
      <c r="O33" s="1381"/>
      <c r="P33" s="1381"/>
      <c r="Q33" s="1381"/>
      <c r="R33" s="1381"/>
      <c r="S33" s="1381"/>
      <c r="T33" s="1381"/>
      <c r="U33" s="323"/>
      <c r="V33" s="328"/>
      <c r="W33" s="328">
        <f t="shared" si="5"/>
        <v>0</v>
      </c>
      <c r="X33" s="328">
        <f t="shared" si="6"/>
        <v>0</v>
      </c>
      <c r="Y33" s="328"/>
      <c r="Z33" s="328"/>
      <c r="AA33" s="323"/>
      <c r="AB33" s="17"/>
      <c r="AC33" s="17"/>
      <c r="AD33" s="332"/>
      <c r="AE33" s="17"/>
      <c r="AF33" s="323"/>
      <c r="AG33" s="1381"/>
      <c r="AH33" s="290" t="str">
        <f t="shared" si="7"/>
        <v/>
      </c>
      <c r="AI33" s="290" t="str">
        <f t="shared" si="7"/>
        <v/>
      </c>
      <c r="AJ33" s="290" t="str">
        <f t="shared" si="7"/>
        <v/>
      </c>
      <c r="AK33" s="290" t="str">
        <f t="shared" si="7"/>
        <v/>
      </c>
      <c r="AL33" s="1497" t="s">
        <v>608</v>
      </c>
      <c r="AM33" s="1486" t="s">
        <v>609</v>
      </c>
    </row>
    <row r="34" spans="2:39" s="10" customFormat="1" ht="28.5" customHeight="1">
      <c r="B34" s="290" t="str">
        <f t="shared" si="2"/>
        <v/>
      </c>
      <c r="C34" s="295" t="str">
        <f>IF($I$3="Select company","",IF(HLOOKUP('3A'!$R$1,B_NFIN_All,'PC lists'!$B97,0)="","",HLOOKUP('3A'!$R$1,B_NFIN_All,'PC lists'!$B97,0)))</f>
        <v/>
      </c>
      <c r="D34" s="295" t="str">
        <f t="shared" si="3"/>
        <v/>
      </c>
      <c r="E34" s="295" t="str">
        <f t="shared" si="4"/>
        <v/>
      </c>
      <c r="F34" s="1863"/>
      <c r="G34" s="1863"/>
      <c r="H34" s="17"/>
      <c r="I34" s="294" t="s">
        <v>610</v>
      </c>
      <c r="J34" s="1381"/>
      <c r="K34" s="329">
        <f t="shared" si="8"/>
        <v>0</v>
      </c>
      <c r="L34" s="343"/>
      <c r="M34" s="1381"/>
      <c r="N34" s="1381"/>
      <c r="O34" s="1381"/>
      <c r="P34" s="1381"/>
      <c r="Q34" s="1381"/>
      <c r="R34" s="1381"/>
      <c r="S34" s="1381"/>
      <c r="T34" s="1381"/>
      <c r="U34" s="323"/>
      <c r="V34" s="328"/>
      <c r="W34" s="328">
        <f t="shared" si="5"/>
        <v>0</v>
      </c>
      <c r="X34" s="328">
        <f t="shared" si="6"/>
        <v>0</v>
      </c>
      <c r="Y34" s="328"/>
      <c r="Z34" s="328"/>
      <c r="AA34" s="323"/>
      <c r="AB34" s="17"/>
      <c r="AC34" s="17"/>
      <c r="AD34" s="332"/>
      <c r="AE34" s="17"/>
      <c r="AF34" s="323"/>
      <c r="AG34" s="1381"/>
      <c r="AH34" s="290" t="str">
        <f t="shared" si="7"/>
        <v/>
      </c>
      <c r="AI34" s="290" t="str">
        <f t="shared" si="7"/>
        <v/>
      </c>
      <c r="AJ34" s="290" t="str">
        <f t="shared" si="7"/>
        <v/>
      </c>
      <c r="AK34" s="290" t="str">
        <f t="shared" si="7"/>
        <v/>
      </c>
      <c r="AL34" s="1497" t="s">
        <v>611</v>
      </c>
      <c r="AM34" s="1486" t="s">
        <v>612</v>
      </c>
    </row>
    <row r="35" spans="2:39" s="10" customFormat="1" ht="28.5" customHeight="1">
      <c r="B35" s="290" t="str">
        <f t="shared" si="2"/>
        <v/>
      </c>
      <c r="C35" s="295" t="str">
        <f>IF($I$3="Select company","",IF(HLOOKUP('3A'!$R$1,B_NFIN_All,'PC lists'!$B98,0)="","",HLOOKUP('3A'!$R$1,B_NFIN_All,'PC lists'!$B98,0)))</f>
        <v/>
      </c>
      <c r="D35" s="295" t="str">
        <f t="shared" si="3"/>
        <v/>
      </c>
      <c r="E35" s="295" t="str">
        <f t="shared" si="4"/>
        <v/>
      </c>
      <c r="F35" s="1863"/>
      <c r="G35" s="1863"/>
      <c r="H35" s="17"/>
      <c r="I35" s="294" t="s">
        <v>613</v>
      </c>
      <c r="J35" s="1381"/>
      <c r="K35" s="329">
        <f t="shared" si="8"/>
        <v>0</v>
      </c>
      <c r="L35" s="343"/>
      <c r="M35" s="1381"/>
      <c r="N35" s="1381"/>
      <c r="O35" s="1381"/>
      <c r="P35" s="1381"/>
      <c r="Q35" s="1381"/>
      <c r="R35" s="1381"/>
      <c r="S35" s="1381"/>
      <c r="T35" s="1381"/>
      <c r="U35" s="323"/>
      <c r="V35" s="328"/>
      <c r="W35" s="328">
        <f t="shared" si="5"/>
        <v>0</v>
      </c>
      <c r="X35" s="328">
        <f t="shared" si="6"/>
        <v>0</v>
      </c>
      <c r="Y35" s="328"/>
      <c r="Z35" s="328"/>
      <c r="AA35" s="323"/>
      <c r="AB35" s="17"/>
      <c r="AC35" s="17"/>
      <c r="AD35" s="332"/>
      <c r="AE35" s="17"/>
      <c r="AF35" s="323"/>
      <c r="AG35" s="1381"/>
      <c r="AH35" s="290" t="str">
        <f t="shared" si="7"/>
        <v/>
      </c>
      <c r="AI35" s="290" t="str">
        <f t="shared" si="7"/>
        <v/>
      </c>
      <c r="AJ35" s="290" t="str">
        <f t="shared" si="7"/>
        <v/>
      </c>
      <c r="AK35" s="290" t="str">
        <f t="shared" si="7"/>
        <v/>
      </c>
      <c r="AL35" s="1497" t="s">
        <v>614</v>
      </c>
      <c r="AM35" s="1486" t="s">
        <v>615</v>
      </c>
    </row>
    <row r="36" spans="2:39" s="10" customFormat="1" ht="28.5" customHeight="1">
      <c r="B36" s="290" t="str">
        <f t="shared" si="2"/>
        <v/>
      </c>
      <c r="C36" s="295" t="str">
        <f>IF($I$3="Select company","",IF(HLOOKUP('3A'!$R$1,B_NFIN_All,'PC lists'!$B99,0)="","",HLOOKUP('3A'!$R$1,B_NFIN_All,'PC lists'!$B99,0)))</f>
        <v/>
      </c>
      <c r="D36" s="295" t="str">
        <f t="shared" si="3"/>
        <v/>
      </c>
      <c r="E36" s="295" t="str">
        <f t="shared" si="4"/>
        <v/>
      </c>
      <c r="F36" s="1863"/>
      <c r="G36" s="1863"/>
      <c r="H36" s="17"/>
      <c r="I36" s="294" t="s">
        <v>616</v>
      </c>
      <c r="J36" s="1381"/>
      <c r="K36" s="329">
        <f t="shared" si="8"/>
        <v>0</v>
      </c>
      <c r="L36" s="343"/>
      <c r="M36" s="1381"/>
      <c r="N36" s="1381"/>
      <c r="O36" s="1381"/>
      <c r="P36" s="1381"/>
      <c r="Q36" s="1381"/>
      <c r="R36" s="1381"/>
      <c r="S36" s="1381"/>
      <c r="T36" s="1381"/>
      <c r="U36" s="323"/>
      <c r="V36" s="328"/>
      <c r="W36" s="328">
        <f t="shared" si="5"/>
        <v>0</v>
      </c>
      <c r="X36" s="328">
        <f t="shared" si="6"/>
        <v>0</v>
      </c>
      <c r="Y36" s="328"/>
      <c r="Z36" s="328"/>
      <c r="AA36" s="323"/>
      <c r="AB36" s="17"/>
      <c r="AC36" s="17"/>
      <c r="AD36" s="332"/>
      <c r="AE36" s="17"/>
      <c r="AF36" s="323"/>
      <c r="AG36" s="1381"/>
      <c r="AH36" s="290" t="str">
        <f t="shared" si="7"/>
        <v/>
      </c>
      <c r="AI36" s="290" t="str">
        <f t="shared" si="7"/>
        <v/>
      </c>
      <c r="AJ36" s="290" t="str">
        <f t="shared" si="7"/>
        <v/>
      </c>
      <c r="AK36" s="290" t="str">
        <f t="shared" si="7"/>
        <v/>
      </c>
      <c r="AL36" s="1497" t="s">
        <v>617</v>
      </c>
      <c r="AM36" s="1486" t="s">
        <v>618</v>
      </c>
    </row>
    <row r="37" spans="2:39" s="10" customFormat="1" ht="28.5" customHeight="1">
      <c r="B37" s="290" t="str">
        <f t="shared" si="2"/>
        <v/>
      </c>
      <c r="C37" s="295" t="str">
        <f>IF($I$3="Select company","",IF(HLOOKUP('3A'!$R$1,B_NFIN_All,'PC lists'!$B100,0)="","",HLOOKUP('3A'!$R$1,B_NFIN_All,'PC lists'!$B100,0)))</f>
        <v/>
      </c>
      <c r="D37" s="295" t="str">
        <f t="shared" si="3"/>
        <v/>
      </c>
      <c r="E37" s="295" t="str">
        <f t="shared" si="4"/>
        <v/>
      </c>
      <c r="F37" s="1863"/>
      <c r="G37" s="1863"/>
      <c r="H37" s="17"/>
      <c r="I37" s="294" t="s">
        <v>619</v>
      </c>
      <c r="J37" s="1381"/>
      <c r="K37" s="329">
        <f t="shared" si="8"/>
        <v>0</v>
      </c>
      <c r="L37" s="343"/>
      <c r="M37" s="1381"/>
      <c r="N37" s="1381"/>
      <c r="O37" s="1381"/>
      <c r="P37" s="1381"/>
      <c r="Q37" s="1381"/>
      <c r="R37" s="1381"/>
      <c r="S37" s="1381"/>
      <c r="T37" s="1381"/>
      <c r="U37" s="323"/>
      <c r="V37" s="328"/>
      <c r="W37" s="328">
        <f t="shared" si="5"/>
        <v>0</v>
      </c>
      <c r="X37" s="328">
        <f t="shared" si="6"/>
        <v>0</v>
      </c>
      <c r="Y37" s="328"/>
      <c r="Z37" s="328"/>
      <c r="AA37" s="323"/>
      <c r="AB37" s="17"/>
      <c r="AC37" s="17"/>
      <c r="AD37" s="332"/>
      <c r="AE37" s="17"/>
      <c r="AF37" s="323"/>
      <c r="AG37" s="1381"/>
      <c r="AH37" s="290" t="str">
        <f t="shared" si="7"/>
        <v/>
      </c>
      <c r="AI37" s="290" t="str">
        <f t="shared" si="7"/>
        <v/>
      </c>
      <c r="AJ37" s="290" t="str">
        <f t="shared" si="7"/>
        <v/>
      </c>
      <c r="AK37" s="290" t="str">
        <f t="shared" si="7"/>
        <v/>
      </c>
      <c r="AL37" s="1497" t="s">
        <v>620</v>
      </c>
      <c r="AM37" s="1486" t="s">
        <v>621</v>
      </c>
    </row>
    <row r="38" spans="2:39" s="10" customFormat="1" ht="28.5" customHeight="1">
      <c r="B38" s="290" t="str">
        <f t="shared" si="2"/>
        <v/>
      </c>
      <c r="C38" s="295" t="str">
        <f>IF($I$3="Select company","",IF(HLOOKUP('3A'!$R$1,B_NFIN_All,'PC lists'!$B101,0)="","",HLOOKUP('3A'!$R$1,B_NFIN_All,'PC lists'!$B101,0)))</f>
        <v/>
      </c>
      <c r="D38" s="295" t="str">
        <f t="shared" si="3"/>
        <v/>
      </c>
      <c r="E38" s="295" t="str">
        <f t="shared" si="4"/>
        <v/>
      </c>
      <c r="F38" s="1863"/>
      <c r="G38" s="1863"/>
      <c r="H38" s="17"/>
      <c r="I38" s="294" t="s">
        <v>622</v>
      </c>
      <c r="J38" s="1381"/>
      <c r="K38" s="329">
        <f t="shared" si="8"/>
        <v>0</v>
      </c>
      <c r="L38" s="343"/>
      <c r="M38" s="1381"/>
      <c r="N38" s="1381"/>
      <c r="O38" s="1381"/>
      <c r="P38" s="1381"/>
      <c r="Q38" s="1381"/>
      <c r="R38" s="1381"/>
      <c r="S38" s="1381"/>
      <c r="T38" s="1381"/>
      <c r="U38" s="1382"/>
      <c r="V38" s="328"/>
      <c r="W38" s="328">
        <f t="shared" si="5"/>
        <v>0</v>
      </c>
      <c r="X38" s="328">
        <f t="shared" si="6"/>
        <v>0</v>
      </c>
      <c r="Y38" s="328"/>
      <c r="Z38" s="328"/>
      <c r="AA38" s="1382"/>
      <c r="AB38" s="1381"/>
      <c r="AC38" s="1381"/>
      <c r="AD38" s="332"/>
      <c r="AE38" s="1381"/>
      <c r="AF38" s="1382"/>
      <c r="AG38" s="1381"/>
      <c r="AH38" s="290" t="str">
        <f t="shared" si="7"/>
        <v/>
      </c>
      <c r="AI38" s="290" t="str">
        <f t="shared" si="7"/>
        <v/>
      </c>
      <c r="AJ38" s="290" t="str">
        <f t="shared" si="7"/>
        <v/>
      </c>
      <c r="AK38" s="290" t="str">
        <f t="shared" si="7"/>
        <v/>
      </c>
      <c r="AL38" s="1497" t="s">
        <v>623</v>
      </c>
      <c r="AM38" s="1486" t="s">
        <v>624</v>
      </c>
    </row>
    <row r="39" spans="2:39" s="10" customFormat="1" ht="14.25">
      <c r="B39" s="1381"/>
      <c r="C39" s="1381"/>
      <c r="D39" s="1381"/>
      <c r="E39" s="1381"/>
      <c r="F39" s="1381"/>
      <c r="G39" s="1381"/>
      <c r="H39" s="1381"/>
      <c r="I39" s="1381"/>
      <c r="J39" s="1381"/>
      <c r="K39" s="1381"/>
      <c r="L39" s="1381"/>
      <c r="M39" s="1381"/>
      <c r="N39" s="1381"/>
      <c r="O39" s="1381"/>
      <c r="P39" s="1381"/>
      <c r="Q39" s="1381"/>
      <c r="R39" s="1381"/>
      <c r="S39" s="1381"/>
      <c r="T39" s="1381"/>
      <c r="U39" s="1382"/>
      <c r="V39" s="1382"/>
      <c r="W39" s="1382"/>
      <c r="X39" s="1382"/>
      <c r="Y39" s="1382"/>
      <c r="Z39" s="1382"/>
      <c r="AA39" s="1382"/>
      <c r="AB39" s="1382"/>
      <c r="AC39" s="1382"/>
      <c r="AD39" s="1382"/>
      <c r="AE39" s="1382"/>
      <c r="AF39" s="1382"/>
      <c r="AG39" s="1381"/>
      <c r="AH39" s="1381"/>
      <c r="AI39" s="1381"/>
      <c r="AJ39" s="1381"/>
      <c r="AK39" s="1381"/>
      <c r="AL39" s="1381"/>
      <c r="AM39" s="1381"/>
    </row>
    <row r="40" spans="2:39" s="10" customFormat="1" ht="14.25">
      <c r="B40" s="290" t="s">
        <v>625</v>
      </c>
      <c r="C40" s="353"/>
      <c r="D40" s="295" t="s">
        <v>278</v>
      </c>
      <c r="E40" s="295">
        <v>0</v>
      </c>
      <c r="F40" s="350"/>
      <c r="G40" s="1889">
        <f>(COUNTIF($G$9:$G$38,"Yes")/(COUNTA($G$9:$G$38) - COUNTIF($G$9:$G$38,"-")))*100</f>
        <v>50</v>
      </c>
      <c r="H40" s="1381"/>
      <c r="I40" s="294" t="s">
        <v>626</v>
      </c>
      <c r="J40" s="1381"/>
      <c r="K40" s="1381"/>
      <c r="L40" s="1381"/>
      <c r="M40" s="1381"/>
      <c r="N40" s="1381"/>
      <c r="O40" s="1381"/>
      <c r="P40" s="1381"/>
      <c r="Q40" s="1381"/>
      <c r="R40" s="1381"/>
      <c r="S40" s="1381"/>
      <c r="T40" s="1381"/>
      <c r="U40" s="1382"/>
      <c r="V40" s="1382"/>
      <c r="W40" s="1382"/>
      <c r="X40" s="1382"/>
      <c r="Y40" s="1382"/>
      <c r="Z40" s="1382"/>
      <c r="AA40" s="1382"/>
      <c r="AB40" s="1382"/>
      <c r="AC40" s="1382"/>
      <c r="AD40" s="1382"/>
      <c r="AE40" s="1382"/>
      <c r="AF40" s="1382"/>
      <c r="AG40" s="1381"/>
      <c r="AH40" s="290" t="str">
        <f>B40</f>
        <v>Non-financial performance commitments achieved</v>
      </c>
      <c r="AI40" s="353"/>
      <c r="AJ40" s="290" t="str">
        <f t="shared" ref="AJ40" si="9">D40</f>
        <v>%</v>
      </c>
      <c r="AK40" s="290"/>
      <c r="AL40" s="350"/>
      <c r="AM40" s="1498" t="s">
        <v>627</v>
      </c>
    </row>
    <row r="41" spans="2:39" s="10" customFormat="1" ht="14.25">
      <c r="B41" s="1381"/>
      <c r="C41" s="1381"/>
      <c r="D41" s="1381"/>
      <c r="E41" s="1381"/>
      <c r="F41" s="1381"/>
      <c r="G41" s="1381"/>
      <c r="H41" s="1381"/>
      <c r="I41" s="1381"/>
      <c r="J41" s="1381"/>
      <c r="K41" s="1381"/>
      <c r="L41" s="1381"/>
      <c r="M41" s="1381"/>
      <c r="N41" s="1381"/>
      <c r="O41" s="1381"/>
      <c r="P41" s="1381"/>
      <c r="Q41" s="1381"/>
      <c r="R41" s="1381"/>
      <c r="S41" s="1381"/>
      <c r="T41" s="1381"/>
      <c r="U41" s="1382"/>
      <c r="V41" s="1382"/>
      <c r="W41" s="1382"/>
      <c r="X41" s="1382"/>
      <c r="Y41" s="1382"/>
      <c r="Z41" s="1382"/>
      <c r="AA41" s="1382"/>
      <c r="AB41" s="1382"/>
      <c r="AC41" s="1382"/>
      <c r="AD41" s="1382"/>
      <c r="AE41" s="1382"/>
      <c r="AF41" s="1382"/>
      <c r="AG41" s="1381"/>
      <c r="AH41" s="1381"/>
      <c r="AI41" s="1381"/>
      <c r="AJ41" s="1381"/>
      <c r="AK41" s="1381"/>
      <c r="AL41" s="1381"/>
      <c r="AM41" s="1381"/>
    </row>
    <row r="42" spans="2:39" s="10" customFormat="1" ht="14.25">
      <c r="B42" s="278" t="s">
        <v>284</v>
      </c>
      <c r="C42" s="1381"/>
      <c r="D42" s="1381"/>
      <c r="E42" s="1381"/>
      <c r="F42" s="1381"/>
      <c r="G42" s="1381"/>
      <c r="H42" s="1381"/>
      <c r="I42" s="1381"/>
      <c r="J42" s="1381"/>
      <c r="K42" s="1381"/>
      <c r="L42" s="1381"/>
      <c r="M42" s="1381"/>
      <c r="N42" s="1381"/>
      <c r="O42" s="1381"/>
      <c r="P42" s="1381"/>
      <c r="Q42" s="1381"/>
      <c r="R42" s="1381"/>
      <c r="S42" s="1381"/>
      <c r="T42" s="1381"/>
      <c r="U42" s="1381"/>
      <c r="V42" s="1381"/>
      <c r="W42" s="1381"/>
      <c r="X42" s="1381"/>
      <c r="Y42" s="1381"/>
      <c r="Z42" s="1381"/>
      <c r="AA42" s="1381"/>
      <c r="AB42" s="1381"/>
      <c r="AC42" s="1381"/>
      <c r="AD42" s="1381"/>
      <c r="AE42" s="1381"/>
      <c r="AF42" s="1381"/>
      <c r="AG42" s="1381"/>
      <c r="AH42" s="1381"/>
      <c r="AI42" s="1381"/>
      <c r="AJ42" s="1381"/>
      <c r="AK42" s="1381"/>
      <c r="AL42" s="1381"/>
      <c r="AM42" s="1381"/>
    </row>
    <row r="43" spans="2:39" ht="14.25">
      <c r="K43" s="1381"/>
      <c r="L43" s="1381"/>
    </row>
    <row r="44" spans="2:39" ht="14.25">
      <c r="B44" s="1858" t="s">
        <v>285</v>
      </c>
      <c r="K44" s="1381"/>
      <c r="L44" s="1381"/>
    </row>
    <row r="45" spans="2:39" ht="13.9" thickBot="1">
      <c r="B45" s="378"/>
    </row>
    <row r="46" spans="2:39" ht="14.25" thickTop="1" thickBot="1">
      <c r="B46" s="1859" t="s">
        <v>286</v>
      </c>
    </row>
    <row r="47" spans="2:39" ht="13.9" thickTop="1"/>
    <row r="48" spans="2:39">
      <c r="B48" s="1860" t="s">
        <v>287</v>
      </c>
    </row>
    <row r="49" spans="2:2"/>
    <row r="50" spans="2:2">
      <c r="B50" s="1861" t="s">
        <v>288</v>
      </c>
    </row>
    <row r="51" spans="2:2"/>
    <row r="52" spans="2:2" ht="14.25">
      <c r="B52" s="296" t="str">
        <f>'3A'!$B$53</f>
        <v>Please refer to RAG 4.12 - Guideline for the table definitions in the annual performance report for the reporting year 2023-24</v>
      </c>
    </row>
    <row r="53" spans="2:2"/>
  </sheetData>
  <mergeCells count="15">
    <mergeCell ref="L5:L6"/>
    <mergeCell ref="K5:K6"/>
    <mergeCell ref="I5:I6"/>
    <mergeCell ref="B5:B6"/>
    <mergeCell ref="C5:C6"/>
    <mergeCell ref="D5:D6"/>
    <mergeCell ref="G5:G6"/>
    <mergeCell ref="E5:E6"/>
    <mergeCell ref="F5:F6"/>
    <mergeCell ref="AM5:AM6"/>
    <mergeCell ref="AH5:AH6"/>
    <mergeCell ref="AI5:AI6"/>
    <mergeCell ref="AJ5:AJ6"/>
    <mergeCell ref="AK5:AK6"/>
    <mergeCell ref="AL5:AL6"/>
  </mergeCells>
  <conditionalFormatting sqref="E9:E13 E16:E38 E40">
    <cfRule type="cellIs" dxfId="268" priority="7" operator="equal">
      <formula>0</formula>
    </cfRule>
  </conditionalFormatting>
  <conditionalFormatting sqref="F16:F38 F40">
    <cfRule type="expression" dxfId="267" priority="43">
      <formula>INDIRECT("E" &amp; ROW()) = 5</formula>
    </cfRule>
    <cfRule type="expression" dxfId="266" priority="44">
      <formula>INDIRECT("E" &amp; ROW()) = 4</formula>
    </cfRule>
    <cfRule type="expression" dxfId="265" priority="45">
      <formula>INDIRECT("E" &amp; ROW()) = 3</formula>
    </cfRule>
    <cfRule type="expression" dxfId="264" priority="46">
      <formula>INDIRECT("E" &amp; ROW()) = 2</formula>
    </cfRule>
    <cfRule type="expression" dxfId="263" priority="47">
      <formula>INDIRECT("E" &amp; ROW()) = 1</formula>
    </cfRule>
    <cfRule type="expression" dxfId="262" priority="48">
      <formula>INDIRECT("E" &amp; ROW()) = 0</formula>
    </cfRule>
  </conditionalFormatting>
  <conditionalFormatting sqref="K9:L13">
    <cfRule type="cellIs" dxfId="261" priority="17" operator="equal">
      <formula>0</formula>
    </cfRule>
  </conditionalFormatting>
  <conditionalFormatting sqref="K16:L38">
    <cfRule type="cellIs" dxfId="260" priority="9" operator="equal">
      <formula>0</formula>
    </cfRule>
  </conditionalFormatting>
  <conditionalFormatting sqref="AL16:AL38 AL40">
    <cfRule type="expression" dxfId="259" priority="1">
      <formula>INDIRECT("E" &amp; ROW()) = 5</formula>
    </cfRule>
    <cfRule type="expression" dxfId="258" priority="2">
      <formula>INDIRECT("E" &amp; ROW()) = 4</formula>
    </cfRule>
    <cfRule type="expression" dxfId="257" priority="3">
      <formula>INDIRECT("E" &amp; ROW()) = 3</formula>
    </cfRule>
    <cfRule type="expression" dxfId="256" priority="4">
      <formula>INDIRECT("E" &amp; ROW()) = 2</formula>
    </cfRule>
    <cfRule type="expression" dxfId="255" priority="5">
      <formula>INDIRECT("E" &amp; ROW()) = 1</formula>
    </cfRule>
    <cfRule type="expression" dxfId="254"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A1B9612A-BD28-4468-8EA4-555D54A9EBDB}"/>
</file>

<file path=customXml/itemProps2.xml><?xml version="1.0" encoding="utf-8"?>
<ds:datastoreItem xmlns:ds="http://schemas.openxmlformats.org/officeDocument/2006/customXml" ds:itemID="{671B3FD3-9B88-4170-84B7-2F810AE9BB30}"/>
</file>

<file path=customXml/itemProps3.xml><?xml version="1.0" encoding="utf-8"?>
<ds:datastoreItem xmlns:ds="http://schemas.openxmlformats.org/officeDocument/2006/customXml" ds:itemID="{072B9EFD-D1D7-4897-B824-9649FE3C458E}"/>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38</vt:i4>
      </vt:variant>
      <vt:variant>
        <vt:lpstr>Named Ranges</vt:lpstr>
      </vt:variant>
      <vt:variant>
        <vt:i4>105</vt:i4>
      </vt:variant>
    </vt:vector>
  </HeadingPairs>
  <TitlesOfParts>
    <vt:vector size="143"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InpOverride</vt:lpstr>
      <vt:lpstr>InpCompany</vt:lpstr>
      <vt:lpstr>Company_PC_inputs</vt:lpstr>
      <vt:lpstr>Ofwat_PC_Interventions</vt:lpstr>
      <vt:lpstr>InpPerformance</vt:lpstr>
      <vt:lpstr>Performance</vt:lpstr>
      <vt:lpstr>Sharing mechanism</vt:lpstr>
      <vt:lpstr>Aggregate calculations</vt:lpstr>
      <vt:lpstr>Model outputs - PC level</vt:lpstr>
      <vt:lpstr>Model outputs - interventions</vt:lpstr>
      <vt:lpstr>Model outputs - Aggregate level</vt:lpstr>
      <vt:lpstr>F_Outputs</vt:lpstr>
      <vt:lpstr>ODI data sheets&gt;&gt;</vt:lpstr>
      <vt:lpstr>App1</vt:lpstr>
      <vt:lpstr>App1b</vt:lpstr>
      <vt:lpstr>PC lists</vt:lpstr>
      <vt:lpstr>App1 change log</vt:lpstr>
      <vt:lpstr>App1b change log</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2024-12-11T12:06:08Z</dcterms:created>
  <dcterms:modified xsi:type="dcterms:W3CDTF">2024-12-11T12:06:17Z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diaServiceImageTags">
    <vt:lpwstr/>
  </property>
  <property fmtid="{D5CDD505-2E9C-101B-9397-08002B2CF9AE}" pid="4" name="ContentTypeId">
    <vt:lpwstr>0x0101004010F36128E44943B1120CACFDAE9F7B</vt:lpwstr>
  </property>
  <property fmtid="{D5CDD505-2E9C-101B-9397-08002B2CF9AE}" pid="5" name="_NewReviewCycle">
    <vt:lpwstr/>
  </property>
</Properties>
</file>